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drawings/drawing3.xml" ContentType="application/vnd.openxmlformats-officedocument.drawing+xml"/>
  <Override PartName="/xl/ctrlProps/ctrlProp5.xml" ContentType="application/vnd.ms-excel.controlproperties+xml"/>
  <Override PartName="/xl/drawings/drawing4.xml" ContentType="application/vnd.openxmlformats-officedocument.drawing+xml"/>
  <Override PartName="/xl/ctrlProps/ctrlProp6.xml" ContentType="application/vnd.ms-excel.controlproperties+xml"/>
  <Override PartName="/xl/ctrlProps/ctrlProp7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480" yWindow="90" windowWidth="18195" windowHeight="10800" tabRatio="790"/>
  </bookViews>
  <sheets>
    <sheet name="CONTROL" sheetId="1" r:id="rId1"/>
    <sheet name="RAP-LIGHT OIL" sheetId="2" r:id="rId2"/>
    <sheet name="RAP-HEAVY OIL&amp;WTI" sheetId="3" r:id="rId3"/>
    <sheet name="RAP-SOLID FUEL PRICES" sheetId="4" r:id="rId4"/>
    <sheet name="RAP-NATURAL GAS PRICES" sheetId="5" r:id="rId5"/>
    <sheet name="RAP TEMPLATE-GAS AVAILABILITY" sheetId="6" r:id="rId6"/>
  </sheets>
  <externalReferences>
    <externalReference r:id="rId7"/>
    <externalReference r:id="rId8"/>
    <externalReference r:id="rId9"/>
    <externalReference r:id="rId10"/>
  </externalReferences>
  <definedNames>
    <definedName name="__123Graph_A" hidden="1">'[1]FPL MOST LIKELY GAS BACKUP 1'!#REF!</definedName>
    <definedName name="__123Graph_B" hidden="1">'[1]FPL MOST LIKELY GAS BACKUP 1'!#REF!</definedName>
    <definedName name="__123Graph_X" hidden="1">'[1]FPL MOST LIKELY GAS BACKUP 1'!#REF!</definedName>
    <definedName name="_1">#REF!</definedName>
    <definedName name="_1A">#REF!</definedName>
    <definedName name="_2">#REF!</definedName>
    <definedName name="_3">#REF!</definedName>
    <definedName name="_4">#REF!</definedName>
    <definedName name="_5">#REF!</definedName>
    <definedName name="_6">#REF!</definedName>
    <definedName name="_7">#REF!</definedName>
    <definedName name="_8">#REF!</definedName>
    <definedName name="_9394GAS">#REF!</definedName>
    <definedName name="_9394OIL">#REF!</definedName>
    <definedName name="_C1">#REF!</definedName>
    <definedName name="_GIP1">#REF!</definedName>
    <definedName name="_SYP1">#REF!</definedName>
    <definedName name="C_">#REF!</definedName>
    <definedName name="CC1_">#REF!</definedName>
    <definedName name="COMPET">#REF!</definedName>
    <definedName name="CopyXC">#REF!</definedName>
    <definedName name="DatabaseNameCopy">#REF!</definedName>
    <definedName name="DatabaseNameDG">#REF!</definedName>
    <definedName name="DateColumn">[2]_Setup_!#REF!</definedName>
    <definedName name="DestColRowXC">#REF!</definedName>
    <definedName name="DestDBname">#REF!</definedName>
    <definedName name="DestHdrRowColXC">#REF!</definedName>
    <definedName name="DestLayoutXC">#REF!</definedName>
    <definedName name="DestRowColXC">#REF!</definedName>
    <definedName name="DestStudyName">#REF!</definedName>
    <definedName name="DestStudyNameCopy">#REF!</definedName>
    <definedName name="DestUserName">#REF!</definedName>
    <definedName name="DestWorksheetXC">#REF!</definedName>
    <definedName name="EffectiveDate">[2]_Setup_!#REF!</definedName>
    <definedName name="FIRM">#REF!</definedName>
    <definedName name="FIRM1">#REF!</definedName>
    <definedName name="GAS">#REF!</definedName>
    <definedName name="GASAVAIL">#REF!</definedName>
    <definedName name="GIP">#REF!</definedName>
    <definedName name="HeaderXC">#REF!</definedName>
    <definedName name="I5_">#REF!</definedName>
    <definedName name="I6_">#REF!</definedName>
    <definedName name="I7_">#REF!</definedName>
    <definedName name="ImportListDG">#REF!</definedName>
    <definedName name="INDEXDATA">'[3]Index-Data'!$A$2:$CG$68</definedName>
    <definedName name="INFLAT">#REF!</definedName>
    <definedName name="LayoutXC">#REF!</definedName>
    <definedName name="Messages">[4]_UnregulatedCurves_!#REF!</definedName>
    <definedName name="MessagesDG">#REF!</definedName>
    <definedName name="MessagesDW">[4]_UnregulatedCurves_!#REF!</definedName>
    <definedName name="MONTH">#REF!</definedName>
    <definedName name="MONTH1">#REF!</definedName>
    <definedName name="MONTHID">'[3]Misc-Data'!$A$2:$F$85</definedName>
    <definedName name="MONTHS2">#REF!</definedName>
    <definedName name="MONTHS3">#REF!</definedName>
    <definedName name="MONTHS4">#REF!</definedName>
    <definedName name="MONTHS5">#REF!</definedName>
    <definedName name="MONTHS6">#REF!</definedName>
    <definedName name="MONTHS7">#REF!</definedName>
    <definedName name="OIPBBL">#REF!</definedName>
    <definedName name="OIPBBL1">#REF!</definedName>
    <definedName name="PasswordCopy">#REF!</definedName>
    <definedName name="PasswordDG">#REF!</definedName>
    <definedName name="PHASEII">#REF!</definedName>
    <definedName name="PHASEII1">#REF!</definedName>
    <definedName name="PHASEIII">#REF!</definedName>
    <definedName name="PHASEIII1">#REF!</definedName>
    <definedName name="pipedes">'[3]Misc-Data'!$D$2:$F$69</definedName>
    <definedName name="_xlnm.Print_Area" localSheetId="5">'RAP TEMPLATE-GAS AVAILABILITY'!$A$12:$T$1144</definedName>
    <definedName name="_xlnm.Print_Area" localSheetId="2">'RAP-HEAVY OIL&amp;WTI'!$A$12:$J$1144</definedName>
    <definedName name="_xlnm.Print_Area" localSheetId="1">'RAP-LIGHT OIL'!$A$12:$K$1144</definedName>
    <definedName name="_xlnm.Print_Area" localSheetId="4">'RAP-NATURAL GAS PRICES'!$A$13:$AC$1145</definedName>
    <definedName name="_xlnm.Print_Area" localSheetId="3">'RAP-SOLID FUEL PRICES'!$A$14:$O$1146</definedName>
    <definedName name="_xlnm.Print_Titles" localSheetId="5">'RAP TEMPLATE-GAS AVAILABILITY'!$1:$11</definedName>
    <definedName name="_xlnm.Print_Titles" localSheetId="2">'RAP-HEAVY OIL&amp;WTI'!$1:$11</definedName>
    <definedName name="_xlnm.Print_Titles" localSheetId="1">'RAP-LIGHT OIL'!$1:$11</definedName>
    <definedName name="_xlnm.Print_Titles" localSheetId="4">'RAP-NATURAL GAS PRICES'!$1:$12</definedName>
    <definedName name="_xlnm.Print_Titles" localSheetId="3">'RAP-SOLID FUEL PRICES'!$1:$13</definedName>
    <definedName name="RESULTS">#REF!</definedName>
    <definedName name="RESULTS1">#REF!</definedName>
    <definedName name="RESULTS2">#REF!</definedName>
    <definedName name="RESULTS3">#REF!</definedName>
    <definedName name="RESULTS4">#REF!</definedName>
    <definedName name="RESULTSA">#REF!</definedName>
    <definedName name="RowStart">[2]_Setup_!#REF!</definedName>
    <definedName name="SelectListCopy">#REF!</definedName>
    <definedName name="SFOR">#REF!</definedName>
    <definedName name="SFOR1">#REF!</definedName>
    <definedName name="SourceDBname">#REF!</definedName>
    <definedName name="SourceStudyName">#REF!</definedName>
    <definedName name="SourceStudyNameCopy">#REF!</definedName>
    <definedName name="SourceUserName">#REF!</definedName>
    <definedName name="SrcColRowXC">#REF!</definedName>
    <definedName name="SrcFileXC">#REF!</definedName>
    <definedName name="SrcStartRowColXC">#REF!</definedName>
    <definedName name="SrcWorksheetXC">#REF!</definedName>
    <definedName name="StatusCopy">#REF!</definedName>
    <definedName name="StatusDG">#REF!</definedName>
    <definedName name="StatusXC">#REF!</definedName>
    <definedName name="StudyNameDG">#REF!</definedName>
    <definedName name="SYP">#REF!</definedName>
    <definedName name="SYSGAS">#REF!</definedName>
    <definedName name="TITLES">#REF!</definedName>
    <definedName name="TOBBL">#REF!</definedName>
    <definedName name="TotalRowColXC">#REF!</definedName>
    <definedName name="TransferListDG">#REF!</definedName>
    <definedName name="TTG">#REF!</definedName>
    <definedName name="UserNameCopy">#REF!</definedName>
    <definedName name="UserNameDG">#REF!</definedName>
    <definedName name="VOLUMES">#REF!</definedName>
    <definedName name="VOLUMES1">#REF!</definedName>
    <definedName name="YEAR">#REF!</definedName>
    <definedName name="YEARS">#REF!</definedName>
  </definedNames>
  <calcPr calcId="145621" calcMode="manual"/>
</workbook>
</file>

<file path=xl/calcChain.xml><?xml version="1.0" encoding="utf-8"?>
<calcChain xmlns="http://schemas.openxmlformats.org/spreadsheetml/2006/main">
  <c r="C14" i="6" l="1"/>
  <c r="D14" i="6"/>
  <c r="E14" i="6"/>
  <c r="F14" i="6"/>
  <c r="L14" i="6"/>
  <c r="N14" i="6"/>
  <c r="R14" i="6"/>
  <c r="T14" i="6"/>
  <c r="C15" i="6"/>
  <c r="D15" i="6"/>
  <c r="E15" i="6"/>
  <c r="F15" i="6"/>
  <c r="N15" i="6"/>
  <c r="P15" i="6"/>
  <c r="R15" i="6"/>
  <c r="Q15" i="6" s="1"/>
  <c r="S15" i="6"/>
  <c r="T15" i="6"/>
  <c r="C16" i="6"/>
  <c r="L16" i="6" s="1"/>
  <c r="D16" i="6"/>
  <c r="E16" i="6"/>
  <c r="F16" i="6"/>
  <c r="N16" i="6"/>
  <c r="P16" i="6"/>
  <c r="Q16" i="6"/>
  <c r="R16" i="6"/>
  <c r="S16" i="6"/>
  <c r="T16" i="6"/>
  <c r="C17" i="6"/>
  <c r="D17" i="6"/>
  <c r="E17" i="6"/>
  <c r="F17" i="6"/>
  <c r="L17" i="6"/>
  <c r="N17" i="6"/>
  <c r="P17" i="6"/>
  <c r="R17" i="6"/>
  <c r="T17" i="6"/>
  <c r="C18" i="6"/>
  <c r="L18" i="6" s="1"/>
  <c r="D18" i="6"/>
  <c r="E18" i="6"/>
  <c r="F18" i="6"/>
  <c r="N18" i="6"/>
  <c r="P18" i="6"/>
  <c r="R18" i="6"/>
  <c r="Q18" i="6" s="1"/>
  <c r="S18" i="6"/>
  <c r="T18" i="6"/>
  <c r="C19" i="6"/>
  <c r="L19" i="6" s="1"/>
  <c r="D19" i="6"/>
  <c r="E19" i="6"/>
  <c r="F19" i="6"/>
  <c r="N19" i="6"/>
  <c r="P19" i="6"/>
  <c r="Q19" i="6"/>
  <c r="S19" i="6" s="1"/>
  <c r="R19" i="6"/>
  <c r="T19" i="6"/>
  <c r="C20" i="6"/>
  <c r="D20" i="6"/>
  <c r="E20" i="6"/>
  <c r="F20" i="6"/>
  <c r="L20" i="6"/>
  <c r="N20" i="6"/>
  <c r="P20" i="6"/>
  <c r="R20" i="6"/>
  <c r="T20" i="6"/>
  <c r="C21" i="6"/>
  <c r="D21" i="6"/>
  <c r="E21" i="6"/>
  <c r="F21" i="6"/>
  <c r="N21" i="6"/>
  <c r="P21" i="6"/>
  <c r="R21" i="6"/>
  <c r="Q21" i="6" s="1"/>
  <c r="S21" i="6"/>
  <c r="T21" i="6"/>
  <c r="C22" i="6"/>
  <c r="L22" i="6" s="1"/>
  <c r="D22" i="6"/>
  <c r="E22" i="6"/>
  <c r="F22" i="6"/>
  <c r="N22" i="6"/>
  <c r="Q22" i="6"/>
  <c r="S22" i="6" s="1"/>
  <c r="R22" i="6"/>
  <c r="T22" i="6"/>
  <c r="C23" i="6"/>
  <c r="D23" i="6"/>
  <c r="E23" i="6"/>
  <c r="F23" i="6"/>
  <c r="L23" i="6" s="1"/>
  <c r="N23" i="6"/>
  <c r="Q23" i="6"/>
  <c r="S23" i="6" s="1"/>
  <c r="R23" i="6"/>
  <c r="T23" i="6"/>
  <c r="C24" i="6"/>
  <c r="L24" i="6" s="1"/>
  <c r="D24" i="6"/>
  <c r="E24" i="6"/>
  <c r="F24" i="6"/>
  <c r="N24" i="6"/>
  <c r="R24" i="6"/>
  <c r="Q24" i="6" s="1"/>
  <c r="S24" i="6" s="1"/>
  <c r="T24" i="6"/>
  <c r="C25" i="6"/>
  <c r="D25" i="6"/>
  <c r="E25" i="6"/>
  <c r="F25" i="6"/>
  <c r="N25" i="6"/>
  <c r="Q25" i="6"/>
  <c r="S25" i="6" s="1"/>
  <c r="R25" i="6"/>
  <c r="T25" i="6"/>
  <c r="C26" i="6"/>
  <c r="D26" i="6"/>
  <c r="E26" i="6"/>
  <c r="F26" i="6"/>
  <c r="L26" i="6"/>
  <c r="N26" i="6"/>
  <c r="Q26" i="6"/>
  <c r="R26" i="6"/>
  <c r="S26" i="6"/>
  <c r="T26" i="6"/>
  <c r="C27" i="6"/>
  <c r="D27" i="6"/>
  <c r="E27" i="6"/>
  <c r="L27" i="6" s="1"/>
  <c r="F27" i="6"/>
  <c r="H27" i="6"/>
  <c r="N27" i="6"/>
  <c r="P27" i="6"/>
  <c r="R27" i="6"/>
  <c r="Q27" i="6" s="1"/>
  <c r="S27" i="6"/>
  <c r="T27" i="6"/>
  <c r="C28" i="6"/>
  <c r="D28" i="6"/>
  <c r="E28" i="6"/>
  <c r="F28" i="6"/>
  <c r="H28" i="6"/>
  <c r="N28" i="6"/>
  <c r="P28" i="6"/>
  <c r="Q28" i="6" s="1"/>
  <c r="R28" i="6"/>
  <c r="T28" i="6"/>
  <c r="C29" i="6"/>
  <c r="D29" i="6"/>
  <c r="E29" i="6"/>
  <c r="L29" i="6" s="1"/>
  <c r="F29" i="6"/>
  <c r="H29" i="6"/>
  <c r="N29" i="6"/>
  <c r="P29" i="6"/>
  <c r="R29" i="6"/>
  <c r="Q29" i="6" s="1"/>
  <c r="S29" i="6" s="1"/>
  <c r="T29" i="6"/>
  <c r="C30" i="6"/>
  <c r="L30" i="6" s="1"/>
  <c r="D30" i="6"/>
  <c r="E30" i="6"/>
  <c r="F30" i="6"/>
  <c r="H30" i="6"/>
  <c r="N30" i="6"/>
  <c r="P30" i="6"/>
  <c r="R30" i="6"/>
  <c r="Q30" i="6" s="1"/>
  <c r="S30" i="6" s="1"/>
  <c r="T30" i="6"/>
  <c r="C31" i="6"/>
  <c r="D31" i="6"/>
  <c r="E31" i="6"/>
  <c r="F31" i="6"/>
  <c r="H31" i="6"/>
  <c r="L31" i="6"/>
  <c r="N31" i="6"/>
  <c r="P31" i="6"/>
  <c r="R31" i="6"/>
  <c r="Q31" i="6" s="1"/>
  <c r="S31" i="6" s="1"/>
  <c r="T31" i="6"/>
  <c r="C32" i="6"/>
  <c r="L32" i="6" s="1"/>
  <c r="D32" i="6"/>
  <c r="E32" i="6"/>
  <c r="F32" i="6"/>
  <c r="H32" i="6"/>
  <c r="N32" i="6"/>
  <c r="P32" i="6"/>
  <c r="Q32" i="6"/>
  <c r="R32" i="6"/>
  <c r="T32" i="6"/>
  <c r="C33" i="6"/>
  <c r="D33" i="6"/>
  <c r="E33" i="6"/>
  <c r="F33" i="6"/>
  <c r="H33" i="6"/>
  <c r="L33" i="6"/>
  <c r="N33" i="6"/>
  <c r="P33" i="6"/>
  <c r="R33" i="6"/>
  <c r="Q33" i="6" s="1"/>
  <c r="S33" i="6" s="1"/>
  <c r="T33" i="6"/>
  <c r="C34" i="6"/>
  <c r="D34" i="6"/>
  <c r="E34" i="6"/>
  <c r="F34" i="6"/>
  <c r="H34" i="6"/>
  <c r="N34" i="6"/>
  <c r="R34" i="6"/>
  <c r="Q34" i="6" s="1"/>
  <c r="S34" i="6" s="1"/>
  <c r="T34" i="6"/>
  <c r="C35" i="6"/>
  <c r="D35" i="6"/>
  <c r="E35" i="6"/>
  <c r="F35" i="6"/>
  <c r="L35" i="6" s="1"/>
  <c r="H35" i="6"/>
  <c r="N35" i="6"/>
  <c r="Q35" i="6"/>
  <c r="R35" i="6"/>
  <c r="T35" i="6"/>
  <c r="C36" i="6"/>
  <c r="D36" i="6"/>
  <c r="D1059" i="6" s="1"/>
  <c r="E36" i="6"/>
  <c r="F36" i="6"/>
  <c r="H36" i="6"/>
  <c r="N36" i="6"/>
  <c r="R36" i="6"/>
  <c r="Q36" i="6" s="1"/>
  <c r="S36" i="6" s="1"/>
  <c r="T36" i="6"/>
  <c r="C37" i="6"/>
  <c r="D37" i="6"/>
  <c r="E37" i="6"/>
  <c r="F37" i="6"/>
  <c r="H37" i="6"/>
  <c r="L37" i="6"/>
  <c r="N37" i="6"/>
  <c r="Q37" i="6"/>
  <c r="S37" i="6" s="1"/>
  <c r="R37" i="6"/>
  <c r="T37" i="6"/>
  <c r="C38" i="6"/>
  <c r="D38" i="6"/>
  <c r="E38" i="6"/>
  <c r="F38" i="6"/>
  <c r="H38" i="6"/>
  <c r="L38" i="6" s="1"/>
  <c r="N38" i="6"/>
  <c r="R38" i="6"/>
  <c r="Q38" i="6" s="1"/>
  <c r="S38" i="6" s="1"/>
  <c r="T38" i="6"/>
  <c r="C39" i="6"/>
  <c r="D39" i="6"/>
  <c r="E39" i="6"/>
  <c r="F39" i="6"/>
  <c r="F1059" i="6" s="1"/>
  <c r="H39" i="6"/>
  <c r="N39" i="6"/>
  <c r="Q39" i="6"/>
  <c r="R39" i="6"/>
  <c r="S39" i="6"/>
  <c r="T39" i="6"/>
  <c r="C40" i="6"/>
  <c r="D40" i="6"/>
  <c r="E40" i="6"/>
  <c r="F40" i="6"/>
  <c r="H40" i="6"/>
  <c r="I40" i="6"/>
  <c r="L40" i="6"/>
  <c r="N40" i="6"/>
  <c r="Q40" i="6"/>
  <c r="S40" i="6" s="1"/>
  <c r="R40" i="6"/>
  <c r="T40" i="6"/>
  <c r="C41" i="6"/>
  <c r="D41" i="6"/>
  <c r="E41" i="6"/>
  <c r="F41" i="6"/>
  <c r="H41" i="6"/>
  <c r="I41" i="6"/>
  <c r="N41" i="6"/>
  <c r="Q41" i="6"/>
  <c r="R41" i="6"/>
  <c r="S41" i="6"/>
  <c r="T41" i="6"/>
  <c r="C42" i="6"/>
  <c r="L42" i="6" s="1"/>
  <c r="D42" i="6"/>
  <c r="E42" i="6"/>
  <c r="F42" i="6"/>
  <c r="H42" i="6"/>
  <c r="I42" i="6"/>
  <c r="N42" i="6"/>
  <c r="Q42" i="6"/>
  <c r="R42" i="6"/>
  <c r="T42" i="6"/>
  <c r="C43" i="6"/>
  <c r="L43" i="6" s="1"/>
  <c r="D43" i="6"/>
  <c r="E43" i="6"/>
  <c r="F43" i="6"/>
  <c r="H43" i="6"/>
  <c r="I43" i="6"/>
  <c r="N43" i="6"/>
  <c r="R43" i="6"/>
  <c r="Q43" i="6" s="1"/>
  <c r="S43" i="6" s="1"/>
  <c r="T43" i="6"/>
  <c r="C44" i="6"/>
  <c r="D44" i="6"/>
  <c r="E44" i="6"/>
  <c r="F44" i="6"/>
  <c r="H44" i="6"/>
  <c r="I44" i="6"/>
  <c r="L44" i="6" s="1"/>
  <c r="N44" i="6"/>
  <c r="Q44" i="6"/>
  <c r="S44" i="6" s="1"/>
  <c r="R44" i="6"/>
  <c r="T44" i="6"/>
  <c r="C45" i="6"/>
  <c r="L45" i="6" s="1"/>
  <c r="D45" i="6"/>
  <c r="E45" i="6"/>
  <c r="F45" i="6"/>
  <c r="H45" i="6"/>
  <c r="I45" i="6"/>
  <c r="N45" i="6"/>
  <c r="R45" i="6"/>
  <c r="Q45" i="6" s="1"/>
  <c r="S45" i="6" s="1"/>
  <c r="T45" i="6"/>
  <c r="C46" i="6"/>
  <c r="L46" i="6" s="1"/>
  <c r="D46" i="6"/>
  <c r="E46" i="6"/>
  <c r="F46" i="6"/>
  <c r="H46" i="6"/>
  <c r="I46" i="6"/>
  <c r="N46" i="6"/>
  <c r="Q46" i="6"/>
  <c r="S46" i="6" s="1"/>
  <c r="R46" i="6"/>
  <c r="T46" i="6"/>
  <c r="C47" i="6"/>
  <c r="D47" i="6"/>
  <c r="E47" i="6"/>
  <c r="F47" i="6"/>
  <c r="H47" i="6"/>
  <c r="I47" i="6"/>
  <c r="N47" i="6"/>
  <c r="Q47" i="6"/>
  <c r="S47" i="6" s="1"/>
  <c r="R47" i="6"/>
  <c r="T47" i="6"/>
  <c r="C48" i="6"/>
  <c r="D48" i="6"/>
  <c r="E48" i="6"/>
  <c r="F48" i="6"/>
  <c r="H48" i="6"/>
  <c r="L48" i="6" s="1"/>
  <c r="I48" i="6"/>
  <c r="N48" i="6"/>
  <c r="Q48" i="6"/>
  <c r="S48" i="6" s="1"/>
  <c r="R48" i="6"/>
  <c r="T48" i="6"/>
  <c r="C49" i="6"/>
  <c r="D49" i="6"/>
  <c r="E49" i="6"/>
  <c r="F49" i="6"/>
  <c r="H49" i="6"/>
  <c r="I49" i="6"/>
  <c r="N49" i="6"/>
  <c r="Q49" i="6"/>
  <c r="R49" i="6"/>
  <c r="S49" i="6"/>
  <c r="T49" i="6"/>
  <c r="C50" i="6"/>
  <c r="D50" i="6"/>
  <c r="E50" i="6"/>
  <c r="F50" i="6"/>
  <c r="H50" i="6"/>
  <c r="I50" i="6"/>
  <c r="L50" i="6"/>
  <c r="N50" i="6"/>
  <c r="Q50" i="6"/>
  <c r="S50" i="6" s="1"/>
  <c r="R50" i="6"/>
  <c r="T50" i="6"/>
  <c r="C51" i="6"/>
  <c r="D51" i="6"/>
  <c r="E51" i="6"/>
  <c r="F51" i="6"/>
  <c r="H51" i="6"/>
  <c r="I51" i="6"/>
  <c r="N51" i="6"/>
  <c r="R51" i="6"/>
  <c r="Q51" i="6" s="1"/>
  <c r="S51" i="6"/>
  <c r="T51" i="6"/>
  <c r="C52" i="6"/>
  <c r="L52" i="6" s="1"/>
  <c r="D52" i="6"/>
  <c r="E52" i="6"/>
  <c r="F52" i="6"/>
  <c r="H52" i="6"/>
  <c r="I52" i="6"/>
  <c r="N52" i="6"/>
  <c r="Q52" i="6"/>
  <c r="S52" i="6" s="1"/>
  <c r="R52" i="6"/>
  <c r="T52" i="6"/>
  <c r="C53" i="6"/>
  <c r="D53" i="6"/>
  <c r="E53" i="6"/>
  <c r="F53" i="6"/>
  <c r="H53" i="6"/>
  <c r="I53" i="6"/>
  <c r="N53" i="6"/>
  <c r="Q53" i="6"/>
  <c r="S53" i="6" s="1"/>
  <c r="R53" i="6"/>
  <c r="T53" i="6"/>
  <c r="C54" i="6"/>
  <c r="D54" i="6"/>
  <c r="E54" i="6"/>
  <c r="F54" i="6"/>
  <c r="H54" i="6"/>
  <c r="I54" i="6"/>
  <c r="N54" i="6"/>
  <c r="Q54" i="6"/>
  <c r="S54" i="6" s="1"/>
  <c r="R54" i="6"/>
  <c r="T54" i="6"/>
  <c r="C55" i="6"/>
  <c r="D55" i="6"/>
  <c r="D1060" i="6" s="1"/>
  <c r="E55" i="6"/>
  <c r="F55" i="6"/>
  <c r="H55" i="6"/>
  <c r="I55" i="6"/>
  <c r="N55" i="6"/>
  <c r="Q55" i="6"/>
  <c r="R55" i="6"/>
  <c r="S55" i="6"/>
  <c r="T55" i="6"/>
  <c r="C56" i="6"/>
  <c r="D56" i="6"/>
  <c r="E56" i="6"/>
  <c r="F56" i="6"/>
  <c r="H56" i="6"/>
  <c r="I56" i="6"/>
  <c r="L56" i="6"/>
  <c r="N56" i="6"/>
  <c r="Q56" i="6"/>
  <c r="S56" i="6" s="1"/>
  <c r="R56" i="6"/>
  <c r="T56" i="6"/>
  <c r="C57" i="6"/>
  <c r="D57" i="6"/>
  <c r="E57" i="6"/>
  <c r="F57" i="6"/>
  <c r="F1060" i="6" s="1"/>
  <c r="H57" i="6"/>
  <c r="I57" i="6"/>
  <c r="N57" i="6"/>
  <c r="Q57" i="6"/>
  <c r="S57" i="6" s="1"/>
  <c r="R57" i="6"/>
  <c r="T57" i="6"/>
  <c r="C58" i="6"/>
  <c r="L58" i="6" s="1"/>
  <c r="D58" i="6"/>
  <c r="E58" i="6"/>
  <c r="F58" i="6"/>
  <c r="H58" i="6"/>
  <c r="I58" i="6"/>
  <c r="N58" i="6"/>
  <c r="Q58" i="6"/>
  <c r="S58" i="6" s="1"/>
  <c r="R58" i="6"/>
  <c r="T58" i="6"/>
  <c r="C59" i="6"/>
  <c r="D59" i="6"/>
  <c r="E59" i="6"/>
  <c r="F59" i="6"/>
  <c r="H59" i="6"/>
  <c r="I59" i="6"/>
  <c r="N59" i="6"/>
  <c r="R59" i="6"/>
  <c r="Q59" i="6" s="1"/>
  <c r="S59" i="6" s="1"/>
  <c r="T59" i="6"/>
  <c r="C60" i="6"/>
  <c r="D60" i="6"/>
  <c r="E60" i="6"/>
  <c r="F60" i="6"/>
  <c r="H60" i="6"/>
  <c r="I60" i="6"/>
  <c r="L60" i="6" s="1"/>
  <c r="N60" i="6"/>
  <c r="Q60" i="6"/>
  <c r="S60" i="6" s="1"/>
  <c r="R60" i="6"/>
  <c r="T60" i="6"/>
  <c r="C61" i="6"/>
  <c r="L61" i="6" s="1"/>
  <c r="D61" i="6"/>
  <c r="E61" i="6"/>
  <c r="F61" i="6"/>
  <c r="H61" i="6"/>
  <c r="I61" i="6"/>
  <c r="N61" i="6"/>
  <c r="R61" i="6"/>
  <c r="Q61" i="6" s="1"/>
  <c r="S61" i="6" s="1"/>
  <c r="T61" i="6"/>
  <c r="C62" i="6"/>
  <c r="D62" i="6"/>
  <c r="E62" i="6"/>
  <c r="F62" i="6"/>
  <c r="H62" i="6"/>
  <c r="I62" i="6"/>
  <c r="N62" i="6"/>
  <c r="Q62" i="6"/>
  <c r="S62" i="6" s="1"/>
  <c r="R62" i="6"/>
  <c r="T62" i="6"/>
  <c r="C63" i="6"/>
  <c r="D63" i="6"/>
  <c r="E63" i="6"/>
  <c r="F63" i="6"/>
  <c r="H63" i="6"/>
  <c r="I63" i="6"/>
  <c r="N63" i="6"/>
  <c r="Q63" i="6"/>
  <c r="S63" i="6" s="1"/>
  <c r="R63" i="6"/>
  <c r="T63" i="6"/>
  <c r="C64" i="6"/>
  <c r="D64" i="6"/>
  <c r="E64" i="6"/>
  <c r="F64" i="6"/>
  <c r="H64" i="6"/>
  <c r="L64" i="6" s="1"/>
  <c r="I64" i="6"/>
  <c r="N64" i="6"/>
  <c r="Q64" i="6"/>
  <c r="S64" i="6" s="1"/>
  <c r="R64" i="6"/>
  <c r="T64" i="6"/>
  <c r="C65" i="6"/>
  <c r="D65" i="6"/>
  <c r="E65" i="6"/>
  <c r="F65" i="6"/>
  <c r="H65" i="6"/>
  <c r="I65" i="6"/>
  <c r="N65" i="6"/>
  <c r="Q65" i="6"/>
  <c r="S65" i="6" s="1"/>
  <c r="R65" i="6"/>
  <c r="T65" i="6"/>
  <c r="C66" i="6"/>
  <c r="D66" i="6"/>
  <c r="E66" i="6"/>
  <c r="F66" i="6"/>
  <c r="H66" i="6"/>
  <c r="L66" i="6" s="1"/>
  <c r="I66" i="6"/>
  <c r="N66" i="6"/>
  <c r="Q66" i="6"/>
  <c r="S66" i="6" s="1"/>
  <c r="R66" i="6"/>
  <c r="T66" i="6"/>
  <c r="C67" i="6"/>
  <c r="L67" i="6" s="1"/>
  <c r="D67" i="6"/>
  <c r="E67" i="6"/>
  <c r="F67" i="6"/>
  <c r="H67" i="6"/>
  <c r="I67" i="6"/>
  <c r="N67" i="6"/>
  <c r="R67" i="6"/>
  <c r="Q67" i="6" s="1"/>
  <c r="S67" i="6"/>
  <c r="T67" i="6"/>
  <c r="C68" i="6"/>
  <c r="D68" i="6"/>
  <c r="E68" i="6"/>
  <c r="F68" i="6"/>
  <c r="H68" i="6"/>
  <c r="I68" i="6"/>
  <c r="L68" i="6"/>
  <c r="N68" i="6"/>
  <c r="Q68" i="6"/>
  <c r="S68" i="6" s="1"/>
  <c r="R68" i="6"/>
  <c r="T68" i="6"/>
  <c r="C69" i="6"/>
  <c r="D69" i="6"/>
  <c r="E69" i="6"/>
  <c r="F69" i="6"/>
  <c r="H69" i="6"/>
  <c r="I69" i="6"/>
  <c r="N69" i="6"/>
  <c r="Q69" i="6"/>
  <c r="S69" i="6" s="1"/>
  <c r="R69" i="6"/>
  <c r="T69" i="6"/>
  <c r="C70" i="6"/>
  <c r="D70" i="6"/>
  <c r="E70" i="6"/>
  <c r="F70" i="6"/>
  <c r="H70" i="6"/>
  <c r="I70" i="6"/>
  <c r="N70" i="6"/>
  <c r="Q70" i="6"/>
  <c r="S70" i="6" s="1"/>
  <c r="R70" i="6"/>
  <c r="T70" i="6"/>
  <c r="C71" i="6"/>
  <c r="D71" i="6"/>
  <c r="E71" i="6"/>
  <c r="F71" i="6"/>
  <c r="H71" i="6"/>
  <c r="I71" i="6"/>
  <c r="N71" i="6"/>
  <c r="Q71" i="6"/>
  <c r="S71" i="6" s="1"/>
  <c r="R71" i="6"/>
  <c r="T71" i="6"/>
  <c r="C72" i="6"/>
  <c r="D72" i="6"/>
  <c r="E72" i="6"/>
  <c r="F72" i="6"/>
  <c r="H72" i="6"/>
  <c r="L72" i="6" s="1"/>
  <c r="I72" i="6"/>
  <c r="N72" i="6"/>
  <c r="Q72" i="6"/>
  <c r="S72" i="6" s="1"/>
  <c r="R72" i="6"/>
  <c r="T72" i="6"/>
  <c r="C73" i="6"/>
  <c r="D73" i="6"/>
  <c r="E73" i="6"/>
  <c r="F73" i="6"/>
  <c r="H73" i="6"/>
  <c r="I73" i="6"/>
  <c r="N73" i="6"/>
  <c r="Q73" i="6"/>
  <c r="R73" i="6"/>
  <c r="S73" i="6"/>
  <c r="T73" i="6"/>
  <c r="C74" i="6"/>
  <c r="D74" i="6"/>
  <c r="E74" i="6"/>
  <c r="F74" i="6"/>
  <c r="H74" i="6"/>
  <c r="I74" i="6"/>
  <c r="L74" i="6"/>
  <c r="N74" i="6"/>
  <c r="Q74" i="6"/>
  <c r="S74" i="6" s="1"/>
  <c r="R74" i="6"/>
  <c r="T74" i="6"/>
  <c r="C75" i="6"/>
  <c r="D75" i="6"/>
  <c r="E75" i="6"/>
  <c r="F75" i="6"/>
  <c r="H75" i="6"/>
  <c r="I75" i="6"/>
  <c r="N75" i="6"/>
  <c r="R75" i="6"/>
  <c r="Q75" i="6" s="1"/>
  <c r="S75" i="6" s="1"/>
  <c r="T75" i="6"/>
  <c r="C76" i="6"/>
  <c r="D76" i="6"/>
  <c r="E76" i="6"/>
  <c r="F76" i="6"/>
  <c r="H76" i="6"/>
  <c r="I76" i="6"/>
  <c r="L76" i="6" s="1"/>
  <c r="N76" i="6"/>
  <c r="Q76" i="6"/>
  <c r="S76" i="6" s="1"/>
  <c r="R76" i="6"/>
  <c r="T76" i="6"/>
  <c r="C77" i="6"/>
  <c r="D77" i="6"/>
  <c r="E77" i="6"/>
  <c r="F77" i="6"/>
  <c r="H77" i="6"/>
  <c r="I77" i="6"/>
  <c r="N77" i="6"/>
  <c r="Q77" i="6"/>
  <c r="S77" i="6" s="1"/>
  <c r="R77" i="6"/>
  <c r="T77" i="6"/>
  <c r="C78" i="6"/>
  <c r="L78" i="6" s="1"/>
  <c r="D78" i="6"/>
  <c r="E78" i="6"/>
  <c r="F78" i="6"/>
  <c r="H78" i="6"/>
  <c r="I78" i="6"/>
  <c r="N78" i="6"/>
  <c r="Q78" i="6"/>
  <c r="S78" i="6" s="1"/>
  <c r="R78" i="6"/>
  <c r="T78" i="6"/>
  <c r="C79" i="6"/>
  <c r="D79" i="6"/>
  <c r="E79" i="6"/>
  <c r="F79" i="6"/>
  <c r="H79" i="6"/>
  <c r="I79" i="6"/>
  <c r="N79" i="6"/>
  <c r="Q79" i="6"/>
  <c r="S79" i="6" s="1"/>
  <c r="R79" i="6"/>
  <c r="T79" i="6"/>
  <c r="C80" i="6"/>
  <c r="D80" i="6"/>
  <c r="E80" i="6"/>
  <c r="F80" i="6"/>
  <c r="H80" i="6"/>
  <c r="L80" i="6" s="1"/>
  <c r="I80" i="6"/>
  <c r="N80" i="6"/>
  <c r="Q80" i="6"/>
  <c r="S80" i="6" s="1"/>
  <c r="R80" i="6"/>
  <c r="T80" i="6"/>
  <c r="C81" i="6"/>
  <c r="D81" i="6"/>
  <c r="E81" i="6"/>
  <c r="F81" i="6"/>
  <c r="H81" i="6"/>
  <c r="I81" i="6"/>
  <c r="N81" i="6"/>
  <c r="Q81" i="6"/>
  <c r="S81" i="6" s="1"/>
  <c r="R81" i="6"/>
  <c r="T81" i="6"/>
  <c r="C82" i="6"/>
  <c r="D82" i="6"/>
  <c r="E82" i="6"/>
  <c r="F82" i="6"/>
  <c r="H82" i="6"/>
  <c r="L82" i="6" s="1"/>
  <c r="I82" i="6"/>
  <c r="N82" i="6"/>
  <c r="Q82" i="6"/>
  <c r="S82" i="6" s="1"/>
  <c r="R82" i="6"/>
  <c r="T82" i="6"/>
  <c r="C83" i="6"/>
  <c r="L83" i="6" s="1"/>
  <c r="D83" i="6"/>
  <c r="E83" i="6"/>
  <c r="F83" i="6"/>
  <c r="H83" i="6"/>
  <c r="I83" i="6"/>
  <c r="N83" i="6"/>
  <c r="R83" i="6"/>
  <c r="Q83" i="6" s="1"/>
  <c r="S83" i="6" s="1"/>
  <c r="T83" i="6"/>
  <c r="C84" i="6"/>
  <c r="L84" i="6" s="1"/>
  <c r="D84" i="6"/>
  <c r="E84" i="6"/>
  <c r="F84" i="6"/>
  <c r="H84" i="6"/>
  <c r="I84" i="6"/>
  <c r="N84" i="6"/>
  <c r="Q84" i="6"/>
  <c r="S84" i="6" s="1"/>
  <c r="R84" i="6"/>
  <c r="T84" i="6"/>
  <c r="C85" i="6"/>
  <c r="D85" i="6"/>
  <c r="E85" i="6"/>
  <c r="F85" i="6"/>
  <c r="H85" i="6"/>
  <c r="I85" i="6"/>
  <c r="N85" i="6"/>
  <c r="Q85" i="6"/>
  <c r="S85" i="6" s="1"/>
  <c r="R85" i="6"/>
  <c r="T85" i="6"/>
  <c r="C86" i="6"/>
  <c r="L86" i="6" s="1"/>
  <c r="D86" i="6"/>
  <c r="E86" i="6"/>
  <c r="F86" i="6"/>
  <c r="H86" i="6"/>
  <c r="I86" i="6"/>
  <c r="N86" i="6"/>
  <c r="Q86" i="6"/>
  <c r="S86" i="6" s="1"/>
  <c r="R86" i="6"/>
  <c r="T86" i="6"/>
  <c r="C87" i="6"/>
  <c r="D87" i="6"/>
  <c r="E87" i="6"/>
  <c r="F87" i="6"/>
  <c r="H87" i="6"/>
  <c r="I87" i="6"/>
  <c r="N87" i="6"/>
  <c r="Q87" i="6"/>
  <c r="R87" i="6"/>
  <c r="S87" i="6"/>
  <c r="T87" i="6"/>
  <c r="C88" i="6"/>
  <c r="D88" i="6"/>
  <c r="E88" i="6"/>
  <c r="F88" i="6"/>
  <c r="H88" i="6"/>
  <c r="I88" i="6"/>
  <c r="L88" i="6"/>
  <c r="N88" i="6"/>
  <c r="Q88" i="6"/>
  <c r="S88" i="6" s="1"/>
  <c r="R88" i="6"/>
  <c r="T88" i="6"/>
  <c r="C89" i="6"/>
  <c r="D89" i="6"/>
  <c r="E89" i="6"/>
  <c r="F89" i="6"/>
  <c r="H89" i="6"/>
  <c r="I89" i="6"/>
  <c r="N89" i="6"/>
  <c r="Q89" i="6"/>
  <c r="S89" i="6" s="1"/>
  <c r="R89" i="6"/>
  <c r="T89" i="6"/>
  <c r="C90" i="6"/>
  <c r="L90" i="6" s="1"/>
  <c r="D90" i="6"/>
  <c r="E90" i="6"/>
  <c r="F90" i="6"/>
  <c r="H90" i="6"/>
  <c r="I90" i="6"/>
  <c r="N90" i="6"/>
  <c r="Q90" i="6"/>
  <c r="S90" i="6" s="1"/>
  <c r="R90" i="6"/>
  <c r="T90" i="6"/>
  <c r="C91" i="6"/>
  <c r="D91" i="6"/>
  <c r="E91" i="6"/>
  <c r="F91" i="6"/>
  <c r="H91" i="6"/>
  <c r="I91" i="6"/>
  <c r="N91" i="6"/>
  <c r="R91" i="6"/>
  <c r="Q91" i="6" s="1"/>
  <c r="S91" i="6" s="1"/>
  <c r="T91" i="6"/>
  <c r="C92" i="6"/>
  <c r="D92" i="6"/>
  <c r="E92" i="6"/>
  <c r="F92" i="6"/>
  <c r="H92" i="6"/>
  <c r="I92" i="6"/>
  <c r="N92" i="6"/>
  <c r="Q92" i="6"/>
  <c r="S92" i="6" s="1"/>
  <c r="R92" i="6"/>
  <c r="T92" i="6"/>
  <c r="C93" i="6"/>
  <c r="D93" i="6"/>
  <c r="E93" i="6"/>
  <c r="F93" i="6"/>
  <c r="H93" i="6"/>
  <c r="I93" i="6"/>
  <c r="N93" i="6"/>
  <c r="R93" i="6"/>
  <c r="Q93" i="6" s="1"/>
  <c r="S93" i="6" s="1"/>
  <c r="T93" i="6"/>
  <c r="C94" i="6"/>
  <c r="L94" i="6" s="1"/>
  <c r="D94" i="6"/>
  <c r="E94" i="6"/>
  <c r="F94" i="6"/>
  <c r="H94" i="6"/>
  <c r="I94" i="6"/>
  <c r="N94" i="6"/>
  <c r="Q94" i="6"/>
  <c r="S94" i="6" s="1"/>
  <c r="R94" i="6"/>
  <c r="T94" i="6"/>
  <c r="C95" i="6"/>
  <c r="D95" i="6"/>
  <c r="E95" i="6"/>
  <c r="F95" i="6"/>
  <c r="H95" i="6"/>
  <c r="I95" i="6"/>
  <c r="N95" i="6"/>
  <c r="Q95" i="6"/>
  <c r="R95" i="6"/>
  <c r="S95" i="6"/>
  <c r="T95" i="6"/>
  <c r="C96" i="6"/>
  <c r="D96" i="6"/>
  <c r="E96" i="6"/>
  <c r="F96" i="6"/>
  <c r="H96" i="6"/>
  <c r="I96" i="6"/>
  <c r="L96" i="6"/>
  <c r="N96" i="6"/>
  <c r="Q96" i="6"/>
  <c r="S96" i="6" s="1"/>
  <c r="R96" i="6"/>
  <c r="T96" i="6"/>
  <c r="C97" i="6"/>
  <c r="D97" i="6"/>
  <c r="E97" i="6"/>
  <c r="F97" i="6"/>
  <c r="H97" i="6"/>
  <c r="I97" i="6"/>
  <c r="N97" i="6"/>
  <c r="Q97" i="6"/>
  <c r="R97" i="6"/>
  <c r="S97" i="6"/>
  <c r="T97" i="6"/>
  <c r="C98" i="6"/>
  <c r="L98" i="6" s="1"/>
  <c r="D98" i="6"/>
  <c r="E98" i="6"/>
  <c r="F98" i="6"/>
  <c r="H98" i="6"/>
  <c r="I98" i="6"/>
  <c r="N98" i="6"/>
  <c r="Q98" i="6"/>
  <c r="S98" i="6" s="1"/>
  <c r="R98" i="6"/>
  <c r="T98" i="6"/>
  <c r="C99" i="6"/>
  <c r="L99" i="6" s="1"/>
  <c r="D99" i="6"/>
  <c r="E99" i="6"/>
  <c r="F99" i="6"/>
  <c r="H99" i="6"/>
  <c r="I99" i="6"/>
  <c r="N99" i="6"/>
  <c r="R99" i="6"/>
  <c r="Q99" i="6" s="1"/>
  <c r="S99" i="6"/>
  <c r="T99" i="6"/>
  <c r="C100" i="6"/>
  <c r="L100" i="6" s="1"/>
  <c r="D100" i="6"/>
  <c r="E100" i="6"/>
  <c r="F100" i="6"/>
  <c r="H100" i="6"/>
  <c r="I100" i="6"/>
  <c r="N100" i="6"/>
  <c r="Q100" i="6"/>
  <c r="S100" i="6" s="1"/>
  <c r="R100" i="6"/>
  <c r="T100" i="6"/>
  <c r="C101" i="6"/>
  <c r="L101" i="6" s="1"/>
  <c r="D101" i="6"/>
  <c r="E101" i="6"/>
  <c r="F101" i="6"/>
  <c r="H101" i="6"/>
  <c r="I101" i="6"/>
  <c r="N101" i="6"/>
  <c r="Q101" i="6"/>
  <c r="S101" i="6" s="1"/>
  <c r="R101" i="6"/>
  <c r="T101" i="6"/>
  <c r="C102" i="6"/>
  <c r="D102" i="6"/>
  <c r="E102" i="6"/>
  <c r="F102" i="6"/>
  <c r="H102" i="6"/>
  <c r="I102" i="6"/>
  <c r="N102" i="6"/>
  <c r="Q102" i="6"/>
  <c r="S102" i="6" s="1"/>
  <c r="R102" i="6"/>
  <c r="T102" i="6"/>
  <c r="C103" i="6"/>
  <c r="D103" i="6"/>
  <c r="E103" i="6"/>
  <c r="F103" i="6"/>
  <c r="H103" i="6"/>
  <c r="I103" i="6"/>
  <c r="N103" i="6"/>
  <c r="Q103" i="6"/>
  <c r="R103" i="6"/>
  <c r="S103" i="6"/>
  <c r="T103" i="6"/>
  <c r="C104" i="6"/>
  <c r="D104" i="6"/>
  <c r="E104" i="6"/>
  <c r="F104" i="6"/>
  <c r="H104" i="6"/>
  <c r="I104" i="6"/>
  <c r="L104" i="6"/>
  <c r="N104" i="6"/>
  <c r="Q104" i="6"/>
  <c r="S104" i="6" s="1"/>
  <c r="R104" i="6"/>
  <c r="T104" i="6"/>
  <c r="C105" i="6"/>
  <c r="D105" i="6"/>
  <c r="E105" i="6"/>
  <c r="F105" i="6"/>
  <c r="H105" i="6"/>
  <c r="I105" i="6"/>
  <c r="N105" i="6"/>
  <c r="Q105" i="6"/>
  <c r="R105" i="6"/>
  <c r="S105" i="6"/>
  <c r="T105" i="6"/>
  <c r="C106" i="6"/>
  <c r="L106" i="6" s="1"/>
  <c r="D106" i="6"/>
  <c r="E106" i="6"/>
  <c r="F106" i="6"/>
  <c r="H106" i="6"/>
  <c r="I106" i="6"/>
  <c r="N106" i="6"/>
  <c r="Q106" i="6"/>
  <c r="S106" i="6" s="1"/>
  <c r="R106" i="6"/>
  <c r="T106" i="6"/>
  <c r="C107" i="6"/>
  <c r="L107" i="6" s="1"/>
  <c r="D107" i="6"/>
  <c r="E107" i="6"/>
  <c r="F107" i="6"/>
  <c r="H107" i="6"/>
  <c r="I107" i="6"/>
  <c r="N107" i="6"/>
  <c r="R107" i="6"/>
  <c r="Q107" i="6" s="1"/>
  <c r="S107" i="6" s="1"/>
  <c r="T107" i="6"/>
  <c r="C108" i="6"/>
  <c r="D108" i="6"/>
  <c r="E108" i="6"/>
  <c r="F108" i="6"/>
  <c r="H108" i="6"/>
  <c r="I108" i="6"/>
  <c r="L108" i="6" s="1"/>
  <c r="N108" i="6"/>
  <c r="Q108" i="6"/>
  <c r="S108" i="6" s="1"/>
  <c r="R108" i="6"/>
  <c r="T108" i="6"/>
  <c r="C109" i="6"/>
  <c r="D109" i="6"/>
  <c r="E109" i="6"/>
  <c r="F109" i="6"/>
  <c r="H109" i="6"/>
  <c r="I109" i="6"/>
  <c r="N109" i="6"/>
  <c r="R109" i="6"/>
  <c r="Q109" i="6" s="1"/>
  <c r="S109" i="6" s="1"/>
  <c r="T109" i="6"/>
  <c r="C110" i="6"/>
  <c r="L110" i="6" s="1"/>
  <c r="D110" i="6"/>
  <c r="E110" i="6"/>
  <c r="F110" i="6"/>
  <c r="H110" i="6"/>
  <c r="I110" i="6"/>
  <c r="N110" i="6"/>
  <c r="Q110" i="6"/>
  <c r="S110" i="6" s="1"/>
  <c r="R110" i="6"/>
  <c r="T110" i="6"/>
  <c r="C111" i="6"/>
  <c r="D111" i="6"/>
  <c r="E111" i="6"/>
  <c r="F111" i="6"/>
  <c r="H111" i="6"/>
  <c r="I111" i="6"/>
  <c r="N111" i="6"/>
  <c r="Q111" i="6"/>
  <c r="S111" i="6" s="1"/>
  <c r="R111" i="6"/>
  <c r="T111" i="6"/>
  <c r="C112" i="6"/>
  <c r="D112" i="6"/>
  <c r="E112" i="6"/>
  <c r="F112" i="6"/>
  <c r="H112" i="6"/>
  <c r="L112" i="6" s="1"/>
  <c r="I112" i="6"/>
  <c r="N112" i="6"/>
  <c r="Q112" i="6"/>
  <c r="S112" i="6" s="1"/>
  <c r="R112" i="6"/>
  <c r="T112" i="6"/>
  <c r="C113" i="6"/>
  <c r="D113" i="6"/>
  <c r="E113" i="6"/>
  <c r="F113" i="6"/>
  <c r="H113" i="6"/>
  <c r="I113" i="6"/>
  <c r="L113" i="6"/>
  <c r="N113" i="6"/>
  <c r="R113" i="6"/>
  <c r="Q113" i="6" s="1"/>
  <c r="S113" i="6" s="1"/>
  <c r="T113" i="6"/>
  <c r="C114" i="6"/>
  <c r="D114" i="6"/>
  <c r="E114" i="6"/>
  <c r="F114" i="6"/>
  <c r="H114" i="6"/>
  <c r="I114" i="6"/>
  <c r="N114" i="6"/>
  <c r="Q114" i="6"/>
  <c r="S114" i="6" s="1"/>
  <c r="R114" i="6"/>
  <c r="T114" i="6"/>
  <c r="C115" i="6"/>
  <c r="D115" i="6"/>
  <c r="L115" i="6" s="1"/>
  <c r="E115" i="6"/>
  <c r="F115" i="6"/>
  <c r="H115" i="6"/>
  <c r="I115" i="6"/>
  <c r="N115" i="6"/>
  <c r="R115" i="6"/>
  <c r="Q115" i="6" s="1"/>
  <c r="S115" i="6" s="1"/>
  <c r="T115" i="6"/>
  <c r="C116" i="6"/>
  <c r="D116" i="6"/>
  <c r="E116" i="6"/>
  <c r="F116" i="6"/>
  <c r="H116" i="6"/>
  <c r="I116" i="6"/>
  <c r="N116" i="6"/>
  <c r="Q116" i="6"/>
  <c r="R116" i="6"/>
  <c r="S116" i="6"/>
  <c r="T116" i="6"/>
  <c r="C117" i="6"/>
  <c r="D117" i="6"/>
  <c r="E117" i="6"/>
  <c r="F117" i="6"/>
  <c r="H117" i="6"/>
  <c r="I117" i="6"/>
  <c r="L117" i="6"/>
  <c r="N117" i="6"/>
  <c r="R117" i="6"/>
  <c r="Q117" i="6" s="1"/>
  <c r="S117" i="6" s="1"/>
  <c r="T117" i="6"/>
  <c r="C118" i="6"/>
  <c r="L118" i="6" s="1"/>
  <c r="D118" i="6"/>
  <c r="E118" i="6"/>
  <c r="F118" i="6"/>
  <c r="H118" i="6"/>
  <c r="I118" i="6"/>
  <c r="N118" i="6"/>
  <c r="Q118" i="6"/>
  <c r="S118" i="6" s="1"/>
  <c r="R118" i="6"/>
  <c r="T118" i="6"/>
  <c r="C119" i="6"/>
  <c r="D119" i="6"/>
  <c r="L119" i="6" s="1"/>
  <c r="E119" i="6"/>
  <c r="F119" i="6"/>
  <c r="H119" i="6"/>
  <c r="I119" i="6"/>
  <c r="N119" i="6"/>
  <c r="R119" i="6"/>
  <c r="Q119" i="6" s="1"/>
  <c r="S119" i="6" s="1"/>
  <c r="T119" i="6"/>
  <c r="C120" i="6"/>
  <c r="D120" i="6"/>
  <c r="E120" i="6"/>
  <c r="F120" i="6"/>
  <c r="H120" i="6"/>
  <c r="I120" i="6"/>
  <c r="N120" i="6"/>
  <c r="Q120" i="6"/>
  <c r="S120" i="6" s="1"/>
  <c r="R120" i="6"/>
  <c r="T120" i="6"/>
  <c r="C121" i="6"/>
  <c r="D121" i="6"/>
  <c r="E121" i="6"/>
  <c r="F121" i="6"/>
  <c r="H121" i="6"/>
  <c r="L121" i="6" s="1"/>
  <c r="I121" i="6"/>
  <c r="N121" i="6"/>
  <c r="R121" i="6"/>
  <c r="Q121" i="6" s="1"/>
  <c r="S121" i="6" s="1"/>
  <c r="T121" i="6"/>
  <c r="C122" i="6"/>
  <c r="D122" i="6"/>
  <c r="E122" i="6"/>
  <c r="F122" i="6"/>
  <c r="H122" i="6"/>
  <c r="I122" i="6"/>
  <c r="N122" i="6"/>
  <c r="Q122" i="6"/>
  <c r="R122" i="6"/>
  <c r="S122" i="6"/>
  <c r="T122" i="6"/>
  <c r="C123" i="6"/>
  <c r="D123" i="6"/>
  <c r="E123" i="6"/>
  <c r="F123" i="6"/>
  <c r="H123" i="6"/>
  <c r="I123" i="6"/>
  <c r="N123" i="6"/>
  <c r="R123" i="6"/>
  <c r="Q123" i="6" s="1"/>
  <c r="S123" i="6" s="1"/>
  <c r="T123" i="6"/>
  <c r="C124" i="6"/>
  <c r="D124" i="6"/>
  <c r="E124" i="6"/>
  <c r="F124" i="6"/>
  <c r="H124" i="6"/>
  <c r="I124" i="6"/>
  <c r="N124" i="6"/>
  <c r="Q124" i="6"/>
  <c r="R124" i="6"/>
  <c r="S124" i="6"/>
  <c r="T124" i="6"/>
  <c r="C125" i="6"/>
  <c r="D125" i="6"/>
  <c r="E125" i="6"/>
  <c r="F125" i="6"/>
  <c r="L125" i="6" s="1"/>
  <c r="H125" i="6"/>
  <c r="I125" i="6"/>
  <c r="N125" i="6"/>
  <c r="R125" i="6"/>
  <c r="Q125" i="6" s="1"/>
  <c r="S125" i="6" s="1"/>
  <c r="T125" i="6"/>
  <c r="C126" i="6"/>
  <c r="L126" i="6" s="1"/>
  <c r="D126" i="6"/>
  <c r="E126" i="6"/>
  <c r="F126" i="6"/>
  <c r="H126" i="6"/>
  <c r="I126" i="6"/>
  <c r="N126" i="6"/>
  <c r="Q126" i="6"/>
  <c r="R126" i="6"/>
  <c r="S126" i="6"/>
  <c r="T126" i="6"/>
  <c r="C127" i="6"/>
  <c r="D127" i="6"/>
  <c r="E127" i="6"/>
  <c r="F127" i="6"/>
  <c r="H127" i="6"/>
  <c r="I127" i="6"/>
  <c r="L127" i="6"/>
  <c r="N127" i="6"/>
  <c r="R127" i="6"/>
  <c r="Q127" i="6" s="1"/>
  <c r="S127" i="6" s="1"/>
  <c r="T127" i="6"/>
  <c r="C128" i="6"/>
  <c r="D128" i="6"/>
  <c r="E128" i="6"/>
  <c r="F128" i="6"/>
  <c r="H128" i="6"/>
  <c r="I128" i="6"/>
  <c r="N128" i="6"/>
  <c r="Q128" i="6"/>
  <c r="S128" i="6" s="1"/>
  <c r="R128" i="6"/>
  <c r="T128" i="6"/>
  <c r="C129" i="6"/>
  <c r="D129" i="6"/>
  <c r="E129" i="6"/>
  <c r="F129" i="6"/>
  <c r="H129" i="6"/>
  <c r="I129" i="6"/>
  <c r="N129" i="6"/>
  <c r="R129" i="6"/>
  <c r="Q129" i="6" s="1"/>
  <c r="S129" i="6" s="1"/>
  <c r="T129" i="6"/>
  <c r="C130" i="6"/>
  <c r="D130" i="6"/>
  <c r="E130" i="6"/>
  <c r="F130" i="6"/>
  <c r="H130" i="6"/>
  <c r="I130" i="6"/>
  <c r="N130" i="6"/>
  <c r="Q130" i="6"/>
  <c r="S130" i="6" s="1"/>
  <c r="R130" i="6"/>
  <c r="T130" i="6"/>
  <c r="C131" i="6"/>
  <c r="D131" i="6"/>
  <c r="L131" i="6" s="1"/>
  <c r="E131" i="6"/>
  <c r="F131" i="6"/>
  <c r="H131" i="6"/>
  <c r="I131" i="6"/>
  <c r="N131" i="6"/>
  <c r="R131" i="6"/>
  <c r="Q131" i="6" s="1"/>
  <c r="S131" i="6" s="1"/>
  <c r="T131" i="6"/>
  <c r="C132" i="6"/>
  <c r="D132" i="6"/>
  <c r="E132" i="6"/>
  <c r="F132" i="6"/>
  <c r="H132" i="6"/>
  <c r="I132" i="6"/>
  <c r="I1067" i="6" s="1"/>
  <c r="N132" i="6"/>
  <c r="Q132" i="6"/>
  <c r="S132" i="6" s="1"/>
  <c r="R132" i="6"/>
  <c r="T132" i="6"/>
  <c r="C133" i="6"/>
  <c r="D133" i="6"/>
  <c r="E133" i="6"/>
  <c r="F133" i="6"/>
  <c r="H133" i="6"/>
  <c r="L133" i="6" s="1"/>
  <c r="I133" i="6"/>
  <c r="N133" i="6"/>
  <c r="R133" i="6"/>
  <c r="Q133" i="6" s="1"/>
  <c r="S133" i="6" s="1"/>
  <c r="T133" i="6"/>
  <c r="C134" i="6"/>
  <c r="D134" i="6"/>
  <c r="E134" i="6"/>
  <c r="E1067" i="6" s="1"/>
  <c r="F134" i="6"/>
  <c r="H134" i="6"/>
  <c r="I134" i="6"/>
  <c r="N134" i="6"/>
  <c r="Q134" i="6"/>
  <c r="S134" i="6" s="1"/>
  <c r="R134" i="6"/>
  <c r="T134" i="6"/>
  <c r="C135" i="6"/>
  <c r="D135" i="6"/>
  <c r="L135" i="6" s="1"/>
  <c r="E135" i="6"/>
  <c r="F135" i="6"/>
  <c r="H135" i="6"/>
  <c r="I135" i="6"/>
  <c r="N135" i="6"/>
  <c r="R135" i="6"/>
  <c r="Q135" i="6" s="1"/>
  <c r="S135" i="6" s="1"/>
  <c r="T135" i="6"/>
  <c r="C136" i="6"/>
  <c r="L136" i="6" s="1"/>
  <c r="D136" i="6"/>
  <c r="E136" i="6"/>
  <c r="F136" i="6"/>
  <c r="H136" i="6"/>
  <c r="I136" i="6"/>
  <c r="N136" i="6"/>
  <c r="Q136" i="6"/>
  <c r="R136" i="6"/>
  <c r="T136" i="6"/>
  <c r="C137" i="6"/>
  <c r="D137" i="6"/>
  <c r="E137" i="6"/>
  <c r="F137" i="6"/>
  <c r="H137" i="6"/>
  <c r="L137" i="6" s="1"/>
  <c r="I137" i="6"/>
  <c r="N137" i="6"/>
  <c r="R137" i="6"/>
  <c r="Q137" i="6" s="1"/>
  <c r="S137" i="6" s="1"/>
  <c r="T137" i="6"/>
  <c r="C138" i="6"/>
  <c r="D138" i="6"/>
  <c r="E138" i="6"/>
  <c r="F138" i="6"/>
  <c r="H138" i="6"/>
  <c r="I138" i="6"/>
  <c r="N138" i="6"/>
  <c r="Q138" i="6"/>
  <c r="R138" i="6"/>
  <c r="S138" i="6"/>
  <c r="T138" i="6"/>
  <c r="C139" i="6"/>
  <c r="D139" i="6"/>
  <c r="L139" i="6" s="1"/>
  <c r="E139" i="6"/>
  <c r="F139" i="6"/>
  <c r="H139" i="6"/>
  <c r="I139" i="6"/>
  <c r="N139" i="6"/>
  <c r="R139" i="6"/>
  <c r="Q139" i="6" s="1"/>
  <c r="S139" i="6" s="1"/>
  <c r="T139" i="6"/>
  <c r="C140" i="6"/>
  <c r="D140" i="6"/>
  <c r="E140" i="6"/>
  <c r="F140" i="6"/>
  <c r="H140" i="6"/>
  <c r="I140" i="6"/>
  <c r="N140" i="6"/>
  <c r="Q140" i="6"/>
  <c r="R140" i="6"/>
  <c r="S140" i="6"/>
  <c r="T140" i="6"/>
  <c r="C141" i="6"/>
  <c r="D141" i="6"/>
  <c r="E141" i="6"/>
  <c r="F141" i="6"/>
  <c r="H141" i="6"/>
  <c r="I141" i="6"/>
  <c r="L141" i="6"/>
  <c r="N141" i="6"/>
  <c r="R141" i="6"/>
  <c r="Q141" i="6" s="1"/>
  <c r="S141" i="6" s="1"/>
  <c r="T141" i="6"/>
  <c r="C142" i="6"/>
  <c r="L142" i="6" s="1"/>
  <c r="D142" i="6"/>
  <c r="E142" i="6"/>
  <c r="F142" i="6"/>
  <c r="H142" i="6"/>
  <c r="I142" i="6"/>
  <c r="N142" i="6"/>
  <c r="Q142" i="6"/>
  <c r="R142" i="6"/>
  <c r="S142" i="6"/>
  <c r="T142" i="6"/>
  <c r="C143" i="6"/>
  <c r="D143" i="6"/>
  <c r="L143" i="6" s="1"/>
  <c r="E143" i="6"/>
  <c r="F143" i="6"/>
  <c r="H143" i="6"/>
  <c r="I143" i="6"/>
  <c r="N143" i="6"/>
  <c r="R143" i="6"/>
  <c r="Q143" i="6" s="1"/>
  <c r="S143" i="6" s="1"/>
  <c r="T143" i="6"/>
  <c r="C144" i="6"/>
  <c r="D144" i="6"/>
  <c r="E144" i="6"/>
  <c r="F144" i="6"/>
  <c r="F1068" i="6" s="1"/>
  <c r="H144" i="6"/>
  <c r="I144" i="6"/>
  <c r="N144" i="6"/>
  <c r="Q144" i="6"/>
  <c r="R144" i="6"/>
  <c r="T144" i="6"/>
  <c r="C145" i="6"/>
  <c r="D145" i="6"/>
  <c r="E145" i="6"/>
  <c r="F145" i="6"/>
  <c r="H145" i="6"/>
  <c r="I145" i="6"/>
  <c r="N145" i="6"/>
  <c r="R145" i="6"/>
  <c r="Q145" i="6" s="1"/>
  <c r="S145" i="6" s="1"/>
  <c r="T145" i="6"/>
  <c r="C146" i="6"/>
  <c r="D146" i="6"/>
  <c r="E146" i="6"/>
  <c r="F146" i="6"/>
  <c r="H146" i="6"/>
  <c r="I146" i="6"/>
  <c r="N146" i="6"/>
  <c r="Q146" i="6"/>
  <c r="S146" i="6" s="1"/>
  <c r="R146" i="6"/>
  <c r="T146" i="6"/>
  <c r="C147" i="6"/>
  <c r="D147" i="6"/>
  <c r="E147" i="6"/>
  <c r="F147" i="6"/>
  <c r="H147" i="6"/>
  <c r="I147" i="6"/>
  <c r="N147" i="6"/>
  <c r="R147" i="6"/>
  <c r="Q147" i="6" s="1"/>
  <c r="S147" i="6" s="1"/>
  <c r="T147" i="6"/>
  <c r="C148" i="6"/>
  <c r="D148" i="6"/>
  <c r="E148" i="6"/>
  <c r="F148" i="6"/>
  <c r="H148" i="6"/>
  <c r="I148" i="6"/>
  <c r="N148" i="6"/>
  <c r="Q148" i="6"/>
  <c r="R148" i="6"/>
  <c r="S148" i="6"/>
  <c r="T148" i="6"/>
  <c r="C149" i="6"/>
  <c r="D149" i="6"/>
  <c r="E149" i="6"/>
  <c r="F149" i="6"/>
  <c r="H149" i="6"/>
  <c r="I149" i="6"/>
  <c r="N149" i="6"/>
  <c r="R149" i="6"/>
  <c r="Q149" i="6" s="1"/>
  <c r="S149" i="6"/>
  <c r="T149" i="6"/>
  <c r="C150" i="6"/>
  <c r="D150" i="6"/>
  <c r="E150" i="6"/>
  <c r="F150" i="6"/>
  <c r="H150" i="6"/>
  <c r="I150" i="6"/>
  <c r="N150" i="6"/>
  <c r="Q150" i="6"/>
  <c r="R150" i="6"/>
  <c r="T150" i="6"/>
  <c r="C151" i="6"/>
  <c r="D151" i="6"/>
  <c r="E151" i="6"/>
  <c r="F151" i="6"/>
  <c r="H151" i="6"/>
  <c r="I151" i="6"/>
  <c r="N151" i="6"/>
  <c r="R151" i="6"/>
  <c r="Q151" i="6" s="1"/>
  <c r="S151" i="6" s="1"/>
  <c r="T151" i="6"/>
  <c r="C152" i="6"/>
  <c r="D152" i="6"/>
  <c r="E152" i="6"/>
  <c r="F152" i="6"/>
  <c r="L152" i="6" s="1"/>
  <c r="H152" i="6"/>
  <c r="I152" i="6"/>
  <c r="N152" i="6"/>
  <c r="Q152" i="6"/>
  <c r="R152" i="6"/>
  <c r="S152" i="6"/>
  <c r="T152" i="6"/>
  <c r="C153" i="6"/>
  <c r="D153" i="6"/>
  <c r="E153" i="6"/>
  <c r="F153" i="6"/>
  <c r="H153" i="6"/>
  <c r="I153" i="6"/>
  <c r="N153" i="6"/>
  <c r="R153" i="6"/>
  <c r="Q153" i="6" s="1"/>
  <c r="S153" i="6" s="1"/>
  <c r="T153" i="6"/>
  <c r="C154" i="6"/>
  <c r="D154" i="6"/>
  <c r="E154" i="6"/>
  <c r="L154" i="6" s="1"/>
  <c r="F154" i="6"/>
  <c r="H154" i="6"/>
  <c r="I154" i="6"/>
  <c r="N154" i="6"/>
  <c r="Q154" i="6"/>
  <c r="R154" i="6"/>
  <c r="S154" i="6"/>
  <c r="T154" i="6"/>
  <c r="C155" i="6"/>
  <c r="D155" i="6"/>
  <c r="E155" i="6"/>
  <c r="F155" i="6"/>
  <c r="H155" i="6"/>
  <c r="I155" i="6"/>
  <c r="L155" i="6"/>
  <c r="N155" i="6"/>
  <c r="R155" i="6"/>
  <c r="Q155" i="6" s="1"/>
  <c r="S155" i="6"/>
  <c r="T155" i="6"/>
  <c r="C156" i="6"/>
  <c r="D156" i="6"/>
  <c r="E156" i="6"/>
  <c r="F156" i="6"/>
  <c r="H156" i="6"/>
  <c r="I156" i="6"/>
  <c r="N156" i="6"/>
  <c r="Q156" i="6"/>
  <c r="S156" i="6" s="1"/>
  <c r="R156" i="6"/>
  <c r="T156" i="6"/>
  <c r="C157" i="6"/>
  <c r="D157" i="6"/>
  <c r="E157" i="6"/>
  <c r="F157" i="6"/>
  <c r="H157" i="6"/>
  <c r="I157" i="6"/>
  <c r="N157" i="6"/>
  <c r="R157" i="6"/>
  <c r="Q157" i="6" s="1"/>
  <c r="S157" i="6"/>
  <c r="S1069" i="6" s="1"/>
  <c r="T157" i="6"/>
  <c r="T1069" i="6" s="1"/>
  <c r="C158" i="6"/>
  <c r="D158" i="6"/>
  <c r="E158" i="6"/>
  <c r="F158" i="6"/>
  <c r="H158" i="6"/>
  <c r="I158" i="6"/>
  <c r="L158" i="6"/>
  <c r="N158" i="6"/>
  <c r="N1069" i="6" s="1"/>
  <c r="Q158" i="6"/>
  <c r="R158" i="6"/>
  <c r="S158" i="6"/>
  <c r="T158" i="6"/>
  <c r="C159" i="6"/>
  <c r="D159" i="6"/>
  <c r="E159" i="6"/>
  <c r="F159" i="6"/>
  <c r="H159" i="6"/>
  <c r="I159" i="6"/>
  <c r="N159" i="6"/>
  <c r="R159" i="6"/>
  <c r="Q159" i="6" s="1"/>
  <c r="S159" i="6" s="1"/>
  <c r="T159" i="6"/>
  <c r="C160" i="6"/>
  <c r="L160" i="6" s="1"/>
  <c r="D160" i="6"/>
  <c r="E160" i="6"/>
  <c r="F160" i="6"/>
  <c r="H160" i="6"/>
  <c r="I160" i="6"/>
  <c r="N160" i="6"/>
  <c r="Q160" i="6"/>
  <c r="S160" i="6" s="1"/>
  <c r="R160" i="6"/>
  <c r="T160" i="6"/>
  <c r="C161" i="6"/>
  <c r="D161" i="6"/>
  <c r="L161" i="6" s="1"/>
  <c r="E161" i="6"/>
  <c r="F161" i="6"/>
  <c r="H161" i="6"/>
  <c r="I161" i="6"/>
  <c r="N161" i="6"/>
  <c r="R161" i="6"/>
  <c r="Q161" i="6" s="1"/>
  <c r="S161" i="6"/>
  <c r="T161" i="6"/>
  <c r="C162" i="6"/>
  <c r="L162" i="6" s="1"/>
  <c r="D162" i="6"/>
  <c r="E162" i="6"/>
  <c r="F162" i="6"/>
  <c r="H162" i="6"/>
  <c r="I162" i="6"/>
  <c r="N162" i="6"/>
  <c r="Q162" i="6"/>
  <c r="S162" i="6" s="1"/>
  <c r="R162" i="6"/>
  <c r="T162" i="6"/>
  <c r="C163" i="6"/>
  <c r="D163" i="6"/>
  <c r="E163" i="6"/>
  <c r="L163" i="6" s="1"/>
  <c r="F163" i="6"/>
  <c r="H163" i="6"/>
  <c r="I163" i="6"/>
  <c r="N163" i="6"/>
  <c r="R163" i="6"/>
  <c r="Q163" i="6" s="1"/>
  <c r="S163" i="6" s="1"/>
  <c r="T163" i="6"/>
  <c r="C164" i="6"/>
  <c r="D164" i="6"/>
  <c r="E164" i="6"/>
  <c r="F164" i="6"/>
  <c r="H164" i="6"/>
  <c r="I164" i="6"/>
  <c r="N164" i="6"/>
  <c r="Q164" i="6"/>
  <c r="R164" i="6"/>
  <c r="S164" i="6"/>
  <c r="T164" i="6"/>
  <c r="C165" i="6"/>
  <c r="D165" i="6"/>
  <c r="E165" i="6"/>
  <c r="F165" i="6"/>
  <c r="H165" i="6"/>
  <c r="I165" i="6"/>
  <c r="L165" i="6"/>
  <c r="N165" i="6"/>
  <c r="R165" i="6"/>
  <c r="Q165" i="6" s="1"/>
  <c r="S165" i="6"/>
  <c r="T165" i="6"/>
  <c r="C166" i="6"/>
  <c r="D166" i="6"/>
  <c r="E166" i="6"/>
  <c r="F166" i="6"/>
  <c r="H166" i="6"/>
  <c r="I166" i="6"/>
  <c r="N166" i="6"/>
  <c r="Q166" i="6"/>
  <c r="S166" i="6" s="1"/>
  <c r="R166" i="6"/>
  <c r="T166" i="6"/>
  <c r="C167" i="6"/>
  <c r="D167" i="6"/>
  <c r="E167" i="6"/>
  <c r="F167" i="6"/>
  <c r="H167" i="6"/>
  <c r="L167" i="6" s="1"/>
  <c r="I167" i="6"/>
  <c r="N167" i="6"/>
  <c r="R167" i="6"/>
  <c r="Q167" i="6" s="1"/>
  <c r="S167" i="6" s="1"/>
  <c r="T167" i="6"/>
  <c r="C168" i="6"/>
  <c r="D168" i="6"/>
  <c r="E168" i="6"/>
  <c r="F168" i="6"/>
  <c r="H168" i="6"/>
  <c r="I168" i="6"/>
  <c r="N168" i="6"/>
  <c r="Q168" i="6"/>
  <c r="R168" i="6"/>
  <c r="S168" i="6"/>
  <c r="T168" i="6"/>
  <c r="C169" i="6"/>
  <c r="D169" i="6"/>
  <c r="E169" i="6"/>
  <c r="F169" i="6"/>
  <c r="H169" i="6"/>
  <c r="I169" i="6"/>
  <c r="N169" i="6"/>
  <c r="R169" i="6"/>
  <c r="Q169" i="6" s="1"/>
  <c r="S169" i="6"/>
  <c r="T169" i="6"/>
  <c r="C170" i="6"/>
  <c r="L170" i="6" s="1"/>
  <c r="D170" i="6"/>
  <c r="E170" i="6"/>
  <c r="F170" i="6"/>
  <c r="H170" i="6"/>
  <c r="I170" i="6"/>
  <c r="N170" i="6"/>
  <c r="Q170" i="6"/>
  <c r="S170" i="6" s="1"/>
  <c r="R170" i="6"/>
  <c r="T170" i="6"/>
  <c r="C171" i="6"/>
  <c r="D171" i="6"/>
  <c r="L171" i="6" s="1"/>
  <c r="E171" i="6"/>
  <c r="F171" i="6"/>
  <c r="H171" i="6"/>
  <c r="I171" i="6"/>
  <c r="N171" i="6"/>
  <c r="R171" i="6"/>
  <c r="Q171" i="6" s="1"/>
  <c r="S171" i="6"/>
  <c r="T171" i="6"/>
  <c r="C172" i="6"/>
  <c r="D172" i="6"/>
  <c r="E172" i="6"/>
  <c r="F172" i="6"/>
  <c r="H172" i="6"/>
  <c r="I172" i="6"/>
  <c r="L172" i="6"/>
  <c r="N172" i="6"/>
  <c r="Q172" i="6"/>
  <c r="S172" i="6" s="1"/>
  <c r="R172" i="6"/>
  <c r="T172" i="6"/>
  <c r="C173" i="6"/>
  <c r="D173" i="6"/>
  <c r="E173" i="6"/>
  <c r="F173" i="6"/>
  <c r="H173" i="6"/>
  <c r="I173" i="6"/>
  <c r="N173" i="6"/>
  <c r="R173" i="6"/>
  <c r="Q173" i="6" s="1"/>
  <c r="S173" i="6"/>
  <c r="T173" i="6"/>
  <c r="C174" i="6"/>
  <c r="L174" i="6" s="1"/>
  <c r="D174" i="6"/>
  <c r="E174" i="6"/>
  <c r="F174" i="6"/>
  <c r="H174" i="6"/>
  <c r="I174" i="6"/>
  <c r="N174" i="6"/>
  <c r="Q174" i="6"/>
  <c r="R174" i="6"/>
  <c r="S174" i="6"/>
  <c r="T174" i="6"/>
  <c r="C175" i="6"/>
  <c r="D175" i="6"/>
  <c r="E175" i="6"/>
  <c r="F175" i="6"/>
  <c r="H175" i="6"/>
  <c r="I175" i="6"/>
  <c r="L175" i="6"/>
  <c r="N175" i="6"/>
  <c r="R175" i="6"/>
  <c r="Q175" i="6" s="1"/>
  <c r="S175" i="6" s="1"/>
  <c r="T175" i="6"/>
  <c r="C176" i="6"/>
  <c r="D176" i="6"/>
  <c r="E176" i="6"/>
  <c r="F176" i="6"/>
  <c r="F1070" i="6" s="1"/>
  <c r="H176" i="6"/>
  <c r="I176" i="6"/>
  <c r="N176" i="6"/>
  <c r="Q176" i="6"/>
  <c r="S176" i="6" s="1"/>
  <c r="R176" i="6"/>
  <c r="T176" i="6"/>
  <c r="C177" i="6"/>
  <c r="D177" i="6"/>
  <c r="E177" i="6"/>
  <c r="F177" i="6"/>
  <c r="H177" i="6"/>
  <c r="I177" i="6"/>
  <c r="N177" i="6"/>
  <c r="R177" i="6"/>
  <c r="Q177" i="6" s="1"/>
  <c r="S177" i="6"/>
  <c r="T177" i="6"/>
  <c r="C178" i="6"/>
  <c r="L178" i="6" s="1"/>
  <c r="D178" i="6"/>
  <c r="E178" i="6"/>
  <c r="F178" i="6"/>
  <c r="H178" i="6"/>
  <c r="I178" i="6"/>
  <c r="N178" i="6"/>
  <c r="Q178" i="6"/>
  <c r="S178" i="6" s="1"/>
  <c r="R178" i="6"/>
  <c r="T178" i="6"/>
  <c r="C179" i="6"/>
  <c r="D179" i="6"/>
  <c r="E179" i="6"/>
  <c r="F179" i="6"/>
  <c r="H179" i="6"/>
  <c r="L179" i="6" s="1"/>
  <c r="I179" i="6"/>
  <c r="N179" i="6"/>
  <c r="R179" i="6"/>
  <c r="Q179" i="6" s="1"/>
  <c r="S179" i="6" s="1"/>
  <c r="T179" i="6"/>
  <c r="C180" i="6"/>
  <c r="D180" i="6"/>
  <c r="E180" i="6"/>
  <c r="F180" i="6"/>
  <c r="H180" i="6"/>
  <c r="I180" i="6"/>
  <c r="N180" i="6"/>
  <c r="Q180" i="6"/>
  <c r="R180" i="6"/>
  <c r="S180" i="6"/>
  <c r="T180" i="6"/>
  <c r="C181" i="6"/>
  <c r="D181" i="6"/>
  <c r="L181" i="6" s="1"/>
  <c r="E181" i="6"/>
  <c r="F181" i="6"/>
  <c r="H181" i="6"/>
  <c r="I181" i="6"/>
  <c r="N181" i="6"/>
  <c r="R181" i="6"/>
  <c r="Q181" i="6" s="1"/>
  <c r="S181" i="6"/>
  <c r="T181" i="6"/>
  <c r="C182" i="6"/>
  <c r="D182" i="6"/>
  <c r="E182" i="6"/>
  <c r="F182" i="6"/>
  <c r="H182" i="6"/>
  <c r="I182" i="6"/>
  <c r="L182" i="6"/>
  <c r="N182" i="6"/>
  <c r="Q182" i="6"/>
  <c r="R182" i="6"/>
  <c r="S182" i="6"/>
  <c r="T182" i="6"/>
  <c r="C183" i="6"/>
  <c r="D183" i="6"/>
  <c r="E183" i="6"/>
  <c r="L183" i="6" s="1"/>
  <c r="F183" i="6"/>
  <c r="H183" i="6"/>
  <c r="I183" i="6"/>
  <c r="N183" i="6"/>
  <c r="R183" i="6"/>
  <c r="Q183" i="6" s="1"/>
  <c r="S183" i="6" s="1"/>
  <c r="T183" i="6"/>
  <c r="C184" i="6"/>
  <c r="D184" i="6"/>
  <c r="E184" i="6"/>
  <c r="F184" i="6"/>
  <c r="H184" i="6"/>
  <c r="I184" i="6"/>
  <c r="N184" i="6"/>
  <c r="Q184" i="6"/>
  <c r="R184" i="6"/>
  <c r="S184" i="6"/>
  <c r="T184" i="6"/>
  <c r="C185" i="6"/>
  <c r="D185" i="6"/>
  <c r="E185" i="6"/>
  <c r="F185" i="6"/>
  <c r="H185" i="6"/>
  <c r="I185" i="6"/>
  <c r="N185" i="6"/>
  <c r="R185" i="6"/>
  <c r="Q185" i="6" s="1"/>
  <c r="S185" i="6" s="1"/>
  <c r="T185" i="6"/>
  <c r="C186" i="6"/>
  <c r="L186" i="6" s="1"/>
  <c r="D186" i="6"/>
  <c r="E186" i="6"/>
  <c r="F186" i="6"/>
  <c r="H186" i="6"/>
  <c r="I186" i="6"/>
  <c r="N186" i="6"/>
  <c r="Q186" i="6"/>
  <c r="S186" i="6" s="1"/>
  <c r="R186" i="6"/>
  <c r="T186" i="6"/>
  <c r="C187" i="6"/>
  <c r="D187" i="6"/>
  <c r="L187" i="6" s="1"/>
  <c r="E187" i="6"/>
  <c r="F187" i="6"/>
  <c r="H187" i="6"/>
  <c r="I187" i="6"/>
  <c r="N187" i="6"/>
  <c r="R187" i="6"/>
  <c r="Q187" i="6" s="1"/>
  <c r="S187" i="6" s="1"/>
  <c r="T187" i="6"/>
  <c r="C188" i="6"/>
  <c r="D188" i="6"/>
  <c r="E188" i="6"/>
  <c r="F188" i="6"/>
  <c r="H188" i="6"/>
  <c r="I188" i="6"/>
  <c r="L188" i="6" s="1"/>
  <c r="N188" i="6"/>
  <c r="Q188" i="6"/>
  <c r="S188" i="6" s="1"/>
  <c r="R188" i="6"/>
  <c r="T188" i="6"/>
  <c r="C189" i="6"/>
  <c r="D189" i="6"/>
  <c r="E189" i="6"/>
  <c r="F189" i="6"/>
  <c r="H189" i="6"/>
  <c r="I189" i="6"/>
  <c r="N189" i="6"/>
  <c r="R189" i="6"/>
  <c r="Q189" i="6" s="1"/>
  <c r="S189" i="6"/>
  <c r="T189" i="6"/>
  <c r="C190" i="6"/>
  <c r="L190" i="6" s="1"/>
  <c r="D190" i="6"/>
  <c r="E190" i="6"/>
  <c r="F190" i="6"/>
  <c r="H190" i="6"/>
  <c r="I190" i="6"/>
  <c r="N190" i="6"/>
  <c r="Q190" i="6"/>
  <c r="S190" i="6" s="1"/>
  <c r="R190" i="6"/>
  <c r="T190" i="6"/>
  <c r="C191" i="6"/>
  <c r="D191" i="6"/>
  <c r="E191" i="6"/>
  <c r="F191" i="6"/>
  <c r="H191" i="6"/>
  <c r="I191" i="6"/>
  <c r="N191" i="6"/>
  <c r="R191" i="6"/>
  <c r="Q191" i="6" s="1"/>
  <c r="S191" i="6" s="1"/>
  <c r="T191" i="6"/>
  <c r="C192" i="6"/>
  <c r="D192" i="6"/>
  <c r="E192" i="6"/>
  <c r="F192" i="6"/>
  <c r="H192" i="6"/>
  <c r="I192" i="6"/>
  <c r="N192" i="6"/>
  <c r="Q192" i="6"/>
  <c r="S192" i="6" s="1"/>
  <c r="R192" i="6"/>
  <c r="T192" i="6"/>
  <c r="C193" i="6"/>
  <c r="D193" i="6"/>
  <c r="E193" i="6"/>
  <c r="F193" i="6"/>
  <c r="H193" i="6"/>
  <c r="I193" i="6"/>
  <c r="N193" i="6"/>
  <c r="R193" i="6"/>
  <c r="Q193" i="6" s="1"/>
  <c r="S193" i="6"/>
  <c r="T193" i="6"/>
  <c r="C194" i="6"/>
  <c r="D194" i="6"/>
  <c r="E194" i="6"/>
  <c r="F194" i="6"/>
  <c r="H194" i="6"/>
  <c r="I194" i="6"/>
  <c r="L194" i="6"/>
  <c r="N194" i="6"/>
  <c r="Q194" i="6"/>
  <c r="R194" i="6"/>
  <c r="S194" i="6"/>
  <c r="T194" i="6"/>
  <c r="C195" i="6"/>
  <c r="D195" i="6"/>
  <c r="E195" i="6"/>
  <c r="L195" i="6" s="1"/>
  <c r="F195" i="6"/>
  <c r="H195" i="6"/>
  <c r="I195" i="6"/>
  <c r="N195" i="6"/>
  <c r="R195" i="6"/>
  <c r="Q195" i="6" s="1"/>
  <c r="S195" i="6" s="1"/>
  <c r="T195" i="6"/>
  <c r="C196" i="6"/>
  <c r="D196" i="6"/>
  <c r="E196" i="6"/>
  <c r="F196" i="6"/>
  <c r="H196" i="6"/>
  <c r="I196" i="6"/>
  <c r="N196" i="6"/>
  <c r="Q196" i="6"/>
  <c r="R196" i="6"/>
  <c r="S196" i="6"/>
  <c r="T196" i="6"/>
  <c r="C197" i="6"/>
  <c r="D197" i="6"/>
  <c r="L197" i="6" s="1"/>
  <c r="E197" i="6"/>
  <c r="F197" i="6"/>
  <c r="H197" i="6"/>
  <c r="I197" i="6"/>
  <c r="N197" i="6"/>
  <c r="R197" i="6"/>
  <c r="Q197" i="6" s="1"/>
  <c r="S197" i="6"/>
  <c r="T197" i="6"/>
  <c r="C198" i="6"/>
  <c r="D198" i="6"/>
  <c r="E198" i="6"/>
  <c r="L198" i="6" s="1"/>
  <c r="F198" i="6"/>
  <c r="H198" i="6"/>
  <c r="I198" i="6"/>
  <c r="N198" i="6"/>
  <c r="Q198" i="6"/>
  <c r="R198" i="6"/>
  <c r="S198" i="6"/>
  <c r="T198" i="6"/>
  <c r="C199" i="6"/>
  <c r="D199" i="6"/>
  <c r="E199" i="6"/>
  <c r="F199" i="6"/>
  <c r="H199" i="6"/>
  <c r="I199" i="6"/>
  <c r="L199" i="6"/>
  <c r="N199" i="6"/>
  <c r="R199" i="6"/>
  <c r="Q199" i="6" s="1"/>
  <c r="S199" i="6" s="1"/>
  <c r="T199" i="6"/>
  <c r="C200" i="6"/>
  <c r="D200" i="6"/>
  <c r="E200" i="6"/>
  <c r="F200" i="6"/>
  <c r="L200" i="6" s="1"/>
  <c r="H200" i="6"/>
  <c r="I200" i="6"/>
  <c r="N200" i="6"/>
  <c r="Q200" i="6"/>
  <c r="R200" i="6"/>
  <c r="S200" i="6"/>
  <c r="T200" i="6"/>
  <c r="C201" i="6"/>
  <c r="D201" i="6"/>
  <c r="L201" i="6" s="1"/>
  <c r="E201" i="6"/>
  <c r="F201" i="6"/>
  <c r="H201" i="6"/>
  <c r="I201" i="6"/>
  <c r="N201" i="6"/>
  <c r="R201" i="6"/>
  <c r="Q201" i="6" s="1"/>
  <c r="S201" i="6"/>
  <c r="T201" i="6"/>
  <c r="C202" i="6"/>
  <c r="D202" i="6"/>
  <c r="E202" i="6"/>
  <c r="F202" i="6"/>
  <c r="H202" i="6"/>
  <c r="I202" i="6"/>
  <c r="L202" i="6"/>
  <c r="N202" i="6"/>
  <c r="Q202" i="6"/>
  <c r="R202" i="6"/>
  <c r="S202" i="6"/>
  <c r="T202" i="6"/>
  <c r="C203" i="6"/>
  <c r="D203" i="6"/>
  <c r="E203" i="6"/>
  <c r="L203" i="6" s="1"/>
  <c r="F203" i="6"/>
  <c r="H203" i="6"/>
  <c r="I203" i="6"/>
  <c r="N203" i="6"/>
  <c r="R203" i="6"/>
  <c r="Q203" i="6" s="1"/>
  <c r="S203" i="6" s="1"/>
  <c r="T203" i="6"/>
  <c r="C204" i="6"/>
  <c r="D204" i="6"/>
  <c r="E204" i="6"/>
  <c r="F204" i="6"/>
  <c r="L204" i="6" s="1"/>
  <c r="H204" i="6"/>
  <c r="I204" i="6"/>
  <c r="N204" i="6"/>
  <c r="Q204" i="6"/>
  <c r="S204" i="6" s="1"/>
  <c r="R204" i="6"/>
  <c r="T204" i="6"/>
  <c r="C205" i="6"/>
  <c r="D205" i="6"/>
  <c r="L205" i="6" s="1"/>
  <c r="E205" i="6"/>
  <c r="F205" i="6"/>
  <c r="H205" i="6"/>
  <c r="I205" i="6"/>
  <c r="N205" i="6"/>
  <c r="R205" i="6"/>
  <c r="Q205" i="6" s="1"/>
  <c r="S205" i="6"/>
  <c r="T205" i="6"/>
  <c r="C206" i="6"/>
  <c r="L206" i="6" s="1"/>
  <c r="D206" i="6"/>
  <c r="E206" i="6"/>
  <c r="F206" i="6"/>
  <c r="H206" i="6"/>
  <c r="I206" i="6"/>
  <c r="N206" i="6"/>
  <c r="Q206" i="6"/>
  <c r="S206" i="6" s="1"/>
  <c r="R206" i="6"/>
  <c r="T206" i="6"/>
  <c r="C207" i="6"/>
  <c r="D207" i="6"/>
  <c r="E207" i="6"/>
  <c r="F207" i="6"/>
  <c r="L207" i="6" s="1"/>
  <c r="H207" i="6"/>
  <c r="I207" i="6"/>
  <c r="N207" i="6"/>
  <c r="R207" i="6"/>
  <c r="Q207" i="6" s="1"/>
  <c r="S207" i="6" s="1"/>
  <c r="T207" i="6"/>
  <c r="C208" i="6"/>
  <c r="D208" i="6"/>
  <c r="E208" i="6"/>
  <c r="E1073" i="6" s="1"/>
  <c r="F208" i="6"/>
  <c r="H208" i="6"/>
  <c r="I208" i="6"/>
  <c r="N208" i="6"/>
  <c r="Q208" i="6"/>
  <c r="R208" i="6"/>
  <c r="S208" i="6"/>
  <c r="T208" i="6"/>
  <c r="T1073" i="6" s="1"/>
  <c r="C209" i="6"/>
  <c r="D209" i="6"/>
  <c r="E209" i="6"/>
  <c r="F209" i="6"/>
  <c r="H209" i="6"/>
  <c r="I209" i="6"/>
  <c r="L209" i="6"/>
  <c r="N209" i="6"/>
  <c r="R209" i="6"/>
  <c r="Q209" i="6" s="1"/>
  <c r="S209" i="6"/>
  <c r="T209" i="6"/>
  <c r="C210" i="6"/>
  <c r="D210" i="6"/>
  <c r="E210" i="6"/>
  <c r="F210" i="6"/>
  <c r="L210" i="6" s="1"/>
  <c r="H210" i="6"/>
  <c r="I210" i="6"/>
  <c r="N210" i="6"/>
  <c r="Q210" i="6"/>
  <c r="R210" i="6"/>
  <c r="S210" i="6"/>
  <c r="T210" i="6"/>
  <c r="C211" i="6"/>
  <c r="D211" i="6"/>
  <c r="E211" i="6"/>
  <c r="L211" i="6" s="1"/>
  <c r="F211" i="6"/>
  <c r="H211" i="6"/>
  <c r="I211" i="6"/>
  <c r="N211" i="6"/>
  <c r="R211" i="6"/>
  <c r="Q211" i="6" s="1"/>
  <c r="S211" i="6" s="1"/>
  <c r="T211" i="6"/>
  <c r="C212" i="6"/>
  <c r="L212" i="6" s="1"/>
  <c r="D212" i="6"/>
  <c r="E212" i="6"/>
  <c r="F212" i="6"/>
  <c r="H212" i="6"/>
  <c r="I212" i="6"/>
  <c r="N212" i="6"/>
  <c r="Q212" i="6"/>
  <c r="R212" i="6"/>
  <c r="S212" i="6"/>
  <c r="T212" i="6"/>
  <c r="C213" i="6"/>
  <c r="D213" i="6"/>
  <c r="E213" i="6"/>
  <c r="F213" i="6"/>
  <c r="L213" i="6" s="1"/>
  <c r="H213" i="6"/>
  <c r="I213" i="6"/>
  <c r="N213" i="6"/>
  <c r="R213" i="6"/>
  <c r="Q213" i="6" s="1"/>
  <c r="S213" i="6"/>
  <c r="T213" i="6"/>
  <c r="C214" i="6"/>
  <c r="D214" i="6"/>
  <c r="E214" i="6"/>
  <c r="F214" i="6"/>
  <c r="H214" i="6"/>
  <c r="I214" i="6"/>
  <c r="N214" i="6"/>
  <c r="Q214" i="6"/>
  <c r="R214" i="6"/>
  <c r="S214" i="6"/>
  <c r="T214" i="6"/>
  <c r="C215" i="6"/>
  <c r="D215" i="6"/>
  <c r="E215" i="6"/>
  <c r="F215" i="6"/>
  <c r="H215" i="6"/>
  <c r="I215" i="6"/>
  <c r="L215" i="6"/>
  <c r="N215" i="6"/>
  <c r="R215" i="6"/>
  <c r="Q215" i="6" s="1"/>
  <c r="S215" i="6" s="1"/>
  <c r="T215" i="6"/>
  <c r="C216" i="6"/>
  <c r="D216" i="6"/>
  <c r="E216" i="6"/>
  <c r="F216" i="6"/>
  <c r="L216" i="6" s="1"/>
  <c r="H216" i="6"/>
  <c r="I216" i="6"/>
  <c r="N216" i="6"/>
  <c r="Q216" i="6"/>
  <c r="R216" i="6"/>
  <c r="S216" i="6"/>
  <c r="T216" i="6"/>
  <c r="C217" i="6"/>
  <c r="D217" i="6"/>
  <c r="E217" i="6"/>
  <c r="F217" i="6"/>
  <c r="H217" i="6"/>
  <c r="I217" i="6"/>
  <c r="N217" i="6"/>
  <c r="R217" i="6"/>
  <c r="Q217" i="6" s="1"/>
  <c r="S217" i="6"/>
  <c r="T217" i="6"/>
  <c r="C218" i="6"/>
  <c r="D218" i="6"/>
  <c r="E218" i="6"/>
  <c r="F218" i="6"/>
  <c r="H218" i="6"/>
  <c r="I218" i="6"/>
  <c r="L218" i="6"/>
  <c r="N218" i="6"/>
  <c r="Q218" i="6"/>
  <c r="R218" i="6"/>
  <c r="S218" i="6"/>
  <c r="T218" i="6"/>
  <c r="C219" i="6"/>
  <c r="D219" i="6"/>
  <c r="E219" i="6"/>
  <c r="L219" i="6" s="1"/>
  <c r="F219" i="6"/>
  <c r="H219" i="6"/>
  <c r="I219" i="6"/>
  <c r="N219" i="6"/>
  <c r="R219" i="6"/>
  <c r="Q219" i="6" s="1"/>
  <c r="S219" i="6"/>
  <c r="T219" i="6"/>
  <c r="C220" i="6"/>
  <c r="D220" i="6"/>
  <c r="E220" i="6"/>
  <c r="F220" i="6"/>
  <c r="L220" i="6" s="1"/>
  <c r="H220" i="6"/>
  <c r="I220" i="6"/>
  <c r="N220" i="6"/>
  <c r="Q220" i="6"/>
  <c r="S220" i="6" s="1"/>
  <c r="R220" i="6"/>
  <c r="T220" i="6"/>
  <c r="C221" i="6"/>
  <c r="D221" i="6"/>
  <c r="E221" i="6"/>
  <c r="F221" i="6"/>
  <c r="H221" i="6"/>
  <c r="I221" i="6"/>
  <c r="N221" i="6"/>
  <c r="R221" i="6"/>
  <c r="Q221" i="6" s="1"/>
  <c r="S221" i="6"/>
  <c r="T221" i="6"/>
  <c r="C222" i="6"/>
  <c r="D222" i="6"/>
  <c r="E222" i="6"/>
  <c r="L222" i="6" s="1"/>
  <c r="F222" i="6"/>
  <c r="H222" i="6"/>
  <c r="I222" i="6"/>
  <c r="N222" i="6"/>
  <c r="Q222" i="6"/>
  <c r="R222" i="6"/>
  <c r="S222" i="6"/>
  <c r="T222" i="6"/>
  <c r="C223" i="6"/>
  <c r="D223" i="6"/>
  <c r="E223" i="6"/>
  <c r="F223" i="6"/>
  <c r="H223" i="6"/>
  <c r="I223" i="6"/>
  <c r="L223" i="6"/>
  <c r="N223" i="6"/>
  <c r="R223" i="6"/>
  <c r="Q223" i="6" s="1"/>
  <c r="S223" i="6" s="1"/>
  <c r="T223" i="6"/>
  <c r="C224" i="6"/>
  <c r="L224" i="6" s="1"/>
  <c r="D224" i="6"/>
  <c r="E224" i="6"/>
  <c r="F224" i="6"/>
  <c r="H224" i="6"/>
  <c r="I224" i="6"/>
  <c r="N224" i="6"/>
  <c r="R224" i="6"/>
  <c r="Q224" i="6" s="1"/>
  <c r="S224" i="6"/>
  <c r="T224" i="6"/>
  <c r="C225" i="6"/>
  <c r="D225" i="6"/>
  <c r="E225" i="6"/>
  <c r="F225" i="6"/>
  <c r="H225" i="6"/>
  <c r="I225" i="6"/>
  <c r="L225" i="6"/>
  <c r="N225" i="6"/>
  <c r="R225" i="6"/>
  <c r="Q225" i="6" s="1"/>
  <c r="S225" i="6"/>
  <c r="T225" i="6"/>
  <c r="C226" i="6"/>
  <c r="D226" i="6"/>
  <c r="E226" i="6"/>
  <c r="F226" i="6"/>
  <c r="L226" i="6" s="1"/>
  <c r="H226" i="6"/>
  <c r="I226" i="6"/>
  <c r="N226" i="6"/>
  <c r="R226" i="6"/>
  <c r="Q226" i="6" s="1"/>
  <c r="S226" i="6" s="1"/>
  <c r="T226" i="6"/>
  <c r="C227" i="6"/>
  <c r="D227" i="6"/>
  <c r="E227" i="6"/>
  <c r="L227" i="6" s="1"/>
  <c r="F227" i="6"/>
  <c r="H227" i="6"/>
  <c r="I227" i="6"/>
  <c r="N227" i="6"/>
  <c r="R227" i="6"/>
  <c r="Q227" i="6" s="1"/>
  <c r="S227" i="6" s="1"/>
  <c r="T227" i="6"/>
  <c r="C228" i="6"/>
  <c r="L228" i="6" s="1"/>
  <c r="D228" i="6"/>
  <c r="E228" i="6"/>
  <c r="F228" i="6"/>
  <c r="H228" i="6"/>
  <c r="I228" i="6"/>
  <c r="N228" i="6"/>
  <c r="R228" i="6"/>
  <c r="Q228" i="6" s="1"/>
  <c r="S228" i="6"/>
  <c r="T228" i="6"/>
  <c r="C229" i="6"/>
  <c r="D229" i="6"/>
  <c r="E229" i="6"/>
  <c r="F229" i="6"/>
  <c r="H229" i="6"/>
  <c r="I229" i="6"/>
  <c r="L229" i="6"/>
  <c r="N229" i="6"/>
  <c r="R229" i="6"/>
  <c r="Q229" i="6" s="1"/>
  <c r="S229" i="6"/>
  <c r="T229" i="6"/>
  <c r="C230" i="6"/>
  <c r="D230" i="6"/>
  <c r="E230" i="6"/>
  <c r="F230" i="6"/>
  <c r="H230" i="6"/>
  <c r="I230" i="6"/>
  <c r="N230" i="6"/>
  <c r="Q230" i="6"/>
  <c r="S230" i="6" s="1"/>
  <c r="R230" i="6"/>
  <c r="T230" i="6"/>
  <c r="C231" i="6"/>
  <c r="D231" i="6"/>
  <c r="E231" i="6"/>
  <c r="F231" i="6"/>
  <c r="H231" i="6"/>
  <c r="L231" i="6" s="1"/>
  <c r="I231" i="6"/>
  <c r="N231" i="6"/>
  <c r="R231" i="6"/>
  <c r="Q231" i="6" s="1"/>
  <c r="S231" i="6" s="1"/>
  <c r="T231" i="6"/>
  <c r="C232" i="6"/>
  <c r="D232" i="6"/>
  <c r="L232" i="6" s="1"/>
  <c r="E232" i="6"/>
  <c r="F232" i="6"/>
  <c r="H232" i="6"/>
  <c r="I232" i="6"/>
  <c r="N232" i="6"/>
  <c r="R232" i="6"/>
  <c r="Q232" i="6" s="1"/>
  <c r="S232" i="6"/>
  <c r="T232" i="6"/>
  <c r="C233" i="6"/>
  <c r="D233" i="6"/>
  <c r="E233" i="6"/>
  <c r="F233" i="6"/>
  <c r="H233" i="6"/>
  <c r="I233" i="6"/>
  <c r="L233" i="6"/>
  <c r="N233" i="6"/>
  <c r="R233" i="6"/>
  <c r="Q233" i="6" s="1"/>
  <c r="S233" i="6" s="1"/>
  <c r="T233" i="6"/>
  <c r="C234" i="6"/>
  <c r="D234" i="6"/>
  <c r="E234" i="6"/>
  <c r="F234" i="6"/>
  <c r="H234" i="6"/>
  <c r="I234" i="6"/>
  <c r="N234" i="6"/>
  <c r="Q234" i="6"/>
  <c r="R234" i="6"/>
  <c r="S234" i="6"/>
  <c r="T234" i="6"/>
  <c r="C235" i="6"/>
  <c r="D235" i="6"/>
  <c r="L235" i="6" s="1"/>
  <c r="E235" i="6"/>
  <c r="F235" i="6"/>
  <c r="H235" i="6"/>
  <c r="I235" i="6"/>
  <c r="N235" i="6"/>
  <c r="R235" i="6"/>
  <c r="Q235" i="6" s="1"/>
  <c r="S235" i="6"/>
  <c r="T235" i="6"/>
  <c r="C236" i="6"/>
  <c r="D236" i="6"/>
  <c r="E236" i="6"/>
  <c r="F236" i="6"/>
  <c r="H236" i="6"/>
  <c r="I236" i="6"/>
  <c r="L236" i="6"/>
  <c r="N236" i="6"/>
  <c r="Q236" i="6"/>
  <c r="S236" i="6" s="1"/>
  <c r="R236" i="6"/>
  <c r="T236" i="6"/>
  <c r="C237" i="6"/>
  <c r="D237" i="6"/>
  <c r="E237" i="6"/>
  <c r="F237" i="6"/>
  <c r="H237" i="6"/>
  <c r="I237" i="6"/>
  <c r="N237" i="6"/>
  <c r="R237" i="6"/>
  <c r="Q237" i="6" s="1"/>
  <c r="S237" i="6"/>
  <c r="T237" i="6"/>
  <c r="C238" i="6"/>
  <c r="D238" i="6"/>
  <c r="L238" i="6" s="1"/>
  <c r="E238" i="6"/>
  <c r="F238" i="6"/>
  <c r="H238" i="6"/>
  <c r="I238" i="6"/>
  <c r="N238" i="6"/>
  <c r="R238" i="6"/>
  <c r="Q238" i="6" s="1"/>
  <c r="S238" i="6" s="1"/>
  <c r="T238" i="6"/>
  <c r="C239" i="6"/>
  <c r="D239" i="6"/>
  <c r="E239" i="6"/>
  <c r="F239" i="6"/>
  <c r="H239" i="6"/>
  <c r="I239" i="6"/>
  <c r="L239" i="6" s="1"/>
  <c r="N239" i="6"/>
  <c r="R239" i="6"/>
  <c r="Q239" i="6" s="1"/>
  <c r="S239" i="6"/>
  <c r="T239" i="6"/>
  <c r="C240" i="6"/>
  <c r="D240" i="6"/>
  <c r="E240" i="6"/>
  <c r="F240" i="6"/>
  <c r="H240" i="6"/>
  <c r="I240" i="6"/>
  <c r="N240" i="6"/>
  <c r="Q240" i="6"/>
  <c r="R240" i="6"/>
  <c r="S240" i="6"/>
  <c r="T240" i="6"/>
  <c r="T1076" i="6" s="1"/>
  <c r="C241" i="6"/>
  <c r="D241" i="6"/>
  <c r="E241" i="6"/>
  <c r="F241" i="6"/>
  <c r="H241" i="6"/>
  <c r="I241" i="6"/>
  <c r="L241" i="6"/>
  <c r="N241" i="6"/>
  <c r="N1076" i="6" s="1"/>
  <c r="R241" i="6"/>
  <c r="Q241" i="6" s="1"/>
  <c r="S241" i="6"/>
  <c r="T241" i="6"/>
  <c r="C242" i="6"/>
  <c r="D242" i="6"/>
  <c r="E242" i="6"/>
  <c r="F242" i="6"/>
  <c r="H242" i="6"/>
  <c r="I242" i="6"/>
  <c r="N242" i="6"/>
  <c r="Q242" i="6"/>
  <c r="S242" i="6" s="1"/>
  <c r="R242" i="6"/>
  <c r="T242" i="6"/>
  <c r="C243" i="6"/>
  <c r="D243" i="6"/>
  <c r="E243" i="6"/>
  <c r="L243" i="6" s="1"/>
  <c r="F243" i="6"/>
  <c r="H243" i="6"/>
  <c r="I243" i="6"/>
  <c r="N243" i="6"/>
  <c r="R243" i="6"/>
  <c r="Q243" i="6" s="1"/>
  <c r="S243" i="6" s="1"/>
  <c r="T243" i="6"/>
  <c r="C244" i="6"/>
  <c r="D244" i="6"/>
  <c r="E244" i="6"/>
  <c r="F244" i="6"/>
  <c r="H244" i="6"/>
  <c r="I244" i="6"/>
  <c r="N244" i="6"/>
  <c r="R244" i="6"/>
  <c r="Q244" i="6" s="1"/>
  <c r="S244" i="6" s="1"/>
  <c r="T244" i="6"/>
  <c r="C245" i="6"/>
  <c r="D245" i="6"/>
  <c r="E245" i="6"/>
  <c r="F245" i="6"/>
  <c r="L245" i="6" s="1"/>
  <c r="H245" i="6"/>
  <c r="I245" i="6"/>
  <c r="N245" i="6"/>
  <c r="R245" i="6"/>
  <c r="Q245" i="6" s="1"/>
  <c r="S245" i="6" s="1"/>
  <c r="T245" i="6"/>
  <c r="C246" i="6"/>
  <c r="L246" i="6" s="1"/>
  <c r="D246" i="6"/>
  <c r="E246" i="6"/>
  <c r="F246" i="6"/>
  <c r="H246" i="6"/>
  <c r="I246" i="6"/>
  <c r="N246" i="6"/>
  <c r="Q246" i="6"/>
  <c r="S246" i="6" s="1"/>
  <c r="S1076" i="6" s="1"/>
  <c r="R246" i="6"/>
  <c r="T246" i="6"/>
  <c r="C247" i="6"/>
  <c r="D247" i="6"/>
  <c r="E247" i="6"/>
  <c r="F247" i="6"/>
  <c r="H247" i="6"/>
  <c r="I247" i="6"/>
  <c r="N247" i="6"/>
  <c r="R247" i="6"/>
  <c r="Q247" i="6" s="1"/>
  <c r="S247" i="6"/>
  <c r="T247" i="6"/>
  <c r="C248" i="6"/>
  <c r="D248" i="6"/>
  <c r="E248" i="6"/>
  <c r="F248" i="6"/>
  <c r="H248" i="6"/>
  <c r="I248" i="6"/>
  <c r="L248" i="6"/>
  <c r="N248" i="6"/>
  <c r="R248" i="6"/>
  <c r="Q248" i="6" s="1"/>
  <c r="S248" i="6" s="1"/>
  <c r="T248" i="6"/>
  <c r="C249" i="6"/>
  <c r="D249" i="6"/>
  <c r="E249" i="6"/>
  <c r="F249" i="6"/>
  <c r="H249" i="6"/>
  <c r="I249" i="6"/>
  <c r="N249" i="6"/>
  <c r="R249" i="6"/>
  <c r="Q249" i="6" s="1"/>
  <c r="S249" i="6"/>
  <c r="T249" i="6"/>
  <c r="C250" i="6"/>
  <c r="D250" i="6"/>
  <c r="E250" i="6"/>
  <c r="F250" i="6"/>
  <c r="H250" i="6"/>
  <c r="I250" i="6"/>
  <c r="N250" i="6"/>
  <c r="Q250" i="6"/>
  <c r="R250" i="6"/>
  <c r="S250" i="6"/>
  <c r="T250" i="6"/>
  <c r="C251" i="6"/>
  <c r="D251" i="6"/>
  <c r="E251" i="6"/>
  <c r="F251" i="6"/>
  <c r="L251" i="6" s="1"/>
  <c r="H251" i="6"/>
  <c r="I251" i="6"/>
  <c r="N251" i="6"/>
  <c r="R251" i="6"/>
  <c r="Q251" i="6" s="1"/>
  <c r="S251" i="6"/>
  <c r="T251" i="6"/>
  <c r="C252" i="6"/>
  <c r="D252" i="6"/>
  <c r="E252" i="6"/>
  <c r="F252" i="6"/>
  <c r="H252" i="6"/>
  <c r="I252" i="6"/>
  <c r="N252" i="6"/>
  <c r="R252" i="6"/>
  <c r="Q252" i="6" s="1"/>
  <c r="S252" i="6" s="1"/>
  <c r="T252" i="6"/>
  <c r="C253" i="6"/>
  <c r="D253" i="6"/>
  <c r="E253" i="6"/>
  <c r="F253" i="6"/>
  <c r="H253" i="6"/>
  <c r="I253" i="6"/>
  <c r="N253" i="6"/>
  <c r="R253" i="6"/>
  <c r="Q253" i="6" s="1"/>
  <c r="S253" i="6"/>
  <c r="T253" i="6"/>
  <c r="C254" i="6"/>
  <c r="D254" i="6"/>
  <c r="E254" i="6"/>
  <c r="F254" i="6"/>
  <c r="L254" i="6" s="1"/>
  <c r="H254" i="6"/>
  <c r="I254" i="6"/>
  <c r="N254" i="6"/>
  <c r="R254" i="6"/>
  <c r="Q254" i="6" s="1"/>
  <c r="S254" i="6" s="1"/>
  <c r="T254" i="6"/>
  <c r="C255" i="6"/>
  <c r="L255" i="6" s="1"/>
  <c r="D255" i="6"/>
  <c r="E255" i="6"/>
  <c r="F255" i="6"/>
  <c r="H255" i="6"/>
  <c r="I255" i="6"/>
  <c r="N255" i="6"/>
  <c r="R255" i="6"/>
  <c r="Q255" i="6" s="1"/>
  <c r="S255" i="6" s="1"/>
  <c r="T255" i="6"/>
  <c r="C256" i="6"/>
  <c r="D256" i="6"/>
  <c r="E256" i="6"/>
  <c r="F256" i="6"/>
  <c r="H256" i="6"/>
  <c r="I256" i="6"/>
  <c r="N256" i="6"/>
  <c r="Q256" i="6"/>
  <c r="S256" i="6" s="1"/>
  <c r="R256" i="6"/>
  <c r="T256" i="6"/>
  <c r="C257" i="6"/>
  <c r="D257" i="6"/>
  <c r="E257" i="6"/>
  <c r="F257" i="6"/>
  <c r="H257" i="6"/>
  <c r="I257" i="6"/>
  <c r="N257" i="6"/>
  <c r="R257" i="6"/>
  <c r="Q257" i="6" s="1"/>
  <c r="S257" i="6"/>
  <c r="T257" i="6"/>
  <c r="C258" i="6"/>
  <c r="D258" i="6"/>
  <c r="E258" i="6"/>
  <c r="F258" i="6"/>
  <c r="H258" i="6"/>
  <c r="I258" i="6"/>
  <c r="L258" i="6"/>
  <c r="N258" i="6"/>
  <c r="R258" i="6"/>
  <c r="Q258" i="6" s="1"/>
  <c r="S258" i="6" s="1"/>
  <c r="T258" i="6"/>
  <c r="C259" i="6"/>
  <c r="D259" i="6"/>
  <c r="E259" i="6"/>
  <c r="F259" i="6"/>
  <c r="H259" i="6"/>
  <c r="I259" i="6"/>
  <c r="N259" i="6"/>
  <c r="Q259" i="6"/>
  <c r="S259" i="6" s="1"/>
  <c r="R259" i="6"/>
  <c r="T259" i="6"/>
  <c r="C260" i="6"/>
  <c r="D260" i="6"/>
  <c r="E260" i="6"/>
  <c r="F260" i="6"/>
  <c r="H260" i="6"/>
  <c r="I260" i="6"/>
  <c r="N260" i="6"/>
  <c r="R260" i="6"/>
  <c r="Q260" i="6" s="1"/>
  <c r="T260" i="6"/>
  <c r="C261" i="6"/>
  <c r="D261" i="6"/>
  <c r="E261" i="6"/>
  <c r="F261" i="6"/>
  <c r="H261" i="6"/>
  <c r="I261" i="6"/>
  <c r="N261" i="6"/>
  <c r="R261" i="6"/>
  <c r="Q261" i="6" s="1"/>
  <c r="S261" i="6"/>
  <c r="T261" i="6"/>
  <c r="C262" i="6"/>
  <c r="D262" i="6"/>
  <c r="E262" i="6"/>
  <c r="F262" i="6"/>
  <c r="L262" i="6" s="1"/>
  <c r="H262" i="6"/>
  <c r="I262" i="6"/>
  <c r="N262" i="6"/>
  <c r="R262" i="6"/>
  <c r="Q262" i="6" s="1"/>
  <c r="S262" i="6" s="1"/>
  <c r="T262" i="6"/>
  <c r="C263" i="6"/>
  <c r="D263" i="6"/>
  <c r="E263" i="6"/>
  <c r="F263" i="6"/>
  <c r="H263" i="6"/>
  <c r="I263" i="6"/>
  <c r="N263" i="6"/>
  <c r="R263" i="6"/>
  <c r="T263" i="6"/>
  <c r="C264" i="6"/>
  <c r="L264" i="6" s="1"/>
  <c r="D264" i="6"/>
  <c r="E264" i="6"/>
  <c r="F264" i="6"/>
  <c r="H264" i="6"/>
  <c r="I264" i="6"/>
  <c r="N264" i="6"/>
  <c r="N1078" i="6" s="1"/>
  <c r="Q264" i="6"/>
  <c r="S264" i="6" s="1"/>
  <c r="R264" i="6"/>
  <c r="T264" i="6"/>
  <c r="C265" i="6"/>
  <c r="D265" i="6"/>
  <c r="E265" i="6"/>
  <c r="F265" i="6"/>
  <c r="H265" i="6"/>
  <c r="H1078" i="6" s="1"/>
  <c r="I265" i="6"/>
  <c r="N265" i="6"/>
  <c r="R265" i="6"/>
  <c r="Q265" i="6" s="1"/>
  <c r="S265" i="6"/>
  <c r="T265" i="6"/>
  <c r="C266" i="6"/>
  <c r="D266" i="6"/>
  <c r="E266" i="6"/>
  <c r="F266" i="6"/>
  <c r="H266" i="6"/>
  <c r="I266" i="6"/>
  <c r="L266" i="6"/>
  <c r="N266" i="6"/>
  <c r="R266" i="6"/>
  <c r="Q266" i="6" s="1"/>
  <c r="S266" i="6" s="1"/>
  <c r="T266" i="6"/>
  <c r="C267" i="6"/>
  <c r="D267" i="6"/>
  <c r="E267" i="6"/>
  <c r="F267" i="6"/>
  <c r="H267" i="6"/>
  <c r="I267" i="6"/>
  <c r="N267" i="6"/>
  <c r="Q267" i="6"/>
  <c r="S267" i="6" s="1"/>
  <c r="R267" i="6"/>
  <c r="T267" i="6"/>
  <c r="C268" i="6"/>
  <c r="L268" i="6" s="1"/>
  <c r="D268" i="6"/>
  <c r="E268" i="6"/>
  <c r="F268" i="6"/>
  <c r="H268" i="6"/>
  <c r="I268" i="6"/>
  <c r="N268" i="6"/>
  <c r="R268" i="6"/>
  <c r="Q268" i="6" s="1"/>
  <c r="S268" i="6" s="1"/>
  <c r="T268" i="6"/>
  <c r="C269" i="6"/>
  <c r="D269" i="6"/>
  <c r="E269" i="6"/>
  <c r="F269" i="6"/>
  <c r="H269" i="6"/>
  <c r="I269" i="6"/>
  <c r="N269" i="6"/>
  <c r="R269" i="6"/>
  <c r="Q269" i="6" s="1"/>
  <c r="S269" i="6"/>
  <c r="T269" i="6"/>
  <c r="C270" i="6"/>
  <c r="D270" i="6"/>
  <c r="E270" i="6"/>
  <c r="F270" i="6"/>
  <c r="L270" i="6" s="1"/>
  <c r="H270" i="6"/>
  <c r="I270" i="6"/>
  <c r="N270" i="6"/>
  <c r="R270" i="6"/>
  <c r="Q270" i="6" s="1"/>
  <c r="S270" i="6" s="1"/>
  <c r="T270" i="6"/>
  <c r="C271" i="6"/>
  <c r="D271" i="6"/>
  <c r="E271" i="6"/>
  <c r="F271" i="6"/>
  <c r="H271" i="6"/>
  <c r="I271" i="6"/>
  <c r="N271" i="6"/>
  <c r="R271" i="6"/>
  <c r="Q271" i="6" s="1"/>
  <c r="S271" i="6" s="1"/>
  <c r="T271" i="6"/>
  <c r="C272" i="6"/>
  <c r="L272" i="6" s="1"/>
  <c r="D272" i="6"/>
  <c r="E272" i="6"/>
  <c r="F272" i="6"/>
  <c r="H272" i="6"/>
  <c r="I272" i="6"/>
  <c r="N272" i="6"/>
  <c r="Q272" i="6"/>
  <c r="S272" i="6" s="1"/>
  <c r="R272" i="6"/>
  <c r="T272" i="6"/>
  <c r="C273" i="6"/>
  <c r="D273" i="6"/>
  <c r="E273" i="6"/>
  <c r="F273" i="6"/>
  <c r="H273" i="6"/>
  <c r="I273" i="6"/>
  <c r="N273" i="6"/>
  <c r="R273" i="6"/>
  <c r="Q273" i="6" s="1"/>
  <c r="S273" i="6"/>
  <c r="T273" i="6"/>
  <c r="C274" i="6"/>
  <c r="D274" i="6"/>
  <c r="E274" i="6"/>
  <c r="F274" i="6"/>
  <c r="H274" i="6"/>
  <c r="I274" i="6"/>
  <c r="L274" i="6"/>
  <c r="N274" i="6"/>
  <c r="R274" i="6"/>
  <c r="Q274" i="6" s="1"/>
  <c r="S274" i="6" s="1"/>
  <c r="T274" i="6"/>
  <c r="C275" i="6"/>
  <c r="D275" i="6"/>
  <c r="E275" i="6"/>
  <c r="F275" i="6"/>
  <c r="H275" i="6"/>
  <c r="I275" i="6"/>
  <c r="N275" i="6"/>
  <c r="Q275" i="6"/>
  <c r="S275" i="6" s="1"/>
  <c r="R275" i="6"/>
  <c r="T275" i="6"/>
  <c r="C276" i="6"/>
  <c r="L276" i="6" s="1"/>
  <c r="D276" i="6"/>
  <c r="E276" i="6"/>
  <c r="F276" i="6"/>
  <c r="H276" i="6"/>
  <c r="I276" i="6"/>
  <c r="N276" i="6"/>
  <c r="R276" i="6"/>
  <c r="Q276" i="6" s="1"/>
  <c r="S276" i="6" s="1"/>
  <c r="T276" i="6"/>
  <c r="C277" i="6"/>
  <c r="D277" i="6"/>
  <c r="E277" i="6"/>
  <c r="F277" i="6"/>
  <c r="H277" i="6"/>
  <c r="I277" i="6"/>
  <c r="N277" i="6"/>
  <c r="R277" i="6"/>
  <c r="Q277" i="6" s="1"/>
  <c r="S277" i="6"/>
  <c r="T277" i="6"/>
  <c r="C278" i="6"/>
  <c r="D278" i="6"/>
  <c r="E278" i="6"/>
  <c r="F278" i="6"/>
  <c r="L278" i="6" s="1"/>
  <c r="H278" i="6"/>
  <c r="I278" i="6"/>
  <c r="N278" i="6"/>
  <c r="R278" i="6"/>
  <c r="Q278" i="6" s="1"/>
  <c r="S278" i="6" s="1"/>
  <c r="T278" i="6"/>
  <c r="C279" i="6"/>
  <c r="D279" i="6"/>
  <c r="E279" i="6"/>
  <c r="F279" i="6"/>
  <c r="H279" i="6"/>
  <c r="I279" i="6"/>
  <c r="N279" i="6"/>
  <c r="R279" i="6"/>
  <c r="Q279" i="6" s="1"/>
  <c r="S279" i="6" s="1"/>
  <c r="T279" i="6"/>
  <c r="C280" i="6"/>
  <c r="D280" i="6"/>
  <c r="E280" i="6"/>
  <c r="F280" i="6"/>
  <c r="H280" i="6"/>
  <c r="I280" i="6"/>
  <c r="N280" i="6"/>
  <c r="Q280" i="6"/>
  <c r="S280" i="6" s="1"/>
  <c r="R280" i="6"/>
  <c r="T280" i="6"/>
  <c r="C281" i="6"/>
  <c r="D281" i="6"/>
  <c r="E281" i="6"/>
  <c r="E1079" i="6" s="1"/>
  <c r="F281" i="6"/>
  <c r="H281" i="6"/>
  <c r="I281" i="6"/>
  <c r="N281" i="6"/>
  <c r="R281" i="6"/>
  <c r="Q281" i="6" s="1"/>
  <c r="S281" i="6"/>
  <c r="T281" i="6"/>
  <c r="C282" i="6"/>
  <c r="D282" i="6"/>
  <c r="E282" i="6"/>
  <c r="F282" i="6"/>
  <c r="H282" i="6"/>
  <c r="I282" i="6"/>
  <c r="L282" i="6"/>
  <c r="N282" i="6"/>
  <c r="R282" i="6"/>
  <c r="T282" i="6"/>
  <c r="C283" i="6"/>
  <c r="D283" i="6"/>
  <c r="E283" i="6"/>
  <c r="F283" i="6"/>
  <c r="H283" i="6"/>
  <c r="I283" i="6"/>
  <c r="N283" i="6"/>
  <c r="N1079" i="6" s="1"/>
  <c r="Q283" i="6"/>
  <c r="S283" i="6" s="1"/>
  <c r="R283" i="6"/>
  <c r="T283" i="6"/>
  <c r="C284" i="6"/>
  <c r="D284" i="6"/>
  <c r="E284" i="6"/>
  <c r="F284" i="6"/>
  <c r="H284" i="6"/>
  <c r="I284" i="6"/>
  <c r="N284" i="6"/>
  <c r="R284" i="6"/>
  <c r="Q284" i="6" s="1"/>
  <c r="S284" i="6" s="1"/>
  <c r="T284" i="6"/>
  <c r="C285" i="6"/>
  <c r="D285" i="6"/>
  <c r="E285" i="6"/>
  <c r="F285" i="6"/>
  <c r="H285" i="6"/>
  <c r="I285" i="6"/>
  <c r="N285" i="6"/>
  <c r="R285" i="6"/>
  <c r="Q285" i="6" s="1"/>
  <c r="S285" i="6"/>
  <c r="T285" i="6"/>
  <c r="C286" i="6"/>
  <c r="D286" i="6"/>
  <c r="E286" i="6"/>
  <c r="F286" i="6"/>
  <c r="H286" i="6"/>
  <c r="I286" i="6"/>
  <c r="L286" i="6"/>
  <c r="N286" i="6"/>
  <c r="R286" i="6"/>
  <c r="Q286" i="6" s="1"/>
  <c r="S286" i="6" s="1"/>
  <c r="T286" i="6"/>
  <c r="C287" i="6"/>
  <c r="L287" i="6" s="1"/>
  <c r="D287" i="6"/>
  <c r="E287" i="6"/>
  <c r="F287" i="6"/>
  <c r="H287" i="6"/>
  <c r="I287" i="6"/>
  <c r="N287" i="6"/>
  <c r="R287" i="6"/>
  <c r="Q287" i="6" s="1"/>
  <c r="S287" i="6" s="1"/>
  <c r="T287" i="6"/>
  <c r="C288" i="6"/>
  <c r="D288" i="6"/>
  <c r="E288" i="6"/>
  <c r="F288" i="6"/>
  <c r="H288" i="6"/>
  <c r="I288" i="6"/>
  <c r="N288" i="6"/>
  <c r="N1080" i="6" s="1"/>
  <c r="Q288" i="6"/>
  <c r="S288" i="6" s="1"/>
  <c r="R288" i="6"/>
  <c r="T288" i="6"/>
  <c r="C289" i="6"/>
  <c r="D289" i="6"/>
  <c r="E289" i="6"/>
  <c r="F289" i="6"/>
  <c r="H289" i="6"/>
  <c r="I289" i="6"/>
  <c r="N289" i="6"/>
  <c r="R289" i="6"/>
  <c r="Q289" i="6" s="1"/>
  <c r="S289" i="6"/>
  <c r="T289" i="6"/>
  <c r="C290" i="6"/>
  <c r="L290" i="6" s="1"/>
  <c r="D290" i="6"/>
  <c r="E290" i="6"/>
  <c r="F290" i="6"/>
  <c r="H290" i="6"/>
  <c r="I290" i="6"/>
  <c r="N290" i="6"/>
  <c r="Q290" i="6"/>
  <c r="S290" i="6" s="1"/>
  <c r="R290" i="6"/>
  <c r="T290" i="6"/>
  <c r="C291" i="6"/>
  <c r="L291" i="6" s="1"/>
  <c r="D291" i="6"/>
  <c r="E291" i="6"/>
  <c r="F291" i="6"/>
  <c r="H291" i="6"/>
  <c r="I291" i="6"/>
  <c r="N291" i="6"/>
  <c r="R291" i="6"/>
  <c r="Q291" i="6" s="1"/>
  <c r="S291" i="6"/>
  <c r="S1080" i="6" s="1"/>
  <c r="T291" i="6"/>
  <c r="C292" i="6"/>
  <c r="D292" i="6"/>
  <c r="E292" i="6"/>
  <c r="F292" i="6"/>
  <c r="H292" i="6"/>
  <c r="I292" i="6"/>
  <c r="L292" i="6"/>
  <c r="N292" i="6"/>
  <c r="R292" i="6"/>
  <c r="Q292" i="6" s="1"/>
  <c r="S292" i="6" s="1"/>
  <c r="T292" i="6"/>
  <c r="C293" i="6"/>
  <c r="D293" i="6"/>
  <c r="E293" i="6"/>
  <c r="F293" i="6"/>
  <c r="H293" i="6"/>
  <c r="I293" i="6"/>
  <c r="N293" i="6"/>
  <c r="R293" i="6"/>
  <c r="Q293" i="6" s="1"/>
  <c r="S293" i="6"/>
  <c r="T293" i="6"/>
  <c r="C294" i="6"/>
  <c r="L294" i="6" s="1"/>
  <c r="D294" i="6"/>
  <c r="E294" i="6"/>
  <c r="F294" i="6"/>
  <c r="H294" i="6"/>
  <c r="I294" i="6"/>
  <c r="N294" i="6"/>
  <c r="Q294" i="6"/>
  <c r="S294" i="6" s="1"/>
  <c r="R294" i="6"/>
  <c r="T294" i="6"/>
  <c r="C295" i="6"/>
  <c r="D295" i="6"/>
  <c r="E295" i="6"/>
  <c r="F295" i="6"/>
  <c r="H295" i="6"/>
  <c r="I295" i="6"/>
  <c r="N295" i="6"/>
  <c r="R295" i="6"/>
  <c r="Q295" i="6" s="1"/>
  <c r="S295" i="6" s="1"/>
  <c r="T295" i="6"/>
  <c r="C296" i="6"/>
  <c r="D296" i="6"/>
  <c r="E296" i="6"/>
  <c r="F296" i="6"/>
  <c r="H296" i="6"/>
  <c r="I296" i="6"/>
  <c r="N296" i="6"/>
  <c r="R296" i="6"/>
  <c r="Q296" i="6" s="1"/>
  <c r="S296" i="6" s="1"/>
  <c r="T296" i="6"/>
  <c r="C297" i="6"/>
  <c r="D297" i="6"/>
  <c r="E297" i="6"/>
  <c r="F297" i="6"/>
  <c r="H297" i="6"/>
  <c r="I297" i="6"/>
  <c r="N297" i="6"/>
  <c r="R297" i="6"/>
  <c r="Q297" i="6" s="1"/>
  <c r="S297" i="6"/>
  <c r="T297" i="6"/>
  <c r="C298" i="6"/>
  <c r="L298" i="6" s="1"/>
  <c r="D298" i="6"/>
  <c r="E298" i="6"/>
  <c r="F298" i="6"/>
  <c r="H298" i="6"/>
  <c r="I298" i="6"/>
  <c r="N298" i="6"/>
  <c r="Q298" i="6"/>
  <c r="S298" i="6" s="1"/>
  <c r="R298" i="6"/>
  <c r="T298" i="6"/>
  <c r="C299" i="6"/>
  <c r="D299" i="6"/>
  <c r="E299" i="6"/>
  <c r="F299" i="6"/>
  <c r="H299" i="6"/>
  <c r="I299" i="6"/>
  <c r="N299" i="6"/>
  <c r="R299" i="6"/>
  <c r="Q299" i="6" s="1"/>
  <c r="S299" i="6" s="1"/>
  <c r="T299" i="6"/>
  <c r="C300" i="6"/>
  <c r="D300" i="6"/>
  <c r="E300" i="6"/>
  <c r="F300" i="6"/>
  <c r="H300" i="6"/>
  <c r="I300" i="6"/>
  <c r="N300" i="6"/>
  <c r="R300" i="6"/>
  <c r="Q300" i="6" s="1"/>
  <c r="S300" i="6" s="1"/>
  <c r="T300" i="6"/>
  <c r="C301" i="6"/>
  <c r="D301" i="6"/>
  <c r="E301" i="6"/>
  <c r="F301" i="6"/>
  <c r="H301" i="6"/>
  <c r="H1081" i="6" s="1"/>
  <c r="I301" i="6"/>
  <c r="N301" i="6"/>
  <c r="R301" i="6"/>
  <c r="Q301" i="6" s="1"/>
  <c r="S301" i="6"/>
  <c r="T301" i="6"/>
  <c r="C302" i="6"/>
  <c r="L302" i="6" s="1"/>
  <c r="D302" i="6"/>
  <c r="E302" i="6"/>
  <c r="F302" i="6"/>
  <c r="H302" i="6"/>
  <c r="I302" i="6"/>
  <c r="N302" i="6"/>
  <c r="Q302" i="6"/>
  <c r="S302" i="6" s="1"/>
  <c r="R302" i="6"/>
  <c r="T302" i="6"/>
  <c r="C303" i="6"/>
  <c r="D303" i="6"/>
  <c r="E303" i="6"/>
  <c r="F303" i="6"/>
  <c r="H303" i="6"/>
  <c r="I303" i="6"/>
  <c r="N303" i="6"/>
  <c r="R303" i="6"/>
  <c r="Q303" i="6" s="1"/>
  <c r="S303" i="6" s="1"/>
  <c r="T303" i="6"/>
  <c r="C304" i="6"/>
  <c r="L304" i="6" s="1"/>
  <c r="D304" i="6"/>
  <c r="E304" i="6"/>
  <c r="F304" i="6"/>
  <c r="H304" i="6"/>
  <c r="I304" i="6"/>
  <c r="N304" i="6"/>
  <c r="Q304" i="6"/>
  <c r="R304" i="6"/>
  <c r="T304" i="6"/>
  <c r="C305" i="6"/>
  <c r="D305" i="6"/>
  <c r="E305" i="6"/>
  <c r="F305" i="6"/>
  <c r="H305" i="6"/>
  <c r="I305" i="6"/>
  <c r="N305" i="6"/>
  <c r="R305" i="6"/>
  <c r="Q305" i="6" s="1"/>
  <c r="S305" i="6"/>
  <c r="T305" i="6"/>
  <c r="C306" i="6"/>
  <c r="L306" i="6" s="1"/>
  <c r="D306" i="6"/>
  <c r="E306" i="6"/>
  <c r="F306" i="6"/>
  <c r="H306" i="6"/>
  <c r="I306" i="6"/>
  <c r="N306" i="6"/>
  <c r="Q306" i="6"/>
  <c r="S306" i="6" s="1"/>
  <c r="R306" i="6"/>
  <c r="T306" i="6"/>
  <c r="C307" i="6"/>
  <c r="D307" i="6"/>
  <c r="D1081" i="6" s="1"/>
  <c r="E307" i="6"/>
  <c r="F307" i="6"/>
  <c r="H307" i="6"/>
  <c r="I307" i="6"/>
  <c r="N307" i="6"/>
  <c r="R307" i="6"/>
  <c r="Q307" i="6" s="1"/>
  <c r="S307" i="6"/>
  <c r="T307" i="6"/>
  <c r="C308" i="6"/>
  <c r="D308" i="6"/>
  <c r="E308" i="6"/>
  <c r="F308" i="6"/>
  <c r="H308" i="6"/>
  <c r="I308" i="6"/>
  <c r="L308" i="6"/>
  <c r="N308" i="6"/>
  <c r="R308" i="6"/>
  <c r="Q308" i="6" s="1"/>
  <c r="S308" i="6" s="1"/>
  <c r="T308" i="6"/>
  <c r="C309" i="6"/>
  <c r="D309" i="6"/>
  <c r="E309" i="6"/>
  <c r="F309" i="6"/>
  <c r="H309" i="6"/>
  <c r="I309" i="6"/>
  <c r="N309" i="6"/>
  <c r="R309" i="6"/>
  <c r="Q309" i="6" s="1"/>
  <c r="S309" i="6"/>
  <c r="T309" i="6"/>
  <c r="C310" i="6"/>
  <c r="D310" i="6"/>
  <c r="E310" i="6"/>
  <c r="F310" i="6"/>
  <c r="H310" i="6"/>
  <c r="I310" i="6"/>
  <c r="N310" i="6"/>
  <c r="R310" i="6"/>
  <c r="T310" i="6"/>
  <c r="C311" i="6"/>
  <c r="D311" i="6"/>
  <c r="E311" i="6"/>
  <c r="F311" i="6"/>
  <c r="H311" i="6"/>
  <c r="I311" i="6"/>
  <c r="N311" i="6"/>
  <c r="R311" i="6"/>
  <c r="Q311" i="6" s="1"/>
  <c r="S311" i="6" s="1"/>
  <c r="T311" i="6"/>
  <c r="C312" i="6"/>
  <c r="D312" i="6"/>
  <c r="E312" i="6"/>
  <c r="F312" i="6"/>
  <c r="H312" i="6"/>
  <c r="I312" i="6"/>
  <c r="N312" i="6"/>
  <c r="R312" i="6"/>
  <c r="Q312" i="6" s="1"/>
  <c r="S312" i="6" s="1"/>
  <c r="T312" i="6"/>
  <c r="C313" i="6"/>
  <c r="D313" i="6"/>
  <c r="E313" i="6"/>
  <c r="F313" i="6"/>
  <c r="H313" i="6"/>
  <c r="H1082" i="6" s="1"/>
  <c r="I313" i="6"/>
  <c r="N313" i="6"/>
  <c r="R313" i="6"/>
  <c r="Q313" i="6" s="1"/>
  <c r="S313" i="6"/>
  <c r="T313" i="6"/>
  <c r="C314" i="6"/>
  <c r="L314" i="6" s="1"/>
  <c r="D314" i="6"/>
  <c r="E314" i="6"/>
  <c r="F314" i="6"/>
  <c r="H314" i="6"/>
  <c r="I314" i="6"/>
  <c r="N314" i="6"/>
  <c r="Q314" i="6"/>
  <c r="S314" i="6" s="1"/>
  <c r="R314" i="6"/>
  <c r="T314" i="6"/>
  <c r="C315" i="6"/>
  <c r="D315" i="6"/>
  <c r="E315" i="6"/>
  <c r="F315" i="6"/>
  <c r="H315" i="6"/>
  <c r="I315" i="6"/>
  <c r="N315" i="6"/>
  <c r="R315" i="6"/>
  <c r="Q315" i="6" s="1"/>
  <c r="S315" i="6" s="1"/>
  <c r="T315" i="6"/>
  <c r="C316" i="6"/>
  <c r="L316" i="6" s="1"/>
  <c r="D316" i="6"/>
  <c r="E316" i="6"/>
  <c r="F316" i="6"/>
  <c r="H316" i="6"/>
  <c r="I316" i="6"/>
  <c r="N316" i="6"/>
  <c r="R316" i="6"/>
  <c r="T316" i="6"/>
  <c r="C317" i="6"/>
  <c r="D317" i="6"/>
  <c r="E317" i="6"/>
  <c r="F317" i="6"/>
  <c r="H317" i="6"/>
  <c r="I317" i="6"/>
  <c r="N317" i="6"/>
  <c r="R317" i="6"/>
  <c r="Q317" i="6" s="1"/>
  <c r="S317" i="6" s="1"/>
  <c r="T317" i="6"/>
  <c r="C318" i="6"/>
  <c r="D318" i="6"/>
  <c r="E318" i="6"/>
  <c r="F318" i="6"/>
  <c r="H318" i="6"/>
  <c r="I318" i="6"/>
  <c r="L318" i="6" s="1"/>
  <c r="N318" i="6"/>
  <c r="Q318" i="6"/>
  <c r="S318" i="6" s="1"/>
  <c r="R318" i="6"/>
  <c r="T318" i="6"/>
  <c r="C319" i="6"/>
  <c r="D319" i="6"/>
  <c r="E319" i="6"/>
  <c r="F319" i="6"/>
  <c r="H319" i="6"/>
  <c r="I319" i="6"/>
  <c r="N319" i="6"/>
  <c r="R319" i="6"/>
  <c r="Q319" i="6" s="1"/>
  <c r="S319" i="6" s="1"/>
  <c r="T319" i="6"/>
  <c r="C320" i="6"/>
  <c r="D320" i="6"/>
  <c r="E320" i="6"/>
  <c r="F320" i="6"/>
  <c r="H320" i="6"/>
  <c r="I320" i="6"/>
  <c r="N320" i="6"/>
  <c r="Q320" i="6"/>
  <c r="S320" i="6" s="1"/>
  <c r="R320" i="6"/>
  <c r="T320" i="6"/>
  <c r="C321" i="6"/>
  <c r="D321" i="6"/>
  <c r="E321" i="6"/>
  <c r="F321" i="6"/>
  <c r="H321" i="6"/>
  <c r="I321" i="6"/>
  <c r="N321" i="6"/>
  <c r="R321" i="6"/>
  <c r="Q321" i="6" s="1"/>
  <c r="S321" i="6"/>
  <c r="T321" i="6"/>
  <c r="C322" i="6"/>
  <c r="D322" i="6"/>
  <c r="E322" i="6"/>
  <c r="F322" i="6"/>
  <c r="H322" i="6"/>
  <c r="I322" i="6"/>
  <c r="L322" i="6"/>
  <c r="N322" i="6"/>
  <c r="Q322" i="6"/>
  <c r="S322" i="6" s="1"/>
  <c r="R322" i="6"/>
  <c r="T322" i="6"/>
  <c r="C323" i="6"/>
  <c r="L323" i="6" s="1"/>
  <c r="D323" i="6"/>
  <c r="E323" i="6"/>
  <c r="F323" i="6"/>
  <c r="H323" i="6"/>
  <c r="I323" i="6"/>
  <c r="N323" i="6"/>
  <c r="R323" i="6"/>
  <c r="Q323" i="6" s="1"/>
  <c r="S323" i="6"/>
  <c r="T323" i="6"/>
  <c r="C324" i="6"/>
  <c r="D324" i="6"/>
  <c r="E324" i="6"/>
  <c r="F324" i="6"/>
  <c r="H324" i="6"/>
  <c r="I324" i="6"/>
  <c r="L324" i="6"/>
  <c r="N324" i="6"/>
  <c r="R324" i="6"/>
  <c r="Q324" i="6" s="1"/>
  <c r="S324" i="6" s="1"/>
  <c r="T324" i="6"/>
  <c r="C325" i="6"/>
  <c r="D325" i="6"/>
  <c r="E325" i="6"/>
  <c r="F325" i="6"/>
  <c r="H325" i="6"/>
  <c r="I325" i="6"/>
  <c r="N325" i="6"/>
  <c r="R325" i="6"/>
  <c r="Q325" i="6" s="1"/>
  <c r="S325" i="6"/>
  <c r="T325" i="6"/>
  <c r="C326" i="6"/>
  <c r="L326" i="6" s="1"/>
  <c r="D326" i="6"/>
  <c r="E326" i="6"/>
  <c r="F326" i="6"/>
  <c r="H326" i="6"/>
  <c r="I326" i="6"/>
  <c r="N326" i="6"/>
  <c r="Q326" i="6"/>
  <c r="S326" i="6" s="1"/>
  <c r="R326" i="6"/>
  <c r="T326" i="6"/>
  <c r="C327" i="6"/>
  <c r="D327" i="6"/>
  <c r="E327" i="6"/>
  <c r="F327" i="6"/>
  <c r="H327" i="6"/>
  <c r="I327" i="6"/>
  <c r="N327" i="6"/>
  <c r="Q327" i="6"/>
  <c r="R327" i="6"/>
  <c r="T327" i="6"/>
  <c r="C328" i="6"/>
  <c r="D328" i="6"/>
  <c r="E328" i="6"/>
  <c r="F328" i="6"/>
  <c r="H328" i="6"/>
  <c r="I328" i="6"/>
  <c r="N328" i="6"/>
  <c r="Q328" i="6"/>
  <c r="S328" i="6" s="1"/>
  <c r="R328" i="6"/>
  <c r="T328" i="6"/>
  <c r="C329" i="6"/>
  <c r="D329" i="6"/>
  <c r="D1083" i="6" s="1"/>
  <c r="E329" i="6"/>
  <c r="F329" i="6"/>
  <c r="H329" i="6"/>
  <c r="I329" i="6"/>
  <c r="N329" i="6"/>
  <c r="Q329" i="6"/>
  <c r="R329" i="6"/>
  <c r="S329" i="6"/>
  <c r="T329" i="6"/>
  <c r="C330" i="6"/>
  <c r="D330" i="6"/>
  <c r="E330" i="6"/>
  <c r="F330" i="6"/>
  <c r="H330" i="6"/>
  <c r="I330" i="6"/>
  <c r="L330" i="6"/>
  <c r="N330" i="6"/>
  <c r="Q330" i="6"/>
  <c r="S330" i="6" s="1"/>
  <c r="R330" i="6"/>
  <c r="T330" i="6"/>
  <c r="C331" i="6"/>
  <c r="D331" i="6"/>
  <c r="E331" i="6"/>
  <c r="F331" i="6"/>
  <c r="H331" i="6"/>
  <c r="I331" i="6"/>
  <c r="N331" i="6"/>
  <c r="Q331" i="6"/>
  <c r="R331" i="6"/>
  <c r="S331" i="6"/>
  <c r="T331" i="6"/>
  <c r="C332" i="6"/>
  <c r="L332" i="6" s="1"/>
  <c r="D332" i="6"/>
  <c r="E332" i="6"/>
  <c r="F332" i="6"/>
  <c r="H332" i="6"/>
  <c r="I332" i="6"/>
  <c r="N332" i="6"/>
  <c r="Q332" i="6"/>
  <c r="S332" i="6" s="1"/>
  <c r="R332" i="6"/>
  <c r="T332" i="6"/>
  <c r="C333" i="6"/>
  <c r="D333" i="6"/>
  <c r="E333" i="6"/>
  <c r="F333" i="6"/>
  <c r="H333" i="6"/>
  <c r="I333" i="6"/>
  <c r="N333" i="6"/>
  <c r="Q333" i="6"/>
  <c r="S333" i="6" s="1"/>
  <c r="R333" i="6"/>
  <c r="T333" i="6"/>
  <c r="C334" i="6"/>
  <c r="D334" i="6"/>
  <c r="E334" i="6"/>
  <c r="F334" i="6"/>
  <c r="H334" i="6"/>
  <c r="I334" i="6"/>
  <c r="N334" i="6"/>
  <c r="Q334" i="6"/>
  <c r="S334" i="6" s="1"/>
  <c r="R334" i="6"/>
  <c r="T334" i="6"/>
  <c r="C335" i="6"/>
  <c r="D335" i="6"/>
  <c r="E335" i="6"/>
  <c r="F335" i="6"/>
  <c r="H335" i="6"/>
  <c r="I335" i="6"/>
  <c r="N335" i="6"/>
  <c r="Q335" i="6"/>
  <c r="R335" i="6"/>
  <c r="S335" i="6"/>
  <c r="T335" i="6"/>
  <c r="C336" i="6"/>
  <c r="D336" i="6"/>
  <c r="E336" i="6"/>
  <c r="F336" i="6"/>
  <c r="H336" i="6"/>
  <c r="I336" i="6"/>
  <c r="L336" i="6"/>
  <c r="N336" i="6"/>
  <c r="Q336" i="6"/>
  <c r="S336" i="6" s="1"/>
  <c r="R336" i="6"/>
  <c r="T336" i="6"/>
  <c r="C337" i="6"/>
  <c r="D337" i="6"/>
  <c r="E337" i="6"/>
  <c r="F337" i="6"/>
  <c r="H337" i="6"/>
  <c r="I337" i="6"/>
  <c r="N337" i="6"/>
  <c r="Q337" i="6"/>
  <c r="S337" i="6" s="1"/>
  <c r="R337" i="6"/>
  <c r="T337" i="6"/>
  <c r="C338" i="6"/>
  <c r="D338" i="6"/>
  <c r="E338" i="6"/>
  <c r="F338" i="6"/>
  <c r="H338" i="6"/>
  <c r="H1084" i="6" s="1"/>
  <c r="I338" i="6"/>
  <c r="N338" i="6"/>
  <c r="Q338" i="6"/>
  <c r="S338" i="6" s="1"/>
  <c r="R338" i="6"/>
  <c r="T338" i="6"/>
  <c r="C339" i="6"/>
  <c r="D339" i="6"/>
  <c r="D1084" i="6" s="1"/>
  <c r="E339" i="6"/>
  <c r="F339" i="6"/>
  <c r="H339" i="6"/>
  <c r="I339" i="6"/>
  <c r="N339" i="6"/>
  <c r="Q339" i="6"/>
  <c r="R339" i="6"/>
  <c r="S339" i="6"/>
  <c r="T339" i="6"/>
  <c r="C340" i="6"/>
  <c r="D340" i="6"/>
  <c r="E340" i="6"/>
  <c r="F340" i="6"/>
  <c r="H340" i="6"/>
  <c r="I340" i="6"/>
  <c r="L340" i="6"/>
  <c r="N340" i="6"/>
  <c r="Q340" i="6"/>
  <c r="S340" i="6" s="1"/>
  <c r="R340" i="6"/>
  <c r="T340" i="6"/>
  <c r="C341" i="6"/>
  <c r="D341" i="6"/>
  <c r="E341" i="6"/>
  <c r="F341" i="6"/>
  <c r="H341" i="6"/>
  <c r="I341" i="6"/>
  <c r="N341" i="6"/>
  <c r="Q341" i="6"/>
  <c r="S341" i="6" s="1"/>
  <c r="R341" i="6"/>
  <c r="T341" i="6"/>
  <c r="C342" i="6"/>
  <c r="L342" i="6" s="1"/>
  <c r="D342" i="6"/>
  <c r="E342" i="6"/>
  <c r="F342" i="6"/>
  <c r="H342" i="6"/>
  <c r="I342" i="6"/>
  <c r="N342" i="6"/>
  <c r="Q342" i="6"/>
  <c r="S342" i="6" s="1"/>
  <c r="R342" i="6"/>
  <c r="T342" i="6"/>
  <c r="C343" i="6"/>
  <c r="D343" i="6"/>
  <c r="E343" i="6"/>
  <c r="F343" i="6"/>
  <c r="H343" i="6"/>
  <c r="I343" i="6"/>
  <c r="N343" i="6"/>
  <c r="Q343" i="6"/>
  <c r="R343" i="6"/>
  <c r="S343" i="6"/>
  <c r="T343" i="6"/>
  <c r="C344" i="6"/>
  <c r="D344" i="6"/>
  <c r="E344" i="6"/>
  <c r="F344" i="6"/>
  <c r="H344" i="6"/>
  <c r="I344" i="6"/>
  <c r="L344" i="6"/>
  <c r="N344" i="6"/>
  <c r="Q344" i="6"/>
  <c r="S344" i="6" s="1"/>
  <c r="R344" i="6"/>
  <c r="T344" i="6"/>
  <c r="C345" i="6"/>
  <c r="D345" i="6"/>
  <c r="E345" i="6"/>
  <c r="F345" i="6"/>
  <c r="H345" i="6"/>
  <c r="I345" i="6"/>
  <c r="N345" i="6"/>
  <c r="Q345" i="6"/>
  <c r="S345" i="6" s="1"/>
  <c r="R345" i="6"/>
  <c r="T345" i="6"/>
  <c r="C346" i="6"/>
  <c r="D346" i="6"/>
  <c r="E346" i="6"/>
  <c r="F346" i="6"/>
  <c r="H346" i="6"/>
  <c r="I346" i="6"/>
  <c r="N346" i="6"/>
  <c r="Q346" i="6"/>
  <c r="R346" i="6"/>
  <c r="T346" i="6"/>
  <c r="C347" i="6"/>
  <c r="D347" i="6"/>
  <c r="E347" i="6"/>
  <c r="F347" i="6"/>
  <c r="H347" i="6"/>
  <c r="I347" i="6"/>
  <c r="I1084" i="6" s="1"/>
  <c r="N347" i="6"/>
  <c r="Q347" i="6"/>
  <c r="R347" i="6"/>
  <c r="S347" i="6"/>
  <c r="T347" i="6"/>
  <c r="C348" i="6"/>
  <c r="D348" i="6"/>
  <c r="E348" i="6"/>
  <c r="F348" i="6"/>
  <c r="H348" i="6"/>
  <c r="I348" i="6"/>
  <c r="L348" i="6"/>
  <c r="N348" i="6"/>
  <c r="Q348" i="6"/>
  <c r="S348" i="6" s="1"/>
  <c r="R348" i="6"/>
  <c r="T348" i="6"/>
  <c r="C349" i="6"/>
  <c r="D349" i="6"/>
  <c r="E349" i="6"/>
  <c r="F349" i="6"/>
  <c r="H349" i="6"/>
  <c r="I349" i="6"/>
  <c r="N349" i="6"/>
  <c r="Q349" i="6"/>
  <c r="R349" i="6"/>
  <c r="T349" i="6"/>
  <c r="C350" i="6"/>
  <c r="D350" i="6"/>
  <c r="E350" i="6"/>
  <c r="F350" i="6"/>
  <c r="H350" i="6"/>
  <c r="I350" i="6"/>
  <c r="N350" i="6"/>
  <c r="Q350" i="6"/>
  <c r="S350" i="6" s="1"/>
  <c r="R350" i="6"/>
  <c r="T350" i="6"/>
  <c r="C351" i="6"/>
  <c r="D351" i="6"/>
  <c r="E351" i="6"/>
  <c r="F351" i="6"/>
  <c r="H351" i="6"/>
  <c r="I351" i="6"/>
  <c r="N351" i="6"/>
  <c r="Q351" i="6"/>
  <c r="R351" i="6"/>
  <c r="S351" i="6"/>
  <c r="T351" i="6"/>
  <c r="C352" i="6"/>
  <c r="D352" i="6"/>
  <c r="E352" i="6"/>
  <c r="F352" i="6"/>
  <c r="H352" i="6"/>
  <c r="I352" i="6"/>
  <c r="L352" i="6"/>
  <c r="N352" i="6"/>
  <c r="Q352" i="6"/>
  <c r="S352" i="6" s="1"/>
  <c r="R352" i="6"/>
  <c r="T352" i="6"/>
  <c r="C353" i="6"/>
  <c r="D353" i="6"/>
  <c r="E353" i="6"/>
  <c r="F353" i="6"/>
  <c r="H353" i="6"/>
  <c r="I353" i="6"/>
  <c r="N353" i="6"/>
  <c r="Q353" i="6"/>
  <c r="S353" i="6" s="1"/>
  <c r="R353" i="6"/>
  <c r="T353" i="6"/>
  <c r="C354" i="6"/>
  <c r="D354" i="6"/>
  <c r="E354" i="6"/>
  <c r="F354" i="6"/>
  <c r="H354" i="6"/>
  <c r="H1085" i="6" s="1"/>
  <c r="I354" i="6"/>
  <c r="N354" i="6"/>
  <c r="Q354" i="6"/>
  <c r="S354" i="6" s="1"/>
  <c r="R354" i="6"/>
  <c r="T354" i="6"/>
  <c r="C355" i="6"/>
  <c r="D355" i="6"/>
  <c r="D1085" i="6" s="1"/>
  <c r="E355" i="6"/>
  <c r="F355" i="6"/>
  <c r="H355" i="6"/>
  <c r="I355" i="6"/>
  <c r="N355" i="6"/>
  <c r="Q355" i="6"/>
  <c r="R355" i="6"/>
  <c r="S355" i="6"/>
  <c r="T355" i="6"/>
  <c r="C356" i="6"/>
  <c r="D356" i="6"/>
  <c r="E356" i="6"/>
  <c r="F356" i="6"/>
  <c r="H356" i="6"/>
  <c r="I356" i="6"/>
  <c r="L356" i="6"/>
  <c r="N356" i="6"/>
  <c r="Q356" i="6"/>
  <c r="S356" i="6" s="1"/>
  <c r="R356" i="6"/>
  <c r="T356" i="6"/>
  <c r="C357" i="6"/>
  <c r="D357" i="6"/>
  <c r="E357" i="6"/>
  <c r="F357" i="6"/>
  <c r="H357" i="6"/>
  <c r="I357" i="6"/>
  <c r="N357" i="6"/>
  <c r="Q357" i="6"/>
  <c r="S357" i="6" s="1"/>
  <c r="R357" i="6"/>
  <c r="T357" i="6"/>
  <c r="C358" i="6"/>
  <c r="L358" i="6" s="1"/>
  <c r="D358" i="6"/>
  <c r="E358" i="6"/>
  <c r="F358" i="6"/>
  <c r="H358" i="6"/>
  <c r="I358" i="6"/>
  <c r="N358" i="6"/>
  <c r="Q358" i="6"/>
  <c r="S358" i="6" s="1"/>
  <c r="R358" i="6"/>
  <c r="T358" i="6"/>
  <c r="C359" i="6"/>
  <c r="D359" i="6"/>
  <c r="E359" i="6"/>
  <c r="F359" i="6"/>
  <c r="H359" i="6"/>
  <c r="I359" i="6"/>
  <c r="N359" i="6"/>
  <c r="Q359" i="6"/>
  <c r="R359" i="6"/>
  <c r="S359" i="6"/>
  <c r="T359" i="6"/>
  <c r="C360" i="6"/>
  <c r="D360" i="6"/>
  <c r="E360" i="6"/>
  <c r="F360" i="6"/>
  <c r="H360" i="6"/>
  <c r="I360" i="6"/>
  <c r="L360" i="6"/>
  <c r="N360" i="6"/>
  <c r="Q360" i="6"/>
  <c r="S360" i="6" s="1"/>
  <c r="R360" i="6"/>
  <c r="T360" i="6"/>
  <c r="C361" i="6"/>
  <c r="D361" i="6"/>
  <c r="E361" i="6"/>
  <c r="F361" i="6"/>
  <c r="H361" i="6"/>
  <c r="I361" i="6"/>
  <c r="N361" i="6"/>
  <c r="Q361" i="6"/>
  <c r="S361" i="6" s="1"/>
  <c r="R361" i="6"/>
  <c r="T361" i="6"/>
  <c r="C362" i="6"/>
  <c r="D362" i="6"/>
  <c r="E362" i="6"/>
  <c r="F362" i="6"/>
  <c r="H362" i="6"/>
  <c r="I362" i="6"/>
  <c r="N362" i="6"/>
  <c r="Q362" i="6"/>
  <c r="R362" i="6"/>
  <c r="T362" i="6"/>
  <c r="C363" i="6"/>
  <c r="D363" i="6"/>
  <c r="E363" i="6"/>
  <c r="F363" i="6"/>
  <c r="H363" i="6"/>
  <c r="I363" i="6"/>
  <c r="I1086" i="6" s="1"/>
  <c r="N363" i="6"/>
  <c r="Q363" i="6"/>
  <c r="R363" i="6"/>
  <c r="S363" i="6"/>
  <c r="T363" i="6"/>
  <c r="C364" i="6"/>
  <c r="D364" i="6"/>
  <c r="E364" i="6"/>
  <c r="F364" i="6"/>
  <c r="H364" i="6"/>
  <c r="I364" i="6"/>
  <c r="L364" i="6"/>
  <c r="N364" i="6"/>
  <c r="Q364" i="6"/>
  <c r="S364" i="6" s="1"/>
  <c r="R364" i="6"/>
  <c r="T364" i="6"/>
  <c r="C365" i="6"/>
  <c r="D365" i="6"/>
  <c r="E365" i="6"/>
  <c r="F365" i="6"/>
  <c r="H365" i="6"/>
  <c r="I365" i="6"/>
  <c r="N365" i="6"/>
  <c r="Q365" i="6"/>
  <c r="R365" i="6"/>
  <c r="T365" i="6"/>
  <c r="C366" i="6"/>
  <c r="D366" i="6"/>
  <c r="E366" i="6"/>
  <c r="F366" i="6"/>
  <c r="H366" i="6"/>
  <c r="I366" i="6"/>
  <c r="N366" i="6"/>
  <c r="Q366" i="6"/>
  <c r="S366" i="6" s="1"/>
  <c r="R366" i="6"/>
  <c r="T366" i="6"/>
  <c r="C367" i="6"/>
  <c r="D367" i="6"/>
  <c r="E367" i="6"/>
  <c r="F367" i="6"/>
  <c r="H367" i="6"/>
  <c r="I367" i="6"/>
  <c r="N367" i="6"/>
  <c r="Q367" i="6"/>
  <c r="R367" i="6"/>
  <c r="S367" i="6"/>
  <c r="T367" i="6"/>
  <c r="C368" i="6"/>
  <c r="D368" i="6"/>
  <c r="E368" i="6"/>
  <c r="F368" i="6"/>
  <c r="H368" i="6"/>
  <c r="I368" i="6"/>
  <c r="L368" i="6"/>
  <c r="N368" i="6"/>
  <c r="Q368" i="6"/>
  <c r="S368" i="6" s="1"/>
  <c r="R368" i="6"/>
  <c r="T368" i="6"/>
  <c r="C369" i="6"/>
  <c r="D369" i="6"/>
  <c r="E369" i="6"/>
  <c r="F369" i="6"/>
  <c r="H369" i="6"/>
  <c r="I369" i="6"/>
  <c r="N369" i="6"/>
  <c r="Q369" i="6"/>
  <c r="S369" i="6" s="1"/>
  <c r="R369" i="6"/>
  <c r="T369" i="6"/>
  <c r="C370" i="6"/>
  <c r="D370" i="6"/>
  <c r="E370" i="6"/>
  <c r="F370" i="6"/>
  <c r="H370" i="6"/>
  <c r="I370" i="6"/>
  <c r="N370" i="6"/>
  <c r="Q370" i="6"/>
  <c r="S370" i="6" s="1"/>
  <c r="R370" i="6"/>
  <c r="T370" i="6"/>
  <c r="C371" i="6"/>
  <c r="D371" i="6"/>
  <c r="D1086" i="6" s="1"/>
  <c r="E371" i="6"/>
  <c r="F371" i="6"/>
  <c r="H371" i="6"/>
  <c r="I371" i="6"/>
  <c r="N371" i="6"/>
  <c r="Q371" i="6"/>
  <c r="R371" i="6"/>
  <c r="S371" i="6"/>
  <c r="T371" i="6"/>
  <c r="C372" i="6"/>
  <c r="D372" i="6"/>
  <c r="E372" i="6"/>
  <c r="F372" i="6"/>
  <c r="H372" i="6"/>
  <c r="I372" i="6"/>
  <c r="L372" i="6"/>
  <c r="N372" i="6"/>
  <c r="Q372" i="6"/>
  <c r="S372" i="6" s="1"/>
  <c r="R372" i="6"/>
  <c r="T372" i="6"/>
  <c r="C373" i="6"/>
  <c r="D373" i="6"/>
  <c r="E373" i="6"/>
  <c r="F373" i="6"/>
  <c r="H373" i="6"/>
  <c r="I373" i="6"/>
  <c r="N373" i="6"/>
  <c r="Q373" i="6"/>
  <c r="S373" i="6" s="1"/>
  <c r="R373" i="6"/>
  <c r="T373" i="6"/>
  <c r="C374" i="6"/>
  <c r="L374" i="6" s="1"/>
  <c r="D374" i="6"/>
  <c r="E374" i="6"/>
  <c r="F374" i="6"/>
  <c r="H374" i="6"/>
  <c r="I374" i="6"/>
  <c r="N374" i="6"/>
  <c r="Q374" i="6"/>
  <c r="S374" i="6" s="1"/>
  <c r="R374" i="6"/>
  <c r="T374" i="6"/>
  <c r="C375" i="6"/>
  <c r="D375" i="6"/>
  <c r="E375" i="6"/>
  <c r="F375" i="6"/>
  <c r="H375" i="6"/>
  <c r="I375" i="6"/>
  <c r="N375" i="6"/>
  <c r="Q375" i="6"/>
  <c r="R375" i="6"/>
  <c r="S375" i="6"/>
  <c r="T375" i="6"/>
  <c r="C376" i="6"/>
  <c r="D376" i="6"/>
  <c r="E376" i="6"/>
  <c r="F376" i="6"/>
  <c r="H376" i="6"/>
  <c r="I376" i="6"/>
  <c r="L376" i="6"/>
  <c r="N376" i="6"/>
  <c r="Q376" i="6"/>
  <c r="S376" i="6" s="1"/>
  <c r="R376" i="6"/>
  <c r="T376" i="6"/>
  <c r="C377" i="6"/>
  <c r="D377" i="6"/>
  <c r="E377" i="6"/>
  <c r="F377" i="6"/>
  <c r="H377" i="6"/>
  <c r="I377" i="6"/>
  <c r="N377" i="6"/>
  <c r="Q377" i="6"/>
  <c r="S377" i="6" s="1"/>
  <c r="R377" i="6"/>
  <c r="T377" i="6"/>
  <c r="C378" i="6"/>
  <c r="L378" i="6" s="1"/>
  <c r="D378" i="6"/>
  <c r="E378" i="6"/>
  <c r="F378" i="6"/>
  <c r="H378" i="6"/>
  <c r="H1087" i="6" s="1"/>
  <c r="I378" i="6"/>
  <c r="N378" i="6"/>
  <c r="Q378" i="6"/>
  <c r="R378" i="6"/>
  <c r="T378" i="6"/>
  <c r="C379" i="6"/>
  <c r="D379" i="6"/>
  <c r="E379" i="6"/>
  <c r="F379" i="6"/>
  <c r="H379" i="6"/>
  <c r="I379" i="6"/>
  <c r="I1087" i="6" s="1"/>
  <c r="N379" i="6"/>
  <c r="Q379" i="6"/>
  <c r="R379" i="6"/>
  <c r="S379" i="6"/>
  <c r="T379" i="6"/>
  <c r="C380" i="6"/>
  <c r="D380" i="6"/>
  <c r="E380" i="6"/>
  <c r="F380" i="6"/>
  <c r="H380" i="6"/>
  <c r="I380" i="6"/>
  <c r="L380" i="6"/>
  <c r="N380" i="6"/>
  <c r="Q380" i="6"/>
  <c r="S380" i="6" s="1"/>
  <c r="R380" i="6"/>
  <c r="T380" i="6"/>
  <c r="C381" i="6"/>
  <c r="D381" i="6"/>
  <c r="E381" i="6"/>
  <c r="F381" i="6"/>
  <c r="H381" i="6"/>
  <c r="I381" i="6"/>
  <c r="N381" i="6"/>
  <c r="Q381" i="6"/>
  <c r="R381" i="6"/>
  <c r="T381" i="6"/>
  <c r="C382" i="6"/>
  <c r="D382" i="6"/>
  <c r="E382" i="6"/>
  <c r="F382" i="6"/>
  <c r="H382" i="6"/>
  <c r="I382" i="6"/>
  <c r="N382" i="6"/>
  <c r="Q382" i="6"/>
  <c r="S382" i="6" s="1"/>
  <c r="R382" i="6"/>
  <c r="T382" i="6"/>
  <c r="C383" i="6"/>
  <c r="D383" i="6"/>
  <c r="E383" i="6"/>
  <c r="F383" i="6"/>
  <c r="H383" i="6"/>
  <c r="I383" i="6"/>
  <c r="N383" i="6"/>
  <c r="Q383" i="6"/>
  <c r="R383" i="6"/>
  <c r="S383" i="6"/>
  <c r="T383" i="6"/>
  <c r="C384" i="6"/>
  <c r="D384" i="6"/>
  <c r="E384" i="6"/>
  <c r="F384" i="6"/>
  <c r="H384" i="6"/>
  <c r="I384" i="6"/>
  <c r="L384" i="6"/>
  <c r="N384" i="6"/>
  <c r="Q384" i="6"/>
  <c r="S384" i="6" s="1"/>
  <c r="R384" i="6"/>
  <c r="T384" i="6"/>
  <c r="C385" i="6"/>
  <c r="D385" i="6"/>
  <c r="E385" i="6"/>
  <c r="F385" i="6"/>
  <c r="H385" i="6"/>
  <c r="I385" i="6"/>
  <c r="N385" i="6"/>
  <c r="Q385" i="6"/>
  <c r="S385" i="6" s="1"/>
  <c r="R385" i="6"/>
  <c r="T385" i="6"/>
  <c r="C386" i="6"/>
  <c r="D386" i="6"/>
  <c r="E386" i="6"/>
  <c r="F386" i="6"/>
  <c r="H386" i="6"/>
  <c r="H1088" i="6" s="1"/>
  <c r="I386" i="6"/>
  <c r="N386" i="6"/>
  <c r="Q386" i="6"/>
  <c r="S386" i="6" s="1"/>
  <c r="R386" i="6"/>
  <c r="T386" i="6"/>
  <c r="C387" i="6"/>
  <c r="D387" i="6"/>
  <c r="D1088" i="6" s="1"/>
  <c r="E387" i="6"/>
  <c r="F387" i="6"/>
  <c r="H387" i="6"/>
  <c r="I387" i="6"/>
  <c r="N387" i="6"/>
  <c r="Q387" i="6"/>
  <c r="R387" i="6"/>
  <c r="S387" i="6"/>
  <c r="T387" i="6"/>
  <c r="C388" i="6"/>
  <c r="D388" i="6"/>
  <c r="E388" i="6"/>
  <c r="F388" i="6"/>
  <c r="H388" i="6"/>
  <c r="I388" i="6"/>
  <c r="L388" i="6"/>
  <c r="N388" i="6"/>
  <c r="Q388" i="6"/>
  <c r="S388" i="6" s="1"/>
  <c r="R388" i="6"/>
  <c r="T388" i="6"/>
  <c r="C389" i="6"/>
  <c r="D389" i="6"/>
  <c r="E389" i="6"/>
  <c r="F389" i="6"/>
  <c r="H389" i="6"/>
  <c r="I389" i="6"/>
  <c r="N389" i="6"/>
  <c r="Q389" i="6"/>
  <c r="S389" i="6" s="1"/>
  <c r="R389" i="6"/>
  <c r="T389" i="6"/>
  <c r="C390" i="6"/>
  <c r="L390" i="6" s="1"/>
  <c r="D390" i="6"/>
  <c r="E390" i="6"/>
  <c r="F390" i="6"/>
  <c r="H390" i="6"/>
  <c r="I390" i="6"/>
  <c r="N390" i="6"/>
  <c r="Q390" i="6"/>
  <c r="S390" i="6" s="1"/>
  <c r="R390" i="6"/>
  <c r="T390" i="6"/>
  <c r="C391" i="6"/>
  <c r="D391" i="6"/>
  <c r="E391" i="6"/>
  <c r="F391" i="6"/>
  <c r="H391" i="6"/>
  <c r="I391" i="6"/>
  <c r="N391" i="6"/>
  <c r="Q391" i="6"/>
  <c r="R391" i="6"/>
  <c r="S391" i="6"/>
  <c r="T391" i="6"/>
  <c r="C392" i="6"/>
  <c r="D392" i="6"/>
  <c r="E392" i="6"/>
  <c r="F392" i="6"/>
  <c r="H392" i="6"/>
  <c r="I392" i="6"/>
  <c r="L392" i="6"/>
  <c r="N392" i="6"/>
  <c r="Q392" i="6"/>
  <c r="S392" i="6" s="1"/>
  <c r="R392" i="6"/>
  <c r="T392" i="6"/>
  <c r="C393" i="6"/>
  <c r="D393" i="6"/>
  <c r="E393" i="6"/>
  <c r="F393" i="6"/>
  <c r="H393" i="6"/>
  <c r="I393" i="6"/>
  <c r="N393" i="6"/>
  <c r="Q393" i="6"/>
  <c r="S393" i="6" s="1"/>
  <c r="R393" i="6"/>
  <c r="T393" i="6"/>
  <c r="C394" i="6"/>
  <c r="L394" i="6" s="1"/>
  <c r="D394" i="6"/>
  <c r="E394" i="6"/>
  <c r="F394" i="6"/>
  <c r="H394" i="6"/>
  <c r="I394" i="6"/>
  <c r="N394" i="6"/>
  <c r="Q394" i="6"/>
  <c r="R394" i="6"/>
  <c r="T394" i="6"/>
  <c r="C395" i="6"/>
  <c r="D395" i="6"/>
  <c r="E395" i="6"/>
  <c r="F395" i="6"/>
  <c r="H395" i="6"/>
  <c r="I395" i="6"/>
  <c r="I1088" i="6" s="1"/>
  <c r="N395" i="6"/>
  <c r="Q395" i="6"/>
  <c r="R395" i="6"/>
  <c r="S395" i="6"/>
  <c r="T395" i="6"/>
  <c r="C396" i="6"/>
  <c r="D396" i="6"/>
  <c r="E396" i="6"/>
  <c r="F396" i="6"/>
  <c r="H396" i="6"/>
  <c r="I396" i="6"/>
  <c r="L396" i="6"/>
  <c r="N396" i="6"/>
  <c r="Q396" i="6"/>
  <c r="S396" i="6" s="1"/>
  <c r="R396" i="6"/>
  <c r="T396" i="6"/>
  <c r="C397" i="6"/>
  <c r="D397" i="6"/>
  <c r="E397" i="6"/>
  <c r="F397" i="6"/>
  <c r="H397" i="6"/>
  <c r="I397" i="6"/>
  <c r="N397" i="6"/>
  <c r="Q397" i="6"/>
  <c r="R397" i="6"/>
  <c r="T397" i="6"/>
  <c r="C398" i="6"/>
  <c r="D398" i="6"/>
  <c r="E398" i="6"/>
  <c r="F398" i="6"/>
  <c r="H398" i="6"/>
  <c r="I398" i="6"/>
  <c r="N398" i="6"/>
  <c r="Q398" i="6"/>
  <c r="S398" i="6" s="1"/>
  <c r="R398" i="6"/>
  <c r="T398" i="6"/>
  <c r="C399" i="6"/>
  <c r="D399" i="6"/>
  <c r="E399" i="6"/>
  <c r="F399" i="6"/>
  <c r="H399" i="6"/>
  <c r="I399" i="6"/>
  <c r="N399" i="6"/>
  <c r="Q399" i="6"/>
  <c r="R399" i="6"/>
  <c r="S399" i="6"/>
  <c r="T399" i="6"/>
  <c r="C400" i="6"/>
  <c r="D400" i="6"/>
  <c r="E400" i="6"/>
  <c r="F400" i="6"/>
  <c r="H400" i="6"/>
  <c r="I400" i="6"/>
  <c r="L400" i="6"/>
  <c r="N400" i="6"/>
  <c r="Q400" i="6"/>
  <c r="S400" i="6" s="1"/>
  <c r="R400" i="6"/>
  <c r="T400" i="6"/>
  <c r="C401" i="6"/>
  <c r="D401" i="6"/>
  <c r="E401" i="6"/>
  <c r="F401" i="6"/>
  <c r="H401" i="6"/>
  <c r="I401" i="6"/>
  <c r="N401" i="6"/>
  <c r="Q401" i="6"/>
  <c r="S401" i="6" s="1"/>
  <c r="R401" i="6"/>
  <c r="T401" i="6"/>
  <c r="C402" i="6"/>
  <c r="D402" i="6"/>
  <c r="E402" i="6"/>
  <c r="F402" i="6"/>
  <c r="H402" i="6"/>
  <c r="H1089" i="6" s="1"/>
  <c r="I402" i="6"/>
  <c r="N402" i="6"/>
  <c r="Q402" i="6"/>
  <c r="S402" i="6" s="1"/>
  <c r="R402" i="6"/>
  <c r="T402" i="6"/>
  <c r="C403" i="6"/>
  <c r="D403" i="6"/>
  <c r="D1089" i="6" s="1"/>
  <c r="E403" i="6"/>
  <c r="F403" i="6"/>
  <c r="H403" i="6"/>
  <c r="I403" i="6"/>
  <c r="N403" i="6"/>
  <c r="Q403" i="6"/>
  <c r="R403" i="6"/>
  <c r="S403" i="6"/>
  <c r="T403" i="6"/>
  <c r="C404" i="6"/>
  <c r="D404" i="6"/>
  <c r="E404" i="6"/>
  <c r="F404" i="6"/>
  <c r="H404" i="6"/>
  <c r="I404" i="6"/>
  <c r="L404" i="6"/>
  <c r="N404" i="6"/>
  <c r="Q404" i="6"/>
  <c r="S404" i="6" s="1"/>
  <c r="R404" i="6"/>
  <c r="T404" i="6"/>
  <c r="C405" i="6"/>
  <c r="D405" i="6"/>
  <c r="E405" i="6"/>
  <c r="F405" i="6"/>
  <c r="H405" i="6"/>
  <c r="I405" i="6"/>
  <c r="N405" i="6"/>
  <c r="Q405" i="6"/>
  <c r="S405" i="6" s="1"/>
  <c r="R405" i="6"/>
  <c r="T405" i="6"/>
  <c r="C406" i="6"/>
  <c r="L406" i="6" s="1"/>
  <c r="D406" i="6"/>
  <c r="E406" i="6"/>
  <c r="F406" i="6"/>
  <c r="H406" i="6"/>
  <c r="I406" i="6"/>
  <c r="N406" i="6"/>
  <c r="Q406" i="6"/>
  <c r="S406" i="6" s="1"/>
  <c r="R406" i="6"/>
  <c r="T406" i="6"/>
  <c r="C407" i="6"/>
  <c r="D407" i="6"/>
  <c r="E407" i="6"/>
  <c r="F407" i="6"/>
  <c r="H407" i="6"/>
  <c r="I407" i="6"/>
  <c r="N407" i="6"/>
  <c r="Q407" i="6"/>
  <c r="R407" i="6"/>
  <c r="S407" i="6"/>
  <c r="T407" i="6"/>
  <c r="C408" i="6"/>
  <c r="D408" i="6"/>
  <c r="E408" i="6"/>
  <c r="F408" i="6"/>
  <c r="H408" i="6"/>
  <c r="I408" i="6"/>
  <c r="L408" i="6"/>
  <c r="N408" i="6"/>
  <c r="Q408" i="6"/>
  <c r="S408" i="6" s="1"/>
  <c r="R408" i="6"/>
  <c r="T408" i="6"/>
  <c r="C409" i="6"/>
  <c r="D409" i="6"/>
  <c r="E409" i="6"/>
  <c r="F409" i="6"/>
  <c r="H409" i="6"/>
  <c r="I409" i="6"/>
  <c r="N409" i="6"/>
  <c r="Q409" i="6"/>
  <c r="S409" i="6" s="1"/>
  <c r="R409" i="6"/>
  <c r="T409" i="6"/>
  <c r="C410" i="6"/>
  <c r="D410" i="6"/>
  <c r="E410" i="6"/>
  <c r="F410" i="6"/>
  <c r="H410" i="6"/>
  <c r="I410" i="6"/>
  <c r="N410" i="6"/>
  <c r="Q410" i="6"/>
  <c r="R410" i="6"/>
  <c r="T410" i="6"/>
  <c r="C411" i="6"/>
  <c r="D411" i="6"/>
  <c r="E411" i="6"/>
  <c r="F411" i="6"/>
  <c r="H411" i="6"/>
  <c r="I411" i="6"/>
  <c r="I1090" i="6" s="1"/>
  <c r="N411" i="6"/>
  <c r="Q411" i="6"/>
  <c r="R411" i="6"/>
  <c r="S411" i="6"/>
  <c r="T411" i="6"/>
  <c r="C412" i="6"/>
  <c r="D412" i="6"/>
  <c r="E412" i="6"/>
  <c r="F412" i="6"/>
  <c r="H412" i="6"/>
  <c r="I412" i="6"/>
  <c r="L412" i="6"/>
  <c r="N412" i="6"/>
  <c r="Q412" i="6"/>
  <c r="S412" i="6" s="1"/>
  <c r="R412" i="6"/>
  <c r="T412" i="6"/>
  <c r="C413" i="6"/>
  <c r="D413" i="6"/>
  <c r="E413" i="6"/>
  <c r="F413" i="6"/>
  <c r="H413" i="6"/>
  <c r="I413" i="6"/>
  <c r="N413" i="6"/>
  <c r="Q413" i="6"/>
  <c r="R413" i="6"/>
  <c r="T413" i="6"/>
  <c r="C414" i="6"/>
  <c r="D414" i="6"/>
  <c r="E414" i="6"/>
  <c r="F414" i="6"/>
  <c r="H414" i="6"/>
  <c r="I414" i="6"/>
  <c r="N414" i="6"/>
  <c r="Q414" i="6"/>
  <c r="S414" i="6" s="1"/>
  <c r="R414" i="6"/>
  <c r="T414" i="6"/>
  <c r="C415" i="6"/>
  <c r="D415" i="6"/>
  <c r="E415" i="6"/>
  <c r="F415" i="6"/>
  <c r="H415" i="6"/>
  <c r="I415" i="6"/>
  <c r="N415" i="6"/>
  <c r="Q415" i="6"/>
  <c r="R415" i="6"/>
  <c r="S415" i="6"/>
  <c r="T415" i="6"/>
  <c r="C416" i="6"/>
  <c r="D416" i="6"/>
  <c r="E416" i="6"/>
  <c r="F416" i="6"/>
  <c r="H416" i="6"/>
  <c r="I416" i="6"/>
  <c r="L416" i="6"/>
  <c r="N416" i="6"/>
  <c r="Q416" i="6"/>
  <c r="S416" i="6" s="1"/>
  <c r="R416" i="6"/>
  <c r="T416" i="6"/>
  <c r="C417" i="6"/>
  <c r="D417" i="6"/>
  <c r="E417" i="6"/>
  <c r="F417" i="6"/>
  <c r="H417" i="6"/>
  <c r="I417" i="6"/>
  <c r="N417" i="6"/>
  <c r="Q417" i="6"/>
  <c r="S417" i="6" s="1"/>
  <c r="R417" i="6"/>
  <c r="T417" i="6"/>
  <c r="C418" i="6"/>
  <c r="D418" i="6"/>
  <c r="E418" i="6"/>
  <c r="F418" i="6"/>
  <c r="H418" i="6"/>
  <c r="I418" i="6"/>
  <c r="N418" i="6"/>
  <c r="Q418" i="6"/>
  <c r="S418" i="6" s="1"/>
  <c r="R418" i="6"/>
  <c r="T418" i="6"/>
  <c r="C419" i="6"/>
  <c r="D419" i="6"/>
  <c r="D1090" i="6" s="1"/>
  <c r="E419" i="6"/>
  <c r="F419" i="6"/>
  <c r="H419" i="6"/>
  <c r="I419" i="6"/>
  <c r="N419" i="6"/>
  <c r="Q419" i="6"/>
  <c r="R419" i="6"/>
  <c r="S419" i="6"/>
  <c r="T419" i="6"/>
  <c r="C420" i="6"/>
  <c r="D420" i="6"/>
  <c r="E420" i="6"/>
  <c r="F420" i="6"/>
  <c r="H420" i="6"/>
  <c r="I420" i="6"/>
  <c r="L420" i="6"/>
  <c r="N420" i="6"/>
  <c r="Q420" i="6"/>
  <c r="S420" i="6" s="1"/>
  <c r="R420" i="6"/>
  <c r="T420" i="6"/>
  <c r="C421" i="6"/>
  <c r="D421" i="6"/>
  <c r="E421" i="6"/>
  <c r="F421" i="6"/>
  <c r="H421" i="6"/>
  <c r="I421" i="6"/>
  <c r="N421" i="6"/>
  <c r="Q421" i="6"/>
  <c r="S421" i="6" s="1"/>
  <c r="R421" i="6"/>
  <c r="T421" i="6"/>
  <c r="C422" i="6"/>
  <c r="L422" i="6" s="1"/>
  <c r="D422" i="6"/>
  <c r="E422" i="6"/>
  <c r="F422" i="6"/>
  <c r="H422" i="6"/>
  <c r="I422" i="6"/>
  <c r="N422" i="6"/>
  <c r="Q422" i="6"/>
  <c r="S422" i="6" s="1"/>
  <c r="R422" i="6"/>
  <c r="T422" i="6"/>
  <c r="C423" i="6"/>
  <c r="D423" i="6"/>
  <c r="E423" i="6"/>
  <c r="F423" i="6"/>
  <c r="H423" i="6"/>
  <c r="I423" i="6"/>
  <c r="N423" i="6"/>
  <c r="Q423" i="6"/>
  <c r="R423" i="6"/>
  <c r="S423" i="6"/>
  <c r="T423" i="6"/>
  <c r="C424" i="6"/>
  <c r="D424" i="6"/>
  <c r="E424" i="6"/>
  <c r="F424" i="6"/>
  <c r="H424" i="6"/>
  <c r="I424" i="6"/>
  <c r="L424" i="6"/>
  <c r="N424" i="6"/>
  <c r="Q424" i="6"/>
  <c r="S424" i="6" s="1"/>
  <c r="R424" i="6"/>
  <c r="T424" i="6"/>
  <c r="C425" i="6"/>
  <c r="D425" i="6"/>
  <c r="E425" i="6"/>
  <c r="F425" i="6"/>
  <c r="H425" i="6"/>
  <c r="I425" i="6"/>
  <c r="N425" i="6"/>
  <c r="Q425" i="6"/>
  <c r="S425" i="6" s="1"/>
  <c r="R425" i="6"/>
  <c r="T425" i="6"/>
  <c r="C426" i="6"/>
  <c r="D426" i="6"/>
  <c r="E426" i="6"/>
  <c r="F426" i="6"/>
  <c r="H426" i="6"/>
  <c r="I426" i="6"/>
  <c r="N426" i="6"/>
  <c r="Q426" i="6"/>
  <c r="R426" i="6"/>
  <c r="T426" i="6"/>
  <c r="C427" i="6"/>
  <c r="D427" i="6"/>
  <c r="E427" i="6"/>
  <c r="F427" i="6"/>
  <c r="H427" i="6"/>
  <c r="I427" i="6"/>
  <c r="I1091" i="6" s="1"/>
  <c r="N427" i="6"/>
  <c r="Q427" i="6"/>
  <c r="R427" i="6"/>
  <c r="S427" i="6"/>
  <c r="T427" i="6"/>
  <c r="C428" i="6"/>
  <c r="D428" i="6"/>
  <c r="E428" i="6"/>
  <c r="F428" i="6"/>
  <c r="H428" i="6"/>
  <c r="I428" i="6"/>
  <c r="L428" i="6"/>
  <c r="N428" i="6"/>
  <c r="Q428" i="6"/>
  <c r="S428" i="6" s="1"/>
  <c r="R428" i="6"/>
  <c r="T428" i="6"/>
  <c r="C429" i="6"/>
  <c r="D429" i="6"/>
  <c r="E429" i="6"/>
  <c r="F429" i="6"/>
  <c r="H429" i="6"/>
  <c r="I429" i="6"/>
  <c r="N429" i="6"/>
  <c r="Q429" i="6"/>
  <c r="R429" i="6"/>
  <c r="T429" i="6"/>
  <c r="C430" i="6"/>
  <c r="D430" i="6"/>
  <c r="E430" i="6"/>
  <c r="F430" i="6"/>
  <c r="H430" i="6"/>
  <c r="I430" i="6"/>
  <c r="N430" i="6"/>
  <c r="Q430" i="6"/>
  <c r="S430" i="6" s="1"/>
  <c r="R430" i="6"/>
  <c r="T430" i="6"/>
  <c r="C431" i="6"/>
  <c r="D431" i="6"/>
  <c r="L431" i="6" s="1"/>
  <c r="E431" i="6"/>
  <c r="F431" i="6"/>
  <c r="H431" i="6"/>
  <c r="I431" i="6"/>
  <c r="N431" i="6"/>
  <c r="R431" i="6"/>
  <c r="Q431" i="6" s="1"/>
  <c r="S431" i="6" s="1"/>
  <c r="T431" i="6"/>
  <c r="C432" i="6"/>
  <c r="D432" i="6"/>
  <c r="E432" i="6"/>
  <c r="F432" i="6"/>
  <c r="H432" i="6"/>
  <c r="I432" i="6"/>
  <c r="N432" i="6"/>
  <c r="R432" i="6"/>
  <c r="Q432" i="6" s="1"/>
  <c r="S432" i="6" s="1"/>
  <c r="T432" i="6"/>
  <c r="C433" i="6"/>
  <c r="D433" i="6"/>
  <c r="L433" i="6" s="1"/>
  <c r="E433" i="6"/>
  <c r="F433" i="6"/>
  <c r="H433" i="6"/>
  <c r="I433" i="6"/>
  <c r="N433" i="6"/>
  <c r="R433" i="6"/>
  <c r="Q433" i="6" s="1"/>
  <c r="S433" i="6" s="1"/>
  <c r="T433" i="6"/>
  <c r="C434" i="6"/>
  <c r="D434" i="6"/>
  <c r="D1092" i="6" s="1"/>
  <c r="E434" i="6"/>
  <c r="F434" i="6"/>
  <c r="H434" i="6"/>
  <c r="I434" i="6"/>
  <c r="N434" i="6"/>
  <c r="R434" i="6"/>
  <c r="T434" i="6"/>
  <c r="C435" i="6"/>
  <c r="D435" i="6"/>
  <c r="E435" i="6"/>
  <c r="F435" i="6"/>
  <c r="H435" i="6"/>
  <c r="I435" i="6"/>
  <c r="N435" i="6"/>
  <c r="R435" i="6"/>
  <c r="Q435" i="6" s="1"/>
  <c r="S435" i="6" s="1"/>
  <c r="T435" i="6"/>
  <c r="C436" i="6"/>
  <c r="D436" i="6"/>
  <c r="E436" i="6"/>
  <c r="F436" i="6"/>
  <c r="H436" i="6"/>
  <c r="I436" i="6"/>
  <c r="N436" i="6"/>
  <c r="R436" i="6"/>
  <c r="Q436" i="6" s="1"/>
  <c r="S436" i="6" s="1"/>
  <c r="T436" i="6"/>
  <c r="C437" i="6"/>
  <c r="D437" i="6"/>
  <c r="E437" i="6"/>
  <c r="F437" i="6"/>
  <c r="H437" i="6"/>
  <c r="I437" i="6"/>
  <c r="N437" i="6"/>
  <c r="R437" i="6"/>
  <c r="Q437" i="6" s="1"/>
  <c r="S437" i="6" s="1"/>
  <c r="T437" i="6"/>
  <c r="C438" i="6"/>
  <c r="D438" i="6"/>
  <c r="E438" i="6"/>
  <c r="F438" i="6"/>
  <c r="H438" i="6"/>
  <c r="I438" i="6"/>
  <c r="I1092" i="6" s="1"/>
  <c r="N438" i="6"/>
  <c r="R438" i="6"/>
  <c r="Q438" i="6" s="1"/>
  <c r="S438" i="6" s="1"/>
  <c r="T438" i="6"/>
  <c r="C439" i="6"/>
  <c r="D439" i="6"/>
  <c r="L439" i="6" s="1"/>
  <c r="E439" i="6"/>
  <c r="F439" i="6"/>
  <c r="H439" i="6"/>
  <c r="I439" i="6"/>
  <c r="N439" i="6"/>
  <c r="R439" i="6"/>
  <c r="Q439" i="6" s="1"/>
  <c r="S439" i="6" s="1"/>
  <c r="T439" i="6"/>
  <c r="C440" i="6"/>
  <c r="D440" i="6"/>
  <c r="E440" i="6"/>
  <c r="F440" i="6"/>
  <c r="H440" i="6"/>
  <c r="I440" i="6"/>
  <c r="N440" i="6"/>
  <c r="R440" i="6"/>
  <c r="Q440" i="6" s="1"/>
  <c r="S440" i="6" s="1"/>
  <c r="T440" i="6"/>
  <c r="C441" i="6"/>
  <c r="D441" i="6"/>
  <c r="L441" i="6" s="1"/>
  <c r="E441" i="6"/>
  <c r="F441" i="6"/>
  <c r="H441" i="6"/>
  <c r="I441" i="6"/>
  <c r="N441" i="6"/>
  <c r="R441" i="6"/>
  <c r="Q441" i="6" s="1"/>
  <c r="S441" i="6" s="1"/>
  <c r="T441" i="6"/>
  <c r="C442" i="6"/>
  <c r="D442" i="6"/>
  <c r="E442" i="6"/>
  <c r="F442" i="6"/>
  <c r="H442" i="6"/>
  <c r="I442" i="6"/>
  <c r="N442" i="6"/>
  <c r="R442" i="6"/>
  <c r="Q442" i="6" s="1"/>
  <c r="S442" i="6" s="1"/>
  <c r="T442" i="6"/>
  <c r="C443" i="6"/>
  <c r="D443" i="6"/>
  <c r="E443" i="6"/>
  <c r="F443" i="6"/>
  <c r="H443" i="6"/>
  <c r="I443" i="6"/>
  <c r="N443" i="6"/>
  <c r="R443" i="6"/>
  <c r="Q443" i="6" s="1"/>
  <c r="S443" i="6" s="1"/>
  <c r="T443" i="6"/>
  <c r="C444" i="6"/>
  <c r="D444" i="6"/>
  <c r="E444" i="6"/>
  <c r="F444" i="6"/>
  <c r="H444" i="6"/>
  <c r="I444" i="6"/>
  <c r="N444" i="6"/>
  <c r="R444" i="6"/>
  <c r="T444" i="6"/>
  <c r="C445" i="6"/>
  <c r="D445" i="6"/>
  <c r="E445" i="6"/>
  <c r="F445" i="6"/>
  <c r="H445" i="6"/>
  <c r="I445" i="6"/>
  <c r="N445" i="6"/>
  <c r="R445" i="6"/>
  <c r="Q445" i="6" s="1"/>
  <c r="S445" i="6" s="1"/>
  <c r="T445" i="6"/>
  <c r="C446" i="6"/>
  <c r="D446" i="6"/>
  <c r="E446" i="6"/>
  <c r="F446" i="6"/>
  <c r="H446" i="6"/>
  <c r="I446" i="6"/>
  <c r="I1093" i="6" s="1"/>
  <c r="N446" i="6"/>
  <c r="R446" i="6"/>
  <c r="Q446" i="6" s="1"/>
  <c r="S446" i="6" s="1"/>
  <c r="T446" i="6"/>
  <c r="C447" i="6"/>
  <c r="D447" i="6"/>
  <c r="L447" i="6" s="1"/>
  <c r="E447" i="6"/>
  <c r="F447" i="6"/>
  <c r="H447" i="6"/>
  <c r="I447" i="6"/>
  <c r="N447" i="6"/>
  <c r="R447" i="6"/>
  <c r="Q447" i="6" s="1"/>
  <c r="S447" i="6" s="1"/>
  <c r="T447" i="6"/>
  <c r="C448" i="6"/>
  <c r="D448" i="6"/>
  <c r="E448" i="6"/>
  <c r="F448" i="6"/>
  <c r="H448" i="6"/>
  <c r="I448" i="6"/>
  <c r="N448" i="6"/>
  <c r="R448" i="6"/>
  <c r="Q448" i="6" s="1"/>
  <c r="S448" i="6" s="1"/>
  <c r="T448" i="6"/>
  <c r="C449" i="6"/>
  <c r="D449" i="6"/>
  <c r="L449" i="6" s="1"/>
  <c r="E449" i="6"/>
  <c r="F449" i="6"/>
  <c r="H449" i="6"/>
  <c r="I449" i="6"/>
  <c r="N449" i="6"/>
  <c r="R449" i="6"/>
  <c r="Q449" i="6" s="1"/>
  <c r="S449" i="6" s="1"/>
  <c r="T449" i="6"/>
  <c r="C450" i="6"/>
  <c r="D450" i="6"/>
  <c r="E450" i="6"/>
  <c r="F450" i="6"/>
  <c r="H450" i="6"/>
  <c r="I450" i="6"/>
  <c r="N450" i="6"/>
  <c r="R450" i="6"/>
  <c r="Q450" i="6" s="1"/>
  <c r="S450" i="6" s="1"/>
  <c r="T450" i="6"/>
  <c r="C451" i="6"/>
  <c r="D451" i="6"/>
  <c r="E451" i="6"/>
  <c r="F451" i="6"/>
  <c r="H451" i="6"/>
  <c r="I451" i="6"/>
  <c r="N451" i="6"/>
  <c r="R451" i="6"/>
  <c r="Q451" i="6" s="1"/>
  <c r="S451" i="6" s="1"/>
  <c r="T451" i="6"/>
  <c r="C452" i="6"/>
  <c r="D452" i="6"/>
  <c r="E452" i="6"/>
  <c r="F452" i="6"/>
  <c r="H452" i="6"/>
  <c r="I452" i="6"/>
  <c r="N452" i="6"/>
  <c r="R452" i="6"/>
  <c r="Q452" i="6" s="1"/>
  <c r="S452" i="6" s="1"/>
  <c r="T452" i="6"/>
  <c r="C453" i="6"/>
  <c r="D453" i="6"/>
  <c r="E453" i="6"/>
  <c r="F453" i="6"/>
  <c r="H453" i="6"/>
  <c r="I453" i="6"/>
  <c r="N453" i="6"/>
  <c r="R453" i="6"/>
  <c r="Q453" i="6" s="1"/>
  <c r="S453" i="6" s="1"/>
  <c r="T453" i="6"/>
  <c r="C454" i="6"/>
  <c r="D454" i="6"/>
  <c r="E454" i="6"/>
  <c r="F454" i="6"/>
  <c r="H454" i="6"/>
  <c r="I454" i="6"/>
  <c r="N454" i="6"/>
  <c r="R454" i="6"/>
  <c r="Q454" i="6" s="1"/>
  <c r="S454" i="6" s="1"/>
  <c r="T454" i="6"/>
  <c r="C455" i="6"/>
  <c r="D455" i="6"/>
  <c r="L455" i="6" s="1"/>
  <c r="E455" i="6"/>
  <c r="F455" i="6"/>
  <c r="H455" i="6"/>
  <c r="I455" i="6"/>
  <c r="N455" i="6"/>
  <c r="R455" i="6"/>
  <c r="Q455" i="6" s="1"/>
  <c r="S455" i="6" s="1"/>
  <c r="T455" i="6"/>
  <c r="C456" i="6"/>
  <c r="D456" i="6"/>
  <c r="E456" i="6"/>
  <c r="F456" i="6"/>
  <c r="H456" i="6"/>
  <c r="I456" i="6"/>
  <c r="N456" i="6"/>
  <c r="R456" i="6"/>
  <c r="Q456" i="6" s="1"/>
  <c r="S456" i="6" s="1"/>
  <c r="T456" i="6"/>
  <c r="C457" i="6"/>
  <c r="D457" i="6"/>
  <c r="L457" i="6" s="1"/>
  <c r="E457" i="6"/>
  <c r="F457" i="6"/>
  <c r="H457" i="6"/>
  <c r="I457" i="6"/>
  <c r="N457" i="6"/>
  <c r="R457" i="6"/>
  <c r="Q457" i="6" s="1"/>
  <c r="S457" i="6" s="1"/>
  <c r="T457" i="6"/>
  <c r="C458" i="6"/>
  <c r="D458" i="6"/>
  <c r="E458" i="6"/>
  <c r="F458" i="6"/>
  <c r="H458" i="6"/>
  <c r="I458" i="6"/>
  <c r="N458" i="6"/>
  <c r="R458" i="6"/>
  <c r="T458" i="6"/>
  <c r="C459" i="6"/>
  <c r="D459" i="6"/>
  <c r="E459" i="6"/>
  <c r="F459" i="6"/>
  <c r="H459" i="6"/>
  <c r="I459" i="6"/>
  <c r="N459" i="6"/>
  <c r="R459" i="6"/>
  <c r="Q459" i="6" s="1"/>
  <c r="S459" i="6" s="1"/>
  <c r="T459" i="6"/>
  <c r="C460" i="6"/>
  <c r="D460" i="6"/>
  <c r="E460" i="6"/>
  <c r="F460" i="6"/>
  <c r="H460" i="6"/>
  <c r="I460" i="6"/>
  <c r="N460" i="6"/>
  <c r="R460" i="6"/>
  <c r="Q460" i="6" s="1"/>
  <c r="T460" i="6"/>
  <c r="C461" i="6"/>
  <c r="D461" i="6"/>
  <c r="E461" i="6"/>
  <c r="F461" i="6"/>
  <c r="H461" i="6"/>
  <c r="I461" i="6"/>
  <c r="N461" i="6"/>
  <c r="R461" i="6"/>
  <c r="Q461" i="6" s="1"/>
  <c r="S461" i="6" s="1"/>
  <c r="T461" i="6"/>
  <c r="C462" i="6"/>
  <c r="D462" i="6"/>
  <c r="E462" i="6"/>
  <c r="F462" i="6"/>
  <c r="H462" i="6"/>
  <c r="I462" i="6"/>
  <c r="I1094" i="6" s="1"/>
  <c r="N462" i="6"/>
  <c r="R462" i="6"/>
  <c r="Q462" i="6" s="1"/>
  <c r="S462" i="6" s="1"/>
  <c r="T462" i="6"/>
  <c r="C463" i="6"/>
  <c r="D463" i="6"/>
  <c r="L463" i="6" s="1"/>
  <c r="E463" i="6"/>
  <c r="F463" i="6"/>
  <c r="H463" i="6"/>
  <c r="I463" i="6"/>
  <c r="N463" i="6"/>
  <c r="R463" i="6"/>
  <c r="Q463" i="6" s="1"/>
  <c r="S463" i="6" s="1"/>
  <c r="T463" i="6"/>
  <c r="C464" i="6"/>
  <c r="D464" i="6"/>
  <c r="E464" i="6"/>
  <c r="F464" i="6"/>
  <c r="H464" i="6"/>
  <c r="I464" i="6"/>
  <c r="N464" i="6"/>
  <c r="R464" i="6"/>
  <c r="Q464" i="6" s="1"/>
  <c r="S464" i="6" s="1"/>
  <c r="T464" i="6"/>
  <c r="C465" i="6"/>
  <c r="D465" i="6"/>
  <c r="L465" i="6" s="1"/>
  <c r="E465" i="6"/>
  <c r="F465" i="6"/>
  <c r="H465" i="6"/>
  <c r="I465" i="6"/>
  <c r="N465" i="6"/>
  <c r="R465" i="6"/>
  <c r="Q465" i="6" s="1"/>
  <c r="S465" i="6" s="1"/>
  <c r="T465" i="6"/>
  <c r="C466" i="6"/>
  <c r="D466" i="6"/>
  <c r="E466" i="6"/>
  <c r="F466" i="6"/>
  <c r="H466" i="6"/>
  <c r="I466" i="6"/>
  <c r="N466" i="6"/>
  <c r="R466" i="6"/>
  <c r="Q466" i="6" s="1"/>
  <c r="S466" i="6" s="1"/>
  <c r="T466" i="6"/>
  <c r="C467" i="6"/>
  <c r="D467" i="6"/>
  <c r="E467" i="6"/>
  <c r="F467" i="6"/>
  <c r="H467" i="6"/>
  <c r="I467" i="6"/>
  <c r="N467" i="6"/>
  <c r="R467" i="6"/>
  <c r="Q467" i="6" s="1"/>
  <c r="S467" i="6" s="1"/>
  <c r="T467" i="6"/>
  <c r="C468" i="6"/>
  <c r="D468" i="6"/>
  <c r="E468" i="6"/>
  <c r="F468" i="6"/>
  <c r="H468" i="6"/>
  <c r="I468" i="6"/>
  <c r="N468" i="6"/>
  <c r="R468" i="6"/>
  <c r="T468" i="6"/>
  <c r="C469" i="6"/>
  <c r="D469" i="6"/>
  <c r="E469" i="6"/>
  <c r="F469" i="6"/>
  <c r="H469" i="6"/>
  <c r="I469" i="6"/>
  <c r="N469" i="6"/>
  <c r="R469" i="6"/>
  <c r="Q469" i="6" s="1"/>
  <c r="S469" i="6" s="1"/>
  <c r="T469" i="6"/>
  <c r="C470" i="6"/>
  <c r="D470" i="6"/>
  <c r="E470" i="6"/>
  <c r="F470" i="6"/>
  <c r="H470" i="6"/>
  <c r="I470" i="6"/>
  <c r="N470" i="6"/>
  <c r="R470" i="6"/>
  <c r="Q470" i="6" s="1"/>
  <c r="S470" i="6" s="1"/>
  <c r="T470" i="6"/>
  <c r="C471" i="6"/>
  <c r="D471" i="6"/>
  <c r="L471" i="6" s="1"/>
  <c r="E471" i="6"/>
  <c r="F471" i="6"/>
  <c r="H471" i="6"/>
  <c r="I471" i="6"/>
  <c r="N471" i="6"/>
  <c r="R471" i="6"/>
  <c r="Q471" i="6" s="1"/>
  <c r="S471" i="6" s="1"/>
  <c r="T471" i="6"/>
  <c r="C472" i="6"/>
  <c r="D472" i="6"/>
  <c r="E472" i="6"/>
  <c r="F472" i="6"/>
  <c r="H472" i="6"/>
  <c r="I472" i="6"/>
  <c r="N472" i="6"/>
  <c r="R472" i="6"/>
  <c r="Q472" i="6" s="1"/>
  <c r="S472" i="6" s="1"/>
  <c r="T472" i="6"/>
  <c r="C473" i="6"/>
  <c r="D473" i="6"/>
  <c r="L473" i="6" s="1"/>
  <c r="E473" i="6"/>
  <c r="F473" i="6"/>
  <c r="H473" i="6"/>
  <c r="I473" i="6"/>
  <c r="N473" i="6"/>
  <c r="R473" i="6"/>
  <c r="Q473" i="6" s="1"/>
  <c r="S473" i="6" s="1"/>
  <c r="T473" i="6"/>
  <c r="C474" i="6"/>
  <c r="D474" i="6"/>
  <c r="L474" i="6" s="1"/>
  <c r="E474" i="6"/>
  <c r="F474" i="6"/>
  <c r="H474" i="6"/>
  <c r="I474" i="6"/>
  <c r="N474" i="6"/>
  <c r="R474" i="6"/>
  <c r="Q474" i="6" s="1"/>
  <c r="S474" i="6" s="1"/>
  <c r="T474" i="6"/>
  <c r="C475" i="6"/>
  <c r="D475" i="6"/>
  <c r="E475" i="6"/>
  <c r="F475" i="6"/>
  <c r="H475" i="6"/>
  <c r="I475" i="6"/>
  <c r="N475" i="6"/>
  <c r="R475" i="6"/>
  <c r="Q475" i="6" s="1"/>
  <c r="S475" i="6" s="1"/>
  <c r="T475" i="6"/>
  <c r="C476" i="6"/>
  <c r="D476" i="6"/>
  <c r="E476" i="6"/>
  <c r="F476" i="6"/>
  <c r="H476" i="6"/>
  <c r="I476" i="6"/>
  <c r="N476" i="6"/>
  <c r="R476" i="6"/>
  <c r="Q476" i="6" s="1"/>
  <c r="S476" i="6" s="1"/>
  <c r="T476" i="6"/>
  <c r="C477" i="6"/>
  <c r="D477" i="6"/>
  <c r="E477" i="6"/>
  <c r="F477" i="6"/>
  <c r="H477" i="6"/>
  <c r="I477" i="6"/>
  <c r="N477" i="6"/>
  <c r="R477" i="6"/>
  <c r="Q477" i="6" s="1"/>
  <c r="S477" i="6" s="1"/>
  <c r="T477" i="6"/>
  <c r="C478" i="6"/>
  <c r="D478" i="6"/>
  <c r="E478" i="6"/>
  <c r="F478" i="6"/>
  <c r="H478" i="6"/>
  <c r="I478" i="6"/>
  <c r="N478" i="6"/>
  <c r="R478" i="6"/>
  <c r="Q478" i="6" s="1"/>
  <c r="S478" i="6" s="1"/>
  <c r="T478" i="6"/>
  <c r="C479" i="6"/>
  <c r="D479" i="6"/>
  <c r="L479" i="6" s="1"/>
  <c r="E479" i="6"/>
  <c r="F479" i="6"/>
  <c r="H479" i="6"/>
  <c r="I479" i="6"/>
  <c r="N479" i="6"/>
  <c r="R479" i="6"/>
  <c r="Q479" i="6" s="1"/>
  <c r="S479" i="6" s="1"/>
  <c r="T479" i="6"/>
  <c r="C480" i="6"/>
  <c r="D480" i="6"/>
  <c r="E480" i="6"/>
  <c r="F480" i="6"/>
  <c r="H480" i="6"/>
  <c r="I480" i="6"/>
  <c r="N480" i="6"/>
  <c r="R480" i="6"/>
  <c r="Q480" i="6" s="1"/>
  <c r="S480" i="6" s="1"/>
  <c r="T480" i="6"/>
  <c r="C481" i="6"/>
  <c r="D481" i="6"/>
  <c r="L481" i="6" s="1"/>
  <c r="E481" i="6"/>
  <c r="F481" i="6"/>
  <c r="H481" i="6"/>
  <c r="I481" i="6"/>
  <c r="N481" i="6"/>
  <c r="R481" i="6"/>
  <c r="Q481" i="6" s="1"/>
  <c r="S481" i="6" s="1"/>
  <c r="T481" i="6"/>
  <c r="C482" i="6"/>
  <c r="D482" i="6"/>
  <c r="E482" i="6"/>
  <c r="F482" i="6"/>
  <c r="H482" i="6"/>
  <c r="I482" i="6"/>
  <c r="N482" i="6"/>
  <c r="R482" i="6"/>
  <c r="Q482" i="6" s="1"/>
  <c r="S482" i="6"/>
  <c r="T482" i="6"/>
  <c r="C483" i="6"/>
  <c r="D483" i="6"/>
  <c r="E483" i="6"/>
  <c r="F483" i="6"/>
  <c r="H483" i="6"/>
  <c r="I483" i="6"/>
  <c r="L483" i="6"/>
  <c r="N483" i="6"/>
  <c r="N1096" i="6" s="1"/>
  <c r="R483" i="6"/>
  <c r="Q483" i="6" s="1"/>
  <c r="S483" i="6" s="1"/>
  <c r="T483" i="6"/>
  <c r="C484" i="6"/>
  <c r="D484" i="6"/>
  <c r="E484" i="6"/>
  <c r="F484" i="6"/>
  <c r="H484" i="6"/>
  <c r="I484" i="6"/>
  <c r="N484" i="6"/>
  <c r="R484" i="6"/>
  <c r="Q484" i="6" s="1"/>
  <c r="S484" i="6" s="1"/>
  <c r="T484" i="6"/>
  <c r="C485" i="6"/>
  <c r="D485" i="6"/>
  <c r="E485" i="6"/>
  <c r="F485" i="6"/>
  <c r="H485" i="6"/>
  <c r="I485" i="6"/>
  <c r="N485" i="6"/>
  <c r="R485" i="6"/>
  <c r="Q485" i="6" s="1"/>
  <c r="S485" i="6" s="1"/>
  <c r="T485" i="6"/>
  <c r="C486" i="6"/>
  <c r="D486" i="6"/>
  <c r="E486" i="6"/>
  <c r="F486" i="6"/>
  <c r="H486" i="6"/>
  <c r="I486" i="6"/>
  <c r="N486" i="6"/>
  <c r="R486" i="6"/>
  <c r="T486" i="6"/>
  <c r="C487" i="6"/>
  <c r="D487" i="6"/>
  <c r="E487" i="6"/>
  <c r="F487" i="6"/>
  <c r="H487" i="6"/>
  <c r="I487" i="6"/>
  <c r="N487" i="6"/>
  <c r="Q487" i="6"/>
  <c r="S487" i="6" s="1"/>
  <c r="R487" i="6"/>
  <c r="T487" i="6"/>
  <c r="C488" i="6"/>
  <c r="L488" i="6" s="1"/>
  <c r="D488" i="6"/>
  <c r="E488" i="6"/>
  <c r="F488" i="6"/>
  <c r="H488" i="6"/>
  <c r="I488" i="6"/>
  <c r="N488" i="6"/>
  <c r="R488" i="6"/>
  <c r="Q488" i="6" s="1"/>
  <c r="S488" i="6" s="1"/>
  <c r="T488" i="6"/>
  <c r="C489" i="6"/>
  <c r="D489" i="6"/>
  <c r="E489" i="6"/>
  <c r="F489" i="6"/>
  <c r="H489" i="6"/>
  <c r="I489" i="6"/>
  <c r="N489" i="6"/>
  <c r="Q489" i="6"/>
  <c r="S489" i="6" s="1"/>
  <c r="R489" i="6"/>
  <c r="T489" i="6"/>
  <c r="C490" i="6"/>
  <c r="D490" i="6"/>
  <c r="E490" i="6"/>
  <c r="F490" i="6"/>
  <c r="H490" i="6"/>
  <c r="I490" i="6"/>
  <c r="N490" i="6"/>
  <c r="R490" i="6"/>
  <c r="Q490" i="6" s="1"/>
  <c r="S490" i="6" s="1"/>
  <c r="T490" i="6"/>
  <c r="C491" i="6"/>
  <c r="D491" i="6"/>
  <c r="E491" i="6"/>
  <c r="F491" i="6"/>
  <c r="H491" i="6"/>
  <c r="I491" i="6"/>
  <c r="N491" i="6"/>
  <c r="R491" i="6"/>
  <c r="Q491" i="6" s="1"/>
  <c r="S491" i="6" s="1"/>
  <c r="T491" i="6"/>
  <c r="C492" i="6"/>
  <c r="D492" i="6"/>
  <c r="E492" i="6"/>
  <c r="F492" i="6"/>
  <c r="H492" i="6"/>
  <c r="I492" i="6"/>
  <c r="N492" i="6"/>
  <c r="R492" i="6"/>
  <c r="T492" i="6"/>
  <c r="C493" i="6"/>
  <c r="D493" i="6"/>
  <c r="D1098" i="6" s="1"/>
  <c r="E493" i="6"/>
  <c r="F493" i="6"/>
  <c r="H493" i="6"/>
  <c r="I493" i="6"/>
  <c r="N493" i="6"/>
  <c r="R493" i="6"/>
  <c r="Q493" i="6" s="1"/>
  <c r="S493" i="6" s="1"/>
  <c r="T493" i="6"/>
  <c r="C494" i="6"/>
  <c r="D494" i="6"/>
  <c r="E494" i="6"/>
  <c r="F494" i="6"/>
  <c r="H494" i="6"/>
  <c r="I494" i="6"/>
  <c r="N494" i="6"/>
  <c r="R494" i="6"/>
  <c r="T494" i="6"/>
  <c r="C495" i="6"/>
  <c r="D495" i="6"/>
  <c r="E495" i="6"/>
  <c r="F495" i="6"/>
  <c r="H495" i="6"/>
  <c r="I495" i="6"/>
  <c r="N495" i="6"/>
  <c r="R495" i="6"/>
  <c r="Q495" i="6" s="1"/>
  <c r="T495" i="6"/>
  <c r="C496" i="6"/>
  <c r="D496" i="6"/>
  <c r="E496" i="6"/>
  <c r="F496" i="6"/>
  <c r="H496" i="6"/>
  <c r="I496" i="6"/>
  <c r="N496" i="6"/>
  <c r="R496" i="6"/>
  <c r="Q496" i="6" s="1"/>
  <c r="S496" i="6" s="1"/>
  <c r="T496" i="6"/>
  <c r="C497" i="6"/>
  <c r="L497" i="6" s="1"/>
  <c r="D497" i="6"/>
  <c r="E497" i="6"/>
  <c r="F497" i="6"/>
  <c r="H497" i="6"/>
  <c r="I497" i="6"/>
  <c r="N497" i="6"/>
  <c r="R497" i="6"/>
  <c r="Q497" i="6" s="1"/>
  <c r="S497" i="6" s="1"/>
  <c r="T497" i="6"/>
  <c r="C498" i="6"/>
  <c r="L498" i="6" s="1"/>
  <c r="D498" i="6"/>
  <c r="E498" i="6"/>
  <c r="F498" i="6"/>
  <c r="H498" i="6"/>
  <c r="I498" i="6"/>
  <c r="N498" i="6"/>
  <c r="R498" i="6"/>
  <c r="Q498" i="6" s="1"/>
  <c r="S498" i="6" s="1"/>
  <c r="T498" i="6"/>
  <c r="C499" i="6"/>
  <c r="D499" i="6"/>
  <c r="E499" i="6"/>
  <c r="F499" i="6"/>
  <c r="H499" i="6"/>
  <c r="I499" i="6"/>
  <c r="N499" i="6"/>
  <c r="Q499" i="6"/>
  <c r="S499" i="6" s="1"/>
  <c r="R499" i="6"/>
  <c r="T499" i="6"/>
  <c r="C500" i="6"/>
  <c r="D500" i="6"/>
  <c r="E500" i="6"/>
  <c r="F500" i="6"/>
  <c r="H500" i="6"/>
  <c r="I500" i="6"/>
  <c r="N500" i="6"/>
  <c r="R500" i="6"/>
  <c r="Q500" i="6" s="1"/>
  <c r="S500" i="6" s="1"/>
  <c r="T500" i="6"/>
  <c r="C501" i="6"/>
  <c r="D501" i="6"/>
  <c r="E501" i="6"/>
  <c r="F501" i="6"/>
  <c r="H501" i="6"/>
  <c r="I501" i="6"/>
  <c r="N501" i="6"/>
  <c r="R501" i="6"/>
  <c r="Q501" i="6" s="1"/>
  <c r="S501" i="6" s="1"/>
  <c r="T501" i="6"/>
  <c r="C502" i="6"/>
  <c r="D502" i="6"/>
  <c r="E502" i="6"/>
  <c r="F502" i="6"/>
  <c r="H502" i="6"/>
  <c r="I502" i="6"/>
  <c r="N502" i="6"/>
  <c r="R502" i="6"/>
  <c r="T502" i="6"/>
  <c r="C503" i="6"/>
  <c r="D503" i="6"/>
  <c r="E503" i="6"/>
  <c r="F503" i="6"/>
  <c r="H503" i="6"/>
  <c r="I503" i="6"/>
  <c r="N503" i="6"/>
  <c r="Q503" i="6"/>
  <c r="S503" i="6" s="1"/>
  <c r="R503" i="6"/>
  <c r="T503" i="6"/>
  <c r="C504" i="6"/>
  <c r="D504" i="6"/>
  <c r="E504" i="6"/>
  <c r="F504" i="6"/>
  <c r="H504" i="6"/>
  <c r="I504" i="6"/>
  <c r="N504" i="6"/>
  <c r="R504" i="6"/>
  <c r="Q504" i="6" s="1"/>
  <c r="S504" i="6" s="1"/>
  <c r="T504" i="6"/>
  <c r="C505" i="6"/>
  <c r="D505" i="6"/>
  <c r="E505" i="6"/>
  <c r="F505" i="6"/>
  <c r="H505" i="6"/>
  <c r="I505" i="6"/>
  <c r="N505" i="6"/>
  <c r="Q505" i="6"/>
  <c r="S505" i="6" s="1"/>
  <c r="R505" i="6"/>
  <c r="T505" i="6"/>
  <c r="C506" i="6"/>
  <c r="D506" i="6"/>
  <c r="E506" i="6"/>
  <c r="F506" i="6"/>
  <c r="H506" i="6"/>
  <c r="I506" i="6"/>
  <c r="N506" i="6"/>
  <c r="R506" i="6"/>
  <c r="Q506" i="6" s="1"/>
  <c r="S506" i="6" s="1"/>
  <c r="T506" i="6"/>
  <c r="C507" i="6"/>
  <c r="D507" i="6"/>
  <c r="E507" i="6"/>
  <c r="F507" i="6"/>
  <c r="H507" i="6"/>
  <c r="I507" i="6"/>
  <c r="N507" i="6"/>
  <c r="R507" i="6"/>
  <c r="Q507" i="6" s="1"/>
  <c r="S507" i="6" s="1"/>
  <c r="T507" i="6"/>
  <c r="C508" i="6"/>
  <c r="D508" i="6"/>
  <c r="E508" i="6"/>
  <c r="F508" i="6"/>
  <c r="H508" i="6"/>
  <c r="I508" i="6"/>
  <c r="N508" i="6"/>
  <c r="R508" i="6"/>
  <c r="Q508" i="6" s="1"/>
  <c r="T508" i="6"/>
  <c r="C509" i="6"/>
  <c r="D509" i="6"/>
  <c r="E509" i="6"/>
  <c r="F509" i="6"/>
  <c r="H509" i="6"/>
  <c r="I509" i="6"/>
  <c r="N509" i="6"/>
  <c r="R509" i="6"/>
  <c r="Q509" i="6" s="1"/>
  <c r="S509" i="6" s="1"/>
  <c r="T509" i="6"/>
  <c r="C510" i="6"/>
  <c r="D510" i="6"/>
  <c r="E510" i="6"/>
  <c r="F510" i="6"/>
  <c r="H510" i="6"/>
  <c r="I510" i="6"/>
  <c r="N510" i="6"/>
  <c r="R510" i="6"/>
  <c r="Q510" i="6" s="1"/>
  <c r="S510" i="6" s="1"/>
  <c r="T510" i="6"/>
  <c r="C511" i="6"/>
  <c r="D511" i="6"/>
  <c r="E511" i="6"/>
  <c r="F511" i="6"/>
  <c r="H511" i="6"/>
  <c r="I511" i="6"/>
  <c r="N511" i="6"/>
  <c r="R511" i="6"/>
  <c r="Q511" i="6" s="1"/>
  <c r="S511" i="6" s="1"/>
  <c r="T511" i="6"/>
  <c r="C512" i="6"/>
  <c r="D512" i="6"/>
  <c r="E512" i="6"/>
  <c r="F512" i="6"/>
  <c r="H512" i="6"/>
  <c r="I512" i="6"/>
  <c r="N512" i="6"/>
  <c r="R512" i="6"/>
  <c r="Q512" i="6" s="1"/>
  <c r="S512" i="6" s="1"/>
  <c r="T512" i="6"/>
  <c r="C513" i="6"/>
  <c r="L513" i="6" s="1"/>
  <c r="D513" i="6"/>
  <c r="E513" i="6"/>
  <c r="F513" i="6"/>
  <c r="H513" i="6"/>
  <c r="I513" i="6"/>
  <c r="N513" i="6"/>
  <c r="R513" i="6"/>
  <c r="Q513" i="6" s="1"/>
  <c r="S513" i="6" s="1"/>
  <c r="T513" i="6"/>
  <c r="C514" i="6"/>
  <c r="D514" i="6"/>
  <c r="E514" i="6"/>
  <c r="F514" i="6"/>
  <c r="H514" i="6"/>
  <c r="I514" i="6"/>
  <c r="N514" i="6"/>
  <c r="R514" i="6"/>
  <c r="Q514" i="6" s="1"/>
  <c r="S514" i="6" s="1"/>
  <c r="T514" i="6"/>
  <c r="C515" i="6"/>
  <c r="D515" i="6"/>
  <c r="E515" i="6"/>
  <c r="F515" i="6"/>
  <c r="H515" i="6"/>
  <c r="I515" i="6"/>
  <c r="N515" i="6"/>
  <c r="Q515" i="6"/>
  <c r="S515" i="6" s="1"/>
  <c r="R515" i="6"/>
  <c r="T515" i="6"/>
  <c r="C516" i="6"/>
  <c r="D516" i="6"/>
  <c r="E516" i="6"/>
  <c r="F516" i="6"/>
  <c r="H516" i="6"/>
  <c r="I516" i="6"/>
  <c r="N516" i="6"/>
  <c r="R516" i="6"/>
  <c r="Q516" i="6" s="1"/>
  <c r="S516" i="6"/>
  <c r="T516" i="6"/>
  <c r="C517" i="6"/>
  <c r="L517" i="6" s="1"/>
  <c r="D517" i="6"/>
  <c r="E517" i="6"/>
  <c r="F517" i="6"/>
  <c r="H517" i="6"/>
  <c r="I517" i="6"/>
  <c r="N517" i="6"/>
  <c r="Q517" i="6"/>
  <c r="S517" i="6" s="1"/>
  <c r="R517" i="6"/>
  <c r="T517" i="6"/>
  <c r="C518" i="6"/>
  <c r="D518" i="6"/>
  <c r="E518" i="6"/>
  <c r="F518" i="6"/>
  <c r="H518" i="6"/>
  <c r="I518" i="6"/>
  <c r="N518" i="6"/>
  <c r="R518" i="6"/>
  <c r="Q518" i="6" s="1"/>
  <c r="S518" i="6" s="1"/>
  <c r="T518" i="6"/>
  <c r="C519" i="6"/>
  <c r="D519" i="6"/>
  <c r="E519" i="6"/>
  <c r="F519" i="6"/>
  <c r="H519" i="6"/>
  <c r="I519" i="6"/>
  <c r="L519" i="6" s="1"/>
  <c r="N519" i="6"/>
  <c r="R519" i="6"/>
  <c r="Q519" i="6" s="1"/>
  <c r="S519" i="6" s="1"/>
  <c r="T519" i="6"/>
  <c r="C520" i="6"/>
  <c r="D520" i="6"/>
  <c r="E520" i="6"/>
  <c r="F520" i="6"/>
  <c r="H520" i="6"/>
  <c r="I520" i="6"/>
  <c r="N520" i="6"/>
  <c r="R520" i="6"/>
  <c r="Q520" i="6" s="1"/>
  <c r="S520" i="6" s="1"/>
  <c r="T520" i="6"/>
  <c r="C521" i="6"/>
  <c r="L521" i="6" s="1"/>
  <c r="D521" i="6"/>
  <c r="E521" i="6"/>
  <c r="F521" i="6"/>
  <c r="H521" i="6"/>
  <c r="I521" i="6"/>
  <c r="N521" i="6"/>
  <c r="R521" i="6"/>
  <c r="Q521" i="6" s="1"/>
  <c r="S521" i="6" s="1"/>
  <c r="T521" i="6"/>
  <c r="C522" i="6"/>
  <c r="D522" i="6"/>
  <c r="E522" i="6"/>
  <c r="F522" i="6"/>
  <c r="H522" i="6"/>
  <c r="I522" i="6"/>
  <c r="N522" i="6"/>
  <c r="R522" i="6"/>
  <c r="Q522" i="6" s="1"/>
  <c r="S522" i="6"/>
  <c r="T522" i="6"/>
  <c r="C523" i="6"/>
  <c r="L523" i="6" s="1"/>
  <c r="D523" i="6"/>
  <c r="E523" i="6"/>
  <c r="F523" i="6"/>
  <c r="H523" i="6"/>
  <c r="I523" i="6"/>
  <c r="N523" i="6"/>
  <c r="R523" i="6"/>
  <c r="Q523" i="6" s="1"/>
  <c r="S523" i="6" s="1"/>
  <c r="T523" i="6"/>
  <c r="C524" i="6"/>
  <c r="D524" i="6"/>
  <c r="L524" i="6" s="1"/>
  <c r="E524" i="6"/>
  <c r="F524" i="6"/>
  <c r="H524" i="6"/>
  <c r="I524" i="6"/>
  <c r="N524" i="6"/>
  <c r="R524" i="6"/>
  <c r="Q524" i="6" s="1"/>
  <c r="S524" i="6"/>
  <c r="T524" i="6"/>
  <c r="C525" i="6"/>
  <c r="D525" i="6"/>
  <c r="E525" i="6"/>
  <c r="F525" i="6"/>
  <c r="H525" i="6"/>
  <c r="I525" i="6"/>
  <c r="L525" i="6"/>
  <c r="N525" i="6"/>
  <c r="R525" i="6"/>
  <c r="Q525" i="6" s="1"/>
  <c r="S525" i="6" s="1"/>
  <c r="T525" i="6"/>
  <c r="C526" i="6"/>
  <c r="D526" i="6"/>
  <c r="E526" i="6"/>
  <c r="F526" i="6"/>
  <c r="H526" i="6"/>
  <c r="I526" i="6"/>
  <c r="N526" i="6"/>
  <c r="R526" i="6"/>
  <c r="Q526" i="6" s="1"/>
  <c r="S526" i="6"/>
  <c r="T526" i="6"/>
  <c r="C527" i="6"/>
  <c r="D527" i="6"/>
  <c r="E527" i="6"/>
  <c r="F527" i="6"/>
  <c r="H527" i="6"/>
  <c r="I527" i="6"/>
  <c r="L527" i="6"/>
  <c r="N527" i="6"/>
  <c r="R527" i="6"/>
  <c r="Q527" i="6" s="1"/>
  <c r="S527" i="6" s="1"/>
  <c r="T527" i="6"/>
  <c r="C528" i="6"/>
  <c r="D528" i="6"/>
  <c r="E528" i="6"/>
  <c r="F528" i="6"/>
  <c r="H528" i="6"/>
  <c r="I528" i="6"/>
  <c r="N528" i="6"/>
  <c r="R528" i="6"/>
  <c r="Q528" i="6" s="1"/>
  <c r="S528" i="6" s="1"/>
  <c r="T528" i="6"/>
  <c r="C529" i="6"/>
  <c r="D529" i="6"/>
  <c r="E529" i="6"/>
  <c r="F529" i="6"/>
  <c r="H529" i="6"/>
  <c r="I529" i="6"/>
  <c r="N529" i="6"/>
  <c r="R529" i="6"/>
  <c r="Q529" i="6" s="1"/>
  <c r="S529" i="6" s="1"/>
  <c r="T529" i="6"/>
  <c r="C530" i="6"/>
  <c r="D530" i="6"/>
  <c r="E530" i="6"/>
  <c r="F530" i="6"/>
  <c r="H530" i="6"/>
  <c r="I530" i="6"/>
  <c r="N530" i="6"/>
  <c r="R530" i="6"/>
  <c r="Q530" i="6" s="1"/>
  <c r="S530" i="6" s="1"/>
  <c r="T530" i="6"/>
  <c r="C531" i="6"/>
  <c r="D531" i="6"/>
  <c r="E531" i="6"/>
  <c r="F531" i="6"/>
  <c r="H531" i="6"/>
  <c r="I531" i="6"/>
  <c r="N531" i="6"/>
  <c r="Q531" i="6"/>
  <c r="S531" i="6" s="1"/>
  <c r="R531" i="6"/>
  <c r="T531" i="6"/>
  <c r="C532" i="6"/>
  <c r="D532" i="6"/>
  <c r="E532" i="6"/>
  <c r="F532" i="6"/>
  <c r="H532" i="6"/>
  <c r="I532" i="6"/>
  <c r="N532" i="6"/>
  <c r="R532" i="6"/>
  <c r="Q532" i="6" s="1"/>
  <c r="S532" i="6"/>
  <c r="T532" i="6"/>
  <c r="C533" i="6"/>
  <c r="L533" i="6" s="1"/>
  <c r="D533" i="6"/>
  <c r="E533" i="6"/>
  <c r="F533" i="6"/>
  <c r="H533" i="6"/>
  <c r="I533" i="6"/>
  <c r="N533" i="6"/>
  <c r="Q533" i="6"/>
  <c r="S533" i="6" s="1"/>
  <c r="R533" i="6"/>
  <c r="T533" i="6"/>
  <c r="C534" i="6"/>
  <c r="D534" i="6"/>
  <c r="E534" i="6"/>
  <c r="F534" i="6"/>
  <c r="H534" i="6"/>
  <c r="I534" i="6"/>
  <c r="N534" i="6"/>
  <c r="R534" i="6"/>
  <c r="Q534" i="6" s="1"/>
  <c r="S534" i="6" s="1"/>
  <c r="T534" i="6"/>
  <c r="C535" i="6"/>
  <c r="D535" i="6"/>
  <c r="E535" i="6"/>
  <c r="F535" i="6"/>
  <c r="H535" i="6"/>
  <c r="I535" i="6"/>
  <c r="L535" i="6" s="1"/>
  <c r="N535" i="6"/>
  <c r="R535" i="6"/>
  <c r="Q535" i="6" s="1"/>
  <c r="S535" i="6" s="1"/>
  <c r="T535" i="6"/>
  <c r="C536" i="6"/>
  <c r="D536" i="6"/>
  <c r="E536" i="6"/>
  <c r="F536" i="6"/>
  <c r="H536" i="6"/>
  <c r="I536" i="6"/>
  <c r="N536" i="6"/>
  <c r="R536" i="6"/>
  <c r="Q536" i="6" s="1"/>
  <c r="S536" i="6" s="1"/>
  <c r="T536" i="6"/>
  <c r="C537" i="6"/>
  <c r="D537" i="6"/>
  <c r="E537" i="6"/>
  <c r="F537" i="6"/>
  <c r="H537" i="6"/>
  <c r="I537" i="6"/>
  <c r="N537" i="6"/>
  <c r="R537" i="6"/>
  <c r="Q537" i="6" s="1"/>
  <c r="S537" i="6" s="1"/>
  <c r="T537" i="6"/>
  <c r="C538" i="6"/>
  <c r="D538" i="6"/>
  <c r="E538" i="6"/>
  <c r="F538" i="6"/>
  <c r="H538" i="6"/>
  <c r="I538" i="6"/>
  <c r="N538" i="6"/>
  <c r="R538" i="6"/>
  <c r="Q538" i="6" s="1"/>
  <c r="S538" i="6"/>
  <c r="T538" i="6"/>
  <c r="C539" i="6"/>
  <c r="L539" i="6" s="1"/>
  <c r="D539" i="6"/>
  <c r="E539" i="6"/>
  <c r="F539" i="6"/>
  <c r="H539" i="6"/>
  <c r="I539" i="6"/>
  <c r="N539" i="6"/>
  <c r="Q539" i="6"/>
  <c r="S539" i="6" s="1"/>
  <c r="R539" i="6"/>
  <c r="T539" i="6"/>
  <c r="C540" i="6"/>
  <c r="D540" i="6"/>
  <c r="E540" i="6"/>
  <c r="F540" i="6"/>
  <c r="H540" i="6"/>
  <c r="I540" i="6"/>
  <c r="N540" i="6"/>
  <c r="R540" i="6"/>
  <c r="Q540" i="6" s="1"/>
  <c r="S540" i="6"/>
  <c r="T540" i="6"/>
  <c r="C541" i="6"/>
  <c r="D541" i="6"/>
  <c r="E541" i="6"/>
  <c r="F541" i="6"/>
  <c r="H541" i="6"/>
  <c r="I541" i="6"/>
  <c r="L541" i="6"/>
  <c r="N541" i="6"/>
  <c r="R541" i="6"/>
  <c r="Q541" i="6" s="1"/>
  <c r="S541" i="6" s="1"/>
  <c r="T541" i="6"/>
  <c r="C542" i="6"/>
  <c r="D542" i="6"/>
  <c r="L542" i="6" s="1"/>
  <c r="E542" i="6"/>
  <c r="F542" i="6"/>
  <c r="H542" i="6"/>
  <c r="I542" i="6"/>
  <c r="N542" i="6"/>
  <c r="R542" i="6"/>
  <c r="Q542" i="6" s="1"/>
  <c r="S542" i="6"/>
  <c r="T542" i="6"/>
  <c r="C543" i="6"/>
  <c r="D543" i="6"/>
  <c r="E543" i="6"/>
  <c r="F543" i="6"/>
  <c r="H543" i="6"/>
  <c r="I543" i="6"/>
  <c r="L543" i="6"/>
  <c r="N543" i="6"/>
  <c r="R543" i="6"/>
  <c r="Q543" i="6" s="1"/>
  <c r="S543" i="6" s="1"/>
  <c r="T543" i="6"/>
  <c r="C544" i="6"/>
  <c r="D544" i="6"/>
  <c r="E544" i="6"/>
  <c r="F544" i="6"/>
  <c r="H544" i="6"/>
  <c r="I544" i="6"/>
  <c r="N544" i="6"/>
  <c r="R544" i="6"/>
  <c r="Q544" i="6" s="1"/>
  <c r="S544" i="6" s="1"/>
  <c r="T544" i="6"/>
  <c r="C545" i="6"/>
  <c r="D545" i="6"/>
  <c r="E545" i="6"/>
  <c r="F545" i="6"/>
  <c r="H545" i="6"/>
  <c r="I545" i="6"/>
  <c r="N545" i="6"/>
  <c r="R545" i="6"/>
  <c r="Q545" i="6" s="1"/>
  <c r="S545" i="6" s="1"/>
  <c r="T545" i="6"/>
  <c r="C546" i="6"/>
  <c r="D546" i="6"/>
  <c r="E546" i="6"/>
  <c r="F546" i="6"/>
  <c r="H546" i="6"/>
  <c r="I546" i="6"/>
  <c r="N546" i="6"/>
  <c r="R546" i="6"/>
  <c r="Q546" i="6" s="1"/>
  <c r="S546" i="6" s="1"/>
  <c r="T546" i="6"/>
  <c r="C547" i="6"/>
  <c r="D547" i="6"/>
  <c r="E547" i="6"/>
  <c r="F547" i="6"/>
  <c r="H547" i="6"/>
  <c r="I547" i="6"/>
  <c r="N547" i="6"/>
  <c r="Q547" i="6"/>
  <c r="S547" i="6" s="1"/>
  <c r="R547" i="6"/>
  <c r="T547" i="6"/>
  <c r="C548" i="6"/>
  <c r="D548" i="6"/>
  <c r="L548" i="6" s="1"/>
  <c r="E548" i="6"/>
  <c r="F548" i="6"/>
  <c r="H548" i="6"/>
  <c r="I548" i="6"/>
  <c r="N548" i="6"/>
  <c r="R548" i="6"/>
  <c r="Q548" i="6" s="1"/>
  <c r="S548" i="6"/>
  <c r="T548" i="6"/>
  <c r="C549" i="6"/>
  <c r="L549" i="6" s="1"/>
  <c r="D549" i="6"/>
  <c r="E549" i="6"/>
  <c r="F549" i="6"/>
  <c r="H549" i="6"/>
  <c r="I549" i="6"/>
  <c r="N549" i="6"/>
  <c r="Q549" i="6"/>
  <c r="S549" i="6" s="1"/>
  <c r="R549" i="6"/>
  <c r="T549" i="6"/>
  <c r="C550" i="6"/>
  <c r="D550" i="6"/>
  <c r="E550" i="6"/>
  <c r="F550" i="6"/>
  <c r="H550" i="6"/>
  <c r="I550" i="6"/>
  <c r="N550" i="6"/>
  <c r="R550" i="6"/>
  <c r="Q550" i="6" s="1"/>
  <c r="S550" i="6" s="1"/>
  <c r="T550" i="6"/>
  <c r="C551" i="6"/>
  <c r="D551" i="6"/>
  <c r="E551" i="6"/>
  <c r="F551" i="6"/>
  <c r="H551" i="6"/>
  <c r="I551" i="6"/>
  <c r="L551" i="6" s="1"/>
  <c r="N551" i="6"/>
  <c r="R551" i="6"/>
  <c r="Q551" i="6" s="1"/>
  <c r="S551" i="6" s="1"/>
  <c r="T551" i="6"/>
  <c r="C552" i="6"/>
  <c r="D552" i="6"/>
  <c r="E552" i="6"/>
  <c r="F552" i="6"/>
  <c r="H552" i="6"/>
  <c r="I552" i="6"/>
  <c r="N552" i="6"/>
  <c r="R552" i="6"/>
  <c r="Q552" i="6" s="1"/>
  <c r="S552" i="6"/>
  <c r="T552" i="6"/>
  <c r="C553" i="6"/>
  <c r="D553" i="6"/>
  <c r="E553" i="6"/>
  <c r="F553" i="6"/>
  <c r="H553" i="6"/>
  <c r="I553" i="6"/>
  <c r="L553" i="6"/>
  <c r="N553" i="6"/>
  <c r="R553" i="6"/>
  <c r="Q553" i="6" s="1"/>
  <c r="S553" i="6" s="1"/>
  <c r="T553" i="6"/>
  <c r="C554" i="6"/>
  <c r="D554" i="6"/>
  <c r="E554" i="6"/>
  <c r="F554" i="6"/>
  <c r="H554" i="6"/>
  <c r="I554" i="6"/>
  <c r="N554" i="6"/>
  <c r="R554" i="6"/>
  <c r="Q554" i="6" s="1"/>
  <c r="S554" i="6"/>
  <c r="T554" i="6"/>
  <c r="C555" i="6"/>
  <c r="L555" i="6" s="1"/>
  <c r="D555" i="6"/>
  <c r="E555" i="6"/>
  <c r="F555" i="6"/>
  <c r="H555" i="6"/>
  <c r="I555" i="6"/>
  <c r="N555" i="6"/>
  <c r="R555" i="6"/>
  <c r="Q555" i="6" s="1"/>
  <c r="S555" i="6" s="1"/>
  <c r="T555" i="6"/>
  <c r="C556" i="6"/>
  <c r="D556" i="6"/>
  <c r="E556" i="6"/>
  <c r="F556" i="6"/>
  <c r="H556" i="6"/>
  <c r="I556" i="6"/>
  <c r="N556" i="6"/>
  <c r="R556" i="6"/>
  <c r="Q556" i="6" s="1"/>
  <c r="S556" i="6"/>
  <c r="T556" i="6"/>
  <c r="C557" i="6"/>
  <c r="D557" i="6"/>
  <c r="E557" i="6"/>
  <c r="F557" i="6"/>
  <c r="H557" i="6"/>
  <c r="I557" i="6"/>
  <c r="L557" i="6"/>
  <c r="N557" i="6"/>
  <c r="R557" i="6"/>
  <c r="Q557" i="6" s="1"/>
  <c r="S557" i="6" s="1"/>
  <c r="T557" i="6"/>
  <c r="C558" i="6"/>
  <c r="D558" i="6"/>
  <c r="E558" i="6"/>
  <c r="F558" i="6"/>
  <c r="H558" i="6"/>
  <c r="I558" i="6"/>
  <c r="N558" i="6"/>
  <c r="R558" i="6"/>
  <c r="Q558" i="6" s="1"/>
  <c r="S558" i="6"/>
  <c r="T558" i="6"/>
  <c r="C559" i="6"/>
  <c r="D559" i="6"/>
  <c r="L559" i="6" s="1"/>
  <c r="E559" i="6"/>
  <c r="F559" i="6"/>
  <c r="H559" i="6"/>
  <c r="I559" i="6"/>
  <c r="N559" i="6"/>
  <c r="R559" i="6"/>
  <c r="Q559" i="6" s="1"/>
  <c r="S559" i="6" s="1"/>
  <c r="T559" i="6"/>
  <c r="C560" i="6"/>
  <c r="D560" i="6"/>
  <c r="E560" i="6"/>
  <c r="F560" i="6"/>
  <c r="H560" i="6"/>
  <c r="I560" i="6"/>
  <c r="N560" i="6"/>
  <c r="R560" i="6"/>
  <c r="Q560" i="6" s="1"/>
  <c r="S560" i="6" s="1"/>
  <c r="T560" i="6"/>
  <c r="C561" i="6"/>
  <c r="D561" i="6"/>
  <c r="E561" i="6"/>
  <c r="F561" i="6"/>
  <c r="H561" i="6"/>
  <c r="I561" i="6"/>
  <c r="N561" i="6"/>
  <c r="R561" i="6"/>
  <c r="Q561" i="6" s="1"/>
  <c r="S561" i="6" s="1"/>
  <c r="T561" i="6"/>
  <c r="C562" i="6"/>
  <c r="D562" i="6"/>
  <c r="E562" i="6"/>
  <c r="F562" i="6"/>
  <c r="H562" i="6"/>
  <c r="I562" i="6"/>
  <c r="N562" i="6"/>
  <c r="R562" i="6"/>
  <c r="Q562" i="6" s="1"/>
  <c r="S562" i="6" s="1"/>
  <c r="T562" i="6"/>
  <c r="C563" i="6"/>
  <c r="D563" i="6"/>
  <c r="E563" i="6"/>
  <c r="F563" i="6"/>
  <c r="H563" i="6"/>
  <c r="I563" i="6"/>
  <c r="N563" i="6"/>
  <c r="Q563" i="6"/>
  <c r="S563" i="6" s="1"/>
  <c r="R563" i="6"/>
  <c r="T563" i="6"/>
  <c r="C564" i="6"/>
  <c r="D564" i="6"/>
  <c r="E564" i="6"/>
  <c r="F564" i="6"/>
  <c r="H564" i="6"/>
  <c r="I564" i="6"/>
  <c r="N564" i="6"/>
  <c r="R564" i="6"/>
  <c r="Q564" i="6" s="1"/>
  <c r="S564" i="6"/>
  <c r="T564" i="6"/>
  <c r="C565" i="6"/>
  <c r="L565" i="6" s="1"/>
  <c r="D565" i="6"/>
  <c r="E565" i="6"/>
  <c r="F565" i="6"/>
  <c r="H565" i="6"/>
  <c r="I565" i="6"/>
  <c r="N565" i="6"/>
  <c r="Q565" i="6"/>
  <c r="S565" i="6" s="1"/>
  <c r="R565" i="6"/>
  <c r="T565" i="6"/>
  <c r="C566" i="6"/>
  <c r="D566" i="6"/>
  <c r="E566" i="6"/>
  <c r="F566" i="6"/>
  <c r="H566" i="6"/>
  <c r="I566" i="6"/>
  <c r="N566" i="6"/>
  <c r="R566" i="6"/>
  <c r="Q566" i="6" s="1"/>
  <c r="S566" i="6" s="1"/>
  <c r="T566" i="6"/>
  <c r="C567" i="6"/>
  <c r="D567" i="6"/>
  <c r="E567" i="6"/>
  <c r="F567" i="6"/>
  <c r="H567" i="6"/>
  <c r="I567" i="6"/>
  <c r="L567" i="6" s="1"/>
  <c r="N567" i="6"/>
  <c r="R567" i="6"/>
  <c r="Q567" i="6" s="1"/>
  <c r="S567" i="6" s="1"/>
  <c r="T567" i="6"/>
  <c r="C568" i="6"/>
  <c r="D568" i="6"/>
  <c r="E568" i="6"/>
  <c r="F568" i="6"/>
  <c r="H568" i="6"/>
  <c r="I568" i="6"/>
  <c r="N568" i="6"/>
  <c r="R568" i="6"/>
  <c r="Q568" i="6" s="1"/>
  <c r="S568" i="6" s="1"/>
  <c r="T568" i="6"/>
  <c r="C569" i="6"/>
  <c r="D569" i="6"/>
  <c r="E569" i="6"/>
  <c r="F569" i="6"/>
  <c r="H569" i="6"/>
  <c r="I569" i="6"/>
  <c r="N569" i="6"/>
  <c r="Q569" i="6"/>
  <c r="S569" i="6" s="1"/>
  <c r="R569" i="6"/>
  <c r="T569" i="6"/>
  <c r="C570" i="6"/>
  <c r="D570" i="6"/>
  <c r="E570" i="6"/>
  <c r="F570" i="6"/>
  <c r="H570" i="6"/>
  <c r="I570" i="6"/>
  <c r="N570" i="6"/>
  <c r="R570" i="6"/>
  <c r="Q570" i="6" s="1"/>
  <c r="S570" i="6"/>
  <c r="T570" i="6"/>
  <c r="C571" i="6"/>
  <c r="L571" i="6" s="1"/>
  <c r="D571" i="6"/>
  <c r="E571" i="6"/>
  <c r="F571" i="6"/>
  <c r="H571" i="6"/>
  <c r="I571" i="6"/>
  <c r="N571" i="6"/>
  <c r="R571" i="6"/>
  <c r="Q571" i="6" s="1"/>
  <c r="S571" i="6" s="1"/>
  <c r="T571" i="6"/>
  <c r="C572" i="6"/>
  <c r="D572" i="6"/>
  <c r="L572" i="6" s="1"/>
  <c r="E572" i="6"/>
  <c r="F572" i="6"/>
  <c r="H572" i="6"/>
  <c r="I572" i="6"/>
  <c r="N572" i="6"/>
  <c r="R572" i="6"/>
  <c r="Q572" i="6" s="1"/>
  <c r="S572" i="6"/>
  <c r="T572" i="6"/>
  <c r="C573" i="6"/>
  <c r="D573" i="6"/>
  <c r="E573" i="6"/>
  <c r="F573" i="6"/>
  <c r="H573" i="6"/>
  <c r="I573" i="6"/>
  <c r="L573" i="6"/>
  <c r="N573" i="6"/>
  <c r="R573" i="6"/>
  <c r="Q573" i="6" s="1"/>
  <c r="S573" i="6" s="1"/>
  <c r="T573" i="6"/>
  <c r="C574" i="6"/>
  <c r="D574" i="6"/>
  <c r="E574" i="6"/>
  <c r="F574" i="6"/>
  <c r="H574" i="6"/>
  <c r="I574" i="6"/>
  <c r="N574" i="6"/>
  <c r="R574" i="6"/>
  <c r="Q574" i="6" s="1"/>
  <c r="S574" i="6"/>
  <c r="T574" i="6"/>
  <c r="C575" i="6"/>
  <c r="D575" i="6"/>
  <c r="E575" i="6"/>
  <c r="F575" i="6"/>
  <c r="H575" i="6"/>
  <c r="I575" i="6"/>
  <c r="L575" i="6"/>
  <c r="N575" i="6"/>
  <c r="R575" i="6"/>
  <c r="Q575" i="6" s="1"/>
  <c r="S575" i="6" s="1"/>
  <c r="T575" i="6"/>
  <c r="C576" i="6"/>
  <c r="D576" i="6"/>
  <c r="E576" i="6"/>
  <c r="F576" i="6"/>
  <c r="H576" i="6"/>
  <c r="I576" i="6"/>
  <c r="N576" i="6"/>
  <c r="R576" i="6"/>
  <c r="Q576" i="6" s="1"/>
  <c r="S576" i="6" s="1"/>
  <c r="T576" i="6"/>
  <c r="C577" i="6"/>
  <c r="D577" i="6"/>
  <c r="E577" i="6"/>
  <c r="F577" i="6"/>
  <c r="H577" i="6"/>
  <c r="I577" i="6"/>
  <c r="N577" i="6"/>
  <c r="R577" i="6"/>
  <c r="Q577" i="6" s="1"/>
  <c r="S577" i="6" s="1"/>
  <c r="T577" i="6"/>
  <c r="C578" i="6"/>
  <c r="D578" i="6"/>
  <c r="E578" i="6"/>
  <c r="F578" i="6"/>
  <c r="H578" i="6"/>
  <c r="I578" i="6"/>
  <c r="N578" i="6"/>
  <c r="R578" i="6"/>
  <c r="Q578" i="6" s="1"/>
  <c r="S578" i="6" s="1"/>
  <c r="T578" i="6"/>
  <c r="C579" i="6"/>
  <c r="D579" i="6"/>
  <c r="E579" i="6"/>
  <c r="F579" i="6"/>
  <c r="H579" i="6"/>
  <c r="I579" i="6"/>
  <c r="N579" i="6"/>
  <c r="Q579" i="6"/>
  <c r="S579" i="6" s="1"/>
  <c r="R579" i="6"/>
  <c r="T579" i="6"/>
  <c r="C580" i="6"/>
  <c r="D580" i="6"/>
  <c r="L580" i="6" s="1"/>
  <c r="E580" i="6"/>
  <c r="F580" i="6"/>
  <c r="H580" i="6"/>
  <c r="I580" i="6"/>
  <c r="N580" i="6"/>
  <c r="R580" i="6"/>
  <c r="Q580" i="6" s="1"/>
  <c r="S580" i="6"/>
  <c r="T580" i="6"/>
  <c r="C581" i="6"/>
  <c r="L581" i="6" s="1"/>
  <c r="D581" i="6"/>
  <c r="E581" i="6"/>
  <c r="F581" i="6"/>
  <c r="H581" i="6"/>
  <c r="I581" i="6"/>
  <c r="N581" i="6"/>
  <c r="Q581" i="6"/>
  <c r="S581" i="6" s="1"/>
  <c r="R581" i="6"/>
  <c r="T581" i="6"/>
  <c r="C582" i="6"/>
  <c r="D582" i="6"/>
  <c r="E582" i="6"/>
  <c r="F582" i="6"/>
  <c r="H582" i="6"/>
  <c r="I582" i="6"/>
  <c r="N582" i="6"/>
  <c r="R582" i="6"/>
  <c r="Q582" i="6" s="1"/>
  <c r="S582" i="6" s="1"/>
  <c r="T582" i="6"/>
  <c r="C583" i="6"/>
  <c r="D583" i="6"/>
  <c r="E583" i="6"/>
  <c r="F583" i="6"/>
  <c r="H583" i="6"/>
  <c r="I583" i="6"/>
  <c r="L583" i="6" s="1"/>
  <c r="N583" i="6"/>
  <c r="R583" i="6"/>
  <c r="Q583" i="6" s="1"/>
  <c r="S583" i="6" s="1"/>
  <c r="T583" i="6"/>
  <c r="C584" i="6"/>
  <c r="D584" i="6"/>
  <c r="E584" i="6"/>
  <c r="F584" i="6"/>
  <c r="H584" i="6"/>
  <c r="I584" i="6"/>
  <c r="N584" i="6"/>
  <c r="R584" i="6"/>
  <c r="Q584" i="6" s="1"/>
  <c r="S584" i="6" s="1"/>
  <c r="T584" i="6"/>
  <c r="C585" i="6"/>
  <c r="L585" i="6" s="1"/>
  <c r="D585" i="6"/>
  <c r="E585" i="6"/>
  <c r="F585" i="6"/>
  <c r="H585" i="6"/>
  <c r="I585" i="6"/>
  <c r="N585" i="6"/>
  <c r="R585" i="6"/>
  <c r="Q585" i="6" s="1"/>
  <c r="S585" i="6" s="1"/>
  <c r="T585" i="6"/>
  <c r="C586" i="6"/>
  <c r="D586" i="6"/>
  <c r="E586" i="6"/>
  <c r="F586" i="6"/>
  <c r="H586" i="6"/>
  <c r="I586" i="6"/>
  <c r="N586" i="6"/>
  <c r="R586" i="6"/>
  <c r="Q586" i="6" s="1"/>
  <c r="S586" i="6"/>
  <c r="T586" i="6"/>
  <c r="C587" i="6"/>
  <c r="L587" i="6" s="1"/>
  <c r="D587" i="6"/>
  <c r="E587" i="6"/>
  <c r="F587" i="6"/>
  <c r="H587" i="6"/>
  <c r="I587" i="6"/>
  <c r="N587" i="6"/>
  <c r="R587" i="6"/>
  <c r="Q587" i="6" s="1"/>
  <c r="S587" i="6" s="1"/>
  <c r="T587" i="6"/>
  <c r="B588" i="6"/>
  <c r="C588" i="6"/>
  <c r="L588" i="6" s="1"/>
  <c r="D588" i="6"/>
  <c r="E588" i="6"/>
  <c r="F588" i="6"/>
  <c r="H588" i="6"/>
  <c r="I588" i="6"/>
  <c r="N588" i="6"/>
  <c r="Q588" i="6"/>
  <c r="R588" i="6"/>
  <c r="T588" i="6"/>
  <c r="B589" i="6"/>
  <c r="C589" i="6"/>
  <c r="D589" i="6"/>
  <c r="E589" i="6"/>
  <c r="F589" i="6"/>
  <c r="H589" i="6"/>
  <c r="I589" i="6"/>
  <c r="N589" i="6"/>
  <c r="Q589" i="6"/>
  <c r="S589" i="6" s="1"/>
  <c r="R589" i="6"/>
  <c r="T589" i="6"/>
  <c r="B590" i="6"/>
  <c r="C590" i="6"/>
  <c r="D590" i="6"/>
  <c r="E590" i="6"/>
  <c r="F590" i="6"/>
  <c r="L590" i="6" s="1"/>
  <c r="H590" i="6"/>
  <c r="I590" i="6"/>
  <c r="N590" i="6"/>
  <c r="R590" i="6"/>
  <c r="Q590" i="6" s="1"/>
  <c r="S590" i="6" s="1"/>
  <c r="T590" i="6"/>
  <c r="B591" i="6"/>
  <c r="C591" i="6"/>
  <c r="D591" i="6"/>
  <c r="E591" i="6"/>
  <c r="F591" i="6"/>
  <c r="H591" i="6"/>
  <c r="I591" i="6"/>
  <c r="N591" i="6"/>
  <c r="R591" i="6"/>
  <c r="Q591" i="6" s="1"/>
  <c r="S591" i="6"/>
  <c r="T591" i="6"/>
  <c r="B592" i="6"/>
  <c r="C592" i="6"/>
  <c r="D592" i="6"/>
  <c r="E592" i="6"/>
  <c r="F592" i="6"/>
  <c r="H592" i="6"/>
  <c r="I592" i="6"/>
  <c r="N592" i="6"/>
  <c r="R592" i="6"/>
  <c r="Q592" i="6" s="1"/>
  <c r="S592" i="6" s="1"/>
  <c r="T592" i="6"/>
  <c r="B593" i="6"/>
  <c r="C593" i="6"/>
  <c r="L593" i="6" s="1"/>
  <c r="D593" i="6"/>
  <c r="E593" i="6"/>
  <c r="F593" i="6"/>
  <c r="H593" i="6"/>
  <c r="I593" i="6"/>
  <c r="N593" i="6"/>
  <c r="Q593" i="6"/>
  <c r="S593" i="6" s="1"/>
  <c r="R593" i="6"/>
  <c r="T593" i="6"/>
  <c r="B594" i="6"/>
  <c r="C594" i="6"/>
  <c r="L594" i="6" s="1"/>
  <c r="D594" i="6"/>
  <c r="E594" i="6"/>
  <c r="F594" i="6"/>
  <c r="H594" i="6"/>
  <c r="I594" i="6"/>
  <c r="N594" i="6"/>
  <c r="R594" i="6"/>
  <c r="Q594" i="6" s="1"/>
  <c r="S594" i="6" s="1"/>
  <c r="T594" i="6"/>
  <c r="B595" i="6"/>
  <c r="C595" i="6"/>
  <c r="D595" i="6"/>
  <c r="E595" i="6"/>
  <c r="F595" i="6"/>
  <c r="L595" i="6" s="1"/>
  <c r="H595" i="6"/>
  <c r="I595" i="6"/>
  <c r="N595" i="6"/>
  <c r="R595" i="6"/>
  <c r="Q595" i="6" s="1"/>
  <c r="S595" i="6" s="1"/>
  <c r="T595" i="6"/>
  <c r="B596" i="6"/>
  <c r="C596" i="6"/>
  <c r="D596" i="6"/>
  <c r="L596" i="6" s="1"/>
  <c r="E596" i="6"/>
  <c r="F596" i="6"/>
  <c r="H596" i="6"/>
  <c r="I596" i="6"/>
  <c r="N596" i="6"/>
  <c r="R596" i="6"/>
  <c r="Q596" i="6" s="1"/>
  <c r="S596" i="6"/>
  <c r="T596" i="6"/>
  <c r="B597" i="6"/>
  <c r="C597" i="6"/>
  <c r="D597" i="6"/>
  <c r="E597" i="6"/>
  <c r="F597" i="6"/>
  <c r="H597" i="6"/>
  <c r="I597" i="6"/>
  <c r="N597" i="6"/>
  <c r="R597" i="6"/>
  <c r="Q597" i="6" s="1"/>
  <c r="S597" i="6"/>
  <c r="T597" i="6"/>
  <c r="B598" i="6"/>
  <c r="C598" i="6"/>
  <c r="D598" i="6"/>
  <c r="E598" i="6"/>
  <c r="F598" i="6"/>
  <c r="H598" i="6"/>
  <c r="I598" i="6"/>
  <c r="N598" i="6"/>
  <c r="Q598" i="6"/>
  <c r="S598" i="6" s="1"/>
  <c r="R598" i="6"/>
  <c r="T598" i="6"/>
  <c r="B599" i="6"/>
  <c r="C599" i="6"/>
  <c r="L599" i="6" s="1"/>
  <c r="D599" i="6"/>
  <c r="E599" i="6"/>
  <c r="F599" i="6"/>
  <c r="H599" i="6"/>
  <c r="I599" i="6"/>
  <c r="N599" i="6"/>
  <c r="Q599" i="6"/>
  <c r="S599" i="6" s="1"/>
  <c r="R599" i="6"/>
  <c r="T599" i="6"/>
  <c r="B600" i="6"/>
  <c r="C600" i="6"/>
  <c r="D600" i="6"/>
  <c r="E600" i="6"/>
  <c r="L600" i="6" s="1"/>
  <c r="F600" i="6"/>
  <c r="H600" i="6"/>
  <c r="I600" i="6"/>
  <c r="N600" i="6"/>
  <c r="R600" i="6"/>
  <c r="Q600" i="6" s="1"/>
  <c r="S600" i="6" s="1"/>
  <c r="T600" i="6"/>
  <c r="B601" i="6"/>
  <c r="C601" i="6"/>
  <c r="D601" i="6"/>
  <c r="E601" i="6"/>
  <c r="F601" i="6"/>
  <c r="H601" i="6"/>
  <c r="I601" i="6"/>
  <c r="L601" i="6"/>
  <c r="N601" i="6"/>
  <c r="Q601" i="6"/>
  <c r="S601" i="6" s="1"/>
  <c r="R601" i="6"/>
  <c r="T601" i="6"/>
  <c r="B602" i="6"/>
  <c r="C602" i="6"/>
  <c r="L602" i="6" s="1"/>
  <c r="D602" i="6"/>
  <c r="E602" i="6"/>
  <c r="F602" i="6"/>
  <c r="H602" i="6"/>
  <c r="I602" i="6"/>
  <c r="N602" i="6"/>
  <c r="R602" i="6"/>
  <c r="Q602" i="6" s="1"/>
  <c r="S602" i="6" s="1"/>
  <c r="T602" i="6"/>
  <c r="B603" i="6"/>
  <c r="C603" i="6"/>
  <c r="D603" i="6"/>
  <c r="E603" i="6"/>
  <c r="F603" i="6"/>
  <c r="L603" i="6" s="1"/>
  <c r="H603" i="6"/>
  <c r="I603" i="6"/>
  <c r="N603" i="6"/>
  <c r="R603" i="6"/>
  <c r="Q603" i="6" s="1"/>
  <c r="S603" i="6" s="1"/>
  <c r="T603" i="6"/>
  <c r="B604" i="6"/>
  <c r="C604" i="6"/>
  <c r="D604" i="6"/>
  <c r="E604" i="6"/>
  <c r="F604" i="6"/>
  <c r="H604" i="6"/>
  <c r="I604" i="6"/>
  <c r="L604" i="6"/>
  <c r="N604" i="6"/>
  <c r="R604" i="6"/>
  <c r="Q604" i="6" s="1"/>
  <c r="S604" i="6" s="1"/>
  <c r="T604" i="6"/>
  <c r="B605" i="6"/>
  <c r="C605" i="6"/>
  <c r="D605" i="6"/>
  <c r="E605" i="6"/>
  <c r="F605" i="6"/>
  <c r="H605" i="6"/>
  <c r="I605" i="6"/>
  <c r="N605" i="6"/>
  <c r="R605" i="6"/>
  <c r="Q605" i="6" s="1"/>
  <c r="S605" i="6"/>
  <c r="T605" i="6"/>
  <c r="B606" i="6"/>
  <c r="C606" i="6"/>
  <c r="D606" i="6"/>
  <c r="E606" i="6"/>
  <c r="F606" i="6"/>
  <c r="H606" i="6"/>
  <c r="I606" i="6"/>
  <c r="N606" i="6"/>
  <c r="Q606" i="6"/>
  <c r="S606" i="6" s="1"/>
  <c r="R606" i="6"/>
  <c r="T606" i="6"/>
  <c r="B607" i="6"/>
  <c r="C607" i="6"/>
  <c r="D607" i="6"/>
  <c r="E607" i="6"/>
  <c r="F607" i="6"/>
  <c r="H607" i="6"/>
  <c r="I607" i="6"/>
  <c r="N607" i="6"/>
  <c r="Q607" i="6"/>
  <c r="R607" i="6"/>
  <c r="S607" i="6"/>
  <c r="T607" i="6"/>
  <c r="B608" i="6"/>
  <c r="C608" i="6"/>
  <c r="D608" i="6"/>
  <c r="E608" i="6"/>
  <c r="F608" i="6"/>
  <c r="H608" i="6"/>
  <c r="I608" i="6"/>
  <c r="L608" i="6"/>
  <c r="N608" i="6"/>
  <c r="R608" i="6"/>
  <c r="Q608" i="6" s="1"/>
  <c r="S608" i="6" s="1"/>
  <c r="T608" i="6"/>
  <c r="B609" i="6"/>
  <c r="C609" i="6"/>
  <c r="L609" i="6" s="1"/>
  <c r="D609" i="6"/>
  <c r="E609" i="6"/>
  <c r="F609" i="6"/>
  <c r="H609" i="6"/>
  <c r="I609" i="6"/>
  <c r="N609" i="6"/>
  <c r="Q609" i="6"/>
  <c r="S609" i="6" s="1"/>
  <c r="R609" i="6"/>
  <c r="T609" i="6"/>
  <c r="B610" i="6"/>
  <c r="C610" i="6"/>
  <c r="L610" i="6" s="1"/>
  <c r="D610" i="6"/>
  <c r="E610" i="6"/>
  <c r="F610" i="6"/>
  <c r="H610" i="6"/>
  <c r="I610" i="6"/>
  <c r="N610" i="6"/>
  <c r="Q610" i="6"/>
  <c r="S610" i="6" s="1"/>
  <c r="R610" i="6"/>
  <c r="T610" i="6"/>
  <c r="B611" i="6"/>
  <c r="C611" i="6"/>
  <c r="D611" i="6"/>
  <c r="E611" i="6"/>
  <c r="F611" i="6"/>
  <c r="H611" i="6"/>
  <c r="I611" i="6"/>
  <c r="N611" i="6"/>
  <c r="R611" i="6"/>
  <c r="Q611" i="6" s="1"/>
  <c r="S611" i="6" s="1"/>
  <c r="T611" i="6"/>
  <c r="B612" i="6"/>
  <c r="C612" i="6"/>
  <c r="D612" i="6"/>
  <c r="E612" i="6"/>
  <c r="F612" i="6"/>
  <c r="H612" i="6"/>
  <c r="I612" i="6"/>
  <c r="L612" i="6"/>
  <c r="N612" i="6"/>
  <c r="R612" i="6"/>
  <c r="Q612" i="6" s="1"/>
  <c r="S612" i="6" s="1"/>
  <c r="T612" i="6"/>
  <c r="B613" i="6"/>
  <c r="C613" i="6"/>
  <c r="D613" i="6"/>
  <c r="E613" i="6"/>
  <c r="F613" i="6"/>
  <c r="H613" i="6"/>
  <c r="I613" i="6"/>
  <c r="N613" i="6"/>
  <c r="R613" i="6"/>
  <c r="Q613" i="6" s="1"/>
  <c r="S613" i="6"/>
  <c r="T613" i="6"/>
  <c r="B614" i="6"/>
  <c r="C614" i="6"/>
  <c r="D614" i="6"/>
  <c r="E614" i="6"/>
  <c r="F614" i="6"/>
  <c r="H614" i="6"/>
  <c r="I614" i="6"/>
  <c r="N614" i="6"/>
  <c r="Q614" i="6"/>
  <c r="S614" i="6" s="1"/>
  <c r="R614" i="6"/>
  <c r="T614" i="6"/>
  <c r="B615" i="6"/>
  <c r="C615" i="6"/>
  <c r="L615" i="6" s="1"/>
  <c r="D615" i="6"/>
  <c r="E615" i="6"/>
  <c r="F615" i="6"/>
  <c r="H615" i="6"/>
  <c r="I615" i="6"/>
  <c r="N615" i="6"/>
  <c r="Q615" i="6"/>
  <c r="S615" i="6" s="1"/>
  <c r="R615" i="6"/>
  <c r="T615" i="6"/>
  <c r="B616" i="6"/>
  <c r="C616" i="6"/>
  <c r="D616" i="6"/>
  <c r="E616" i="6"/>
  <c r="F616" i="6"/>
  <c r="H616" i="6"/>
  <c r="I616" i="6"/>
  <c r="N616" i="6"/>
  <c r="R616" i="6"/>
  <c r="Q616" i="6" s="1"/>
  <c r="S616" i="6" s="1"/>
  <c r="T616" i="6"/>
  <c r="B617" i="6"/>
  <c r="C617" i="6"/>
  <c r="D617" i="6"/>
  <c r="E617" i="6"/>
  <c r="F617" i="6"/>
  <c r="H617" i="6"/>
  <c r="I617" i="6"/>
  <c r="L617" i="6"/>
  <c r="N617" i="6"/>
  <c r="Q617" i="6"/>
  <c r="S617" i="6" s="1"/>
  <c r="R617" i="6"/>
  <c r="T617" i="6"/>
  <c r="B618" i="6"/>
  <c r="C618" i="6"/>
  <c r="D618" i="6"/>
  <c r="E618" i="6"/>
  <c r="F618" i="6"/>
  <c r="H618" i="6"/>
  <c r="I618" i="6"/>
  <c r="N618" i="6"/>
  <c r="R618" i="6"/>
  <c r="Q618" i="6" s="1"/>
  <c r="S618" i="6" s="1"/>
  <c r="T618" i="6"/>
  <c r="B619" i="6"/>
  <c r="C619" i="6"/>
  <c r="D619" i="6"/>
  <c r="E619" i="6"/>
  <c r="F619" i="6"/>
  <c r="L619" i="6" s="1"/>
  <c r="H619" i="6"/>
  <c r="I619" i="6"/>
  <c r="N619" i="6"/>
  <c r="R619" i="6"/>
  <c r="Q619" i="6" s="1"/>
  <c r="S619" i="6" s="1"/>
  <c r="T619" i="6"/>
  <c r="B620" i="6"/>
  <c r="C620" i="6"/>
  <c r="D620" i="6"/>
  <c r="E620" i="6"/>
  <c r="F620" i="6"/>
  <c r="H620" i="6"/>
  <c r="I620" i="6"/>
  <c r="L620" i="6"/>
  <c r="N620" i="6"/>
  <c r="R620" i="6"/>
  <c r="Q620" i="6" s="1"/>
  <c r="S620" i="6" s="1"/>
  <c r="T620" i="6"/>
  <c r="B621" i="6"/>
  <c r="C621" i="6"/>
  <c r="D621" i="6"/>
  <c r="E621" i="6"/>
  <c r="F621" i="6"/>
  <c r="H621" i="6"/>
  <c r="I621" i="6"/>
  <c r="N621" i="6"/>
  <c r="R621" i="6"/>
  <c r="Q621" i="6" s="1"/>
  <c r="S621" i="6"/>
  <c r="T621" i="6"/>
  <c r="B622" i="6"/>
  <c r="C622" i="6"/>
  <c r="D622" i="6"/>
  <c r="E622" i="6"/>
  <c r="F622" i="6"/>
  <c r="H622" i="6"/>
  <c r="I622" i="6"/>
  <c r="N622" i="6"/>
  <c r="Q622" i="6"/>
  <c r="S622" i="6" s="1"/>
  <c r="R622" i="6"/>
  <c r="T622" i="6"/>
  <c r="B623" i="6"/>
  <c r="C623" i="6"/>
  <c r="D623" i="6"/>
  <c r="E623" i="6"/>
  <c r="F623" i="6"/>
  <c r="H623" i="6"/>
  <c r="I623" i="6"/>
  <c r="N623" i="6"/>
  <c r="Q623" i="6"/>
  <c r="R623" i="6"/>
  <c r="S623" i="6"/>
  <c r="T623" i="6"/>
  <c r="B624" i="6"/>
  <c r="C624" i="6"/>
  <c r="D624" i="6"/>
  <c r="E624" i="6"/>
  <c r="F624" i="6"/>
  <c r="H624" i="6"/>
  <c r="I624" i="6"/>
  <c r="L624" i="6"/>
  <c r="N624" i="6"/>
  <c r="R624" i="6"/>
  <c r="Q624" i="6" s="1"/>
  <c r="S624" i="6" s="1"/>
  <c r="T624" i="6"/>
  <c r="B625" i="6"/>
  <c r="C625" i="6"/>
  <c r="L625" i="6" s="1"/>
  <c r="D625" i="6"/>
  <c r="E625" i="6"/>
  <c r="F625" i="6"/>
  <c r="H625" i="6"/>
  <c r="I625" i="6"/>
  <c r="N625" i="6"/>
  <c r="Q625" i="6"/>
  <c r="S625" i="6" s="1"/>
  <c r="R625" i="6"/>
  <c r="T625" i="6"/>
  <c r="B626" i="6"/>
  <c r="C626" i="6"/>
  <c r="D626" i="6"/>
  <c r="E626" i="6"/>
  <c r="F626" i="6"/>
  <c r="H626" i="6"/>
  <c r="I626" i="6"/>
  <c r="N626" i="6"/>
  <c r="R626" i="6"/>
  <c r="Q626" i="6" s="1"/>
  <c r="S626" i="6" s="1"/>
  <c r="T626" i="6"/>
  <c r="B627" i="6"/>
  <c r="C627" i="6"/>
  <c r="D627" i="6"/>
  <c r="E627" i="6"/>
  <c r="F627" i="6"/>
  <c r="L627" i="6" s="1"/>
  <c r="H627" i="6"/>
  <c r="I627" i="6"/>
  <c r="N627" i="6"/>
  <c r="R627" i="6"/>
  <c r="Q627" i="6" s="1"/>
  <c r="S627" i="6" s="1"/>
  <c r="T627" i="6"/>
  <c r="B628" i="6"/>
  <c r="C628" i="6"/>
  <c r="D628" i="6"/>
  <c r="E628" i="6"/>
  <c r="F628" i="6"/>
  <c r="H628" i="6"/>
  <c r="I628" i="6"/>
  <c r="L628" i="6"/>
  <c r="N628" i="6"/>
  <c r="R628" i="6"/>
  <c r="Q628" i="6" s="1"/>
  <c r="S628" i="6"/>
  <c r="T628" i="6"/>
  <c r="B629" i="6"/>
  <c r="C629" i="6"/>
  <c r="D629" i="6"/>
  <c r="E629" i="6"/>
  <c r="F629" i="6"/>
  <c r="H629" i="6"/>
  <c r="I629" i="6"/>
  <c r="N629" i="6"/>
  <c r="R629" i="6"/>
  <c r="Q629" i="6" s="1"/>
  <c r="S629" i="6"/>
  <c r="T629" i="6"/>
  <c r="B630" i="6"/>
  <c r="C630" i="6"/>
  <c r="D630" i="6"/>
  <c r="E630" i="6"/>
  <c r="F630" i="6"/>
  <c r="H630" i="6"/>
  <c r="I630" i="6"/>
  <c r="N630" i="6"/>
  <c r="Q630" i="6"/>
  <c r="S630" i="6" s="1"/>
  <c r="R630" i="6"/>
  <c r="T630" i="6"/>
  <c r="B631" i="6"/>
  <c r="C631" i="6"/>
  <c r="L631" i="6" s="1"/>
  <c r="D631" i="6"/>
  <c r="E631" i="6"/>
  <c r="F631" i="6"/>
  <c r="H631" i="6"/>
  <c r="I631" i="6"/>
  <c r="N631" i="6"/>
  <c r="Q631" i="6"/>
  <c r="S631" i="6" s="1"/>
  <c r="R631" i="6"/>
  <c r="T631" i="6"/>
  <c r="B632" i="6"/>
  <c r="C632" i="6"/>
  <c r="D632" i="6"/>
  <c r="E632" i="6"/>
  <c r="L632" i="6" s="1"/>
  <c r="F632" i="6"/>
  <c r="H632" i="6"/>
  <c r="I632" i="6"/>
  <c r="N632" i="6"/>
  <c r="R632" i="6"/>
  <c r="Q632" i="6" s="1"/>
  <c r="S632" i="6" s="1"/>
  <c r="T632" i="6"/>
  <c r="B633" i="6"/>
  <c r="C633" i="6"/>
  <c r="D633" i="6"/>
  <c r="E633" i="6"/>
  <c r="F633" i="6"/>
  <c r="H633" i="6"/>
  <c r="I633" i="6"/>
  <c r="L633" i="6"/>
  <c r="N633" i="6"/>
  <c r="Q633" i="6"/>
  <c r="S633" i="6" s="1"/>
  <c r="R633" i="6"/>
  <c r="T633" i="6"/>
  <c r="B634" i="6"/>
  <c r="C634" i="6"/>
  <c r="D634" i="6"/>
  <c r="E634" i="6"/>
  <c r="F634" i="6"/>
  <c r="H634" i="6"/>
  <c r="I634" i="6"/>
  <c r="N634" i="6"/>
  <c r="R634" i="6"/>
  <c r="Q634" i="6" s="1"/>
  <c r="S634" i="6" s="1"/>
  <c r="T634" i="6"/>
  <c r="B635" i="6"/>
  <c r="C635" i="6"/>
  <c r="D635" i="6"/>
  <c r="E635" i="6"/>
  <c r="F635" i="6"/>
  <c r="L635" i="6" s="1"/>
  <c r="H635" i="6"/>
  <c r="I635" i="6"/>
  <c r="N635" i="6"/>
  <c r="R635" i="6"/>
  <c r="Q635" i="6" s="1"/>
  <c r="S635" i="6" s="1"/>
  <c r="T635" i="6"/>
  <c r="B636" i="6"/>
  <c r="C636" i="6"/>
  <c r="D636" i="6"/>
  <c r="E636" i="6"/>
  <c r="F636" i="6"/>
  <c r="H636" i="6"/>
  <c r="I636" i="6"/>
  <c r="L636" i="6"/>
  <c r="N636" i="6"/>
  <c r="R636" i="6"/>
  <c r="Q636" i="6" s="1"/>
  <c r="S636" i="6" s="1"/>
  <c r="T636" i="6"/>
  <c r="B637" i="6"/>
  <c r="C637" i="6"/>
  <c r="D637" i="6"/>
  <c r="E637" i="6"/>
  <c r="F637" i="6"/>
  <c r="H637" i="6"/>
  <c r="I637" i="6"/>
  <c r="N637" i="6"/>
  <c r="R637" i="6"/>
  <c r="Q637" i="6" s="1"/>
  <c r="S637" i="6"/>
  <c r="T637" i="6"/>
  <c r="B638" i="6"/>
  <c r="C638" i="6"/>
  <c r="D638" i="6"/>
  <c r="E638" i="6"/>
  <c r="F638" i="6"/>
  <c r="H638" i="6"/>
  <c r="I638" i="6"/>
  <c r="N638" i="6"/>
  <c r="Q638" i="6"/>
  <c r="S638" i="6" s="1"/>
  <c r="R638" i="6"/>
  <c r="T638" i="6"/>
  <c r="B639" i="6"/>
  <c r="C639" i="6"/>
  <c r="D639" i="6"/>
  <c r="E639" i="6"/>
  <c r="F639" i="6"/>
  <c r="H639" i="6"/>
  <c r="I639" i="6"/>
  <c r="N639" i="6"/>
  <c r="Q639" i="6"/>
  <c r="S639" i="6" s="1"/>
  <c r="R639" i="6"/>
  <c r="T639" i="6"/>
  <c r="B640" i="6"/>
  <c r="C640" i="6"/>
  <c r="D640" i="6"/>
  <c r="E640" i="6"/>
  <c r="F640" i="6"/>
  <c r="L640" i="6" s="1"/>
  <c r="H640" i="6"/>
  <c r="I640" i="6"/>
  <c r="N640" i="6"/>
  <c r="R640" i="6"/>
  <c r="Q640" i="6" s="1"/>
  <c r="S640" i="6"/>
  <c r="T640" i="6"/>
  <c r="B641" i="6"/>
  <c r="C641" i="6"/>
  <c r="D641" i="6"/>
  <c r="E641" i="6"/>
  <c r="F641" i="6"/>
  <c r="H641" i="6"/>
  <c r="I641" i="6"/>
  <c r="N641" i="6"/>
  <c r="R641" i="6"/>
  <c r="Q641" i="6" s="1"/>
  <c r="S641" i="6" s="1"/>
  <c r="T641" i="6"/>
  <c r="B642" i="6"/>
  <c r="C642" i="6"/>
  <c r="D642" i="6"/>
  <c r="E642" i="6"/>
  <c r="F642" i="6"/>
  <c r="H642" i="6"/>
  <c r="I642" i="6"/>
  <c r="N642" i="6"/>
  <c r="Q642" i="6"/>
  <c r="S642" i="6" s="1"/>
  <c r="R642" i="6"/>
  <c r="T642" i="6"/>
  <c r="B643" i="6"/>
  <c r="C643" i="6"/>
  <c r="D643" i="6"/>
  <c r="E643" i="6"/>
  <c r="L643" i="6" s="1"/>
  <c r="F643" i="6"/>
  <c r="H643" i="6"/>
  <c r="I643" i="6"/>
  <c r="N643" i="6"/>
  <c r="R643" i="6"/>
  <c r="Q643" i="6" s="1"/>
  <c r="S643" i="6" s="1"/>
  <c r="T643" i="6"/>
  <c r="B644" i="6"/>
  <c r="C644" i="6"/>
  <c r="D644" i="6"/>
  <c r="E644" i="6"/>
  <c r="F644" i="6"/>
  <c r="H644" i="6"/>
  <c r="I644" i="6"/>
  <c r="L644" i="6"/>
  <c r="N644" i="6"/>
  <c r="R644" i="6"/>
  <c r="Q644" i="6" s="1"/>
  <c r="S644" i="6" s="1"/>
  <c r="T644" i="6"/>
  <c r="B645" i="6"/>
  <c r="C645" i="6"/>
  <c r="D645" i="6"/>
  <c r="E645" i="6"/>
  <c r="F645" i="6"/>
  <c r="H645" i="6"/>
  <c r="I645" i="6"/>
  <c r="N645" i="6"/>
  <c r="R645" i="6"/>
  <c r="Q645" i="6" s="1"/>
  <c r="S645" i="6" s="1"/>
  <c r="T645" i="6"/>
  <c r="B646" i="6"/>
  <c r="C646" i="6"/>
  <c r="L646" i="6" s="1"/>
  <c r="D646" i="6"/>
  <c r="E646" i="6"/>
  <c r="F646" i="6"/>
  <c r="H646" i="6"/>
  <c r="I646" i="6"/>
  <c r="N646" i="6"/>
  <c r="Q646" i="6"/>
  <c r="R646" i="6"/>
  <c r="T646" i="6"/>
  <c r="B647" i="6"/>
  <c r="C647" i="6"/>
  <c r="D647" i="6"/>
  <c r="E647" i="6"/>
  <c r="F647" i="6"/>
  <c r="L647" i="6" s="1"/>
  <c r="H647" i="6"/>
  <c r="I647" i="6"/>
  <c r="N647" i="6"/>
  <c r="Q647" i="6"/>
  <c r="R647" i="6"/>
  <c r="S647" i="6"/>
  <c r="T647" i="6"/>
  <c r="B648" i="6"/>
  <c r="C648" i="6"/>
  <c r="D648" i="6"/>
  <c r="E648" i="6"/>
  <c r="F648" i="6"/>
  <c r="H648" i="6"/>
  <c r="I648" i="6"/>
  <c r="L648" i="6"/>
  <c r="N648" i="6"/>
  <c r="R648" i="6"/>
  <c r="Q648" i="6" s="1"/>
  <c r="S648" i="6" s="1"/>
  <c r="T648" i="6"/>
  <c r="B649" i="6"/>
  <c r="C649" i="6"/>
  <c r="L649" i="6" s="1"/>
  <c r="D649" i="6"/>
  <c r="E649" i="6"/>
  <c r="F649" i="6"/>
  <c r="H649" i="6"/>
  <c r="I649" i="6"/>
  <c r="N649" i="6"/>
  <c r="Q649" i="6"/>
  <c r="S649" i="6" s="1"/>
  <c r="R649" i="6"/>
  <c r="T649" i="6"/>
  <c r="B650" i="6"/>
  <c r="C650" i="6"/>
  <c r="D650" i="6"/>
  <c r="E650" i="6"/>
  <c r="F650" i="6"/>
  <c r="H650" i="6"/>
  <c r="I650" i="6"/>
  <c r="N650" i="6"/>
  <c r="R650" i="6"/>
  <c r="Q650" i="6" s="1"/>
  <c r="S650" i="6" s="1"/>
  <c r="T650" i="6"/>
  <c r="B651" i="6"/>
  <c r="C651" i="6"/>
  <c r="D651" i="6"/>
  <c r="E651" i="6"/>
  <c r="F651" i="6"/>
  <c r="L651" i="6" s="1"/>
  <c r="H651" i="6"/>
  <c r="I651" i="6"/>
  <c r="N651" i="6"/>
  <c r="R651" i="6"/>
  <c r="Q651" i="6" s="1"/>
  <c r="S651" i="6"/>
  <c r="T651" i="6"/>
  <c r="B652" i="6"/>
  <c r="C652" i="6"/>
  <c r="D652" i="6"/>
  <c r="E652" i="6"/>
  <c r="F652" i="6"/>
  <c r="H652" i="6"/>
  <c r="I652" i="6"/>
  <c r="N652" i="6"/>
  <c r="R652" i="6"/>
  <c r="Q652" i="6" s="1"/>
  <c r="S652" i="6"/>
  <c r="T652" i="6"/>
  <c r="B653" i="6"/>
  <c r="C653" i="6"/>
  <c r="D653" i="6"/>
  <c r="E653" i="6"/>
  <c r="F653" i="6"/>
  <c r="H653" i="6"/>
  <c r="I653" i="6"/>
  <c r="N653" i="6"/>
  <c r="Q653" i="6"/>
  <c r="R653" i="6"/>
  <c r="S653" i="6"/>
  <c r="T653" i="6"/>
  <c r="B654" i="6"/>
  <c r="C654" i="6"/>
  <c r="D654" i="6"/>
  <c r="E654" i="6"/>
  <c r="F654" i="6"/>
  <c r="H654" i="6"/>
  <c r="I654" i="6"/>
  <c r="N654" i="6"/>
  <c r="Q654" i="6"/>
  <c r="S654" i="6" s="1"/>
  <c r="R654" i="6"/>
  <c r="T654" i="6"/>
  <c r="B655" i="6"/>
  <c r="C655" i="6"/>
  <c r="D655" i="6"/>
  <c r="E655" i="6"/>
  <c r="L655" i="6" s="1"/>
  <c r="F655" i="6"/>
  <c r="H655" i="6"/>
  <c r="I655" i="6"/>
  <c r="N655" i="6"/>
  <c r="Q655" i="6"/>
  <c r="R655" i="6"/>
  <c r="S655" i="6"/>
  <c r="T655" i="6"/>
  <c r="B656" i="6"/>
  <c r="C656" i="6"/>
  <c r="D656" i="6"/>
  <c r="E656" i="6"/>
  <c r="F656" i="6"/>
  <c r="H656" i="6"/>
  <c r="I656" i="6"/>
  <c r="N656" i="6"/>
  <c r="R656" i="6"/>
  <c r="Q656" i="6" s="1"/>
  <c r="S656" i="6"/>
  <c r="T656" i="6"/>
  <c r="B657" i="6"/>
  <c r="C657" i="6"/>
  <c r="D657" i="6"/>
  <c r="E657" i="6"/>
  <c r="F657" i="6"/>
  <c r="H657" i="6"/>
  <c r="I657" i="6"/>
  <c r="N657" i="6"/>
  <c r="R657" i="6"/>
  <c r="Q657" i="6" s="1"/>
  <c r="S657" i="6" s="1"/>
  <c r="T657" i="6"/>
  <c r="B658" i="6"/>
  <c r="C658" i="6"/>
  <c r="L658" i="6" s="1"/>
  <c r="D658" i="6"/>
  <c r="E658" i="6"/>
  <c r="F658" i="6"/>
  <c r="H658" i="6"/>
  <c r="I658" i="6"/>
  <c r="N658" i="6"/>
  <c r="R658" i="6"/>
  <c r="Q658" i="6" s="1"/>
  <c r="S658" i="6" s="1"/>
  <c r="T658" i="6"/>
  <c r="B659" i="6"/>
  <c r="C659" i="6"/>
  <c r="D659" i="6"/>
  <c r="L659" i="6" s="1"/>
  <c r="E659" i="6"/>
  <c r="F659" i="6"/>
  <c r="H659" i="6"/>
  <c r="I659" i="6"/>
  <c r="N659" i="6"/>
  <c r="R659" i="6"/>
  <c r="Q659" i="6" s="1"/>
  <c r="S659" i="6"/>
  <c r="T659" i="6"/>
  <c r="B660" i="6"/>
  <c r="C660" i="6"/>
  <c r="D660" i="6"/>
  <c r="E660" i="6"/>
  <c r="F660" i="6"/>
  <c r="H660" i="6"/>
  <c r="I660" i="6"/>
  <c r="N660" i="6"/>
  <c r="R660" i="6"/>
  <c r="Q660" i="6" s="1"/>
  <c r="S660" i="6"/>
  <c r="T660" i="6"/>
  <c r="B661" i="6"/>
  <c r="C661" i="6"/>
  <c r="D661" i="6"/>
  <c r="E661" i="6"/>
  <c r="F661" i="6"/>
  <c r="H661" i="6"/>
  <c r="I661" i="6"/>
  <c r="N661" i="6"/>
  <c r="Q661" i="6"/>
  <c r="R661" i="6"/>
  <c r="S661" i="6"/>
  <c r="T661" i="6"/>
  <c r="B662" i="6"/>
  <c r="C662" i="6"/>
  <c r="D662" i="6"/>
  <c r="E662" i="6"/>
  <c r="F662" i="6"/>
  <c r="H662" i="6"/>
  <c r="I662" i="6"/>
  <c r="N662" i="6"/>
  <c r="Q662" i="6"/>
  <c r="S662" i="6" s="1"/>
  <c r="R662" i="6"/>
  <c r="T662" i="6"/>
  <c r="B663" i="6"/>
  <c r="C663" i="6"/>
  <c r="D663" i="6"/>
  <c r="E663" i="6"/>
  <c r="F663" i="6"/>
  <c r="L663" i="6" s="1"/>
  <c r="H663" i="6"/>
  <c r="I663" i="6"/>
  <c r="N663" i="6"/>
  <c r="Q663" i="6"/>
  <c r="R663" i="6"/>
  <c r="S663" i="6"/>
  <c r="T663" i="6"/>
  <c r="B664" i="6"/>
  <c r="C664" i="6"/>
  <c r="D664" i="6"/>
  <c r="E664" i="6"/>
  <c r="F664" i="6"/>
  <c r="H664" i="6"/>
  <c r="I664" i="6"/>
  <c r="L664" i="6"/>
  <c r="N664" i="6"/>
  <c r="Q664" i="6"/>
  <c r="S664" i="6" s="1"/>
  <c r="R664" i="6"/>
  <c r="T664" i="6"/>
  <c r="B665" i="6"/>
  <c r="C665" i="6"/>
  <c r="D665" i="6"/>
  <c r="E665" i="6"/>
  <c r="F665" i="6"/>
  <c r="H665" i="6"/>
  <c r="I665" i="6"/>
  <c r="N665" i="6"/>
  <c r="R665" i="6"/>
  <c r="Q665" i="6" s="1"/>
  <c r="S665" i="6" s="1"/>
  <c r="T665" i="6"/>
  <c r="B666" i="6"/>
  <c r="C666" i="6"/>
  <c r="D666" i="6"/>
  <c r="E666" i="6"/>
  <c r="F666" i="6"/>
  <c r="L666" i="6" s="1"/>
  <c r="H666" i="6"/>
  <c r="I666" i="6"/>
  <c r="N666" i="6"/>
  <c r="R666" i="6"/>
  <c r="Q666" i="6" s="1"/>
  <c r="S666" i="6" s="1"/>
  <c r="T666" i="6"/>
  <c r="B667" i="6"/>
  <c r="C667" i="6"/>
  <c r="D667" i="6"/>
  <c r="E667" i="6"/>
  <c r="F667" i="6"/>
  <c r="H667" i="6"/>
  <c r="I667" i="6"/>
  <c r="N667" i="6"/>
  <c r="R667" i="6"/>
  <c r="Q667" i="6" s="1"/>
  <c r="S667" i="6"/>
  <c r="T667" i="6"/>
  <c r="B668" i="6"/>
  <c r="C668" i="6"/>
  <c r="D668" i="6"/>
  <c r="E668" i="6"/>
  <c r="F668" i="6"/>
  <c r="H668" i="6"/>
  <c r="I668" i="6"/>
  <c r="L668" i="6" s="1"/>
  <c r="N668" i="6"/>
  <c r="R668" i="6"/>
  <c r="Q668" i="6" s="1"/>
  <c r="S668" i="6"/>
  <c r="T668" i="6"/>
  <c r="B669" i="6"/>
  <c r="C669" i="6"/>
  <c r="D669" i="6"/>
  <c r="E669" i="6"/>
  <c r="F669" i="6"/>
  <c r="H669" i="6"/>
  <c r="I669" i="6"/>
  <c r="N669" i="6"/>
  <c r="Q669" i="6"/>
  <c r="S669" i="6" s="1"/>
  <c r="R669" i="6"/>
  <c r="T669" i="6"/>
  <c r="B670" i="6"/>
  <c r="C670" i="6"/>
  <c r="D670" i="6"/>
  <c r="E670" i="6"/>
  <c r="F670" i="6"/>
  <c r="H670" i="6"/>
  <c r="I670" i="6"/>
  <c r="N670" i="6"/>
  <c r="Q670" i="6"/>
  <c r="S670" i="6" s="1"/>
  <c r="R670" i="6"/>
  <c r="T670" i="6"/>
  <c r="B671" i="6"/>
  <c r="C671" i="6"/>
  <c r="L671" i="6" s="1"/>
  <c r="D671" i="6"/>
  <c r="E671" i="6"/>
  <c r="F671" i="6"/>
  <c r="H671" i="6"/>
  <c r="I671" i="6"/>
  <c r="N671" i="6"/>
  <c r="R671" i="6"/>
  <c r="Q671" i="6" s="1"/>
  <c r="S671" i="6" s="1"/>
  <c r="T671" i="6"/>
  <c r="B672" i="6"/>
  <c r="C672" i="6"/>
  <c r="D672" i="6"/>
  <c r="E672" i="6"/>
  <c r="F672" i="6"/>
  <c r="H672" i="6"/>
  <c r="L672" i="6" s="1"/>
  <c r="I672" i="6"/>
  <c r="N672" i="6"/>
  <c r="Q672" i="6"/>
  <c r="R672" i="6"/>
  <c r="S672" i="6"/>
  <c r="T672" i="6"/>
  <c r="B673" i="6"/>
  <c r="C673" i="6"/>
  <c r="L673" i="6" s="1"/>
  <c r="D673" i="6"/>
  <c r="E673" i="6"/>
  <c r="F673" i="6"/>
  <c r="H673" i="6"/>
  <c r="I673" i="6"/>
  <c r="N673" i="6"/>
  <c r="R673" i="6"/>
  <c r="Q673" i="6" s="1"/>
  <c r="S673" i="6" s="1"/>
  <c r="T673" i="6"/>
  <c r="B674" i="6"/>
  <c r="C674" i="6"/>
  <c r="D674" i="6"/>
  <c r="E674" i="6"/>
  <c r="F674" i="6"/>
  <c r="H674" i="6"/>
  <c r="I674" i="6"/>
  <c r="N674" i="6"/>
  <c r="R674" i="6"/>
  <c r="Q674" i="6" s="1"/>
  <c r="S674" i="6" s="1"/>
  <c r="T674" i="6"/>
  <c r="B675" i="6"/>
  <c r="C675" i="6"/>
  <c r="D675" i="6"/>
  <c r="E675" i="6"/>
  <c r="F675" i="6"/>
  <c r="H675" i="6"/>
  <c r="L675" i="6" s="1"/>
  <c r="I675" i="6"/>
  <c r="N675" i="6"/>
  <c r="R675" i="6"/>
  <c r="Q675" i="6" s="1"/>
  <c r="S675" i="6" s="1"/>
  <c r="T675" i="6"/>
  <c r="B676" i="6"/>
  <c r="C676" i="6"/>
  <c r="D676" i="6"/>
  <c r="E676" i="6"/>
  <c r="F676" i="6"/>
  <c r="H676" i="6"/>
  <c r="I676" i="6"/>
  <c r="N676" i="6"/>
  <c r="Q676" i="6"/>
  <c r="S676" i="6" s="1"/>
  <c r="R676" i="6"/>
  <c r="T676" i="6"/>
  <c r="B677" i="6"/>
  <c r="C677" i="6"/>
  <c r="D677" i="6"/>
  <c r="E677" i="6"/>
  <c r="F677" i="6"/>
  <c r="H677" i="6"/>
  <c r="I677" i="6"/>
  <c r="N677" i="6"/>
  <c r="Q677" i="6"/>
  <c r="S677" i="6" s="1"/>
  <c r="R677" i="6"/>
  <c r="T677" i="6"/>
  <c r="B678" i="6"/>
  <c r="C678" i="6"/>
  <c r="L678" i="6" s="1"/>
  <c r="D678" i="6"/>
  <c r="E678" i="6"/>
  <c r="F678" i="6"/>
  <c r="H678" i="6"/>
  <c r="I678" i="6"/>
  <c r="N678" i="6"/>
  <c r="Q678" i="6"/>
  <c r="R678" i="6"/>
  <c r="S678" i="6"/>
  <c r="T678" i="6"/>
  <c r="B679" i="6"/>
  <c r="C679" i="6"/>
  <c r="D679" i="6"/>
  <c r="E679" i="6"/>
  <c r="F679" i="6"/>
  <c r="H679" i="6"/>
  <c r="I679" i="6"/>
  <c r="L679" i="6" s="1"/>
  <c r="N679" i="6"/>
  <c r="Q679" i="6"/>
  <c r="R679" i="6"/>
  <c r="S679" i="6"/>
  <c r="T679" i="6"/>
  <c r="B680" i="6"/>
  <c r="C680" i="6"/>
  <c r="L680" i="6" s="1"/>
  <c r="D680" i="6"/>
  <c r="E680" i="6"/>
  <c r="F680" i="6"/>
  <c r="H680" i="6"/>
  <c r="I680" i="6"/>
  <c r="N680" i="6"/>
  <c r="R680" i="6"/>
  <c r="Q680" i="6" s="1"/>
  <c r="S680" i="6" s="1"/>
  <c r="T680" i="6"/>
  <c r="B681" i="6"/>
  <c r="C681" i="6"/>
  <c r="D681" i="6"/>
  <c r="E681" i="6"/>
  <c r="F681" i="6"/>
  <c r="H681" i="6"/>
  <c r="I681" i="6"/>
  <c r="N681" i="6"/>
  <c r="Q681" i="6"/>
  <c r="S681" i="6" s="1"/>
  <c r="R681" i="6"/>
  <c r="T681" i="6"/>
  <c r="B682" i="6"/>
  <c r="C682" i="6"/>
  <c r="L682" i="6" s="1"/>
  <c r="D682" i="6"/>
  <c r="E682" i="6"/>
  <c r="F682" i="6"/>
  <c r="H682" i="6"/>
  <c r="I682" i="6"/>
  <c r="N682" i="6"/>
  <c r="Q682" i="6"/>
  <c r="S682" i="6" s="1"/>
  <c r="R682" i="6"/>
  <c r="T682" i="6"/>
  <c r="B683" i="6"/>
  <c r="C683" i="6"/>
  <c r="D683" i="6"/>
  <c r="E683" i="6"/>
  <c r="F683" i="6"/>
  <c r="H683" i="6"/>
  <c r="I683" i="6"/>
  <c r="N683" i="6"/>
  <c r="R683" i="6"/>
  <c r="Q683" i="6" s="1"/>
  <c r="S683" i="6"/>
  <c r="T683" i="6"/>
  <c r="B684" i="6"/>
  <c r="C684" i="6"/>
  <c r="D684" i="6"/>
  <c r="E684" i="6"/>
  <c r="F684" i="6"/>
  <c r="H684" i="6"/>
  <c r="I684" i="6"/>
  <c r="L684" i="6" s="1"/>
  <c r="N684" i="6"/>
  <c r="R684" i="6"/>
  <c r="Q684" i="6" s="1"/>
  <c r="S684" i="6" s="1"/>
  <c r="T684" i="6"/>
  <c r="B685" i="6"/>
  <c r="C685" i="6"/>
  <c r="L685" i="6" s="1"/>
  <c r="D685" i="6"/>
  <c r="E685" i="6"/>
  <c r="F685" i="6"/>
  <c r="H685" i="6"/>
  <c r="I685" i="6"/>
  <c r="N685" i="6"/>
  <c r="R685" i="6"/>
  <c r="Q685" i="6" s="1"/>
  <c r="S685" i="6" s="1"/>
  <c r="T685" i="6"/>
  <c r="B686" i="6"/>
  <c r="C686" i="6"/>
  <c r="D686" i="6"/>
  <c r="E686" i="6"/>
  <c r="F686" i="6"/>
  <c r="H686" i="6"/>
  <c r="I686" i="6"/>
  <c r="N686" i="6"/>
  <c r="Q686" i="6"/>
  <c r="R686" i="6"/>
  <c r="S686" i="6"/>
  <c r="T686" i="6"/>
  <c r="B687" i="6"/>
  <c r="C687" i="6"/>
  <c r="L687" i="6" s="1"/>
  <c r="D687" i="6"/>
  <c r="E687" i="6"/>
  <c r="F687" i="6"/>
  <c r="H687" i="6"/>
  <c r="I687" i="6"/>
  <c r="N687" i="6"/>
  <c r="R687" i="6"/>
  <c r="Q687" i="6" s="1"/>
  <c r="S687" i="6" s="1"/>
  <c r="T687" i="6"/>
  <c r="B688" i="6"/>
  <c r="C688" i="6"/>
  <c r="D688" i="6"/>
  <c r="E688" i="6"/>
  <c r="F688" i="6"/>
  <c r="H688" i="6"/>
  <c r="I688" i="6"/>
  <c r="N688" i="6"/>
  <c r="Q688" i="6"/>
  <c r="R688" i="6"/>
  <c r="S688" i="6"/>
  <c r="T688" i="6"/>
  <c r="B689" i="6"/>
  <c r="C689" i="6"/>
  <c r="D689" i="6"/>
  <c r="E689" i="6"/>
  <c r="F689" i="6"/>
  <c r="H689" i="6"/>
  <c r="I689" i="6"/>
  <c r="N689" i="6"/>
  <c r="R689" i="6"/>
  <c r="Q689" i="6" s="1"/>
  <c r="S689" i="6" s="1"/>
  <c r="T689" i="6"/>
  <c r="B690" i="6"/>
  <c r="C690" i="6"/>
  <c r="D690" i="6"/>
  <c r="E690" i="6"/>
  <c r="F690" i="6"/>
  <c r="H690" i="6"/>
  <c r="I690" i="6"/>
  <c r="N690" i="6"/>
  <c r="R690" i="6"/>
  <c r="Q690" i="6" s="1"/>
  <c r="S690" i="6"/>
  <c r="T690" i="6"/>
  <c r="B691" i="6"/>
  <c r="C691" i="6"/>
  <c r="D691" i="6"/>
  <c r="E691" i="6"/>
  <c r="L691" i="6" s="1"/>
  <c r="F691" i="6"/>
  <c r="H691" i="6"/>
  <c r="I691" i="6"/>
  <c r="N691" i="6"/>
  <c r="R691" i="6"/>
  <c r="Q691" i="6" s="1"/>
  <c r="S691" i="6" s="1"/>
  <c r="T691" i="6"/>
  <c r="B692" i="6"/>
  <c r="C692" i="6"/>
  <c r="D692" i="6"/>
  <c r="E692" i="6"/>
  <c r="F692" i="6"/>
  <c r="H692" i="6"/>
  <c r="I692" i="6"/>
  <c r="L692" i="6"/>
  <c r="N692" i="6"/>
  <c r="Q692" i="6"/>
  <c r="S692" i="6" s="1"/>
  <c r="R692" i="6"/>
  <c r="T692" i="6"/>
  <c r="B693" i="6"/>
  <c r="C693" i="6"/>
  <c r="D693" i="6"/>
  <c r="E693" i="6"/>
  <c r="F693" i="6"/>
  <c r="H693" i="6"/>
  <c r="I693" i="6"/>
  <c r="N693" i="6"/>
  <c r="Q693" i="6"/>
  <c r="R693" i="6"/>
  <c r="S693" i="6"/>
  <c r="T693" i="6"/>
  <c r="B694" i="6"/>
  <c r="C694" i="6"/>
  <c r="D694" i="6"/>
  <c r="E694" i="6"/>
  <c r="F694" i="6"/>
  <c r="H694" i="6"/>
  <c r="I694" i="6"/>
  <c r="N694" i="6"/>
  <c r="Q694" i="6"/>
  <c r="S694" i="6" s="1"/>
  <c r="R694" i="6"/>
  <c r="T694" i="6"/>
  <c r="B695" i="6"/>
  <c r="C695" i="6"/>
  <c r="D695" i="6"/>
  <c r="E695" i="6"/>
  <c r="F695" i="6"/>
  <c r="H695" i="6"/>
  <c r="I695" i="6"/>
  <c r="N695" i="6"/>
  <c r="Q695" i="6"/>
  <c r="R695" i="6"/>
  <c r="S695" i="6"/>
  <c r="T695" i="6"/>
  <c r="B696" i="6"/>
  <c r="C696" i="6"/>
  <c r="D696" i="6"/>
  <c r="E696" i="6"/>
  <c r="F696" i="6"/>
  <c r="H696" i="6"/>
  <c r="I696" i="6"/>
  <c r="L696" i="6"/>
  <c r="N696" i="6"/>
  <c r="R696" i="6"/>
  <c r="Q696" i="6" s="1"/>
  <c r="S696" i="6" s="1"/>
  <c r="T696" i="6"/>
  <c r="B697" i="6"/>
  <c r="C697" i="6"/>
  <c r="D697" i="6"/>
  <c r="L697" i="6" s="1"/>
  <c r="E697" i="6"/>
  <c r="F697" i="6"/>
  <c r="H697" i="6"/>
  <c r="I697" i="6"/>
  <c r="N697" i="6"/>
  <c r="R697" i="6"/>
  <c r="Q697" i="6" s="1"/>
  <c r="S697" i="6" s="1"/>
  <c r="T697" i="6"/>
  <c r="B698" i="6"/>
  <c r="C698" i="6"/>
  <c r="D698" i="6"/>
  <c r="E698" i="6"/>
  <c r="L698" i="6" s="1"/>
  <c r="F698" i="6"/>
  <c r="H698" i="6"/>
  <c r="I698" i="6"/>
  <c r="N698" i="6"/>
  <c r="Q698" i="6"/>
  <c r="R698" i="6"/>
  <c r="S698" i="6"/>
  <c r="T698" i="6"/>
  <c r="B699" i="6"/>
  <c r="C699" i="6"/>
  <c r="D699" i="6"/>
  <c r="E699" i="6"/>
  <c r="F699" i="6"/>
  <c r="H699" i="6"/>
  <c r="I699" i="6"/>
  <c r="N699" i="6"/>
  <c r="R699" i="6"/>
  <c r="Q699" i="6" s="1"/>
  <c r="S699" i="6"/>
  <c r="T699" i="6"/>
  <c r="B700" i="6"/>
  <c r="C700" i="6"/>
  <c r="D700" i="6"/>
  <c r="E700" i="6"/>
  <c r="F700" i="6"/>
  <c r="H700" i="6"/>
  <c r="I700" i="6"/>
  <c r="N700" i="6"/>
  <c r="R700" i="6"/>
  <c r="Q700" i="6" s="1"/>
  <c r="S700" i="6" s="1"/>
  <c r="T700" i="6"/>
  <c r="B701" i="6"/>
  <c r="C701" i="6"/>
  <c r="L701" i="6" s="1"/>
  <c r="D701" i="6"/>
  <c r="E701" i="6"/>
  <c r="F701" i="6"/>
  <c r="H701" i="6"/>
  <c r="I701" i="6"/>
  <c r="N701" i="6"/>
  <c r="Q701" i="6"/>
  <c r="S701" i="6" s="1"/>
  <c r="R701" i="6"/>
  <c r="T701" i="6"/>
  <c r="B702" i="6"/>
  <c r="C702" i="6"/>
  <c r="D702" i="6"/>
  <c r="E702" i="6"/>
  <c r="F702" i="6"/>
  <c r="H702" i="6"/>
  <c r="I702" i="6"/>
  <c r="N702" i="6"/>
  <c r="Q702" i="6"/>
  <c r="R702" i="6"/>
  <c r="S702" i="6"/>
  <c r="T702" i="6"/>
  <c r="B703" i="6"/>
  <c r="C703" i="6"/>
  <c r="D703" i="6"/>
  <c r="E703" i="6"/>
  <c r="F703" i="6"/>
  <c r="H703" i="6"/>
  <c r="I703" i="6"/>
  <c r="L703" i="6"/>
  <c r="N703" i="6"/>
  <c r="R703" i="6"/>
  <c r="Q703" i="6" s="1"/>
  <c r="S703" i="6" s="1"/>
  <c r="T703" i="6"/>
  <c r="B704" i="6"/>
  <c r="C704" i="6"/>
  <c r="D704" i="6"/>
  <c r="L704" i="6" s="1"/>
  <c r="E704" i="6"/>
  <c r="F704" i="6"/>
  <c r="H704" i="6"/>
  <c r="I704" i="6"/>
  <c r="N704" i="6"/>
  <c r="R704" i="6"/>
  <c r="Q704" i="6" s="1"/>
  <c r="S704" i="6" s="1"/>
  <c r="T704" i="6"/>
  <c r="B705" i="6"/>
  <c r="C705" i="6"/>
  <c r="D705" i="6"/>
  <c r="E705" i="6"/>
  <c r="F705" i="6"/>
  <c r="H705" i="6"/>
  <c r="I705" i="6"/>
  <c r="N705" i="6"/>
  <c r="R705" i="6"/>
  <c r="Q705" i="6" s="1"/>
  <c r="S705" i="6" s="1"/>
  <c r="T705" i="6"/>
  <c r="B706" i="6"/>
  <c r="C706" i="6"/>
  <c r="D706" i="6"/>
  <c r="E706" i="6"/>
  <c r="F706" i="6"/>
  <c r="H706" i="6"/>
  <c r="L706" i="6" s="1"/>
  <c r="I706" i="6"/>
  <c r="N706" i="6"/>
  <c r="Q706" i="6"/>
  <c r="S706" i="6" s="1"/>
  <c r="R706" i="6"/>
  <c r="T706" i="6"/>
  <c r="B707" i="6"/>
  <c r="C707" i="6"/>
  <c r="L707" i="6" s="1"/>
  <c r="D707" i="6"/>
  <c r="E707" i="6"/>
  <c r="F707" i="6"/>
  <c r="H707" i="6"/>
  <c r="I707" i="6"/>
  <c r="N707" i="6"/>
  <c r="R707" i="6"/>
  <c r="Q707" i="6" s="1"/>
  <c r="S707" i="6"/>
  <c r="T707" i="6"/>
  <c r="B708" i="6"/>
  <c r="C708" i="6"/>
  <c r="D708" i="6"/>
  <c r="E708" i="6"/>
  <c r="F708" i="6"/>
  <c r="H708" i="6"/>
  <c r="I708" i="6"/>
  <c r="L708" i="6" s="1"/>
  <c r="N708" i="6"/>
  <c r="Q708" i="6"/>
  <c r="R708" i="6"/>
  <c r="S708" i="6"/>
  <c r="T708" i="6"/>
  <c r="B709" i="6"/>
  <c r="C709" i="6"/>
  <c r="L709" i="6" s="1"/>
  <c r="D709" i="6"/>
  <c r="E709" i="6"/>
  <c r="F709" i="6"/>
  <c r="H709" i="6"/>
  <c r="I709" i="6"/>
  <c r="N709" i="6"/>
  <c r="R709" i="6"/>
  <c r="Q709" i="6" s="1"/>
  <c r="S709" i="6" s="1"/>
  <c r="T709" i="6"/>
  <c r="B710" i="6"/>
  <c r="C710" i="6"/>
  <c r="D710" i="6"/>
  <c r="E710" i="6"/>
  <c r="F710" i="6"/>
  <c r="H710" i="6"/>
  <c r="I710" i="6"/>
  <c r="N710" i="6"/>
  <c r="Q710" i="6"/>
  <c r="S710" i="6" s="1"/>
  <c r="R710" i="6"/>
  <c r="T710" i="6"/>
  <c r="B711" i="6"/>
  <c r="C711" i="6"/>
  <c r="D711" i="6"/>
  <c r="E711" i="6"/>
  <c r="F711" i="6"/>
  <c r="L711" i="6" s="1"/>
  <c r="H711" i="6"/>
  <c r="I711" i="6"/>
  <c r="N711" i="6"/>
  <c r="R711" i="6"/>
  <c r="Q711" i="6" s="1"/>
  <c r="S711" i="6" s="1"/>
  <c r="T711" i="6"/>
  <c r="B712" i="6"/>
  <c r="C712" i="6"/>
  <c r="L712" i="6" s="1"/>
  <c r="D712" i="6"/>
  <c r="E712" i="6"/>
  <c r="F712" i="6"/>
  <c r="H712" i="6"/>
  <c r="I712" i="6"/>
  <c r="N712" i="6"/>
  <c r="Q712" i="6"/>
  <c r="S712" i="6" s="1"/>
  <c r="R712" i="6"/>
  <c r="T712" i="6"/>
  <c r="B713" i="6"/>
  <c r="C713" i="6"/>
  <c r="D713" i="6"/>
  <c r="E713" i="6"/>
  <c r="F713" i="6"/>
  <c r="H713" i="6"/>
  <c r="I713" i="6"/>
  <c r="N713" i="6"/>
  <c r="R713" i="6"/>
  <c r="Q713" i="6" s="1"/>
  <c r="S713" i="6" s="1"/>
  <c r="T713" i="6"/>
  <c r="B714" i="6"/>
  <c r="C714" i="6"/>
  <c r="L714" i="6" s="1"/>
  <c r="D714" i="6"/>
  <c r="E714" i="6"/>
  <c r="F714" i="6"/>
  <c r="H714" i="6"/>
  <c r="I714" i="6"/>
  <c r="N714" i="6"/>
  <c r="Q714" i="6"/>
  <c r="S714" i="6" s="1"/>
  <c r="R714" i="6"/>
  <c r="T714" i="6"/>
  <c r="B715" i="6"/>
  <c r="C715" i="6"/>
  <c r="D715" i="6"/>
  <c r="E715" i="6"/>
  <c r="F715" i="6"/>
  <c r="H715" i="6"/>
  <c r="I715" i="6"/>
  <c r="N715" i="6"/>
  <c r="R715" i="6"/>
  <c r="Q715" i="6" s="1"/>
  <c r="S715" i="6" s="1"/>
  <c r="T715" i="6"/>
  <c r="B716" i="6"/>
  <c r="C716" i="6"/>
  <c r="D716" i="6"/>
  <c r="E716" i="6"/>
  <c r="F716" i="6"/>
  <c r="H716" i="6"/>
  <c r="I716" i="6"/>
  <c r="L716" i="6"/>
  <c r="N716" i="6"/>
  <c r="Q716" i="6"/>
  <c r="R716" i="6"/>
  <c r="S716" i="6"/>
  <c r="T716" i="6"/>
  <c r="B717" i="6"/>
  <c r="C717" i="6"/>
  <c r="D717" i="6"/>
  <c r="E717" i="6"/>
  <c r="F717" i="6"/>
  <c r="H717" i="6"/>
  <c r="I717" i="6"/>
  <c r="N717" i="6"/>
  <c r="Q717" i="6"/>
  <c r="S717" i="6" s="1"/>
  <c r="R717" i="6"/>
  <c r="T717" i="6"/>
  <c r="B718" i="6"/>
  <c r="C718" i="6"/>
  <c r="L718" i="6" s="1"/>
  <c r="D718" i="6"/>
  <c r="E718" i="6"/>
  <c r="F718" i="6"/>
  <c r="H718" i="6"/>
  <c r="I718" i="6"/>
  <c r="N718" i="6"/>
  <c r="Q718" i="6"/>
  <c r="R718" i="6"/>
  <c r="S718" i="6"/>
  <c r="T718" i="6"/>
  <c r="B719" i="6"/>
  <c r="C719" i="6"/>
  <c r="D719" i="6"/>
  <c r="E719" i="6"/>
  <c r="F719" i="6"/>
  <c r="H719" i="6"/>
  <c r="I719" i="6"/>
  <c r="L719" i="6" s="1"/>
  <c r="N719" i="6"/>
  <c r="R719" i="6"/>
  <c r="Q719" i="6" s="1"/>
  <c r="S719" i="6" s="1"/>
  <c r="T719" i="6"/>
  <c r="B720" i="6"/>
  <c r="C720" i="6"/>
  <c r="D720" i="6"/>
  <c r="E720" i="6"/>
  <c r="F720" i="6"/>
  <c r="H720" i="6"/>
  <c r="I720" i="6"/>
  <c r="N720" i="6"/>
  <c r="R720" i="6"/>
  <c r="Q720" i="6" s="1"/>
  <c r="S720" i="6" s="1"/>
  <c r="T720" i="6"/>
  <c r="B721" i="6"/>
  <c r="C721" i="6"/>
  <c r="D721" i="6"/>
  <c r="E721" i="6"/>
  <c r="F721" i="6"/>
  <c r="H721" i="6"/>
  <c r="I721" i="6"/>
  <c r="N721" i="6"/>
  <c r="R721" i="6"/>
  <c r="Q721" i="6" s="1"/>
  <c r="S721" i="6" s="1"/>
  <c r="T721" i="6"/>
  <c r="B722" i="6"/>
  <c r="C722" i="6"/>
  <c r="D722" i="6"/>
  <c r="E722" i="6"/>
  <c r="F722" i="6"/>
  <c r="H722" i="6"/>
  <c r="I722" i="6"/>
  <c r="N722" i="6"/>
  <c r="Q722" i="6"/>
  <c r="S722" i="6" s="1"/>
  <c r="R722" i="6"/>
  <c r="T722" i="6"/>
  <c r="B723" i="6"/>
  <c r="C723" i="6"/>
  <c r="D723" i="6"/>
  <c r="E723" i="6"/>
  <c r="F723" i="6"/>
  <c r="H723" i="6"/>
  <c r="I723" i="6"/>
  <c r="N723" i="6"/>
  <c r="R723" i="6"/>
  <c r="Q723" i="6" s="1"/>
  <c r="S723" i="6" s="1"/>
  <c r="T723" i="6"/>
  <c r="B724" i="6"/>
  <c r="C724" i="6"/>
  <c r="D724" i="6"/>
  <c r="E724" i="6"/>
  <c r="F724" i="6"/>
  <c r="H724" i="6"/>
  <c r="L724" i="6" s="1"/>
  <c r="I724" i="6"/>
  <c r="N724" i="6"/>
  <c r="Q724" i="6"/>
  <c r="R724" i="6"/>
  <c r="S724" i="6"/>
  <c r="T724" i="6"/>
  <c r="B725" i="6"/>
  <c r="C725" i="6"/>
  <c r="L725" i="6" s="1"/>
  <c r="D725" i="6"/>
  <c r="E725" i="6"/>
  <c r="F725" i="6"/>
  <c r="H725" i="6"/>
  <c r="I725" i="6"/>
  <c r="N725" i="6"/>
  <c r="R725" i="6"/>
  <c r="Q725" i="6" s="1"/>
  <c r="S725" i="6" s="1"/>
  <c r="T725" i="6"/>
  <c r="B726" i="6"/>
  <c r="C726" i="6"/>
  <c r="D726" i="6"/>
  <c r="E726" i="6"/>
  <c r="F726" i="6"/>
  <c r="H726" i="6"/>
  <c r="I726" i="6"/>
  <c r="N726" i="6"/>
  <c r="Q726" i="6"/>
  <c r="R726" i="6"/>
  <c r="S726" i="6"/>
  <c r="T726" i="6"/>
  <c r="B727" i="6"/>
  <c r="C727" i="6"/>
  <c r="D727" i="6"/>
  <c r="E727" i="6"/>
  <c r="F727" i="6"/>
  <c r="L727" i="6" s="1"/>
  <c r="H727" i="6"/>
  <c r="I727" i="6"/>
  <c r="N727" i="6"/>
  <c r="R727" i="6"/>
  <c r="Q727" i="6" s="1"/>
  <c r="S727" i="6" s="1"/>
  <c r="T727" i="6"/>
  <c r="B728" i="6"/>
  <c r="C728" i="6"/>
  <c r="D728" i="6"/>
  <c r="E728" i="6"/>
  <c r="L728" i="6" s="1"/>
  <c r="F728" i="6"/>
  <c r="H728" i="6"/>
  <c r="I728" i="6"/>
  <c r="N728" i="6"/>
  <c r="Q728" i="6"/>
  <c r="R728" i="6"/>
  <c r="S728" i="6"/>
  <c r="T728" i="6"/>
  <c r="B729" i="6"/>
  <c r="C729" i="6"/>
  <c r="D729" i="6"/>
  <c r="E729" i="6"/>
  <c r="F729" i="6"/>
  <c r="H729" i="6"/>
  <c r="I729" i="6"/>
  <c r="N729" i="6"/>
  <c r="R729" i="6"/>
  <c r="Q729" i="6" s="1"/>
  <c r="S729" i="6" s="1"/>
  <c r="T729" i="6"/>
  <c r="B730" i="6"/>
  <c r="C730" i="6"/>
  <c r="D730" i="6"/>
  <c r="E730" i="6"/>
  <c r="F730" i="6"/>
  <c r="H730" i="6"/>
  <c r="I730" i="6"/>
  <c r="L730" i="6"/>
  <c r="N730" i="6"/>
  <c r="Q730" i="6"/>
  <c r="S730" i="6" s="1"/>
  <c r="R730" i="6"/>
  <c r="T730" i="6"/>
  <c r="B731" i="6"/>
  <c r="C731" i="6"/>
  <c r="D731" i="6"/>
  <c r="E731" i="6"/>
  <c r="F731" i="6"/>
  <c r="H731" i="6"/>
  <c r="I731" i="6"/>
  <c r="N731" i="6"/>
  <c r="R731" i="6"/>
  <c r="Q731" i="6" s="1"/>
  <c r="S731" i="6" s="1"/>
  <c r="T731" i="6"/>
  <c r="B732" i="6"/>
  <c r="C732" i="6"/>
  <c r="D732" i="6"/>
  <c r="E732" i="6"/>
  <c r="F732" i="6"/>
  <c r="H732" i="6"/>
  <c r="L732" i="6" s="1"/>
  <c r="I732" i="6"/>
  <c r="N732" i="6"/>
  <c r="Q732" i="6"/>
  <c r="R732" i="6"/>
  <c r="S732" i="6"/>
  <c r="T732" i="6"/>
  <c r="B733" i="6"/>
  <c r="C733" i="6"/>
  <c r="D733" i="6"/>
  <c r="E733" i="6"/>
  <c r="F733" i="6"/>
  <c r="H733" i="6"/>
  <c r="I733" i="6"/>
  <c r="N733" i="6"/>
  <c r="Q733" i="6"/>
  <c r="R733" i="6"/>
  <c r="T733" i="6"/>
  <c r="B734" i="6"/>
  <c r="C734" i="6"/>
  <c r="D734" i="6"/>
  <c r="E734" i="6"/>
  <c r="F734" i="6"/>
  <c r="H734" i="6"/>
  <c r="I734" i="6"/>
  <c r="N734" i="6"/>
  <c r="Q734" i="6"/>
  <c r="S734" i="6" s="1"/>
  <c r="R734" i="6"/>
  <c r="T734" i="6"/>
  <c r="B735" i="6"/>
  <c r="C735" i="6"/>
  <c r="D735" i="6"/>
  <c r="E735" i="6"/>
  <c r="F735" i="6"/>
  <c r="L735" i="6" s="1"/>
  <c r="H735" i="6"/>
  <c r="I735" i="6"/>
  <c r="N735" i="6"/>
  <c r="R735" i="6"/>
  <c r="Q735" i="6" s="1"/>
  <c r="S735" i="6" s="1"/>
  <c r="T735" i="6"/>
  <c r="B736" i="6"/>
  <c r="C736" i="6"/>
  <c r="L736" i="6" s="1"/>
  <c r="D736" i="6"/>
  <c r="E736" i="6"/>
  <c r="F736" i="6"/>
  <c r="H736" i="6"/>
  <c r="I736" i="6"/>
  <c r="N736" i="6"/>
  <c r="R736" i="6"/>
  <c r="Q736" i="6" s="1"/>
  <c r="S736" i="6" s="1"/>
  <c r="T736" i="6"/>
  <c r="B737" i="6"/>
  <c r="C737" i="6"/>
  <c r="D737" i="6"/>
  <c r="E737" i="6"/>
  <c r="F737" i="6"/>
  <c r="H737" i="6"/>
  <c r="I737" i="6"/>
  <c r="N737" i="6"/>
  <c r="R737" i="6"/>
  <c r="Q737" i="6" s="1"/>
  <c r="S737" i="6" s="1"/>
  <c r="T737" i="6"/>
  <c r="B738" i="6"/>
  <c r="C738" i="6"/>
  <c r="L738" i="6" s="1"/>
  <c r="D738" i="6"/>
  <c r="E738" i="6"/>
  <c r="F738" i="6"/>
  <c r="H738" i="6"/>
  <c r="I738" i="6"/>
  <c r="N738" i="6"/>
  <c r="Q738" i="6"/>
  <c r="S738" i="6" s="1"/>
  <c r="R738" i="6"/>
  <c r="T738" i="6"/>
  <c r="B739" i="6"/>
  <c r="C739" i="6"/>
  <c r="D739" i="6"/>
  <c r="E739" i="6"/>
  <c r="F739" i="6"/>
  <c r="H739" i="6"/>
  <c r="I739" i="6"/>
  <c r="N739" i="6"/>
  <c r="R739" i="6"/>
  <c r="Q739" i="6" s="1"/>
  <c r="S739" i="6"/>
  <c r="T739" i="6"/>
  <c r="B740" i="6"/>
  <c r="C740" i="6"/>
  <c r="D740" i="6"/>
  <c r="E740" i="6"/>
  <c r="L740" i="6" s="1"/>
  <c r="F740" i="6"/>
  <c r="H740" i="6"/>
  <c r="I740" i="6"/>
  <c r="N740" i="6"/>
  <c r="Q740" i="6"/>
  <c r="R740" i="6"/>
  <c r="S740" i="6"/>
  <c r="T740" i="6"/>
  <c r="B741" i="6"/>
  <c r="C741" i="6"/>
  <c r="D741" i="6"/>
  <c r="E741" i="6"/>
  <c r="F741" i="6"/>
  <c r="H741" i="6"/>
  <c r="I741" i="6"/>
  <c r="N741" i="6"/>
  <c r="R741" i="6"/>
  <c r="Q741" i="6" s="1"/>
  <c r="S741" i="6" s="1"/>
  <c r="T741" i="6"/>
  <c r="B742" i="6"/>
  <c r="C742" i="6"/>
  <c r="D742" i="6"/>
  <c r="E742" i="6"/>
  <c r="F742" i="6"/>
  <c r="H742" i="6"/>
  <c r="I742" i="6"/>
  <c r="N742" i="6"/>
  <c r="Q742" i="6"/>
  <c r="R742" i="6"/>
  <c r="S742" i="6"/>
  <c r="T742" i="6"/>
  <c r="B743" i="6"/>
  <c r="C743" i="6"/>
  <c r="D743" i="6"/>
  <c r="E743" i="6"/>
  <c r="F743" i="6"/>
  <c r="H743" i="6"/>
  <c r="I743" i="6"/>
  <c r="L743" i="6"/>
  <c r="N743" i="6"/>
  <c r="R743" i="6"/>
  <c r="Q743" i="6" s="1"/>
  <c r="S743" i="6" s="1"/>
  <c r="T743" i="6"/>
  <c r="B744" i="6"/>
  <c r="C744" i="6"/>
  <c r="D744" i="6"/>
  <c r="E744" i="6"/>
  <c r="F744" i="6"/>
  <c r="H744" i="6"/>
  <c r="I744" i="6"/>
  <c r="N744" i="6"/>
  <c r="Q744" i="6"/>
  <c r="S744" i="6" s="1"/>
  <c r="R744" i="6"/>
  <c r="T744" i="6"/>
  <c r="B745" i="6"/>
  <c r="C745" i="6"/>
  <c r="D745" i="6"/>
  <c r="E745" i="6"/>
  <c r="F745" i="6"/>
  <c r="H745" i="6"/>
  <c r="I745" i="6"/>
  <c r="N745" i="6"/>
  <c r="R745" i="6"/>
  <c r="Q745" i="6" s="1"/>
  <c r="S745" i="6" s="1"/>
  <c r="T745" i="6"/>
  <c r="B746" i="6"/>
  <c r="C746" i="6"/>
  <c r="D746" i="6"/>
  <c r="E746" i="6"/>
  <c r="F746" i="6"/>
  <c r="H746" i="6"/>
  <c r="L746" i="6" s="1"/>
  <c r="I746" i="6"/>
  <c r="N746" i="6"/>
  <c r="Q746" i="6"/>
  <c r="S746" i="6" s="1"/>
  <c r="R746" i="6"/>
  <c r="T746" i="6"/>
  <c r="B747" i="6"/>
  <c r="C747" i="6"/>
  <c r="D747" i="6"/>
  <c r="L747" i="6" s="1"/>
  <c r="E747" i="6"/>
  <c r="F747" i="6"/>
  <c r="H747" i="6"/>
  <c r="I747" i="6"/>
  <c r="N747" i="6"/>
  <c r="R747" i="6"/>
  <c r="Q747" i="6" s="1"/>
  <c r="S747" i="6" s="1"/>
  <c r="T747" i="6"/>
  <c r="B748" i="6"/>
  <c r="C748" i="6"/>
  <c r="D748" i="6"/>
  <c r="E748" i="6"/>
  <c r="L748" i="6" s="1"/>
  <c r="F748" i="6"/>
  <c r="H748" i="6"/>
  <c r="I748" i="6"/>
  <c r="N748" i="6"/>
  <c r="Q748" i="6"/>
  <c r="R748" i="6"/>
  <c r="S748" i="6"/>
  <c r="T748" i="6"/>
  <c r="B749" i="6"/>
  <c r="C749" i="6"/>
  <c r="D749" i="6"/>
  <c r="E749" i="6"/>
  <c r="F749" i="6"/>
  <c r="H749" i="6"/>
  <c r="I749" i="6"/>
  <c r="N749" i="6"/>
  <c r="Q749" i="6"/>
  <c r="S749" i="6" s="1"/>
  <c r="R749" i="6"/>
  <c r="T749" i="6"/>
  <c r="B750" i="6"/>
  <c r="C750" i="6"/>
  <c r="D750" i="6"/>
  <c r="E750" i="6"/>
  <c r="F750" i="6"/>
  <c r="H750" i="6"/>
  <c r="I750" i="6"/>
  <c r="N750" i="6"/>
  <c r="Q750" i="6"/>
  <c r="S750" i="6" s="1"/>
  <c r="R750" i="6"/>
  <c r="T750" i="6"/>
  <c r="B751" i="6"/>
  <c r="C751" i="6"/>
  <c r="D751" i="6"/>
  <c r="E751" i="6"/>
  <c r="F751" i="6"/>
  <c r="H751" i="6"/>
  <c r="I751" i="6"/>
  <c r="L751" i="6"/>
  <c r="N751" i="6"/>
  <c r="R751" i="6"/>
  <c r="Q751" i="6" s="1"/>
  <c r="S751" i="6" s="1"/>
  <c r="T751" i="6"/>
  <c r="B752" i="6"/>
  <c r="C752" i="6"/>
  <c r="D752" i="6"/>
  <c r="E752" i="6"/>
  <c r="F752" i="6"/>
  <c r="H752" i="6"/>
  <c r="I752" i="6"/>
  <c r="L752" i="6"/>
  <c r="N752" i="6"/>
  <c r="R752" i="6"/>
  <c r="Q752" i="6" s="1"/>
  <c r="S752" i="6" s="1"/>
  <c r="T752" i="6"/>
  <c r="B753" i="6"/>
  <c r="C753" i="6"/>
  <c r="D753" i="6"/>
  <c r="L753" i="6" s="1"/>
  <c r="E753" i="6"/>
  <c r="F753" i="6"/>
  <c r="H753" i="6"/>
  <c r="I753" i="6"/>
  <c r="N753" i="6"/>
  <c r="R753" i="6"/>
  <c r="Q753" i="6" s="1"/>
  <c r="S753" i="6" s="1"/>
  <c r="T753" i="6"/>
  <c r="B754" i="6"/>
  <c r="C754" i="6"/>
  <c r="D754" i="6"/>
  <c r="E754" i="6"/>
  <c r="F754" i="6"/>
  <c r="H754" i="6"/>
  <c r="I754" i="6"/>
  <c r="N754" i="6"/>
  <c r="Q754" i="6"/>
  <c r="S754" i="6" s="1"/>
  <c r="R754" i="6"/>
  <c r="T754" i="6"/>
  <c r="B755" i="6"/>
  <c r="C755" i="6"/>
  <c r="D755" i="6"/>
  <c r="E755" i="6"/>
  <c r="F755" i="6"/>
  <c r="H755" i="6"/>
  <c r="I755" i="6"/>
  <c r="N755" i="6"/>
  <c r="R755" i="6"/>
  <c r="Q755" i="6" s="1"/>
  <c r="S755" i="6"/>
  <c r="T755" i="6"/>
  <c r="B756" i="6"/>
  <c r="C756" i="6"/>
  <c r="D756" i="6"/>
  <c r="E756" i="6"/>
  <c r="F756" i="6"/>
  <c r="H756" i="6"/>
  <c r="I756" i="6"/>
  <c r="N756" i="6"/>
  <c r="Q756" i="6"/>
  <c r="R756" i="6"/>
  <c r="S756" i="6"/>
  <c r="T756" i="6"/>
  <c r="B757" i="6"/>
  <c r="C757" i="6"/>
  <c r="L757" i="6" s="1"/>
  <c r="D757" i="6"/>
  <c r="E757" i="6"/>
  <c r="F757" i="6"/>
  <c r="H757" i="6"/>
  <c r="I757" i="6"/>
  <c r="N757" i="6"/>
  <c r="R757" i="6"/>
  <c r="Q757" i="6" s="1"/>
  <c r="S757" i="6" s="1"/>
  <c r="T757" i="6"/>
  <c r="B758" i="6"/>
  <c r="C758" i="6"/>
  <c r="L758" i="6" s="1"/>
  <c r="D758" i="6"/>
  <c r="E758" i="6"/>
  <c r="F758" i="6"/>
  <c r="H758" i="6"/>
  <c r="I758" i="6"/>
  <c r="N758" i="6"/>
  <c r="Q758" i="6"/>
  <c r="R758" i="6"/>
  <c r="T758" i="6"/>
  <c r="B759" i="6"/>
  <c r="C759" i="6"/>
  <c r="D759" i="6"/>
  <c r="E759" i="6"/>
  <c r="F759" i="6"/>
  <c r="L759" i="6" s="1"/>
  <c r="H759" i="6"/>
  <c r="I759" i="6"/>
  <c r="N759" i="6"/>
  <c r="R759" i="6"/>
  <c r="Q759" i="6" s="1"/>
  <c r="S759" i="6" s="1"/>
  <c r="T759" i="6"/>
  <c r="B760" i="6"/>
  <c r="C760" i="6"/>
  <c r="D760" i="6"/>
  <c r="E760" i="6"/>
  <c r="F760" i="6"/>
  <c r="H760" i="6"/>
  <c r="I760" i="6"/>
  <c r="N760" i="6"/>
  <c r="R760" i="6"/>
  <c r="Q760" i="6" s="1"/>
  <c r="S760" i="6"/>
  <c r="T760" i="6"/>
  <c r="B761" i="6"/>
  <c r="C761" i="6"/>
  <c r="D761" i="6"/>
  <c r="E761" i="6"/>
  <c r="F761" i="6"/>
  <c r="H761" i="6"/>
  <c r="I761" i="6"/>
  <c r="N761" i="6"/>
  <c r="R761" i="6"/>
  <c r="Q761" i="6" s="1"/>
  <c r="S761" i="6" s="1"/>
  <c r="T761" i="6"/>
  <c r="B762" i="6"/>
  <c r="C762" i="6"/>
  <c r="D762" i="6"/>
  <c r="E762" i="6"/>
  <c r="F762" i="6"/>
  <c r="H762" i="6"/>
  <c r="L762" i="6" s="1"/>
  <c r="I762" i="6"/>
  <c r="N762" i="6"/>
  <c r="Q762" i="6"/>
  <c r="S762" i="6" s="1"/>
  <c r="R762" i="6"/>
  <c r="T762" i="6"/>
  <c r="B763" i="6"/>
  <c r="C763" i="6"/>
  <c r="D763" i="6"/>
  <c r="E763" i="6"/>
  <c r="F763" i="6"/>
  <c r="H763" i="6"/>
  <c r="I763" i="6"/>
  <c r="N763" i="6"/>
  <c r="R763" i="6"/>
  <c r="Q763" i="6" s="1"/>
  <c r="S763" i="6" s="1"/>
  <c r="T763" i="6"/>
  <c r="B764" i="6"/>
  <c r="C764" i="6"/>
  <c r="D764" i="6"/>
  <c r="E764" i="6"/>
  <c r="F764" i="6"/>
  <c r="H764" i="6"/>
  <c r="I764" i="6"/>
  <c r="N764" i="6"/>
  <c r="Q764" i="6"/>
  <c r="R764" i="6"/>
  <c r="S764" i="6"/>
  <c r="T764" i="6"/>
  <c r="B765" i="6"/>
  <c r="C765" i="6"/>
  <c r="D765" i="6"/>
  <c r="E765" i="6"/>
  <c r="F765" i="6"/>
  <c r="H765" i="6"/>
  <c r="I765" i="6"/>
  <c r="N765" i="6"/>
  <c r="Q765" i="6"/>
  <c r="S765" i="6" s="1"/>
  <c r="R765" i="6"/>
  <c r="T765" i="6"/>
  <c r="B766" i="6"/>
  <c r="C766" i="6"/>
  <c r="D766" i="6"/>
  <c r="E766" i="6"/>
  <c r="F766" i="6"/>
  <c r="H766" i="6"/>
  <c r="I766" i="6"/>
  <c r="N766" i="6"/>
  <c r="Q766" i="6"/>
  <c r="R766" i="6"/>
  <c r="S766" i="6"/>
  <c r="T766" i="6"/>
  <c r="B767" i="6"/>
  <c r="C767" i="6"/>
  <c r="D767" i="6"/>
  <c r="E767" i="6"/>
  <c r="F767" i="6"/>
  <c r="H767" i="6"/>
  <c r="I767" i="6"/>
  <c r="L767" i="6"/>
  <c r="N767" i="6"/>
  <c r="R767" i="6"/>
  <c r="Q767" i="6" s="1"/>
  <c r="S767" i="6" s="1"/>
  <c r="T767" i="6"/>
  <c r="B768" i="6"/>
  <c r="C768" i="6"/>
  <c r="D768" i="6"/>
  <c r="L768" i="6" s="1"/>
  <c r="E768" i="6"/>
  <c r="F768" i="6"/>
  <c r="H768" i="6"/>
  <c r="I768" i="6"/>
  <c r="N768" i="6"/>
  <c r="R768" i="6"/>
  <c r="Q768" i="6" s="1"/>
  <c r="S768" i="6" s="1"/>
  <c r="T768" i="6"/>
  <c r="B769" i="6"/>
  <c r="C769" i="6"/>
  <c r="D769" i="6"/>
  <c r="E769" i="6"/>
  <c r="F769" i="6"/>
  <c r="H769" i="6"/>
  <c r="I769" i="6"/>
  <c r="N769" i="6"/>
  <c r="R769" i="6"/>
  <c r="Q769" i="6" s="1"/>
  <c r="S769" i="6" s="1"/>
  <c r="T769" i="6"/>
  <c r="B770" i="6"/>
  <c r="C770" i="6"/>
  <c r="D770" i="6"/>
  <c r="E770" i="6"/>
  <c r="F770" i="6"/>
  <c r="H770" i="6"/>
  <c r="I770" i="6"/>
  <c r="L770" i="6"/>
  <c r="N770" i="6"/>
  <c r="Q770" i="6"/>
  <c r="S770" i="6" s="1"/>
  <c r="R770" i="6"/>
  <c r="T770" i="6"/>
  <c r="B771" i="6"/>
  <c r="C771" i="6"/>
  <c r="D771" i="6"/>
  <c r="E771" i="6"/>
  <c r="F771" i="6"/>
  <c r="H771" i="6"/>
  <c r="I771" i="6"/>
  <c r="N771" i="6"/>
  <c r="R771" i="6"/>
  <c r="Q771" i="6" s="1"/>
  <c r="S771" i="6"/>
  <c r="T771" i="6"/>
  <c r="B772" i="6"/>
  <c r="C772" i="6"/>
  <c r="D772" i="6"/>
  <c r="E772" i="6"/>
  <c r="F772" i="6"/>
  <c r="H772" i="6"/>
  <c r="I772" i="6"/>
  <c r="L772" i="6" s="1"/>
  <c r="N772" i="6"/>
  <c r="Q772" i="6"/>
  <c r="R772" i="6"/>
  <c r="S772" i="6"/>
  <c r="T772" i="6"/>
  <c r="B773" i="6"/>
  <c r="C773" i="6"/>
  <c r="L773" i="6" s="1"/>
  <c r="D773" i="6"/>
  <c r="E773" i="6"/>
  <c r="F773" i="6"/>
  <c r="H773" i="6"/>
  <c r="I773" i="6"/>
  <c r="N773" i="6"/>
  <c r="R773" i="6"/>
  <c r="Q773" i="6" s="1"/>
  <c r="S773" i="6" s="1"/>
  <c r="T773" i="6"/>
  <c r="B774" i="6"/>
  <c r="C774" i="6"/>
  <c r="D774" i="6"/>
  <c r="E774" i="6"/>
  <c r="F774" i="6"/>
  <c r="H774" i="6"/>
  <c r="I774" i="6"/>
  <c r="N774" i="6"/>
  <c r="Q774" i="6"/>
  <c r="S774" i="6" s="1"/>
  <c r="R774" i="6"/>
  <c r="T774" i="6"/>
  <c r="B775" i="6"/>
  <c r="C775" i="6"/>
  <c r="D775" i="6"/>
  <c r="E775" i="6"/>
  <c r="F775" i="6"/>
  <c r="L775" i="6" s="1"/>
  <c r="H775" i="6"/>
  <c r="I775" i="6"/>
  <c r="N775" i="6"/>
  <c r="R775" i="6"/>
  <c r="Q775" i="6" s="1"/>
  <c r="S775" i="6" s="1"/>
  <c r="T775" i="6"/>
  <c r="B776" i="6"/>
  <c r="C776" i="6"/>
  <c r="L776" i="6" s="1"/>
  <c r="D776" i="6"/>
  <c r="E776" i="6"/>
  <c r="F776" i="6"/>
  <c r="H776" i="6"/>
  <c r="I776" i="6"/>
  <c r="N776" i="6"/>
  <c r="Q776" i="6"/>
  <c r="S776" i="6" s="1"/>
  <c r="R776" i="6"/>
  <c r="T776" i="6"/>
  <c r="B777" i="6"/>
  <c r="C777" i="6"/>
  <c r="D777" i="6"/>
  <c r="E777" i="6"/>
  <c r="F777" i="6"/>
  <c r="H777" i="6"/>
  <c r="I777" i="6"/>
  <c r="N777" i="6"/>
  <c r="R777" i="6"/>
  <c r="Q777" i="6" s="1"/>
  <c r="S777" i="6" s="1"/>
  <c r="T777" i="6"/>
  <c r="B778" i="6"/>
  <c r="C778" i="6"/>
  <c r="L778" i="6" s="1"/>
  <c r="D778" i="6"/>
  <c r="E778" i="6"/>
  <c r="F778" i="6"/>
  <c r="H778" i="6"/>
  <c r="I778" i="6"/>
  <c r="N778" i="6"/>
  <c r="Q778" i="6"/>
  <c r="S778" i="6" s="1"/>
  <c r="R778" i="6"/>
  <c r="T778" i="6"/>
  <c r="B779" i="6"/>
  <c r="C779" i="6"/>
  <c r="D779" i="6"/>
  <c r="E779" i="6"/>
  <c r="F779" i="6"/>
  <c r="H779" i="6"/>
  <c r="I779" i="6"/>
  <c r="N779" i="6"/>
  <c r="R779" i="6"/>
  <c r="Q779" i="6" s="1"/>
  <c r="S779" i="6" s="1"/>
  <c r="T779" i="6"/>
  <c r="B780" i="6"/>
  <c r="C780" i="6"/>
  <c r="D780" i="6"/>
  <c r="E780" i="6"/>
  <c r="F780" i="6"/>
  <c r="H780" i="6"/>
  <c r="I780" i="6"/>
  <c r="L780" i="6"/>
  <c r="N780" i="6"/>
  <c r="Q780" i="6"/>
  <c r="R780" i="6"/>
  <c r="S780" i="6"/>
  <c r="T780" i="6"/>
  <c r="B781" i="6"/>
  <c r="C781" i="6"/>
  <c r="D781" i="6"/>
  <c r="E781" i="6"/>
  <c r="F781" i="6"/>
  <c r="H781" i="6"/>
  <c r="I781" i="6"/>
  <c r="N781" i="6"/>
  <c r="Q781" i="6"/>
  <c r="S781" i="6" s="1"/>
  <c r="R781" i="6"/>
  <c r="T781" i="6"/>
  <c r="B782" i="6"/>
  <c r="C782" i="6"/>
  <c r="L782" i="6" s="1"/>
  <c r="D782" i="6"/>
  <c r="E782" i="6"/>
  <c r="F782" i="6"/>
  <c r="H782" i="6"/>
  <c r="I782" i="6"/>
  <c r="N782" i="6"/>
  <c r="Q782" i="6"/>
  <c r="R782" i="6"/>
  <c r="S782" i="6"/>
  <c r="T782" i="6"/>
  <c r="B783" i="6"/>
  <c r="C783" i="6"/>
  <c r="D783" i="6"/>
  <c r="E783" i="6"/>
  <c r="F783" i="6"/>
  <c r="H783" i="6"/>
  <c r="I783" i="6"/>
  <c r="L783" i="6" s="1"/>
  <c r="N783" i="6"/>
  <c r="R783" i="6"/>
  <c r="Q783" i="6" s="1"/>
  <c r="S783" i="6" s="1"/>
  <c r="T783" i="6"/>
  <c r="B784" i="6"/>
  <c r="C784" i="6"/>
  <c r="D784" i="6"/>
  <c r="E784" i="6"/>
  <c r="F784" i="6"/>
  <c r="H784" i="6"/>
  <c r="I784" i="6"/>
  <c r="N784" i="6"/>
  <c r="R784" i="6"/>
  <c r="Q784" i="6" s="1"/>
  <c r="S784" i="6" s="1"/>
  <c r="T784" i="6"/>
  <c r="B785" i="6"/>
  <c r="C785" i="6"/>
  <c r="D785" i="6"/>
  <c r="E785" i="6"/>
  <c r="F785" i="6"/>
  <c r="H785" i="6"/>
  <c r="I785" i="6"/>
  <c r="N785" i="6"/>
  <c r="R785" i="6"/>
  <c r="Q785" i="6" s="1"/>
  <c r="S785" i="6" s="1"/>
  <c r="T785" i="6"/>
  <c r="B786" i="6"/>
  <c r="C786" i="6"/>
  <c r="D786" i="6"/>
  <c r="E786" i="6"/>
  <c r="F786" i="6"/>
  <c r="H786" i="6"/>
  <c r="I786" i="6"/>
  <c r="N786" i="6"/>
  <c r="Q786" i="6"/>
  <c r="S786" i="6" s="1"/>
  <c r="R786" i="6"/>
  <c r="T786" i="6"/>
  <c r="B787" i="6"/>
  <c r="C787" i="6"/>
  <c r="D787" i="6"/>
  <c r="E787" i="6"/>
  <c r="F787" i="6"/>
  <c r="H787" i="6"/>
  <c r="I787" i="6"/>
  <c r="N787" i="6"/>
  <c r="R787" i="6"/>
  <c r="Q787" i="6" s="1"/>
  <c r="S787" i="6" s="1"/>
  <c r="T787" i="6"/>
  <c r="B788" i="6"/>
  <c r="C788" i="6"/>
  <c r="D788" i="6"/>
  <c r="E788" i="6"/>
  <c r="F788" i="6"/>
  <c r="H788" i="6"/>
  <c r="L788" i="6" s="1"/>
  <c r="I788" i="6"/>
  <c r="N788" i="6"/>
  <c r="Q788" i="6"/>
  <c r="R788" i="6"/>
  <c r="S788" i="6"/>
  <c r="T788" i="6"/>
  <c r="B789" i="6"/>
  <c r="C789" i="6"/>
  <c r="L789" i="6" s="1"/>
  <c r="D789" i="6"/>
  <c r="E789" i="6"/>
  <c r="F789" i="6"/>
  <c r="H789" i="6"/>
  <c r="I789" i="6"/>
  <c r="N789" i="6"/>
  <c r="R789" i="6"/>
  <c r="Q789" i="6" s="1"/>
  <c r="T789" i="6"/>
  <c r="B790" i="6"/>
  <c r="C790" i="6"/>
  <c r="D790" i="6"/>
  <c r="E790" i="6"/>
  <c r="F790" i="6"/>
  <c r="H790" i="6"/>
  <c r="I790" i="6"/>
  <c r="N790" i="6"/>
  <c r="Q790" i="6"/>
  <c r="R790" i="6"/>
  <c r="S790" i="6"/>
  <c r="T790" i="6"/>
  <c r="B791" i="6"/>
  <c r="C791" i="6"/>
  <c r="D791" i="6"/>
  <c r="E791" i="6"/>
  <c r="F791" i="6"/>
  <c r="L791" i="6" s="1"/>
  <c r="H791" i="6"/>
  <c r="I791" i="6"/>
  <c r="N791" i="6"/>
  <c r="R791" i="6"/>
  <c r="Q791" i="6" s="1"/>
  <c r="S791" i="6" s="1"/>
  <c r="T791" i="6"/>
  <c r="B792" i="6"/>
  <c r="C792" i="6"/>
  <c r="D792" i="6"/>
  <c r="E792" i="6"/>
  <c r="F792" i="6"/>
  <c r="H792" i="6"/>
  <c r="I792" i="6"/>
  <c r="L792" i="6"/>
  <c r="N792" i="6"/>
  <c r="Q792" i="6"/>
  <c r="R792" i="6"/>
  <c r="S792" i="6"/>
  <c r="T792" i="6"/>
  <c r="B793" i="6"/>
  <c r="C793" i="6"/>
  <c r="D793" i="6"/>
  <c r="L793" i="6" s="1"/>
  <c r="E793" i="6"/>
  <c r="F793" i="6"/>
  <c r="H793" i="6"/>
  <c r="I793" i="6"/>
  <c r="N793" i="6"/>
  <c r="R793" i="6"/>
  <c r="Q793" i="6" s="1"/>
  <c r="S793" i="6" s="1"/>
  <c r="T793" i="6"/>
  <c r="B794" i="6"/>
  <c r="C794" i="6"/>
  <c r="D794" i="6"/>
  <c r="E794" i="6"/>
  <c r="F794" i="6"/>
  <c r="H794" i="6"/>
  <c r="I794" i="6"/>
  <c r="L794" i="6"/>
  <c r="N794" i="6"/>
  <c r="Q794" i="6"/>
  <c r="S794" i="6" s="1"/>
  <c r="R794" i="6"/>
  <c r="T794" i="6"/>
  <c r="B795" i="6"/>
  <c r="C795" i="6"/>
  <c r="D795" i="6"/>
  <c r="E795" i="6"/>
  <c r="F795" i="6"/>
  <c r="H795" i="6"/>
  <c r="I795" i="6"/>
  <c r="N795" i="6"/>
  <c r="R795" i="6"/>
  <c r="Q795" i="6" s="1"/>
  <c r="S795" i="6" s="1"/>
  <c r="T795" i="6"/>
  <c r="B796" i="6"/>
  <c r="C796" i="6"/>
  <c r="D796" i="6"/>
  <c r="E796" i="6"/>
  <c r="F796" i="6"/>
  <c r="H796" i="6"/>
  <c r="L796" i="6" s="1"/>
  <c r="I796" i="6"/>
  <c r="N796" i="6"/>
  <c r="Q796" i="6"/>
  <c r="R796" i="6"/>
  <c r="S796" i="6"/>
  <c r="T796" i="6"/>
  <c r="B797" i="6"/>
  <c r="C797" i="6"/>
  <c r="D797" i="6"/>
  <c r="E797" i="6"/>
  <c r="F797" i="6"/>
  <c r="H797" i="6"/>
  <c r="I797" i="6"/>
  <c r="N797" i="6"/>
  <c r="Q797" i="6"/>
  <c r="S797" i="6" s="1"/>
  <c r="R797" i="6"/>
  <c r="T797" i="6"/>
  <c r="B798" i="6"/>
  <c r="C798" i="6"/>
  <c r="D798" i="6"/>
  <c r="E798" i="6"/>
  <c r="F798" i="6"/>
  <c r="H798" i="6"/>
  <c r="I798" i="6"/>
  <c r="N798" i="6"/>
  <c r="Q798" i="6"/>
  <c r="S798" i="6" s="1"/>
  <c r="R798" i="6"/>
  <c r="T798" i="6"/>
  <c r="B799" i="6"/>
  <c r="C799" i="6"/>
  <c r="D799" i="6"/>
  <c r="E799" i="6"/>
  <c r="F799" i="6"/>
  <c r="L799" i="6" s="1"/>
  <c r="H799" i="6"/>
  <c r="I799" i="6"/>
  <c r="N799" i="6"/>
  <c r="R799" i="6"/>
  <c r="Q799" i="6" s="1"/>
  <c r="S799" i="6" s="1"/>
  <c r="T799" i="6"/>
  <c r="B800" i="6"/>
  <c r="C800" i="6"/>
  <c r="L800" i="6" s="1"/>
  <c r="D800" i="6"/>
  <c r="E800" i="6"/>
  <c r="F800" i="6"/>
  <c r="H800" i="6"/>
  <c r="I800" i="6"/>
  <c r="N800" i="6"/>
  <c r="R800" i="6"/>
  <c r="Q800" i="6" s="1"/>
  <c r="S800" i="6" s="1"/>
  <c r="T800" i="6"/>
  <c r="B801" i="6"/>
  <c r="C801" i="6"/>
  <c r="D801" i="6"/>
  <c r="E801" i="6"/>
  <c r="F801" i="6"/>
  <c r="H801" i="6"/>
  <c r="I801" i="6"/>
  <c r="N801" i="6"/>
  <c r="R801" i="6"/>
  <c r="Q801" i="6" s="1"/>
  <c r="S801" i="6" s="1"/>
  <c r="T801" i="6"/>
  <c r="B802" i="6"/>
  <c r="C802" i="6"/>
  <c r="L802" i="6" s="1"/>
  <c r="D802" i="6"/>
  <c r="E802" i="6"/>
  <c r="F802" i="6"/>
  <c r="H802" i="6"/>
  <c r="I802" i="6"/>
  <c r="N802" i="6"/>
  <c r="Q802" i="6"/>
  <c r="S802" i="6" s="1"/>
  <c r="R802" i="6"/>
  <c r="T802" i="6"/>
  <c r="B803" i="6"/>
  <c r="C803" i="6"/>
  <c r="D803" i="6"/>
  <c r="E803" i="6"/>
  <c r="F803" i="6"/>
  <c r="H803" i="6"/>
  <c r="I803" i="6"/>
  <c r="N803" i="6"/>
  <c r="R803" i="6"/>
  <c r="Q803" i="6" s="1"/>
  <c r="S803" i="6"/>
  <c r="T803" i="6"/>
  <c r="B804" i="6"/>
  <c r="C804" i="6"/>
  <c r="D804" i="6"/>
  <c r="E804" i="6"/>
  <c r="L804" i="6" s="1"/>
  <c r="F804" i="6"/>
  <c r="H804" i="6"/>
  <c r="I804" i="6"/>
  <c r="N804" i="6"/>
  <c r="Q804" i="6"/>
  <c r="R804" i="6"/>
  <c r="S804" i="6"/>
  <c r="T804" i="6"/>
  <c r="B805" i="6"/>
  <c r="C805" i="6"/>
  <c r="D805" i="6"/>
  <c r="E805" i="6"/>
  <c r="F805" i="6"/>
  <c r="H805" i="6"/>
  <c r="I805" i="6"/>
  <c r="N805" i="6"/>
  <c r="R805" i="6"/>
  <c r="Q805" i="6" s="1"/>
  <c r="S805" i="6" s="1"/>
  <c r="T805" i="6"/>
  <c r="B806" i="6"/>
  <c r="C806" i="6"/>
  <c r="D806" i="6"/>
  <c r="E806" i="6"/>
  <c r="F806" i="6"/>
  <c r="H806" i="6"/>
  <c r="I806" i="6"/>
  <c r="N806" i="6"/>
  <c r="Q806" i="6"/>
  <c r="R806" i="6"/>
  <c r="S806" i="6"/>
  <c r="T806" i="6"/>
  <c r="B807" i="6"/>
  <c r="C807" i="6"/>
  <c r="D807" i="6"/>
  <c r="E807" i="6"/>
  <c r="F807" i="6"/>
  <c r="H807" i="6"/>
  <c r="I807" i="6"/>
  <c r="L807" i="6"/>
  <c r="N807" i="6"/>
  <c r="R807" i="6"/>
  <c r="Q807" i="6" s="1"/>
  <c r="S807" i="6" s="1"/>
  <c r="T807" i="6"/>
  <c r="B808" i="6"/>
  <c r="C808" i="6"/>
  <c r="D808" i="6"/>
  <c r="E808" i="6"/>
  <c r="F808" i="6"/>
  <c r="H808" i="6"/>
  <c r="I808" i="6"/>
  <c r="N808" i="6"/>
  <c r="Q808" i="6"/>
  <c r="S808" i="6" s="1"/>
  <c r="R808" i="6"/>
  <c r="T808" i="6"/>
  <c r="B809" i="6"/>
  <c r="C809" i="6"/>
  <c r="D809" i="6"/>
  <c r="E809" i="6"/>
  <c r="F809" i="6"/>
  <c r="H809" i="6"/>
  <c r="I809" i="6"/>
  <c r="N809" i="6"/>
  <c r="R809" i="6"/>
  <c r="Q809" i="6" s="1"/>
  <c r="S809" i="6" s="1"/>
  <c r="T809" i="6"/>
  <c r="B810" i="6"/>
  <c r="C810" i="6"/>
  <c r="D810" i="6"/>
  <c r="E810" i="6"/>
  <c r="F810" i="6"/>
  <c r="H810" i="6"/>
  <c r="L810" i="6" s="1"/>
  <c r="I810" i="6"/>
  <c r="N810" i="6"/>
  <c r="Q810" i="6"/>
  <c r="S810" i="6" s="1"/>
  <c r="R810" i="6"/>
  <c r="T810" i="6"/>
  <c r="B811" i="6"/>
  <c r="C811" i="6"/>
  <c r="D811" i="6"/>
  <c r="L811" i="6" s="1"/>
  <c r="E811" i="6"/>
  <c r="F811" i="6"/>
  <c r="H811" i="6"/>
  <c r="I811" i="6"/>
  <c r="N811" i="6"/>
  <c r="R811" i="6"/>
  <c r="Q811" i="6" s="1"/>
  <c r="S811" i="6" s="1"/>
  <c r="T811" i="6"/>
  <c r="B812" i="6"/>
  <c r="C812" i="6"/>
  <c r="D812" i="6"/>
  <c r="E812" i="6"/>
  <c r="L812" i="6" s="1"/>
  <c r="F812" i="6"/>
  <c r="H812" i="6"/>
  <c r="I812" i="6"/>
  <c r="N812" i="6"/>
  <c r="Q812" i="6"/>
  <c r="R812" i="6"/>
  <c r="S812" i="6"/>
  <c r="T812" i="6"/>
  <c r="B813" i="6"/>
  <c r="C813" i="6"/>
  <c r="D813" i="6"/>
  <c r="E813" i="6"/>
  <c r="F813" i="6"/>
  <c r="H813" i="6"/>
  <c r="I813" i="6"/>
  <c r="N813" i="6"/>
  <c r="Q813" i="6"/>
  <c r="S813" i="6" s="1"/>
  <c r="R813" i="6"/>
  <c r="T813" i="6"/>
  <c r="B814" i="6"/>
  <c r="C814" i="6"/>
  <c r="D814" i="6"/>
  <c r="E814" i="6"/>
  <c r="F814" i="6"/>
  <c r="H814" i="6"/>
  <c r="I814" i="6"/>
  <c r="N814" i="6"/>
  <c r="Q814" i="6"/>
  <c r="S814" i="6" s="1"/>
  <c r="R814" i="6"/>
  <c r="T814" i="6"/>
  <c r="B815" i="6"/>
  <c r="C815" i="6"/>
  <c r="D815" i="6"/>
  <c r="E815" i="6"/>
  <c r="F815" i="6"/>
  <c r="H815" i="6"/>
  <c r="I815" i="6"/>
  <c r="L815" i="6"/>
  <c r="N815" i="6"/>
  <c r="R815" i="6"/>
  <c r="Q815" i="6" s="1"/>
  <c r="S815" i="6" s="1"/>
  <c r="T815" i="6"/>
  <c r="B816" i="6"/>
  <c r="C816" i="6"/>
  <c r="D816" i="6"/>
  <c r="E816" i="6"/>
  <c r="F816" i="6"/>
  <c r="H816" i="6"/>
  <c r="I816" i="6"/>
  <c r="L816" i="6"/>
  <c r="N816" i="6"/>
  <c r="R816" i="6"/>
  <c r="Q816" i="6" s="1"/>
  <c r="S816" i="6" s="1"/>
  <c r="T816" i="6"/>
  <c r="B817" i="6"/>
  <c r="C817" i="6"/>
  <c r="D817" i="6"/>
  <c r="L817" i="6" s="1"/>
  <c r="E817" i="6"/>
  <c r="F817" i="6"/>
  <c r="H817" i="6"/>
  <c r="I817" i="6"/>
  <c r="N817" i="6"/>
  <c r="R817" i="6"/>
  <c r="Q817" i="6" s="1"/>
  <c r="S817" i="6" s="1"/>
  <c r="T817" i="6"/>
  <c r="B818" i="6"/>
  <c r="C818" i="6"/>
  <c r="D818" i="6"/>
  <c r="E818" i="6"/>
  <c r="F818" i="6"/>
  <c r="H818" i="6"/>
  <c r="I818" i="6"/>
  <c r="N818" i="6"/>
  <c r="Q818" i="6"/>
  <c r="S818" i="6" s="1"/>
  <c r="R818" i="6"/>
  <c r="T818" i="6"/>
  <c r="B819" i="6"/>
  <c r="C819" i="6"/>
  <c r="D819" i="6"/>
  <c r="E819" i="6"/>
  <c r="F819" i="6"/>
  <c r="H819" i="6"/>
  <c r="I819" i="6"/>
  <c r="N819" i="6"/>
  <c r="R819" i="6"/>
  <c r="Q819" i="6" s="1"/>
  <c r="S819" i="6"/>
  <c r="T819" i="6"/>
  <c r="B820" i="6"/>
  <c r="C820" i="6"/>
  <c r="D820" i="6"/>
  <c r="E820" i="6"/>
  <c r="F820" i="6"/>
  <c r="H820" i="6"/>
  <c r="I820" i="6"/>
  <c r="N820" i="6"/>
  <c r="Q820" i="6"/>
  <c r="R820" i="6"/>
  <c r="S820" i="6"/>
  <c r="T820" i="6"/>
  <c r="B821" i="6"/>
  <c r="C821" i="6"/>
  <c r="L821" i="6" s="1"/>
  <c r="D821" i="6"/>
  <c r="E821" i="6"/>
  <c r="F821" i="6"/>
  <c r="H821" i="6"/>
  <c r="I821" i="6"/>
  <c r="N821" i="6"/>
  <c r="R821" i="6"/>
  <c r="Q821" i="6" s="1"/>
  <c r="S821" i="6" s="1"/>
  <c r="T821" i="6"/>
  <c r="B822" i="6"/>
  <c r="C822" i="6"/>
  <c r="L822" i="6" s="1"/>
  <c r="D822" i="6"/>
  <c r="E822" i="6"/>
  <c r="F822" i="6"/>
  <c r="H822" i="6"/>
  <c r="I822" i="6"/>
  <c r="N822" i="6"/>
  <c r="Q822" i="6"/>
  <c r="S822" i="6" s="1"/>
  <c r="R822" i="6"/>
  <c r="T822" i="6"/>
  <c r="B823" i="6"/>
  <c r="C823" i="6"/>
  <c r="D823" i="6"/>
  <c r="E823" i="6"/>
  <c r="F823" i="6"/>
  <c r="L823" i="6" s="1"/>
  <c r="H823" i="6"/>
  <c r="I823" i="6"/>
  <c r="N823" i="6"/>
  <c r="R823" i="6"/>
  <c r="Q823" i="6" s="1"/>
  <c r="S823" i="6" s="1"/>
  <c r="T823" i="6"/>
  <c r="B824" i="6"/>
  <c r="C824" i="6"/>
  <c r="D824" i="6"/>
  <c r="E824" i="6"/>
  <c r="F824" i="6"/>
  <c r="H824" i="6"/>
  <c r="I824" i="6"/>
  <c r="N824" i="6"/>
  <c r="R824" i="6"/>
  <c r="Q824" i="6" s="1"/>
  <c r="S824" i="6"/>
  <c r="T824" i="6"/>
  <c r="B825" i="6"/>
  <c r="C825" i="6"/>
  <c r="D825" i="6"/>
  <c r="E825" i="6"/>
  <c r="F825" i="6"/>
  <c r="H825" i="6"/>
  <c r="I825" i="6"/>
  <c r="N825" i="6"/>
  <c r="R825" i="6"/>
  <c r="Q825" i="6" s="1"/>
  <c r="S825" i="6" s="1"/>
  <c r="T825" i="6"/>
  <c r="B826" i="6"/>
  <c r="C826" i="6"/>
  <c r="D826" i="6"/>
  <c r="E826" i="6"/>
  <c r="F826" i="6"/>
  <c r="H826" i="6"/>
  <c r="L826" i="6" s="1"/>
  <c r="I826" i="6"/>
  <c r="N826" i="6"/>
  <c r="Q826" i="6"/>
  <c r="S826" i="6" s="1"/>
  <c r="R826" i="6"/>
  <c r="T826" i="6"/>
  <c r="B827" i="6"/>
  <c r="C827" i="6"/>
  <c r="D827" i="6"/>
  <c r="E827" i="6"/>
  <c r="F827" i="6"/>
  <c r="H827" i="6"/>
  <c r="I827" i="6"/>
  <c r="N827" i="6"/>
  <c r="R827" i="6"/>
  <c r="Q827" i="6" s="1"/>
  <c r="S827" i="6" s="1"/>
  <c r="T827" i="6"/>
  <c r="B828" i="6"/>
  <c r="C828" i="6"/>
  <c r="D828" i="6"/>
  <c r="E828" i="6"/>
  <c r="F828" i="6"/>
  <c r="H828" i="6"/>
  <c r="I828" i="6"/>
  <c r="N828" i="6"/>
  <c r="Q828" i="6"/>
  <c r="R828" i="6"/>
  <c r="S828" i="6"/>
  <c r="T828" i="6"/>
  <c r="B829" i="6"/>
  <c r="C829" i="6"/>
  <c r="D829" i="6"/>
  <c r="E829" i="6"/>
  <c r="F829" i="6"/>
  <c r="H829" i="6"/>
  <c r="I829" i="6"/>
  <c r="N829" i="6"/>
  <c r="Q829" i="6"/>
  <c r="S829" i="6" s="1"/>
  <c r="R829" i="6"/>
  <c r="T829" i="6"/>
  <c r="B830" i="6"/>
  <c r="C830" i="6"/>
  <c r="D830" i="6"/>
  <c r="E830" i="6"/>
  <c r="F830" i="6"/>
  <c r="H830" i="6"/>
  <c r="I830" i="6"/>
  <c r="N830" i="6"/>
  <c r="Q830" i="6"/>
  <c r="S830" i="6" s="1"/>
  <c r="R830" i="6"/>
  <c r="T830" i="6"/>
  <c r="B831" i="6"/>
  <c r="C831" i="6"/>
  <c r="D831" i="6"/>
  <c r="E831" i="6"/>
  <c r="F831" i="6"/>
  <c r="H831" i="6"/>
  <c r="I831" i="6"/>
  <c r="L831" i="6"/>
  <c r="N831" i="6"/>
  <c r="R831" i="6"/>
  <c r="Q831" i="6" s="1"/>
  <c r="S831" i="6" s="1"/>
  <c r="T831" i="6"/>
  <c r="B832" i="6"/>
  <c r="C832" i="6"/>
  <c r="D832" i="6"/>
  <c r="L832" i="6" s="1"/>
  <c r="E832" i="6"/>
  <c r="F832" i="6"/>
  <c r="H832" i="6"/>
  <c r="I832" i="6"/>
  <c r="N832" i="6"/>
  <c r="R832" i="6"/>
  <c r="Q832" i="6" s="1"/>
  <c r="S832" i="6" s="1"/>
  <c r="T832" i="6"/>
  <c r="B833" i="6"/>
  <c r="C833" i="6"/>
  <c r="L833" i="6" s="1"/>
  <c r="D833" i="6"/>
  <c r="E833" i="6"/>
  <c r="F833" i="6"/>
  <c r="H833" i="6"/>
  <c r="I833" i="6"/>
  <c r="N833" i="6"/>
  <c r="R833" i="6"/>
  <c r="Q833" i="6" s="1"/>
  <c r="S833" i="6" s="1"/>
  <c r="T833" i="6"/>
  <c r="B834" i="6"/>
  <c r="C834" i="6"/>
  <c r="D834" i="6"/>
  <c r="E834" i="6"/>
  <c r="F834" i="6"/>
  <c r="H834" i="6"/>
  <c r="L834" i="6" s="1"/>
  <c r="I834" i="6"/>
  <c r="N834" i="6"/>
  <c r="Q834" i="6"/>
  <c r="S834" i="6" s="1"/>
  <c r="R834" i="6"/>
  <c r="T834" i="6"/>
  <c r="B835" i="6"/>
  <c r="C835" i="6"/>
  <c r="D835" i="6"/>
  <c r="L835" i="6" s="1"/>
  <c r="E835" i="6"/>
  <c r="F835" i="6"/>
  <c r="H835" i="6"/>
  <c r="I835" i="6"/>
  <c r="N835" i="6"/>
  <c r="R835" i="6"/>
  <c r="Q835" i="6" s="1"/>
  <c r="S835" i="6"/>
  <c r="T835" i="6"/>
  <c r="B836" i="6"/>
  <c r="C836" i="6"/>
  <c r="D836" i="6"/>
  <c r="E836" i="6"/>
  <c r="F836" i="6"/>
  <c r="H836" i="6"/>
  <c r="I836" i="6"/>
  <c r="L836" i="6"/>
  <c r="N836" i="6"/>
  <c r="Q836" i="6"/>
  <c r="R836" i="6"/>
  <c r="S836" i="6"/>
  <c r="T836" i="6"/>
  <c r="B837" i="6"/>
  <c r="C837" i="6"/>
  <c r="D837" i="6"/>
  <c r="E837" i="6"/>
  <c r="F837" i="6"/>
  <c r="H837" i="6"/>
  <c r="I837" i="6"/>
  <c r="N837" i="6"/>
  <c r="R837" i="6"/>
  <c r="Q837" i="6" s="1"/>
  <c r="S837" i="6" s="1"/>
  <c r="T837" i="6"/>
  <c r="B838" i="6"/>
  <c r="C838" i="6"/>
  <c r="D838" i="6"/>
  <c r="E838" i="6"/>
  <c r="F838" i="6"/>
  <c r="H838" i="6"/>
  <c r="I838" i="6"/>
  <c r="N838" i="6"/>
  <c r="Q838" i="6"/>
  <c r="S838" i="6" s="1"/>
  <c r="R838" i="6"/>
  <c r="T838" i="6"/>
  <c r="B839" i="6"/>
  <c r="C839" i="6"/>
  <c r="D839" i="6"/>
  <c r="E839" i="6"/>
  <c r="F839" i="6"/>
  <c r="L839" i="6" s="1"/>
  <c r="H839" i="6"/>
  <c r="I839" i="6"/>
  <c r="N839" i="6"/>
  <c r="R839" i="6"/>
  <c r="Q839" i="6" s="1"/>
  <c r="S839" i="6" s="1"/>
  <c r="T839" i="6"/>
  <c r="B840" i="6"/>
  <c r="C840" i="6"/>
  <c r="L840" i="6" s="1"/>
  <c r="D840" i="6"/>
  <c r="E840" i="6"/>
  <c r="F840" i="6"/>
  <c r="H840" i="6"/>
  <c r="I840" i="6"/>
  <c r="N840" i="6"/>
  <c r="Q840" i="6"/>
  <c r="S840" i="6" s="1"/>
  <c r="R840" i="6"/>
  <c r="T840" i="6"/>
  <c r="B841" i="6"/>
  <c r="C841" i="6"/>
  <c r="D841" i="6"/>
  <c r="E841" i="6"/>
  <c r="F841" i="6"/>
  <c r="H841" i="6"/>
  <c r="I841" i="6"/>
  <c r="N841" i="6"/>
  <c r="R841" i="6"/>
  <c r="Q841" i="6" s="1"/>
  <c r="S841" i="6" s="1"/>
  <c r="T841" i="6"/>
  <c r="B842" i="6"/>
  <c r="C842" i="6"/>
  <c r="L842" i="6" s="1"/>
  <c r="D842" i="6"/>
  <c r="E842" i="6"/>
  <c r="F842" i="6"/>
  <c r="H842" i="6"/>
  <c r="I842" i="6"/>
  <c r="N842" i="6"/>
  <c r="Q842" i="6"/>
  <c r="S842" i="6" s="1"/>
  <c r="R842" i="6"/>
  <c r="T842" i="6"/>
  <c r="B843" i="6"/>
  <c r="C843" i="6"/>
  <c r="D843" i="6"/>
  <c r="E843" i="6"/>
  <c r="F843" i="6"/>
  <c r="H843" i="6"/>
  <c r="I843" i="6"/>
  <c r="N843" i="6"/>
  <c r="R843" i="6"/>
  <c r="Q843" i="6" s="1"/>
  <c r="S843" i="6" s="1"/>
  <c r="T843" i="6"/>
  <c r="B844" i="6"/>
  <c r="C844" i="6"/>
  <c r="D844" i="6"/>
  <c r="E844" i="6"/>
  <c r="L844" i="6" s="1"/>
  <c r="F844" i="6"/>
  <c r="H844" i="6"/>
  <c r="I844" i="6"/>
  <c r="N844" i="6"/>
  <c r="Q844" i="6"/>
  <c r="R844" i="6"/>
  <c r="S844" i="6"/>
  <c r="T844" i="6"/>
  <c r="B845" i="6"/>
  <c r="C845" i="6"/>
  <c r="D845" i="6"/>
  <c r="E845" i="6"/>
  <c r="F845" i="6"/>
  <c r="H845" i="6"/>
  <c r="I845" i="6"/>
  <c r="N845" i="6"/>
  <c r="Q845" i="6"/>
  <c r="S845" i="6" s="1"/>
  <c r="R845" i="6"/>
  <c r="T845" i="6"/>
  <c r="B846" i="6"/>
  <c r="C846" i="6"/>
  <c r="D846" i="6"/>
  <c r="E846" i="6"/>
  <c r="F846" i="6"/>
  <c r="H846" i="6"/>
  <c r="I846" i="6"/>
  <c r="N846" i="6"/>
  <c r="Q846" i="6"/>
  <c r="R846" i="6"/>
  <c r="S846" i="6"/>
  <c r="T846" i="6"/>
  <c r="B847" i="6"/>
  <c r="C847" i="6"/>
  <c r="D847" i="6"/>
  <c r="E847" i="6"/>
  <c r="F847" i="6"/>
  <c r="H847" i="6"/>
  <c r="I847" i="6"/>
  <c r="L847" i="6" s="1"/>
  <c r="N847" i="6"/>
  <c r="R847" i="6"/>
  <c r="Q847" i="6" s="1"/>
  <c r="S847" i="6" s="1"/>
  <c r="T847" i="6"/>
  <c r="B848" i="6"/>
  <c r="C848" i="6"/>
  <c r="D848" i="6"/>
  <c r="E848" i="6"/>
  <c r="F848" i="6"/>
  <c r="H848" i="6"/>
  <c r="I848" i="6"/>
  <c r="N848" i="6"/>
  <c r="R848" i="6"/>
  <c r="Q848" i="6" s="1"/>
  <c r="S848" i="6"/>
  <c r="T848" i="6"/>
  <c r="B849" i="6"/>
  <c r="C849" i="6"/>
  <c r="D849" i="6"/>
  <c r="E849" i="6"/>
  <c r="F849" i="6"/>
  <c r="H849" i="6"/>
  <c r="I849" i="6"/>
  <c r="N849" i="6"/>
  <c r="R849" i="6"/>
  <c r="Q849" i="6" s="1"/>
  <c r="S849" i="6" s="1"/>
  <c r="T849" i="6"/>
  <c r="B850" i="6"/>
  <c r="C850" i="6"/>
  <c r="D850" i="6"/>
  <c r="E850" i="6"/>
  <c r="F850" i="6"/>
  <c r="H850" i="6"/>
  <c r="I850" i="6"/>
  <c r="N850" i="6"/>
  <c r="Q850" i="6"/>
  <c r="S850" i="6" s="1"/>
  <c r="R850" i="6"/>
  <c r="T850" i="6"/>
  <c r="B851" i="6"/>
  <c r="C851" i="6"/>
  <c r="D851" i="6"/>
  <c r="E851" i="6"/>
  <c r="F851" i="6"/>
  <c r="H851" i="6"/>
  <c r="I851" i="6"/>
  <c r="N851" i="6"/>
  <c r="R851" i="6"/>
  <c r="Q851" i="6" s="1"/>
  <c r="S851" i="6"/>
  <c r="T851" i="6"/>
  <c r="B852" i="6"/>
  <c r="C852" i="6"/>
  <c r="D852" i="6"/>
  <c r="E852" i="6"/>
  <c r="F852" i="6"/>
  <c r="H852" i="6"/>
  <c r="I852" i="6"/>
  <c r="N852" i="6"/>
  <c r="Q852" i="6"/>
  <c r="R852" i="6"/>
  <c r="S852" i="6"/>
  <c r="T852" i="6"/>
  <c r="B853" i="6"/>
  <c r="C853" i="6"/>
  <c r="L853" i="6" s="1"/>
  <c r="D853" i="6"/>
  <c r="E853" i="6"/>
  <c r="F853" i="6"/>
  <c r="H853" i="6"/>
  <c r="I853" i="6"/>
  <c r="N853" i="6"/>
  <c r="R853" i="6"/>
  <c r="Q853" i="6" s="1"/>
  <c r="S853" i="6" s="1"/>
  <c r="T853" i="6"/>
  <c r="B854" i="6"/>
  <c r="C854" i="6"/>
  <c r="D854" i="6"/>
  <c r="E854" i="6"/>
  <c r="F854" i="6"/>
  <c r="H854" i="6"/>
  <c r="I854" i="6"/>
  <c r="N854" i="6"/>
  <c r="Q854" i="6"/>
  <c r="R854" i="6"/>
  <c r="S854" i="6"/>
  <c r="T854" i="6"/>
  <c r="B855" i="6"/>
  <c r="C855" i="6"/>
  <c r="D855" i="6"/>
  <c r="E855" i="6"/>
  <c r="F855" i="6"/>
  <c r="H855" i="6"/>
  <c r="I855" i="6"/>
  <c r="N855" i="6"/>
  <c r="R855" i="6"/>
  <c r="Q855" i="6" s="1"/>
  <c r="S855" i="6" s="1"/>
  <c r="T855" i="6"/>
  <c r="B856" i="6"/>
  <c r="C856" i="6"/>
  <c r="D856" i="6"/>
  <c r="E856" i="6"/>
  <c r="L856" i="6" s="1"/>
  <c r="F856" i="6"/>
  <c r="H856" i="6"/>
  <c r="I856" i="6"/>
  <c r="N856" i="6"/>
  <c r="Q856" i="6"/>
  <c r="R856" i="6"/>
  <c r="S856" i="6"/>
  <c r="T856" i="6"/>
  <c r="B857" i="6"/>
  <c r="C857" i="6"/>
  <c r="D857" i="6"/>
  <c r="E857" i="6"/>
  <c r="F857" i="6"/>
  <c r="H857" i="6"/>
  <c r="I857" i="6"/>
  <c r="N857" i="6"/>
  <c r="R857" i="6"/>
  <c r="Q857" i="6" s="1"/>
  <c r="S857" i="6" s="1"/>
  <c r="T857" i="6"/>
  <c r="B858" i="6"/>
  <c r="C858" i="6"/>
  <c r="D858" i="6"/>
  <c r="E858" i="6"/>
  <c r="F858" i="6"/>
  <c r="H858" i="6"/>
  <c r="I858" i="6"/>
  <c r="L858" i="6"/>
  <c r="N858" i="6"/>
  <c r="Q858" i="6"/>
  <c r="S858" i="6" s="1"/>
  <c r="R858" i="6"/>
  <c r="T858" i="6"/>
  <c r="B859" i="6"/>
  <c r="C859" i="6"/>
  <c r="D859" i="6"/>
  <c r="E859" i="6"/>
  <c r="F859" i="6"/>
  <c r="H859" i="6"/>
  <c r="I859" i="6"/>
  <c r="N859" i="6"/>
  <c r="R859" i="6"/>
  <c r="Q859" i="6" s="1"/>
  <c r="S859" i="6" s="1"/>
  <c r="T859" i="6"/>
  <c r="B860" i="6"/>
  <c r="C860" i="6"/>
  <c r="D860" i="6"/>
  <c r="E860" i="6"/>
  <c r="F860" i="6"/>
  <c r="H860" i="6"/>
  <c r="I860" i="6"/>
  <c r="L860" i="6"/>
  <c r="N860" i="6"/>
  <c r="Q860" i="6"/>
  <c r="R860" i="6"/>
  <c r="S860" i="6"/>
  <c r="T860" i="6"/>
  <c r="B861" i="6"/>
  <c r="C861" i="6"/>
  <c r="D861" i="6"/>
  <c r="E861" i="6"/>
  <c r="F861" i="6"/>
  <c r="H861" i="6"/>
  <c r="I861" i="6"/>
  <c r="N861" i="6"/>
  <c r="Q861" i="6"/>
  <c r="S861" i="6" s="1"/>
  <c r="R861" i="6"/>
  <c r="T861" i="6"/>
  <c r="B862" i="6"/>
  <c r="C862" i="6"/>
  <c r="D862" i="6"/>
  <c r="E862" i="6"/>
  <c r="F862" i="6"/>
  <c r="H862" i="6"/>
  <c r="I862" i="6"/>
  <c r="N862" i="6"/>
  <c r="Q862" i="6"/>
  <c r="S862" i="6" s="1"/>
  <c r="R862" i="6"/>
  <c r="T862" i="6"/>
  <c r="B863" i="6"/>
  <c r="C863" i="6"/>
  <c r="D863" i="6"/>
  <c r="E863" i="6"/>
  <c r="F863" i="6"/>
  <c r="L863" i="6" s="1"/>
  <c r="H863" i="6"/>
  <c r="I863" i="6"/>
  <c r="N863" i="6"/>
  <c r="R863" i="6"/>
  <c r="Q863" i="6" s="1"/>
  <c r="S863" i="6" s="1"/>
  <c r="T863" i="6"/>
  <c r="B864" i="6"/>
  <c r="C864" i="6"/>
  <c r="D864" i="6"/>
  <c r="E864" i="6"/>
  <c r="F864" i="6"/>
  <c r="H864" i="6"/>
  <c r="I864" i="6"/>
  <c r="N864" i="6"/>
  <c r="R864" i="6"/>
  <c r="Q864" i="6" s="1"/>
  <c r="S864" i="6" s="1"/>
  <c r="T864" i="6"/>
  <c r="B865" i="6"/>
  <c r="C865" i="6"/>
  <c r="D865" i="6"/>
  <c r="E865" i="6"/>
  <c r="F865" i="6"/>
  <c r="H865" i="6"/>
  <c r="I865" i="6"/>
  <c r="N865" i="6"/>
  <c r="R865" i="6"/>
  <c r="Q865" i="6" s="1"/>
  <c r="S865" i="6" s="1"/>
  <c r="T865" i="6"/>
  <c r="B866" i="6"/>
  <c r="C866" i="6"/>
  <c r="L866" i="6" s="1"/>
  <c r="D866" i="6"/>
  <c r="E866" i="6"/>
  <c r="F866" i="6"/>
  <c r="H866" i="6"/>
  <c r="I866" i="6"/>
  <c r="N866" i="6"/>
  <c r="Q866" i="6"/>
  <c r="S866" i="6" s="1"/>
  <c r="R866" i="6"/>
  <c r="T866" i="6"/>
  <c r="B867" i="6"/>
  <c r="C867" i="6"/>
  <c r="D867" i="6"/>
  <c r="E867" i="6"/>
  <c r="F867" i="6"/>
  <c r="H867" i="6"/>
  <c r="I867" i="6"/>
  <c r="N867" i="6"/>
  <c r="R867" i="6"/>
  <c r="Q867" i="6" s="1"/>
  <c r="S867" i="6"/>
  <c r="T867" i="6"/>
  <c r="B868" i="6"/>
  <c r="C868" i="6"/>
  <c r="D868" i="6"/>
  <c r="E868" i="6"/>
  <c r="L868" i="6" s="1"/>
  <c r="F868" i="6"/>
  <c r="H868" i="6"/>
  <c r="I868" i="6"/>
  <c r="N868" i="6"/>
  <c r="Q868" i="6"/>
  <c r="R868" i="6"/>
  <c r="S868" i="6"/>
  <c r="T868" i="6"/>
  <c r="B869" i="6"/>
  <c r="C869" i="6"/>
  <c r="D869" i="6"/>
  <c r="E869" i="6"/>
  <c r="F869" i="6"/>
  <c r="H869" i="6"/>
  <c r="I869" i="6"/>
  <c r="N869" i="6"/>
  <c r="R869" i="6"/>
  <c r="Q869" i="6" s="1"/>
  <c r="S869" i="6" s="1"/>
  <c r="T869" i="6"/>
  <c r="B870" i="6"/>
  <c r="C870" i="6"/>
  <c r="D870" i="6"/>
  <c r="E870" i="6"/>
  <c r="F870" i="6"/>
  <c r="H870" i="6"/>
  <c r="I870" i="6"/>
  <c r="N870" i="6"/>
  <c r="Q870" i="6"/>
  <c r="S870" i="6" s="1"/>
  <c r="R870" i="6"/>
  <c r="T870" i="6"/>
  <c r="B871" i="6"/>
  <c r="C871" i="6"/>
  <c r="D871" i="6"/>
  <c r="E871" i="6"/>
  <c r="F871" i="6"/>
  <c r="L871" i="6" s="1"/>
  <c r="H871" i="6"/>
  <c r="I871" i="6"/>
  <c r="N871" i="6"/>
  <c r="R871" i="6"/>
  <c r="Q871" i="6" s="1"/>
  <c r="S871" i="6" s="1"/>
  <c r="T871" i="6"/>
  <c r="B872" i="6"/>
  <c r="C872" i="6"/>
  <c r="L872" i="6" s="1"/>
  <c r="D872" i="6"/>
  <c r="E872" i="6"/>
  <c r="F872" i="6"/>
  <c r="H872" i="6"/>
  <c r="I872" i="6"/>
  <c r="N872" i="6"/>
  <c r="Q872" i="6"/>
  <c r="S872" i="6" s="1"/>
  <c r="R872" i="6"/>
  <c r="T872" i="6"/>
  <c r="B873" i="6"/>
  <c r="C873" i="6"/>
  <c r="D873" i="6"/>
  <c r="E873" i="6"/>
  <c r="F873" i="6"/>
  <c r="H873" i="6"/>
  <c r="I873" i="6"/>
  <c r="N873" i="6"/>
  <c r="R873" i="6"/>
  <c r="Q873" i="6" s="1"/>
  <c r="S873" i="6" s="1"/>
  <c r="T873" i="6"/>
  <c r="B874" i="6"/>
  <c r="C874" i="6"/>
  <c r="D874" i="6"/>
  <c r="E874" i="6"/>
  <c r="F874" i="6"/>
  <c r="H874" i="6"/>
  <c r="L874" i="6" s="1"/>
  <c r="I874" i="6"/>
  <c r="N874" i="6"/>
  <c r="Q874" i="6"/>
  <c r="S874" i="6" s="1"/>
  <c r="R874" i="6"/>
  <c r="T874" i="6"/>
  <c r="B875" i="6"/>
  <c r="C875" i="6"/>
  <c r="D875" i="6"/>
  <c r="L875" i="6" s="1"/>
  <c r="E875" i="6"/>
  <c r="F875" i="6"/>
  <c r="H875" i="6"/>
  <c r="I875" i="6"/>
  <c r="N875" i="6"/>
  <c r="R875" i="6"/>
  <c r="Q875" i="6" s="1"/>
  <c r="S875" i="6" s="1"/>
  <c r="T875" i="6"/>
  <c r="B876" i="6"/>
  <c r="C876" i="6"/>
  <c r="D876" i="6"/>
  <c r="E876" i="6"/>
  <c r="F876" i="6"/>
  <c r="H876" i="6"/>
  <c r="I876" i="6"/>
  <c r="N876" i="6"/>
  <c r="Q876" i="6"/>
  <c r="R876" i="6"/>
  <c r="S876" i="6"/>
  <c r="T876" i="6"/>
  <c r="B877" i="6"/>
  <c r="C877" i="6"/>
  <c r="L877" i="6" s="1"/>
  <c r="D877" i="6"/>
  <c r="E877" i="6"/>
  <c r="F877" i="6"/>
  <c r="H877" i="6"/>
  <c r="I877" i="6"/>
  <c r="N877" i="6"/>
  <c r="Q877" i="6"/>
  <c r="S877" i="6" s="1"/>
  <c r="R877" i="6"/>
  <c r="T877" i="6"/>
  <c r="B878" i="6"/>
  <c r="C878" i="6"/>
  <c r="D878" i="6"/>
  <c r="E878" i="6"/>
  <c r="F878" i="6"/>
  <c r="H878" i="6"/>
  <c r="I878" i="6"/>
  <c r="N878" i="6"/>
  <c r="Q878" i="6"/>
  <c r="S878" i="6" s="1"/>
  <c r="R878" i="6"/>
  <c r="T878" i="6"/>
  <c r="B879" i="6"/>
  <c r="C879" i="6"/>
  <c r="D879" i="6"/>
  <c r="E879" i="6"/>
  <c r="F879" i="6"/>
  <c r="H879" i="6"/>
  <c r="I879" i="6"/>
  <c r="L879" i="6"/>
  <c r="N879" i="6"/>
  <c r="R879" i="6"/>
  <c r="Q879" i="6" s="1"/>
  <c r="S879" i="6" s="1"/>
  <c r="T879" i="6"/>
  <c r="B880" i="6"/>
  <c r="C880" i="6"/>
  <c r="D880" i="6"/>
  <c r="E880" i="6"/>
  <c r="F880" i="6"/>
  <c r="H880" i="6"/>
  <c r="I880" i="6"/>
  <c r="L880" i="6"/>
  <c r="N880" i="6"/>
  <c r="R880" i="6"/>
  <c r="Q880" i="6" s="1"/>
  <c r="S880" i="6" s="1"/>
  <c r="T880" i="6"/>
  <c r="B881" i="6"/>
  <c r="C881" i="6"/>
  <c r="L881" i="6" s="1"/>
  <c r="D881" i="6"/>
  <c r="E881" i="6"/>
  <c r="F881" i="6"/>
  <c r="H881" i="6"/>
  <c r="I881" i="6"/>
  <c r="N881" i="6"/>
  <c r="R881" i="6"/>
  <c r="Q881" i="6" s="1"/>
  <c r="S881" i="6" s="1"/>
  <c r="T881" i="6"/>
  <c r="B882" i="6"/>
  <c r="C882" i="6"/>
  <c r="L882" i="6" s="1"/>
  <c r="D882" i="6"/>
  <c r="E882" i="6"/>
  <c r="F882" i="6"/>
  <c r="H882" i="6"/>
  <c r="I882" i="6"/>
  <c r="N882" i="6"/>
  <c r="Q882" i="6"/>
  <c r="S882" i="6" s="1"/>
  <c r="R882" i="6"/>
  <c r="T882" i="6"/>
  <c r="B883" i="6"/>
  <c r="C883" i="6"/>
  <c r="D883" i="6"/>
  <c r="E883" i="6"/>
  <c r="F883" i="6"/>
  <c r="H883" i="6"/>
  <c r="I883" i="6"/>
  <c r="N883" i="6"/>
  <c r="R883" i="6"/>
  <c r="Q883" i="6" s="1"/>
  <c r="S883" i="6"/>
  <c r="T883" i="6"/>
  <c r="B884" i="6"/>
  <c r="C884" i="6"/>
  <c r="D884" i="6"/>
  <c r="E884" i="6"/>
  <c r="L884" i="6" s="1"/>
  <c r="F884" i="6"/>
  <c r="H884" i="6"/>
  <c r="I884" i="6"/>
  <c r="N884" i="6"/>
  <c r="Q884" i="6"/>
  <c r="R884" i="6"/>
  <c r="S884" i="6"/>
  <c r="T884" i="6"/>
  <c r="B885" i="6"/>
  <c r="C885" i="6"/>
  <c r="L885" i="6" s="1"/>
  <c r="D885" i="6"/>
  <c r="E885" i="6"/>
  <c r="F885" i="6"/>
  <c r="H885" i="6"/>
  <c r="I885" i="6"/>
  <c r="N885" i="6"/>
  <c r="R885" i="6"/>
  <c r="Q885" i="6" s="1"/>
  <c r="S885" i="6" s="1"/>
  <c r="T885" i="6"/>
  <c r="B886" i="6"/>
  <c r="C886" i="6"/>
  <c r="L886" i="6" s="1"/>
  <c r="D886" i="6"/>
  <c r="E886" i="6"/>
  <c r="F886" i="6"/>
  <c r="H886" i="6"/>
  <c r="I886" i="6"/>
  <c r="N886" i="6"/>
  <c r="Q886" i="6"/>
  <c r="R886" i="6"/>
  <c r="S886" i="6"/>
  <c r="T886" i="6"/>
  <c r="B887" i="6"/>
  <c r="C887" i="6"/>
  <c r="D887" i="6"/>
  <c r="E887" i="6"/>
  <c r="F887" i="6"/>
  <c r="H887" i="6"/>
  <c r="I887" i="6"/>
  <c r="N887" i="6"/>
  <c r="R887" i="6"/>
  <c r="Q887" i="6" s="1"/>
  <c r="S887" i="6" s="1"/>
  <c r="T887" i="6"/>
  <c r="B888" i="6"/>
  <c r="C888" i="6"/>
  <c r="D888" i="6"/>
  <c r="E888" i="6"/>
  <c r="L888" i="6" s="1"/>
  <c r="F888" i="6"/>
  <c r="H888" i="6"/>
  <c r="I888" i="6"/>
  <c r="N888" i="6"/>
  <c r="R888" i="6"/>
  <c r="Q888" i="6" s="1"/>
  <c r="S888" i="6"/>
  <c r="T888" i="6"/>
  <c r="B889" i="6"/>
  <c r="C889" i="6"/>
  <c r="D889" i="6"/>
  <c r="E889" i="6"/>
  <c r="F889" i="6"/>
  <c r="H889" i="6"/>
  <c r="I889" i="6"/>
  <c r="N889" i="6"/>
  <c r="R889" i="6"/>
  <c r="Q889" i="6" s="1"/>
  <c r="S889" i="6" s="1"/>
  <c r="T889" i="6"/>
  <c r="B890" i="6"/>
  <c r="C890" i="6"/>
  <c r="D890" i="6"/>
  <c r="E890" i="6"/>
  <c r="F890" i="6"/>
  <c r="H890" i="6"/>
  <c r="L890" i="6" s="1"/>
  <c r="I890" i="6"/>
  <c r="N890" i="6"/>
  <c r="Q890" i="6"/>
  <c r="S890" i="6" s="1"/>
  <c r="R890" i="6"/>
  <c r="T890" i="6"/>
  <c r="B891" i="6"/>
  <c r="C891" i="6"/>
  <c r="D891" i="6"/>
  <c r="E891" i="6"/>
  <c r="F891" i="6"/>
  <c r="H891" i="6"/>
  <c r="I891" i="6"/>
  <c r="N891" i="6"/>
  <c r="R891" i="6"/>
  <c r="Q891" i="6" s="1"/>
  <c r="S891" i="6" s="1"/>
  <c r="T891" i="6"/>
  <c r="B892" i="6"/>
  <c r="C892" i="6"/>
  <c r="D892" i="6"/>
  <c r="E892" i="6"/>
  <c r="L892" i="6" s="1"/>
  <c r="F892" i="6"/>
  <c r="H892" i="6"/>
  <c r="I892" i="6"/>
  <c r="N892" i="6"/>
  <c r="Q892" i="6"/>
  <c r="R892" i="6"/>
  <c r="S892" i="6"/>
  <c r="T892" i="6"/>
  <c r="B893" i="6"/>
  <c r="C893" i="6"/>
  <c r="D893" i="6"/>
  <c r="E893" i="6"/>
  <c r="F893" i="6"/>
  <c r="H893" i="6"/>
  <c r="I893" i="6"/>
  <c r="N893" i="6"/>
  <c r="Q893" i="6"/>
  <c r="S893" i="6" s="1"/>
  <c r="R893" i="6"/>
  <c r="T893" i="6"/>
  <c r="B894" i="6"/>
  <c r="C894" i="6"/>
  <c r="L894" i="6" s="1"/>
  <c r="D894" i="6"/>
  <c r="E894" i="6"/>
  <c r="F894" i="6"/>
  <c r="H894" i="6"/>
  <c r="I894" i="6"/>
  <c r="N894" i="6"/>
  <c r="Q894" i="6"/>
  <c r="S894" i="6" s="1"/>
  <c r="R894" i="6"/>
  <c r="T894" i="6"/>
  <c r="B895" i="6"/>
  <c r="C895" i="6"/>
  <c r="D895" i="6"/>
  <c r="E895" i="6"/>
  <c r="F895" i="6"/>
  <c r="H895" i="6"/>
  <c r="I895" i="6"/>
  <c r="L895" i="6"/>
  <c r="N895" i="6"/>
  <c r="R895" i="6"/>
  <c r="Q895" i="6" s="1"/>
  <c r="S895" i="6" s="1"/>
  <c r="T895" i="6"/>
  <c r="B896" i="6"/>
  <c r="C896" i="6"/>
  <c r="D896" i="6"/>
  <c r="L896" i="6" s="1"/>
  <c r="E896" i="6"/>
  <c r="F896" i="6"/>
  <c r="H896" i="6"/>
  <c r="I896" i="6"/>
  <c r="N896" i="6"/>
  <c r="R896" i="6"/>
  <c r="Q896" i="6" s="1"/>
  <c r="S896" i="6" s="1"/>
  <c r="T896" i="6"/>
  <c r="B897" i="6"/>
  <c r="C897" i="6"/>
  <c r="L897" i="6" s="1"/>
  <c r="D897" i="6"/>
  <c r="E897" i="6"/>
  <c r="F897" i="6"/>
  <c r="H897" i="6"/>
  <c r="I897" i="6"/>
  <c r="N897" i="6"/>
  <c r="R897" i="6"/>
  <c r="Q897" i="6" s="1"/>
  <c r="S897" i="6" s="1"/>
  <c r="T897" i="6"/>
  <c r="B898" i="6"/>
  <c r="C898" i="6"/>
  <c r="D898" i="6"/>
  <c r="E898" i="6"/>
  <c r="F898" i="6"/>
  <c r="H898" i="6"/>
  <c r="I898" i="6"/>
  <c r="L898" i="6"/>
  <c r="N898" i="6"/>
  <c r="Q898" i="6"/>
  <c r="S898" i="6" s="1"/>
  <c r="R898" i="6"/>
  <c r="T898" i="6"/>
  <c r="B899" i="6"/>
  <c r="C899" i="6"/>
  <c r="D899" i="6"/>
  <c r="E899" i="6"/>
  <c r="F899" i="6"/>
  <c r="H899" i="6"/>
  <c r="I899" i="6"/>
  <c r="N899" i="6"/>
  <c r="R899" i="6"/>
  <c r="Q899" i="6" s="1"/>
  <c r="S899" i="6"/>
  <c r="T899" i="6"/>
  <c r="B900" i="6"/>
  <c r="C900" i="6"/>
  <c r="D900" i="6"/>
  <c r="E900" i="6"/>
  <c r="F900" i="6"/>
  <c r="H900" i="6"/>
  <c r="I900" i="6"/>
  <c r="L900" i="6"/>
  <c r="N900" i="6"/>
  <c r="Q900" i="6"/>
  <c r="R900" i="6"/>
  <c r="S900" i="6"/>
  <c r="T900" i="6"/>
  <c r="B901" i="6"/>
  <c r="C901" i="6"/>
  <c r="D901" i="6"/>
  <c r="E901" i="6"/>
  <c r="F901" i="6"/>
  <c r="H901" i="6"/>
  <c r="I901" i="6"/>
  <c r="N901" i="6"/>
  <c r="R901" i="6"/>
  <c r="Q901" i="6" s="1"/>
  <c r="S901" i="6" s="1"/>
  <c r="T901" i="6"/>
  <c r="B902" i="6"/>
  <c r="C902" i="6"/>
  <c r="D902" i="6"/>
  <c r="E902" i="6"/>
  <c r="F902" i="6"/>
  <c r="H902" i="6"/>
  <c r="I902" i="6"/>
  <c r="N902" i="6"/>
  <c r="Q902" i="6"/>
  <c r="S902" i="6" s="1"/>
  <c r="R902" i="6"/>
  <c r="T902" i="6"/>
  <c r="B903" i="6"/>
  <c r="C903" i="6"/>
  <c r="D903" i="6"/>
  <c r="E903" i="6"/>
  <c r="F903" i="6"/>
  <c r="L903" i="6" s="1"/>
  <c r="H903" i="6"/>
  <c r="I903" i="6"/>
  <c r="N903" i="6"/>
  <c r="R903" i="6"/>
  <c r="Q903" i="6" s="1"/>
  <c r="S903" i="6" s="1"/>
  <c r="T903" i="6"/>
  <c r="B904" i="6"/>
  <c r="C904" i="6"/>
  <c r="D904" i="6"/>
  <c r="E904" i="6"/>
  <c r="F904" i="6"/>
  <c r="H904" i="6"/>
  <c r="I904" i="6"/>
  <c r="L904" i="6"/>
  <c r="N904" i="6"/>
  <c r="Q904" i="6"/>
  <c r="S904" i="6" s="1"/>
  <c r="R904" i="6"/>
  <c r="T904" i="6"/>
  <c r="B905" i="6"/>
  <c r="C905" i="6"/>
  <c r="D905" i="6"/>
  <c r="E905" i="6"/>
  <c r="F905" i="6"/>
  <c r="H905" i="6"/>
  <c r="I905" i="6"/>
  <c r="N905" i="6"/>
  <c r="R905" i="6"/>
  <c r="Q905" i="6" s="1"/>
  <c r="S905" i="6" s="1"/>
  <c r="T905" i="6"/>
  <c r="B906" i="6"/>
  <c r="C906" i="6"/>
  <c r="L906" i="6" s="1"/>
  <c r="D906" i="6"/>
  <c r="E906" i="6"/>
  <c r="F906" i="6"/>
  <c r="H906" i="6"/>
  <c r="I906" i="6"/>
  <c r="N906" i="6"/>
  <c r="Q906" i="6"/>
  <c r="S906" i="6" s="1"/>
  <c r="R906" i="6"/>
  <c r="T906" i="6"/>
  <c r="B907" i="6"/>
  <c r="C907" i="6"/>
  <c r="D907" i="6"/>
  <c r="L907" i="6" s="1"/>
  <c r="E907" i="6"/>
  <c r="F907" i="6"/>
  <c r="H907" i="6"/>
  <c r="I907" i="6"/>
  <c r="N907" i="6"/>
  <c r="R907" i="6"/>
  <c r="Q907" i="6" s="1"/>
  <c r="S907" i="6" s="1"/>
  <c r="T907" i="6"/>
  <c r="B908" i="6"/>
  <c r="C908" i="6"/>
  <c r="D908" i="6"/>
  <c r="E908" i="6"/>
  <c r="L908" i="6" s="1"/>
  <c r="F908" i="6"/>
  <c r="H908" i="6"/>
  <c r="I908" i="6"/>
  <c r="N908" i="6"/>
  <c r="Q908" i="6"/>
  <c r="R908" i="6"/>
  <c r="S908" i="6"/>
  <c r="T908" i="6"/>
  <c r="B909" i="6"/>
  <c r="C909" i="6"/>
  <c r="D909" i="6"/>
  <c r="E909" i="6"/>
  <c r="F909" i="6"/>
  <c r="H909" i="6"/>
  <c r="I909" i="6"/>
  <c r="N909" i="6"/>
  <c r="Q909" i="6"/>
  <c r="S909" i="6" s="1"/>
  <c r="R909" i="6"/>
  <c r="T909" i="6"/>
  <c r="B910" i="6"/>
  <c r="C910" i="6"/>
  <c r="L910" i="6" s="1"/>
  <c r="D910" i="6"/>
  <c r="E910" i="6"/>
  <c r="F910" i="6"/>
  <c r="H910" i="6"/>
  <c r="I910" i="6"/>
  <c r="N910" i="6"/>
  <c r="Q910" i="6"/>
  <c r="R910" i="6"/>
  <c r="S910" i="6"/>
  <c r="T910" i="6"/>
  <c r="B911" i="6"/>
  <c r="C911" i="6"/>
  <c r="D911" i="6"/>
  <c r="E911" i="6"/>
  <c r="F911" i="6"/>
  <c r="H911" i="6"/>
  <c r="I911" i="6"/>
  <c r="L911" i="6"/>
  <c r="N911" i="6"/>
  <c r="R911" i="6"/>
  <c r="Q911" i="6" s="1"/>
  <c r="S911" i="6" s="1"/>
  <c r="T911" i="6"/>
  <c r="B912" i="6"/>
  <c r="C912" i="6"/>
  <c r="D912" i="6"/>
  <c r="E912" i="6"/>
  <c r="F912" i="6"/>
  <c r="H912" i="6"/>
  <c r="I912" i="6"/>
  <c r="N912" i="6"/>
  <c r="R912" i="6"/>
  <c r="Q912" i="6" s="1"/>
  <c r="S912" i="6"/>
  <c r="T912" i="6"/>
  <c r="B913" i="6"/>
  <c r="C913" i="6"/>
  <c r="D913" i="6"/>
  <c r="E913" i="6"/>
  <c r="F913" i="6"/>
  <c r="H913" i="6"/>
  <c r="I913" i="6"/>
  <c r="N913" i="6"/>
  <c r="R913" i="6"/>
  <c r="Q913" i="6" s="1"/>
  <c r="S913" i="6" s="1"/>
  <c r="T913" i="6"/>
  <c r="B914" i="6"/>
  <c r="C914" i="6"/>
  <c r="D914" i="6"/>
  <c r="E914" i="6"/>
  <c r="F914" i="6"/>
  <c r="H914" i="6"/>
  <c r="I914" i="6"/>
  <c r="N914" i="6"/>
  <c r="Q914" i="6"/>
  <c r="S914" i="6" s="1"/>
  <c r="R914" i="6"/>
  <c r="T914" i="6"/>
  <c r="B915" i="6"/>
  <c r="C915" i="6"/>
  <c r="D915" i="6"/>
  <c r="E915" i="6"/>
  <c r="F915" i="6"/>
  <c r="H915" i="6"/>
  <c r="I915" i="6"/>
  <c r="N915" i="6"/>
  <c r="R915" i="6"/>
  <c r="Q915" i="6" s="1"/>
  <c r="S915" i="6"/>
  <c r="T915" i="6"/>
  <c r="B916" i="6"/>
  <c r="C916" i="6"/>
  <c r="D916" i="6"/>
  <c r="E916" i="6"/>
  <c r="F916" i="6"/>
  <c r="H916" i="6"/>
  <c r="I916" i="6"/>
  <c r="N916" i="6"/>
  <c r="Q916" i="6"/>
  <c r="R916" i="6"/>
  <c r="S916" i="6"/>
  <c r="T916" i="6"/>
  <c r="B917" i="6"/>
  <c r="C917" i="6"/>
  <c r="L917" i="6" s="1"/>
  <c r="D917" i="6"/>
  <c r="E917" i="6"/>
  <c r="F917" i="6"/>
  <c r="H917" i="6"/>
  <c r="I917" i="6"/>
  <c r="N917" i="6"/>
  <c r="R917" i="6"/>
  <c r="Q917" i="6" s="1"/>
  <c r="S917" i="6" s="1"/>
  <c r="T917" i="6"/>
  <c r="B918" i="6"/>
  <c r="C918" i="6"/>
  <c r="D918" i="6"/>
  <c r="E918" i="6"/>
  <c r="F918" i="6"/>
  <c r="H918" i="6"/>
  <c r="I918" i="6"/>
  <c r="N918" i="6"/>
  <c r="Q918" i="6"/>
  <c r="R918" i="6"/>
  <c r="S918" i="6"/>
  <c r="T918" i="6"/>
  <c r="B919" i="6"/>
  <c r="C919" i="6"/>
  <c r="D919" i="6"/>
  <c r="E919" i="6"/>
  <c r="F919" i="6"/>
  <c r="H919" i="6"/>
  <c r="I919" i="6"/>
  <c r="N919" i="6"/>
  <c r="R919" i="6"/>
  <c r="Q919" i="6" s="1"/>
  <c r="S919" i="6" s="1"/>
  <c r="T919" i="6"/>
  <c r="B920" i="6"/>
  <c r="C920" i="6"/>
  <c r="D920" i="6"/>
  <c r="E920" i="6"/>
  <c r="L920" i="6" s="1"/>
  <c r="F920" i="6"/>
  <c r="H920" i="6"/>
  <c r="I920" i="6"/>
  <c r="N920" i="6"/>
  <c r="Q920" i="6"/>
  <c r="R920" i="6"/>
  <c r="S920" i="6"/>
  <c r="T920" i="6"/>
  <c r="B921" i="6"/>
  <c r="C921" i="6"/>
  <c r="L921" i="6" s="1"/>
  <c r="D921" i="6"/>
  <c r="E921" i="6"/>
  <c r="F921" i="6"/>
  <c r="H921" i="6"/>
  <c r="I921" i="6"/>
  <c r="N921" i="6"/>
  <c r="R921" i="6"/>
  <c r="Q921" i="6" s="1"/>
  <c r="S921" i="6" s="1"/>
  <c r="T921" i="6"/>
  <c r="B922" i="6"/>
  <c r="C922" i="6"/>
  <c r="D922" i="6"/>
  <c r="E922" i="6"/>
  <c r="F922" i="6"/>
  <c r="H922" i="6"/>
  <c r="I922" i="6"/>
  <c r="L922" i="6"/>
  <c r="N922" i="6"/>
  <c r="Q922" i="6"/>
  <c r="S922" i="6" s="1"/>
  <c r="R922" i="6"/>
  <c r="T922" i="6"/>
  <c r="B923" i="6"/>
  <c r="C923" i="6"/>
  <c r="D923" i="6"/>
  <c r="L923" i="6" s="1"/>
  <c r="E923" i="6"/>
  <c r="F923" i="6"/>
  <c r="H923" i="6"/>
  <c r="I923" i="6"/>
  <c r="N923" i="6"/>
  <c r="R923" i="6"/>
  <c r="Q923" i="6" s="1"/>
  <c r="S923" i="6" s="1"/>
  <c r="T923" i="6"/>
  <c r="B924" i="6"/>
  <c r="C924" i="6"/>
  <c r="D924" i="6"/>
  <c r="E924" i="6"/>
  <c r="F924" i="6"/>
  <c r="H924" i="6"/>
  <c r="L924" i="6" s="1"/>
  <c r="I924" i="6"/>
  <c r="N924" i="6"/>
  <c r="Q924" i="6"/>
  <c r="R924" i="6"/>
  <c r="S924" i="6"/>
  <c r="T924" i="6"/>
  <c r="B925" i="6"/>
  <c r="C925" i="6"/>
  <c r="D925" i="6"/>
  <c r="E925" i="6"/>
  <c r="F925" i="6"/>
  <c r="H925" i="6"/>
  <c r="I925" i="6"/>
  <c r="N925" i="6"/>
  <c r="Q925" i="6"/>
  <c r="S925" i="6" s="1"/>
  <c r="R925" i="6"/>
  <c r="T925" i="6"/>
  <c r="B926" i="6"/>
  <c r="C926" i="6"/>
  <c r="D926" i="6"/>
  <c r="E926" i="6"/>
  <c r="F926" i="6"/>
  <c r="H926" i="6"/>
  <c r="I926" i="6"/>
  <c r="N926" i="6"/>
  <c r="Q926" i="6"/>
  <c r="R926" i="6"/>
  <c r="T926" i="6"/>
  <c r="B927" i="6"/>
  <c r="C927" i="6"/>
  <c r="D927" i="6"/>
  <c r="E927" i="6"/>
  <c r="F927" i="6"/>
  <c r="L927" i="6" s="1"/>
  <c r="H927" i="6"/>
  <c r="I927" i="6"/>
  <c r="N927" i="6"/>
  <c r="R927" i="6"/>
  <c r="Q927" i="6" s="1"/>
  <c r="S927" i="6" s="1"/>
  <c r="T927" i="6"/>
  <c r="B928" i="6"/>
  <c r="C928" i="6"/>
  <c r="D928" i="6"/>
  <c r="E928" i="6"/>
  <c r="F928" i="6"/>
  <c r="H928" i="6"/>
  <c r="I928" i="6"/>
  <c r="N928" i="6"/>
  <c r="Q928" i="6"/>
  <c r="S928" i="6" s="1"/>
  <c r="R928" i="6"/>
  <c r="T928" i="6"/>
  <c r="B929" i="6"/>
  <c r="C929" i="6"/>
  <c r="D929" i="6"/>
  <c r="E929" i="6"/>
  <c r="F929" i="6"/>
  <c r="H929" i="6"/>
  <c r="I929" i="6"/>
  <c r="N929" i="6"/>
  <c r="R929" i="6"/>
  <c r="Q929" i="6" s="1"/>
  <c r="S929" i="6" s="1"/>
  <c r="T929" i="6"/>
  <c r="B930" i="6"/>
  <c r="C930" i="6"/>
  <c r="L930" i="6" s="1"/>
  <c r="D930" i="6"/>
  <c r="E930" i="6"/>
  <c r="F930" i="6"/>
  <c r="H930" i="6"/>
  <c r="I930" i="6"/>
  <c r="N930" i="6"/>
  <c r="Q930" i="6"/>
  <c r="S930" i="6" s="1"/>
  <c r="R930" i="6"/>
  <c r="T930" i="6"/>
  <c r="B931" i="6"/>
  <c r="C931" i="6"/>
  <c r="D931" i="6"/>
  <c r="E931" i="6"/>
  <c r="F931" i="6"/>
  <c r="H931" i="6"/>
  <c r="I931" i="6"/>
  <c r="N931" i="6"/>
  <c r="R931" i="6"/>
  <c r="Q931" i="6" s="1"/>
  <c r="S931" i="6"/>
  <c r="T931" i="6"/>
  <c r="B932" i="6"/>
  <c r="C932" i="6"/>
  <c r="D932" i="6"/>
  <c r="E932" i="6"/>
  <c r="L932" i="6" s="1"/>
  <c r="F932" i="6"/>
  <c r="H932" i="6"/>
  <c r="I932" i="6"/>
  <c r="N932" i="6"/>
  <c r="Q932" i="6"/>
  <c r="R932" i="6"/>
  <c r="S932" i="6"/>
  <c r="T932" i="6"/>
  <c r="B933" i="6"/>
  <c r="C933" i="6"/>
  <c r="D933" i="6"/>
  <c r="E933" i="6"/>
  <c r="F933" i="6"/>
  <c r="H933" i="6"/>
  <c r="I933" i="6"/>
  <c r="N933" i="6"/>
  <c r="R933" i="6"/>
  <c r="Q933" i="6" s="1"/>
  <c r="S933" i="6" s="1"/>
  <c r="T933" i="6"/>
  <c r="B934" i="6"/>
  <c r="C934" i="6"/>
  <c r="D934" i="6"/>
  <c r="E934" i="6"/>
  <c r="F934" i="6"/>
  <c r="H934" i="6"/>
  <c r="I934" i="6"/>
  <c r="N934" i="6"/>
  <c r="Q934" i="6"/>
  <c r="S934" i="6" s="1"/>
  <c r="R934" i="6"/>
  <c r="T934" i="6"/>
  <c r="B935" i="6"/>
  <c r="C935" i="6"/>
  <c r="D935" i="6"/>
  <c r="E935" i="6"/>
  <c r="F935" i="6"/>
  <c r="L935" i="6" s="1"/>
  <c r="H935" i="6"/>
  <c r="I935" i="6"/>
  <c r="N935" i="6"/>
  <c r="R935" i="6"/>
  <c r="Q935" i="6" s="1"/>
  <c r="S935" i="6" s="1"/>
  <c r="T935" i="6"/>
  <c r="B936" i="6"/>
  <c r="C936" i="6"/>
  <c r="L936" i="6" s="1"/>
  <c r="D936" i="6"/>
  <c r="E936" i="6"/>
  <c r="F936" i="6"/>
  <c r="H936" i="6"/>
  <c r="I936" i="6"/>
  <c r="N936" i="6"/>
  <c r="Q936" i="6"/>
  <c r="R936" i="6"/>
  <c r="S936" i="6"/>
  <c r="T936" i="6"/>
  <c r="B937" i="6"/>
  <c r="C937" i="6"/>
  <c r="D937" i="6"/>
  <c r="E937" i="6"/>
  <c r="F937" i="6"/>
  <c r="H937" i="6"/>
  <c r="I937" i="6"/>
  <c r="N937" i="6"/>
  <c r="R937" i="6"/>
  <c r="Q937" i="6" s="1"/>
  <c r="S937" i="6" s="1"/>
  <c r="T937" i="6"/>
  <c r="B938" i="6"/>
  <c r="C938" i="6"/>
  <c r="D938" i="6"/>
  <c r="E938" i="6"/>
  <c r="F938" i="6"/>
  <c r="H938" i="6"/>
  <c r="L938" i="6" s="1"/>
  <c r="I938" i="6"/>
  <c r="N938" i="6"/>
  <c r="Q938" i="6"/>
  <c r="S938" i="6" s="1"/>
  <c r="R938" i="6"/>
  <c r="T938" i="6"/>
  <c r="B939" i="6"/>
  <c r="C939" i="6"/>
  <c r="L939" i="6" s="1"/>
  <c r="D939" i="6"/>
  <c r="E939" i="6"/>
  <c r="F939" i="6"/>
  <c r="H939" i="6"/>
  <c r="I939" i="6"/>
  <c r="N939" i="6"/>
  <c r="R939" i="6"/>
  <c r="Q939" i="6" s="1"/>
  <c r="S939" i="6"/>
  <c r="T939" i="6"/>
  <c r="B940" i="6"/>
  <c r="C940" i="6"/>
  <c r="D940" i="6"/>
  <c r="E940" i="6"/>
  <c r="F940" i="6"/>
  <c r="H940" i="6"/>
  <c r="I940" i="6"/>
  <c r="N940" i="6"/>
  <c r="Q940" i="6"/>
  <c r="R940" i="6"/>
  <c r="S940" i="6"/>
  <c r="T940" i="6"/>
  <c r="B941" i="6"/>
  <c r="C941" i="6"/>
  <c r="L941" i="6" s="1"/>
  <c r="D941" i="6"/>
  <c r="E941" i="6"/>
  <c r="F941" i="6"/>
  <c r="H941" i="6"/>
  <c r="I941" i="6"/>
  <c r="N941" i="6"/>
  <c r="R941" i="6"/>
  <c r="Q941" i="6" s="1"/>
  <c r="S941" i="6" s="1"/>
  <c r="T941" i="6"/>
  <c r="B942" i="6"/>
  <c r="C942" i="6"/>
  <c r="D942" i="6"/>
  <c r="E942" i="6"/>
  <c r="F942" i="6"/>
  <c r="H942" i="6"/>
  <c r="I942" i="6"/>
  <c r="N942" i="6"/>
  <c r="Q942" i="6"/>
  <c r="S942" i="6" s="1"/>
  <c r="R942" i="6"/>
  <c r="T942" i="6"/>
  <c r="B943" i="6"/>
  <c r="C943" i="6"/>
  <c r="D943" i="6"/>
  <c r="E943" i="6"/>
  <c r="F943" i="6"/>
  <c r="H943" i="6"/>
  <c r="I943" i="6"/>
  <c r="L943" i="6"/>
  <c r="N943" i="6"/>
  <c r="R943" i="6"/>
  <c r="Q943" i="6" s="1"/>
  <c r="S943" i="6" s="1"/>
  <c r="T943" i="6"/>
  <c r="B944" i="6"/>
  <c r="C944" i="6"/>
  <c r="D944" i="6"/>
  <c r="E944" i="6"/>
  <c r="F944" i="6"/>
  <c r="H944" i="6"/>
  <c r="I944" i="6"/>
  <c r="L944" i="6"/>
  <c r="N944" i="6"/>
  <c r="R944" i="6"/>
  <c r="Q944" i="6" s="1"/>
  <c r="S944" i="6" s="1"/>
  <c r="T944" i="6"/>
  <c r="B945" i="6"/>
  <c r="C945" i="6"/>
  <c r="D945" i="6"/>
  <c r="L945" i="6" s="1"/>
  <c r="E945" i="6"/>
  <c r="F945" i="6"/>
  <c r="H945" i="6"/>
  <c r="I945" i="6"/>
  <c r="N945" i="6"/>
  <c r="R945" i="6"/>
  <c r="Q945" i="6" s="1"/>
  <c r="S945" i="6" s="1"/>
  <c r="T945" i="6"/>
  <c r="B946" i="6"/>
  <c r="C946" i="6"/>
  <c r="D946" i="6"/>
  <c r="E946" i="6"/>
  <c r="F946" i="6"/>
  <c r="H946" i="6"/>
  <c r="I946" i="6"/>
  <c r="L946" i="6"/>
  <c r="N946" i="6"/>
  <c r="Q946" i="6"/>
  <c r="S946" i="6" s="1"/>
  <c r="R946" i="6"/>
  <c r="T946" i="6"/>
  <c r="B947" i="6"/>
  <c r="C947" i="6"/>
  <c r="D947" i="6"/>
  <c r="E947" i="6"/>
  <c r="F947" i="6"/>
  <c r="H947" i="6"/>
  <c r="I947" i="6"/>
  <c r="N947" i="6"/>
  <c r="R947" i="6"/>
  <c r="Q947" i="6" s="1"/>
  <c r="S947" i="6"/>
  <c r="T947" i="6"/>
  <c r="B948" i="6"/>
  <c r="C948" i="6"/>
  <c r="D948" i="6"/>
  <c r="E948" i="6"/>
  <c r="L948" i="6" s="1"/>
  <c r="F948" i="6"/>
  <c r="H948" i="6"/>
  <c r="I948" i="6"/>
  <c r="N948" i="6"/>
  <c r="Q948" i="6"/>
  <c r="R948" i="6"/>
  <c r="S948" i="6"/>
  <c r="T948" i="6"/>
  <c r="B949" i="6"/>
  <c r="C949" i="6"/>
  <c r="L949" i="6" s="1"/>
  <c r="D949" i="6"/>
  <c r="E949" i="6"/>
  <c r="F949" i="6"/>
  <c r="H949" i="6"/>
  <c r="I949" i="6"/>
  <c r="N949" i="6"/>
  <c r="R949" i="6"/>
  <c r="Q949" i="6" s="1"/>
  <c r="S949" i="6" s="1"/>
  <c r="T949" i="6"/>
  <c r="B950" i="6"/>
  <c r="C950" i="6"/>
  <c r="L950" i="6" s="1"/>
  <c r="D950" i="6"/>
  <c r="E950" i="6"/>
  <c r="F950" i="6"/>
  <c r="H950" i="6"/>
  <c r="I950" i="6"/>
  <c r="N950" i="6"/>
  <c r="Q950" i="6"/>
  <c r="R950" i="6"/>
  <c r="S950" i="6"/>
  <c r="T950" i="6"/>
  <c r="B951" i="6"/>
  <c r="C951" i="6"/>
  <c r="D951" i="6"/>
  <c r="E951" i="6"/>
  <c r="F951" i="6"/>
  <c r="H951" i="6"/>
  <c r="I951" i="6"/>
  <c r="N951" i="6"/>
  <c r="R951" i="6"/>
  <c r="Q951" i="6" s="1"/>
  <c r="S951" i="6" s="1"/>
  <c r="T951" i="6"/>
  <c r="B952" i="6"/>
  <c r="C952" i="6"/>
  <c r="D952" i="6"/>
  <c r="E952" i="6"/>
  <c r="F952" i="6"/>
  <c r="H952" i="6"/>
  <c r="I952" i="6"/>
  <c r="L952" i="6"/>
  <c r="N952" i="6"/>
  <c r="Q952" i="6"/>
  <c r="R952" i="6"/>
  <c r="S952" i="6"/>
  <c r="T952" i="6"/>
  <c r="B953" i="6"/>
  <c r="C953" i="6"/>
  <c r="D953" i="6"/>
  <c r="L953" i="6" s="1"/>
  <c r="E953" i="6"/>
  <c r="F953" i="6"/>
  <c r="H953" i="6"/>
  <c r="I953" i="6"/>
  <c r="N953" i="6"/>
  <c r="R953" i="6"/>
  <c r="Q953" i="6" s="1"/>
  <c r="S953" i="6" s="1"/>
  <c r="T953" i="6"/>
  <c r="B954" i="6"/>
  <c r="C954" i="6"/>
  <c r="D954" i="6"/>
  <c r="E954" i="6"/>
  <c r="F954" i="6"/>
  <c r="H954" i="6"/>
  <c r="L954" i="6" s="1"/>
  <c r="I954" i="6"/>
  <c r="N954" i="6"/>
  <c r="Q954" i="6"/>
  <c r="S954" i="6" s="1"/>
  <c r="R954" i="6"/>
  <c r="T954" i="6"/>
  <c r="B955" i="6"/>
  <c r="C955" i="6"/>
  <c r="D955" i="6"/>
  <c r="E955" i="6"/>
  <c r="F955" i="6"/>
  <c r="H955" i="6"/>
  <c r="I955" i="6"/>
  <c r="N955" i="6"/>
  <c r="R955" i="6"/>
  <c r="Q955" i="6" s="1"/>
  <c r="S955" i="6" s="1"/>
  <c r="T955" i="6"/>
  <c r="B956" i="6"/>
  <c r="C956" i="6"/>
  <c r="D956" i="6"/>
  <c r="E956" i="6"/>
  <c r="L956" i="6" s="1"/>
  <c r="F956" i="6"/>
  <c r="H956" i="6"/>
  <c r="I956" i="6"/>
  <c r="N956" i="6"/>
  <c r="Q956" i="6"/>
  <c r="R956" i="6"/>
  <c r="S956" i="6"/>
  <c r="T956" i="6"/>
  <c r="B957" i="6"/>
  <c r="C957" i="6"/>
  <c r="D957" i="6"/>
  <c r="E957" i="6"/>
  <c r="F957" i="6"/>
  <c r="H957" i="6"/>
  <c r="I957" i="6"/>
  <c r="N957" i="6"/>
  <c r="Q957" i="6"/>
  <c r="S957" i="6" s="1"/>
  <c r="R957" i="6"/>
  <c r="T957" i="6"/>
  <c r="B958" i="6"/>
  <c r="C958" i="6"/>
  <c r="L958" i="6" s="1"/>
  <c r="D958" i="6"/>
  <c r="E958" i="6"/>
  <c r="F958" i="6"/>
  <c r="H958" i="6"/>
  <c r="I958" i="6"/>
  <c r="N958" i="6"/>
  <c r="Q958" i="6"/>
  <c r="S958" i="6" s="1"/>
  <c r="R958" i="6"/>
  <c r="T958" i="6"/>
  <c r="B959" i="6"/>
  <c r="C959" i="6"/>
  <c r="D959" i="6"/>
  <c r="E959" i="6"/>
  <c r="F959" i="6"/>
  <c r="H959" i="6"/>
  <c r="I959" i="6"/>
  <c r="L959" i="6"/>
  <c r="N959" i="6"/>
  <c r="R959" i="6"/>
  <c r="Q959" i="6" s="1"/>
  <c r="S959" i="6" s="1"/>
  <c r="T959" i="6"/>
  <c r="B960" i="6"/>
  <c r="C960" i="6"/>
  <c r="D960" i="6"/>
  <c r="L960" i="6" s="1"/>
  <c r="E960" i="6"/>
  <c r="F960" i="6"/>
  <c r="H960" i="6"/>
  <c r="I960" i="6"/>
  <c r="N960" i="6"/>
  <c r="R960" i="6"/>
  <c r="Q960" i="6" s="1"/>
  <c r="S960" i="6" s="1"/>
  <c r="T960" i="6"/>
  <c r="B961" i="6"/>
  <c r="C961" i="6"/>
  <c r="L961" i="6" s="1"/>
  <c r="D961" i="6"/>
  <c r="E961" i="6"/>
  <c r="F961" i="6"/>
  <c r="H961" i="6"/>
  <c r="I961" i="6"/>
  <c r="N961" i="6"/>
  <c r="R961" i="6"/>
  <c r="Q961" i="6" s="1"/>
  <c r="S961" i="6" s="1"/>
  <c r="T961" i="6"/>
  <c r="B962" i="6"/>
  <c r="C962" i="6"/>
  <c r="D962" i="6"/>
  <c r="E962" i="6"/>
  <c r="F962" i="6"/>
  <c r="H962" i="6"/>
  <c r="I962" i="6"/>
  <c r="L962" i="6"/>
  <c r="N962" i="6"/>
  <c r="Q962" i="6"/>
  <c r="S962" i="6" s="1"/>
  <c r="R962" i="6"/>
  <c r="T962" i="6"/>
  <c r="B963" i="6"/>
  <c r="C963" i="6"/>
  <c r="D963" i="6"/>
  <c r="E963" i="6"/>
  <c r="F963" i="6"/>
  <c r="H963" i="6"/>
  <c r="I963" i="6"/>
  <c r="N963" i="6"/>
  <c r="R963" i="6"/>
  <c r="Q963" i="6" s="1"/>
  <c r="S963" i="6"/>
  <c r="T963" i="6"/>
  <c r="B964" i="6"/>
  <c r="C964" i="6"/>
  <c r="D964" i="6"/>
  <c r="E964" i="6"/>
  <c r="F964" i="6"/>
  <c r="H964" i="6"/>
  <c r="I964" i="6"/>
  <c r="L964" i="6"/>
  <c r="N964" i="6"/>
  <c r="Q964" i="6"/>
  <c r="R964" i="6"/>
  <c r="S964" i="6"/>
  <c r="T964" i="6"/>
  <c r="B965" i="6"/>
  <c r="C965" i="6"/>
  <c r="D965" i="6"/>
  <c r="E965" i="6"/>
  <c r="F965" i="6"/>
  <c r="H965" i="6"/>
  <c r="I965" i="6"/>
  <c r="N965" i="6"/>
  <c r="R965" i="6"/>
  <c r="Q965" i="6" s="1"/>
  <c r="S965" i="6" s="1"/>
  <c r="T965" i="6"/>
  <c r="B966" i="6"/>
  <c r="C966" i="6"/>
  <c r="D966" i="6"/>
  <c r="E966" i="6"/>
  <c r="F966" i="6"/>
  <c r="H966" i="6"/>
  <c r="I966" i="6"/>
  <c r="N966" i="6"/>
  <c r="Q966" i="6"/>
  <c r="S966" i="6" s="1"/>
  <c r="R966" i="6"/>
  <c r="T966" i="6"/>
  <c r="B967" i="6"/>
  <c r="C967" i="6"/>
  <c r="D967" i="6"/>
  <c r="E967" i="6"/>
  <c r="F967" i="6"/>
  <c r="L967" i="6" s="1"/>
  <c r="H967" i="6"/>
  <c r="I967" i="6"/>
  <c r="N967" i="6"/>
  <c r="R967" i="6"/>
  <c r="Q967" i="6" s="1"/>
  <c r="S967" i="6" s="1"/>
  <c r="T967" i="6"/>
  <c r="B968" i="6"/>
  <c r="C968" i="6"/>
  <c r="D968" i="6"/>
  <c r="E968" i="6"/>
  <c r="F968" i="6"/>
  <c r="H968" i="6"/>
  <c r="I968" i="6"/>
  <c r="L968" i="6"/>
  <c r="N968" i="6"/>
  <c r="Q968" i="6"/>
  <c r="S968" i="6" s="1"/>
  <c r="R968" i="6"/>
  <c r="T968" i="6"/>
  <c r="B969" i="6"/>
  <c r="C969" i="6"/>
  <c r="D969" i="6"/>
  <c r="E969" i="6"/>
  <c r="F969" i="6"/>
  <c r="H969" i="6"/>
  <c r="I969" i="6"/>
  <c r="N969" i="6"/>
  <c r="R969" i="6"/>
  <c r="Q969" i="6" s="1"/>
  <c r="S969" i="6" s="1"/>
  <c r="T969" i="6"/>
  <c r="B970" i="6"/>
  <c r="C970" i="6"/>
  <c r="L970" i="6" s="1"/>
  <c r="D970" i="6"/>
  <c r="E970" i="6"/>
  <c r="F970" i="6"/>
  <c r="H970" i="6"/>
  <c r="I970" i="6"/>
  <c r="N970" i="6"/>
  <c r="Q970" i="6"/>
  <c r="S970" i="6" s="1"/>
  <c r="R970" i="6"/>
  <c r="T970" i="6"/>
  <c r="B971" i="6"/>
  <c r="C971" i="6"/>
  <c r="D971" i="6"/>
  <c r="E971" i="6"/>
  <c r="F971" i="6"/>
  <c r="H971" i="6"/>
  <c r="I971" i="6"/>
  <c r="N971" i="6"/>
  <c r="R971" i="6"/>
  <c r="Q971" i="6" s="1"/>
  <c r="S971" i="6" s="1"/>
  <c r="T971" i="6"/>
  <c r="B972" i="6"/>
  <c r="C972" i="6"/>
  <c r="D972" i="6"/>
  <c r="E972" i="6"/>
  <c r="L972" i="6" s="1"/>
  <c r="F972" i="6"/>
  <c r="H972" i="6"/>
  <c r="I972" i="6"/>
  <c r="N972" i="6"/>
  <c r="Q972" i="6"/>
  <c r="R972" i="6"/>
  <c r="S972" i="6"/>
  <c r="T972" i="6"/>
  <c r="B973" i="6"/>
  <c r="C973" i="6"/>
  <c r="D973" i="6"/>
  <c r="E973" i="6"/>
  <c r="F973" i="6"/>
  <c r="H973" i="6"/>
  <c r="I973" i="6"/>
  <c r="N973" i="6"/>
  <c r="Q973" i="6"/>
  <c r="S973" i="6" s="1"/>
  <c r="R973" i="6"/>
  <c r="T973" i="6"/>
  <c r="B974" i="6"/>
  <c r="C974" i="6"/>
  <c r="L974" i="6" s="1"/>
  <c r="D974" i="6"/>
  <c r="E974" i="6"/>
  <c r="F974" i="6"/>
  <c r="H974" i="6"/>
  <c r="I974" i="6"/>
  <c r="N974" i="6"/>
  <c r="Q974" i="6"/>
  <c r="R974" i="6"/>
  <c r="S974" i="6"/>
  <c r="T974" i="6"/>
  <c r="B975" i="6"/>
  <c r="C975" i="6"/>
  <c r="D975" i="6"/>
  <c r="E975" i="6"/>
  <c r="F975" i="6"/>
  <c r="H975" i="6"/>
  <c r="I975" i="6"/>
  <c r="L975" i="6" s="1"/>
  <c r="N975" i="6"/>
  <c r="R975" i="6"/>
  <c r="Q975" i="6" s="1"/>
  <c r="S975" i="6" s="1"/>
  <c r="T975" i="6"/>
  <c r="B976" i="6"/>
  <c r="C976" i="6"/>
  <c r="D976" i="6"/>
  <c r="E976" i="6"/>
  <c r="F976" i="6"/>
  <c r="H976" i="6"/>
  <c r="I976" i="6"/>
  <c r="N976" i="6"/>
  <c r="R976" i="6"/>
  <c r="Q976" i="6" s="1"/>
  <c r="S976" i="6"/>
  <c r="T976" i="6"/>
  <c r="B977" i="6"/>
  <c r="C977" i="6"/>
  <c r="D977" i="6"/>
  <c r="E977" i="6"/>
  <c r="F977" i="6"/>
  <c r="H977" i="6"/>
  <c r="I977" i="6"/>
  <c r="N977" i="6"/>
  <c r="R977" i="6"/>
  <c r="Q977" i="6" s="1"/>
  <c r="S977" i="6" s="1"/>
  <c r="T977" i="6"/>
  <c r="B978" i="6"/>
  <c r="C978" i="6"/>
  <c r="L978" i="6" s="1"/>
  <c r="D978" i="6"/>
  <c r="E978" i="6"/>
  <c r="F978" i="6"/>
  <c r="H978" i="6"/>
  <c r="I978" i="6"/>
  <c r="N978" i="6"/>
  <c r="Q978" i="6"/>
  <c r="S978" i="6" s="1"/>
  <c r="R978" i="6"/>
  <c r="T978" i="6"/>
  <c r="B979" i="6"/>
  <c r="C979" i="6"/>
  <c r="D979" i="6"/>
  <c r="E979" i="6"/>
  <c r="F979" i="6"/>
  <c r="H979" i="6"/>
  <c r="I979" i="6"/>
  <c r="N979" i="6"/>
  <c r="R979" i="6"/>
  <c r="Q979" i="6" s="1"/>
  <c r="S979" i="6"/>
  <c r="T979" i="6"/>
  <c r="B980" i="6"/>
  <c r="C980" i="6"/>
  <c r="D980" i="6"/>
  <c r="E980" i="6"/>
  <c r="F980" i="6"/>
  <c r="H980" i="6"/>
  <c r="I980" i="6"/>
  <c r="N980" i="6"/>
  <c r="Q980" i="6"/>
  <c r="R980" i="6"/>
  <c r="S980" i="6"/>
  <c r="T980" i="6"/>
  <c r="B981" i="6"/>
  <c r="C981" i="6"/>
  <c r="L981" i="6" s="1"/>
  <c r="D981" i="6"/>
  <c r="E981" i="6"/>
  <c r="F981" i="6"/>
  <c r="H981" i="6"/>
  <c r="I981" i="6"/>
  <c r="N981" i="6"/>
  <c r="Q981" i="6"/>
  <c r="S981" i="6" s="1"/>
  <c r="R981" i="6"/>
  <c r="T981" i="6"/>
  <c r="B982" i="6"/>
  <c r="C982" i="6"/>
  <c r="D982" i="6"/>
  <c r="E982" i="6"/>
  <c r="F982" i="6"/>
  <c r="H982" i="6"/>
  <c r="I982" i="6"/>
  <c r="N982" i="6"/>
  <c r="Q982" i="6"/>
  <c r="R982" i="6"/>
  <c r="S982" i="6"/>
  <c r="T982" i="6"/>
  <c r="B983" i="6"/>
  <c r="C983" i="6"/>
  <c r="D983" i="6"/>
  <c r="E983" i="6"/>
  <c r="F983" i="6"/>
  <c r="L983" i="6" s="1"/>
  <c r="H983" i="6"/>
  <c r="I983" i="6"/>
  <c r="N983" i="6"/>
  <c r="R983" i="6"/>
  <c r="Q983" i="6" s="1"/>
  <c r="S983" i="6" s="1"/>
  <c r="T983" i="6"/>
  <c r="B984" i="6"/>
  <c r="C984" i="6"/>
  <c r="D984" i="6"/>
  <c r="E984" i="6"/>
  <c r="L984" i="6" s="1"/>
  <c r="F984" i="6"/>
  <c r="H984" i="6"/>
  <c r="I984" i="6"/>
  <c r="N984" i="6"/>
  <c r="Q984" i="6"/>
  <c r="R984" i="6"/>
  <c r="S984" i="6"/>
  <c r="T984" i="6"/>
  <c r="B985" i="6"/>
  <c r="C985" i="6"/>
  <c r="D985" i="6"/>
  <c r="E985" i="6"/>
  <c r="F985" i="6"/>
  <c r="H985" i="6"/>
  <c r="I985" i="6"/>
  <c r="N985" i="6"/>
  <c r="R985" i="6"/>
  <c r="Q985" i="6" s="1"/>
  <c r="S985" i="6" s="1"/>
  <c r="T985" i="6"/>
  <c r="B986" i="6"/>
  <c r="C986" i="6"/>
  <c r="D986" i="6"/>
  <c r="E986" i="6"/>
  <c r="F986" i="6"/>
  <c r="H986" i="6"/>
  <c r="I986" i="6"/>
  <c r="L986" i="6"/>
  <c r="N986" i="6"/>
  <c r="Q986" i="6"/>
  <c r="S986" i="6" s="1"/>
  <c r="R986" i="6"/>
  <c r="T986" i="6"/>
  <c r="B987" i="6"/>
  <c r="C987" i="6"/>
  <c r="D987" i="6"/>
  <c r="L987" i="6" s="1"/>
  <c r="E987" i="6"/>
  <c r="F987" i="6"/>
  <c r="H987" i="6"/>
  <c r="I987" i="6"/>
  <c r="N987" i="6"/>
  <c r="R987" i="6"/>
  <c r="Q987" i="6" s="1"/>
  <c r="S987" i="6" s="1"/>
  <c r="T987" i="6"/>
  <c r="B988" i="6"/>
  <c r="C988" i="6"/>
  <c r="D988" i="6"/>
  <c r="E988" i="6"/>
  <c r="F988" i="6"/>
  <c r="H988" i="6"/>
  <c r="L988" i="6" s="1"/>
  <c r="I988" i="6"/>
  <c r="N988" i="6"/>
  <c r="Q988" i="6"/>
  <c r="R988" i="6"/>
  <c r="S988" i="6"/>
  <c r="T988" i="6"/>
  <c r="B989" i="6"/>
  <c r="C989" i="6"/>
  <c r="D989" i="6"/>
  <c r="E989" i="6"/>
  <c r="F989" i="6"/>
  <c r="H989" i="6"/>
  <c r="I989" i="6"/>
  <c r="N989" i="6"/>
  <c r="Q989" i="6"/>
  <c r="S989" i="6" s="1"/>
  <c r="R989" i="6"/>
  <c r="T989" i="6"/>
  <c r="B990" i="6"/>
  <c r="C990" i="6"/>
  <c r="L990" i="6" s="1"/>
  <c r="D990" i="6"/>
  <c r="E990" i="6"/>
  <c r="F990" i="6"/>
  <c r="H990" i="6"/>
  <c r="I990" i="6"/>
  <c r="N990" i="6"/>
  <c r="Q990" i="6"/>
  <c r="S990" i="6" s="1"/>
  <c r="R990" i="6"/>
  <c r="T990" i="6"/>
  <c r="B991" i="6"/>
  <c r="C991" i="6"/>
  <c r="D991" i="6"/>
  <c r="E991" i="6"/>
  <c r="F991" i="6"/>
  <c r="L991" i="6" s="1"/>
  <c r="H991" i="6"/>
  <c r="I991" i="6"/>
  <c r="N991" i="6"/>
  <c r="R991" i="6"/>
  <c r="Q991" i="6" s="1"/>
  <c r="S991" i="6" s="1"/>
  <c r="T991" i="6"/>
  <c r="B992" i="6"/>
  <c r="C992" i="6"/>
  <c r="L992" i="6" s="1"/>
  <c r="D992" i="6"/>
  <c r="E992" i="6"/>
  <c r="F992" i="6"/>
  <c r="H992" i="6"/>
  <c r="I992" i="6"/>
  <c r="N992" i="6"/>
  <c r="R992" i="6"/>
  <c r="Q992" i="6" s="1"/>
  <c r="S992" i="6" s="1"/>
  <c r="T992" i="6"/>
  <c r="B993" i="6"/>
  <c r="C993" i="6"/>
  <c r="L993" i="6" s="1"/>
  <c r="D993" i="6"/>
  <c r="E993" i="6"/>
  <c r="F993" i="6"/>
  <c r="H993" i="6"/>
  <c r="I993" i="6"/>
  <c r="N993" i="6"/>
  <c r="R993" i="6"/>
  <c r="Q993" i="6" s="1"/>
  <c r="S993" i="6" s="1"/>
  <c r="T993" i="6"/>
  <c r="B994" i="6"/>
  <c r="C994" i="6"/>
  <c r="D994" i="6"/>
  <c r="E994" i="6"/>
  <c r="F994" i="6"/>
  <c r="H994" i="6"/>
  <c r="I994" i="6"/>
  <c r="L994" i="6"/>
  <c r="N994" i="6"/>
  <c r="Q994" i="6"/>
  <c r="R994" i="6"/>
  <c r="S994" i="6"/>
  <c r="T994" i="6"/>
  <c r="B995" i="6"/>
  <c r="C995" i="6"/>
  <c r="D995" i="6"/>
  <c r="L995" i="6" s="1"/>
  <c r="E995" i="6"/>
  <c r="F995" i="6"/>
  <c r="H995" i="6"/>
  <c r="I995" i="6"/>
  <c r="N995" i="6"/>
  <c r="R995" i="6"/>
  <c r="Q995" i="6" s="1"/>
  <c r="S995" i="6" s="1"/>
  <c r="T995" i="6"/>
  <c r="B996" i="6"/>
  <c r="C996" i="6"/>
  <c r="D996" i="6"/>
  <c r="E996" i="6"/>
  <c r="F996" i="6"/>
  <c r="H996" i="6"/>
  <c r="I996" i="6"/>
  <c r="L996" i="6"/>
  <c r="N996" i="6"/>
  <c r="Q996" i="6"/>
  <c r="R996" i="6"/>
  <c r="S996" i="6"/>
  <c r="T996" i="6"/>
  <c r="B997" i="6"/>
  <c r="C997" i="6"/>
  <c r="D997" i="6"/>
  <c r="E997" i="6"/>
  <c r="F997" i="6"/>
  <c r="H997" i="6"/>
  <c r="I997" i="6"/>
  <c r="N997" i="6"/>
  <c r="Q997" i="6"/>
  <c r="S997" i="6" s="1"/>
  <c r="R997" i="6"/>
  <c r="T997" i="6"/>
  <c r="B998" i="6"/>
  <c r="C998" i="6"/>
  <c r="D998" i="6"/>
  <c r="E998" i="6"/>
  <c r="F998" i="6"/>
  <c r="H998" i="6"/>
  <c r="I998" i="6"/>
  <c r="L998" i="6"/>
  <c r="N998" i="6"/>
  <c r="Q998" i="6"/>
  <c r="R998" i="6"/>
  <c r="S998" i="6"/>
  <c r="T998" i="6"/>
  <c r="B999" i="6"/>
  <c r="C999" i="6"/>
  <c r="D999" i="6"/>
  <c r="L999" i="6" s="1"/>
  <c r="E999" i="6"/>
  <c r="F999" i="6"/>
  <c r="H999" i="6"/>
  <c r="I999" i="6"/>
  <c r="N999" i="6"/>
  <c r="R999" i="6"/>
  <c r="Q999" i="6" s="1"/>
  <c r="S999" i="6" s="1"/>
  <c r="T999" i="6"/>
  <c r="B1000" i="6"/>
  <c r="C1000" i="6"/>
  <c r="L1000" i="6" s="1"/>
  <c r="D1000" i="6"/>
  <c r="E1000" i="6"/>
  <c r="F1000" i="6"/>
  <c r="H1000" i="6"/>
  <c r="I1000" i="6"/>
  <c r="N1000" i="6"/>
  <c r="Q1000" i="6"/>
  <c r="S1000" i="6" s="1"/>
  <c r="R1000" i="6"/>
  <c r="T1000" i="6"/>
  <c r="B1001" i="6"/>
  <c r="C1001" i="6"/>
  <c r="D1001" i="6"/>
  <c r="E1001" i="6"/>
  <c r="F1001" i="6"/>
  <c r="H1001" i="6"/>
  <c r="I1001" i="6"/>
  <c r="N1001" i="6"/>
  <c r="R1001" i="6"/>
  <c r="Q1001" i="6" s="1"/>
  <c r="S1001" i="6" s="1"/>
  <c r="T1001" i="6"/>
  <c r="B1002" i="6"/>
  <c r="C1002" i="6"/>
  <c r="D1002" i="6"/>
  <c r="E1002" i="6"/>
  <c r="L1002" i="6" s="1"/>
  <c r="F1002" i="6"/>
  <c r="H1002" i="6"/>
  <c r="I1002" i="6"/>
  <c r="N1002" i="6"/>
  <c r="Q1002" i="6"/>
  <c r="R1002" i="6"/>
  <c r="S1002" i="6"/>
  <c r="T1002" i="6"/>
  <c r="B1003" i="6"/>
  <c r="C1003" i="6"/>
  <c r="D1003" i="6"/>
  <c r="E1003" i="6"/>
  <c r="F1003" i="6"/>
  <c r="H1003" i="6"/>
  <c r="I1003" i="6"/>
  <c r="N1003" i="6"/>
  <c r="R1003" i="6"/>
  <c r="Q1003" i="6" s="1"/>
  <c r="S1003" i="6"/>
  <c r="T1003" i="6"/>
  <c r="B1004" i="6"/>
  <c r="C1004" i="6"/>
  <c r="D1004" i="6"/>
  <c r="E1004" i="6"/>
  <c r="L1004" i="6" s="1"/>
  <c r="F1004" i="6"/>
  <c r="H1004" i="6"/>
  <c r="I1004" i="6"/>
  <c r="N1004" i="6"/>
  <c r="Q1004" i="6"/>
  <c r="R1004" i="6"/>
  <c r="S1004" i="6"/>
  <c r="T1004" i="6"/>
  <c r="B1005" i="6"/>
  <c r="C1005" i="6"/>
  <c r="D1005" i="6"/>
  <c r="E1005" i="6"/>
  <c r="F1005" i="6"/>
  <c r="H1005" i="6"/>
  <c r="I1005" i="6"/>
  <c r="N1005" i="6"/>
  <c r="R1005" i="6"/>
  <c r="Q1005" i="6" s="1"/>
  <c r="S1005" i="6" s="1"/>
  <c r="T1005" i="6"/>
  <c r="B1006" i="6"/>
  <c r="C1006" i="6"/>
  <c r="D1006" i="6"/>
  <c r="E1006" i="6"/>
  <c r="F1006" i="6"/>
  <c r="H1006" i="6"/>
  <c r="I1006" i="6"/>
  <c r="N1006" i="6"/>
  <c r="Q1006" i="6"/>
  <c r="R1006" i="6"/>
  <c r="S1006" i="6"/>
  <c r="T1006" i="6"/>
  <c r="B1007" i="6"/>
  <c r="C1007" i="6"/>
  <c r="D1007" i="6"/>
  <c r="E1007" i="6"/>
  <c r="F1007" i="6"/>
  <c r="H1007" i="6"/>
  <c r="I1007" i="6"/>
  <c r="L1007" i="6" s="1"/>
  <c r="N1007" i="6"/>
  <c r="R1007" i="6"/>
  <c r="Q1007" i="6" s="1"/>
  <c r="S1007" i="6" s="1"/>
  <c r="T1007" i="6"/>
  <c r="B1008" i="6"/>
  <c r="C1008" i="6"/>
  <c r="D1008" i="6"/>
  <c r="E1008" i="6"/>
  <c r="F1008" i="6"/>
  <c r="H1008" i="6"/>
  <c r="I1008" i="6"/>
  <c r="N1008" i="6"/>
  <c r="R1008" i="6"/>
  <c r="Q1008" i="6" s="1"/>
  <c r="S1008" i="6"/>
  <c r="T1008" i="6"/>
  <c r="B1009" i="6"/>
  <c r="C1009" i="6"/>
  <c r="D1009" i="6"/>
  <c r="E1009" i="6"/>
  <c r="F1009" i="6"/>
  <c r="H1009" i="6"/>
  <c r="I1009" i="6"/>
  <c r="N1009" i="6"/>
  <c r="R1009" i="6"/>
  <c r="Q1009" i="6" s="1"/>
  <c r="S1009" i="6" s="1"/>
  <c r="T1009" i="6"/>
  <c r="B1010" i="6"/>
  <c r="C1010" i="6"/>
  <c r="L1010" i="6" s="1"/>
  <c r="D1010" i="6"/>
  <c r="E1010" i="6"/>
  <c r="F1010" i="6"/>
  <c r="H1010" i="6"/>
  <c r="I1010" i="6"/>
  <c r="N1010" i="6"/>
  <c r="Q1010" i="6"/>
  <c r="S1010" i="6" s="1"/>
  <c r="R1010" i="6"/>
  <c r="T1010" i="6"/>
  <c r="B1011" i="6"/>
  <c r="C1011" i="6"/>
  <c r="D1011" i="6"/>
  <c r="E1011" i="6"/>
  <c r="F1011" i="6"/>
  <c r="H1011" i="6"/>
  <c r="I1011" i="6"/>
  <c r="N1011" i="6"/>
  <c r="R1011" i="6"/>
  <c r="Q1011" i="6" s="1"/>
  <c r="S1011" i="6" s="1"/>
  <c r="T1011" i="6"/>
  <c r="B1012" i="6"/>
  <c r="C1012" i="6"/>
  <c r="D1012" i="6"/>
  <c r="E1012" i="6"/>
  <c r="F1012" i="6"/>
  <c r="H1012" i="6"/>
  <c r="I1012" i="6"/>
  <c r="N1012" i="6"/>
  <c r="Q1012" i="6"/>
  <c r="R1012" i="6"/>
  <c r="S1012" i="6"/>
  <c r="T1012" i="6"/>
  <c r="B1013" i="6"/>
  <c r="C1013" i="6"/>
  <c r="D1013" i="6"/>
  <c r="E1013" i="6"/>
  <c r="F1013" i="6"/>
  <c r="H1013" i="6"/>
  <c r="I1013" i="6"/>
  <c r="N1013" i="6"/>
  <c r="Q1013" i="6"/>
  <c r="S1013" i="6" s="1"/>
  <c r="R1013" i="6"/>
  <c r="T1013" i="6"/>
  <c r="B1014" i="6"/>
  <c r="C1014" i="6"/>
  <c r="D1014" i="6"/>
  <c r="E1014" i="6"/>
  <c r="F1014" i="6"/>
  <c r="H1014" i="6"/>
  <c r="I1014" i="6"/>
  <c r="N1014" i="6"/>
  <c r="Q1014" i="6"/>
  <c r="S1014" i="6" s="1"/>
  <c r="R1014" i="6"/>
  <c r="T1014" i="6"/>
  <c r="B1015" i="6"/>
  <c r="C1015" i="6"/>
  <c r="D1015" i="6"/>
  <c r="E1015" i="6"/>
  <c r="F1015" i="6"/>
  <c r="L1015" i="6" s="1"/>
  <c r="H1015" i="6"/>
  <c r="I1015" i="6"/>
  <c r="N1015" i="6"/>
  <c r="R1015" i="6"/>
  <c r="Q1015" i="6" s="1"/>
  <c r="S1015" i="6" s="1"/>
  <c r="T1015" i="6"/>
  <c r="B1016" i="6"/>
  <c r="C1016" i="6"/>
  <c r="L1016" i="6" s="1"/>
  <c r="D1016" i="6"/>
  <c r="E1016" i="6"/>
  <c r="F1016" i="6"/>
  <c r="H1016" i="6"/>
  <c r="I1016" i="6"/>
  <c r="N1016" i="6"/>
  <c r="Q1016" i="6"/>
  <c r="R1016" i="6"/>
  <c r="S1016" i="6"/>
  <c r="T1016" i="6"/>
  <c r="B1017" i="6"/>
  <c r="C1017" i="6"/>
  <c r="D1017" i="6"/>
  <c r="E1017" i="6"/>
  <c r="F1017" i="6"/>
  <c r="H1017" i="6"/>
  <c r="I1017" i="6"/>
  <c r="N1017" i="6"/>
  <c r="R1017" i="6"/>
  <c r="Q1017" i="6" s="1"/>
  <c r="S1017" i="6" s="1"/>
  <c r="T1017" i="6"/>
  <c r="B1018" i="6"/>
  <c r="C1018" i="6"/>
  <c r="D1018" i="6"/>
  <c r="E1018" i="6"/>
  <c r="F1018" i="6"/>
  <c r="H1018" i="6"/>
  <c r="L1018" i="6" s="1"/>
  <c r="I1018" i="6"/>
  <c r="N1018" i="6"/>
  <c r="Q1018" i="6"/>
  <c r="S1018" i="6" s="1"/>
  <c r="R1018" i="6"/>
  <c r="T1018" i="6"/>
  <c r="B1019" i="6"/>
  <c r="C1019" i="6"/>
  <c r="L1019" i="6" s="1"/>
  <c r="D1019" i="6"/>
  <c r="E1019" i="6"/>
  <c r="F1019" i="6"/>
  <c r="H1019" i="6"/>
  <c r="I1019" i="6"/>
  <c r="N1019" i="6"/>
  <c r="R1019" i="6"/>
  <c r="Q1019" i="6" s="1"/>
  <c r="S1019" i="6"/>
  <c r="T1019" i="6"/>
  <c r="B1020" i="6"/>
  <c r="C1020" i="6"/>
  <c r="D1020" i="6"/>
  <c r="E1020" i="6"/>
  <c r="F1020" i="6"/>
  <c r="H1020" i="6"/>
  <c r="I1020" i="6"/>
  <c r="N1020" i="6"/>
  <c r="Q1020" i="6"/>
  <c r="S1020" i="6" s="1"/>
  <c r="R1020" i="6"/>
  <c r="T1020" i="6"/>
  <c r="B1021" i="6"/>
  <c r="C1021" i="6"/>
  <c r="L1021" i="6" s="1"/>
  <c r="D1021" i="6"/>
  <c r="E1021" i="6"/>
  <c r="F1021" i="6"/>
  <c r="H1021" i="6"/>
  <c r="I1021" i="6"/>
  <c r="N1021" i="6"/>
  <c r="R1021" i="6"/>
  <c r="Q1021" i="6" s="1"/>
  <c r="S1021" i="6" s="1"/>
  <c r="T1021" i="6"/>
  <c r="B1022" i="6"/>
  <c r="C1022" i="6"/>
  <c r="D1022" i="6"/>
  <c r="E1022" i="6"/>
  <c r="F1022" i="6"/>
  <c r="L1022" i="6" s="1"/>
  <c r="H1022" i="6"/>
  <c r="I1022" i="6"/>
  <c r="N1022" i="6"/>
  <c r="Q1022" i="6"/>
  <c r="S1022" i="6" s="1"/>
  <c r="R1022" i="6"/>
  <c r="T1022" i="6"/>
  <c r="B1023" i="6"/>
  <c r="C1023" i="6"/>
  <c r="D1023" i="6"/>
  <c r="E1023" i="6"/>
  <c r="F1023" i="6"/>
  <c r="H1023" i="6"/>
  <c r="I1023" i="6"/>
  <c r="L1023" i="6"/>
  <c r="N1023" i="6"/>
  <c r="R1023" i="6"/>
  <c r="Q1023" i="6" s="1"/>
  <c r="S1023" i="6" s="1"/>
  <c r="T1023" i="6"/>
  <c r="B1024" i="6"/>
  <c r="C1024" i="6"/>
  <c r="D1024" i="6"/>
  <c r="L1024" i="6" s="1"/>
  <c r="E1024" i="6"/>
  <c r="F1024" i="6"/>
  <c r="H1024" i="6"/>
  <c r="I1024" i="6"/>
  <c r="N1024" i="6"/>
  <c r="R1024" i="6"/>
  <c r="Q1024" i="6" s="1"/>
  <c r="S1024" i="6" s="1"/>
  <c r="T1024" i="6"/>
  <c r="B1025" i="6"/>
  <c r="C1025" i="6"/>
  <c r="L1025" i="6" s="1"/>
  <c r="D1025" i="6"/>
  <c r="E1025" i="6"/>
  <c r="F1025" i="6"/>
  <c r="H1025" i="6"/>
  <c r="I1025" i="6"/>
  <c r="N1025" i="6"/>
  <c r="R1025" i="6"/>
  <c r="Q1025" i="6" s="1"/>
  <c r="S1025" i="6" s="1"/>
  <c r="T1025" i="6"/>
  <c r="B1026" i="6"/>
  <c r="C1026" i="6"/>
  <c r="D1026" i="6"/>
  <c r="E1026" i="6"/>
  <c r="F1026" i="6"/>
  <c r="H1026" i="6"/>
  <c r="L1026" i="6" s="1"/>
  <c r="I1026" i="6"/>
  <c r="N1026" i="6"/>
  <c r="Q1026" i="6"/>
  <c r="R1026" i="6"/>
  <c r="S1026" i="6"/>
  <c r="T1026" i="6"/>
  <c r="B1027" i="6"/>
  <c r="C1027" i="6"/>
  <c r="D1027" i="6"/>
  <c r="L1027" i="6" s="1"/>
  <c r="E1027" i="6"/>
  <c r="F1027" i="6"/>
  <c r="H1027" i="6"/>
  <c r="I1027" i="6"/>
  <c r="N1027" i="6"/>
  <c r="R1027" i="6"/>
  <c r="Q1027" i="6" s="1"/>
  <c r="S1027" i="6" s="1"/>
  <c r="T1027" i="6"/>
  <c r="B1028" i="6"/>
  <c r="C1028" i="6"/>
  <c r="D1028" i="6"/>
  <c r="E1028" i="6"/>
  <c r="F1028" i="6"/>
  <c r="H1028" i="6"/>
  <c r="L1028" i="6" s="1"/>
  <c r="I1028" i="6"/>
  <c r="N1028" i="6"/>
  <c r="Q1028" i="6"/>
  <c r="R1028" i="6"/>
  <c r="S1028" i="6"/>
  <c r="T1028" i="6"/>
  <c r="B1029" i="6"/>
  <c r="C1029" i="6"/>
  <c r="L1029" i="6" s="1"/>
  <c r="D1029" i="6"/>
  <c r="E1029" i="6"/>
  <c r="F1029" i="6"/>
  <c r="H1029" i="6"/>
  <c r="I1029" i="6"/>
  <c r="N1029" i="6"/>
  <c r="R1029" i="6"/>
  <c r="Q1029" i="6" s="1"/>
  <c r="S1029" i="6" s="1"/>
  <c r="T1029" i="6"/>
  <c r="B1030" i="6"/>
  <c r="C1030" i="6"/>
  <c r="D1030" i="6"/>
  <c r="E1030" i="6"/>
  <c r="F1030" i="6"/>
  <c r="H1030" i="6"/>
  <c r="L1030" i="6" s="1"/>
  <c r="I1030" i="6"/>
  <c r="N1030" i="6"/>
  <c r="Q1030" i="6"/>
  <c r="R1030" i="6"/>
  <c r="S1030" i="6"/>
  <c r="T1030" i="6"/>
  <c r="B1031" i="6"/>
  <c r="C1031" i="6"/>
  <c r="D1031" i="6"/>
  <c r="L1031" i="6" s="1"/>
  <c r="E1031" i="6"/>
  <c r="F1031" i="6"/>
  <c r="H1031" i="6"/>
  <c r="I1031" i="6"/>
  <c r="N1031" i="6"/>
  <c r="R1031" i="6"/>
  <c r="Q1031" i="6" s="1"/>
  <c r="S1031" i="6" s="1"/>
  <c r="T1031" i="6"/>
  <c r="B1032" i="6"/>
  <c r="C1032" i="6"/>
  <c r="D1032" i="6"/>
  <c r="E1032" i="6"/>
  <c r="F1032" i="6"/>
  <c r="H1032" i="6"/>
  <c r="I1032" i="6"/>
  <c r="L1032" i="6"/>
  <c r="N1032" i="6"/>
  <c r="Q1032" i="6"/>
  <c r="R1032" i="6"/>
  <c r="S1032" i="6"/>
  <c r="T1032" i="6"/>
  <c r="B1033" i="6"/>
  <c r="C1033" i="6"/>
  <c r="D1033" i="6"/>
  <c r="E1033" i="6"/>
  <c r="F1033" i="6"/>
  <c r="H1033" i="6"/>
  <c r="I1033" i="6"/>
  <c r="N1033" i="6"/>
  <c r="R1033" i="6"/>
  <c r="Q1033" i="6" s="1"/>
  <c r="S1033" i="6" s="1"/>
  <c r="T1033" i="6"/>
  <c r="B1034" i="6"/>
  <c r="C1034" i="6"/>
  <c r="D1034" i="6"/>
  <c r="E1034" i="6"/>
  <c r="F1034" i="6"/>
  <c r="H1034" i="6"/>
  <c r="I1034" i="6"/>
  <c r="L1034" i="6"/>
  <c r="N1034" i="6"/>
  <c r="Q1034" i="6"/>
  <c r="S1034" i="6" s="1"/>
  <c r="R1034" i="6"/>
  <c r="T1034" i="6"/>
  <c r="B1035" i="6"/>
  <c r="C1035" i="6"/>
  <c r="D1035" i="6"/>
  <c r="E1035" i="6"/>
  <c r="F1035" i="6"/>
  <c r="H1035" i="6"/>
  <c r="I1035" i="6"/>
  <c r="N1035" i="6"/>
  <c r="R1035" i="6"/>
  <c r="Q1035" i="6" s="1"/>
  <c r="S1035" i="6"/>
  <c r="T1035" i="6"/>
  <c r="B1036" i="6"/>
  <c r="C1036" i="6"/>
  <c r="D1036" i="6"/>
  <c r="E1036" i="6"/>
  <c r="F1036" i="6"/>
  <c r="H1036" i="6"/>
  <c r="I1036" i="6"/>
  <c r="L1036" i="6"/>
  <c r="N1036" i="6"/>
  <c r="Q1036" i="6"/>
  <c r="S1036" i="6" s="1"/>
  <c r="R1036" i="6"/>
  <c r="T1036" i="6"/>
  <c r="B1037" i="6"/>
  <c r="C1037" i="6"/>
  <c r="L1037" i="6" s="1"/>
  <c r="D1037" i="6"/>
  <c r="E1037" i="6"/>
  <c r="F1037" i="6"/>
  <c r="H1037" i="6"/>
  <c r="I1037" i="6"/>
  <c r="N1037" i="6"/>
  <c r="R1037" i="6"/>
  <c r="Q1037" i="6" s="1"/>
  <c r="S1037" i="6" s="1"/>
  <c r="T1037" i="6"/>
  <c r="B1038" i="6"/>
  <c r="C1038" i="6"/>
  <c r="D1038" i="6"/>
  <c r="E1038" i="6"/>
  <c r="F1038" i="6"/>
  <c r="H1038" i="6"/>
  <c r="I1038" i="6"/>
  <c r="L1038" i="6"/>
  <c r="N1038" i="6"/>
  <c r="Q1038" i="6"/>
  <c r="S1038" i="6" s="1"/>
  <c r="R1038" i="6"/>
  <c r="T1038" i="6"/>
  <c r="B1039" i="6"/>
  <c r="C1039" i="6"/>
  <c r="D1039" i="6"/>
  <c r="L1039" i="6" s="1"/>
  <c r="E1039" i="6"/>
  <c r="F1039" i="6"/>
  <c r="H1039" i="6"/>
  <c r="I1039" i="6"/>
  <c r="N1039" i="6"/>
  <c r="R1039" i="6"/>
  <c r="Q1039" i="6" s="1"/>
  <c r="S1039" i="6" s="1"/>
  <c r="T1039" i="6"/>
  <c r="B1040" i="6"/>
  <c r="C1040" i="6"/>
  <c r="D1040" i="6"/>
  <c r="E1040" i="6"/>
  <c r="F1040" i="6"/>
  <c r="H1040" i="6"/>
  <c r="I1040" i="6"/>
  <c r="L1040" i="6"/>
  <c r="N1040" i="6"/>
  <c r="R1040" i="6"/>
  <c r="Q1040" i="6" s="1"/>
  <c r="S1040" i="6" s="1"/>
  <c r="T1040" i="6"/>
  <c r="B1041" i="6"/>
  <c r="C1041" i="6"/>
  <c r="L1041" i="6" s="1"/>
  <c r="D1041" i="6"/>
  <c r="E1041" i="6"/>
  <c r="F1041" i="6"/>
  <c r="H1041" i="6"/>
  <c r="I1041" i="6"/>
  <c r="N1041" i="6"/>
  <c r="R1041" i="6"/>
  <c r="Q1041" i="6" s="1"/>
  <c r="S1041" i="6" s="1"/>
  <c r="T1041" i="6"/>
  <c r="B1042" i="6"/>
  <c r="C1042" i="6"/>
  <c r="D1042" i="6"/>
  <c r="E1042" i="6"/>
  <c r="F1042" i="6"/>
  <c r="H1042" i="6"/>
  <c r="I1042" i="6"/>
  <c r="L1042" i="6"/>
  <c r="N1042" i="6"/>
  <c r="Q1042" i="6"/>
  <c r="S1042" i="6" s="1"/>
  <c r="R1042" i="6"/>
  <c r="T1042" i="6"/>
  <c r="B1043" i="6"/>
  <c r="C1043" i="6"/>
  <c r="D1043" i="6"/>
  <c r="E1043" i="6"/>
  <c r="F1043" i="6"/>
  <c r="H1043" i="6"/>
  <c r="I1043" i="6"/>
  <c r="N1043" i="6"/>
  <c r="R1043" i="6"/>
  <c r="Q1043" i="6" s="1"/>
  <c r="S1043" i="6" s="1"/>
  <c r="T1043" i="6"/>
  <c r="B1044" i="6"/>
  <c r="C1044" i="6"/>
  <c r="L1044" i="6" s="1"/>
  <c r="D1044" i="6"/>
  <c r="E1044" i="6"/>
  <c r="F1044" i="6"/>
  <c r="H1044" i="6"/>
  <c r="I1044" i="6"/>
  <c r="N1044" i="6"/>
  <c r="Q1044" i="6"/>
  <c r="S1044" i="6" s="1"/>
  <c r="R1044" i="6"/>
  <c r="T1044" i="6"/>
  <c r="B1045" i="6"/>
  <c r="C1045" i="6"/>
  <c r="D1045" i="6"/>
  <c r="E1045" i="6"/>
  <c r="F1045" i="6"/>
  <c r="H1045" i="6"/>
  <c r="I1045" i="6"/>
  <c r="N1045" i="6"/>
  <c r="R1045" i="6"/>
  <c r="Q1045" i="6" s="1"/>
  <c r="S1045" i="6" s="1"/>
  <c r="T1045" i="6"/>
  <c r="B1046" i="6"/>
  <c r="C1046" i="6"/>
  <c r="D1046" i="6"/>
  <c r="E1046" i="6"/>
  <c r="F1046" i="6"/>
  <c r="H1046" i="6"/>
  <c r="I1046" i="6"/>
  <c r="N1046" i="6"/>
  <c r="Q1046" i="6"/>
  <c r="R1046" i="6"/>
  <c r="S1046" i="6"/>
  <c r="T1046" i="6"/>
  <c r="B1047" i="6"/>
  <c r="C1047" i="6"/>
  <c r="L1047" i="6" s="1"/>
  <c r="D1047" i="6"/>
  <c r="E1047" i="6"/>
  <c r="F1047" i="6"/>
  <c r="H1047" i="6"/>
  <c r="I1047" i="6"/>
  <c r="N1047" i="6"/>
  <c r="Q1047" i="6"/>
  <c r="S1047" i="6" s="1"/>
  <c r="R1047" i="6"/>
  <c r="T1047" i="6"/>
  <c r="B1048" i="6"/>
  <c r="C1048" i="6"/>
  <c r="L1048" i="6" s="1"/>
  <c r="D1048" i="6"/>
  <c r="E1048" i="6"/>
  <c r="F1048" i="6"/>
  <c r="H1048" i="6"/>
  <c r="I1048" i="6"/>
  <c r="N1048" i="6"/>
  <c r="Q1048" i="6"/>
  <c r="R1048" i="6"/>
  <c r="S1048" i="6"/>
  <c r="T1048" i="6"/>
  <c r="B1049" i="6"/>
  <c r="C1049" i="6"/>
  <c r="D1049" i="6"/>
  <c r="E1049" i="6"/>
  <c r="F1049" i="6"/>
  <c r="L1049" i="6" s="1"/>
  <c r="H1049" i="6"/>
  <c r="I1049" i="6"/>
  <c r="N1049" i="6"/>
  <c r="R1049" i="6"/>
  <c r="Q1049" i="6" s="1"/>
  <c r="S1049" i="6" s="1"/>
  <c r="T1049" i="6"/>
  <c r="B1050" i="6"/>
  <c r="C1050" i="6"/>
  <c r="D1050" i="6"/>
  <c r="E1050" i="6"/>
  <c r="F1050" i="6"/>
  <c r="H1050" i="6"/>
  <c r="I1050" i="6"/>
  <c r="N1050" i="6"/>
  <c r="R1050" i="6"/>
  <c r="Q1050" i="6" s="1"/>
  <c r="S1050" i="6" s="1"/>
  <c r="T1050" i="6"/>
  <c r="B1051" i="6"/>
  <c r="C1051" i="6"/>
  <c r="D1051" i="6"/>
  <c r="E1051" i="6"/>
  <c r="F1051" i="6"/>
  <c r="H1051" i="6"/>
  <c r="I1051" i="6"/>
  <c r="N1051" i="6"/>
  <c r="R1051" i="6"/>
  <c r="Q1051" i="6" s="1"/>
  <c r="S1051" i="6" s="1"/>
  <c r="T1051" i="6"/>
  <c r="B1052" i="6"/>
  <c r="C1052" i="6"/>
  <c r="D1052" i="6"/>
  <c r="E1052" i="6"/>
  <c r="F1052" i="6"/>
  <c r="H1052" i="6"/>
  <c r="I1052" i="6"/>
  <c r="L1052" i="6"/>
  <c r="N1052" i="6"/>
  <c r="Q1052" i="6"/>
  <c r="S1052" i="6" s="1"/>
  <c r="R1052" i="6"/>
  <c r="T1052" i="6"/>
  <c r="B1053" i="6"/>
  <c r="C1053" i="6"/>
  <c r="D1053" i="6"/>
  <c r="E1053" i="6"/>
  <c r="F1053" i="6"/>
  <c r="H1053" i="6"/>
  <c r="I1053" i="6"/>
  <c r="N1053" i="6"/>
  <c r="R1053" i="6"/>
  <c r="Q1053" i="6" s="1"/>
  <c r="S1053" i="6" s="1"/>
  <c r="T1053" i="6"/>
  <c r="B1054" i="6"/>
  <c r="C1054" i="6"/>
  <c r="D1054" i="6"/>
  <c r="E1054" i="6"/>
  <c r="F1054" i="6"/>
  <c r="H1054" i="6"/>
  <c r="I1054" i="6"/>
  <c r="L1054" i="6"/>
  <c r="N1054" i="6"/>
  <c r="Q1054" i="6"/>
  <c r="R1054" i="6"/>
  <c r="S1054" i="6"/>
  <c r="T1054" i="6"/>
  <c r="B1055" i="6"/>
  <c r="C1055" i="6"/>
  <c r="D1055" i="6"/>
  <c r="E1055" i="6"/>
  <c r="F1055" i="6"/>
  <c r="H1055" i="6"/>
  <c r="I1055" i="6"/>
  <c r="N1055" i="6"/>
  <c r="Q1055" i="6"/>
  <c r="S1055" i="6" s="1"/>
  <c r="R1055" i="6"/>
  <c r="T1055" i="6"/>
  <c r="B1057" i="6"/>
  <c r="C1057" i="6"/>
  <c r="D1057" i="6"/>
  <c r="E1057" i="6"/>
  <c r="F1057" i="6"/>
  <c r="G1057" i="6"/>
  <c r="H1057" i="6"/>
  <c r="I1057" i="6"/>
  <c r="J1057" i="6"/>
  <c r="K1057" i="6"/>
  <c r="N1057" i="6"/>
  <c r="O1057" i="6"/>
  <c r="P1057" i="6"/>
  <c r="T1057" i="6"/>
  <c r="B1058" i="6"/>
  <c r="C1058" i="6"/>
  <c r="D1058" i="6"/>
  <c r="E1058" i="6"/>
  <c r="F1058" i="6"/>
  <c r="G1058" i="6"/>
  <c r="H1058" i="6"/>
  <c r="I1058" i="6"/>
  <c r="J1058" i="6"/>
  <c r="K1058" i="6"/>
  <c r="N1058" i="6"/>
  <c r="O1058" i="6"/>
  <c r="P1058" i="6"/>
  <c r="R1058" i="6"/>
  <c r="T1058" i="6"/>
  <c r="B1059" i="6"/>
  <c r="C1059" i="6"/>
  <c r="E1059" i="6"/>
  <c r="G1059" i="6"/>
  <c r="H1059" i="6"/>
  <c r="I1059" i="6"/>
  <c r="J1059" i="6"/>
  <c r="K1059" i="6"/>
  <c r="N1059" i="6"/>
  <c r="O1059" i="6"/>
  <c r="P1059" i="6"/>
  <c r="R1059" i="6"/>
  <c r="T1059" i="6"/>
  <c r="B1060" i="6"/>
  <c r="C1060" i="6"/>
  <c r="E1060" i="6"/>
  <c r="G1060" i="6"/>
  <c r="H1060" i="6"/>
  <c r="I1060" i="6"/>
  <c r="J1060" i="6"/>
  <c r="K1060" i="6"/>
  <c r="M1060" i="6"/>
  <c r="N1060" i="6"/>
  <c r="O1060" i="6"/>
  <c r="P1060" i="6"/>
  <c r="Q1060" i="6"/>
  <c r="R1060" i="6"/>
  <c r="T1060" i="6"/>
  <c r="B1061" i="6"/>
  <c r="C1061" i="6"/>
  <c r="D1061" i="6"/>
  <c r="E1061" i="6"/>
  <c r="F1061" i="6"/>
  <c r="G1061" i="6"/>
  <c r="H1061" i="6"/>
  <c r="I1061" i="6"/>
  <c r="J1061" i="6"/>
  <c r="K1061" i="6"/>
  <c r="M1061" i="6"/>
  <c r="N1061" i="6"/>
  <c r="O1061" i="6"/>
  <c r="P1061" i="6"/>
  <c r="Q1061" i="6"/>
  <c r="R1061" i="6"/>
  <c r="S1061" i="6"/>
  <c r="T1061" i="6"/>
  <c r="B1062" i="6"/>
  <c r="C1062" i="6"/>
  <c r="D1062" i="6"/>
  <c r="E1062" i="6"/>
  <c r="F1062" i="6"/>
  <c r="G1062" i="6"/>
  <c r="H1062" i="6"/>
  <c r="I1062" i="6"/>
  <c r="J1062" i="6"/>
  <c r="K1062" i="6"/>
  <c r="M1062" i="6"/>
  <c r="N1062" i="6"/>
  <c r="O1062" i="6"/>
  <c r="P1062" i="6"/>
  <c r="Q1062" i="6"/>
  <c r="R1062" i="6"/>
  <c r="S1062" i="6"/>
  <c r="T1062" i="6"/>
  <c r="B1063" i="6"/>
  <c r="C1063" i="6"/>
  <c r="D1063" i="6"/>
  <c r="E1063" i="6"/>
  <c r="F1063" i="6"/>
  <c r="G1063" i="6"/>
  <c r="H1063" i="6"/>
  <c r="I1063" i="6"/>
  <c r="J1063" i="6"/>
  <c r="K1063" i="6"/>
  <c r="M1063" i="6"/>
  <c r="N1063" i="6"/>
  <c r="O1063" i="6"/>
  <c r="P1063" i="6"/>
  <c r="Q1063" i="6"/>
  <c r="R1063" i="6"/>
  <c r="S1063" i="6"/>
  <c r="T1063" i="6"/>
  <c r="B1064" i="6"/>
  <c r="C1064" i="6"/>
  <c r="D1064" i="6"/>
  <c r="E1064" i="6"/>
  <c r="F1064" i="6"/>
  <c r="G1064" i="6"/>
  <c r="H1064" i="6"/>
  <c r="I1064" i="6"/>
  <c r="J1064" i="6"/>
  <c r="K1064" i="6"/>
  <c r="M1064" i="6"/>
  <c r="N1064" i="6"/>
  <c r="O1064" i="6"/>
  <c r="P1064" i="6"/>
  <c r="Q1064" i="6"/>
  <c r="R1064" i="6"/>
  <c r="S1064" i="6"/>
  <c r="T1064" i="6"/>
  <c r="B1065" i="6"/>
  <c r="C1065" i="6"/>
  <c r="D1065" i="6"/>
  <c r="E1065" i="6"/>
  <c r="F1065" i="6"/>
  <c r="G1065" i="6"/>
  <c r="H1065" i="6"/>
  <c r="I1065" i="6"/>
  <c r="J1065" i="6"/>
  <c r="K1065" i="6"/>
  <c r="M1065" i="6"/>
  <c r="N1065" i="6"/>
  <c r="O1065" i="6"/>
  <c r="P1065" i="6"/>
  <c r="Q1065" i="6"/>
  <c r="R1065" i="6"/>
  <c r="S1065" i="6"/>
  <c r="T1065" i="6"/>
  <c r="B1066" i="6"/>
  <c r="C1066" i="6"/>
  <c r="E1066" i="6"/>
  <c r="F1066" i="6"/>
  <c r="G1066" i="6"/>
  <c r="H1066" i="6"/>
  <c r="I1066" i="6"/>
  <c r="J1066" i="6"/>
  <c r="K1066" i="6"/>
  <c r="M1066" i="6"/>
  <c r="N1066" i="6"/>
  <c r="O1066" i="6"/>
  <c r="P1066" i="6"/>
  <c r="Q1066" i="6"/>
  <c r="R1066" i="6"/>
  <c r="S1066" i="6"/>
  <c r="T1066" i="6"/>
  <c r="B1067" i="6"/>
  <c r="C1067" i="6"/>
  <c r="D1067" i="6"/>
  <c r="F1067" i="6"/>
  <c r="G1067" i="6"/>
  <c r="H1067" i="6"/>
  <c r="J1067" i="6"/>
  <c r="K1067" i="6"/>
  <c r="M1067" i="6"/>
  <c r="N1067" i="6"/>
  <c r="O1067" i="6"/>
  <c r="P1067" i="6"/>
  <c r="R1067" i="6"/>
  <c r="T1067" i="6"/>
  <c r="B1068" i="6"/>
  <c r="E1068" i="6"/>
  <c r="G1068" i="6"/>
  <c r="H1068" i="6"/>
  <c r="I1068" i="6"/>
  <c r="J1068" i="6"/>
  <c r="K1068" i="6"/>
  <c r="M1068" i="6"/>
  <c r="N1068" i="6"/>
  <c r="O1068" i="6"/>
  <c r="P1068" i="6"/>
  <c r="R1068" i="6"/>
  <c r="T1068" i="6"/>
  <c r="B1069" i="6"/>
  <c r="C1069" i="6"/>
  <c r="G1069" i="6"/>
  <c r="H1069" i="6"/>
  <c r="I1069" i="6"/>
  <c r="J1069" i="6"/>
  <c r="K1069" i="6"/>
  <c r="M1069" i="6"/>
  <c r="O1069" i="6"/>
  <c r="P1069" i="6"/>
  <c r="Q1069" i="6"/>
  <c r="R1069" i="6"/>
  <c r="B1070" i="6"/>
  <c r="C1070" i="6"/>
  <c r="E1070" i="6"/>
  <c r="G1070" i="6"/>
  <c r="H1070" i="6"/>
  <c r="I1070" i="6"/>
  <c r="J1070" i="6"/>
  <c r="K1070" i="6"/>
  <c r="M1070" i="6"/>
  <c r="N1070" i="6"/>
  <c r="O1070" i="6"/>
  <c r="P1070" i="6"/>
  <c r="Q1070" i="6"/>
  <c r="R1070" i="6"/>
  <c r="S1070" i="6"/>
  <c r="T1070" i="6"/>
  <c r="B1071" i="6"/>
  <c r="C1071" i="6"/>
  <c r="D1071" i="6"/>
  <c r="E1071" i="6"/>
  <c r="F1071" i="6"/>
  <c r="G1071" i="6"/>
  <c r="H1071" i="6"/>
  <c r="I1071" i="6"/>
  <c r="J1071" i="6"/>
  <c r="K1071" i="6"/>
  <c r="M1071" i="6"/>
  <c r="N1071" i="6"/>
  <c r="O1071" i="6"/>
  <c r="P1071" i="6"/>
  <c r="Q1071" i="6"/>
  <c r="R1071" i="6"/>
  <c r="S1071" i="6"/>
  <c r="T1071" i="6"/>
  <c r="B1072" i="6"/>
  <c r="C1072" i="6"/>
  <c r="D1072" i="6"/>
  <c r="E1072" i="6"/>
  <c r="F1072" i="6"/>
  <c r="G1072" i="6"/>
  <c r="H1072" i="6"/>
  <c r="I1072" i="6"/>
  <c r="J1072" i="6"/>
  <c r="K1072" i="6"/>
  <c r="M1072" i="6"/>
  <c r="N1072" i="6"/>
  <c r="O1072" i="6"/>
  <c r="P1072" i="6"/>
  <c r="Q1072" i="6"/>
  <c r="R1072" i="6"/>
  <c r="S1072" i="6"/>
  <c r="T1072" i="6"/>
  <c r="B1073" i="6"/>
  <c r="C1073" i="6"/>
  <c r="D1073" i="6"/>
  <c r="F1073" i="6"/>
  <c r="G1073" i="6"/>
  <c r="H1073" i="6"/>
  <c r="I1073" i="6"/>
  <c r="J1073" i="6"/>
  <c r="K1073" i="6"/>
  <c r="M1073" i="6"/>
  <c r="N1073" i="6"/>
  <c r="O1073" i="6"/>
  <c r="P1073" i="6"/>
  <c r="Q1073" i="6"/>
  <c r="R1073" i="6"/>
  <c r="S1073" i="6"/>
  <c r="B1074" i="6"/>
  <c r="C1074" i="6"/>
  <c r="D1074" i="6"/>
  <c r="E1074" i="6"/>
  <c r="F1074" i="6"/>
  <c r="G1074" i="6"/>
  <c r="H1074" i="6"/>
  <c r="I1074" i="6"/>
  <c r="J1074" i="6"/>
  <c r="K1074" i="6"/>
  <c r="M1074" i="6"/>
  <c r="N1074" i="6"/>
  <c r="O1074" i="6"/>
  <c r="P1074" i="6"/>
  <c r="Q1074" i="6"/>
  <c r="R1074" i="6"/>
  <c r="S1074" i="6"/>
  <c r="T1074" i="6"/>
  <c r="B1075" i="6"/>
  <c r="C1075" i="6"/>
  <c r="D1075" i="6"/>
  <c r="E1075" i="6"/>
  <c r="F1075" i="6"/>
  <c r="G1075" i="6"/>
  <c r="H1075" i="6"/>
  <c r="I1075" i="6"/>
  <c r="J1075" i="6"/>
  <c r="K1075" i="6"/>
  <c r="M1075" i="6"/>
  <c r="N1075" i="6"/>
  <c r="O1075" i="6"/>
  <c r="P1075" i="6"/>
  <c r="Q1075" i="6"/>
  <c r="R1075" i="6"/>
  <c r="S1075" i="6"/>
  <c r="T1075" i="6"/>
  <c r="B1076" i="6"/>
  <c r="C1076" i="6"/>
  <c r="D1076" i="6"/>
  <c r="E1076" i="6"/>
  <c r="F1076" i="6"/>
  <c r="G1076" i="6"/>
  <c r="H1076" i="6"/>
  <c r="I1076" i="6"/>
  <c r="J1076" i="6"/>
  <c r="K1076" i="6"/>
  <c r="M1076" i="6"/>
  <c r="O1076" i="6"/>
  <c r="P1076" i="6"/>
  <c r="Q1076" i="6"/>
  <c r="R1076" i="6"/>
  <c r="B1077" i="6"/>
  <c r="C1077" i="6"/>
  <c r="D1077" i="6"/>
  <c r="E1077" i="6"/>
  <c r="F1077" i="6"/>
  <c r="G1077" i="6"/>
  <c r="H1077" i="6"/>
  <c r="I1077" i="6"/>
  <c r="J1077" i="6"/>
  <c r="K1077" i="6"/>
  <c r="M1077" i="6"/>
  <c r="N1077" i="6"/>
  <c r="O1077" i="6"/>
  <c r="P1077" i="6"/>
  <c r="T1077" i="6"/>
  <c r="B1078" i="6"/>
  <c r="C1078" i="6"/>
  <c r="D1078" i="6"/>
  <c r="E1078" i="6"/>
  <c r="F1078" i="6"/>
  <c r="G1078" i="6"/>
  <c r="I1078" i="6"/>
  <c r="J1078" i="6"/>
  <c r="K1078" i="6"/>
  <c r="M1078" i="6"/>
  <c r="O1078" i="6"/>
  <c r="P1078" i="6"/>
  <c r="Q1078" i="6"/>
  <c r="R1078" i="6"/>
  <c r="S1078" i="6"/>
  <c r="T1078" i="6"/>
  <c r="B1079" i="6"/>
  <c r="C1079" i="6"/>
  <c r="D1079" i="6"/>
  <c r="F1079" i="6"/>
  <c r="G1079" i="6"/>
  <c r="I1079" i="6"/>
  <c r="J1079" i="6"/>
  <c r="K1079" i="6"/>
  <c r="M1079" i="6"/>
  <c r="O1079" i="6"/>
  <c r="P1079" i="6"/>
  <c r="T1079" i="6"/>
  <c r="B1080" i="6"/>
  <c r="C1080" i="6"/>
  <c r="D1080" i="6"/>
  <c r="E1080" i="6"/>
  <c r="F1080" i="6"/>
  <c r="G1080" i="6"/>
  <c r="I1080" i="6"/>
  <c r="J1080" i="6"/>
  <c r="K1080" i="6"/>
  <c r="M1080" i="6"/>
  <c r="O1080" i="6"/>
  <c r="P1080" i="6"/>
  <c r="Q1080" i="6"/>
  <c r="R1080" i="6"/>
  <c r="T1080" i="6"/>
  <c r="A1081" i="6"/>
  <c r="B1081" i="6" s="1"/>
  <c r="C1081" i="6"/>
  <c r="E1081" i="6"/>
  <c r="F1081" i="6"/>
  <c r="G1081" i="6"/>
  <c r="J1081" i="6"/>
  <c r="K1081" i="6"/>
  <c r="M1081" i="6"/>
  <c r="N1081" i="6"/>
  <c r="O1081" i="6"/>
  <c r="P1081" i="6"/>
  <c r="T1081" i="6"/>
  <c r="A1082" i="6"/>
  <c r="B1082" i="6" s="1"/>
  <c r="C1082" i="6"/>
  <c r="D1082" i="6"/>
  <c r="E1082" i="6"/>
  <c r="F1082" i="6"/>
  <c r="G1082" i="6"/>
  <c r="J1082" i="6"/>
  <c r="K1082" i="6"/>
  <c r="M1082" i="6"/>
  <c r="N1082" i="6"/>
  <c r="O1082" i="6"/>
  <c r="P1082" i="6"/>
  <c r="T1082" i="6"/>
  <c r="A1083" i="6"/>
  <c r="C1083" i="6"/>
  <c r="E1083" i="6"/>
  <c r="F1083" i="6"/>
  <c r="G1083" i="6"/>
  <c r="I1083" i="6"/>
  <c r="J1083" i="6"/>
  <c r="K1083" i="6"/>
  <c r="M1083" i="6"/>
  <c r="N1083" i="6"/>
  <c r="O1083" i="6"/>
  <c r="P1083" i="6"/>
  <c r="R1083" i="6"/>
  <c r="T1083" i="6"/>
  <c r="E1084" i="6"/>
  <c r="F1084" i="6"/>
  <c r="G1084" i="6"/>
  <c r="J1084" i="6"/>
  <c r="K1084" i="6"/>
  <c r="M1084" i="6"/>
  <c r="N1084" i="6"/>
  <c r="O1084" i="6"/>
  <c r="P1084" i="6"/>
  <c r="R1084" i="6"/>
  <c r="T1084" i="6"/>
  <c r="E1085" i="6"/>
  <c r="F1085" i="6"/>
  <c r="G1085" i="6"/>
  <c r="I1085" i="6"/>
  <c r="J1085" i="6"/>
  <c r="K1085" i="6"/>
  <c r="M1085" i="6"/>
  <c r="N1085" i="6"/>
  <c r="O1085" i="6"/>
  <c r="P1085" i="6"/>
  <c r="R1085" i="6"/>
  <c r="T1085" i="6"/>
  <c r="E1086" i="6"/>
  <c r="F1086" i="6"/>
  <c r="G1086" i="6"/>
  <c r="J1086" i="6"/>
  <c r="K1086" i="6"/>
  <c r="M1086" i="6"/>
  <c r="N1086" i="6"/>
  <c r="O1086" i="6"/>
  <c r="P1086" i="6"/>
  <c r="R1086" i="6"/>
  <c r="T1086" i="6"/>
  <c r="D1087" i="6"/>
  <c r="E1087" i="6"/>
  <c r="F1087" i="6"/>
  <c r="G1087" i="6"/>
  <c r="J1087" i="6"/>
  <c r="K1087" i="6"/>
  <c r="M1087" i="6"/>
  <c r="N1087" i="6"/>
  <c r="O1087" i="6"/>
  <c r="P1087" i="6"/>
  <c r="R1087" i="6"/>
  <c r="T1087" i="6"/>
  <c r="E1088" i="6"/>
  <c r="F1088" i="6"/>
  <c r="G1088" i="6"/>
  <c r="J1088" i="6"/>
  <c r="K1088" i="6"/>
  <c r="M1088" i="6"/>
  <c r="N1088" i="6"/>
  <c r="O1088" i="6"/>
  <c r="P1088" i="6"/>
  <c r="R1088" i="6"/>
  <c r="T1088" i="6"/>
  <c r="C1089" i="6"/>
  <c r="E1089" i="6"/>
  <c r="F1089" i="6"/>
  <c r="G1089" i="6"/>
  <c r="I1089" i="6"/>
  <c r="J1089" i="6"/>
  <c r="K1089" i="6"/>
  <c r="M1089" i="6"/>
  <c r="N1089" i="6"/>
  <c r="O1089" i="6"/>
  <c r="P1089" i="6"/>
  <c r="R1089" i="6"/>
  <c r="T1089" i="6"/>
  <c r="E1090" i="6"/>
  <c r="F1090" i="6"/>
  <c r="G1090" i="6"/>
  <c r="J1090" i="6"/>
  <c r="K1090" i="6"/>
  <c r="M1090" i="6"/>
  <c r="N1090" i="6"/>
  <c r="O1090" i="6"/>
  <c r="P1090" i="6"/>
  <c r="R1090" i="6"/>
  <c r="T1090" i="6"/>
  <c r="D1091" i="6"/>
  <c r="E1091" i="6"/>
  <c r="F1091" i="6"/>
  <c r="G1091" i="6"/>
  <c r="H1091" i="6"/>
  <c r="J1091" i="6"/>
  <c r="K1091" i="6"/>
  <c r="M1091" i="6"/>
  <c r="N1091" i="6"/>
  <c r="O1091" i="6"/>
  <c r="P1091" i="6"/>
  <c r="R1091" i="6"/>
  <c r="T1091" i="6"/>
  <c r="C1092" i="6"/>
  <c r="E1092" i="6"/>
  <c r="F1092" i="6"/>
  <c r="G1092" i="6"/>
  <c r="H1092" i="6"/>
  <c r="J1092" i="6"/>
  <c r="K1092" i="6"/>
  <c r="M1092" i="6"/>
  <c r="N1092" i="6"/>
  <c r="O1092" i="6"/>
  <c r="P1092" i="6"/>
  <c r="T1092" i="6"/>
  <c r="C1093" i="6"/>
  <c r="E1093" i="6"/>
  <c r="F1093" i="6"/>
  <c r="G1093" i="6"/>
  <c r="H1093" i="6"/>
  <c r="J1093" i="6"/>
  <c r="K1093" i="6"/>
  <c r="M1093" i="6"/>
  <c r="N1093" i="6"/>
  <c r="O1093" i="6"/>
  <c r="P1093" i="6"/>
  <c r="T1093" i="6"/>
  <c r="C1094" i="6"/>
  <c r="E1094" i="6"/>
  <c r="F1094" i="6"/>
  <c r="G1094" i="6"/>
  <c r="H1094" i="6"/>
  <c r="J1094" i="6"/>
  <c r="K1094" i="6"/>
  <c r="M1094" i="6"/>
  <c r="N1094" i="6"/>
  <c r="O1094" i="6"/>
  <c r="P1094" i="6"/>
  <c r="T1094" i="6"/>
  <c r="C1095" i="6"/>
  <c r="E1095" i="6"/>
  <c r="G1095" i="6"/>
  <c r="H1095" i="6"/>
  <c r="J1095" i="6"/>
  <c r="K1095" i="6"/>
  <c r="M1095" i="6"/>
  <c r="O1095" i="6"/>
  <c r="P1095" i="6"/>
  <c r="T1095" i="6"/>
  <c r="E1096" i="6"/>
  <c r="G1096" i="6"/>
  <c r="J1096" i="6"/>
  <c r="K1096" i="6"/>
  <c r="M1096" i="6"/>
  <c r="O1096" i="6"/>
  <c r="P1096" i="6"/>
  <c r="C1097" i="6"/>
  <c r="E1097" i="6"/>
  <c r="G1097" i="6"/>
  <c r="H1097" i="6"/>
  <c r="I1097" i="6"/>
  <c r="J1097" i="6"/>
  <c r="K1097" i="6"/>
  <c r="M1097" i="6"/>
  <c r="O1097" i="6"/>
  <c r="P1097" i="6"/>
  <c r="T1097" i="6"/>
  <c r="C1098" i="6"/>
  <c r="E1098" i="6"/>
  <c r="G1098" i="6"/>
  <c r="I1098" i="6"/>
  <c r="J1098" i="6"/>
  <c r="K1098" i="6"/>
  <c r="M1098" i="6"/>
  <c r="O1098" i="6"/>
  <c r="P1098" i="6"/>
  <c r="T1098" i="6"/>
  <c r="C1099" i="6"/>
  <c r="D1099" i="6"/>
  <c r="E1099" i="6"/>
  <c r="G1099" i="6"/>
  <c r="I1099" i="6"/>
  <c r="J1099" i="6"/>
  <c r="K1099" i="6"/>
  <c r="M1099" i="6"/>
  <c r="O1099" i="6"/>
  <c r="P1099" i="6"/>
  <c r="T1099" i="6"/>
  <c r="C1100" i="6"/>
  <c r="E1100" i="6"/>
  <c r="G1100" i="6"/>
  <c r="I1100" i="6"/>
  <c r="J1100" i="6"/>
  <c r="K1100" i="6"/>
  <c r="M1100" i="6"/>
  <c r="O1100" i="6"/>
  <c r="P1100" i="6"/>
  <c r="T1100" i="6"/>
  <c r="E1101" i="6"/>
  <c r="G1101" i="6"/>
  <c r="I1101" i="6"/>
  <c r="J1101" i="6"/>
  <c r="K1101" i="6"/>
  <c r="M1101" i="6"/>
  <c r="O1101" i="6"/>
  <c r="P1101" i="6"/>
  <c r="T1101" i="6"/>
  <c r="E1102" i="6"/>
  <c r="F1102" i="6"/>
  <c r="G1102" i="6"/>
  <c r="I1102" i="6"/>
  <c r="J1102" i="6"/>
  <c r="K1102" i="6"/>
  <c r="M1102" i="6"/>
  <c r="O1102" i="6"/>
  <c r="P1102" i="6"/>
  <c r="T1102" i="6"/>
  <c r="E1103" i="6"/>
  <c r="F1103" i="6"/>
  <c r="G1103" i="6"/>
  <c r="I1103" i="6"/>
  <c r="J1103" i="6"/>
  <c r="K1103" i="6"/>
  <c r="M1103" i="6"/>
  <c r="O1103" i="6"/>
  <c r="P1103" i="6"/>
  <c r="T1103" i="6"/>
  <c r="E1104" i="6"/>
  <c r="F1104" i="6"/>
  <c r="G1104" i="6"/>
  <c r="I1104" i="6"/>
  <c r="J1104" i="6"/>
  <c r="K1104" i="6"/>
  <c r="M1104" i="6"/>
  <c r="O1104" i="6"/>
  <c r="P1104" i="6"/>
  <c r="T1104" i="6"/>
  <c r="C9" i="5"/>
  <c r="E9" i="5"/>
  <c r="B15" i="5"/>
  <c r="C15" i="5"/>
  <c r="D15" i="5"/>
  <c r="E15" i="5"/>
  <c r="F15" i="5"/>
  <c r="G15" i="5"/>
  <c r="H15" i="5"/>
  <c r="I15" i="5"/>
  <c r="J15" i="5"/>
  <c r="L15" i="5"/>
  <c r="M15" i="5"/>
  <c r="AC15" i="5" s="1"/>
  <c r="N15" i="5"/>
  <c r="O15" i="5"/>
  <c r="P15" i="5"/>
  <c r="Q15" i="5"/>
  <c r="R15" i="5"/>
  <c r="S15" i="5"/>
  <c r="T15" i="5"/>
  <c r="U15" i="5"/>
  <c r="V15" i="5"/>
  <c r="W15" i="5"/>
  <c r="Y15" i="5"/>
  <c r="Z15" i="5"/>
  <c r="AA15" i="5"/>
  <c r="B16" i="5"/>
  <c r="C16" i="5"/>
  <c r="D16" i="5"/>
  <c r="E16" i="5"/>
  <c r="F16" i="5"/>
  <c r="G16" i="5"/>
  <c r="H16" i="5"/>
  <c r="I16" i="5"/>
  <c r="J16" i="5"/>
  <c r="L16" i="5"/>
  <c r="M16" i="5"/>
  <c r="N16" i="5"/>
  <c r="O16" i="5"/>
  <c r="P16" i="5"/>
  <c r="Q16" i="5"/>
  <c r="R16" i="5"/>
  <c r="S16" i="5"/>
  <c r="T16" i="5"/>
  <c r="U16" i="5"/>
  <c r="V16" i="5"/>
  <c r="W16" i="5"/>
  <c r="X16" i="5"/>
  <c r="Z16" i="5"/>
  <c r="AA16" i="5"/>
  <c r="B17" i="5"/>
  <c r="C17" i="5"/>
  <c r="D17" i="5"/>
  <c r="E17" i="5"/>
  <c r="F17" i="5"/>
  <c r="G17" i="5"/>
  <c r="H17" i="5"/>
  <c r="I17" i="5"/>
  <c r="J17" i="5"/>
  <c r="L17" i="5"/>
  <c r="M17" i="5"/>
  <c r="N17" i="5"/>
  <c r="O17" i="5"/>
  <c r="P17" i="5"/>
  <c r="AC17" i="5" s="1"/>
  <c r="Q17" i="5"/>
  <c r="R17" i="5"/>
  <c r="S17" i="5"/>
  <c r="T17" i="5"/>
  <c r="U17" i="5"/>
  <c r="V17" i="5"/>
  <c r="W17" i="5"/>
  <c r="X17" i="5"/>
  <c r="Z17" i="5"/>
  <c r="AA17" i="5"/>
  <c r="B18" i="5"/>
  <c r="C18" i="5"/>
  <c r="D18" i="5"/>
  <c r="E18" i="5"/>
  <c r="F18" i="5"/>
  <c r="G18" i="5"/>
  <c r="H18" i="5"/>
  <c r="I18" i="5"/>
  <c r="J18" i="5"/>
  <c r="L18" i="5"/>
  <c r="M18" i="5"/>
  <c r="N18" i="5"/>
  <c r="O18" i="5"/>
  <c r="P18" i="5"/>
  <c r="Q18" i="5"/>
  <c r="R18" i="5"/>
  <c r="S18" i="5"/>
  <c r="T18" i="5"/>
  <c r="U18" i="5"/>
  <c r="V18" i="5"/>
  <c r="W18" i="5"/>
  <c r="X18" i="5"/>
  <c r="Z18" i="5"/>
  <c r="AA18" i="5"/>
  <c r="B19" i="5"/>
  <c r="C19" i="5"/>
  <c r="D19" i="5"/>
  <c r="E19" i="5"/>
  <c r="F19" i="5"/>
  <c r="G19" i="5"/>
  <c r="H19" i="5"/>
  <c r="I19" i="5"/>
  <c r="J19" i="5"/>
  <c r="L19" i="5"/>
  <c r="M19" i="5"/>
  <c r="N19" i="5"/>
  <c r="O19" i="5"/>
  <c r="P19" i="5"/>
  <c r="Q19" i="5"/>
  <c r="R19" i="5"/>
  <c r="S19" i="5"/>
  <c r="T19" i="5"/>
  <c r="U19" i="5"/>
  <c r="V19" i="5"/>
  <c r="W19" i="5"/>
  <c r="X19" i="5"/>
  <c r="Z19" i="5"/>
  <c r="AA19" i="5"/>
  <c r="AC19" i="5"/>
  <c r="B20" i="5"/>
  <c r="C20" i="5"/>
  <c r="D20" i="5"/>
  <c r="E20" i="5"/>
  <c r="F20" i="5"/>
  <c r="G20" i="5"/>
  <c r="H20" i="5"/>
  <c r="I20" i="5"/>
  <c r="J20" i="5"/>
  <c r="L20" i="5"/>
  <c r="M20" i="5"/>
  <c r="N20" i="5"/>
  <c r="O20" i="5"/>
  <c r="P20" i="5"/>
  <c r="Q20" i="5"/>
  <c r="R20" i="5"/>
  <c r="S20" i="5"/>
  <c r="T20" i="5"/>
  <c r="U20" i="5"/>
  <c r="V20" i="5"/>
  <c r="W20" i="5"/>
  <c r="X20" i="5"/>
  <c r="Z20" i="5"/>
  <c r="AA20" i="5"/>
  <c r="B21" i="5"/>
  <c r="C21" i="5"/>
  <c r="D21" i="5"/>
  <c r="E21" i="5"/>
  <c r="F21" i="5"/>
  <c r="G21" i="5"/>
  <c r="H21" i="5"/>
  <c r="I21" i="5"/>
  <c r="J21" i="5"/>
  <c r="L21" i="5"/>
  <c r="M21" i="5"/>
  <c r="N21" i="5"/>
  <c r="O21" i="5"/>
  <c r="P21" i="5"/>
  <c r="Q21" i="5"/>
  <c r="R21" i="5"/>
  <c r="S21" i="5"/>
  <c r="T21" i="5"/>
  <c r="U21" i="5"/>
  <c r="V21" i="5"/>
  <c r="W21" i="5"/>
  <c r="X21" i="5"/>
  <c r="Z21" i="5"/>
  <c r="AA21" i="5"/>
  <c r="B22" i="5"/>
  <c r="C22" i="5"/>
  <c r="D22" i="5"/>
  <c r="E22" i="5"/>
  <c r="F22" i="5"/>
  <c r="G22" i="5"/>
  <c r="H22" i="5"/>
  <c r="I22" i="5"/>
  <c r="J22" i="5"/>
  <c r="L22" i="5"/>
  <c r="M22" i="5"/>
  <c r="N22" i="5"/>
  <c r="O22" i="5"/>
  <c r="P22" i="5"/>
  <c r="Q22" i="5"/>
  <c r="R22" i="5"/>
  <c r="S22" i="5"/>
  <c r="T22" i="5"/>
  <c r="U22" i="5"/>
  <c r="V22" i="5"/>
  <c r="W22" i="5"/>
  <c r="X22" i="5"/>
  <c r="Z22" i="5"/>
  <c r="AA22" i="5"/>
  <c r="B23" i="5"/>
  <c r="C23" i="5"/>
  <c r="D23" i="5"/>
  <c r="E23" i="5"/>
  <c r="F23" i="5"/>
  <c r="G23" i="5"/>
  <c r="H23" i="5"/>
  <c r="I23" i="5"/>
  <c r="J23" i="5"/>
  <c r="L23" i="5"/>
  <c r="M23" i="5"/>
  <c r="N23" i="5"/>
  <c r="O23" i="5"/>
  <c r="P23" i="5"/>
  <c r="Q23" i="5"/>
  <c r="R23" i="5"/>
  <c r="S23" i="5"/>
  <c r="T23" i="5"/>
  <c r="U23" i="5"/>
  <c r="V23" i="5"/>
  <c r="W23" i="5"/>
  <c r="Z23" i="5"/>
  <c r="AA23" i="5"/>
  <c r="B24" i="5"/>
  <c r="C24" i="5"/>
  <c r="D24" i="5"/>
  <c r="E24" i="5"/>
  <c r="F24" i="5"/>
  <c r="G24" i="5"/>
  <c r="H24" i="5"/>
  <c r="I24" i="5"/>
  <c r="J24" i="5"/>
  <c r="L24" i="5"/>
  <c r="M24" i="5"/>
  <c r="N24" i="5"/>
  <c r="O24" i="5"/>
  <c r="P24" i="5"/>
  <c r="Q24" i="5"/>
  <c r="R24" i="5"/>
  <c r="S24" i="5"/>
  <c r="T24" i="5"/>
  <c r="U24" i="5"/>
  <c r="V24" i="5"/>
  <c r="W24" i="5"/>
  <c r="Z24" i="5"/>
  <c r="AA24" i="5"/>
  <c r="B25" i="5"/>
  <c r="C25" i="5"/>
  <c r="D25" i="5"/>
  <c r="E25" i="5"/>
  <c r="F25" i="5"/>
  <c r="G25" i="5"/>
  <c r="H25" i="5"/>
  <c r="I25" i="5"/>
  <c r="J25" i="5"/>
  <c r="L25" i="5"/>
  <c r="M25" i="5"/>
  <c r="N25" i="5"/>
  <c r="O25" i="5"/>
  <c r="P25" i="5"/>
  <c r="Q25" i="5"/>
  <c r="R25" i="5"/>
  <c r="S25" i="5"/>
  <c r="T25" i="5"/>
  <c r="U25" i="5"/>
  <c r="V25" i="5"/>
  <c r="W25" i="5"/>
  <c r="Z25" i="5"/>
  <c r="AA25" i="5"/>
  <c r="AC25" i="5"/>
  <c r="B26" i="5"/>
  <c r="C26" i="5"/>
  <c r="D26" i="5"/>
  <c r="E26" i="5"/>
  <c r="F26" i="5"/>
  <c r="G26" i="5"/>
  <c r="H26" i="5"/>
  <c r="I26" i="5"/>
  <c r="J26" i="5"/>
  <c r="L26" i="5"/>
  <c r="M26" i="5"/>
  <c r="N26" i="5"/>
  <c r="O26" i="5"/>
  <c r="P26" i="5"/>
  <c r="Q26" i="5"/>
  <c r="R26" i="5"/>
  <c r="S26" i="5"/>
  <c r="T26" i="5"/>
  <c r="U26" i="5"/>
  <c r="V26" i="5"/>
  <c r="W26" i="5"/>
  <c r="Z26" i="5"/>
  <c r="AA26" i="5"/>
  <c r="AB26" i="5"/>
  <c r="B27" i="5"/>
  <c r="C27" i="5"/>
  <c r="D27" i="5"/>
  <c r="E27" i="5"/>
  <c r="F27" i="5"/>
  <c r="G27" i="5"/>
  <c r="H27" i="5"/>
  <c r="I27" i="5"/>
  <c r="J27" i="5"/>
  <c r="L27" i="5"/>
  <c r="M27" i="5"/>
  <c r="N27" i="5"/>
  <c r="O27" i="5"/>
  <c r="P27" i="5"/>
  <c r="Q27" i="5"/>
  <c r="R27" i="5"/>
  <c r="S27" i="5"/>
  <c r="T27" i="5"/>
  <c r="U27" i="5"/>
  <c r="V27" i="5"/>
  <c r="W27" i="5"/>
  <c r="Z27" i="5"/>
  <c r="AA27" i="5"/>
  <c r="AC27" i="5"/>
  <c r="B28" i="5"/>
  <c r="C28" i="5"/>
  <c r="D28" i="5"/>
  <c r="E28" i="5"/>
  <c r="F28" i="5"/>
  <c r="G28" i="5"/>
  <c r="H28" i="5"/>
  <c r="I28" i="5"/>
  <c r="J28" i="5"/>
  <c r="L28" i="5"/>
  <c r="M28" i="5"/>
  <c r="N28" i="5"/>
  <c r="AC28" i="5" s="1"/>
  <c r="O28" i="5"/>
  <c r="P28" i="5"/>
  <c r="Q28" i="5"/>
  <c r="R28" i="5"/>
  <c r="S28" i="5"/>
  <c r="T28" i="5"/>
  <c r="U28" i="5"/>
  <c r="V28" i="5"/>
  <c r="W28" i="5"/>
  <c r="X28" i="5"/>
  <c r="Z28" i="5"/>
  <c r="AA28" i="5"/>
  <c r="B29" i="5"/>
  <c r="C29" i="5"/>
  <c r="D29" i="5"/>
  <c r="E29" i="5"/>
  <c r="F29" i="5"/>
  <c r="G29" i="5"/>
  <c r="H29" i="5"/>
  <c r="I29" i="5"/>
  <c r="J29" i="5"/>
  <c r="L29" i="5"/>
  <c r="M29" i="5"/>
  <c r="N29" i="5"/>
  <c r="O29" i="5"/>
  <c r="P29" i="5"/>
  <c r="Q29" i="5"/>
  <c r="R29" i="5"/>
  <c r="S29" i="5"/>
  <c r="T29" i="5"/>
  <c r="U29" i="5"/>
  <c r="V29" i="5"/>
  <c r="W29" i="5"/>
  <c r="X29" i="5"/>
  <c r="Z29" i="5"/>
  <c r="AA29" i="5"/>
  <c r="B30" i="5"/>
  <c r="C30" i="5"/>
  <c r="D30" i="5"/>
  <c r="E30" i="5"/>
  <c r="F30" i="5"/>
  <c r="G30" i="5"/>
  <c r="H30" i="5"/>
  <c r="I30" i="5"/>
  <c r="J30" i="5"/>
  <c r="L30" i="5"/>
  <c r="M30" i="5"/>
  <c r="N30" i="5"/>
  <c r="O30" i="5"/>
  <c r="P30" i="5"/>
  <c r="Q30" i="5"/>
  <c r="R30" i="5"/>
  <c r="S30" i="5"/>
  <c r="T30" i="5"/>
  <c r="U30" i="5"/>
  <c r="V30" i="5"/>
  <c r="W30" i="5"/>
  <c r="X30" i="5"/>
  <c r="Z30" i="5"/>
  <c r="AA30" i="5"/>
  <c r="B31" i="5"/>
  <c r="C31" i="5"/>
  <c r="D31" i="5"/>
  <c r="E31" i="5"/>
  <c r="F31" i="5"/>
  <c r="G31" i="5"/>
  <c r="H31" i="5"/>
  <c r="I31" i="5"/>
  <c r="J31" i="5"/>
  <c r="L31" i="5"/>
  <c r="M31" i="5"/>
  <c r="AC31" i="5" s="1"/>
  <c r="N31" i="5"/>
  <c r="O31" i="5"/>
  <c r="P31" i="5"/>
  <c r="Q31" i="5"/>
  <c r="R31" i="5"/>
  <c r="S31" i="5"/>
  <c r="T31" i="5"/>
  <c r="U31" i="5"/>
  <c r="V31" i="5"/>
  <c r="W31" i="5"/>
  <c r="X31" i="5"/>
  <c r="Z31" i="5"/>
  <c r="AA31" i="5"/>
  <c r="B32" i="5"/>
  <c r="C32" i="5"/>
  <c r="D32" i="5"/>
  <c r="E32" i="5"/>
  <c r="F32" i="5"/>
  <c r="G32" i="5"/>
  <c r="H32" i="5"/>
  <c r="I32" i="5"/>
  <c r="J32" i="5"/>
  <c r="L32" i="5"/>
  <c r="M32" i="5"/>
  <c r="N32" i="5"/>
  <c r="O32" i="5"/>
  <c r="P32" i="5"/>
  <c r="Q32" i="5"/>
  <c r="R32" i="5"/>
  <c r="S32" i="5"/>
  <c r="T32" i="5"/>
  <c r="U32" i="5"/>
  <c r="V32" i="5"/>
  <c r="W32" i="5"/>
  <c r="X32" i="5"/>
  <c r="Z32" i="5"/>
  <c r="AA32" i="5"/>
  <c r="AB32" i="5"/>
  <c r="B33" i="5"/>
  <c r="C33" i="5"/>
  <c r="D33" i="5"/>
  <c r="E33" i="5"/>
  <c r="F33" i="5"/>
  <c r="G33" i="5"/>
  <c r="H33" i="5"/>
  <c r="I33" i="5"/>
  <c r="J33" i="5"/>
  <c r="L33" i="5"/>
  <c r="M33" i="5"/>
  <c r="N33" i="5"/>
  <c r="O33" i="5"/>
  <c r="P33" i="5"/>
  <c r="Q33" i="5"/>
  <c r="R33" i="5"/>
  <c r="S33" i="5"/>
  <c r="T33" i="5"/>
  <c r="U33" i="5"/>
  <c r="V33" i="5"/>
  <c r="W33" i="5"/>
  <c r="X33" i="5"/>
  <c r="Z33" i="5"/>
  <c r="AA33" i="5"/>
  <c r="B34" i="5"/>
  <c r="C34" i="5"/>
  <c r="D34" i="5"/>
  <c r="E34" i="5"/>
  <c r="F34" i="5"/>
  <c r="G34" i="5"/>
  <c r="H34" i="5"/>
  <c r="I34" i="5"/>
  <c r="J34" i="5"/>
  <c r="L34" i="5"/>
  <c r="M34" i="5"/>
  <c r="N34" i="5"/>
  <c r="AC34" i="5" s="1"/>
  <c r="O34" i="5"/>
  <c r="P34" i="5"/>
  <c r="Q34" i="5"/>
  <c r="R34" i="5"/>
  <c r="S34" i="5"/>
  <c r="T34" i="5"/>
  <c r="U34" i="5"/>
  <c r="V34" i="5"/>
  <c r="W34" i="5"/>
  <c r="X34" i="5"/>
  <c r="Z34" i="5"/>
  <c r="AA34" i="5"/>
  <c r="B35" i="5"/>
  <c r="C35" i="5"/>
  <c r="D35" i="5"/>
  <c r="E35" i="5"/>
  <c r="F35" i="5"/>
  <c r="G35" i="5"/>
  <c r="H35" i="5"/>
  <c r="I35" i="5"/>
  <c r="J35" i="5"/>
  <c r="L35" i="5"/>
  <c r="M35" i="5"/>
  <c r="N35" i="5"/>
  <c r="O35" i="5"/>
  <c r="P35" i="5"/>
  <c r="Q35" i="5"/>
  <c r="R35" i="5"/>
  <c r="S35" i="5"/>
  <c r="T35" i="5"/>
  <c r="U35" i="5"/>
  <c r="V35" i="5"/>
  <c r="W35" i="5"/>
  <c r="X35" i="5"/>
  <c r="Z35" i="5"/>
  <c r="AA35" i="5"/>
  <c r="AC35" i="5"/>
  <c r="B36" i="5"/>
  <c r="C36" i="5"/>
  <c r="D36" i="5"/>
  <c r="E36" i="5"/>
  <c r="F36" i="5"/>
  <c r="G36" i="5"/>
  <c r="H36" i="5"/>
  <c r="I36" i="5"/>
  <c r="J36" i="5"/>
  <c r="L36" i="5"/>
  <c r="M36" i="5"/>
  <c r="N36" i="5"/>
  <c r="AC36" i="5" s="1"/>
  <c r="O36" i="5"/>
  <c r="P36" i="5"/>
  <c r="Q36" i="5"/>
  <c r="R36" i="5"/>
  <c r="S36" i="5"/>
  <c r="T36" i="5"/>
  <c r="U36" i="5"/>
  <c r="V36" i="5"/>
  <c r="W36" i="5"/>
  <c r="X36" i="5"/>
  <c r="Z36" i="5"/>
  <c r="AA36" i="5"/>
  <c r="B37" i="5"/>
  <c r="C37" i="5"/>
  <c r="AB37" i="5" s="1"/>
  <c r="D37" i="5"/>
  <c r="E37" i="5"/>
  <c r="F37" i="5"/>
  <c r="G37" i="5"/>
  <c r="H37" i="5"/>
  <c r="I37" i="5"/>
  <c r="J37" i="5"/>
  <c r="L37" i="5"/>
  <c r="M37" i="5"/>
  <c r="N37" i="5"/>
  <c r="O37" i="5"/>
  <c r="P37" i="5"/>
  <c r="Q37" i="5"/>
  <c r="R37" i="5"/>
  <c r="S37" i="5"/>
  <c r="T37" i="5"/>
  <c r="U37" i="5"/>
  <c r="V37" i="5"/>
  <c r="W37" i="5"/>
  <c r="X37" i="5"/>
  <c r="B38" i="5"/>
  <c r="AB38" i="5" s="1"/>
  <c r="C38" i="5"/>
  <c r="D38" i="5"/>
  <c r="E38" i="5"/>
  <c r="F38" i="5"/>
  <c r="G38" i="5"/>
  <c r="H38" i="5"/>
  <c r="I38" i="5"/>
  <c r="J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B39" i="5"/>
  <c r="C39" i="5"/>
  <c r="D39" i="5"/>
  <c r="E39" i="5"/>
  <c r="F39" i="5"/>
  <c r="G39" i="5"/>
  <c r="H39" i="5"/>
  <c r="I39" i="5"/>
  <c r="J39" i="5"/>
  <c r="L39" i="5"/>
  <c r="M39" i="5"/>
  <c r="N39" i="5"/>
  <c r="O39" i="5"/>
  <c r="P39" i="5"/>
  <c r="Q39" i="5"/>
  <c r="R39" i="5"/>
  <c r="S39" i="5"/>
  <c r="T39" i="5"/>
  <c r="U39" i="5"/>
  <c r="V39" i="5"/>
  <c r="W39" i="5"/>
  <c r="X39" i="5"/>
  <c r="B40" i="5"/>
  <c r="C40" i="5"/>
  <c r="D40" i="5"/>
  <c r="E40" i="5"/>
  <c r="F40" i="5"/>
  <c r="G40" i="5"/>
  <c r="H40" i="5"/>
  <c r="I40" i="5"/>
  <c r="J40" i="5"/>
  <c r="L40" i="5"/>
  <c r="M40" i="5"/>
  <c r="N40" i="5"/>
  <c r="O40" i="5"/>
  <c r="P40" i="5"/>
  <c r="Q40" i="5"/>
  <c r="R40" i="5"/>
  <c r="S40" i="5"/>
  <c r="T40" i="5"/>
  <c r="U40" i="5"/>
  <c r="V40" i="5"/>
  <c r="W40" i="5"/>
  <c r="X40" i="5"/>
  <c r="B41" i="5"/>
  <c r="C41" i="5"/>
  <c r="AB41" i="5" s="1"/>
  <c r="D41" i="5"/>
  <c r="E41" i="5"/>
  <c r="F41" i="5"/>
  <c r="G41" i="5"/>
  <c r="H41" i="5"/>
  <c r="I41" i="5"/>
  <c r="J41" i="5"/>
  <c r="L41" i="5"/>
  <c r="M41" i="5"/>
  <c r="N41" i="5"/>
  <c r="O41" i="5"/>
  <c r="P41" i="5"/>
  <c r="Q41" i="5"/>
  <c r="R41" i="5"/>
  <c r="S41" i="5"/>
  <c r="T41" i="5"/>
  <c r="U41" i="5"/>
  <c r="V41" i="5"/>
  <c r="W41" i="5"/>
  <c r="X41" i="5"/>
  <c r="B42" i="5"/>
  <c r="C42" i="5"/>
  <c r="D42" i="5"/>
  <c r="E42" i="5"/>
  <c r="F42" i="5"/>
  <c r="G42" i="5"/>
  <c r="H42" i="5"/>
  <c r="I42" i="5"/>
  <c r="J42" i="5"/>
  <c r="L42" i="5"/>
  <c r="M42" i="5"/>
  <c r="N42" i="5"/>
  <c r="O42" i="5"/>
  <c r="P42" i="5"/>
  <c r="Q42" i="5"/>
  <c r="R42" i="5"/>
  <c r="S42" i="5"/>
  <c r="T42" i="5"/>
  <c r="U42" i="5"/>
  <c r="V42" i="5"/>
  <c r="W42" i="5"/>
  <c r="X42" i="5"/>
  <c r="B43" i="5"/>
  <c r="C43" i="5"/>
  <c r="D43" i="5"/>
  <c r="E43" i="5"/>
  <c r="F43" i="5"/>
  <c r="G43" i="5"/>
  <c r="H43" i="5"/>
  <c r="I43" i="5"/>
  <c r="J43" i="5"/>
  <c r="L43" i="5"/>
  <c r="M43" i="5"/>
  <c r="N43" i="5"/>
  <c r="O43" i="5"/>
  <c r="P43" i="5"/>
  <c r="Q43" i="5"/>
  <c r="R43" i="5"/>
  <c r="S43" i="5"/>
  <c r="T43" i="5"/>
  <c r="U43" i="5"/>
  <c r="V43" i="5"/>
  <c r="W43" i="5"/>
  <c r="X43" i="5"/>
  <c r="B44" i="5"/>
  <c r="C44" i="5"/>
  <c r="D44" i="5"/>
  <c r="E44" i="5"/>
  <c r="F44" i="5"/>
  <c r="G44" i="5"/>
  <c r="H44" i="5"/>
  <c r="I44" i="5"/>
  <c r="J44" i="5"/>
  <c r="L44" i="5"/>
  <c r="M44" i="5"/>
  <c r="N44" i="5"/>
  <c r="O44" i="5"/>
  <c r="P44" i="5"/>
  <c r="Q44" i="5"/>
  <c r="R44" i="5"/>
  <c r="S44" i="5"/>
  <c r="T44" i="5"/>
  <c r="U44" i="5"/>
  <c r="V44" i="5"/>
  <c r="W44" i="5"/>
  <c r="X44" i="5"/>
  <c r="B45" i="5"/>
  <c r="C45" i="5"/>
  <c r="D45" i="5"/>
  <c r="E45" i="5"/>
  <c r="F45" i="5"/>
  <c r="G45" i="5"/>
  <c r="H45" i="5"/>
  <c r="I45" i="5"/>
  <c r="J45" i="5"/>
  <c r="L45" i="5"/>
  <c r="M45" i="5"/>
  <c r="N45" i="5"/>
  <c r="O45" i="5"/>
  <c r="P45" i="5"/>
  <c r="Q45" i="5"/>
  <c r="R45" i="5"/>
  <c r="S45" i="5"/>
  <c r="T45" i="5"/>
  <c r="U45" i="5"/>
  <c r="V45" i="5"/>
  <c r="W45" i="5"/>
  <c r="X45" i="5"/>
  <c r="B46" i="5"/>
  <c r="C46" i="5"/>
  <c r="D46" i="5"/>
  <c r="E46" i="5"/>
  <c r="F46" i="5"/>
  <c r="G46" i="5"/>
  <c r="H46" i="5"/>
  <c r="I46" i="5"/>
  <c r="J46" i="5"/>
  <c r="L46" i="5"/>
  <c r="M46" i="5"/>
  <c r="N46" i="5"/>
  <c r="O46" i="5"/>
  <c r="P46" i="5"/>
  <c r="Q46" i="5"/>
  <c r="R46" i="5"/>
  <c r="S46" i="5"/>
  <c r="T46" i="5"/>
  <c r="U46" i="5"/>
  <c r="V46" i="5"/>
  <c r="W46" i="5"/>
  <c r="X46" i="5"/>
  <c r="AB46" i="5"/>
  <c r="B47" i="5"/>
  <c r="C47" i="5"/>
  <c r="D47" i="5"/>
  <c r="E47" i="5"/>
  <c r="F47" i="5"/>
  <c r="G47" i="5"/>
  <c r="H47" i="5"/>
  <c r="I47" i="5"/>
  <c r="J47" i="5"/>
  <c r="L47" i="5"/>
  <c r="M47" i="5"/>
  <c r="N47" i="5"/>
  <c r="O47" i="5"/>
  <c r="P47" i="5"/>
  <c r="Q47" i="5"/>
  <c r="R47" i="5"/>
  <c r="S47" i="5"/>
  <c r="T47" i="5"/>
  <c r="U47" i="5"/>
  <c r="V47" i="5"/>
  <c r="W47" i="5"/>
  <c r="X47" i="5"/>
  <c r="B48" i="5"/>
  <c r="C48" i="5"/>
  <c r="AB48" i="5" s="1"/>
  <c r="D48" i="5"/>
  <c r="E48" i="5"/>
  <c r="F48" i="5"/>
  <c r="G48" i="5"/>
  <c r="H48" i="5"/>
  <c r="I48" i="5"/>
  <c r="J48" i="5"/>
  <c r="L48" i="5"/>
  <c r="M48" i="5"/>
  <c r="N48" i="5"/>
  <c r="O48" i="5"/>
  <c r="P48" i="5"/>
  <c r="Q48" i="5"/>
  <c r="R48" i="5"/>
  <c r="S48" i="5"/>
  <c r="T48" i="5"/>
  <c r="U48" i="5"/>
  <c r="V48" i="5"/>
  <c r="W48" i="5"/>
  <c r="X48" i="5"/>
  <c r="B49" i="5"/>
  <c r="C49" i="5"/>
  <c r="D49" i="5"/>
  <c r="E49" i="5"/>
  <c r="F49" i="5"/>
  <c r="G49" i="5"/>
  <c r="H49" i="5"/>
  <c r="I49" i="5"/>
  <c r="J49" i="5"/>
  <c r="K49" i="5"/>
  <c r="L49" i="5"/>
  <c r="M49" i="5"/>
  <c r="N49" i="5"/>
  <c r="O49" i="5"/>
  <c r="P49" i="5"/>
  <c r="Q49" i="5"/>
  <c r="R49" i="5"/>
  <c r="S49" i="5"/>
  <c r="T49" i="5"/>
  <c r="U49" i="5"/>
  <c r="V49" i="5"/>
  <c r="W49" i="5"/>
  <c r="X49" i="5"/>
  <c r="B50" i="5"/>
  <c r="C50" i="5"/>
  <c r="D50" i="5"/>
  <c r="E50" i="5"/>
  <c r="F50" i="5"/>
  <c r="G50" i="5"/>
  <c r="H50" i="5"/>
  <c r="I50" i="5"/>
  <c r="J50" i="5"/>
  <c r="K50" i="5"/>
  <c r="L50" i="5"/>
  <c r="M50" i="5"/>
  <c r="N50" i="5"/>
  <c r="O50" i="5"/>
  <c r="P50" i="5"/>
  <c r="Q50" i="5"/>
  <c r="R50" i="5"/>
  <c r="S50" i="5"/>
  <c r="T50" i="5"/>
  <c r="U50" i="5"/>
  <c r="V50" i="5"/>
  <c r="W50" i="5"/>
  <c r="X50" i="5"/>
  <c r="B51" i="5"/>
  <c r="C51" i="5"/>
  <c r="D51" i="5"/>
  <c r="E51" i="5"/>
  <c r="F51" i="5"/>
  <c r="G51" i="5"/>
  <c r="H51" i="5"/>
  <c r="I51" i="5"/>
  <c r="J51" i="5"/>
  <c r="K51" i="5"/>
  <c r="L51" i="5"/>
  <c r="M51" i="5"/>
  <c r="N51" i="5"/>
  <c r="O51" i="5"/>
  <c r="P51" i="5"/>
  <c r="Q51" i="5"/>
  <c r="R51" i="5"/>
  <c r="S51" i="5"/>
  <c r="T51" i="5"/>
  <c r="U51" i="5"/>
  <c r="V51" i="5"/>
  <c r="W51" i="5"/>
  <c r="X51" i="5"/>
  <c r="B52" i="5"/>
  <c r="C52" i="5"/>
  <c r="D52" i="5"/>
  <c r="E52" i="5"/>
  <c r="F52" i="5"/>
  <c r="G52" i="5"/>
  <c r="H52" i="5"/>
  <c r="I52" i="5"/>
  <c r="J52" i="5"/>
  <c r="K52" i="5"/>
  <c r="L52" i="5"/>
  <c r="M52" i="5"/>
  <c r="N52" i="5"/>
  <c r="O52" i="5"/>
  <c r="P52" i="5"/>
  <c r="Q52" i="5"/>
  <c r="R52" i="5"/>
  <c r="S52" i="5"/>
  <c r="T52" i="5"/>
  <c r="U52" i="5"/>
  <c r="V52" i="5"/>
  <c r="W52" i="5"/>
  <c r="X52" i="5"/>
  <c r="B53" i="5"/>
  <c r="C53" i="5"/>
  <c r="D53" i="5"/>
  <c r="E53" i="5"/>
  <c r="F53" i="5"/>
  <c r="G53" i="5"/>
  <c r="H53" i="5"/>
  <c r="I53" i="5"/>
  <c r="J53" i="5"/>
  <c r="K53" i="5"/>
  <c r="L53" i="5"/>
  <c r="M53" i="5"/>
  <c r="N53" i="5"/>
  <c r="O53" i="5"/>
  <c r="P53" i="5"/>
  <c r="Q53" i="5"/>
  <c r="R53" i="5"/>
  <c r="S53" i="5"/>
  <c r="T53" i="5"/>
  <c r="U53" i="5"/>
  <c r="V53" i="5"/>
  <c r="W53" i="5"/>
  <c r="X53" i="5"/>
  <c r="B54" i="5"/>
  <c r="C54" i="5"/>
  <c r="D54" i="5"/>
  <c r="E54" i="5"/>
  <c r="F54" i="5"/>
  <c r="G54" i="5"/>
  <c r="H54" i="5"/>
  <c r="I54" i="5"/>
  <c r="J54" i="5"/>
  <c r="K54" i="5"/>
  <c r="L54" i="5"/>
  <c r="M54" i="5"/>
  <c r="N54" i="5"/>
  <c r="O54" i="5"/>
  <c r="P54" i="5"/>
  <c r="Q54" i="5"/>
  <c r="R54" i="5"/>
  <c r="S54" i="5"/>
  <c r="T54" i="5"/>
  <c r="U54" i="5"/>
  <c r="V54" i="5"/>
  <c r="W54" i="5"/>
  <c r="X54" i="5"/>
  <c r="AC54" i="5"/>
  <c r="B55" i="5"/>
  <c r="C55" i="5"/>
  <c r="D55" i="5"/>
  <c r="E55" i="5"/>
  <c r="F55" i="5"/>
  <c r="G55" i="5"/>
  <c r="H55" i="5"/>
  <c r="I55" i="5"/>
  <c r="J55" i="5"/>
  <c r="K55" i="5"/>
  <c r="L55" i="5"/>
  <c r="M55" i="5"/>
  <c r="AC55" i="5" s="1"/>
  <c r="N55" i="5"/>
  <c r="O55" i="5"/>
  <c r="P55" i="5"/>
  <c r="Q55" i="5"/>
  <c r="R55" i="5"/>
  <c r="S55" i="5"/>
  <c r="T55" i="5"/>
  <c r="U55" i="5"/>
  <c r="V55" i="5"/>
  <c r="W55" i="5"/>
  <c r="X55" i="5"/>
  <c r="AB55" i="5"/>
  <c r="B56" i="5"/>
  <c r="C56" i="5"/>
  <c r="D56" i="5"/>
  <c r="E56" i="5"/>
  <c r="F56" i="5"/>
  <c r="G56" i="5"/>
  <c r="H56" i="5"/>
  <c r="AB56" i="5" s="1"/>
  <c r="I56" i="5"/>
  <c r="J56" i="5"/>
  <c r="K56" i="5"/>
  <c r="L56" i="5"/>
  <c r="M56" i="5"/>
  <c r="N56" i="5"/>
  <c r="O56" i="5"/>
  <c r="P56" i="5"/>
  <c r="Q56" i="5"/>
  <c r="R56" i="5"/>
  <c r="S56" i="5"/>
  <c r="T56" i="5"/>
  <c r="U56" i="5"/>
  <c r="V56" i="5"/>
  <c r="W56" i="5"/>
  <c r="X56" i="5"/>
  <c r="B57" i="5"/>
  <c r="C57" i="5"/>
  <c r="D57" i="5"/>
  <c r="E57" i="5"/>
  <c r="F57" i="5"/>
  <c r="G57" i="5"/>
  <c r="H57" i="5"/>
  <c r="I57" i="5"/>
  <c r="J57" i="5"/>
  <c r="K57" i="5"/>
  <c r="L57" i="5"/>
  <c r="M57" i="5"/>
  <c r="N57" i="5"/>
  <c r="O57" i="5"/>
  <c r="P57" i="5"/>
  <c r="Q57" i="5"/>
  <c r="R57" i="5"/>
  <c r="S57" i="5"/>
  <c r="T57" i="5"/>
  <c r="U57" i="5"/>
  <c r="V57" i="5"/>
  <c r="W57" i="5"/>
  <c r="X57" i="5"/>
  <c r="B58" i="5"/>
  <c r="C58" i="5"/>
  <c r="D58" i="5"/>
  <c r="E58" i="5"/>
  <c r="F58" i="5"/>
  <c r="G58" i="5"/>
  <c r="H58" i="5"/>
  <c r="I58" i="5"/>
  <c r="J58" i="5"/>
  <c r="K58" i="5"/>
  <c r="L58" i="5"/>
  <c r="M58" i="5"/>
  <c r="N58" i="5"/>
  <c r="O58" i="5"/>
  <c r="P58" i="5"/>
  <c r="Q58" i="5"/>
  <c r="R58" i="5"/>
  <c r="S58" i="5"/>
  <c r="T58" i="5"/>
  <c r="U58" i="5"/>
  <c r="V58" i="5"/>
  <c r="W58" i="5"/>
  <c r="X58" i="5"/>
  <c r="B59" i="5"/>
  <c r="C59" i="5"/>
  <c r="D59" i="5"/>
  <c r="E59" i="5"/>
  <c r="F59" i="5"/>
  <c r="G59" i="5"/>
  <c r="H59" i="5"/>
  <c r="I59" i="5"/>
  <c r="J59" i="5"/>
  <c r="K59" i="5"/>
  <c r="L59" i="5"/>
  <c r="M59" i="5"/>
  <c r="N59" i="5"/>
  <c r="O59" i="5"/>
  <c r="P59" i="5"/>
  <c r="Q59" i="5"/>
  <c r="R59" i="5"/>
  <c r="S59" i="5"/>
  <c r="T59" i="5"/>
  <c r="U59" i="5"/>
  <c r="V59" i="5"/>
  <c r="W59" i="5"/>
  <c r="X59" i="5"/>
  <c r="B60" i="5"/>
  <c r="C60" i="5"/>
  <c r="D60" i="5"/>
  <c r="E60" i="5"/>
  <c r="F60" i="5"/>
  <c r="G60" i="5"/>
  <c r="H60" i="5"/>
  <c r="I60" i="5"/>
  <c r="J60" i="5"/>
  <c r="K60" i="5"/>
  <c r="L60" i="5"/>
  <c r="M60" i="5"/>
  <c r="N60" i="5"/>
  <c r="O60" i="5"/>
  <c r="P60" i="5"/>
  <c r="AC60" i="5" s="1"/>
  <c r="Q60" i="5"/>
  <c r="R60" i="5"/>
  <c r="S60" i="5"/>
  <c r="T60" i="5"/>
  <c r="U60" i="5"/>
  <c r="V60" i="5"/>
  <c r="W60" i="5"/>
  <c r="X60" i="5"/>
  <c r="B61" i="5"/>
  <c r="C61" i="5"/>
  <c r="D61" i="5"/>
  <c r="AB61" i="5" s="1"/>
  <c r="E61" i="5"/>
  <c r="F61" i="5"/>
  <c r="G61" i="5"/>
  <c r="H61" i="5"/>
  <c r="I61" i="5"/>
  <c r="J61" i="5"/>
  <c r="K61" i="5"/>
  <c r="L61" i="5"/>
  <c r="M61" i="5"/>
  <c r="N61" i="5"/>
  <c r="O61" i="5"/>
  <c r="P61" i="5"/>
  <c r="Q61" i="5"/>
  <c r="R61" i="5"/>
  <c r="S61" i="5"/>
  <c r="T61" i="5"/>
  <c r="U61" i="5"/>
  <c r="V61" i="5"/>
  <c r="W61" i="5"/>
  <c r="X61" i="5"/>
  <c r="B62" i="5"/>
  <c r="C62" i="5"/>
  <c r="D62" i="5"/>
  <c r="E62" i="5"/>
  <c r="F62" i="5"/>
  <c r="G62" i="5"/>
  <c r="H62" i="5"/>
  <c r="I62" i="5"/>
  <c r="J62" i="5"/>
  <c r="K62" i="5"/>
  <c r="L62" i="5"/>
  <c r="M62" i="5"/>
  <c r="N62" i="5"/>
  <c r="O62" i="5"/>
  <c r="P62" i="5"/>
  <c r="AC62" i="5" s="1"/>
  <c r="Q62" i="5"/>
  <c r="R62" i="5"/>
  <c r="S62" i="5"/>
  <c r="T62" i="5"/>
  <c r="U62" i="5"/>
  <c r="V62" i="5"/>
  <c r="W62" i="5"/>
  <c r="X62" i="5"/>
  <c r="B63" i="5"/>
  <c r="C63" i="5"/>
  <c r="D63" i="5"/>
  <c r="AB63" i="5" s="1"/>
  <c r="E63" i="5"/>
  <c r="F63" i="5"/>
  <c r="G63" i="5"/>
  <c r="H63" i="5"/>
  <c r="I63" i="5"/>
  <c r="J63" i="5"/>
  <c r="K63" i="5"/>
  <c r="L63" i="5"/>
  <c r="M63" i="5"/>
  <c r="N63" i="5"/>
  <c r="O63" i="5"/>
  <c r="P63" i="5"/>
  <c r="Q63" i="5"/>
  <c r="R63" i="5"/>
  <c r="S63" i="5"/>
  <c r="T63" i="5"/>
  <c r="U63" i="5"/>
  <c r="V63" i="5"/>
  <c r="W63" i="5"/>
  <c r="X63" i="5"/>
  <c r="B64" i="5"/>
  <c r="C64" i="5"/>
  <c r="D64" i="5"/>
  <c r="E64" i="5"/>
  <c r="F64" i="5"/>
  <c r="G64" i="5"/>
  <c r="H64" i="5"/>
  <c r="I64" i="5"/>
  <c r="J64" i="5"/>
  <c r="K64" i="5"/>
  <c r="L64" i="5"/>
  <c r="M64" i="5"/>
  <c r="N64" i="5"/>
  <c r="O64" i="5"/>
  <c r="P64" i="5"/>
  <c r="Q64" i="5"/>
  <c r="R64" i="5"/>
  <c r="S64" i="5"/>
  <c r="T64" i="5"/>
  <c r="U64" i="5"/>
  <c r="V64" i="5"/>
  <c r="W64" i="5"/>
  <c r="X64" i="5"/>
  <c r="B65" i="5"/>
  <c r="C65" i="5"/>
  <c r="D65" i="5"/>
  <c r="E65" i="5"/>
  <c r="F65" i="5"/>
  <c r="G65" i="5"/>
  <c r="H65" i="5"/>
  <c r="I65" i="5"/>
  <c r="J65" i="5"/>
  <c r="K65" i="5"/>
  <c r="L65" i="5"/>
  <c r="M65" i="5"/>
  <c r="N65" i="5"/>
  <c r="O65" i="5"/>
  <c r="P65" i="5"/>
  <c r="Q65" i="5"/>
  <c r="R65" i="5"/>
  <c r="S65" i="5"/>
  <c r="T65" i="5"/>
  <c r="U65" i="5"/>
  <c r="V65" i="5"/>
  <c r="W65" i="5"/>
  <c r="X65" i="5"/>
  <c r="B66" i="5"/>
  <c r="C66" i="5"/>
  <c r="D66" i="5"/>
  <c r="E66" i="5"/>
  <c r="F66" i="5"/>
  <c r="G66" i="5"/>
  <c r="H66" i="5"/>
  <c r="I66" i="5"/>
  <c r="J66" i="5"/>
  <c r="K66" i="5"/>
  <c r="L66" i="5"/>
  <c r="M66" i="5"/>
  <c r="N66" i="5"/>
  <c r="AC66" i="5" s="1"/>
  <c r="O66" i="5"/>
  <c r="P66" i="5"/>
  <c r="Q66" i="5"/>
  <c r="R66" i="5"/>
  <c r="S66" i="5"/>
  <c r="T66" i="5"/>
  <c r="U66" i="5"/>
  <c r="V66" i="5"/>
  <c r="W66" i="5"/>
  <c r="X66" i="5"/>
  <c r="B67" i="5"/>
  <c r="AB67" i="5" s="1"/>
  <c r="C67" i="5"/>
  <c r="D67" i="5"/>
  <c r="E67" i="5"/>
  <c r="F67" i="5"/>
  <c r="G67" i="5"/>
  <c r="H67" i="5"/>
  <c r="I67" i="5"/>
  <c r="J67" i="5"/>
  <c r="K67" i="5"/>
  <c r="L67" i="5"/>
  <c r="M67" i="5"/>
  <c r="N67" i="5"/>
  <c r="O67" i="5"/>
  <c r="P67" i="5"/>
  <c r="Q67" i="5"/>
  <c r="R67" i="5"/>
  <c r="S67" i="5"/>
  <c r="T67" i="5"/>
  <c r="U67" i="5"/>
  <c r="V67" i="5"/>
  <c r="W67" i="5"/>
  <c r="X67" i="5"/>
  <c r="B68" i="5"/>
  <c r="C68" i="5"/>
  <c r="D68" i="5"/>
  <c r="E68" i="5"/>
  <c r="F68" i="5"/>
  <c r="G68" i="5"/>
  <c r="H68" i="5"/>
  <c r="I68" i="5"/>
  <c r="J68" i="5"/>
  <c r="K68" i="5"/>
  <c r="L68" i="5"/>
  <c r="M68" i="5"/>
  <c r="N68" i="5"/>
  <c r="O68" i="5"/>
  <c r="P68" i="5"/>
  <c r="Q68" i="5"/>
  <c r="R68" i="5"/>
  <c r="S68" i="5"/>
  <c r="T68" i="5"/>
  <c r="U68" i="5"/>
  <c r="V68" i="5"/>
  <c r="W68" i="5"/>
  <c r="X68" i="5"/>
  <c r="B69" i="5"/>
  <c r="C69" i="5"/>
  <c r="D69" i="5"/>
  <c r="E69" i="5"/>
  <c r="F69" i="5"/>
  <c r="G69" i="5"/>
  <c r="H69" i="5"/>
  <c r="I69" i="5"/>
  <c r="J69" i="5"/>
  <c r="K69" i="5"/>
  <c r="L69" i="5"/>
  <c r="M69" i="5"/>
  <c r="N69" i="5"/>
  <c r="O69" i="5"/>
  <c r="P69" i="5"/>
  <c r="Q69" i="5"/>
  <c r="R69" i="5"/>
  <c r="S69" i="5"/>
  <c r="T69" i="5"/>
  <c r="U69" i="5"/>
  <c r="V69" i="5"/>
  <c r="W69" i="5"/>
  <c r="X69" i="5"/>
  <c r="B70" i="5"/>
  <c r="C70" i="5"/>
  <c r="D70" i="5"/>
  <c r="E70" i="5"/>
  <c r="F70" i="5"/>
  <c r="G70" i="5"/>
  <c r="H70" i="5"/>
  <c r="I70" i="5"/>
  <c r="J70" i="5"/>
  <c r="K70" i="5"/>
  <c r="L70" i="5"/>
  <c r="M70" i="5"/>
  <c r="N70" i="5"/>
  <c r="O70" i="5"/>
  <c r="P70" i="5"/>
  <c r="Q70" i="5"/>
  <c r="R70" i="5"/>
  <c r="S70" i="5"/>
  <c r="T70" i="5"/>
  <c r="U70" i="5"/>
  <c r="V70" i="5"/>
  <c r="W70" i="5"/>
  <c r="X70" i="5"/>
  <c r="B71" i="5"/>
  <c r="C71" i="5"/>
  <c r="D71" i="5"/>
  <c r="E71" i="5"/>
  <c r="F71" i="5"/>
  <c r="G71" i="5"/>
  <c r="H71" i="5"/>
  <c r="I71" i="5"/>
  <c r="J71" i="5"/>
  <c r="K71" i="5"/>
  <c r="L71" i="5"/>
  <c r="M71" i="5"/>
  <c r="N71" i="5"/>
  <c r="O71" i="5"/>
  <c r="P71" i="5"/>
  <c r="Q71" i="5"/>
  <c r="R71" i="5"/>
  <c r="S71" i="5"/>
  <c r="T71" i="5"/>
  <c r="U71" i="5"/>
  <c r="V71" i="5"/>
  <c r="W71" i="5"/>
  <c r="X71" i="5"/>
  <c r="AC71" i="5"/>
  <c r="B72" i="5"/>
  <c r="C72" i="5"/>
  <c r="D72" i="5"/>
  <c r="E72" i="5"/>
  <c r="F72" i="5"/>
  <c r="G72" i="5"/>
  <c r="H72" i="5"/>
  <c r="I72" i="5"/>
  <c r="J72" i="5"/>
  <c r="K72" i="5"/>
  <c r="L72" i="5"/>
  <c r="M72" i="5"/>
  <c r="N72" i="5"/>
  <c r="O72" i="5"/>
  <c r="P72" i="5"/>
  <c r="Q72" i="5"/>
  <c r="Q1062" i="5" s="1"/>
  <c r="R72" i="5"/>
  <c r="S72" i="5"/>
  <c r="T72" i="5"/>
  <c r="U72" i="5"/>
  <c r="V72" i="5"/>
  <c r="W72" i="5"/>
  <c r="X72" i="5"/>
  <c r="AB72" i="5"/>
  <c r="B73" i="5"/>
  <c r="C73" i="5"/>
  <c r="D73" i="5"/>
  <c r="E73" i="5"/>
  <c r="F73" i="5"/>
  <c r="G73" i="5"/>
  <c r="H73" i="5"/>
  <c r="I73" i="5"/>
  <c r="J73" i="5"/>
  <c r="K73" i="5"/>
  <c r="L73" i="5"/>
  <c r="M73" i="5"/>
  <c r="N73" i="5"/>
  <c r="O73" i="5"/>
  <c r="P73" i="5"/>
  <c r="Q73" i="5"/>
  <c r="R73" i="5"/>
  <c r="S73" i="5"/>
  <c r="T73" i="5"/>
  <c r="U73" i="5"/>
  <c r="V73" i="5"/>
  <c r="W73" i="5"/>
  <c r="X73" i="5"/>
  <c r="B74" i="5"/>
  <c r="C74" i="5"/>
  <c r="D74" i="5"/>
  <c r="E74" i="5"/>
  <c r="F74" i="5"/>
  <c r="G74" i="5"/>
  <c r="H74" i="5"/>
  <c r="I74" i="5"/>
  <c r="J74" i="5"/>
  <c r="K74" i="5"/>
  <c r="L74" i="5"/>
  <c r="M74" i="5"/>
  <c r="N74" i="5"/>
  <c r="O74" i="5"/>
  <c r="P74" i="5"/>
  <c r="Q74" i="5"/>
  <c r="R74" i="5"/>
  <c r="S74" i="5"/>
  <c r="T74" i="5"/>
  <c r="U74" i="5"/>
  <c r="V74" i="5"/>
  <c r="W74" i="5"/>
  <c r="X74" i="5"/>
  <c r="B75" i="5"/>
  <c r="C75" i="5"/>
  <c r="D75" i="5"/>
  <c r="E75" i="5"/>
  <c r="F75" i="5"/>
  <c r="G75" i="5"/>
  <c r="H75" i="5"/>
  <c r="I75" i="5"/>
  <c r="J75" i="5"/>
  <c r="K75" i="5"/>
  <c r="L75" i="5"/>
  <c r="M75" i="5"/>
  <c r="N75" i="5"/>
  <c r="O75" i="5"/>
  <c r="P75" i="5"/>
  <c r="Q75" i="5"/>
  <c r="R75" i="5"/>
  <c r="S75" i="5"/>
  <c r="T75" i="5"/>
  <c r="U75" i="5"/>
  <c r="V75" i="5"/>
  <c r="W75" i="5"/>
  <c r="X75" i="5"/>
  <c r="B76" i="5"/>
  <c r="C76" i="5"/>
  <c r="D76" i="5"/>
  <c r="E76" i="5"/>
  <c r="F76" i="5"/>
  <c r="G76" i="5"/>
  <c r="H76" i="5"/>
  <c r="I76" i="5"/>
  <c r="J76" i="5"/>
  <c r="K76" i="5"/>
  <c r="L76" i="5"/>
  <c r="M76" i="5"/>
  <c r="N76" i="5"/>
  <c r="O76" i="5"/>
  <c r="P76" i="5"/>
  <c r="AC76" i="5" s="1"/>
  <c r="Q76" i="5"/>
  <c r="R76" i="5"/>
  <c r="S76" i="5"/>
  <c r="T76" i="5"/>
  <c r="U76" i="5"/>
  <c r="V76" i="5"/>
  <c r="W76" i="5"/>
  <c r="X76" i="5"/>
  <c r="B77" i="5"/>
  <c r="C77" i="5"/>
  <c r="D77" i="5"/>
  <c r="AB77" i="5" s="1"/>
  <c r="E77" i="5"/>
  <c r="F77" i="5"/>
  <c r="G77" i="5"/>
  <c r="H77" i="5"/>
  <c r="I77" i="5"/>
  <c r="J77" i="5"/>
  <c r="K77" i="5"/>
  <c r="L77" i="5"/>
  <c r="M77" i="5"/>
  <c r="AC77" i="5" s="1"/>
  <c r="N77" i="5"/>
  <c r="O77" i="5"/>
  <c r="P77" i="5"/>
  <c r="Q77" i="5"/>
  <c r="R77" i="5"/>
  <c r="S77" i="5"/>
  <c r="T77" i="5"/>
  <c r="U77" i="5"/>
  <c r="V77" i="5"/>
  <c r="W77" i="5"/>
  <c r="X77" i="5"/>
  <c r="B78" i="5"/>
  <c r="C78" i="5"/>
  <c r="AB78" i="5" s="1"/>
  <c r="D78" i="5"/>
  <c r="E78" i="5"/>
  <c r="F78" i="5"/>
  <c r="G78" i="5"/>
  <c r="H78" i="5"/>
  <c r="I78" i="5"/>
  <c r="J78" i="5"/>
  <c r="K78" i="5"/>
  <c r="L78" i="5"/>
  <c r="M78" i="5"/>
  <c r="N78" i="5"/>
  <c r="O78" i="5"/>
  <c r="P78" i="5"/>
  <c r="Q78" i="5"/>
  <c r="R78" i="5"/>
  <c r="S78" i="5"/>
  <c r="T78" i="5"/>
  <c r="U78" i="5"/>
  <c r="V78" i="5"/>
  <c r="W78" i="5"/>
  <c r="X78" i="5"/>
  <c r="B79" i="5"/>
  <c r="C79" i="5"/>
  <c r="D79" i="5"/>
  <c r="E79" i="5"/>
  <c r="F79" i="5"/>
  <c r="G79" i="5"/>
  <c r="H79" i="5"/>
  <c r="I79" i="5"/>
  <c r="J79" i="5"/>
  <c r="K79" i="5"/>
  <c r="L79" i="5"/>
  <c r="M79" i="5"/>
  <c r="N79" i="5"/>
  <c r="O79" i="5"/>
  <c r="AC79" i="5" s="1"/>
  <c r="P79" i="5"/>
  <c r="Q79" i="5"/>
  <c r="R79" i="5"/>
  <c r="S79" i="5"/>
  <c r="T79" i="5"/>
  <c r="U79" i="5"/>
  <c r="V79" i="5"/>
  <c r="W79" i="5"/>
  <c r="X79" i="5"/>
  <c r="B80" i="5"/>
  <c r="C80" i="5"/>
  <c r="AB80" i="5" s="1"/>
  <c r="D80" i="5"/>
  <c r="E80" i="5"/>
  <c r="F80" i="5"/>
  <c r="G80" i="5"/>
  <c r="H80" i="5"/>
  <c r="I80" i="5"/>
  <c r="J80" i="5"/>
  <c r="K80" i="5"/>
  <c r="L80" i="5"/>
  <c r="M80" i="5"/>
  <c r="N80" i="5"/>
  <c r="O80" i="5"/>
  <c r="AC80" i="5" s="1"/>
  <c r="P80" i="5"/>
  <c r="Q80" i="5"/>
  <c r="R80" i="5"/>
  <c r="S80" i="5"/>
  <c r="T80" i="5"/>
  <c r="U80" i="5"/>
  <c r="V80" i="5"/>
  <c r="W80" i="5"/>
  <c r="X80" i="5"/>
  <c r="B81" i="5"/>
  <c r="C81" i="5"/>
  <c r="D81" i="5"/>
  <c r="E81" i="5"/>
  <c r="F81" i="5"/>
  <c r="G81" i="5"/>
  <c r="H81" i="5"/>
  <c r="I81" i="5"/>
  <c r="J81" i="5"/>
  <c r="K81" i="5"/>
  <c r="L81" i="5"/>
  <c r="M81" i="5"/>
  <c r="N81" i="5"/>
  <c r="O81" i="5"/>
  <c r="P81" i="5"/>
  <c r="Q81" i="5"/>
  <c r="R81" i="5"/>
  <c r="S81" i="5"/>
  <c r="T81" i="5"/>
  <c r="U81" i="5"/>
  <c r="V81" i="5"/>
  <c r="W81" i="5"/>
  <c r="X81" i="5"/>
  <c r="B82" i="5"/>
  <c r="C82" i="5"/>
  <c r="D82" i="5"/>
  <c r="E82" i="5"/>
  <c r="F82" i="5"/>
  <c r="G82" i="5"/>
  <c r="H82" i="5"/>
  <c r="I82" i="5"/>
  <c r="J82" i="5"/>
  <c r="K82" i="5"/>
  <c r="L82" i="5"/>
  <c r="M82" i="5"/>
  <c r="N82" i="5"/>
  <c r="O82" i="5"/>
  <c r="P82" i="5"/>
  <c r="Q82" i="5"/>
  <c r="R82" i="5"/>
  <c r="S82" i="5"/>
  <c r="T82" i="5"/>
  <c r="U82" i="5"/>
  <c r="V82" i="5"/>
  <c r="W82" i="5"/>
  <c r="X82" i="5"/>
  <c r="B83" i="5"/>
  <c r="C83" i="5"/>
  <c r="D83" i="5"/>
  <c r="E83" i="5"/>
  <c r="F83" i="5"/>
  <c r="G83" i="5"/>
  <c r="H83" i="5"/>
  <c r="I83" i="5"/>
  <c r="J83" i="5"/>
  <c r="K83" i="5"/>
  <c r="L83" i="5"/>
  <c r="M83" i="5"/>
  <c r="N83" i="5"/>
  <c r="O83" i="5"/>
  <c r="P83" i="5"/>
  <c r="Q83" i="5"/>
  <c r="R83" i="5"/>
  <c r="S83" i="5"/>
  <c r="T83" i="5"/>
  <c r="U83" i="5"/>
  <c r="V83" i="5"/>
  <c r="W83" i="5"/>
  <c r="X83" i="5"/>
  <c r="B84" i="5"/>
  <c r="C84" i="5"/>
  <c r="D84" i="5"/>
  <c r="E84" i="5"/>
  <c r="F84" i="5"/>
  <c r="G84" i="5"/>
  <c r="H84" i="5"/>
  <c r="I84" i="5"/>
  <c r="J84" i="5"/>
  <c r="K84" i="5"/>
  <c r="L84" i="5"/>
  <c r="M84" i="5"/>
  <c r="N84" i="5"/>
  <c r="AC84" i="5" s="1"/>
  <c r="O84" i="5"/>
  <c r="P84" i="5"/>
  <c r="Q84" i="5"/>
  <c r="R84" i="5"/>
  <c r="S84" i="5"/>
  <c r="T84" i="5"/>
  <c r="U84" i="5"/>
  <c r="V84" i="5"/>
  <c r="W84" i="5"/>
  <c r="X84" i="5"/>
  <c r="B85" i="5"/>
  <c r="C85" i="5"/>
  <c r="D85" i="5"/>
  <c r="E85" i="5"/>
  <c r="F85" i="5"/>
  <c r="G85" i="5"/>
  <c r="H85" i="5"/>
  <c r="I85" i="5"/>
  <c r="J85" i="5"/>
  <c r="K85" i="5"/>
  <c r="L85" i="5"/>
  <c r="M85" i="5"/>
  <c r="N85" i="5"/>
  <c r="AC85" i="5" s="1"/>
  <c r="O85" i="5"/>
  <c r="P85" i="5"/>
  <c r="Q85" i="5"/>
  <c r="R85" i="5"/>
  <c r="S85" i="5"/>
  <c r="T85" i="5"/>
  <c r="U85" i="5"/>
  <c r="V85" i="5"/>
  <c r="W85" i="5"/>
  <c r="X85" i="5"/>
  <c r="B86" i="5"/>
  <c r="AB86" i="5" s="1"/>
  <c r="C86" i="5"/>
  <c r="D86" i="5"/>
  <c r="E86" i="5"/>
  <c r="F86" i="5"/>
  <c r="G86" i="5"/>
  <c r="H86" i="5"/>
  <c r="I86" i="5"/>
  <c r="J86" i="5"/>
  <c r="K86" i="5"/>
  <c r="L86" i="5"/>
  <c r="M86" i="5"/>
  <c r="N86" i="5"/>
  <c r="O86" i="5"/>
  <c r="P86" i="5"/>
  <c r="Q86" i="5"/>
  <c r="R86" i="5"/>
  <c r="S86" i="5"/>
  <c r="T86" i="5"/>
  <c r="U86" i="5"/>
  <c r="V86" i="5"/>
  <c r="W86" i="5"/>
  <c r="X86" i="5"/>
  <c r="B87" i="5"/>
  <c r="C87" i="5"/>
  <c r="D87" i="5"/>
  <c r="E87" i="5"/>
  <c r="F87" i="5"/>
  <c r="G87" i="5"/>
  <c r="H87" i="5"/>
  <c r="I87" i="5"/>
  <c r="J87" i="5"/>
  <c r="K87" i="5"/>
  <c r="L87" i="5"/>
  <c r="M87" i="5"/>
  <c r="N87" i="5"/>
  <c r="AC87" i="5" s="1"/>
  <c r="O87" i="5"/>
  <c r="P87" i="5"/>
  <c r="Q87" i="5"/>
  <c r="R87" i="5"/>
  <c r="S87" i="5"/>
  <c r="T87" i="5"/>
  <c r="U87" i="5"/>
  <c r="V87" i="5"/>
  <c r="W87" i="5"/>
  <c r="X87" i="5"/>
  <c r="B88" i="5"/>
  <c r="AB88" i="5" s="1"/>
  <c r="C88" i="5"/>
  <c r="D88" i="5"/>
  <c r="E88" i="5"/>
  <c r="F88" i="5"/>
  <c r="G88" i="5"/>
  <c r="H88" i="5"/>
  <c r="I88" i="5"/>
  <c r="J88" i="5"/>
  <c r="K88" i="5"/>
  <c r="L88" i="5"/>
  <c r="M88" i="5"/>
  <c r="N88" i="5"/>
  <c r="O88" i="5"/>
  <c r="P88" i="5"/>
  <c r="Q88" i="5"/>
  <c r="R88" i="5"/>
  <c r="S88" i="5"/>
  <c r="T88" i="5"/>
  <c r="U88" i="5"/>
  <c r="V88" i="5"/>
  <c r="W88" i="5"/>
  <c r="X88" i="5"/>
  <c r="B89" i="5"/>
  <c r="C89" i="5"/>
  <c r="D89" i="5"/>
  <c r="E89" i="5"/>
  <c r="F89" i="5"/>
  <c r="G89" i="5"/>
  <c r="H89" i="5"/>
  <c r="I89" i="5"/>
  <c r="J89" i="5"/>
  <c r="K89" i="5"/>
  <c r="L89" i="5"/>
  <c r="M89" i="5"/>
  <c r="N89" i="5"/>
  <c r="O89" i="5"/>
  <c r="P89" i="5"/>
  <c r="Q89" i="5"/>
  <c r="R89" i="5"/>
  <c r="S89" i="5"/>
  <c r="T89" i="5"/>
  <c r="U89" i="5"/>
  <c r="V89" i="5"/>
  <c r="W89" i="5"/>
  <c r="X89" i="5"/>
  <c r="B90" i="5"/>
  <c r="C90" i="5"/>
  <c r="D90" i="5"/>
  <c r="E90" i="5"/>
  <c r="F90" i="5"/>
  <c r="G90" i="5"/>
  <c r="H90" i="5"/>
  <c r="I90" i="5"/>
  <c r="J90" i="5"/>
  <c r="K90" i="5"/>
  <c r="L90" i="5"/>
  <c r="M90" i="5"/>
  <c r="N90" i="5"/>
  <c r="O90" i="5"/>
  <c r="P90" i="5"/>
  <c r="Q90" i="5"/>
  <c r="R90" i="5"/>
  <c r="S90" i="5"/>
  <c r="T90" i="5"/>
  <c r="U90" i="5"/>
  <c r="V90" i="5"/>
  <c r="W90" i="5"/>
  <c r="X90" i="5"/>
  <c r="B91" i="5"/>
  <c r="C91" i="5"/>
  <c r="D91" i="5"/>
  <c r="E91" i="5"/>
  <c r="F91" i="5"/>
  <c r="G91" i="5"/>
  <c r="H91" i="5"/>
  <c r="I91" i="5"/>
  <c r="J91" i="5"/>
  <c r="K91" i="5"/>
  <c r="L91" i="5"/>
  <c r="M91" i="5"/>
  <c r="N91" i="5"/>
  <c r="O91" i="5"/>
  <c r="P91" i="5"/>
  <c r="Q91" i="5"/>
  <c r="R91" i="5"/>
  <c r="S91" i="5"/>
  <c r="T91" i="5"/>
  <c r="U91" i="5"/>
  <c r="V91" i="5"/>
  <c r="W91" i="5"/>
  <c r="X91" i="5"/>
  <c r="B92" i="5"/>
  <c r="C92" i="5"/>
  <c r="D92" i="5"/>
  <c r="E92" i="5"/>
  <c r="F92" i="5"/>
  <c r="G92" i="5"/>
  <c r="H92" i="5"/>
  <c r="I92" i="5"/>
  <c r="J92" i="5"/>
  <c r="K92" i="5"/>
  <c r="L92" i="5"/>
  <c r="M92" i="5"/>
  <c r="N92" i="5"/>
  <c r="O92" i="5"/>
  <c r="P92" i="5"/>
  <c r="Q92" i="5"/>
  <c r="R92" i="5"/>
  <c r="S92" i="5"/>
  <c r="T92" i="5"/>
  <c r="U92" i="5"/>
  <c r="V92" i="5"/>
  <c r="W92" i="5"/>
  <c r="X92" i="5"/>
  <c r="AC92" i="5"/>
  <c r="B93" i="5"/>
  <c r="C93" i="5"/>
  <c r="D93" i="5"/>
  <c r="E93" i="5"/>
  <c r="F93" i="5"/>
  <c r="G93" i="5"/>
  <c r="H93" i="5"/>
  <c r="I93" i="5"/>
  <c r="J93" i="5"/>
  <c r="K93" i="5"/>
  <c r="L93" i="5"/>
  <c r="M93" i="5"/>
  <c r="N93" i="5"/>
  <c r="O93" i="5"/>
  <c r="P93" i="5"/>
  <c r="Q93" i="5"/>
  <c r="R93" i="5"/>
  <c r="S93" i="5"/>
  <c r="T93" i="5"/>
  <c r="U93" i="5"/>
  <c r="V93" i="5"/>
  <c r="W93" i="5"/>
  <c r="X93" i="5"/>
  <c r="AC93" i="5"/>
  <c r="B94" i="5"/>
  <c r="C94" i="5"/>
  <c r="D94" i="5"/>
  <c r="E94" i="5"/>
  <c r="F94" i="5"/>
  <c r="G94" i="5"/>
  <c r="H94" i="5"/>
  <c r="I94" i="5"/>
  <c r="J94" i="5"/>
  <c r="K94" i="5"/>
  <c r="L94" i="5"/>
  <c r="M94" i="5"/>
  <c r="N94" i="5"/>
  <c r="O94" i="5"/>
  <c r="P94" i="5"/>
  <c r="Q94" i="5"/>
  <c r="R94" i="5"/>
  <c r="S94" i="5"/>
  <c r="T94" i="5"/>
  <c r="U94" i="5"/>
  <c r="V94" i="5"/>
  <c r="W94" i="5"/>
  <c r="X94" i="5"/>
  <c r="AB94" i="5"/>
  <c r="B95" i="5"/>
  <c r="C95" i="5"/>
  <c r="D95" i="5"/>
  <c r="E95" i="5"/>
  <c r="F95" i="5"/>
  <c r="G95" i="5"/>
  <c r="H95" i="5"/>
  <c r="I95" i="5"/>
  <c r="J95" i="5"/>
  <c r="K95" i="5"/>
  <c r="L95" i="5"/>
  <c r="M95" i="5"/>
  <c r="N95" i="5"/>
  <c r="O95" i="5"/>
  <c r="P95" i="5"/>
  <c r="Q95" i="5"/>
  <c r="R95" i="5"/>
  <c r="S95" i="5"/>
  <c r="T95" i="5"/>
  <c r="U95" i="5"/>
  <c r="V95" i="5"/>
  <c r="W95" i="5"/>
  <c r="X95" i="5"/>
  <c r="AC95" i="5"/>
  <c r="B96" i="5"/>
  <c r="C96" i="5"/>
  <c r="D96" i="5"/>
  <c r="E96" i="5"/>
  <c r="F96" i="5"/>
  <c r="G96" i="5"/>
  <c r="H96" i="5"/>
  <c r="I96" i="5"/>
  <c r="J96" i="5"/>
  <c r="K96" i="5"/>
  <c r="L96" i="5"/>
  <c r="M96" i="5"/>
  <c r="N96" i="5"/>
  <c r="O96" i="5"/>
  <c r="P96" i="5"/>
  <c r="Q96" i="5"/>
  <c r="R96" i="5"/>
  <c r="S96" i="5"/>
  <c r="T96" i="5"/>
  <c r="U96" i="5"/>
  <c r="V96" i="5"/>
  <c r="W96" i="5"/>
  <c r="X96" i="5"/>
  <c r="AB96" i="5"/>
  <c r="B97" i="5"/>
  <c r="C97" i="5"/>
  <c r="D97" i="5"/>
  <c r="E97" i="5"/>
  <c r="F97" i="5"/>
  <c r="G97" i="5"/>
  <c r="H97" i="5"/>
  <c r="I97" i="5"/>
  <c r="J97" i="5"/>
  <c r="K97" i="5"/>
  <c r="L97" i="5"/>
  <c r="M97" i="5"/>
  <c r="N97" i="5"/>
  <c r="O97" i="5"/>
  <c r="P97" i="5"/>
  <c r="Q97" i="5"/>
  <c r="R97" i="5"/>
  <c r="S97" i="5"/>
  <c r="T97" i="5"/>
  <c r="U97" i="5"/>
  <c r="V97" i="5"/>
  <c r="W97" i="5"/>
  <c r="X97" i="5"/>
  <c r="B98" i="5"/>
  <c r="C98" i="5"/>
  <c r="D98" i="5"/>
  <c r="E98" i="5"/>
  <c r="F98" i="5"/>
  <c r="G98" i="5"/>
  <c r="H98" i="5"/>
  <c r="I98" i="5"/>
  <c r="J98" i="5"/>
  <c r="K98" i="5"/>
  <c r="L98" i="5"/>
  <c r="M98" i="5"/>
  <c r="N98" i="5"/>
  <c r="O98" i="5"/>
  <c r="P98" i="5"/>
  <c r="Q98" i="5"/>
  <c r="R98" i="5"/>
  <c r="S98" i="5"/>
  <c r="T98" i="5"/>
  <c r="U98" i="5"/>
  <c r="V98" i="5"/>
  <c r="W98" i="5"/>
  <c r="X98" i="5"/>
  <c r="B99" i="5"/>
  <c r="C99" i="5"/>
  <c r="D99" i="5"/>
  <c r="E99" i="5"/>
  <c r="F99" i="5"/>
  <c r="G99" i="5"/>
  <c r="H99" i="5"/>
  <c r="I99" i="5"/>
  <c r="J99" i="5"/>
  <c r="K99" i="5"/>
  <c r="L99" i="5"/>
  <c r="M99" i="5"/>
  <c r="N99" i="5"/>
  <c r="O99" i="5"/>
  <c r="P99" i="5"/>
  <c r="Q99" i="5"/>
  <c r="R99" i="5"/>
  <c r="S99" i="5"/>
  <c r="T99" i="5"/>
  <c r="U99" i="5"/>
  <c r="V99" i="5"/>
  <c r="W99" i="5"/>
  <c r="X99" i="5"/>
  <c r="B100" i="5"/>
  <c r="C100" i="5"/>
  <c r="D100" i="5"/>
  <c r="E100" i="5"/>
  <c r="F100" i="5"/>
  <c r="G100" i="5"/>
  <c r="H100" i="5"/>
  <c r="I100" i="5"/>
  <c r="J100" i="5"/>
  <c r="K100" i="5"/>
  <c r="L100" i="5"/>
  <c r="M100" i="5"/>
  <c r="N100" i="5"/>
  <c r="O100" i="5"/>
  <c r="P100" i="5"/>
  <c r="AC100" i="5" s="1"/>
  <c r="Q100" i="5"/>
  <c r="R100" i="5"/>
  <c r="S100" i="5"/>
  <c r="T100" i="5"/>
  <c r="U100" i="5"/>
  <c r="V100" i="5"/>
  <c r="W100" i="5"/>
  <c r="X100" i="5"/>
  <c r="B101" i="5"/>
  <c r="C101" i="5"/>
  <c r="D101" i="5"/>
  <c r="E101" i="5"/>
  <c r="F101" i="5"/>
  <c r="G101" i="5"/>
  <c r="H101" i="5"/>
  <c r="I101" i="5"/>
  <c r="J101" i="5"/>
  <c r="K101" i="5"/>
  <c r="L101" i="5"/>
  <c r="M101" i="5"/>
  <c r="N101" i="5"/>
  <c r="O101" i="5"/>
  <c r="P101" i="5"/>
  <c r="AC101" i="5" s="1"/>
  <c r="Q101" i="5"/>
  <c r="R101" i="5"/>
  <c r="S101" i="5"/>
  <c r="T101" i="5"/>
  <c r="U101" i="5"/>
  <c r="V101" i="5"/>
  <c r="W101" i="5"/>
  <c r="X101" i="5"/>
  <c r="B102" i="5"/>
  <c r="C102" i="5"/>
  <c r="D102" i="5"/>
  <c r="AB102" i="5" s="1"/>
  <c r="E102" i="5"/>
  <c r="F102" i="5"/>
  <c r="G102" i="5"/>
  <c r="H102" i="5"/>
  <c r="I102" i="5"/>
  <c r="J102" i="5"/>
  <c r="K102" i="5"/>
  <c r="L102" i="5"/>
  <c r="M102" i="5"/>
  <c r="N102" i="5"/>
  <c r="O102" i="5"/>
  <c r="P102" i="5"/>
  <c r="Q102" i="5"/>
  <c r="R102" i="5"/>
  <c r="S102" i="5"/>
  <c r="T102" i="5"/>
  <c r="U102" i="5"/>
  <c r="V102" i="5"/>
  <c r="W102" i="5"/>
  <c r="X102" i="5"/>
  <c r="B103" i="5"/>
  <c r="C103" i="5"/>
  <c r="D103" i="5"/>
  <c r="E103" i="5"/>
  <c r="F103" i="5"/>
  <c r="G103" i="5"/>
  <c r="H103" i="5"/>
  <c r="I103" i="5"/>
  <c r="J103" i="5"/>
  <c r="K103" i="5"/>
  <c r="L103" i="5"/>
  <c r="M103" i="5"/>
  <c r="N103" i="5"/>
  <c r="O103" i="5"/>
  <c r="P103" i="5"/>
  <c r="AC103" i="5" s="1"/>
  <c r="Q103" i="5"/>
  <c r="R103" i="5"/>
  <c r="S103" i="5"/>
  <c r="T103" i="5"/>
  <c r="U103" i="5"/>
  <c r="V103" i="5"/>
  <c r="W103" i="5"/>
  <c r="X103" i="5"/>
  <c r="B104" i="5"/>
  <c r="C104" i="5"/>
  <c r="D104" i="5"/>
  <c r="AB104" i="5" s="1"/>
  <c r="E104" i="5"/>
  <c r="F104" i="5"/>
  <c r="G104" i="5"/>
  <c r="H104" i="5"/>
  <c r="I104" i="5"/>
  <c r="J104" i="5"/>
  <c r="K104" i="5"/>
  <c r="L104" i="5"/>
  <c r="M104" i="5"/>
  <c r="N104" i="5"/>
  <c r="O104" i="5"/>
  <c r="P104" i="5"/>
  <c r="Q104" i="5"/>
  <c r="R104" i="5"/>
  <c r="S104" i="5"/>
  <c r="T104" i="5"/>
  <c r="U104" i="5"/>
  <c r="V104" i="5"/>
  <c r="W104" i="5"/>
  <c r="X104" i="5"/>
  <c r="B105" i="5"/>
  <c r="C105" i="5"/>
  <c r="D105" i="5"/>
  <c r="E105" i="5"/>
  <c r="F105" i="5"/>
  <c r="G105" i="5"/>
  <c r="H105" i="5"/>
  <c r="I105" i="5"/>
  <c r="J105" i="5"/>
  <c r="K105" i="5"/>
  <c r="L105" i="5"/>
  <c r="M105" i="5"/>
  <c r="N105" i="5"/>
  <c r="O105" i="5"/>
  <c r="P105" i="5"/>
  <c r="Q105" i="5"/>
  <c r="R105" i="5"/>
  <c r="S105" i="5"/>
  <c r="T105" i="5"/>
  <c r="U105" i="5"/>
  <c r="V105" i="5"/>
  <c r="W105" i="5"/>
  <c r="X105" i="5"/>
  <c r="B106" i="5"/>
  <c r="C106" i="5"/>
  <c r="D106" i="5"/>
  <c r="E106" i="5"/>
  <c r="F106" i="5"/>
  <c r="G106" i="5"/>
  <c r="H106" i="5"/>
  <c r="I106" i="5"/>
  <c r="J106" i="5"/>
  <c r="K106" i="5"/>
  <c r="L106" i="5"/>
  <c r="M106" i="5"/>
  <c r="N106" i="5"/>
  <c r="O106" i="5"/>
  <c r="P106" i="5"/>
  <c r="Q106" i="5"/>
  <c r="R106" i="5"/>
  <c r="S106" i="5"/>
  <c r="T106" i="5"/>
  <c r="U106" i="5"/>
  <c r="V106" i="5"/>
  <c r="W106" i="5"/>
  <c r="X106" i="5"/>
  <c r="B107" i="5"/>
  <c r="C107" i="5"/>
  <c r="D107" i="5"/>
  <c r="E107" i="5"/>
  <c r="F107" i="5"/>
  <c r="G107" i="5"/>
  <c r="H107" i="5"/>
  <c r="I107" i="5"/>
  <c r="J107" i="5"/>
  <c r="K107" i="5"/>
  <c r="L107" i="5"/>
  <c r="M107" i="5"/>
  <c r="N107" i="5"/>
  <c r="O107" i="5"/>
  <c r="P107" i="5"/>
  <c r="Q107" i="5"/>
  <c r="R107" i="5"/>
  <c r="S107" i="5"/>
  <c r="T107" i="5"/>
  <c r="U107" i="5"/>
  <c r="V107" i="5"/>
  <c r="W107" i="5"/>
  <c r="X107" i="5"/>
  <c r="B108" i="5"/>
  <c r="C108" i="5"/>
  <c r="D108" i="5"/>
  <c r="E108" i="5"/>
  <c r="F108" i="5"/>
  <c r="G108" i="5"/>
  <c r="H108" i="5"/>
  <c r="I108" i="5"/>
  <c r="J108" i="5"/>
  <c r="K108" i="5"/>
  <c r="L108" i="5"/>
  <c r="M108" i="5"/>
  <c r="N108" i="5"/>
  <c r="AC108" i="5" s="1"/>
  <c r="O108" i="5"/>
  <c r="P108" i="5"/>
  <c r="Q108" i="5"/>
  <c r="R108" i="5"/>
  <c r="S108" i="5"/>
  <c r="T108" i="5"/>
  <c r="U108" i="5"/>
  <c r="V108" i="5"/>
  <c r="W108" i="5"/>
  <c r="X108" i="5"/>
  <c r="B109" i="5"/>
  <c r="C109" i="5"/>
  <c r="D109" i="5"/>
  <c r="E109" i="5"/>
  <c r="F109" i="5"/>
  <c r="G109" i="5"/>
  <c r="H109" i="5"/>
  <c r="I109" i="5"/>
  <c r="J109" i="5"/>
  <c r="K109" i="5"/>
  <c r="L109" i="5"/>
  <c r="M109" i="5"/>
  <c r="N109" i="5"/>
  <c r="AC109" i="5" s="1"/>
  <c r="O109" i="5"/>
  <c r="P109" i="5"/>
  <c r="Q109" i="5"/>
  <c r="R109" i="5"/>
  <c r="S109" i="5"/>
  <c r="T109" i="5"/>
  <c r="U109" i="5"/>
  <c r="V109" i="5"/>
  <c r="W109" i="5"/>
  <c r="X109" i="5"/>
  <c r="B110" i="5"/>
  <c r="C110" i="5"/>
  <c r="AB110" i="5" s="1"/>
  <c r="D110" i="5"/>
  <c r="E110" i="5"/>
  <c r="F110" i="5"/>
  <c r="G110" i="5"/>
  <c r="H110" i="5"/>
  <c r="I110" i="5"/>
  <c r="J110" i="5"/>
  <c r="K110" i="5"/>
  <c r="L110" i="5"/>
  <c r="M110" i="5"/>
  <c r="N110" i="5"/>
  <c r="O110" i="5"/>
  <c r="P110" i="5"/>
  <c r="Q110" i="5"/>
  <c r="R110" i="5"/>
  <c r="S110" i="5"/>
  <c r="T110" i="5"/>
  <c r="U110" i="5"/>
  <c r="V110" i="5"/>
  <c r="W110" i="5"/>
  <c r="X110" i="5"/>
  <c r="B111" i="5"/>
  <c r="C111" i="5"/>
  <c r="D111" i="5"/>
  <c r="E111" i="5"/>
  <c r="F111" i="5"/>
  <c r="G111" i="5"/>
  <c r="H111" i="5"/>
  <c r="I111" i="5"/>
  <c r="J111" i="5"/>
  <c r="K111" i="5"/>
  <c r="L111" i="5"/>
  <c r="M111" i="5"/>
  <c r="N111" i="5"/>
  <c r="AC111" i="5" s="1"/>
  <c r="O111" i="5"/>
  <c r="P111" i="5"/>
  <c r="Q111" i="5"/>
  <c r="R111" i="5"/>
  <c r="S111" i="5"/>
  <c r="T111" i="5"/>
  <c r="U111" i="5"/>
  <c r="V111" i="5"/>
  <c r="W111" i="5"/>
  <c r="X111" i="5"/>
  <c r="B112" i="5"/>
  <c r="C112" i="5"/>
  <c r="AB112" i="5" s="1"/>
  <c r="D112" i="5"/>
  <c r="E112" i="5"/>
  <c r="F112" i="5"/>
  <c r="G112" i="5"/>
  <c r="H112" i="5"/>
  <c r="I112" i="5"/>
  <c r="J112" i="5"/>
  <c r="K112" i="5"/>
  <c r="L112" i="5"/>
  <c r="M112" i="5"/>
  <c r="N112" i="5"/>
  <c r="O112" i="5"/>
  <c r="AC112" i="5" s="1"/>
  <c r="P112" i="5"/>
  <c r="Q112" i="5"/>
  <c r="R112" i="5"/>
  <c r="S112" i="5"/>
  <c r="T112" i="5"/>
  <c r="U112" i="5"/>
  <c r="V112" i="5"/>
  <c r="W112" i="5"/>
  <c r="X112" i="5"/>
  <c r="B113" i="5"/>
  <c r="C113" i="5"/>
  <c r="D113" i="5"/>
  <c r="E113" i="5"/>
  <c r="F113" i="5"/>
  <c r="G113" i="5"/>
  <c r="H113" i="5"/>
  <c r="I113" i="5"/>
  <c r="J113" i="5"/>
  <c r="K113" i="5"/>
  <c r="L113" i="5"/>
  <c r="M113" i="5"/>
  <c r="N113" i="5"/>
  <c r="O113" i="5"/>
  <c r="P113" i="5"/>
  <c r="Q113" i="5"/>
  <c r="R113" i="5"/>
  <c r="S113" i="5"/>
  <c r="T113" i="5"/>
  <c r="U113" i="5"/>
  <c r="V113" i="5"/>
  <c r="W113" i="5"/>
  <c r="X113" i="5"/>
  <c r="B114" i="5"/>
  <c r="C114" i="5"/>
  <c r="D114" i="5"/>
  <c r="E114" i="5"/>
  <c r="F114" i="5"/>
  <c r="G114" i="5"/>
  <c r="H114" i="5"/>
  <c r="I114" i="5"/>
  <c r="J114" i="5"/>
  <c r="K114" i="5"/>
  <c r="L114" i="5"/>
  <c r="M114" i="5"/>
  <c r="N114" i="5"/>
  <c r="O114" i="5"/>
  <c r="P114" i="5"/>
  <c r="Q114" i="5"/>
  <c r="R114" i="5"/>
  <c r="S114" i="5"/>
  <c r="T114" i="5"/>
  <c r="U114" i="5"/>
  <c r="V114" i="5"/>
  <c r="W114" i="5"/>
  <c r="X114" i="5"/>
  <c r="B115" i="5"/>
  <c r="C115" i="5"/>
  <c r="D115" i="5"/>
  <c r="E115" i="5"/>
  <c r="F115" i="5"/>
  <c r="G115" i="5"/>
  <c r="H115" i="5"/>
  <c r="I115" i="5"/>
  <c r="J115" i="5"/>
  <c r="K115" i="5"/>
  <c r="L115" i="5"/>
  <c r="M115" i="5"/>
  <c r="N115" i="5"/>
  <c r="O115" i="5"/>
  <c r="P115" i="5"/>
  <c r="Q115" i="5"/>
  <c r="R115" i="5"/>
  <c r="S115" i="5"/>
  <c r="T115" i="5"/>
  <c r="U115" i="5"/>
  <c r="V115" i="5"/>
  <c r="W115" i="5"/>
  <c r="X115" i="5"/>
  <c r="B116" i="5"/>
  <c r="C116" i="5"/>
  <c r="D116" i="5"/>
  <c r="E116" i="5"/>
  <c r="F116" i="5"/>
  <c r="G116" i="5"/>
  <c r="H116" i="5"/>
  <c r="I116" i="5"/>
  <c r="J116" i="5"/>
  <c r="K116" i="5"/>
  <c r="L116" i="5"/>
  <c r="M116" i="5"/>
  <c r="N116" i="5"/>
  <c r="AC116" i="5" s="1"/>
  <c r="O116" i="5"/>
  <c r="P116" i="5"/>
  <c r="Q116" i="5"/>
  <c r="R116" i="5"/>
  <c r="S116" i="5"/>
  <c r="T116" i="5"/>
  <c r="U116" i="5"/>
  <c r="V116" i="5"/>
  <c r="W116" i="5"/>
  <c r="X116" i="5"/>
  <c r="B117" i="5"/>
  <c r="C117" i="5"/>
  <c r="D117" i="5"/>
  <c r="E117" i="5"/>
  <c r="F117" i="5"/>
  <c r="G117" i="5"/>
  <c r="H117" i="5"/>
  <c r="I117" i="5"/>
  <c r="J117" i="5"/>
  <c r="K117" i="5"/>
  <c r="L117" i="5"/>
  <c r="M117" i="5"/>
  <c r="N117" i="5"/>
  <c r="AC117" i="5" s="1"/>
  <c r="O117" i="5"/>
  <c r="P117" i="5"/>
  <c r="Q117" i="5"/>
  <c r="R117" i="5"/>
  <c r="S117" i="5"/>
  <c r="T117" i="5"/>
  <c r="U117" i="5"/>
  <c r="V117" i="5"/>
  <c r="W117" i="5"/>
  <c r="X117" i="5"/>
  <c r="B118" i="5"/>
  <c r="C118" i="5"/>
  <c r="D118" i="5"/>
  <c r="E118" i="5"/>
  <c r="F118" i="5"/>
  <c r="G118" i="5"/>
  <c r="H118" i="5"/>
  <c r="I118" i="5"/>
  <c r="J118" i="5"/>
  <c r="K118" i="5"/>
  <c r="L118" i="5"/>
  <c r="M118" i="5"/>
  <c r="N118" i="5"/>
  <c r="O118" i="5"/>
  <c r="P118" i="5"/>
  <c r="Q118" i="5"/>
  <c r="R118" i="5"/>
  <c r="S118" i="5"/>
  <c r="T118" i="5"/>
  <c r="U118" i="5"/>
  <c r="V118" i="5"/>
  <c r="W118" i="5"/>
  <c r="X118" i="5"/>
  <c r="AB118" i="5"/>
  <c r="B119" i="5"/>
  <c r="C119" i="5"/>
  <c r="D119" i="5"/>
  <c r="E119" i="5"/>
  <c r="F119" i="5"/>
  <c r="G119" i="5"/>
  <c r="H119" i="5"/>
  <c r="I119" i="5"/>
  <c r="J119" i="5"/>
  <c r="K119" i="5"/>
  <c r="L119" i="5"/>
  <c r="M119" i="5"/>
  <c r="N119" i="5"/>
  <c r="O119" i="5"/>
  <c r="P119" i="5"/>
  <c r="Q119" i="5"/>
  <c r="R119" i="5"/>
  <c r="S119" i="5"/>
  <c r="T119" i="5"/>
  <c r="U119" i="5"/>
  <c r="V119" i="5"/>
  <c r="W119" i="5"/>
  <c r="X119" i="5"/>
  <c r="AC119" i="5"/>
  <c r="B120" i="5"/>
  <c r="C120" i="5"/>
  <c r="D120" i="5"/>
  <c r="E120" i="5"/>
  <c r="F120" i="5"/>
  <c r="G120" i="5"/>
  <c r="H120" i="5"/>
  <c r="I120" i="5"/>
  <c r="J120" i="5"/>
  <c r="K120" i="5"/>
  <c r="L120" i="5"/>
  <c r="M120" i="5"/>
  <c r="N120" i="5"/>
  <c r="O120" i="5"/>
  <c r="AC120" i="5" s="1"/>
  <c r="P120" i="5"/>
  <c r="Q120" i="5"/>
  <c r="R120" i="5"/>
  <c r="S120" i="5"/>
  <c r="T120" i="5"/>
  <c r="U120" i="5"/>
  <c r="V120" i="5"/>
  <c r="W120" i="5"/>
  <c r="X120" i="5"/>
  <c r="AB120" i="5"/>
  <c r="B121" i="5"/>
  <c r="C121" i="5"/>
  <c r="D121" i="5"/>
  <c r="E121" i="5"/>
  <c r="F121" i="5"/>
  <c r="G121" i="5"/>
  <c r="H121" i="5"/>
  <c r="I121" i="5"/>
  <c r="J121" i="5"/>
  <c r="K121" i="5"/>
  <c r="L121" i="5"/>
  <c r="M121" i="5"/>
  <c r="N121" i="5"/>
  <c r="O121" i="5"/>
  <c r="P121" i="5"/>
  <c r="Q121" i="5"/>
  <c r="R121" i="5"/>
  <c r="S121" i="5"/>
  <c r="T121" i="5"/>
  <c r="U121" i="5"/>
  <c r="V121" i="5"/>
  <c r="W121" i="5"/>
  <c r="X121" i="5"/>
  <c r="B122" i="5"/>
  <c r="C122" i="5"/>
  <c r="D122" i="5"/>
  <c r="E122" i="5"/>
  <c r="F122" i="5"/>
  <c r="G122" i="5"/>
  <c r="H122" i="5"/>
  <c r="I122" i="5"/>
  <c r="J122" i="5"/>
  <c r="K122" i="5"/>
  <c r="L122" i="5"/>
  <c r="M122" i="5"/>
  <c r="N122" i="5"/>
  <c r="O122" i="5"/>
  <c r="P122" i="5"/>
  <c r="Q122" i="5"/>
  <c r="R122" i="5"/>
  <c r="S122" i="5"/>
  <c r="T122" i="5"/>
  <c r="U122" i="5"/>
  <c r="V122" i="5"/>
  <c r="W122" i="5"/>
  <c r="X122" i="5"/>
  <c r="B123" i="5"/>
  <c r="C123" i="5"/>
  <c r="D123" i="5"/>
  <c r="E123" i="5"/>
  <c r="F123" i="5"/>
  <c r="G123" i="5"/>
  <c r="H123" i="5"/>
  <c r="I123" i="5"/>
  <c r="J123" i="5"/>
  <c r="K123" i="5"/>
  <c r="L123" i="5"/>
  <c r="M123" i="5"/>
  <c r="N123" i="5"/>
  <c r="O123" i="5"/>
  <c r="P123" i="5"/>
  <c r="Q123" i="5"/>
  <c r="R123" i="5"/>
  <c r="S123" i="5"/>
  <c r="T123" i="5"/>
  <c r="U123" i="5"/>
  <c r="V123" i="5"/>
  <c r="W123" i="5"/>
  <c r="X123" i="5"/>
  <c r="B124" i="5"/>
  <c r="C124" i="5"/>
  <c r="D124" i="5"/>
  <c r="E124" i="5"/>
  <c r="F124" i="5"/>
  <c r="G124" i="5"/>
  <c r="H124" i="5"/>
  <c r="I124" i="5"/>
  <c r="J124" i="5"/>
  <c r="K124" i="5"/>
  <c r="L124" i="5"/>
  <c r="M124" i="5"/>
  <c r="N124" i="5"/>
  <c r="O124" i="5"/>
  <c r="P124" i="5"/>
  <c r="Q124" i="5"/>
  <c r="R124" i="5"/>
  <c r="S124" i="5"/>
  <c r="T124" i="5"/>
  <c r="U124" i="5"/>
  <c r="V124" i="5"/>
  <c r="W124" i="5"/>
  <c r="X124" i="5"/>
  <c r="AC124" i="5"/>
  <c r="B125" i="5"/>
  <c r="C125" i="5"/>
  <c r="D125" i="5"/>
  <c r="E125" i="5"/>
  <c r="F125" i="5"/>
  <c r="G125" i="5"/>
  <c r="H125" i="5"/>
  <c r="I125" i="5"/>
  <c r="J125" i="5"/>
  <c r="K125" i="5"/>
  <c r="L125" i="5"/>
  <c r="M125" i="5"/>
  <c r="N125" i="5"/>
  <c r="O125" i="5"/>
  <c r="P125" i="5"/>
  <c r="Q125" i="5"/>
  <c r="R125" i="5"/>
  <c r="S125" i="5"/>
  <c r="T125" i="5"/>
  <c r="U125" i="5"/>
  <c r="V125" i="5"/>
  <c r="W125" i="5"/>
  <c r="X125" i="5"/>
  <c r="AC125" i="5"/>
  <c r="B126" i="5"/>
  <c r="C126" i="5"/>
  <c r="D126" i="5"/>
  <c r="E126" i="5"/>
  <c r="F126" i="5"/>
  <c r="G126" i="5"/>
  <c r="H126" i="5"/>
  <c r="I126" i="5"/>
  <c r="J126" i="5"/>
  <c r="K126" i="5"/>
  <c r="L126" i="5"/>
  <c r="M126" i="5"/>
  <c r="N126" i="5"/>
  <c r="O126" i="5"/>
  <c r="P126" i="5"/>
  <c r="Q126" i="5"/>
  <c r="R126" i="5"/>
  <c r="S126" i="5"/>
  <c r="T126" i="5"/>
  <c r="U126" i="5"/>
  <c r="V126" i="5"/>
  <c r="W126" i="5"/>
  <c r="X126" i="5"/>
  <c r="AB126" i="5"/>
  <c r="B127" i="5"/>
  <c r="C127" i="5"/>
  <c r="D127" i="5"/>
  <c r="E127" i="5"/>
  <c r="F127" i="5"/>
  <c r="G127" i="5"/>
  <c r="H127" i="5"/>
  <c r="I127" i="5"/>
  <c r="J127" i="5"/>
  <c r="K127" i="5"/>
  <c r="L127" i="5"/>
  <c r="M127" i="5"/>
  <c r="N127" i="5"/>
  <c r="O127" i="5"/>
  <c r="P127" i="5"/>
  <c r="Q127" i="5"/>
  <c r="R127" i="5"/>
  <c r="S127" i="5"/>
  <c r="T127" i="5"/>
  <c r="U127" i="5"/>
  <c r="V127" i="5"/>
  <c r="W127" i="5"/>
  <c r="X127" i="5"/>
  <c r="AC127" i="5"/>
  <c r="B128" i="5"/>
  <c r="C128" i="5"/>
  <c r="D128" i="5"/>
  <c r="E128" i="5"/>
  <c r="F128" i="5"/>
  <c r="G128" i="5"/>
  <c r="H128" i="5"/>
  <c r="I128" i="5"/>
  <c r="J128" i="5"/>
  <c r="K128" i="5"/>
  <c r="L128" i="5"/>
  <c r="M128" i="5"/>
  <c r="N128" i="5"/>
  <c r="O128" i="5"/>
  <c r="P128" i="5"/>
  <c r="Q128" i="5"/>
  <c r="R128" i="5"/>
  <c r="S128" i="5"/>
  <c r="T128" i="5"/>
  <c r="U128" i="5"/>
  <c r="V128" i="5"/>
  <c r="W128" i="5"/>
  <c r="X128" i="5"/>
  <c r="AB128" i="5"/>
  <c r="B129" i="5"/>
  <c r="C129" i="5"/>
  <c r="D129" i="5"/>
  <c r="E129" i="5"/>
  <c r="F129" i="5"/>
  <c r="G129" i="5"/>
  <c r="H129" i="5"/>
  <c r="I129" i="5"/>
  <c r="J129" i="5"/>
  <c r="K129" i="5"/>
  <c r="L129" i="5"/>
  <c r="M129" i="5"/>
  <c r="N129" i="5"/>
  <c r="O129" i="5"/>
  <c r="P129" i="5"/>
  <c r="Q129" i="5"/>
  <c r="R129" i="5"/>
  <c r="S129" i="5"/>
  <c r="T129" i="5"/>
  <c r="U129" i="5"/>
  <c r="V129" i="5"/>
  <c r="W129" i="5"/>
  <c r="X129" i="5"/>
  <c r="B130" i="5"/>
  <c r="C130" i="5"/>
  <c r="D130" i="5"/>
  <c r="E130" i="5"/>
  <c r="F130" i="5"/>
  <c r="G130" i="5"/>
  <c r="H130" i="5"/>
  <c r="I130" i="5"/>
  <c r="J130" i="5"/>
  <c r="K130" i="5"/>
  <c r="L130" i="5"/>
  <c r="M130" i="5"/>
  <c r="N130" i="5"/>
  <c r="O130" i="5"/>
  <c r="P130" i="5"/>
  <c r="Q130" i="5"/>
  <c r="R130" i="5"/>
  <c r="S130" i="5"/>
  <c r="T130" i="5"/>
  <c r="U130" i="5"/>
  <c r="V130" i="5"/>
  <c r="W130" i="5"/>
  <c r="X130" i="5"/>
  <c r="B131" i="5"/>
  <c r="C131" i="5"/>
  <c r="D131" i="5"/>
  <c r="E131" i="5"/>
  <c r="F131" i="5"/>
  <c r="G131" i="5"/>
  <c r="H131" i="5"/>
  <c r="I131" i="5"/>
  <c r="J131" i="5"/>
  <c r="K131" i="5"/>
  <c r="L131" i="5"/>
  <c r="M131" i="5"/>
  <c r="N131" i="5"/>
  <c r="O131" i="5"/>
  <c r="P131" i="5"/>
  <c r="Q131" i="5"/>
  <c r="R131" i="5"/>
  <c r="S131" i="5"/>
  <c r="T131" i="5"/>
  <c r="U131" i="5"/>
  <c r="V131" i="5"/>
  <c r="W131" i="5"/>
  <c r="X131" i="5"/>
  <c r="B132" i="5"/>
  <c r="C132" i="5"/>
  <c r="D132" i="5"/>
  <c r="E132" i="5"/>
  <c r="F132" i="5"/>
  <c r="G132" i="5"/>
  <c r="H132" i="5"/>
  <c r="I132" i="5"/>
  <c r="J132" i="5"/>
  <c r="J1067" i="5" s="1"/>
  <c r="K132" i="5"/>
  <c r="L132" i="5"/>
  <c r="M132" i="5"/>
  <c r="N132" i="5"/>
  <c r="O132" i="5"/>
  <c r="P132" i="5"/>
  <c r="Q132" i="5"/>
  <c r="R132" i="5"/>
  <c r="R1067" i="5" s="1"/>
  <c r="S132" i="5"/>
  <c r="T132" i="5"/>
  <c r="U132" i="5"/>
  <c r="V132" i="5"/>
  <c r="W132" i="5"/>
  <c r="X132" i="5"/>
  <c r="AC132" i="5"/>
  <c r="B133" i="5"/>
  <c r="C133" i="5"/>
  <c r="D133" i="5"/>
  <c r="E133" i="5"/>
  <c r="F133" i="5"/>
  <c r="G133" i="5"/>
  <c r="H133" i="5"/>
  <c r="I133" i="5"/>
  <c r="J133" i="5"/>
  <c r="K133" i="5"/>
  <c r="L133" i="5"/>
  <c r="M133" i="5"/>
  <c r="N133" i="5"/>
  <c r="O133" i="5"/>
  <c r="P133" i="5"/>
  <c r="Q133" i="5"/>
  <c r="R133" i="5"/>
  <c r="S133" i="5"/>
  <c r="T133" i="5"/>
  <c r="U133" i="5"/>
  <c r="V133" i="5"/>
  <c r="W133" i="5"/>
  <c r="X133" i="5"/>
  <c r="AC133" i="5"/>
  <c r="B134" i="5"/>
  <c r="C134" i="5"/>
  <c r="D134" i="5"/>
  <c r="E134" i="5"/>
  <c r="F134" i="5"/>
  <c r="G134" i="5"/>
  <c r="H134" i="5"/>
  <c r="I134" i="5"/>
  <c r="J134" i="5"/>
  <c r="K134" i="5"/>
  <c r="L134" i="5"/>
  <c r="M134" i="5"/>
  <c r="N134" i="5"/>
  <c r="O134" i="5"/>
  <c r="P134" i="5"/>
  <c r="Q134" i="5"/>
  <c r="R134" i="5"/>
  <c r="S134" i="5"/>
  <c r="T134" i="5"/>
  <c r="U134" i="5"/>
  <c r="V134" i="5"/>
  <c r="W134" i="5"/>
  <c r="X134" i="5"/>
  <c r="AB134" i="5"/>
  <c r="B135" i="5"/>
  <c r="C135" i="5"/>
  <c r="D135" i="5"/>
  <c r="E135" i="5"/>
  <c r="F135" i="5"/>
  <c r="G135" i="5"/>
  <c r="H135" i="5"/>
  <c r="I135" i="5"/>
  <c r="J135" i="5"/>
  <c r="K135" i="5"/>
  <c r="L135" i="5"/>
  <c r="M135" i="5"/>
  <c r="N135" i="5"/>
  <c r="O135" i="5"/>
  <c r="P135" i="5"/>
  <c r="Q135" i="5"/>
  <c r="R135" i="5"/>
  <c r="S135" i="5"/>
  <c r="T135" i="5"/>
  <c r="U135" i="5"/>
  <c r="V135" i="5"/>
  <c r="W135" i="5"/>
  <c r="X135" i="5"/>
  <c r="AC135" i="5"/>
  <c r="B136" i="5"/>
  <c r="C136" i="5"/>
  <c r="D136" i="5"/>
  <c r="E136" i="5"/>
  <c r="F136" i="5"/>
  <c r="G136" i="5"/>
  <c r="H136" i="5"/>
  <c r="I136" i="5"/>
  <c r="J136" i="5"/>
  <c r="K136" i="5"/>
  <c r="L136" i="5"/>
  <c r="M136" i="5"/>
  <c r="N136" i="5"/>
  <c r="O136" i="5"/>
  <c r="P136" i="5"/>
  <c r="Q136" i="5"/>
  <c r="R136" i="5"/>
  <c r="S136" i="5"/>
  <c r="T136" i="5"/>
  <c r="U136" i="5"/>
  <c r="V136" i="5"/>
  <c r="W136" i="5"/>
  <c r="X136" i="5"/>
  <c r="AB136" i="5"/>
  <c r="B137" i="5"/>
  <c r="C137" i="5"/>
  <c r="D137" i="5"/>
  <c r="E137" i="5"/>
  <c r="F137" i="5"/>
  <c r="G137" i="5"/>
  <c r="H137" i="5"/>
  <c r="I137" i="5"/>
  <c r="J137" i="5"/>
  <c r="K137" i="5"/>
  <c r="L137" i="5"/>
  <c r="M137" i="5"/>
  <c r="N137" i="5"/>
  <c r="O137" i="5"/>
  <c r="P137" i="5"/>
  <c r="Q137" i="5"/>
  <c r="R137" i="5"/>
  <c r="S137" i="5"/>
  <c r="T137" i="5"/>
  <c r="U137" i="5"/>
  <c r="V137" i="5"/>
  <c r="W137" i="5"/>
  <c r="X137" i="5"/>
  <c r="B138" i="5"/>
  <c r="C138" i="5"/>
  <c r="D138" i="5"/>
  <c r="E138" i="5"/>
  <c r="F138" i="5"/>
  <c r="G138" i="5"/>
  <c r="H138" i="5"/>
  <c r="I138" i="5"/>
  <c r="J138" i="5"/>
  <c r="K138" i="5"/>
  <c r="L138" i="5"/>
  <c r="M138" i="5"/>
  <c r="N138" i="5"/>
  <c r="O138" i="5"/>
  <c r="P138" i="5"/>
  <c r="Q138" i="5"/>
  <c r="R138" i="5"/>
  <c r="S138" i="5"/>
  <c r="T138" i="5"/>
  <c r="U138" i="5"/>
  <c r="V138" i="5"/>
  <c r="W138" i="5"/>
  <c r="X138" i="5"/>
  <c r="B139" i="5"/>
  <c r="C139" i="5"/>
  <c r="D139" i="5"/>
  <c r="E139" i="5"/>
  <c r="F139" i="5"/>
  <c r="G139" i="5"/>
  <c r="H139" i="5"/>
  <c r="I139" i="5"/>
  <c r="J139" i="5"/>
  <c r="K139" i="5"/>
  <c r="L139" i="5"/>
  <c r="M139" i="5"/>
  <c r="N139" i="5"/>
  <c r="O139" i="5"/>
  <c r="P139" i="5"/>
  <c r="Q139" i="5"/>
  <c r="R139" i="5"/>
  <c r="S139" i="5"/>
  <c r="T139" i="5"/>
  <c r="U139" i="5"/>
  <c r="V139" i="5"/>
  <c r="W139" i="5"/>
  <c r="X139" i="5"/>
  <c r="B140" i="5"/>
  <c r="C140" i="5"/>
  <c r="D140" i="5"/>
  <c r="E140" i="5"/>
  <c r="F140" i="5"/>
  <c r="G140" i="5"/>
  <c r="H140" i="5"/>
  <c r="I140" i="5"/>
  <c r="J140" i="5"/>
  <c r="K140" i="5"/>
  <c r="L140" i="5"/>
  <c r="M140" i="5"/>
  <c r="N140" i="5"/>
  <c r="O140" i="5"/>
  <c r="P140" i="5"/>
  <c r="AC140" i="5" s="1"/>
  <c r="Q140" i="5"/>
  <c r="R140" i="5"/>
  <c r="S140" i="5"/>
  <c r="T140" i="5"/>
  <c r="U140" i="5"/>
  <c r="V140" i="5"/>
  <c r="W140" i="5"/>
  <c r="X140" i="5"/>
  <c r="B141" i="5"/>
  <c r="C141" i="5"/>
  <c r="D141" i="5"/>
  <c r="E141" i="5"/>
  <c r="F141" i="5"/>
  <c r="G141" i="5"/>
  <c r="H141" i="5"/>
  <c r="I141" i="5"/>
  <c r="J141" i="5"/>
  <c r="K141" i="5"/>
  <c r="L141" i="5"/>
  <c r="M141" i="5"/>
  <c r="N141" i="5"/>
  <c r="O141" i="5"/>
  <c r="P141" i="5"/>
  <c r="AC141" i="5" s="1"/>
  <c r="Q141" i="5"/>
  <c r="R141" i="5"/>
  <c r="S141" i="5"/>
  <c r="T141" i="5"/>
  <c r="U141" i="5"/>
  <c r="V141" i="5"/>
  <c r="W141" i="5"/>
  <c r="X141" i="5"/>
  <c r="AB141" i="5"/>
  <c r="B142" i="5"/>
  <c r="C142" i="5"/>
  <c r="D142" i="5"/>
  <c r="E142" i="5"/>
  <c r="F142" i="5"/>
  <c r="G142" i="5"/>
  <c r="H142" i="5"/>
  <c r="I142" i="5"/>
  <c r="J142" i="5"/>
  <c r="K142" i="5"/>
  <c r="L142" i="5"/>
  <c r="M142" i="5"/>
  <c r="N142" i="5"/>
  <c r="O142" i="5"/>
  <c r="P142" i="5"/>
  <c r="Q142" i="5"/>
  <c r="R142" i="5"/>
  <c r="S142" i="5"/>
  <c r="T142" i="5"/>
  <c r="U142" i="5"/>
  <c r="V142" i="5"/>
  <c r="W142" i="5"/>
  <c r="X142" i="5"/>
  <c r="B143" i="5"/>
  <c r="C143" i="5"/>
  <c r="D143" i="5"/>
  <c r="E143" i="5"/>
  <c r="F143" i="5"/>
  <c r="G143" i="5"/>
  <c r="H143" i="5"/>
  <c r="I143" i="5"/>
  <c r="J143" i="5"/>
  <c r="K143" i="5"/>
  <c r="L143" i="5"/>
  <c r="M143" i="5"/>
  <c r="N143" i="5"/>
  <c r="O143" i="5"/>
  <c r="P143" i="5"/>
  <c r="AC143" i="5" s="1"/>
  <c r="Q143" i="5"/>
  <c r="R143" i="5"/>
  <c r="S143" i="5"/>
  <c r="T143" i="5"/>
  <c r="U143" i="5"/>
  <c r="V143" i="5"/>
  <c r="W143" i="5"/>
  <c r="X143" i="5"/>
  <c r="B144" i="5"/>
  <c r="C144" i="5"/>
  <c r="D144" i="5"/>
  <c r="E144" i="5"/>
  <c r="F144" i="5"/>
  <c r="G144" i="5"/>
  <c r="H144" i="5"/>
  <c r="I144" i="5"/>
  <c r="J144" i="5"/>
  <c r="K144" i="5"/>
  <c r="L144" i="5"/>
  <c r="M144" i="5"/>
  <c r="N144" i="5"/>
  <c r="O144" i="5"/>
  <c r="P144" i="5"/>
  <c r="Q144" i="5"/>
  <c r="R144" i="5"/>
  <c r="S144" i="5"/>
  <c r="T144" i="5"/>
  <c r="U144" i="5"/>
  <c r="V144" i="5"/>
  <c r="W144" i="5"/>
  <c r="X144" i="5"/>
  <c r="AB144" i="5"/>
  <c r="B145" i="5"/>
  <c r="C145" i="5"/>
  <c r="D145" i="5"/>
  <c r="E145" i="5"/>
  <c r="F145" i="5"/>
  <c r="G145" i="5"/>
  <c r="H145" i="5"/>
  <c r="I145" i="5"/>
  <c r="J145" i="5"/>
  <c r="K145" i="5"/>
  <c r="L145" i="5"/>
  <c r="M145" i="5"/>
  <c r="N145" i="5"/>
  <c r="O145" i="5"/>
  <c r="P145" i="5"/>
  <c r="Q145" i="5"/>
  <c r="R145" i="5"/>
  <c r="S145" i="5"/>
  <c r="T145" i="5"/>
  <c r="U145" i="5"/>
  <c r="V145" i="5"/>
  <c r="W145" i="5"/>
  <c r="X145" i="5"/>
  <c r="B146" i="5"/>
  <c r="C146" i="5"/>
  <c r="D146" i="5"/>
  <c r="E146" i="5"/>
  <c r="F146" i="5"/>
  <c r="G146" i="5"/>
  <c r="H146" i="5"/>
  <c r="I146" i="5"/>
  <c r="J146" i="5"/>
  <c r="K146" i="5"/>
  <c r="L146" i="5"/>
  <c r="M146" i="5"/>
  <c r="N146" i="5"/>
  <c r="O146" i="5"/>
  <c r="P146" i="5"/>
  <c r="Q146" i="5"/>
  <c r="R146" i="5"/>
  <c r="S146" i="5"/>
  <c r="T146" i="5"/>
  <c r="U146" i="5"/>
  <c r="V146" i="5"/>
  <c r="W146" i="5"/>
  <c r="X146" i="5"/>
  <c r="B147" i="5"/>
  <c r="C147" i="5"/>
  <c r="D147" i="5"/>
  <c r="E147" i="5"/>
  <c r="F147" i="5"/>
  <c r="G147" i="5"/>
  <c r="H147" i="5"/>
  <c r="I147" i="5"/>
  <c r="J147" i="5"/>
  <c r="K147" i="5"/>
  <c r="L147" i="5"/>
  <c r="M147" i="5"/>
  <c r="N147" i="5"/>
  <c r="O147" i="5"/>
  <c r="P147" i="5"/>
  <c r="Q147" i="5"/>
  <c r="R147" i="5"/>
  <c r="S147" i="5"/>
  <c r="T147" i="5"/>
  <c r="U147" i="5"/>
  <c r="V147" i="5"/>
  <c r="W147" i="5"/>
  <c r="X147" i="5"/>
  <c r="B148" i="5"/>
  <c r="C148" i="5"/>
  <c r="D148" i="5"/>
  <c r="E148" i="5"/>
  <c r="F148" i="5"/>
  <c r="G148" i="5"/>
  <c r="H148" i="5"/>
  <c r="I148" i="5"/>
  <c r="J148" i="5"/>
  <c r="K148" i="5"/>
  <c r="L148" i="5"/>
  <c r="M148" i="5"/>
  <c r="N148" i="5"/>
  <c r="O148" i="5"/>
  <c r="P148" i="5"/>
  <c r="Q148" i="5"/>
  <c r="R148" i="5"/>
  <c r="S148" i="5"/>
  <c r="T148" i="5"/>
  <c r="U148" i="5"/>
  <c r="V148" i="5"/>
  <c r="W148" i="5"/>
  <c r="X148" i="5"/>
  <c r="AC148" i="5"/>
  <c r="B149" i="5"/>
  <c r="C149" i="5"/>
  <c r="D149" i="5"/>
  <c r="E149" i="5"/>
  <c r="F149" i="5"/>
  <c r="G149" i="5"/>
  <c r="H149" i="5"/>
  <c r="I149" i="5"/>
  <c r="J149" i="5"/>
  <c r="K149" i="5"/>
  <c r="L149" i="5"/>
  <c r="M149" i="5"/>
  <c r="N149" i="5"/>
  <c r="O149" i="5"/>
  <c r="P149" i="5"/>
  <c r="Q149" i="5"/>
  <c r="R149" i="5"/>
  <c r="S149" i="5"/>
  <c r="T149" i="5"/>
  <c r="U149" i="5"/>
  <c r="V149" i="5"/>
  <c r="W149" i="5"/>
  <c r="X149" i="5"/>
  <c r="AC149" i="5"/>
  <c r="B150" i="5"/>
  <c r="C150" i="5"/>
  <c r="D150" i="5"/>
  <c r="E150" i="5"/>
  <c r="F150" i="5"/>
  <c r="G150" i="5"/>
  <c r="H150" i="5"/>
  <c r="I150" i="5"/>
  <c r="J150" i="5"/>
  <c r="K150" i="5"/>
  <c r="L150" i="5"/>
  <c r="M150" i="5"/>
  <c r="N150" i="5"/>
  <c r="O150" i="5"/>
  <c r="P150" i="5"/>
  <c r="Q150" i="5"/>
  <c r="R150" i="5"/>
  <c r="S150" i="5"/>
  <c r="T150" i="5"/>
  <c r="U150" i="5"/>
  <c r="V150" i="5"/>
  <c r="W150" i="5"/>
  <c r="X150" i="5"/>
  <c r="AB150" i="5"/>
  <c r="B151" i="5"/>
  <c r="C151" i="5"/>
  <c r="D151" i="5"/>
  <c r="E151" i="5"/>
  <c r="F151" i="5"/>
  <c r="G151" i="5"/>
  <c r="H151" i="5"/>
  <c r="I151" i="5"/>
  <c r="J151" i="5"/>
  <c r="K151" i="5"/>
  <c r="L151" i="5"/>
  <c r="M151" i="5"/>
  <c r="N151" i="5"/>
  <c r="O151" i="5"/>
  <c r="P151" i="5"/>
  <c r="Q151" i="5"/>
  <c r="R151" i="5"/>
  <c r="S151" i="5"/>
  <c r="T151" i="5"/>
  <c r="U151" i="5"/>
  <c r="V151" i="5"/>
  <c r="W151" i="5"/>
  <c r="X151" i="5"/>
  <c r="B152" i="5"/>
  <c r="C152" i="5"/>
  <c r="D152" i="5"/>
  <c r="E152" i="5"/>
  <c r="F152" i="5"/>
  <c r="G152" i="5"/>
  <c r="H152" i="5"/>
  <c r="I152" i="5"/>
  <c r="J152" i="5"/>
  <c r="K152" i="5"/>
  <c r="L152" i="5"/>
  <c r="M152" i="5"/>
  <c r="N152" i="5"/>
  <c r="O152" i="5"/>
  <c r="P152" i="5"/>
  <c r="Q152" i="5"/>
  <c r="R152" i="5"/>
  <c r="S152" i="5"/>
  <c r="T152" i="5"/>
  <c r="U152" i="5"/>
  <c r="V152" i="5"/>
  <c r="W152" i="5"/>
  <c r="X152" i="5"/>
  <c r="AB152" i="5"/>
  <c r="B153" i="5"/>
  <c r="C153" i="5"/>
  <c r="D153" i="5"/>
  <c r="E153" i="5"/>
  <c r="F153" i="5"/>
  <c r="G153" i="5"/>
  <c r="H153" i="5"/>
  <c r="I153" i="5"/>
  <c r="J153" i="5"/>
  <c r="K153" i="5"/>
  <c r="L153" i="5"/>
  <c r="M153" i="5"/>
  <c r="N153" i="5"/>
  <c r="O153" i="5"/>
  <c r="P153" i="5"/>
  <c r="Q153" i="5"/>
  <c r="R153" i="5"/>
  <c r="S153" i="5"/>
  <c r="T153" i="5"/>
  <c r="U153" i="5"/>
  <c r="V153" i="5"/>
  <c r="W153" i="5"/>
  <c r="X153" i="5"/>
  <c r="B154" i="5"/>
  <c r="C154" i="5"/>
  <c r="D154" i="5"/>
  <c r="E154" i="5"/>
  <c r="F154" i="5"/>
  <c r="G154" i="5"/>
  <c r="H154" i="5"/>
  <c r="I154" i="5"/>
  <c r="J154" i="5"/>
  <c r="K154" i="5"/>
  <c r="L154" i="5"/>
  <c r="M154" i="5"/>
  <c r="N154" i="5"/>
  <c r="O154" i="5"/>
  <c r="P154" i="5"/>
  <c r="Q154" i="5"/>
  <c r="R154" i="5"/>
  <c r="S154" i="5"/>
  <c r="T154" i="5"/>
  <c r="U154" i="5"/>
  <c r="V154" i="5"/>
  <c r="W154" i="5"/>
  <c r="X154" i="5"/>
  <c r="B155" i="5"/>
  <c r="C155" i="5"/>
  <c r="D155" i="5"/>
  <c r="E155" i="5"/>
  <c r="F155" i="5"/>
  <c r="G155" i="5"/>
  <c r="H155" i="5"/>
  <c r="I155" i="5"/>
  <c r="J155" i="5"/>
  <c r="K155" i="5"/>
  <c r="L155" i="5"/>
  <c r="M155" i="5"/>
  <c r="N155" i="5"/>
  <c r="O155" i="5"/>
  <c r="P155" i="5"/>
  <c r="Q155" i="5"/>
  <c r="R155" i="5"/>
  <c r="S155" i="5"/>
  <c r="T155" i="5"/>
  <c r="U155" i="5"/>
  <c r="V155" i="5"/>
  <c r="W155" i="5"/>
  <c r="X155" i="5"/>
  <c r="B156" i="5"/>
  <c r="C156" i="5"/>
  <c r="D156" i="5"/>
  <c r="E156" i="5"/>
  <c r="F156" i="5"/>
  <c r="G156" i="5"/>
  <c r="H156" i="5"/>
  <c r="I156" i="5"/>
  <c r="J156" i="5"/>
  <c r="K156" i="5"/>
  <c r="L156" i="5"/>
  <c r="M156" i="5"/>
  <c r="N156" i="5"/>
  <c r="O156" i="5"/>
  <c r="P156" i="5"/>
  <c r="AC156" i="5" s="1"/>
  <c r="Q156" i="5"/>
  <c r="R156" i="5"/>
  <c r="S156" i="5"/>
  <c r="T156" i="5"/>
  <c r="U156" i="5"/>
  <c r="V156" i="5"/>
  <c r="W156" i="5"/>
  <c r="X156" i="5"/>
  <c r="B157" i="5"/>
  <c r="C157" i="5"/>
  <c r="D157" i="5"/>
  <c r="E157" i="5"/>
  <c r="F157" i="5"/>
  <c r="G157" i="5"/>
  <c r="H157" i="5"/>
  <c r="I157" i="5"/>
  <c r="J157" i="5"/>
  <c r="K157" i="5"/>
  <c r="L157" i="5"/>
  <c r="M157" i="5"/>
  <c r="N157" i="5"/>
  <c r="O157" i="5"/>
  <c r="P157" i="5"/>
  <c r="AC157" i="5" s="1"/>
  <c r="Q157" i="5"/>
  <c r="R157" i="5"/>
  <c r="S157" i="5"/>
  <c r="T157" i="5"/>
  <c r="U157" i="5"/>
  <c r="V157" i="5"/>
  <c r="W157" i="5"/>
  <c r="X157" i="5"/>
  <c r="B158" i="5"/>
  <c r="C158" i="5"/>
  <c r="D158" i="5"/>
  <c r="E158" i="5"/>
  <c r="F158" i="5"/>
  <c r="G158" i="5"/>
  <c r="H158" i="5"/>
  <c r="I158" i="5"/>
  <c r="J158" i="5"/>
  <c r="K158" i="5"/>
  <c r="L158" i="5"/>
  <c r="M158" i="5"/>
  <c r="N158" i="5"/>
  <c r="O158" i="5"/>
  <c r="P158" i="5"/>
  <c r="Q158" i="5"/>
  <c r="R158" i="5"/>
  <c r="S158" i="5"/>
  <c r="T158" i="5"/>
  <c r="U158" i="5"/>
  <c r="V158" i="5"/>
  <c r="W158" i="5"/>
  <c r="X158" i="5"/>
  <c r="AB158" i="5"/>
  <c r="B159" i="5"/>
  <c r="C159" i="5"/>
  <c r="D159" i="5"/>
  <c r="E159" i="5"/>
  <c r="F159" i="5"/>
  <c r="G159" i="5"/>
  <c r="H159" i="5"/>
  <c r="I159" i="5"/>
  <c r="J159" i="5"/>
  <c r="K159" i="5"/>
  <c r="L159" i="5"/>
  <c r="M159" i="5"/>
  <c r="N159" i="5"/>
  <c r="O159" i="5"/>
  <c r="P159" i="5"/>
  <c r="AC159" i="5" s="1"/>
  <c r="Q159" i="5"/>
  <c r="R159" i="5"/>
  <c r="S159" i="5"/>
  <c r="T159" i="5"/>
  <c r="U159" i="5"/>
  <c r="V159" i="5"/>
  <c r="W159" i="5"/>
  <c r="X159" i="5"/>
  <c r="B160" i="5"/>
  <c r="C160" i="5"/>
  <c r="D160" i="5"/>
  <c r="E160" i="5"/>
  <c r="F160" i="5"/>
  <c r="G160" i="5"/>
  <c r="H160" i="5"/>
  <c r="AB160" i="5" s="1"/>
  <c r="I160" i="5"/>
  <c r="J160" i="5"/>
  <c r="K160" i="5"/>
  <c r="L160" i="5"/>
  <c r="M160" i="5"/>
  <c r="N160" i="5"/>
  <c r="O160" i="5"/>
  <c r="P160" i="5"/>
  <c r="Q160" i="5"/>
  <c r="R160" i="5"/>
  <c r="S160" i="5"/>
  <c r="T160" i="5"/>
  <c r="U160" i="5"/>
  <c r="V160" i="5"/>
  <c r="W160" i="5"/>
  <c r="X160" i="5"/>
  <c r="B161" i="5"/>
  <c r="C161" i="5"/>
  <c r="D161" i="5"/>
  <c r="E161" i="5"/>
  <c r="F161" i="5"/>
  <c r="G161" i="5"/>
  <c r="H161" i="5"/>
  <c r="I161" i="5"/>
  <c r="J161" i="5"/>
  <c r="K161" i="5"/>
  <c r="L161" i="5"/>
  <c r="M161" i="5"/>
  <c r="N161" i="5"/>
  <c r="O161" i="5"/>
  <c r="P161" i="5"/>
  <c r="Q161" i="5"/>
  <c r="R161" i="5"/>
  <c r="S161" i="5"/>
  <c r="T161" i="5"/>
  <c r="U161" i="5"/>
  <c r="V161" i="5"/>
  <c r="W161" i="5"/>
  <c r="X161" i="5"/>
  <c r="B162" i="5"/>
  <c r="C162" i="5"/>
  <c r="D162" i="5"/>
  <c r="E162" i="5"/>
  <c r="F162" i="5"/>
  <c r="G162" i="5"/>
  <c r="H162" i="5"/>
  <c r="I162" i="5"/>
  <c r="J162" i="5"/>
  <c r="K162" i="5"/>
  <c r="L162" i="5"/>
  <c r="M162" i="5"/>
  <c r="N162" i="5"/>
  <c r="O162" i="5"/>
  <c r="P162" i="5"/>
  <c r="Q162" i="5"/>
  <c r="R162" i="5"/>
  <c r="S162" i="5"/>
  <c r="T162" i="5"/>
  <c r="U162" i="5"/>
  <c r="V162" i="5"/>
  <c r="W162" i="5"/>
  <c r="X162" i="5"/>
  <c r="B163" i="5"/>
  <c r="C163" i="5"/>
  <c r="D163" i="5"/>
  <c r="E163" i="5"/>
  <c r="F163" i="5"/>
  <c r="G163" i="5"/>
  <c r="H163" i="5"/>
  <c r="I163" i="5"/>
  <c r="J163" i="5"/>
  <c r="K163" i="5"/>
  <c r="L163" i="5"/>
  <c r="M163" i="5"/>
  <c r="N163" i="5"/>
  <c r="O163" i="5"/>
  <c r="P163" i="5"/>
  <c r="Q163" i="5"/>
  <c r="R163" i="5"/>
  <c r="S163" i="5"/>
  <c r="T163" i="5"/>
  <c r="U163" i="5"/>
  <c r="V163" i="5"/>
  <c r="W163" i="5"/>
  <c r="X163" i="5"/>
  <c r="B164" i="5"/>
  <c r="C164" i="5"/>
  <c r="D164" i="5"/>
  <c r="E164" i="5"/>
  <c r="F164" i="5"/>
  <c r="G164" i="5"/>
  <c r="H164" i="5"/>
  <c r="I164" i="5"/>
  <c r="J164" i="5"/>
  <c r="K164" i="5"/>
  <c r="L164" i="5"/>
  <c r="M164" i="5"/>
  <c r="N164" i="5"/>
  <c r="O164" i="5"/>
  <c r="P164" i="5"/>
  <c r="Q164" i="5"/>
  <c r="R164" i="5"/>
  <c r="S164" i="5"/>
  <c r="T164" i="5"/>
  <c r="U164" i="5"/>
  <c r="V164" i="5"/>
  <c r="W164" i="5"/>
  <c r="X164" i="5"/>
  <c r="AC164" i="5"/>
  <c r="B165" i="5"/>
  <c r="C165" i="5"/>
  <c r="D165" i="5"/>
  <c r="E165" i="5"/>
  <c r="F165" i="5"/>
  <c r="G165" i="5"/>
  <c r="H165" i="5"/>
  <c r="I165" i="5"/>
  <c r="J165" i="5"/>
  <c r="K165" i="5"/>
  <c r="L165" i="5"/>
  <c r="M165" i="5"/>
  <c r="N165" i="5"/>
  <c r="O165" i="5"/>
  <c r="P165" i="5"/>
  <c r="Q165" i="5"/>
  <c r="R165" i="5"/>
  <c r="S165" i="5"/>
  <c r="T165" i="5"/>
  <c r="U165" i="5"/>
  <c r="V165" i="5"/>
  <c r="W165" i="5"/>
  <c r="X165" i="5"/>
  <c r="AC165" i="5"/>
  <c r="B166" i="5"/>
  <c r="C166" i="5"/>
  <c r="D166" i="5"/>
  <c r="E166" i="5"/>
  <c r="F166" i="5"/>
  <c r="G166" i="5"/>
  <c r="H166" i="5"/>
  <c r="I166" i="5"/>
  <c r="J166" i="5"/>
  <c r="K166" i="5"/>
  <c r="L166" i="5"/>
  <c r="M166" i="5"/>
  <c r="N166" i="5"/>
  <c r="O166" i="5"/>
  <c r="P166" i="5"/>
  <c r="Q166" i="5"/>
  <c r="R166" i="5"/>
  <c r="S166" i="5"/>
  <c r="T166" i="5"/>
  <c r="U166" i="5"/>
  <c r="V166" i="5"/>
  <c r="W166" i="5"/>
  <c r="X166" i="5"/>
  <c r="AB166" i="5"/>
  <c r="B167" i="5"/>
  <c r="C167" i="5"/>
  <c r="D167" i="5"/>
  <c r="E167" i="5"/>
  <c r="F167" i="5"/>
  <c r="G167" i="5"/>
  <c r="H167" i="5"/>
  <c r="I167" i="5"/>
  <c r="J167" i="5"/>
  <c r="K167" i="5"/>
  <c r="L167" i="5"/>
  <c r="M167" i="5"/>
  <c r="N167" i="5"/>
  <c r="O167" i="5"/>
  <c r="P167" i="5"/>
  <c r="Q167" i="5"/>
  <c r="R167" i="5"/>
  <c r="S167" i="5"/>
  <c r="T167" i="5"/>
  <c r="U167" i="5"/>
  <c r="V167" i="5"/>
  <c r="W167" i="5"/>
  <c r="X167" i="5"/>
  <c r="AC167" i="5"/>
  <c r="B168" i="5"/>
  <c r="C168" i="5"/>
  <c r="D168" i="5"/>
  <c r="E168" i="5"/>
  <c r="F168" i="5"/>
  <c r="G168" i="5"/>
  <c r="H168" i="5"/>
  <c r="I168" i="5"/>
  <c r="J168" i="5"/>
  <c r="K168" i="5"/>
  <c r="L168" i="5"/>
  <c r="M168" i="5"/>
  <c r="N168" i="5"/>
  <c r="O168" i="5"/>
  <c r="P168" i="5"/>
  <c r="Q168" i="5"/>
  <c r="R168" i="5"/>
  <c r="S168" i="5"/>
  <c r="T168" i="5"/>
  <c r="U168" i="5"/>
  <c r="V168" i="5"/>
  <c r="W168" i="5"/>
  <c r="X168" i="5"/>
  <c r="AB168" i="5"/>
  <c r="B169" i="5"/>
  <c r="C169" i="5"/>
  <c r="D169" i="5"/>
  <c r="E169" i="5"/>
  <c r="F169" i="5"/>
  <c r="G169" i="5"/>
  <c r="H169" i="5"/>
  <c r="I169" i="5"/>
  <c r="J169" i="5"/>
  <c r="K169" i="5"/>
  <c r="L169" i="5"/>
  <c r="M169" i="5"/>
  <c r="N169" i="5"/>
  <c r="O169" i="5"/>
  <c r="P169" i="5"/>
  <c r="Q169" i="5"/>
  <c r="R169" i="5"/>
  <c r="S169" i="5"/>
  <c r="T169" i="5"/>
  <c r="U169" i="5"/>
  <c r="V169" i="5"/>
  <c r="W169" i="5"/>
  <c r="X169" i="5"/>
  <c r="B170" i="5"/>
  <c r="C170" i="5"/>
  <c r="D170" i="5"/>
  <c r="E170" i="5"/>
  <c r="F170" i="5"/>
  <c r="G170" i="5"/>
  <c r="H170" i="5"/>
  <c r="I170" i="5"/>
  <c r="J170" i="5"/>
  <c r="K170" i="5"/>
  <c r="L170" i="5"/>
  <c r="M170" i="5"/>
  <c r="N170" i="5"/>
  <c r="O170" i="5"/>
  <c r="P170" i="5"/>
  <c r="Q170" i="5"/>
  <c r="R170" i="5"/>
  <c r="S170" i="5"/>
  <c r="T170" i="5"/>
  <c r="U170" i="5"/>
  <c r="V170" i="5"/>
  <c r="W170" i="5"/>
  <c r="X170" i="5"/>
  <c r="B171" i="5"/>
  <c r="C171" i="5"/>
  <c r="D171" i="5"/>
  <c r="E171" i="5"/>
  <c r="F171" i="5"/>
  <c r="G171" i="5"/>
  <c r="H171" i="5"/>
  <c r="I171" i="5"/>
  <c r="J171" i="5"/>
  <c r="K171" i="5"/>
  <c r="L171" i="5"/>
  <c r="M171" i="5"/>
  <c r="N171" i="5"/>
  <c r="O171" i="5"/>
  <c r="P171" i="5"/>
  <c r="Q171" i="5"/>
  <c r="R171" i="5"/>
  <c r="S171" i="5"/>
  <c r="T171" i="5"/>
  <c r="U171" i="5"/>
  <c r="V171" i="5"/>
  <c r="W171" i="5"/>
  <c r="X171" i="5"/>
  <c r="B172" i="5"/>
  <c r="C172" i="5"/>
  <c r="D172" i="5"/>
  <c r="E172" i="5"/>
  <c r="F172" i="5"/>
  <c r="G172" i="5"/>
  <c r="H172" i="5"/>
  <c r="I172" i="5"/>
  <c r="J172" i="5"/>
  <c r="K172" i="5"/>
  <c r="L172" i="5"/>
  <c r="M172" i="5"/>
  <c r="N172" i="5"/>
  <c r="O172" i="5"/>
  <c r="P172" i="5"/>
  <c r="Q172" i="5"/>
  <c r="R172" i="5"/>
  <c r="S172" i="5"/>
  <c r="T172" i="5"/>
  <c r="U172" i="5"/>
  <c r="V172" i="5"/>
  <c r="W172" i="5"/>
  <c r="X172" i="5"/>
  <c r="AC172" i="5"/>
  <c r="B173" i="5"/>
  <c r="C173" i="5"/>
  <c r="D173" i="5"/>
  <c r="E173" i="5"/>
  <c r="F173" i="5"/>
  <c r="G173" i="5"/>
  <c r="H173" i="5"/>
  <c r="I173" i="5"/>
  <c r="J173" i="5"/>
  <c r="K173" i="5"/>
  <c r="L173" i="5"/>
  <c r="M173" i="5"/>
  <c r="N173" i="5"/>
  <c r="O173" i="5"/>
  <c r="P173" i="5"/>
  <c r="Q173" i="5"/>
  <c r="R173" i="5"/>
  <c r="S173" i="5"/>
  <c r="T173" i="5"/>
  <c r="U173" i="5"/>
  <c r="V173" i="5"/>
  <c r="W173" i="5"/>
  <c r="X173" i="5"/>
  <c r="AC173" i="5"/>
  <c r="B174" i="5"/>
  <c r="C174" i="5"/>
  <c r="D174" i="5"/>
  <c r="E174" i="5"/>
  <c r="F174" i="5"/>
  <c r="G174" i="5"/>
  <c r="H174" i="5"/>
  <c r="I174" i="5"/>
  <c r="J174" i="5"/>
  <c r="K174" i="5"/>
  <c r="L174" i="5"/>
  <c r="M174" i="5"/>
  <c r="N174" i="5"/>
  <c r="O174" i="5"/>
  <c r="P174" i="5"/>
  <c r="Q174" i="5"/>
  <c r="R174" i="5"/>
  <c r="S174" i="5"/>
  <c r="T174" i="5"/>
  <c r="U174" i="5"/>
  <c r="V174" i="5"/>
  <c r="W174" i="5"/>
  <c r="X174" i="5"/>
  <c r="AB174" i="5"/>
  <c r="B175" i="5"/>
  <c r="C175" i="5"/>
  <c r="D175" i="5"/>
  <c r="E175" i="5"/>
  <c r="F175" i="5"/>
  <c r="G175" i="5"/>
  <c r="H175" i="5"/>
  <c r="I175" i="5"/>
  <c r="J175" i="5"/>
  <c r="K175" i="5"/>
  <c r="L175" i="5"/>
  <c r="M175" i="5"/>
  <c r="N175" i="5"/>
  <c r="O175" i="5"/>
  <c r="P175" i="5"/>
  <c r="Q175" i="5"/>
  <c r="R175" i="5"/>
  <c r="S175" i="5"/>
  <c r="T175" i="5"/>
  <c r="U175" i="5"/>
  <c r="V175" i="5"/>
  <c r="W175" i="5"/>
  <c r="X175" i="5"/>
  <c r="AC175" i="5"/>
  <c r="B176" i="5"/>
  <c r="C176" i="5"/>
  <c r="D176" i="5"/>
  <c r="E176" i="5"/>
  <c r="F176" i="5"/>
  <c r="G176" i="5"/>
  <c r="H176" i="5"/>
  <c r="I176" i="5"/>
  <c r="J176" i="5"/>
  <c r="K176" i="5"/>
  <c r="L176" i="5"/>
  <c r="M176" i="5"/>
  <c r="N176" i="5"/>
  <c r="O176" i="5"/>
  <c r="P176" i="5"/>
  <c r="Q176" i="5"/>
  <c r="R176" i="5"/>
  <c r="S176" i="5"/>
  <c r="T176" i="5"/>
  <c r="U176" i="5"/>
  <c r="V176" i="5"/>
  <c r="W176" i="5"/>
  <c r="X176" i="5"/>
  <c r="AB176" i="5"/>
  <c r="B177" i="5"/>
  <c r="C177" i="5"/>
  <c r="D177" i="5"/>
  <c r="E177" i="5"/>
  <c r="F177" i="5"/>
  <c r="G177" i="5"/>
  <c r="H177" i="5"/>
  <c r="I177" i="5"/>
  <c r="J177" i="5"/>
  <c r="K177" i="5"/>
  <c r="L177" i="5"/>
  <c r="M177" i="5"/>
  <c r="N177" i="5"/>
  <c r="O177" i="5"/>
  <c r="P177" i="5"/>
  <c r="Q177" i="5"/>
  <c r="R177" i="5"/>
  <c r="S177" i="5"/>
  <c r="T177" i="5"/>
  <c r="U177" i="5"/>
  <c r="V177" i="5"/>
  <c r="W177" i="5"/>
  <c r="X177" i="5"/>
  <c r="B178" i="5"/>
  <c r="C178" i="5"/>
  <c r="D178" i="5"/>
  <c r="E178" i="5"/>
  <c r="F178" i="5"/>
  <c r="G178" i="5"/>
  <c r="H178" i="5"/>
  <c r="I178" i="5"/>
  <c r="J178" i="5"/>
  <c r="K178" i="5"/>
  <c r="L178" i="5"/>
  <c r="M178" i="5"/>
  <c r="N178" i="5"/>
  <c r="O178" i="5"/>
  <c r="P178" i="5"/>
  <c r="Q178" i="5"/>
  <c r="R178" i="5"/>
  <c r="S178" i="5"/>
  <c r="T178" i="5"/>
  <c r="U178" i="5"/>
  <c r="V178" i="5"/>
  <c r="W178" i="5"/>
  <c r="X178" i="5"/>
  <c r="B179" i="5"/>
  <c r="C179" i="5"/>
  <c r="D179" i="5"/>
  <c r="E179" i="5"/>
  <c r="F179" i="5"/>
  <c r="G179" i="5"/>
  <c r="H179" i="5"/>
  <c r="I179" i="5"/>
  <c r="J179" i="5"/>
  <c r="K179" i="5"/>
  <c r="L179" i="5"/>
  <c r="M179" i="5"/>
  <c r="N179" i="5"/>
  <c r="O179" i="5"/>
  <c r="P179" i="5"/>
  <c r="Q179" i="5"/>
  <c r="R179" i="5"/>
  <c r="S179" i="5"/>
  <c r="T179" i="5"/>
  <c r="U179" i="5"/>
  <c r="V179" i="5"/>
  <c r="W179" i="5"/>
  <c r="X179" i="5"/>
  <c r="B180" i="5"/>
  <c r="C180" i="5"/>
  <c r="D180" i="5"/>
  <c r="E180" i="5"/>
  <c r="F180" i="5"/>
  <c r="G180" i="5"/>
  <c r="H180" i="5"/>
  <c r="I180" i="5"/>
  <c r="J180" i="5"/>
  <c r="K180" i="5"/>
  <c r="L180" i="5"/>
  <c r="M180" i="5"/>
  <c r="N180" i="5"/>
  <c r="O180" i="5"/>
  <c r="P180" i="5"/>
  <c r="Q180" i="5"/>
  <c r="R180" i="5"/>
  <c r="S180" i="5"/>
  <c r="T180" i="5"/>
  <c r="U180" i="5"/>
  <c r="V180" i="5"/>
  <c r="W180" i="5"/>
  <c r="X180" i="5"/>
  <c r="AC180" i="5"/>
  <c r="B181" i="5"/>
  <c r="C181" i="5"/>
  <c r="D181" i="5"/>
  <c r="E181" i="5"/>
  <c r="F181" i="5"/>
  <c r="G181" i="5"/>
  <c r="H181" i="5"/>
  <c r="I181" i="5"/>
  <c r="J181" i="5"/>
  <c r="K181" i="5"/>
  <c r="L181" i="5"/>
  <c r="M181" i="5"/>
  <c r="N181" i="5"/>
  <c r="O181" i="5"/>
  <c r="P181" i="5"/>
  <c r="Q181" i="5"/>
  <c r="R181" i="5"/>
  <c r="S181" i="5"/>
  <c r="T181" i="5"/>
  <c r="U181" i="5"/>
  <c r="V181" i="5"/>
  <c r="W181" i="5"/>
  <c r="X181" i="5"/>
  <c r="AC181" i="5"/>
  <c r="B182" i="5"/>
  <c r="C182" i="5"/>
  <c r="D182" i="5"/>
  <c r="E182" i="5"/>
  <c r="F182" i="5"/>
  <c r="G182" i="5"/>
  <c r="H182" i="5"/>
  <c r="I182" i="5"/>
  <c r="J182" i="5"/>
  <c r="K182" i="5"/>
  <c r="L182" i="5"/>
  <c r="M182" i="5"/>
  <c r="N182" i="5"/>
  <c r="O182" i="5"/>
  <c r="P182" i="5"/>
  <c r="Q182" i="5"/>
  <c r="R182" i="5"/>
  <c r="S182" i="5"/>
  <c r="T182" i="5"/>
  <c r="U182" i="5"/>
  <c r="V182" i="5"/>
  <c r="W182" i="5"/>
  <c r="X182" i="5"/>
  <c r="AB182" i="5"/>
  <c r="B183" i="5"/>
  <c r="C183" i="5"/>
  <c r="D183" i="5"/>
  <c r="E183" i="5"/>
  <c r="F183" i="5"/>
  <c r="G183" i="5"/>
  <c r="H183" i="5"/>
  <c r="I183" i="5"/>
  <c r="J183" i="5"/>
  <c r="K183" i="5"/>
  <c r="L183" i="5"/>
  <c r="M183" i="5"/>
  <c r="N183" i="5"/>
  <c r="O183" i="5"/>
  <c r="P183" i="5"/>
  <c r="Q183" i="5"/>
  <c r="R183" i="5"/>
  <c r="S183" i="5"/>
  <c r="T183" i="5"/>
  <c r="U183" i="5"/>
  <c r="V183" i="5"/>
  <c r="W183" i="5"/>
  <c r="X183" i="5"/>
  <c r="AC183" i="5"/>
  <c r="B184" i="5"/>
  <c r="C184" i="5"/>
  <c r="D184" i="5"/>
  <c r="E184" i="5"/>
  <c r="F184" i="5"/>
  <c r="G184" i="5"/>
  <c r="H184" i="5"/>
  <c r="I184" i="5"/>
  <c r="J184" i="5"/>
  <c r="K184" i="5"/>
  <c r="L184" i="5"/>
  <c r="M184" i="5"/>
  <c r="N184" i="5"/>
  <c r="O184" i="5"/>
  <c r="P184" i="5"/>
  <c r="Q184" i="5"/>
  <c r="R184" i="5"/>
  <c r="S184" i="5"/>
  <c r="T184" i="5"/>
  <c r="U184" i="5"/>
  <c r="V184" i="5"/>
  <c r="W184" i="5"/>
  <c r="X184" i="5"/>
  <c r="AB184" i="5"/>
  <c r="B185" i="5"/>
  <c r="C185" i="5"/>
  <c r="D185" i="5"/>
  <c r="E185" i="5"/>
  <c r="F185" i="5"/>
  <c r="G185" i="5"/>
  <c r="H185" i="5"/>
  <c r="I185" i="5"/>
  <c r="J185" i="5"/>
  <c r="K185" i="5"/>
  <c r="L185" i="5"/>
  <c r="M185" i="5"/>
  <c r="N185" i="5"/>
  <c r="O185" i="5"/>
  <c r="P185" i="5"/>
  <c r="Q185" i="5"/>
  <c r="R185" i="5"/>
  <c r="S185" i="5"/>
  <c r="T185" i="5"/>
  <c r="U185" i="5"/>
  <c r="V185" i="5"/>
  <c r="W185" i="5"/>
  <c r="X185" i="5"/>
  <c r="B186" i="5"/>
  <c r="C186" i="5"/>
  <c r="D186" i="5"/>
  <c r="E186" i="5"/>
  <c r="F186" i="5"/>
  <c r="G186" i="5"/>
  <c r="H186" i="5"/>
  <c r="I186" i="5"/>
  <c r="J186" i="5"/>
  <c r="K186" i="5"/>
  <c r="L186" i="5"/>
  <c r="M186" i="5"/>
  <c r="N186" i="5"/>
  <c r="O186" i="5"/>
  <c r="P186" i="5"/>
  <c r="Q186" i="5"/>
  <c r="R186" i="5"/>
  <c r="S186" i="5"/>
  <c r="T186" i="5"/>
  <c r="U186" i="5"/>
  <c r="V186" i="5"/>
  <c r="W186" i="5"/>
  <c r="X186" i="5"/>
  <c r="B187" i="5"/>
  <c r="C187" i="5"/>
  <c r="D187" i="5"/>
  <c r="E187" i="5"/>
  <c r="F187" i="5"/>
  <c r="G187" i="5"/>
  <c r="H187" i="5"/>
  <c r="I187" i="5"/>
  <c r="J187" i="5"/>
  <c r="K187" i="5"/>
  <c r="L187" i="5"/>
  <c r="M187" i="5"/>
  <c r="N187" i="5"/>
  <c r="O187" i="5"/>
  <c r="P187" i="5"/>
  <c r="Q187" i="5"/>
  <c r="R187" i="5"/>
  <c r="S187" i="5"/>
  <c r="T187" i="5"/>
  <c r="U187" i="5"/>
  <c r="V187" i="5"/>
  <c r="W187" i="5"/>
  <c r="X187" i="5"/>
  <c r="B188" i="5"/>
  <c r="C188" i="5"/>
  <c r="D188" i="5"/>
  <c r="E188" i="5"/>
  <c r="F188" i="5"/>
  <c r="G188" i="5"/>
  <c r="H188" i="5"/>
  <c r="I188" i="5"/>
  <c r="J188" i="5"/>
  <c r="K188" i="5"/>
  <c r="L188" i="5"/>
  <c r="M188" i="5"/>
  <c r="N188" i="5"/>
  <c r="O188" i="5"/>
  <c r="P188" i="5"/>
  <c r="AC188" i="5" s="1"/>
  <c r="Q188" i="5"/>
  <c r="R188" i="5"/>
  <c r="S188" i="5"/>
  <c r="T188" i="5"/>
  <c r="U188" i="5"/>
  <c r="V188" i="5"/>
  <c r="W188" i="5"/>
  <c r="X188" i="5"/>
  <c r="B189" i="5"/>
  <c r="C189" i="5"/>
  <c r="D189" i="5"/>
  <c r="E189" i="5"/>
  <c r="F189" i="5"/>
  <c r="G189" i="5"/>
  <c r="H189" i="5"/>
  <c r="I189" i="5"/>
  <c r="J189" i="5"/>
  <c r="K189" i="5"/>
  <c r="L189" i="5"/>
  <c r="M189" i="5"/>
  <c r="N189" i="5"/>
  <c r="O189" i="5"/>
  <c r="P189" i="5"/>
  <c r="AC189" i="5" s="1"/>
  <c r="Q189" i="5"/>
  <c r="R189" i="5"/>
  <c r="S189" i="5"/>
  <c r="T189" i="5"/>
  <c r="U189" i="5"/>
  <c r="V189" i="5"/>
  <c r="W189" i="5"/>
  <c r="X189" i="5"/>
  <c r="B190" i="5"/>
  <c r="C190" i="5"/>
  <c r="D190" i="5"/>
  <c r="E190" i="5"/>
  <c r="F190" i="5"/>
  <c r="G190" i="5"/>
  <c r="H190" i="5"/>
  <c r="I190" i="5"/>
  <c r="J190" i="5"/>
  <c r="K190" i="5"/>
  <c r="L190" i="5"/>
  <c r="M190" i="5"/>
  <c r="N190" i="5"/>
  <c r="O190" i="5"/>
  <c r="P190" i="5"/>
  <c r="Q190" i="5"/>
  <c r="R190" i="5"/>
  <c r="S190" i="5"/>
  <c r="T190" i="5"/>
  <c r="U190" i="5"/>
  <c r="V190" i="5"/>
  <c r="W190" i="5"/>
  <c r="X190" i="5"/>
  <c r="AB190" i="5"/>
  <c r="B191" i="5"/>
  <c r="C191" i="5"/>
  <c r="D191" i="5"/>
  <c r="E191" i="5"/>
  <c r="F191" i="5"/>
  <c r="G191" i="5"/>
  <c r="H191" i="5"/>
  <c r="I191" i="5"/>
  <c r="J191" i="5"/>
  <c r="K191" i="5"/>
  <c r="L191" i="5"/>
  <c r="M191" i="5"/>
  <c r="N191" i="5"/>
  <c r="O191" i="5"/>
  <c r="P191" i="5"/>
  <c r="AC191" i="5" s="1"/>
  <c r="Q191" i="5"/>
  <c r="R191" i="5"/>
  <c r="S191" i="5"/>
  <c r="T191" i="5"/>
  <c r="U191" i="5"/>
  <c r="V191" i="5"/>
  <c r="W191" i="5"/>
  <c r="X191" i="5"/>
  <c r="B192" i="5"/>
  <c r="C192" i="5"/>
  <c r="D192" i="5"/>
  <c r="E192" i="5"/>
  <c r="F192" i="5"/>
  <c r="G192" i="5"/>
  <c r="H192" i="5"/>
  <c r="AB192" i="5" s="1"/>
  <c r="I192" i="5"/>
  <c r="J192" i="5"/>
  <c r="K192" i="5"/>
  <c r="L192" i="5"/>
  <c r="M192" i="5"/>
  <c r="N192" i="5"/>
  <c r="O192" i="5"/>
  <c r="P192" i="5"/>
  <c r="Q192" i="5"/>
  <c r="R192" i="5"/>
  <c r="S192" i="5"/>
  <c r="T192" i="5"/>
  <c r="U192" i="5"/>
  <c r="V192" i="5"/>
  <c r="W192" i="5"/>
  <c r="X192" i="5"/>
  <c r="B193" i="5"/>
  <c r="C193" i="5"/>
  <c r="D193" i="5"/>
  <c r="E193" i="5"/>
  <c r="F193" i="5"/>
  <c r="G193" i="5"/>
  <c r="H193" i="5"/>
  <c r="I193" i="5"/>
  <c r="J193" i="5"/>
  <c r="K193" i="5"/>
  <c r="L193" i="5"/>
  <c r="M193" i="5"/>
  <c r="N193" i="5"/>
  <c r="O193" i="5"/>
  <c r="P193" i="5"/>
  <c r="Q193" i="5"/>
  <c r="R193" i="5"/>
  <c r="S193" i="5"/>
  <c r="T193" i="5"/>
  <c r="U193" i="5"/>
  <c r="V193" i="5"/>
  <c r="W193" i="5"/>
  <c r="X193" i="5"/>
  <c r="B194" i="5"/>
  <c r="C194" i="5"/>
  <c r="D194" i="5"/>
  <c r="E194" i="5"/>
  <c r="F194" i="5"/>
  <c r="G194" i="5"/>
  <c r="H194" i="5"/>
  <c r="I194" i="5"/>
  <c r="J194" i="5"/>
  <c r="K194" i="5"/>
  <c r="L194" i="5"/>
  <c r="M194" i="5"/>
  <c r="N194" i="5"/>
  <c r="O194" i="5"/>
  <c r="P194" i="5"/>
  <c r="Q194" i="5"/>
  <c r="R194" i="5"/>
  <c r="S194" i="5"/>
  <c r="T194" i="5"/>
  <c r="U194" i="5"/>
  <c r="V194" i="5"/>
  <c r="W194" i="5"/>
  <c r="X194" i="5"/>
  <c r="B195" i="5"/>
  <c r="C195" i="5"/>
  <c r="D195" i="5"/>
  <c r="E195" i="5"/>
  <c r="F195" i="5"/>
  <c r="G195" i="5"/>
  <c r="H195" i="5"/>
  <c r="I195" i="5"/>
  <c r="J195" i="5"/>
  <c r="K195" i="5"/>
  <c r="L195" i="5"/>
  <c r="M195" i="5"/>
  <c r="N195" i="5"/>
  <c r="O195" i="5"/>
  <c r="P195" i="5"/>
  <c r="Q195" i="5"/>
  <c r="R195" i="5"/>
  <c r="S195" i="5"/>
  <c r="T195" i="5"/>
  <c r="U195" i="5"/>
  <c r="V195" i="5"/>
  <c r="W195" i="5"/>
  <c r="X195" i="5"/>
  <c r="B196" i="5"/>
  <c r="C196" i="5"/>
  <c r="D196" i="5"/>
  <c r="E196" i="5"/>
  <c r="F196" i="5"/>
  <c r="G196" i="5"/>
  <c r="H196" i="5"/>
  <c r="I196" i="5"/>
  <c r="J196" i="5"/>
  <c r="K196" i="5"/>
  <c r="L196" i="5"/>
  <c r="M196" i="5"/>
  <c r="N196" i="5"/>
  <c r="O196" i="5"/>
  <c r="AC196" i="5" s="1"/>
  <c r="P196" i="5"/>
  <c r="Q196" i="5"/>
  <c r="R196" i="5"/>
  <c r="S196" i="5"/>
  <c r="T196" i="5"/>
  <c r="U196" i="5"/>
  <c r="V196" i="5"/>
  <c r="W196" i="5"/>
  <c r="X196" i="5"/>
  <c r="B197" i="5"/>
  <c r="C197" i="5"/>
  <c r="D197" i="5"/>
  <c r="E197" i="5"/>
  <c r="F197" i="5"/>
  <c r="G197" i="5"/>
  <c r="H197" i="5"/>
  <c r="I197" i="5"/>
  <c r="J197" i="5"/>
  <c r="K197" i="5"/>
  <c r="L197" i="5"/>
  <c r="M197" i="5"/>
  <c r="N197" i="5"/>
  <c r="O197" i="5"/>
  <c r="AC197" i="5" s="1"/>
  <c r="P197" i="5"/>
  <c r="Q197" i="5"/>
  <c r="R197" i="5"/>
  <c r="S197" i="5"/>
  <c r="T197" i="5"/>
  <c r="U197" i="5"/>
  <c r="V197" i="5"/>
  <c r="W197" i="5"/>
  <c r="X197" i="5"/>
  <c r="B198" i="5"/>
  <c r="C198" i="5"/>
  <c r="D198" i="5"/>
  <c r="E198" i="5"/>
  <c r="F198" i="5"/>
  <c r="G198" i="5"/>
  <c r="H198" i="5"/>
  <c r="I198" i="5"/>
  <c r="J198" i="5"/>
  <c r="K198" i="5"/>
  <c r="L198" i="5"/>
  <c r="M198" i="5"/>
  <c r="N198" i="5"/>
  <c r="O198" i="5"/>
  <c r="P198" i="5"/>
  <c r="Q198" i="5"/>
  <c r="R198" i="5"/>
  <c r="S198" i="5"/>
  <c r="T198" i="5"/>
  <c r="U198" i="5"/>
  <c r="V198" i="5"/>
  <c r="W198" i="5"/>
  <c r="X198" i="5"/>
  <c r="AB198" i="5"/>
  <c r="B199" i="5"/>
  <c r="C199" i="5"/>
  <c r="D199" i="5"/>
  <c r="E199" i="5"/>
  <c r="F199" i="5"/>
  <c r="G199" i="5"/>
  <c r="H199" i="5"/>
  <c r="I199" i="5"/>
  <c r="J199" i="5"/>
  <c r="K199" i="5"/>
  <c r="L199" i="5"/>
  <c r="M199" i="5"/>
  <c r="N199" i="5"/>
  <c r="O199" i="5"/>
  <c r="P199" i="5"/>
  <c r="Q199" i="5"/>
  <c r="R199" i="5"/>
  <c r="S199" i="5"/>
  <c r="T199" i="5"/>
  <c r="U199" i="5"/>
  <c r="V199" i="5"/>
  <c r="W199" i="5"/>
  <c r="X199" i="5"/>
  <c r="AC199" i="5"/>
  <c r="B200" i="5"/>
  <c r="C200" i="5"/>
  <c r="D200" i="5"/>
  <c r="E200" i="5"/>
  <c r="F200" i="5"/>
  <c r="G200" i="5"/>
  <c r="H200" i="5"/>
  <c r="I200" i="5"/>
  <c r="J200" i="5"/>
  <c r="K200" i="5"/>
  <c r="L200" i="5"/>
  <c r="M200" i="5"/>
  <c r="N200" i="5"/>
  <c r="O200" i="5"/>
  <c r="P200" i="5"/>
  <c r="Q200" i="5"/>
  <c r="R200" i="5"/>
  <c r="S200" i="5"/>
  <c r="T200" i="5"/>
  <c r="U200" i="5"/>
  <c r="V200" i="5"/>
  <c r="W200" i="5"/>
  <c r="X200" i="5"/>
  <c r="AB200" i="5"/>
  <c r="B201" i="5"/>
  <c r="C201" i="5"/>
  <c r="D201" i="5"/>
  <c r="E201" i="5"/>
  <c r="F201" i="5"/>
  <c r="G201" i="5"/>
  <c r="H201" i="5"/>
  <c r="I201" i="5"/>
  <c r="J201" i="5"/>
  <c r="K201" i="5"/>
  <c r="L201" i="5"/>
  <c r="M201" i="5"/>
  <c r="N201" i="5"/>
  <c r="O201" i="5"/>
  <c r="P201" i="5"/>
  <c r="Q201" i="5"/>
  <c r="R201" i="5"/>
  <c r="S201" i="5"/>
  <c r="T201" i="5"/>
  <c r="U201" i="5"/>
  <c r="V201" i="5"/>
  <c r="W201" i="5"/>
  <c r="X201" i="5"/>
  <c r="B202" i="5"/>
  <c r="C202" i="5"/>
  <c r="D202" i="5"/>
  <c r="E202" i="5"/>
  <c r="F202" i="5"/>
  <c r="G202" i="5"/>
  <c r="H202" i="5"/>
  <c r="I202" i="5"/>
  <c r="J202" i="5"/>
  <c r="K202" i="5"/>
  <c r="L202" i="5"/>
  <c r="M202" i="5"/>
  <c r="N202" i="5"/>
  <c r="O202" i="5"/>
  <c r="P202" i="5"/>
  <c r="Q202" i="5"/>
  <c r="R202" i="5"/>
  <c r="S202" i="5"/>
  <c r="T202" i="5"/>
  <c r="U202" i="5"/>
  <c r="V202" i="5"/>
  <c r="W202" i="5"/>
  <c r="X202" i="5"/>
  <c r="B203" i="5"/>
  <c r="C203" i="5"/>
  <c r="D203" i="5"/>
  <c r="E203" i="5"/>
  <c r="F203" i="5"/>
  <c r="G203" i="5"/>
  <c r="H203" i="5"/>
  <c r="I203" i="5"/>
  <c r="J203" i="5"/>
  <c r="K203" i="5"/>
  <c r="L203" i="5"/>
  <c r="M203" i="5"/>
  <c r="N203" i="5"/>
  <c r="O203" i="5"/>
  <c r="P203" i="5"/>
  <c r="Q203" i="5"/>
  <c r="R203" i="5"/>
  <c r="S203" i="5"/>
  <c r="T203" i="5"/>
  <c r="U203" i="5"/>
  <c r="V203" i="5"/>
  <c r="W203" i="5"/>
  <c r="X203" i="5"/>
  <c r="B204" i="5"/>
  <c r="C204" i="5"/>
  <c r="D204" i="5"/>
  <c r="E204" i="5"/>
  <c r="F204" i="5"/>
  <c r="G204" i="5"/>
  <c r="H204" i="5"/>
  <c r="I204" i="5"/>
  <c r="J204" i="5"/>
  <c r="K204" i="5"/>
  <c r="L204" i="5"/>
  <c r="M204" i="5"/>
  <c r="N204" i="5"/>
  <c r="O204" i="5"/>
  <c r="P204" i="5"/>
  <c r="Q204" i="5"/>
  <c r="R204" i="5"/>
  <c r="S204" i="5"/>
  <c r="T204" i="5"/>
  <c r="U204" i="5"/>
  <c r="V204" i="5"/>
  <c r="W204" i="5"/>
  <c r="X204" i="5"/>
  <c r="AC204" i="5"/>
  <c r="B205" i="5"/>
  <c r="C205" i="5"/>
  <c r="D205" i="5"/>
  <c r="E205" i="5"/>
  <c r="F205" i="5"/>
  <c r="G205" i="5"/>
  <c r="H205" i="5"/>
  <c r="I205" i="5"/>
  <c r="J205" i="5"/>
  <c r="K205" i="5"/>
  <c r="L205" i="5"/>
  <c r="M205" i="5"/>
  <c r="N205" i="5"/>
  <c r="O205" i="5"/>
  <c r="P205" i="5"/>
  <c r="Q205" i="5"/>
  <c r="R205" i="5"/>
  <c r="S205" i="5"/>
  <c r="T205" i="5"/>
  <c r="U205" i="5"/>
  <c r="V205" i="5"/>
  <c r="W205" i="5"/>
  <c r="X205" i="5"/>
  <c r="AB205" i="5"/>
  <c r="AC205" i="5"/>
  <c r="B206" i="5"/>
  <c r="C206" i="5"/>
  <c r="D206" i="5"/>
  <c r="E206" i="5"/>
  <c r="F206" i="5"/>
  <c r="G206" i="5"/>
  <c r="H206" i="5"/>
  <c r="I206" i="5"/>
  <c r="J206" i="5"/>
  <c r="K206" i="5"/>
  <c r="L206" i="5"/>
  <c r="M206" i="5"/>
  <c r="N206" i="5"/>
  <c r="O206" i="5"/>
  <c r="P206" i="5"/>
  <c r="Q206" i="5"/>
  <c r="R206" i="5"/>
  <c r="S206" i="5"/>
  <c r="T206" i="5"/>
  <c r="U206" i="5"/>
  <c r="V206" i="5"/>
  <c r="W206" i="5"/>
  <c r="X206" i="5"/>
  <c r="B207" i="5"/>
  <c r="C207" i="5"/>
  <c r="D207" i="5"/>
  <c r="E207" i="5"/>
  <c r="F207" i="5"/>
  <c r="G207" i="5"/>
  <c r="H207" i="5"/>
  <c r="I207" i="5"/>
  <c r="J207" i="5"/>
  <c r="K207" i="5"/>
  <c r="L207" i="5"/>
  <c r="M207" i="5"/>
  <c r="N207" i="5"/>
  <c r="O207" i="5"/>
  <c r="P207" i="5"/>
  <c r="Q207" i="5"/>
  <c r="R207" i="5"/>
  <c r="S207" i="5"/>
  <c r="T207" i="5"/>
  <c r="U207" i="5"/>
  <c r="V207" i="5"/>
  <c r="W207" i="5"/>
  <c r="X207" i="5"/>
  <c r="B208" i="5"/>
  <c r="C208" i="5"/>
  <c r="D208" i="5"/>
  <c r="E208" i="5"/>
  <c r="F208" i="5"/>
  <c r="G208" i="5"/>
  <c r="H208" i="5"/>
  <c r="I208" i="5"/>
  <c r="J208" i="5"/>
  <c r="AB208" i="5" s="1"/>
  <c r="K208" i="5"/>
  <c r="L208" i="5"/>
  <c r="M208" i="5"/>
  <c r="N208" i="5"/>
  <c r="O208" i="5"/>
  <c r="P208" i="5"/>
  <c r="Q208" i="5"/>
  <c r="R208" i="5"/>
  <c r="S208" i="5"/>
  <c r="T208" i="5"/>
  <c r="U208" i="5"/>
  <c r="V208" i="5"/>
  <c r="W208" i="5"/>
  <c r="X208" i="5"/>
  <c r="B209" i="5"/>
  <c r="C209" i="5"/>
  <c r="D209" i="5"/>
  <c r="E209" i="5"/>
  <c r="F209" i="5"/>
  <c r="G209" i="5"/>
  <c r="H209" i="5"/>
  <c r="I209" i="5"/>
  <c r="J209" i="5"/>
  <c r="K209" i="5"/>
  <c r="L209" i="5"/>
  <c r="M209" i="5"/>
  <c r="N209" i="5"/>
  <c r="O209" i="5"/>
  <c r="P209" i="5"/>
  <c r="Q209" i="5"/>
  <c r="R209" i="5"/>
  <c r="S209" i="5"/>
  <c r="T209" i="5"/>
  <c r="U209" i="5"/>
  <c r="V209" i="5"/>
  <c r="W209" i="5"/>
  <c r="X209" i="5"/>
  <c r="B210" i="5"/>
  <c r="C210" i="5"/>
  <c r="D210" i="5"/>
  <c r="E210" i="5"/>
  <c r="F210" i="5"/>
  <c r="G210" i="5"/>
  <c r="H210" i="5"/>
  <c r="I210" i="5"/>
  <c r="J210" i="5"/>
  <c r="K210" i="5"/>
  <c r="L210" i="5"/>
  <c r="M210" i="5"/>
  <c r="N210" i="5"/>
  <c r="O210" i="5"/>
  <c r="P210" i="5"/>
  <c r="Q210" i="5"/>
  <c r="R210" i="5"/>
  <c r="S210" i="5"/>
  <c r="T210" i="5"/>
  <c r="U210" i="5"/>
  <c r="V210" i="5"/>
  <c r="W210" i="5"/>
  <c r="X210" i="5"/>
  <c r="B211" i="5"/>
  <c r="C211" i="5"/>
  <c r="D211" i="5"/>
  <c r="E211" i="5"/>
  <c r="F211" i="5"/>
  <c r="G211" i="5"/>
  <c r="H211" i="5"/>
  <c r="I211" i="5"/>
  <c r="J211" i="5"/>
  <c r="K211" i="5"/>
  <c r="L211" i="5"/>
  <c r="M211" i="5"/>
  <c r="N211" i="5"/>
  <c r="O211" i="5"/>
  <c r="P211" i="5"/>
  <c r="Q211" i="5"/>
  <c r="R211" i="5"/>
  <c r="S211" i="5"/>
  <c r="T211" i="5"/>
  <c r="U211" i="5"/>
  <c r="V211" i="5"/>
  <c r="W211" i="5"/>
  <c r="X211" i="5"/>
  <c r="B212" i="5"/>
  <c r="C212" i="5"/>
  <c r="D212" i="5"/>
  <c r="E212" i="5"/>
  <c r="F212" i="5"/>
  <c r="G212" i="5"/>
  <c r="H212" i="5"/>
  <c r="I212" i="5"/>
  <c r="J212" i="5"/>
  <c r="K212" i="5"/>
  <c r="L212" i="5"/>
  <c r="M212" i="5"/>
  <c r="N212" i="5"/>
  <c r="O212" i="5"/>
  <c r="P212" i="5"/>
  <c r="Q212" i="5"/>
  <c r="R212" i="5"/>
  <c r="S212" i="5"/>
  <c r="T212" i="5"/>
  <c r="U212" i="5"/>
  <c r="V212" i="5"/>
  <c r="W212" i="5"/>
  <c r="X212" i="5"/>
  <c r="AC212" i="5"/>
  <c r="B213" i="5"/>
  <c r="C213" i="5"/>
  <c r="D213" i="5"/>
  <c r="E213" i="5"/>
  <c r="F213" i="5"/>
  <c r="G213" i="5"/>
  <c r="H213" i="5"/>
  <c r="I213" i="5"/>
  <c r="J213" i="5"/>
  <c r="K213" i="5"/>
  <c r="L213" i="5"/>
  <c r="M213" i="5"/>
  <c r="N213" i="5"/>
  <c r="O213" i="5"/>
  <c r="P213" i="5"/>
  <c r="Q213" i="5"/>
  <c r="R213" i="5"/>
  <c r="S213" i="5"/>
  <c r="T213" i="5"/>
  <c r="U213" i="5"/>
  <c r="V213" i="5"/>
  <c r="W213" i="5"/>
  <c r="X213" i="5"/>
  <c r="AC213" i="5"/>
  <c r="B214" i="5"/>
  <c r="C214" i="5"/>
  <c r="D214" i="5"/>
  <c r="E214" i="5"/>
  <c r="F214" i="5"/>
  <c r="G214" i="5"/>
  <c r="H214" i="5"/>
  <c r="I214" i="5"/>
  <c r="J214" i="5"/>
  <c r="K214" i="5"/>
  <c r="L214" i="5"/>
  <c r="M214" i="5"/>
  <c r="N214" i="5"/>
  <c r="O214" i="5"/>
  <c r="P214" i="5"/>
  <c r="Q214" i="5"/>
  <c r="R214" i="5"/>
  <c r="S214" i="5"/>
  <c r="T214" i="5"/>
  <c r="U214" i="5"/>
  <c r="V214" i="5"/>
  <c r="W214" i="5"/>
  <c r="X214" i="5"/>
  <c r="AB214" i="5"/>
  <c r="B215" i="5"/>
  <c r="C215" i="5"/>
  <c r="D215" i="5"/>
  <c r="E215" i="5"/>
  <c r="F215" i="5"/>
  <c r="G215" i="5"/>
  <c r="H215" i="5"/>
  <c r="I215" i="5"/>
  <c r="J215" i="5"/>
  <c r="K215" i="5"/>
  <c r="L215" i="5"/>
  <c r="M215" i="5"/>
  <c r="N215" i="5"/>
  <c r="O215" i="5"/>
  <c r="P215" i="5"/>
  <c r="Q215" i="5"/>
  <c r="R215" i="5"/>
  <c r="S215" i="5"/>
  <c r="T215" i="5"/>
  <c r="U215" i="5"/>
  <c r="V215" i="5"/>
  <c r="W215" i="5"/>
  <c r="X215" i="5"/>
  <c r="AC215" i="5"/>
  <c r="B216" i="5"/>
  <c r="C216" i="5"/>
  <c r="D216" i="5"/>
  <c r="E216" i="5"/>
  <c r="F216" i="5"/>
  <c r="G216" i="5"/>
  <c r="H216" i="5"/>
  <c r="I216" i="5"/>
  <c r="J216" i="5"/>
  <c r="K216" i="5"/>
  <c r="L216" i="5"/>
  <c r="M216" i="5"/>
  <c r="N216" i="5"/>
  <c r="O216" i="5"/>
  <c r="P216" i="5"/>
  <c r="Q216" i="5"/>
  <c r="R216" i="5"/>
  <c r="S216" i="5"/>
  <c r="T216" i="5"/>
  <c r="U216" i="5"/>
  <c r="V216" i="5"/>
  <c r="W216" i="5"/>
  <c r="X216" i="5"/>
  <c r="AB216" i="5"/>
  <c r="B217" i="5"/>
  <c r="C217" i="5"/>
  <c r="D217" i="5"/>
  <c r="E217" i="5"/>
  <c r="F217" i="5"/>
  <c r="G217" i="5"/>
  <c r="H217" i="5"/>
  <c r="I217" i="5"/>
  <c r="J217" i="5"/>
  <c r="K217" i="5"/>
  <c r="L217" i="5"/>
  <c r="M217" i="5"/>
  <c r="N217" i="5"/>
  <c r="O217" i="5"/>
  <c r="P217" i="5"/>
  <c r="Q217" i="5"/>
  <c r="R217" i="5"/>
  <c r="S217" i="5"/>
  <c r="T217" i="5"/>
  <c r="U217" i="5"/>
  <c r="V217" i="5"/>
  <c r="W217" i="5"/>
  <c r="X217" i="5"/>
  <c r="B218" i="5"/>
  <c r="C218" i="5"/>
  <c r="D218" i="5"/>
  <c r="E218" i="5"/>
  <c r="F218" i="5"/>
  <c r="G218" i="5"/>
  <c r="H218" i="5"/>
  <c r="I218" i="5"/>
  <c r="J218" i="5"/>
  <c r="K218" i="5"/>
  <c r="L218" i="5"/>
  <c r="M218" i="5"/>
  <c r="N218" i="5"/>
  <c r="O218" i="5"/>
  <c r="P218" i="5"/>
  <c r="Q218" i="5"/>
  <c r="R218" i="5"/>
  <c r="S218" i="5"/>
  <c r="T218" i="5"/>
  <c r="U218" i="5"/>
  <c r="V218" i="5"/>
  <c r="W218" i="5"/>
  <c r="X218" i="5"/>
  <c r="B219" i="5"/>
  <c r="C219" i="5"/>
  <c r="D219" i="5"/>
  <c r="E219" i="5"/>
  <c r="F219" i="5"/>
  <c r="G219" i="5"/>
  <c r="H219" i="5"/>
  <c r="I219" i="5"/>
  <c r="J219" i="5"/>
  <c r="K219" i="5"/>
  <c r="L219" i="5"/>
  <c r="M219" i="5"/>
  <c r="N219" i="5"/>
  <c r="O219" i="5"/>
  <c r="P219" i="5"/>
  <c r="Q219" i="5"/>
  <c r="R219" i="5"/>
  <c r="S219" i="5"/>
  <c r="T219" i="5"/>
  <c r="U219" i="5"/>
  <c r="V219" i="5"/>
  <c r="W219" i="5"/>
  <c r="X219" i="5"/>
  <c r="B220" i="5"/>
  <c r="C220" i="5"/>
  <c r="D220" i="5"/>
  <c r="E220" i="5"/>
  <c r="F220" i="5"/>
  <c r="G220" i="5"/>
  <c r="H220" i="5"/>
  <c r="I220" i="5"/>
  <c r="J220" i="5"/>
  <c r="K220" i="5"/>
  <c r="L220" i="5"/>
  <c r="M220" i="5"/>
  <c r="N220" i="5"/>
  <c r="O220" i="5"/>
  <c r="P220" i="5"/>
  <c r="AC220" i="5" s="1"/>
  <c r="Q220" i="5"/>
  <c r="R220" i="5"/>
  <c r="S220" i="5"/>
  <c r="T220" i="5"/>
  <c r="U220" i="5"/>
  <c r="V220" i="5"/>
  <c r="W220" i="5"/>
  <c r="X220" i="5"/>
  <c r="B221" i="5"/>
  <c r="C221" i="5"/>
  <c r="D221" i="5"/>
  <c r="E221" i="5"/>
  <c r="F221" i="5"/>
  <c r="G221" i="5"/>
  <c r="H221" i="5"/>
  <c r="I221" i="5"/>
  <c r="J221" i="5"/>
  <c r="K221" i="5"/>
  <c r="L221" i="5"/>
  <c r="M221" i="5"/>
  <c r="N221" i="5"/>
  <c r="O221" i="5"/>
  <c r="P221" i="5"/>
  <c r="AC221" i="5" s="1"/>
  <c r="Q221" i="5"/>
  <c r="R221" i="5"/>
  <c r="S221" i="5"/>
  <c r="T221" i="5"/>
  <c r="U221" i="5"/>
  <c r="V221" i="5"/>
  <c r="W221" i="5"/>
  <c r="X221" i="5"/>
  <c r="B222" i="5"/>
  <c r="C222" i="5"/>
  <c r="D222" i="5"/>
  <c r="AB222" i="5" s="1"/>
  <c r="E222" i="5"/>
  <c r="F222" i="5"/>
  <c r="G222" i="5"/>
  <c r="H222" i="5"/>
  <c r="I222" i="5"/>
  <c r="J222" i="5"/>
  <c r="K222" i="5"/>
  <c r="L222" i="5"/>
  <c r="M222" i="5"/>
  <c r="N222" i="5"/>
  <c r="O222" i="5"/>
  <c r="P222" i="5"/>
  <c r="Q222" i="5"/>
  <c r="R222" i="5"/>
  <c r="S222" i="5"/>
  <c r="T222" i="5"/>
  <c r="U222" i="5"/>
  <c r="V222" i="5"/>
  <c r="W222" i="5"/>
  <c r="X222" i="5"/>
  <c r="B223" i="5"/>
  <c r="C223" i="5"/>
  <c r="D223" i="5"/>
  <c r="E223" i="5"/>
  <c r="F223" i="5"/>
  <c r="G223" i="5"/>
  <c r="H223" i="5"/>
  <c r="I223" i="5"/>
  <c r="J223" i="5"/>
  <c r="K223" i="5"/>
  <c r="L223" i="5"/>
  <c r="M223" i="5"/>
  <c r="N223" i="5"/>
  <c r="O223" i="5"/>
  <c r="P223" i="5"/>
  <c r="AC223" i="5" s="1"/>
  <c r="Q223" i="5"/>
  <c r="R223" i="5"/>
  <c r="S223" i="5"/>
  <c r="T223" i="5"/>
  <c r="U223" i="5"/>
  <c r="V223" i="5"/>
  <c r="W223" i="5"/>
  <c r="X223" i="5"/>
  <c r="B224" i="5"/>
  <c r="C224" i="5"/>
  <c r="D224" i="5"/>
  <c r="AB224" i="5" s="1"/>
  <c r="E224" i="5"/>
  <c r="F224" i="5"/>
  <c r="G224" i="5"/>
  <c r="H224" i="5"/>
  <c r="I224" i="5"/>
  <c r="J224" i="5"/>
  <c r="K224" i="5"/>
  <c r="L224" i="5"/>
  <c r="M224" i="5"/>
  <c r="N224" i="5"/>
  <c r="O224" i="5"/>
  <c r="P224" i="5"/>
  <c r="Q224" i="5"/>
  <c r="R224" i="5"/>
  <c r="S224" i="5"/>
  <c r="T224" i="5"/>
  <c r="U224" i="5"/>
  <c r="V224" i="5"/>
  <c r="W224" i="5"/>
  <c r="X224" i="5"/>
  <c r="B225" i="5"/>
  <c r="C225" i="5"/>
  <c r="D225" i="5"/>
  <c r="E225" i="5"/>
  <c r="F225" i="5"/>
  <c r="G225" i="5"/>
  <c r="H225" i="5"/>
  <c r="I225" i="5"/>
  <c r="J225" i="5"/>
  <c r="K225" i="5"/>
  <c r="L225" i="5"/>
  <c r="M225" i="5"/>
  <c r="N225" i="5"/>
  <c r="O225" i="5"/>
  <c r="P225" i="5"/>
  <c r="Q225" i="5"/>
  <c r="R225" i="5"/>
  <c r="S225" i="5"/>
  <c r="T225" i="5"/>
  <c r="U225" i="5"/>
  <c r="V225" i="5"/>
  <c r="W225" i="5"/>
  <c r="X225" i="5"/>
  <c r="B226" i="5"/>
  <c r="C226" i="5"/>
  <c r="D226" i="5"/>
  <c r="E226" i="5"/>
  <c r="F226" i="5"/>
  <c r="G226" i="5"/>
  <c r="H226" i="5"/>
  <c r="I226" i="5"/>
  <c r="J226" i="5"/>
  <c r="K226" i="5"/>
  <c r="L226" i="5"/>
  <c r="M226" i="5"/>
  <c r="N226" i="5"/>
  <c r="O226" i="5"/>
  <c r="P226" i="5"/>
  <c r="Q226" i="5"/>
  <c r="R226" i="5"/>
  <c r="S226" i="5"/>
  <c r="T226" i="5"/>
  <c r="U226" i="5"/>
  <c r="V226" i="5"/>
  <c r="W226" i="5"/>
  <c r="X226" i="5"/>
  <c r="B227" i="5"/>
  <c r="C227" i="5"/>
  <c r="D227" i="5"/>
  <c r="E227" i="5"/>
  <c r="F227" i="5"/>
  <c r="G227" i="5"/>
  <c r="H227" i="5"/>
  <c r="I227" i="5"/>
  <c r="J227" i="5"/>
  <c r="K227" i="5"/>
  <c r="L227" i="5"/>
  <c r="M227" i="5"/>
  <c r="N227" i="5"/>
  <c r="O227" i="5"/>
  <c r="P227" i="5"/>
  <c r="Q227" i="5"/>
  <c r="R227" i="5"/>
  <c r="S227" i="5"/>
  <c r="T227" i="5"/>
  <c r="U227" i="5"/>
  <c r="V227" i="5"/>
  <c r="W227" i="5"/>
  <c r="X227" i="5"/>
  <c r="B228" i="5"/>
  <c r="C228" i="5"/>
  <c r="D228" i="5"/>
  <c r="E228" i="5"/>
  <c r="F228" i="5"/>
  <c r="G228" i="5"/>
  <c r="H228" i="5"/>
  <c r="I228" i="5"/>
  <c r="J228" i="5"/>
  <c r="K228" i="5"/>
  <c r="L228" i="5"/>
  <c r="M228" i="5"/>
  <c r="N228" i="5"/>
  <c r="O228" i="5"/>
  <c r="AC228" i="5" s="1"/>
  <c r="P228" i="5"/>
  <c r="Q228" i="5"/>
  <c r="R228" i="5"/>
  <c r="S228" i="5"/>
  <c r="T228" i="5"/>
  <c r="U228" i="5"/>
  <c r="V228" i="5"/>
  <c r="W228" i="5"/>
  <c r="X228" i="5"/>
  <c r="B229" i="5"/>
  <c r="C229" i="5"/>
  <c r="D229" i="5"/>
  <c r="E229" i="5"/>
  <c r="F229" i="5"/>
  <c r="G229" i="5"/>
  <c r="H229" i="5"/>
  <c r="I229" i="5"/>
  <c r="J229" i="5"/>
  <c r="K229" i="5"/>
  <c r="L229" i="5"/>
  <c r="M229" i="5"/>
  <c r="N229" i="5"/>
  <c r="O229" i="5"/>
  <c r="AC229" i="5" s="1"/>
  <c r="P229" i="5"/>
  <c r="Q229" i="5"/>
  <c r="R229" i="5"/>
  <c r="S229" i="5"/>
  <c r="T229" i="5"/>
  <c r="U229" i="5"/>
  <c r="V229" i="5"/>
  <c r="W229" i="5"/>
  <c r="X229" i="5"/>
  <c r="AB229" i="5"/>
  <c r="B230" i="5"/>
  <c r="C230" i="5"/>
  <c r="D230" i="5"/>
  <c r="E230" i="5"/>
  <c r="F230" i="5"/>
  <c r="G230" i="5"/>
  <c r="H230" i="5"/>
  <c r="I230" i="5"/>
  <c r="J230" i="5"/>
  <c r="K230" i="5"/>
  <c r="L230" i="5"/>
  <c r="M230" i="5"/>
  <c r="N230" i="5"/>
  <c r="O230" i="5"/>
  <c r="P230" i="5"/>
  <c r="Q230" i="5"/>
  <c r="R230" i="5"/>
  <c r="S230" i="5"/>
  <c r="T230" i="5"/>
  <c r="U230" i="5"/>
  <c r="V230" i="5"/>
  <c r="W230" i="5"/>
  <c r="X230" i="5"/>
  <c r="B231" i="5"/>
  <c r="C231" i="5"/>
  <c r="D231" i="5"/>
  <c r="E231" i="5"/>
  <c r="F231" i="5"/>
  <c r="G231" i="5"/>
  <c r="H231" i="5"/>
  <c r="I231" i="5"/>
  <c r="J231" i="5"/>
  <c r="K231" i="5"/>
  <c r="L231" i="5"/>
  <c r="M231" i="5"/>
  <c r="N231" i="5"/>
  <c r="O231" i="5"/>
  <c r="P231" i="5"/>
  <c r="Q231" i="5"/>
  <c r="R231" i="5"/>
  <c r="S231" i="5"/>
  <c r="T231" i="5"/>
  <c r="U231" i="5"/>
  <c r="V231" i="5"/>
  <c r="W231" i="5"/>
  <c r="X231" i="5"/>
  <c r="B232" i="5"/>
  <c r="C232" i="5"/>
  <c r="D232" i="5"/>
  <c r="E232" i="5"/>
  <c r="F232" i="5"/>
  <c r="G232" i="5"/>
  <c r="H232" i="5"/>
  <c r="I232" i="5"/>
  <c r="J232" i="5"/>
  <c r="K232" i="5"/>
  <c r="L232" i="5"/>
  <c r="M232" i="5"/>
  <c r="N232" i="5"/>
  <c r="O232" i="5"/>
  <c r="P232" i="5"/>
  <c r="Q232" i="5"/>
  <c r="R232" i="5"/>
  <c r="S232" i="5"/>
  <c r="T232" i="5"/>
  <c r="U232" i="5"/>
  <c r="V232" i="5"/>
  <c r="W232" i="5"/>
  <c r="X232" i="5"/>
  <c r="AB232" i="5"/>
  <c r="B233" i="5"/>
  <c r="C233" i="5"/>
  <c r="D233" i="5"/>
  <c r="E233" i="5"/>
  <c r="F233" i="5"/>
  <c r="G233" i="5"/>
  <c r="H233" i="5"/>
  <c r="I233" i="5"/>
  <c r="J233" i="5"/>
  <c r="K233" i="5"/>
  <c r="L233" i="5"/>
  <c r="M233" i="5"/>
  <c r="N233" i="5"/>
  <c r="O233" i="5"/>
  <c r="P233" i="5"/>
  <c r="Q233" i="5"/>
  <c r="R233" i="5"/>
  <c r="S233" i="5"/>
  <c r="T233" i="5"/>
  <c r="U233" i="5"/>
  <c r="V233" i="5"/>
  <c r="W233" i="5"/>
  <c r="X233" i="5"/>
  <c r="B234" i="5"/>
  <c r="C234" i="5"/>
  <c r="D234" i="5"/>
  <c r="E234" i="5"/>
  <c r="F234" i="5"/>
  <c r="G234" i="5"/>
  <c r="H234" i="5"/>
  <c r="I234" i="5"/>
  <c r="J234" i="5"/>
  <c r="K234" i="5"/>
  <c r="L234" i="5"/>
  <c r="M234" i="5"/>
  <c r="N234" i="5"/>
  <c r="O234" i="5"/>
  <c r="P234" i="5"/>
  <c r="Q234" i="5"/>
  <c r="R234" i="5"/>
  <c r="S234" i="5"/>
  <c r="T234" i="5"/>
  <c r="U234" i="5"/>
  <c r="V234" i="5"/>
  <c r="W234" i="5"/>
  <c r="X234" i="5"/>
  <c r="B235" i="5"/>
  <c r="C235" i="5"/>
  <c r="D235" i="5"/>
  <c r="E235" i="5"/>
  <c r="F235" i="5"/>
  <c r="G235" i="5"/>
  <c r="H235" i="5"/>
  <c r="I235" i="5"/>
  <c r="J235" i="5"/>
  <c r="K235" i="5"/>
  <c r="L235" i="5"/>
  <c r="M235" i="5"/>
  <c r="N235" i="5"/>
  <c r="O235" i="5"/>
  <c r="P235" i="5"/>
  <c r="Q235" i="5"/>
  <c r="R235" i="5"/>
  <c r="S235" i="5"/>
  <c r="T235" i="5"/>
  <c r="U235" i="5"/>
  <c r="V235" i="5"/>
  <c r="W235" i="5"/>
  <c r="X235" i="5"/>
  <c r="B236" i="5"/>
  <c r="C236" i="5"/>
  <c r="D236" i="5"/>
  <c r="E236" i="5"/>
  <c r="F236" i="5"/>
  <c r="G236" i="5"/>
  <c r="H236" i="5"/>
  <c r="I236" i="5"/>
  <c r="J236" i="5"/>
  <c r="K236" i="5"/>
  <c r="L236" i="5"/>
  <c r="M236" i="5"/>
  <c r="N236" i="5"/>
  <c r="O236" i="5"/>
  <c r="P236" i="5"/>
  <c r="Q236" i="5"/>
  <c r="R236" i="5"/>
  <c r="S236" i="5"/>
  <c r="T236" i="5"/>
  <c r="U236" i="5"/>
  <c r="V236" i="5"/>
  <c r="W236" i="5"/>
  <c r="X236" i="5"/>
  <c r="AC236" i="5"/>
  <c r="B237" i="5"/>
  <c r="C237" i="5"/>
  <c r="D237" i="5"/>
  <c r="E237" i="5"/>
  <c r="F237" i="5"/>
  <c r="G237" i="5"/>
  <c r="H237" i="5"/>
  <c r="I237" i="5"/>
  <c r="J237" i="5"/>
  <c r="K237" i="5"/>
  <c r="L237" i="5"/>
  <c r="M237" i="5"/>
  <c r="N237" i="5"/>
  <c r="O237" i="5"/>
  <c r="P237" i="5"/>
  <c r="Q237" i="5"/>
  <c r="R237" i="5"/>
  <c r="S237" i="5"/>
  <c r="T237" i="5"/>
  <c r="U237" i="5"/>
  <c r="V237" i="5"/>
  <c r="W237" i="5"/>
  <c r="X237" i="5"/>
  <c r="AC237" i="5"/>
  <c r="B238" i="5"/>
  <c r="C238" i="5"/>
  <c r="D238" i="5"/>
  <c r="E238" i="5"/>
  <c r="F238" i="5"/>
  <c r="G238" i="5"/>
  <c r="H238" i="5"/>
  <c r="I238" i="5"/>
  <c r="J238" i="5"/>
  <c r="K238" i="5"/>
  <c r="L238" i="5"/>
  <c r="M238" i="5"/>
  <c r="N238" i="5"/>
  <c r="O238" i="5"/>
  <c r="P238" i="5"/>
  <c r="Q238" i="5"/>
  <c r="R238" i="5"/>
  <c r="S238" i="5"/>
  <c r="T238" i="5"/>
  <c r="U238" i="5"/>
  <c r="V238" i="5"/>
  <c r="W238" i="5"/>
  <c r="X238" i="5"/>
  <c r="AB238" i="5"/>
  <c r="B239" i="5"/>
  <c r="C239" i="5"/>
  <c r="D239" i="5"/>
  <c r="E239" i="5"/>
  <c r="F239" i="5"/>
  <c r="G239" i="5"/>
  <c r="H239" i="5"/>
  <c r="I239" i="5"/>
  <c r="J239" i="5"/>
  <c r="K239" i="5"/>
  <c r="L239" i="5"/>
  <c r="M239" i="5"/>
  <c r="N239" i="5"/>
  <c r="O239" i="5"/>
  <c r="P239" i="5"/>
  <c r="Q239" i="5"/>
  <c r="R239" i="5"/>
  <c r="S239" i="5"/>
  <c r="T239" i="5"/>
  <c r="U239" i="5"/>
  <c r="V239" i="5"/>
  <c r="W239" i="5"/>
  <c r="X239" i="5"/>
  <c r="AC239" i="5"/>
  <c r="B240" i="5"/>
  <c r="C240" i="5"/>
  <c r="D240" i="5"/>
  <c r="E240" i="5"/>
  <c r="F240" i="5"/>
  <c r="G240" i="5"/>
  <c r="H240" i="5"/>
  <c r="I240" i="5"/>
  <c r="J240" i="5"/>
  <c r="K240" i="5"/>
  <c r="L240" i="5"/>
  <c r="M240" i="5"/>
  <c r="N240" i="5"/>
  <c r="O240" i="5"/>
  <c r="P240" i="5"/>
  <c r="Q240" i="5"/>
  <c r="R240" i="5"/>
  <c r="S240" i="5"/>
  <c r="T240" i="5"/>
  <c r="U240" i="5"/>
  <c r="V240" i="5"/>
  <c r="W240" i="5"/>
  <c r="X240" i="5"/>
  <c r="AB240" i="5"/>
  <c r="B241" i="5"/>
  <c r="C241" i="5"/>
  <c r="D241" i="5"/>
  <c r="E241" i="5"/>
  <c r="F241" i="5"/>
  <c r="G241" i="5"/>
  <c r="H241" i="5"/>
  <c r="I241" i="5"/>
  <c r="J241" i="5"/>
  <c r="K241" i="5"/>
  <c r="L241" i="5"/>
  <c r="M241" i="5"/>
  <c r="N241" i="5"/>
  <c r="O241" i="5"/>
  <c r="P241" i="5"/>
  <c r="Q241" i="5"/>
  <c r="R241" i="5"/>
  <c r="S241" i="5"/>
  <c r="T241" i="5"/>
  <c r="U241" i="5"/>
  <c r="V241" i="5"/>
  <c r="W241" i="5"/>
  <c r="X241" i="5"/>
  <c r="B242" i="5"/>
  <c r="C242" i="5"/>
  <c r="D242" i="5"/>
  <c r="E242" i="5"/>
  <c r="F242" i="5"/>
  <c r="G242" i="5"/>
  <c r="H242" i="5"/>
  <c r="I242" i="5"/>
  <c r="J242" i="5"/>
  <c r="K242" i="5"/>
  <c r="L242" i="5"/>
  <c r="M242" i="5"/>
  <c r="N242" i="5"/>
  <c r="O242" i="5"/>
  <c r="P242" i="5"/>
  <c r="Q242" i="5"/>
  <c r="R242" i="5"/>
  <c r="S242" i="5"/>
  <c r="T242" i="5"/>
  <c r="U242" i="5"/>
  <c r="V242" i="5"/>
  <c r="W242" i="5"/>
  <c r="X242" i="5"/>
  <c r="B243" i="5"/>
  <c r="C243" i="5"/>
  <c r="D243" i="5"/>
  <c r="E243" i="5"/>
  <c r="F243" i="5"/>
  <c r="G243" i="5"/>
  <c r="H243" i="5"/>
  <c r="I243" i="5"/>
  <c r="J243" i="5"/>
  <c r="K243" i="5"/>
  <c r="L243" i="5"/>
  <c r="M243" i="5"/>
  <c r="N243" i="5"/>
  <c r="O243" i="5"/>
  <c r="P243" i="5"/>
  <c r="Q243" i="5"/>
  <c r="R243" i="5"/>
  <c r="S243" i="5"/>
  <c r="T243" i="5"/>
  <c r="U243" i="5"/>
  <c r="V243" i="5"/>
  <c r="W243" i="5"/>
  <c r="X243" i="5"/>
  <c r="B244" i="5"/>
  <c r="C244" i="5"/>
  <c r="D244" i="5"/>
  <c r="E244" i="5"/>
  <c r="F244" i="5"/>
  <c r="G244" i="5"/>
  <c r="H244" i="5"/>
  <c r="I244" i="5"/>
  <c r="J244" i="5"/>
  <c r="K244" i="5"/>
  <c r="L244" i="5"/>
  <c r="M244" i="5"/>
  <c r="N244" i="5"/>
  <c r="O244" i="5"/>
  <c r="AC244" i="5" s="1"/>
  <c r="P244" i="5"/>
  <c r="Q244" i="5"/>
  <c r="R244" i="5"/>
  <c r="S244" i="5"/>
  <c r="T244" i="5"/>
  <c r="U244" i="5"/>
  <c r="V244" i="5"/>
  <c r="W244" i="5"/>
  <c r="X244" i="5"/>
  <c r="B245" i="5"/>
  <c r="C245" i="5"/>
  <c r="D245" i="5"/>
  <c r="E245" i="5"/>
  <c r="F245" i="5"/>
  <c r="G245" i="5"/>
  <c r="H245" i="5"/>
  <c r="I245" i="5"/>
  <c r="J245" i="5"/>
  <c r="K245" i="5"/>
  <c r="L245" i="5"/>
  <c r="M245" i="5"/>
  <c r="N245" i="5"/>
  <c r="O245" i="5"/>
  <c r="AC245" i="5" s="1"/>
  <c r="P245" i="5"/>
  <c r="Q245" i="5"/>
  <c r="R245" i="5"/>
  <c r="S245" i="5"/>
  <c r="T245" i="5"/>
  <c r="U245" i="5"/>
  <c r="V245" i="5"/>
  <c r="W245" i="5"/>
  <c r="X245" i="5"/>
  <c r="B246" i="5"/>
  <c r="C246" i="5"/>
  <c r="D246" i="5"/>
  <c r="E246" i="5"/>
  <c r="F246" i="5"/>
  <c r="G246" i="5"/>
  <c r="H246" i="5"/>
  <c r="AB246" i="5" s="1"/>
  <c r="I246" i="5"/>
  <c r="J246" i="5"/>
  <c r="K246" i="5"/>
  <c r="L246" i="5"/>
  <c r="M246" i="5"/>
  <c r="N246" i="5"/>
  <c r="O246" i="5"/>
  <c r="P246" i="5"/>
  <c r="AC246" i="5" s="1"/>
  <c r="Q246" i="5"/>
  <c r="R246" i="5"/>
  <c r="S246" i="5"/>
  <c r="T246" i="5"/>
  <c r="U246" i="5"/>
  <c r="V246" i="5"/>
  <c r="W246" i="5"/>
  <c r="X246" i="5"/>
  <c r="B247" i="5"/>
  <c r="C247" i="5"/>
  <c r="D247" i="5"/>
  <c r="E247" i="5"/>
  <c r="F247" i="5"/>
  <c r="G247" i="5"/>
  <c r="H247" i="5"/>
  <c r="I247" i="5"/>
  <c r="J247" i="5"/>
  <c r="K247" i="5"/>
  <c r="L247" i="5"/>
  <c r="M247" i="5"/>
  <c r="N247" i="5"/>
  <c r="O247" i="5"/>
  <c r="AC247" i="5" s="1"/>
  <c r="P247" i="5"/>
  <c r="Q247" i="5"/>
  <c r="R247" i="5"/>
  <c r="S247" i="5"/>
  <c r="T247" i="5"/>
  <c r="U247" i="5"/>
  <c r="V247" i="5"/>
  <c r="W247" i="5"/>
  <c r="X247" i="5"/>
  <c r="B248" i="5"/>
  <c r="C248" i="5"/>
  <c r="D248" i="5"/>
  <c r="AB248" i="5" s="1"/>
  <c r="E248" i="5"/>
  <c r="F248" i="5"/>
  <c r="G248" i="5"/>
  <c r="H248" i="5"/>
  <c r="I248" i="5"/>
  <c r="J248" i="5"/>
  <c r="K248" i="5"/>
  <c r="L248" i="5"/>
  <c r="M248" i="5"/>
  <c r="N248" i="5"/>
  <c r="O248" i="5"/>
  <c r="P248" i="5"/>
  <c r="Q248" i="5"/>
  <c r="R248" i="5"/>
  <c r="S248" i="5"/>
  <c r="T248" i="5"/>
  <c r="U248" i="5"/>
  <c r="V248" i="5"/>
  <c r="W248" i="5"/>
  <c r="X248" i="5"/>
  <c r="B249" i="5"/>
  <c r="C249" i="5"/>
  <c r="D249" i="5"/>
  <c r="E249" i="5"/>
  <c r="F249" i="5"/>
  <c r="G249" i="5"/>
  <c r="H249" i="5"/>
  <c r="I249" i="5"/>
  <c r="J249" i="5"/>
  <c r="K249" i="5"/>
  <c r="L249" i="5"/>
  <c r="M249" i="5"/>
  <c r="N249" i="5"/>
  <c r="O249" i="5"/>
  <c r="P249" i="5"/>
  <c r="Q249" i="5"/>
  <c r="R249" i="5"/>
  <c r="S249" i="5"/>
  <c r="T249" i="5"/>
  <c r="U249" i="5"/>
  <c r="V249" i="5"/>
  <c r="W249" i="5"/>
  <c r="X249" i="5"/>
  <c r="B250" i="5"/>
  <c r="C250" i="5"/>
  <c r="D250" i="5"/>
  <c r="E250" i="5"/>
  <c r="F250" i="5"/>
  <c r="G250" i="5"/>
  <c r="H250" i="5"/>
  <c r="I250" i="5"/>
  <c r="J250" i="5"/>
  <c r="K250" i="5"/>
  <c r="L250" i="5"/>
  <c r="M250" i="5"/>
  <c r="N250" i="5"/>
  <c r="O250" i="5"/>
  <c r="P250" i="5"/>
  <c r="Q250" i="5"/>
  <c r="R250" i="5"/>
  <c r="S250" i="5"/>
  <c r="T250" i="5"/>
  <c r="U250" i="5"/>
  <c r="V250" i="5"/>
  <c r="W250" i="5"/>
  <c r="X250" i="5"/>
  <c r="B251" i="5"/>
  <c r="C251" i="5"/>
  <c r="D251" i="5"/>
  <c r="E251" i="5"/>
  <c r="F251" i="5"/>
  <c r="G251" i="5"/>
  <c r="H251" i="5"/>
  <c r="I251" i="5"/>
  <c r="J251" i="5"/>
  <c r="K251" i="5"/>
  <c r="L251" i="5"/>
  <c r="M251" i="5"/>
  <c r="N251" i="5"/>
  <c r="O251" i="5"/>
  <c r="P251" i="5"/>
  <c r="Q251" i="5"/>
  <c r="R251" i="5"/>
  <c r="S251" i="5"/>
  <c r="T251" i="5"/>
  <c r="U251" i="5"/>
  <c r="V251" i="5"/>
  <c r="W251" i="5"/>
  <c r="X251" i="5"/>
  <c r="B252" i="5"/>
  <c r="C252" i="5"/>
  <c r="D252" i="5"/>
  <c r="E252" i="5"/>
  <c r="F252" i="5"/>
  <c r="G252" i="5"/>
  <c r="H252" i="5"/>
  <c r="I252" i="5"/>
  <c r="J252" i="5"/>
  <c r="K252" i="5"/>
  <c r="L252" i="5"/>
  <c r="M252" i="5"/>
  <c r="N252" i="5"/>
  <c r="O252" i="5"/>
  <c r="AC252" i="5" s="1"/>
  <c r="P252" i="5"/>
  <c r="Q252" i="5"/>
  <c r="R252" i="5"/>
  <c r="S252" i="5"/>
  <c r="T252" i="5"/>
  <c r="U252" i="5"/>
  <c r="V252" i="5"/>
  <c r="W252" i="5"/>
  <c r="X252" i="5"/>
  <c r="B253" i="5"/>
  <c r="C253" i="5"/>
  <c r="D253" i="5"/>
  <c r="E253" i="5"/>
  <c r="F253" i="5"/>
  <c r="G253" i="5"/>
  <c r="H253" i="5"/>
  <c r="I253" i="5"/>
  <c r="J253" i="5"/>
  <c r="K253" i="5"/>
  <c r="L253" i="5"/>
  <c r="M253" i="5"/>
  <c r="N253" i="5"/>
  <c r="O253" i="5"/>
  <c r="AC253" i="5" s="1"/>
  <c r="P253" i="5"/>
  <c r="Q253" i="5"/>
  <c r="R253" i="5"/>
  <c r="S253" i="5"/>
  <c r="T253" i="5"/>
  <c r="U253" i="5"/>
  <c r="V253" i="5"/>
  <c r="W253" i="5"/>
  <c r="X253" i="5"/>
  <c r="B254" i="5"/>
  <c r="C254" i="5"/>
  <c r="D254" i="5"/>
  <c r="E254" i="5"/>
  <c r="F254" i="5"/>
  <c r="G254" i="5"/>
  <c r="H254" i="5"/>
  <c r="I254" i="5"/>
  <c r="J254" i="5"/>
  <c r="K254" i="5"/>
  <c r="L254" i="5"/>
  <c r="M254" i="5"/>
  <c r="N254" i="5"/>
  <c r="O254" i="5"/>
  <c r="P254" i="5"/>
  <c r="Q254" i="5"/>
  <c r="R254" i="5"/>
  <c r="S254" i="5"/>
  <c r="T254" i="5"/>
  <c r="U254" i="5"/>
  <c r="V254" i="5"/>
  <c r="W254" i="5"/>
  <c r="X254" i="5"/>
  <c r="AB254" i="5"/>
  <c r="B255" i="5"/>
  <c r="C255" i="5"/>
  <c r="D255" i="5"/>
  <c r="E255" i="5"/>
  <c r="F255" i="5"/>
  <c r="G255" i="5"/>
  <c r="H255" i="5"/>
  <c r="I255" i="5"/>
  <c r="J255" i="5"/>
  <c r="K255" i="5"/>
  <c r="L255" i="5"/>
  <c r="M255" i="5"/>
  <c r="N255" i="5"/>
  <c r="O255" i="5"/>
  <c r="P255" i="5"/>
  <c r="Q255" i="5"/>
  <c r="R255" i="5"/>
  <c r="S255" i="5"/>
  <c r="T255" i="5"/>
  <c r="U255" i="5"/>
  <c r="V255" i="5"/>
  <c r="W255" i="5"/>
  <c r="X255" i="5"/>
  <c r="AC255" i="5"/>
  <c r="B256" i="5"/>
  <c r="C256" i="5"/>
  <c r="D256" i="5"/>
  <c r="E256" i="5"/>
  <c r="F256" i="5"/>
  <c r="G256" i="5"/>
  <c r="H256" i="5"/>
  <c r="I256" i="5"/>
  <c r="J256" i="5"/>
  <c r="K256" i="5"/>
  <c r="L256" i="5"/>
  <c r="M256" i="5"/>
  <c r="N256" i="5"/>
  <c r="O256" i="5"/>
  <c r="P256" i="5"/>
  <c r="Q256" i="5"/>
  <c r="R256" i="5"/>
  <c r="S256" i="5"/>
  <c r="T256" i="5"/>
  <c r="U256" i="5"/>
  <c r="V256" i="5"/>
  <c r="W256" i="5"/>
  <c r="X256" i="5"/>
  <c r="AB256" i="5"/>
  <c r="B257" i="5"/>
  <c r="C257" i="5"/>
  <c r="D257" i="5"/>
  <c r="E257" i="5"/>
  <c r="F257" i="5"/>
  <c r="G257" i="5"/>
  <c r="H257" i="5"/>
  <c r="I257" i="5"/>
  <c r="J257" i="5"/>
  <c r="K257" i="5"/>
  <c r="L257" i="5"/>
  <c r="M257" i="5"/>
  <c r="N257" i="5"/>
  <c r="O257" i="5"/>
  <c r="P257" i="5"/>
  <c r="Q257" i="5"/>
  <c r="R257" i="5"/>
  <c r="S257" i="5"/>
  <c r="T257" i="5"/>
  <c r="U257" i="5"/>
  <c r="V257" i="5"/>
  <c r="W257" i="5"/>
  <c r="X257" i="5"/>
  <c r="B258" i="5"/>
  <c r="C258" i="5"/>
  <c r="D258" i="5"/>
  <c r="E258" i="5"/>
  <c r="F258" i="5"/>
  <c r="G258" i="5"/>
  <c r="H258" i="5"/>
  <c r="I258" i="5"/>
  <c r="J258" i="5"/>
  <c r="K258" i="5"/>
  <c r="L258" i="5"/>
  <c r="M258" i="5"/>
  <c r="N258" i="5"/>
  <c r="O258" i="5"/>
  <c r="P258" i="5"/>
  <c r="Q258" i="5"/>
  <c r="R258" i="5"/>
  <c r="S258" i="5"/>
  <c r="T258" i="5"/>
  <c r="U258" i="5"/>
  <c r="V258" i="5"/>
  <c r="W258" i="5"/>
  <c r="X258" i="5"/>
  <c r="B259" i="5"/>
  <c r="C259" i="5"/>
  <c r="D259" i="5"/>
  <c r="E259" i="5"/>
  <c r="F259" i="5"/>
  <c r="G259" i="5"/>
  <c r="H259" i="5"/>
  <c r="I259" i="5"/>
  <c r="J259" i="5"/>
  <c r="K259" i="5"/>
  <c r="L259" i="5"/>
  <c r="M259" i="5"/>
  <c r="N259" i="5"/>
  <c r="O259" i="5"/>
  <c r="P259" i="5"/>
  <c r="Q259" i="5"/>
  <c r="R259" i="5"/>
  <c r="S259" i="5"/>
  <c r="T259" i="5"/>
  <c r="U259" i="5"/>
  <c r="V259" i="5"/>
  <c r="W259" i="5"/>
  <c r="X259" i="5"/>
  <c r="B260" i="5"/>
  <c r="C260" i="5"/>
  <c r="D260" i="5"/>
  <c r="E260" i="5"/>
  <c r="F260" i="5"/>
  <c r="G260" i="5"/>
  <c r="H260" i="5"/>
  <c r="I260" i="5"/>
  <c r="J260" i="5"/>
  <c r="K260" i="5"/>
  <c r="L260" i="5"/>
  <c r="M260" i="5"/>
  <c r="N260" i="5"/>
  <c r="O260" i="5"/>
  <c r="P260" i="5"/>
  <c r="Q260" i="5"/>
  <c r="R260" i="5"/>
  <c r="S260" i="5"/>
  <c r="T260" i="5"/>
  <c r="U260" i="5"/>
  <c r="V260" i="5"/>
  <c r="W260" i="5"/>
  <c r="X260" i="5"/>
  <c r="AC260" i="5"/>
  <c r="B261" i="5"/>
  <c r="C261" i="5"/>
  <c r="D261" i="5"/>
  <c r="E261" i="5"/>
  <c r="F261" i="5"/>
  <c r="G261" i="5"/>
  <c r="H261" i="5"/>
  <c r="I261" i="5"/>
  <c r="J261" i="5"/>
  <c r="K261" i="5"/>
  <c r="L261" i="5"/>
  <c r="M261" i="5"/>
  <c r="N261" i="5"/>
  <c r="O261" i="5"/>
  <c r="P261" i="5"/>
  <c r="Q261" i="5"/>
  <c r="R261" i="5"/>
  <c r="S261" i="5"/>
  <c r="T261" i="5"/>
  <c r="U261" i="5"/>
  <c r="V261" i="5"/>
  <c r="W261" i="5"/>
  <c r="X261" i="5"/>
  <c r="B262" i="5"/>
  <c r="C262" i="5"/>
  <c r="D262" i="5"/>
  <c r="E262" i="5"/>
  <c r="F262" i="5"/>
  <c r="G262" i="5"/>
  <c r="H262" i="5"/>
  <c r="I262" i="5"/>
  <c r="J262" i="5"/>
  <c r="K262" i="5"/>
  <c r="L262" i="5"/>
  <c r="M262" i="5"/>
  <c r="N262" i="5"/>
  <c r="O262" i="5"/>
  <c r="P262" i="5"/>
  <c r="Q262" i="5"/>
  <c r="R262" i="5"/>
  <c r="S262" i="5"/>
  <c r="T262" i="5"/>
  <c r="U262" i="5"/>
  <c r="V262" i="5"/>
  <c r="W262" i="5"/>
  <c r="X262" i="5"/>
  <c r="AB262" i="5"/>
  <c r="B263" i="5"/>
  <c r="C263" i="5"/>
  <c r="D263" i="5"/>
  <c r="E263" i="5"/>
  <c r="F263" i="5"/>
  <c r="G263" i="5"/>
  <c r="H263" i="5"/>
  <c r="I263" i="5"/>
  <c r="J263" i="5"/>
  <c r="K263" i="5"/>
  <c r="L263" i="5"/>
  <c r="M263" i="5"/>
  <c r="N263" i="5"/>
  <c r="O263" i="5"/>
  <c r="P263" i="5"/>
  <c r="Q263" i="5"/>
  <c r="R263" i="5"/>
  <c r="S263" i="5"/>
  <c r="T263" i="5"/>
  <c r="U263" i="5"/>
  <c r="V263" i="5"/>
  <c r="W263" i="5"/>
  <c r="X263" i="5"/>
  <c r="AC263" i="5"/>
  <c r="B264" i="5"/>
  <c r="C264" i="5"/>
  <c r="D264" i="5"/>
  <c r="E264" i="5"/>
  <c r="F264" i="5"/>
  <c r="G264" i="5"/>
  <c r="H264" i="5"/>
  <c r="I264" i="5"/>
  <c r="J264" i="5"/>
  <c r="K264" i="5"/>
  <c r="L264" i="5"/>
  <c r="M264" i="5"/>
  <c r="N264" i="5"/>
  <c r="O264" i="5"/>
  <c r="P264" i="5"/>
  <c r="Q264" i="5"/>
  <c r="R264" i="5"/>
  <c r="S264" i="5"/>
  <c r="T264" i="5"/>
  <c r="U264" i="5"/>
  <c r="V264" i="5"/>
  <c r="W264" i="5"/>
  <c r="X264" i="5"/>
  <c r="AB264" i="5"/>
  <c r="B265" i="5"/>
  <c r="C265" i="5"/>
  <c r="D265" i="5"/>
  <c r="E265" i="5"/>
  <c r="F265" i="5"/>
  <c r="G265" i="5"/>
  <c r="H265" i="5"/>
  <c r="I265" i="5"/>
  <c r="J265" i="5"/>
  <c r="K265" i="5"/>
  <c r="L265" i="5"/>
  <c r="M265" i="5"/>
  <c r="N265" i="5"/>
  <c r="O265" i="5"/>
  <c r="P265" i="5"/>
  <c r="Q265" i="5"/>
  <c r="R265" i="5"/>
  <c r="S265" i="5"/>
  <c r="T265" i="5"/>
  <c r="U265" i="5"/>
  <c r="V265" i="5"/>
  <c r="W265" i="5"/>
  <c r="X265" i="5"/>
  <c r="B266" i="5"/>
  <c r="C266" i="5"/>
  <c r="D266" i="5"/>
  <c r="E266" i="5"/>
  <c r="F266" i="5"/>
  <c r="G266" i="5"/>
  <c r="H266" i="5"/>
  <c r="I266" i="5"/>
  <c r="J266" i="5"/>
  <c r="K266" i="5"/>
  <c r="L266" i="5"/>
  <c r="M266" i="5"/>
  <c r="N266" i="5"/>
  <c r="O266" i="5"/>
  <c r="P266" i="5"/>
  <c r="Q266" i="5"/>
  <c r="R266" i="5"/>
  <c r="S266" i="5"/>
  <c r="T266" i="5"/>
  <c r="U266" i="5"/>
  <c r="V266" i="5"/>
  <c r="W266" i="5"/>
  <c r="X266" i="5"/>
  <c r="B267" i="5"/>
  <c r="C267" i="5"/>
  <c r="D267" i="5"/>
  <c r="E267" i="5"/>
  <c r="F267" i="5"/>
  <c r="G267" i="5"/>
  <c r="H267" i="5"/>
  <c r="I267" i="5"/>
  <c r="J267" i="5"/>
  <c r="K267" i="5"/>
  <c r="L267" i="5"/>
  <c r="M267" i="5"/>
  <c r="N267" i="5"/>
  <c r="O267" i="5"/>
  <c r="P267" i="5"/>
  <c r="Q267" i="5"/>
  <c r="R267" i="5"/>
  <c r="S267" i="5"/>
  <c r="T267" i="5"/>
  <c r="U267" i="5"/>
  <c r="V267" i="5"/>
  <c r="W267" i="5"/>
  <c r="X267" i="5"/>
  <c r="B268" i="5"/>
  <c r="C268" i="5"/>
  <c r="D268" i="5"/>
  <c r="E268" i="5"/>
  <c r="F268" i="5"/>
  <c r="G268" i="5"/>
  <c r="H268" i="5"/>
  <c r="I268" i="5"/>
  <c r="J268" i="5"/>
  <c r="K268" i="5"/>
  <c r="L268" i="5"/>
  <c r="M268" i="5"/>
  <c r="N268" i="5"/>
  <c r="O268" i="5"/>
  <c r="P268" i="5"/>
  <c r="Q268" i="5"/>
  <c r="R268" i="5"/>
  <c r="S268" i="5"/>
  <c r="T268" i="5"/>
  <c r="U268" i="5"/>
  <c r="V268" i="5"/>
  <c r="W268" i="5"/>
  <c r="X268" i="5"/>
  <c r="AC268" i="5"/>
  <c r="B269" i="5"/>
  <c r="C269" i="5"/>
  <c r="D269" i="5"/>
  <c r="E269" i="5"/>
  <c r="F269" i="5"/>
  <c r="G269" i="5"/>
  <c r="H269" i="5"/>
  <c r="I269" i="5"/>
  <c r="J269" i="5"/>
  <c r="K269" i="5"/>
  <c r="L269" i="5"/>
  <c r="M269" i="5"/>
  <c r="N269" i="5"/>
  <c r="O269" i="5"/>
  <c r="P269" i="5"/>
  <c r="Q269" i="5"/>
  <c r="R269" i="5"/>
  <c r="S269" i="5"/>
  <c r="T269" i="5"/>
  <c r="U269" i="5"/>
  <c r="V269" i="5"/>
  <c r="W269" i="5"/>
  <c r="X269" i="5"/>
  <c r="AC269" i="5"/>
  <c r="B270" i="5"/>
  <c r="C270" i="5"/>
  <c r="D270" i="5"/>
  <c r="E270" i="5"/>
  <c r="F270" i="5"/>
  <c r="G270" i="5"/>
  <c r="H270" i="5"/>
  <c r="I270" i="5"/>
  <c r="J270" i="5"/>
  <c r="K270" i="5"/>
  <c r="L270" i="5"/>
  <c r="M270" i="5"/>
  <c r="N270" i="5"/>
  <c r="O270" i="5"/>
  <c r="P270" i="5"/>
  <c r="AC270" i="5" s="1"/>
  <c r="Q270" i="5"/>
  <c r="R270" i="5"/>
  <c r="S270" i="5"/>
  <c r="T270" i="5"/>
  <c r="U270" i="5"/>
  <c r="V270" i="5"/>
  <c r="W270" i="5"/>
  <c r="X270" i="5"/>
  <c r="AB270" i="5"/>
  <c r="B271" i="5"/>
  <c r="C271" i="5"/>
  <c r="D271" i="5"/>
  <c r="E271" i="5"/>
  <c r="F271" i="5"/>
  <c r="G271" i="5"/>
  <c r="H271" i="5"/>
  <c r="I271" i="5"/>
  <c r="J271" i="5"/>
  <c r="K271" i="5"/>
  <c r="L271" i="5"/>
  <c r="M271" i="5"/>
  <c r="N271" i="5"/>
  <c r="O271" i="5"/>
  <c r="P271" i="5"/>
  <c r="Q271" i="5"/>
  <c r="R271" i="5"/>
  <c r="S271" i="5"/>
  <c r="T271" i="5"/>
  <c r="U271" i="5"/>
  <c r="V271" i="5"/>
  <c r="W271" i="5"/>
  <c r="X271" i="5"/>
  <c r="AC271" i="5"/>
  <c r="B272" i="5"/>
  <c r="C272" i="5"/>
  <c r="D272" i="5"/>
  <c r="E272" i="5"/>
  <c r="F272" i="5"/>
  <c r="G272" i="5"/>
  <c r="H272" i="5"/>
  <c r="I272" i="5"/>
  <c r="J272" i="5"/>
  <c r="K272" i="5"/>
  <c r="L272" i="5"/>
  <c r="M272" i="5"/>
  <c r="N272" i="5"/>
  <c r="O272" i="5"/>
  <c r="P272" i="5"/>
  <c r="Q272" i="5"/>
  <c r="R272" i="5"/>
  <c r="S272" i="5"/>
  <c r="T272" i="5"/>
  <c r="U272" i="5"/>
  <c r="V272" i="5"/>
  <c r="W272" i="5"/>
  <c r="X272" i="5"/>
  <c r="AB272" i="5"/>
  <c r="B273" i="5"/>
  <c r="C273" i="5"/>
  <c r="D273" i="5"/>
  <c r="E273" i="5"/>
  <c r="F273" i="5"/>
  <c r="G273" i="5"/>
  <c r="H273" i="5"/>
  <c r="I273" i="5"/>
  <c r="J273" i="5"/>
  <c r="K273" i="5"/>
  <c r="L273" i="5"/>
  <c r="M273" i="5"/>
  <c r="N273" i="5"/>
  <c r="O273" i="5"/>
  <c r="P273" i="5"/>
  <c r="Q273" i="5"/>
  <c r="R273" i="5"/>
  <c r="S273" i="5"/>
  <c r="T273" i="5"/>
  <c r="U273" i="5"/>
  <c r="V273" i="5"/>
  <c r="W273" i="5"/>
  <c r="X273" i="5"/>
  <c r="B274" i="5"/>
  <c r="C274" i="5"/>
  <c r="D274" i="5"/>
  <c r="E274" i="5"/>
  <c r="F274" i="5"/>
  <c r="G274" i="5"/>
  <c r="H274" i="5"/>
  <c r="I274" i="5"/>
  <c r="J274" i="5"/>
  <c r="K274" i="5"/>
  <c r="L274" i="5"/>
  <c r="M274" i="5"/>
  <c r="N274" i="5"/>
  <c r="O274" i="5"/>
  <c r="P274" i="5"/>
  <c r="Q274" i="5"/>
  <c r="R274" i="5"/>
  <c r="S274" i="5"/>
  <c r="T274" i="5"/>
  <c r="U274" i="5"/>
  <c r="V274" i="5"/>
  <c r="W274" i="5"/>
  <c r="X274" i="5"/>
  <c r="B275" i="5"/>
  <c r="C275" i="5"/>
  <c r="D275" i="5"/>
  <c r="E275" i="5"/>
  <c r="F275" i="5"/>
  <c r="G275" i="5"/>
  <c r="H275" i="5"/>
  <c r="I275" i="5"/>
  <c r="J275" i="5"/>
  <c r="K275" i="5"/>
  <c r="L275" i="5"/>
  <c r="M275" i="5"/>
  <c r="N275" i="5"/>
  <c r="O275" i="5"/>
  <c r="P275" i="5"/>
  <c r="Q275" i="5"/>
  <c r="R275" i="5"/>
  <c r="S275" i="5"/>
  <c r="T275" i="5"/>
  <c r="U275" i="5"/>
  <c r="V275" i="5"/>
  <c r="W275" i="5"/>
  <c r="X275" i="5"/>
  <c r="B276" i="5"/>
  <c r="C276" i="5"/>
  <c r="D276" i="5"/>
  <c r="E276" i="5"/>
  <c r="F276" i="5"/>
  <c r="G276" i="5"/>
  <c r="H276" i="5"/>
  <c r="I276" i="5"/>
  <c r="J276" i="5"/>
  <c r="K276" i="5"/>
  <c r="L276" i="5"/>
  <c r="M276" i="5"/>
  <c r="N276" i="5"/>
  <c r="AC276" i="5" s="1"/>
  <c r="O276" i="5"/>
  <c r="P276" i="5"/>
  <c r="Q276" i="5"/>
  <c r="R276" i="5"/>
  <c r="S276" i="5"/>
  <c r="T276" i="5"/>
  <c r="U276" i="5"/>
  <c r="V276" i="5"/>
  <c r="W276" i="5"/>
  <c r="X276" i="5"/>
  <c r="B277" i="5"/>
  <c r="C277" i="5"/>
  <c r="D277" i="5"/>
  <c r="E277" i="5"/>
  <c r="F277" i="5"/>
  <c r="G277" i="5"/>
  <c r="H277" i="5"/>
  <c r="I277" i="5"/>
  <c r="J277" i="5"/>
  <c r="K277" i="5"/>
  <c r="L277" i="5"/>
  <c r="M277" i="5"/>
  <c r="N277" i="5"/>
  <c r="AC277" i="5" s="1"/>
  <c r="O277" i="5"/>
  <c r="P277" i="5"/>
  <c r="Q277" i="5"/>
  <c r="R277" i="5"/>
  <c r="S277" i="5"/>
  <c r="T277" i="5"/>
  <c r="U277" i="5"/>
  <c r="V277" i="5"/>
  <c r="W277" i="5"/>
  <c r="X277" i="5"/>
  <c r="B278" i="5"/>
  <c r="C278" i="5"/>
  <c r="AB278" i="5" s="1"/>
  <c r="D278" i="5"/>
  <c r="E278" i="5"/>
  <c r="F278" i="5"/>
  <c r="G278" i="5"/>
  <c r="H278" i="5"/>
  <c r="I278" i="5"/>
  <c r="J278" i="5"/>
  <c r="K278" i="5"/>
  <c r="L278" i="5"/>
  <c r="M278" i="5"/>
  <c r="N278" i="5"/>
  <c r="O278" i="5"/>
  <c r="P278" i="5"/>
  <c r="AC278" i="5" s="1"/>
  <c r="Q278" i="5"/>
  <c r="R278" i="5"/>
  <c r="S278" i="5"/>
  <c r="T278" i="5"/>
  <c r="U278" i="5"/>
  <c r="V278" i="5"/>
  <c r="W278" i="5"/>
  <c r="X278" i="5"/>
  <c r="B279" i="5"/>
  <c r="C279" i="5"/>
  <c r="D279" i="5"/>
  <c r="E279" i="5"/>
  <c r="F279" i="5"/>
  <c r="G279" i="5"/>
  <c r="H279" i="5"/>
  <c r="I279" i="5"/>
  <c r="J279" i="5"/>
  <c r="K279" i="5"/>
  <c r="L279" i="5"/>
  <c r="M279" i="5"/>
  <c r="N279" i="5"/>
  <c r="AC279" i="5" s="1"/>
  <c r="O279" i="5"/>
  <c r="P279" i="5"/>
  <c r="Q279" i="5"/>
  <c r="R279" i="5"/>
  <c r="S279" i="5"/>
  <c r="T279" i="5"/>
  <c r="U279" i="5"/>
  <c r="V279" i="5"/>
  <c r="W279" i="5"/>
  <c r="X279" i="5"/>
  <c r="B280" i="5"/>
  <c r="AB280" i="5" s="1"/>
  <c r="C280" i="5"/>
  <c r="D280" i="5"/>
  <c r="E280" i="5"/>
  <c r="F280" i="5"/>
  <c r="G280" i="5"/>
  <c r="H280" i="5"/>
  <c r="I280" i="5"/>
  <c r="J280" i="5"/>
  <c r="K280" i="5"/>
  <c r="L280" i="5"/>
  <c r="M280" i="5"/>
  <c r="N280" i="5"/>
  <c r="O280" i="5"/>
  <c r="P280" i="5"/>
  <c r="Q280" i="5"/>
  <c r="R280" i="5"/>
  <c r="S280" i="5"/>
  <c r="T280" i="5"/>
  <c r="U280" i="5"/>
  <c r="V280" i="5"/>
  <c r="W280" i="5"/>
  <c r="X280" i="5"/>
  <c r="B281" i="5"/>
  <c r="C281" i="5"/>
  <c r="D281" i="5"/>
  <c r="E281" i="5"/>
  <c r="F281" i="5"/>
  <c r="G281" i="5"/>
  <c r="H281" i="5"/>
  <c r="I281" i="5"/>
  <c r="J281" i="5"/>
  <c r="K281" i="5"/>
  <c r="L281" i="5"/>
  <c r="M281" i="5"/>
  <c r="N281" i="5"/>
  <c r="O281" i="5"/>
  <c r="P281" i="5"/>
  <c r="Q281" i="5"/>
  <c r="R281" i="5"/>
  <c r="S281" i="5"/>
  <c r="T281" i="5"/>
  <c r="U281" i="5"/>
  <c r="V281" i="5"/>
  <c r="W281" i="5"/>
  <c r="X281" i="5"/>
  <c r="B282" i="5"/>
  <c r="C282" i="5"/>
  <c r="D282" i="5"/>
  <c r="E282" i="5"/>
  <c r="F282" i="5"/>
  <c r="G282" i="5"/>
  <c r="H282" i="5"/>
  <c r="I282" i="5"/>
  <c r="J282" i="5"/>
  <c r="K282" i="5"/>
  <c r="L282" i="5"/>
  <c r="M282" i="5"/>
  <c r="N282" i="5"/>
  <c r="O282" i="5"/>
  <c r="P282" i="5"/>
  <c r="Q282" i="5"/>
  <c r="R282" i="5"/>
  <c r="S282" i="5"/>
  <c r="T282" i="5"/>
  <c r="U282" i="5"/>
  <c r="V282" i="5"/>
  <c r="W282" i="5"/>
  <c r="X282" i="5"/>
  <c r="B283" i="5"/>
  <c r="C283" i="5"/>
  <c r="D283" i="5"/>
  <c r="E283" i="5"/>
  <c r="F283" i="5"/>
  <c r="G283" i="5"/>
  <c r="H283" i="5"/>
  <c r="I283" i="5"/>
  <c r="J283" i="5"/>
  <c r="K283" i="5"/>
  <c r="L283" i="5"/>
  <c r="M283" i="5"/>
  <c r="N283" i="5"/>
  <c r="O283" i="5"/>
  <c r="P283" i="5"/>
  <c r="Q283" i="5"/>
  <c r="R283" i="5"/>
  <c r="S283" i="5"/>
  <c r="T283" i="5"/>
  <c r="U283" i="5"/>
  <c r="V283" i="5"/>
  <c r="W283" i="5"/>
  <c r="X283" i="5"/>
  <c r="B284" i="5"/>
  <c r="C284" i="5"/>
  <c r="D284" i="5"/>
  <c r="E284" i="5"/>
  <c r="F284" i="5"/>
  <c r="G284" i="5"/>
  <c r="H284" i="5"/>
  <c r="I284" i="5"/>
  <c r="J284" i="5"/>
  <c r="K284" i="5"/>
  <c r="L284" i="5"/>
  <c r="M284" i="5"/>
  <c r="N284" i="5"/>
  <c r="AC284" i="5" s="1"/>
  <c r="O284" i="5"/>
  <c r="P284" i="5"/>
  <c r="Q284" i="5"/>
  <c r="R284" i="5"/>
  <c r="S284" i="5"/>
  <c r="T284" i="5"/>
  <c r="U284" i="5"/>
  <c r="V284" i="5"/>
  <c r="W284" i="5"/>
  <c r="X284" i="5"/>
  <c r="B285" i="5"/>
  <c r="C285" i="5"/>
  <c r="D285" i="5"/>
  <c r="E285" i="5"/>
  <c r="F285" i="5"/>
  <c r="G285" i="5"/>
  <c r="H285" i="5"/>
  <c r="I285" i="5"/>
  <c r="J285" i="5"/>
  <c r="K285" i="5"/>
  <c r="L285" i="5"/>
  <c r="M285" i="5"/>
  <c r="N285" i="5"/>
  <c r="AC285" i="5" s="1"/>
  <c r="O285" i="5"/>
  <c r="P285" i="5"/>
  <c r="Q285" i="5"/>
  <c r="R285" i="5"/>
  <c r="S285" i="5"/>
  <c r="T285" i="5"/>
  <c r="U285" i="5"/>
  <c r="V285" i="5"/>
  <c r="W285" i="5"/>
  <c r="X285" i="5"/>
  <c r="B286" i="5"/>
  <c r="AB286" i="5" s="1"/>
  <c r="C286" i="5"/>
  <c r="D286" i="5"/>
  <c r="E286" i="5"/>
  <c r="F286" i="5"/>
  <c r="G286" i="5"/>
  <c r="H286" i="5"/>
  <c r="I286" i="5"/>
  <c r="J286" i="5"/>
  <c r="K286" i="5"/>
  <c r="L286" i="5"/>
  <c r="M286" i="5"/>
  <c r="N286" i="5"/>
  <c r="O286" i="5"/>
  <c r="P286" i="5"/>
  <c r="Q286" i="5"/>
  <c r="R286" i="5"/>
  <c r="S286" i="5"/>
  <c r="T286" i="5"/>
  <c r="U286" i="5"/>
  <c r="V286" i="5"/>
  <c r="W286" i="5"/>
  <c r="X286" i="5"/>
  <c r="B287" i="5"/>
  <c r="C287" i="5"/>
  <c r="D287" i="5"/>
  <c r="E287" i="5"/>
  <c r="F287" i="5"/>
  <c r="G287" i="5"/>
  <c r="H287" i="5"/>
  <c r="I287" i="5"/>
  <c r="J287" i="5"/>
  <c r="K287" i="5"/>
  <c r="L287" i="5"/>
  <c r="M287" i="5"/>
  <c r="N287" i="5"/>
  <c r="AC287" i="5" s="1"/>
  <c r="O287" i="5"/>
  <c r="P287" i="5"/>
  <c r="Q287" i="5"/>
  <c r="R287" i="5"/>
  <c r="S287" i="5"/>
  <c r="T287" i="5"/>
  <c r="U287" i="5"/>
  <c r="V287" i="5"/>
  <c r="W287" i="5"/>
  <c r="X287" i="5"/>
  <c r="B288" i="5"/>
  <c r="AB288" i="5" s="1"/>
  <c r="C288" i="5"/>
  <c r="D288" i="5"/>
  <c r="E288" i="5"/>
  <c r="F288" i="5"/>
  <c r="G288" i="5"/>
  <c r="H288" i="5"/>
  <c r="I288" i="5"/>
  <c r="J288" i="5"/>
  <c r="K288" i="5"/>
  <c r="L288" i="5"/>
  <c r="M288" i="5"/>
  <c r="N288" i="5"/>
  <c r="O288" i="5"/>
  <c r="AC288" i="5" s="1"/>
  <c r="P288" i="5"/>
  <c r="Q288" i="5"/>
  <c r="R288" i="5"/>
  <c r="S288" i="5"/>
  <c r="T288" i="5"/>
  <c r="U288" i="5"/>
  <c r="V288" i="5"/>
  <c r="W288" i="5"/>
  <c r="X288" i="5"/>
  <c r="B289" i="5"/>
  <c r="C289" i="5"/>
  <c r="D289" i="5"/>
  <c r="E289" i="5"/>
  <c r="F289" i="5"/>
  <c r="G289" i="5"/>
  <c r="H289" i="5"/>
  <c r="I289" i="5"/>
  <c r="J289" i="5"/>
  <c r="K289" i="5"/>
  <c r="L289" i="5"/>
  <c r="M289" i="5"/>
  <c r="N289" i="5"/>
  <c r="O289" i="5"/>
  <c r="P289" i="5"/>
  <c r="Q289" i="5"/>
  <c r="R289" i="5"/>
  <c r="S289" i="5"/>
  <c r="T289" i="5"/>
  <c r="U289" i="5"/>
  <c r="V289" i="5"/>
  <c r="W289" i="5"/>
  <c r="X289" i="5"/>
  <c r="B290" i="5"/>
  <c r="C290" i="5"/>
  <c r="D290" i="5"/>
  <c r="E290" i="5"/>
  <c r="F290" i="5"/>
  <c r="G290" i="5"/>
  <c r="H290" i="5"/>
  <c r="I290" i="5"/>
  <c r="J290" i="5"/>
  <c r="K290" i="5"/>
  <c r="L290" i="5"/>
  <c r="M290" i="5"/>
  <c r="N290" i="5"/>
  <c r="O290" i="5"/>
  <c r="P290" i="5"/>
  <c r="Q290" i="5"/>
  <c r="R290" i="5"/>
  <c r="S290" i="5"/>
  <c r="T290" i="5"/>
  <c r="U290" i="5"/>
  <c r="V290" i="5"/>
  <c r="W290" i="5"/>
  <c r="X290" i="5"/>
  <c r="B291" i="5"/>
  <c r="C291" i="5"/>
  <c r="D291" i="5"/>
  <c r="E291" i="5"/>
  <c r="F291" i="5"/>
  <c r="G291" i="5"/>
  <c r="H291" i="5"/>
  <c r="I291" i="5"/>
  <c r="J291" i="5"/>
  <c r="K291" i="5"/>
  <c r="L291" i="5"/>
  <c r="M291" i="5"/>
  <c r="N291" i="5"/>
  <c r="O291" i="5"/>
  <c r="P291" i="5"/>
  <c r="Q291" i="5"/>
  <c r="R291" i="5"/>
  <c r="S291" i="5"/>
  <c r="T291" i="5"/>
  <c r="U291" i="5"/>
  <c r="V291" i="5"/>
  <c r="W291" i="5"/>
  <c r="X291" i="5"/>
  <c r="B292" i="5"/>
  <c r="C292" i="5"/>
  <c r="D292" i="5"/>
  <c r="E292" i="5"/>
  <c r="F292" i="5"/>
  <c r="G292" i="5"/>
  <c r="H292" i="5"/>
  <c r="I292" i="5"/>
  <c r="J292" i="5"/>
  <c r="K292" i="5"/>
  <c r="L292" i="5"/>
  <c r="M292" i="5"/>
  <c r="N292" i="5"/>
  <c r="AC292" i="5" s="1"/>
  <c r="O292" i="5"/>
  <c r="P292" i="5"/>
  <c r="Q292" i="5"/>
  <c r="R292" i="5"/>
  <c r="S292" i="5"/>
  <c r="T292" i="5"/>
  <c r="U292" i="5"/>
  <c r="V292" i="5"/>
  <c r="W292" i="5"/>
  <c r="X292" i="5"/>
  <c r="B293" i="5"/>
  <c r="C293" i="5"/>
  <c r="D293" i="5"/>
  <c r="E293" i="5"/>
  <c r="F293" i="5"/>
  <c r="G293" i="5"/>
  <c r="H293" i="5"/>
  <c r="I293" i="5"/>
  <c r="J293" i="5"/>
  <c r="K293" i="5"/>
  <c r="L293" i="5"/>
  <c r="M293" i="5"/>
  <c r="N293" i="5"/>
  <c r="AC293" i="5" s="1"/>
  <c r="O293" i="5"/>
  <c r="P293" i="5"/>
  <c r="Q293" i="5"/>
  <c r="R293" i="5"/>
  <c r="S293" i="5"/>
  <c r="T293" i="5"/>
  <c r="U293" i="5"/>
  <c r="V293" i="5"/>
  <c r="W293" i="5"/>
  <c r="X293" i="5"/>
  <c r="B294" i="5"/>
  <c r="AB294" i="5" s="1"/>
  <c r="C294" i="5"/>
  <c r="D294" i="5"/>
  <c r="E294" i="5"/>
  <c r="F294" i="5"/>
  <c r="G294" i="5"/>
  <c r="H294" i="5"/>
  <c r="I294" i="5"/>
  <c r="J294" i="5"/>
  <c r="K294" i="5"/>
  <c r="L294" i="5"/>
  <c r="M294" i="5"/>
  <c r="N294" i="5"/>
  <c r="O294" i="5"/>
  <c r="P294" i="5"/>
  <c r="Q294" i="5"/>
  <c r="R294" i="5"/>
  <c r="S294" i="5"/>
  <c r="T294" i="5"/>
  <c r="U294" i="5"/>
  <c r="V294" i="5"/>
  <c r="W294" i="5"/>
  <c r="X294" i="5"/>
  <c r="B295" i="5"/>
  <c r="C295" i="5"/>
  <c r="D295" i="5"/>
  <c r="E295" i="5"/>
  <c r="F295" i="5"/>
  <c r="G295" i="5"/>
  <c r="H295" i="5"/>
  <c r="I295" i="5"/>
  <c r="J295" i="5"/>
  <c r="K295" i="5"/>
  <c r="L295" i="5"/>
  <c r="M295" i="5"/>
  <c r="N295" i="5"/>
  <c r="AC295" i="5" s="1"/>
  <c r="O295" i="5"/>
  <c r="P295" i="5"/>
  <c r="Q295" i="5"/>
  <c r="R295" i="5"/>
  <c r="S295" i="5"/>
  <c r="T295" i="5"/>
  <c r="U295" i="5"/>
  <c r="V295" i="5"/>
  <c r="W295" i="5"/>
  <c r="X295" i="5"/>
  <c r="B296" i="5"/>
  <c r="AB296" i="5" s="1"/>
  <c r="C296" i="5"/>
  <c r="D296" i="5"/>
  <c r="E296" i="5"/>
  <c r="F296" i="5"/>
  <c r="G296" i="5"/>
  <c r="H296" i="5"/>
  <c r="I296" i="5"/>
  <c r="J296" i="5"/>
  <c r="K296" i="5"/>
  <c r="L296" i="5"/>
  <c r="M296" i="5"/>
  <c r="N296" i="5"/>
  <c r="O296" i="5"/>
  <c r="P296" i="5"/>
  <c r="Q296" i="5"/>
  <c r="R296" i="5"/>
  <c r="S296" i="5"/>
  <c r="T296" i="5"/>
  <c r="U296" i="5"/>
  <c r="V296" i="5"/>
  <c r="W296" i="5"/>
  <c r="X296" i="5"/>
  <c r="B297" i="5"/>
  <c r="C297" i="5"/>
  <c r="D297" i="5"/>
  <c r="E297" i="5"/>
  <c r="F297" i="5"/>
  <c r="G297" i="5"/>
  <c r="H297" i="5"/>
  <c r="I297" i="5"/>
  <c r="J297" i="5"/>
  <c r="K297" i="5"/>
  <c r="L297" i="5"/>
  <c r="M297" i="5"/>
  <c r="N297" i="5"/>
  <c r="O297" i="5"/>
  <c r="P297" i="5"/>
  <c r="Q297" i="5"/>
  <c r="R297" i="5"/>
  <c r="S297" i="5"/>
  <c r="T297" i="5"/>
  <c r="U297" i="5"/>
  <c r="V297" i="5"/>
  <c r="W297" i="5"/>
  <c r="X297" i="5"/>
  <c r="B298" i="5"/>
  <c r="C298" i="5"/>
  <c r="D298" i="5"/>
  <c r="E298" i="5"/>
  <c r="F298" i="5"/>
  <c r="G298" i="5"/>
  <c r="H298" i="5"/>
  <c r="I298" i="5"/>
  <c r="J298" i="5"/>
  <c r="K298" i="5"/>
  <c r="L298" i="5"/>
  <c r="M298" i="5"/>
  <c r="N298" i="5"/>
  <c r="O298" i="5"/>
  <c r="P298" i="5"/>
  <c r="Q298" i="5"/>
  <c r="R298" i="5"/>
  <c r="S298" i="5"/>
  <c r="T298" i="5"/>
  <c r="U298" i="5"/>
  <c r="V298" i="5"/>
  <c r="W298" i="5"/>
  <c r="X298" i="5"/>
  <c r="B299" i="5"/>
  <c r="C299" i="5"/>
  <c r="D299" i="5"/>
  <c r="E299" i="5"/>
  <c r="F299" i="5"/>
  <c r="G299" i="5"/>
  <c r="H299" i="5"/>
  <c r="I299" i="5"/>
  <c r="J299" i="5"/>
  <c r="K299" i="5"/>
  <c r="L299" i="5"/>
  <c r="M299" i="5"/>
  <c r="N299" i="5"/>
  <c r="O299" i="5"/>
  <c r="P299" i="5"/>
  <c r="Q299" i="5"/>
  <c r="R299" i="5"/>
  <c r="S299" i="5"/>
  <c r="T299" i="5"/>
  <c r="U299" i="5"/>
  <c r="V299" i="5"/>
  <c r="W299" i="5"/>
  <c r="X299" i="5"/>
  <c r="B300" i="5"/>
  <c r="C300" i="5"/>
  <c r="D300" i="5"/>
  <c r="E300" i="5"/>
  <c r="F300" i="5"/>
  <c r="G300" i="5"/>
  <c r="H300" i="5"/>
  <c r="I300" i="5"/>
  <c r="J300" i="5"/>
  <c r="K300" i="5"/>
  <c r="L300" i="5"/>
  <c r="M300" i="5"/>
  <c r="N300" i="5"/>
  <c r="O300" i="5"/>
  <c r="P300" i="5"/>
  <c r="Q300" i="5"/>
  <c r="R300" i="5"/>
  <c r="S300" i="5"/>
  <c r="T300" i="5"/>
  <c r="U300" i="5"/>
  <c r="V300" i="5"/>
  <c r="W300" i="5"/>
  <c r="X300" i="5"/>
  <c r="AC300" i="5"/>
  <c r="B301" i="5"/>
  <c r="C301" i="5"/>
  <c r="D301" i="5"/>
  <c r="E301" i="5"/>
  <c r="F301" i="5"/>
  <c r="G301" i="5"/>
  <c r="H301" i="5"/>
  <c r="I301" i="5"/>
  <c r="J301" i="5"/>
  <c r="K301" i="5"/>
  <c r="L301" i="5"/>
  <c r="M301" i="5"/>
  <c r="N301" i="5"/>
  <c r="O301" i="5"/>
  <c r="P301" i="5"/>
  <c r="Q301" i="5"/>
  <c r="R301" i="5"/>
  <c r="S301" i="5"/>
  <c r="T301" i="5"/>
  <c r="U301" i="5"/>
  <c r="V301" i="5"/>
  <c r="W301" i="5"/>
  <c r="X301" i="5"/>
  <c r="AC301" i="5"/>
  <c r="B302" i="5"/>
  <c r="C302" i="5"/>
  <c r="D302" i="5"/>
  <c r="E302" i="5"/>
  <c r="F302" i="5"/>
  <c r="G302" i="5"/>
  <c r="H302" i="5"/>
  <c r="I302" i="5"/>
  <c r="J302" i="5"/>
  <c r="K302" i="5"/>
  <c r="L302" i="5"/>
  <c r="M302" i="5"/>
  <c r="N302" i="5"/>
  <c r="O302" i="5"/>
  <c r="P302" i="5"/>
  <c r="Q302" i="5"/>
  <c r="R302" i="5"/>
  <c r="S302" i="5"/>
  <c r="T302" i="5"/>
  <c r="U302" i="5"/>
  <c r="V302" i="5"/>
  <c r="W302" i="5"/>
  <c r="X302" i="5"/>
  <c r="AB302" i="5"/>
  <c r="B303" i="5"/>
  <c r="C303" i="5"/>
  <c r="D303" i="5"/>
  <c r="E303" i="5"/>
  <c r="F303" i="5"/>
  <c r="G303" i="5"/>
  <c r="H303" i="5"/>
  <c r="I303" i="5"/>
  <c r="J303" i="5"/>
  <c r="K303" i="5"/>
  <c r="L303" i="5"/>
  <c r="M303" i="5"/>
  <c r="N303" i="5"/>
  <c r="O303" i="5"/>
  <c r="P303" i="5"/>
  <c r="Q303" i="5"/>
  <c r="R303" i="5"/>
  <c r="S303" i="5"/>
  <c r="T303" i="5"/>
  <c r="U303" i="5"/>
  <c r="V303" i="5"/>
  <c r="W303" i="5"/>
  <c r="X303" i="5"/>
  <c r="AC303" i="5"/>
  <c r="B304" i="5"/>
  <c r="C304" i="5"/>
  <c r="D304" i="5"/>
  <c r="E304" i="5"/>
  <c r="F304" i="5"/>
  <c r="G304" i="5"/>
  <c r="H304" i="5"/>
  <c r="I304" i="5"/>
  <c r="J304" i="5"/>
  <c r="K304" i="5"/>
  <c r="L304" i="5"/>
  <c r="M304" i="5"/>
  <c r="N304" i="5"/>
  <c r="O304" i="5"/>
  <c r="P304" i="5"/>
  <c r="Q304" i="5"/>
  <c r="R304" i="5"/>
  <c r="S304" i="5"/>
  <c r="T304" i="5"/>
  <c r="U304" i="5"/>
  <c r="V304" i="5"/>
  <c r="W304" i="5"/>
  <c r="X304" i="5"/>
  <c r="AB304" i="5"/>
  <c r="B305" i="5"/>
  <c r="C305" i="5"/>
  <c r="D305" i="5"/>
  <c r="E305" i="5"/>
  <c r="F305" i="5"/>
  <c r="G305" i="5"/>
  <c r="H305" i="5"/>
  <c r="I305" i="5"/>
  <c r="J305" i="5"/>
  <c r="K305" i="5"/>
  <c r="L305" i="5"/>
  <c r="M305" i="5"/>
  <c r="N305" i="5"/>
  <c r="O305" i="5"/>
  <c r="P305" i="5"/>
  <c r="Q305" i="5"/>
  <c r="R305" i="5"/>
  <c r="S305" i="5"/>
  <c r="T305" i="5"/>
  <c r="U305" i="5"/>
  <c r="V305" i="5"/>
  <c r="W305" i="5"/>
  <c r="X305" i="5"/>
  <c r="B306" i="5"/>
  <c r="C306" i="5"/>
  <c r="D306" i="5"/>
  <c r="E306" i="5"/>
  <c r="F306" i="5"/>
  <c r="G306" i="5"/>
  <c r="H306" i="5"/>
  <c r="I306" i="5"/>
  <c r="J306" i="5"/>
  <c r="K306" i="5"/>
  <c r="L306" i="5"/>
  <c r="M306" i="5"/>
  <c r="N306" i="5"/>
  <c r="O306" i="5"/>
  <c r="P306" i="5"/>
  <c r="Q306" i="5"/>
  <c r="R306" i="5"/>
  <c r="S306" i="5"/>
  <c r="T306" i="5"/>
  <c r="U306" i="5"/>
  <c r="V306" i="5"/>
  <c r="W306" i="5"/>
  <c r="X306" i="5"/>
  <c r="B307" i="5"/>
  <c r="C307" i="5"/>
  <c r="D307" i="5"/>
  <c r="E307" i="5"/>
  <c r="F307" i="5"/>
  <c r="G307" i="5"/>
  <c r="H307" i="5"/>
  <c r="I307" i="5"/>
  <c r="J307" i="5"/>
  <c r="K307" i="5"/>
  <c r="L307" i="5"/>
  <c r="M307" i="5"/>
  <c r="N307" i="5"/>
  <c r="O307" i="5"/>
  <c r="P307" i="5"/>
  <c r="Q307" i="5"/>
  <c r="R307" i="5"/>
  <c r="S307" i="5"/>
  <c r="T307" i="5"/>
  <c r="U307" i="5"/>
  <c r="V307" i="5"/>
  <c r="W307" i="5"/>
  <c r="X307" i="5"/>
  <c r="B308" i="5"/>
  <c r="C308" i="5"/>
  <c r="D308" i="5"/>
  <c r="E308" i="5"/>
  <c r="F308" i="5"/>
  <c r="G308" i="5"/>
  <c r="H308" i="5"/>
  <c r="I308" i="5"/>
  <c r="J308" i="5"/>
  <c r="K308" i="5"/>
  <c r="L308" i="5"/>
  <c r="M308" i="5"/>
  <c r="N308" i="5"/>
  <c r="O308" i="5"/>
  <c r="AC308" i="5" s="1"/>
  <c r="P308" i="5"/>
  <c r="Q308" i="5"/>
  <c r="R308" i="5"/>
  <c r="S308" i="5"/>
  <c r="T308" i="5"/>
  <c r="U308" i="5"/>
  <c r="V308" i="5"/>
  <c r="W308" i="5"/>
  <c r="X308" i="5"/>
  <c r="B309" i="5"/>
  <c r="C309" i="5"/>
  <c r="D309" i="5"/>
  <c r="E309" i="5"/>
  <c r="F309" i="5"/>
  <c r="G309" i="5"/>
  <c r="H309" i="5"/>
  <c r="I309" i="5"/>
  <c r="J309" i="5"/>
  <c r="K309" i="5"/>
  <c r="L309" i="5"/>
  <c r="M309" i="5"/>
  <c r="N309" i="5"/>
  <c r="O309" i="5"/>
  <c r="AC309" i="5" s="1"/>
  <c r="P309" i="5"/>
  <c r="Q309" i="5"/>
  <c r="R309" i="5"/>
  <c r="S309" i="5"/>
  <c r="T309" i="5"/>
  <c r="U309" i="5"/>
  <c r="V309" i="5"/>
  <c r="W309" i="5"/>
  <c r="X309" i="5"/>
  <c r="B310" i="5"/>
  <c r="C310" i="5"/>
  <c r="D310" i="5"/>
  <c r="AB310" i="5" s="1"/>
  <c r="E310" i="5"/>
  <c r="F310" i="5"/>
  <c r="G310" i="5"/>
  <c r="H310" i="5"/>
  <c r="I310" i="5"/>
  <c r="J310" i="5"/>
  <c r="K310" i="5"/>
  <c r="L310" i="5"/>
  <c r="M310" i="5"/>
  <c r="N310" i="5"/>
  <c r="O310" i="5"/>
  <c r="P310" i="5"/>
  <c r="AC310" i="5" s="1"/>
  <c r="Q310" i="5"/>
  <c r="R310" i="5"/>
  <c r="S310" i="5"/>
  <c r="T310" i="5"/>
  <c r="U310" i="5"/>
  <c r="V310" i="5"/>
  <c r="W310" i="5"/>
  <c r="X310" i="5"/>
  <c r="B311" i="5"/>
  <c r="C311" i="5"/>
  <c r="D311" i="5"/>
  <c r="E311" i="5"/>
  <c r="F311" i="5"/>
  <c r="G311" i="5"/>
  <c r="H311" i="5"/>
  <c r="I311" i="5"/>
  <c r="J311" i="5"/>
  <c r="K311" i="5"/>
  <c r="L311" i="5"/>
  <c r="M311" i="5"/>
  <c r="N311" i="5"/>
  <c r="O311" i="5"/>
  <c r="P311" i="5"/>
  <c r="Q311" i="5"/>
  <c r="R311" i="5"/>
  <c r="S311" i="5"/>
  <c r="T311" i="5"/>
  <c r="U311" i="5"/>
  <c r="V311" i="5"/>
  <c r="W311" i="5"/>
  <c r="X311" i="5"/>
  <c r="B312" i="5"/>
  <c r="C312" i="5"/>
  <c r="D312" i="5"/>
  <c r="E312" i="5"/>
  <c r="F312" i="5"/>
  <c r="G312" i="5"/>
  <c r="H312" i="5"/>
  <c r="I312" i="5"/>
  <c r="J312" i="5"/>
  <c r="K312" i="5"/>
  <c r="L312" i="5"/>
  <c r="M312" i="5"/>
  <c r="N312" i="5"/>
  <c r="O312" i="5"/>
  <c r="P312" i="5"/>
  <c r="Q312" i="5"/>
  <c r="R312" i="5"/>
  <c r="S312" i="5"/>
  <c r="T312" i="5"/>
  <c r="U312" i="5"/>
  <c r="V312" i="5"/>
  <c r="W312" i="5"/>
  <c r="X312" i="5"/>
  <c r="AB312" i="5"/>
  <c r="B313" i="5"/>
  <c r="C313" i="5"/>
  <c r="D313" i="5"/>
  <c r="E313" i="5"/>
  <c r="F313" i="5"/>
  <c r="G313" i="5"/>
  <c r="H313" i="5"/>
  <c r="I313" i="5"/>
  <c r="J313" i="5"/>
  <c r="K313" i="5"/>
  <c r="L313" i="5"/>
  <c r="M313" i="5"/>
  <c r="N313" i="5"/>
  <c r="O313" i="5"/>
  <c r="P313" i="5"/>
  <c r="Q313" i="5"/>
  <c r="R313" i="5"/>
  <c r="S313" i="5"/>
  <c r="T313" i="5"/>
  <c r="U313" i="5"/>
  <c r="V313" i="5"/>
  <c r="W313" i="5"/>
  <c r="X313" i="5"/>
  <c r="B314" i="5"/>
  <c r="C314" i="5"/>
  <c r="D314" i="5"/>
  <c r="E314" i="5"/>
  <c r="F314" i="5"/>
  <c r="G314" i="5"/>
  <c r="H314" i="5"/>
  <c r="I314" i="5"/>
  <c r="J314" i="5"/>
  <c r="K314" i="5"/>
  <c r="L314" i="5"/>
  <c r="M314" i="5"/>
  <c r="N314" i="5"/>
  <c r="O314" i="5"/>
  <c r="P314" i="5"/>
  <c r="Q314" i="5"/>
  <c r="R314" i="5"/>
  <c r="S314" i="5"/>
  <c r="T314" i="5"/>
  <c r="U314" i="5"/>
  <c r="V314" i="5"/>
  <c r="W314" i="5"/>
  <c r="X314" i="5"/>
  <c r="B315" i="5"/>
  <c r="C315" i="5"/>
  <c r="D315" i="5"/>
  <c r="E315" i="5"/>
  <c r="F315" i="5"/>
  <c r="G315" i="5"/>
  <c r="H315" i="5"/>
  <c r="I315" i="5"/>
  <c r="J315" i="5"/>
  <c r="K315" i="5"/>
  <c r="L315" i="5"/>
  <c r="M315" i="5"/>
  <c r="N315" i="5"/>
  <c r="O315" i="5"/>
  <c r="P315" i="5"/>
  <c r="Q315" i="5"/>
  <c r="R315" i="5"/>
  <c r="S315" i="5"/>
  <c r="T315" i="5"/>
  <c r="U315" i="5"/>
  <c r="V315" i="5"/>
  <c r="W315" i="5"/>
  <c r="X315" i="5"/>
  <c r="B316" i="5"/>
  <c r="C316" i="5"/>
  <c r="D316" i="5"/>
  <c r="E316" i="5"/>
  <c r="F316" i="5"/>
  <c r="G316" i="5"/>
  <c r="H316" i="5"/>
  <c r="I316" i="5"/>
  <c r="J316" i="5"/>
  <c r="K316" i="5"/>
  <c r="L316" i="5"/>
  <c r="M316" i="5"/>
  <c r="N316" i="5"/>
  <c r="O316" i="5"/>
  <c r="AC316" i="5" s="1"/>
  <c r="P316" i="5"/>
  <c r="Q316" i="5"/>
  <c r="R316" i="5"/>
  <c r="S316" i="5"/>
  <c r="T316" i="5"/>
  <c r="U316" i="5"/>
  <c r="V316" i="5"/>
  <c r="W316" i="5"/>
  <c r="X316" i="5"/>
  <c r="B317" i="5"/>
  <c r="C317" i="5"/>
  <c r="D317" i="5"/>
  <c r="E317" i="5"/>
  <c r="F317" i="5"/>
  <c r="G317" i="5"/>
  <c r="H317" i="5"/>
  <c r="I317" i="5"/>
  <c r="J317" i="5"/>
  <c r="K317" i="5"/>
  <c r="L317" i="5"/>
  <c r="M317" i="5"/>
  <c r="N317" i="5"/>
  <c r="O317" i="5"/>
  <c r="P317" i="5"/>
  <c r="Q317" i="5"/>
  <c r="R317" i="5"/>
  <c r="S317" i="5"/>
  <c r="T317" i="5"/>
  <c r="U317" i="5"/>
  <c r="V317" i="5"/>
  <c r="W317" i="5"/>
  <c r="X317" i="5"/>
  <c r="B318" i="5"/>
  <c r="C318" i="5"/>
  <c r="D318" i="5"/>
  <c r="E318" i="5"/>
  <c r="F318" i="5"/>
  <c r="G318" i="5"/>
  <c r="H318" i="5"/>
  <c r="I318" i="5"/>
  <c r="J318" i="5"/>
  <c r="K318" i="5"/>
  <c r="L318" i="5"/>
  <c r="M318" i="5"/>
  <c r="N318" i="5"/>
  <c r="O318" i="5"/>
  <c r="P318" i="5"/>
  <c r="Q318" i="5"/>
  <c r="R318" i="5"/>
  <c r="S318" i="5"/>
  <c r="T318" i="5"/>
  <c r="U318" i="5"/>
  <c r="V318" i="5"/>
  <c r="W318" i="5"/>
  <c r="X318" i="5"/>
  <c r="AB318" i="5"/>
  <c r="B319" i="5"/>
  <c r="C319" i="5"/>
  <c r="D319" i="5"/>
  <c r="E319" i="5"/>
  <c r="F319" i="5"/>
  <c r="G319" i="5"/>
  <c r="H319" i="5"/>
  <c r="I319" i="5"/>
  <c r="J319" i="5"/>
  <c r="K319" i="5"/>
  <c r="L319" i="5"/>
  <c r="M319" i="5"/>
  <c r="N319" i="5"/>
  <c r="O319" i="5"/>
  <c r="P319" i="5"/>
  <c r="Q319" i="5"/>
  <c r="R319" i="5"/>
  <c r="S319" i="5"/>
  <c r="T319" i="5"/>
  <c r="U319" i="5"/>
  <c r="V319" i="5"/>
  <c r="W319" i="5"/>
  <c r="X319" i="5"/>
  <c r="AC319" i="5"/>
  <c r="B320" i="5"/>
  <c r="C320" i="5"/>
  <c r="D320" i="5"/>
  <c r="E320" i="5"/>
  <c r="F320" i="5"/>
  <c r="G320" i="5"/>
  <c r="H320" i="5"/>
  <c r="I320" i="5"/>
  <c r="J320" i="5"/>
  <c r="K320" i="5"/>
  <c r="L320" i="5"/>
  <c r="M320" i="5"/>
  <c r="N320" i="5"/>
  <c r="O320" i="5"/>
  <c r="P320" i="5"/>
  <c r="Q320" i="5"/>
  <c r="R320" i="5"/>
  <c r="S320" i="5"/>
  <c r="T320" i="5"/>
  <c r="U320" i="5"/>
  <c r="V320" i="5"/>
  <c r="W320" i="5"/>
  <c r="X320" i="5"/>
  <c r="AB320" i="5"/>
  <c r="B321" i="5"/>
  <c r="C321" i="5"/>
  <c r="D321" i="5"/>
  <c r="E321" i="5"/>
  <c r="F321" i="5"/>
  <c r="G321" i="5"/>
  <c r="H321" i="5"/>
  <c r="I321" i="5"/>
  <c r="J321" i="5"/>
  <c r="K321" i="5"/>
  <c r="L321" i="5"/>
  <c r="M321" i="5"/>
  <c r="N321" i="5"/>
  <c r="O321" i="5"/>
  <c r="P321" i="5"/>
  <c r="Q321" i="5"/>
  <c r="R321" i="5"/>
  <c r="S321" i="5"/>
  <c r="T321" i="5"/>
  <c r="U321" i="5"/>
  <c r="V321" i="5"/>
  <c r="W321" i="5"/>
  <c r="X321" i="5"/>
  <c r="B322" i="5"/>
  <c r="C322" i="5"/>
  <c r="D322" i="5"/>
  <c r="E322" i="5"/>
  <c r="F322" i="5"/>
  <c r="G322" i="5"/>
  <c r="H322" i="5"/>
  <c r="I322" i="5"/>
  <c r="J322" i="5"/>
  <c r="K322" i="5"/>
  <c r="L322" i="5"/>
  <c r="M322" i="5"/>
  <c r="N322" i="5"/>
  <c r="O322" i="5"/>
  <c r="P322" i="5"/>
  <c r="Q322" i="5"/>
  <c r="R322" i="5"/>
  <c r="S322" i="5"/>
  <c r="T322" i="5"/>
  <c r="U322" i="5"/>
  <c r="V322" i="5"/>
  <c r="W322" i="5"/>
  <c r="X322" i="5"/>
  <c r="B323" i="5"/>
  <c r="C323" i="5"/>
  <c r="D323" i="5"/>
  <c r="E323" i="5"/>
  <c r="F323" i="5"/>
  <c r="G323" i="5"/>
  <c r="H323" i="5"/>
  <c r="I323" i="5"/>
  <c r="J323" i="5"/>
  <c r="K323" i="5"/>
  <c r="L323" i="5"/>
  <c r="M323" i="5"/>
  <c r="N323" i="5"/>
  <c r="O323" i="5"/>
  <c r="P323" i="5"/>
  <c r="Q323" i="5"/>
  <c r="R323" i="5"/>
  <c r="S323" i="5"/>
  <c r="T323" i="5"/>
  <c r="U323" i="5"/>
  <c r="V323" i="5"/>
  <c r="W323" i="5"/>
  <c r="X323" i="5"/>
  <c r="B324" i="5"/>
  <c r="C324" i="5"/>
  <c r="D324" i="5"/>
  <c r="E324" i="5"/>
  <c r="F324" i="5"/>
  <c r="G324" i="5"/>
  <c r="H324" i="5"/>
  <c r="I324" i="5"/>
  <c r="J324" i="5"/>
  <c r="K324" i="5"/>
  <c r="L324" i="5"/>
  <c r="M324" i="5"/>
  <c r="N324" i="5"/>
  <c r="O324" i="5"/>
  <c r="P324" i="5"/>
  <c r="AC324" i="5" s="1"/>
  <c r="Q324" i="5"/>
  <c r="R324" i="5"/>
  <c r="S324" i="5"/>
  <c r="T324" i="5"/>
  <c r="U324" i="5"/>
  <c r="V324" i="5"/>
  <c r="W324" i="5"/>
  <c r="X324" i="5"/>
  <c r="B325" i="5"/>
  <c r="C325" i="5"/>
  <c r="D325" i="5"/>
  <c r="AB325" i="5" s="1"/>
  <c r="E325" i="5"/>
  <c r="F325" i="5"/>
  <c r="G325" i="5"/>
  <c r="H325" i="5"/>
  <c r="I325" i="5"/>
  <c r="J325" i="5"/>
  <c r="K325" i="5"/>
  <c r="L325" i="5"/>
  <c r="M325" i="5"/>
  <c r="N325" i="5"/>
  <c r="O325" i="5"/>
  <c r="P325" i="5"/>
  <c r="AC325" i="5" s="1"/>
  <c r="Q325" i="5"/>
  <c r="R325" i="5"/>
  <c r="S325" i="5"/>
  <c r="T325" i="5"/>
  <c r="U325" i="5"/>
  <c r="V325" i="5"/>
  <c r="W325" i="5"/>
  <c r="X325" i="5"/>
  <c r="B326" i="5"/>
  <c r="C326" i="5"/>
  <c r="D326" i="5"/>
  <c r="E326" i="5"/>
  <c r="F326" i="5"/>
  <c r="G326" i="5"/>
  <c r="H326" i="5"/>
  <c r="I326" i="5"/>
  <c r="J326" i="5"/>
  <c r="K326" i="5"/>
  <c r="L326" i="5"/>
  <c r="M326" i="5"/>
  <c r="N326" i="5"/>
  <c r="O326" i="5"/>
  <c r="P326" i="5"/>
  <c r="Q326" i="5"/>
  <c r="R326" i="5"/>
  <c r="S326" i="5"/>
  <c r="T326" i="5"/>
  <c r="U326" i="5"/>
  <c r="V326" i="5"/>
  <c r="W326" i="5"/>
  <c r="X326" i="5"/>
  <c r="B327" i="5"/>
  <c r="C327" i="5"/>
  <c r="D327" i="5"/>
  <c r="E327" i="5"/>
  <c r="F327" i="5"/>
  <c r="G327" i="5"/>
  <c r="H327" i="5"/>
  <c r="I327" i="5"/>
  <c r="J327" i="5"/>
  <c r="K327" i="5"/>
  <c r="L327" i="5"/>
  <c r="M327" i="5"/>
  <c r="N327" i="5"/>
  <c r="O327" i="5"/>
  <c r="P327" i="5"/>
  <c r="AC327" i="5" s="1"/>
  <c r="Q327" i="5"/>
  <c r="R327" i="5"/>
  <c r="S327" i="5"/>
  <c r="T327" i="5"/>
  <c r="U327" i="5"/>
  <c r="V327" i="5"/>
  <c r="W327" i="5"/>
  <c r="X327" i="5"/>
  <c r="B328" i="5"/>
  <c r="C328" i="5"/>
  <c r="D328" i="5"/>
  <c r="E328" i="5"/>
  <c r="F328" i="5"/>
  <c r="G328" i="5"/>
  <c r="H328" i="5"/>
  <c r="I328" i="5"/>
  <c r="J328" i="5"/>
  <c r="K328" i="5"/>
  <c r="L328" i="5"/>
  <c r="M328" i="5"/>
  <c r="N328" i="5"/>
  <c r="O328" i="5"/>
  <c r="P328" i="5"/>
  <c r="Q328" i="5"/>
  <c r="R328" i="5"/>
  <c r="S328" i="5"/>
  <c r="T328" i="5"/>
  <c r="U328" i="5"/>
  <c r="V328" i="5"/>
  <c r="W328" i="5"/>
  <c r="X328" i="5"/>
  <c r="AB328" i="5"/>
  <c r="B329" i="5"/>
  <c r="C329" i="5"/>
  <c r="D329" i="5"/>
  <c r="E329" i="5"/>
  <c r="F329" i="5"/>
  <c r="G329" i="5"/>
  <c r="H329" i="5"/>
  <c r="I329" i="5"/>
  <c r="J329" i="5"/>
  <c r="K329" i="5"/>
  <c r="L329" i="5"/>
  <c r="M329" i="5"/>
  <c r="N329" i="5"/>
  <c r="O329" i="5"/>
  <c r="P329" i="5"/>
  <c r="Q329" i="5"/>
  <c r="R329" i="5"/>
  <c r="S329" i="5"/>
  <c r="T329" i="5"/>
  <c r="U329" i="5"/>
  <c r="V329" i="5"/>
  <c r="W329" i="5"/>
  <c r="X329" i="5"/>
  <c r="B330" i="5"/>
  <c r="C330" i="5"/>
  <c r="D330" i="5"/>
  <c r="E330" i="5"/>
  <c r="F330" i="5"/>
  <c r="G330" i="5"/>
  <c r="H330" i="5"/>
  <c r="I330" i="5"/>
  <c r="J330" i="5"/>
  <c r="K330" i="5"/>
  <c r="L330" i="5"/>
  <c r="M330" i="5"/>
  <c r="N330" i="5"/>
  <c r="O330" i="5"/>
  <c r="P330" i="5"/>
  <c r="Q330" i="5"/>
  <c r="R330" i="5"/>
  <c r="S330" i="5"/>
  <c r="T330" i="5"/>
  <c r="U330" i="5"/>
  <c r="V330" i="5"/>
  <c r="W330" i="5"/>
  <c r="X330" i="5"/>
  <c r="B331" i="5"/>
  <c r="C331" i="5"/>
  <c r="D331" i="5"/>
  <c r="E331" i="5"/>
  <c r="F331" i="5"/>
  <c r="G331" i="5"/>
  <c r="H331" i="5"/>
  <c r="I331" i="5"/>
  <c r="J331" i="5"/>
  <c r="K331" i="5"/>
  <c r="L331" i="5"/>
  <c r="M331" i="5"/>
  <c r="N331" i="5"/>
  <c r="O331" i="5"/>
  <c r="P331" i="5"/>
  <c r="Q331" i="5"/>
  <c r="R331" i="5"/>
  <c r="S331" i="5"/>
  <c r="T331" i="5"/>
  <c r="U331" i="5"/>
  <c r="V331" i="5"/>
  <c r="W331" i="5"/>
  <c r="X331" i="5"/>
  <c r="B332" i="5"/>
  <c r="C332" i="5"/>
  <c r="D332" i="5"/>
  <c r="E332" i="5"/>
  <c r="F332" i="5"/>
  <c r="G332" i="5"/>
  <c r="H332" i="5"/>
  <c r="I332" i="5"/>
  <c r="J332" i="5"/>
  <c r="K332" i="5"/>
  <c r="L332" i="5"/>
  <c r="M332" i="5"/>
  <c r="N332" i="5"/>
  <c r="O332" i="5"/>
  <c r="P332" i="5"/>
  <c r="AC332" i="5" s="1"/>
  <c r="Q332" i="5"/>
  <c r="R332" i="5"/>
  <c r="S332" i="5"/>
  <c r="T332" i="5"/>
  <c r="U332" i="5"/>
  <c r="V332" i="5"/>
  <c r="W332" i="5"/>
  <c r="X332" i="5"/>
  <c r="B333" i="5"/>
  <c r="C333" i="5"/>
  <c r="D333" i="5"/>
  <c r="E333" i="5"/>
  <c r="F333" i="5"/>
  <c r="G333" i="5"/>
  <c r="H333" i="5"/>
  <c r="I333" i="5"/>
  <c r="J333" i="5"/>
  <c r="K333" i="5"/>
  <c r="L333" i="5"/>
  <c r="M333" i="5"/>
  <c r="N333" i="5"/>
  <c r="O333" i="5"/>
  <c r="P333" i="5"/>
  <c r="AC333" i="5" s="1"/>
  <c r="Q333" i="5"/>
  <c r="R333" i="5"/>
  <c r="S333" i="5"/>
  <c r="T333" i="5"/>
  <c r="U333" i="5"/>
  <c r="V333" i="5"/>
  <c r="W333" i="5"/>
  <c r="X333" i="5"/>
  <c r="B334" i="5"/>
  <c r="C334" i="5"/>
  <c r="D334" i="5"/>
  <c r="AB334" i="5" s="1"/>
  <c r="E334" i="5"/>
  <c r="F334" i="5"/>
  <c r="G334" i="5"/>
  <c r="H334" i="5"/>
  <c r="I334" i="5"/>
  <c r="J334" i="5"/>
  <c r="K334" i="5"/>
  <c r="L334" i="5"/>
  <c r="M334" i="5"/>
  <c r="N334" i="5"/>
  <c r="O334" i="5"/>
  <c r="P334" i="5"/>
  <c r="Q334" i="5"/>
  <c r="R334" i="5"/>
  <c r="S334" i="5"/>
  <c r="T334" i="5"/>
  <c r="U334" i="5"/>
  <c r="V334" i="5"/>
  <c r="W334" i="5"/>
  <c r="X334" i="5"/>
  <c r="B335" i="5"/>
  <c r="C335" i="5"/>
  <c r="D335" i="5"/>
  <c r="E335" i="5"/>
  <c r="F335" i="5"/>
  <c r="G335" i="5"/>
  <c r="H335" i="5"/>
  <c r="I335" i="5"/>
  <c r="J335" i="5"/>
  <c r="K335" i="5"/>
  <c r="L335" i="5"/>
  <c r="M335" i="5"/>
  <c r="N335" i="5"/>
  <c r="O335" i="5"/>
  <c r="P335" i="5"/>
  <c r="AC335" i="5" s="1"/>
  <c r="Q335" i="5"/>
  <c r="R335" i="5"/>
  <c r="S335" i="5"/>
  <c r="T335" i="5"/>
  <c r="U335" i="5"/>
  <c r="V335" i="5"/>
  <c r="W335" i="5"/>
  <c r="X335" i="5"/>
  <c r="B336" i="5"/>
  <c r="C336" i="5"/>
  <c r="D336" i="5"/>
  <c r="AB336" i="5" s="1"/>
  <c r="E336" i="5"/>
  <c r="F336" i="5"/>
  <c r="G336" i="5"/>
  <c r="H336" i="5"/>
  <c r="I336" i="5"/>
  <c r="J336" i="5"/>
  <c r="K336" i="5"/>
  <c r="L336" i="5"/>
  <c r="M336" i="5"/>
  <c r="N336" i="5"/>
  <c r="O336" i="5"/>
  <c r="P336" i="5"/>
  <c r="Q336" i="5"/>
  <c r="R336" i="5"/>
  <c r="S336" i="5"/>
  <c r="T336" i="5"/>
  <c r="U336" i="5"/>
  <c r="V336" i="5"/>
  <c r="W336" i="5"/>
  <c r="X336" i="5"/>
  <c r="B337" i="5"/>
  <c r="C337" i="5"/>
  <c r="D337" i="5"/>
  <c r="E337" i="5"/>
  <c r="F337" i="5"/>
  <c r="G337" i="5"/>
  <c r="H337" i="5"/>
  <c r="I337" i="5"/>
  <c r="J337" i="5"/>
  <c r="K337" i="5"/>
  <c r="L337" i="5"/>
  <c r="M337" i="5"/>
  <c r="N337" i="5"/>
  <c r="O337" i="5"/>
  <c r="P337" i="5"/>
  <c r="Q337" i="5"/>
  <c r="R337" i="5"/>
  <c r="S337" i="5"/>
  <c r="T337" i="5"/>
  <c r="U337" i="5"/>
  <c r="V337" i="5"/>
  <c r="W337" i="5"/>
  <c r="X337" i="5"/>
  <c r="B338" i="5"/>
  <c r="C338" i="5"/>
  <c r="D338" i="5"/>
  <c r="E338" i="5"/>
  <c r="F338" i="5"/>
  <c r="G338" i="5"/>
  <c r="H338" i="5"/>
  <c r="I338" i="5"/>
  <c r="J338" i="5"/>
  <c r="K338" i="5"/>
  <c r="L338" i="5"/>
  <c r="M338" i="5"/>
  <c r="N338" i="5"/>
  <c r="O338" i="5"/>
  <c r="P338" i="5"/>
  <c r="Q338" i="5"/>
  <c r="R338" i="5"/>
  <c r="S338" i="5"/>
  <c r="T338" i="5"/>
  <c r="U338" i="5"/>
  <c r="V338" i="5"/>
  <c r="W338" i="5"/>
  <c r="X338" i="5"/>
  <c r="B339" i="5"/>
  <c r="C339" i="5"/>
  <c r="D339" i="5"/>
  <c r="E339" i="5"/>
  <c r="F339" i="5"/>
  <c r="G339" i="5"/>
  <c r="H339" i="5"/>
  <c r="I339" i="5"/>
  <c r="J339" i="5"/>
  <c r="K339" i="5"/>
  <c r="L339" i="5"/>
  <c r="M339" i="5"/>
  <c r="N339" i="5"/>
  <c r="O339" i="5"/>
  <c r="P339" i="5"/>
  <c r="Q339" i="5"/>
  <c r="R339" i="5"/>
  <c r="S339" i="5"/>
  <c r="T339" i="5"/>
  <c r="U339" i="5"/>
  <c r="V339" i="5"/>
  <c r="W339" i="5"/>
  <c r="X339" i="5"/>
  <c r="B340" i="5"/>
  <c r="C340" i="5"/>
  <c r="D340" i="5"/>
  <c r="E340" i="5"/>
  <c r="F340" i="5"/>
  <c r="G340" i="5"/>
  <c r="H340" i="5"/>
  <c r="I340" i="5"/>
  <c r="J340" i="5"/>
  <c r="K340" i="5"/>
  <c r="L340" i="5"/>
  <c r="M340" i="5"/>
  <c r="N340" i="5"/>
  <c r="O340" i="5"/>
  <c r="AC340" i="5" s="1"/>
  <c r="P340" i="5"/>
  <c r="Q340" i="5"/>
  <c r="R340" i="5"/>
  <c r="S340" i="5"/>
  <c r="T340" i="5"/>
  <c r="U340" i="5"/>
  <c r="V340" i="5"/>
  <c r="W340" i="5"/>
  <c r="X340" i="5"/>
  <c r="B341" i="5"/>
  <c r="C341" i="5"/>
  <c r="D341" i="5"/>
  <c r="E341" i="5"/>
  <c r="F341" i="5"/>
  <c r="G341" i="5"/>
  <c r="H341" i="5"/>
  <c r="I341" i="5"/>
  <c r="J341" i="5"/>
  <c r="K341" i="5"/>
  <c r="L341" i="5"/>
  <c r="M341" i="5"/>
  <c r="N341" i="5"/>
  <c r="O341" i="5"/>
  <c r="AC341" i="5" s="1"/>
  <c r="P341" i="5"/>
  <c r="Q341" i="5"/>
  <c r="R341" i="5"/>
  <c r="S341" i="5"/>
  <c r="T341" i="5"/>
  <c r="U341" i="5"/>
  <c r="V341" i="5"/>
  <c r="W341" i="5"/>
  <c r="X341" i="5"/>
  <c r="B342" i="5"/>
  <c r="C342" i="5"/>
  <c r="AB342" i="5" s="1"/>
  <c r="D342" i="5"/>
  <c r="E342" i="5"/>
  <c r="F342" i="5"/>
  <c r="G342" i="5"/>
  <c r="H342" i="5"/>
  <c r="I342" i="5"/>
  <c r="J342" i="5"/>
  <c r="K342" i="5"/>
  <c r="L342" i="5"/>
  <c r="M342" i="5"/>
  <c r="N342" i="5"/>
  <c r="O342" i="5"/>
  <c r="P342" i="5"/>
  <c r="Q342" i="5"/>
  <c r="R342" i="5"/>
  <c r="S342" i="5"/>
  <c r="T342" i="5"/>
  <c r="U342" i="5"/>
  <c r="V342" i="5"/>
  <c r="W342" i="5"/>
  <c r="X342" i="5"/>
  <c r="B343" i="5"/>
  <c r="C343" i="5"/>
  <c r="D343" i="5"/>
  <c r="E343" i="5"/>
  <c r="F343" i="5"/>
  <c r="G343" i="5"/>
  <c r="H343" i="5"/>
  <c r="I343" i="5"/>
  <c r="J343" i="5"/>
  <c r="K343" i="5"/>
  <c r="L343" i="5"/>
  <c r="M343" i="5"/>
  <c r="N343" i="5"/>
  <c r="O343" i="5"/>
  <c r="AC343" i="5" s="1"/>
  <c r="P343" i="5"/>
  <c r="Q343" i="5"/>
  <c r="R343" i="5"/>
  <c r="S343" i="5"/>
  <c r="T343" i="5"/>
  <c r="U343" i="5"/>
  <c r="V343" i="5"/>
  <c r="W343" i="5"/>
  <c r="X343" i="5"/>
  <c r="B344" i="5"/>
  <c r="C344" i="5"/>
  <c r="AB344" i="5" s="1"/>
  <c r="D344" i="5"/>
  <c r="E344" i="5"/>
  <c r="F344" i="5"/>
  <c r="G344" i="5"/>
  <c r="H344" i="5"/>
  <c r="I344" i="5"/>
  <c r="J344" i="5"/>
  <c r="K344" i="5"/>
  <c r="L344" i="5"/>
  <c r="M344" i="5"/>
  <c r="N344" i="5"/>
  <c r="O344" i="5"/>
  <c r="AC344" i="5" s="1"/>
  <c r="P344" i="5"/>
  <c r="Q344" i="5"/>
  <c r="R344" i="5"/>
  <c r="S344" i="5"/>
  <c r="T344" i="5"/>
  <c r="U344" i="5"/>
  <c r="V344" i="5"/>
  <c r="W344" i="5"/>
  <c r="X344" i="5"/>
  <c r="B345" i="5"/>
  <c r="C345" i="5"/>
  <c r="D345" i="5"/>
  <c r="E345" i="5"/>
  <c r="F345" i="5"/>
  <c r="G345" i="5"/>
  <c r="H345" i="5"/>
  <c r="I345" i="5"/>
  <c r="J345" i="5"/>
  <c r="K345" i="5"/>
  <c r="L345" i="5"/>
  <c r="M345" i="5"/>
  <c r="N345" i="5"/>
  <c r="O345" i="5"/>
  <c r="P345" i="5"/>
  <c r="Q345" i="5"/>
  <c r="R345" i="5"/>
  <c r="S345" i="5"/>
  <c r="T345" i="5"/>
  <c r="U345" i="5"/>
  <c r="V345" i="5"/>
  <c r="W345" i="5"/>
  <c r="X345" i="5"/>
  <c r="B346" i="5"/>
  <c r="C346" i="5"/>
  <c r="D346" i="5"/>
  <c r="E346" i="5"/>
  <c r="F346" i="5"/>
  <c r="G346" i="5"/>
  <c r="H346" i="5"/>
  <c r="I346" i="5"/>
  <c r="J346" i="5"/>
  <c r="K346" i="5"/>
  <c r="L346" i="5"/>
  <c r="M346" i="5"/>
  <c r="N346" i="5"/>
  <c r="O346" i="5"/>
  <c r="P346" i="5"/>
  <c r="Q346" i="5"/>
  <c r="R346" i="5"/>
  <c r="S346" i="5"/>
  <c r="T346" i="5"/>
  <c r="U346" i="5"/>
  <c r="V346" i="5"/>
  <c r="W346" i="5"/>
  <c r="X346" i="5"/>
  <c r="B347" i="5"/>
  <c r="C347" i="5"/>
  <c r="D347" i="5"/>
  <c r="E347" i="5"/>
  <c r="F347" i="5"/>
  <c r="G347" i="5"/>
  <c r="H347" i="5"/>
  <c r="I347" i="5"/>
  <c r="J347" i="5"/>
  <c r="K347" i="5"/>
  <c r="L347" i="5"/>
  <c r="M347" i="5"/>
  <c r="N347" i="5"/>
  <c r="O347" i="5"/>
  <c r="P347" i="5"/>
  <c r="Q347" i="5"/>
  <c r="R347" i="5"/>
  <c r="S347" i="5"/>
  <c r="T347" i="5"/>
  <c r="U347" i="5"/>
  <c r="V347" i="5"/>
  <c r="W347" i="5"/>
  <c r="X347" i="5"/>
  <c r="B348" i="5"/>
  <c r="C348" i="5"/>
  <c r="D348" i="5"/>
  <c r="E348" i="5"/>
  <c r="F348" i="5"/>
  <c r="G348" i="5"/>
  <c r="H348" i="5"/>
  <c r="I348" i="5"/>
  <c r="J348" i="5"/>
  <c r="K348" i="5"/>
  <c r="L348" i="5"/>
  <c r="M348" i="5"/>
  <c r="N348" i="5"/>
  <c r="AC348" i="5" s="1"/>
  <c r="O348" i="5"/>
  <c r="P348" i="5"/>
  <c r="Q348" i="5"/>
  <c r="R348" i="5"/>
  <c r="S348" i="5"/>
  <c r="T348" i="5"/>
  <c r="U348" i="5"/>
  <c r="V348" i="5"/>
  <c r="W348" i="5"/>
  <c r="X348" i="5"/>
  <c r="B349" i="5"/>
  <c r="C349" i="5"/>
  <c r="D349" i="5"/>
  <c r="E349" i="5"/>
  <c r="F349" i="5"/>
  <c r="G349" i="5"/>
  <c r="H349" i="5"/>
  <c r="I349" i="5"/>
  <c r="J349" i="5"/>
  <c r="K349" i="5"/>
  <c r="L349" i="5"/>
  <c r="M349" i="5"/>
  <c r="N349" i="5"/>
  <c r="AC349" i="5" s="1"/>
  <c r="O349" i="5"/>
  <c r="P349" i="5"/>
  <c r="Q349" i="5"/>
  <c r="R349" i="5"/>
  <c r="S349" i="5"/>
  <c r="T349" i="5"/>
  <c r="U349" i="5"/>
  <c r="V349" i="5"/>
  <c r="W349" i="5"/>
  <c r="X349" i="5"/>
  <c r="B350" i="5"/>
  <c r="AB350" i="5" s="1"/>
  <c r="C350" i="5"/>
  <c r="D350" i="5"/>
  <c r="E350" i="5"/>
  <c r="F350" i="5"/>
  <c r="G350" i="5"/>
  <c r="H350" i="5"/>
  <c r="I350" i="5"/>
  <c r="J350" i="5"/>
  <c r="K350" i="5"/>
  <c r="L350" i="5"/>
  <c r="M350" i="5"/>
  <c r="N350" i="5"/>
  <c r="O350" i="5"/>
  <c r="P350" i="5"/>
  <c r="Q350" i="5"/>
  <c r="R350" i="5"/>
  <c r="S350" i="5"/>
  <c r="T350" i="5"/>
  <c r="U350" i="5"/>
  <c r="V350" i="5"/>
  <c r="W350" i="5"/>
  <c r="X350" i="5"/>
  <c r="B351" i="5"/>
  <c r="C351" i="5"/>
  <c r="D351" i="5"/>
  <c r="E351" i="5"/>
  <c r="F351" i="5"/>
  <c r="G351" i="5"/>
  <c r="H351" i="5"/>
  <c r="I351" i="5"/>
  <c r="J351" i="5"/>
  <c r="K351" i="5"/>
  <c r="L351" i="5"/>
  <c r="M351" i="5"/>
  <c r="N351" i="5"/>
  <c r="AC351" i="5" s="1"/>
  <c r="O351" i="5"/>
  <c r="P351" i="5"/>
  <c r="Q351" i="5"/>
  <c r="R351" i="5"/>
  <c r="S351" i="5"/>
  <c r="T351" i="5"/>
  <c r="U351" i="5"/>
  <c r="V351" i="5"/>
  <c r="W351" i="5"/>
  <c r="X351" i="5"/>
  <c r="B352" i="5"/>
  <c r="AB352" i="5" s="1"/>
  <c r="C352" i="5"/>
  <c r="D352" i="5"/>
  <c r="E352" i="5"/>
  <c r="F352" i="5"/>
  <c r="G352" i="5"/>
  <c r="H352" i="5"/>
  <c r="I352" i="5"/>
  <c r="J352" i="5"/>
  <c r="K352" i="5"/>
  <c r="L352" i="5"/>
  <c r="M352" i="5"/>
  <c r="N352" i="5"/>
  <c r="O352" i="5"/>
  <c r="P352" i="5"/>
  <c r="Q352" i="5"/>
  <c r="R352" i="5"/>
  <c r="S352" i="5"/>
  <c r="T352" i="5"/>
  <c r="U352" i="5"/>
  <c r="V352" i="5"/>
  <c r="W352" i="5"/>
  <c r="X352" i="5"/>
  <c r="B353" i="5"/>
  <c r="C353" i="5"/>
  <c r="D353" i="5"/>
  <c r="E353" i="5"/>
  <c r="F353" i="5"/>
  <c r="G353" i="5"/>
  <c r="H353" i="5"/>
  <c r="I353" i="5"/>
  <c r="J353" i="5"/>
  <c r="K353" i="5"/>
  <c r="L353" i="5"/>
  <c r="M353" i="5"/>
  <c r="N353" i="5"/>
  <c r="O353" i="5"/>
  <c r="P353" i="5"/>
  <c r="Q353" i="5"/>
  <c r="R353" i="5"/>
  <c r="S353" i="5"/>
  <c r="T353" i="5"/>
  <c r="U353" i="5"/>
  <c r="V353" i="5"/>
  <c r="W353" i="5"/>
  <c r="X353" i="5"/>
  <c r="B354" i="5"/>
  <c r="C354" i="5"/>
  <c r="D354" i="5"/>
  <c r="E354" i="5"/>
  <c r="F354" i="5"/>
  <c r="G354" i="5"/>
  <c r="H354" i="5"/>
  <c r="I354" i="5"/>
  <c r="J354" i="5"/>
  <c r="K354" i="5"/>
  <c r="L354" i="5"/>
  <c r="M354" i="5"/>
  <c r="N354" i="5"/>
  <c r="O354" i="5"/>
  <c r="P354" i="5"/>
  <c r="Q354" i="5"/>
  <c r="R354" i="5"/>
  <c r="S354" i="5"/>
  <c r="T354" i="5"/>
  <c r="U354" i="5"/>
  <c r="V354" i="5"/>
  <c r="W354" i="5"/>
  <c r="X354" i="5"/>
  <c r="B355" i="5"/>
  <c r="C355" i="5"/>
  <c r="D355" i="5"/>
  <c r="E355" i="5"/>
  <c r="F355" i="5"/>
  <c r="G355" i="5"/>
  <c r="H355" i="5"/>
  <c r="I355" i="5"/>
  <c r="J355" i="5"/>
  <c r="K355" i="5"/>
  <c r="L355" i="5"/>
  <c r="M355" i="5"/>
  <c r="N355" i="5"/>
  <c r="O355" i="5"/>
  <c r="P355" i="5"/>
  <c r="Q355" i="5"/>
  <c r="R355" i="5"/>
  <c r="S355" i="5"/>
  <c r="T355" i="5"/>
  <c r="U355" i="5"/>
  <c r="V355" i="5"/>
  <c r="W355" i="5"/>
  <c r="X355" i="5"/>
  <c r="B356" i="5"/>
  <c r="C356" i="5"/>
  <c r="D356" i="5"/>
  <c r="E356" i="5"/>
  <c r="F356" i="5"/>
  <c r="G356" i="5"/>
  <c r="H356" i="5"/>
  <c r="I356" i="5"/>
  <c r="J356" i="5"/>
  <c r="K356" i="5"/>
  <c r="L356" i="5"/>
  <c r="M356" i="5"/>
  <c r="N356" i="5"/>
  <c r="O356" i="5"/>
  <c r="AC356" i="5" s="1"/>
  <c r="P356" i="5"/>
  <c r="Q356" i="5"/>
  <c r="R356" i="5"/>
  <c r="S356" i="5"/>
  <c r="T356" i="5"/>
  <c r="U356" i="5"/>
  <c r="V356" i="5"/>
  <c r="W356" i="5"/>
  <c r="X356" i="5"/>
  <c r="B357" i="5"/>
  <c r="C357" i="5"/>
  <c r="D357" i="5"/>
  <c r="E357" i="5"/>
  <c r="F357" i="5"/>
  <c r="G357" i="5"/>
  <c r="H357" i="5"/>
  <c r="I357" i="5"/>
  <c r="J357" i="5"/>
  <c r="K357" i="5"/>
  <c r="L357" i="5"/>
  <c r="M357" i="5"/>
  <c r="N357" i="5"/>
  <c r="O357" i="5"/>
  <c r="AC357" i="5" s="1"/>
  <c r="P357" i="5"/>
  <c r="Q357" i="5"/>
  <c r="R357" i="5"/>
  <c r="S357" i="5"/>
  <c r="T357" i="5"/>
  <c r="U357" i="5"/>
  <c r="V357" i="5"/>
  <c r="W357" i="5"/>
  <c r="X357" i="5"/>
  <c r="B358" i="5"/>
  <c r="C358" i="5"/>
  <c r="D358" i="5"/>
  <c r="E358" i="5"/>
  <c r="F358" i="5"/>
  <c r="G358" i="5"/>
  <c r="H358" i="5"/>
  <c r="I358" i="5"/>
  <c r="J358" i="5"/>
  <c r="K358" i="5"/>
  <c r="L358" i="5"/>
  <c r="M358" i="5"/>
  <c r="N358" i="5"/>
  <c r="O358" i="5"/>
  <c r="P358" i="5"/>
  <c r="Q358" i="5"/>
  <c r="R358" i="5"/>
  <c r="S358" i="5"/>
  <c r="T358" i="5"/>
  <c r="U358" i="5"/>
  <c r="V358" i="5"/>
  <c r="W358" i="5"/>
  <c r="X358" i="5"/>
  <c r="AB358" i="5"/>
  <c r="B359" i="5"/>
  <c r="C359" i="5"/>
  <c r="D359" i="5"/>
  <c r="E359" i="5"/>
  <c r="F359" i="5"/>
  <c r="G359" i="5"/>
  <c r="H359" i="5"/>
  <c r="I359" i="5"/>
  <c r="J359" i="5"/>
  <c r="K359" i="5"/>
  <c r="L359" i="5"/>
  <c r="M359" i="5"/>
  <c r="N359" i="5"/>
  <c r="O359" i="5"/>
  <c r="P359" i="5"/>
  <c r="Q359" i="5"/>
  <c r="R359" i="5"/>
  <c r="S359" i="5"/>
  <c r="T359" i="5"/>
  <c r="U359" i="5"/>
  <c r="V359" i="5"/>
  <c r="W359" i="5"/>
  <c r="X359" i="5"/>
  <c r="AC359" i="5"/>
  <c r="B360" i="5"/>
  <c r="C360" i="5"/>
  <c r="D360" i="5"/>
  <c r="E360" i="5"/>
  <c r="F360" i="5"/>
  <c r="G360" i="5"/>
  <c r="H360" i="5"/>
  <c r="I360" i="5"/>
  <c r="J360" i="5"/>
  <c r="K360" i="5"/>
  <c r="L360" i="5"/>
  <c r="M360" i="5"/>
  <c r="N360" i="5"/>
  <c r="O360" i="5"/>
  <c r="P360" i="5"/>
  <c r="Q360" i="5"/>
  <c r="R360" i="5"/>
  <c r="S360" i="5"/>
  <c r="T360" i="5"/>
  <c r="U360" i="5"/>
  <c r="V360" i="5"/>
  <c r="W360" i="5"/>
  <c r="X360" i="5"/>
  <c r="AB360" i="5"/>
  <c r="B361" i="5"/>
  <c r="C361" i="5"/>
  <c r="D361" i="5"/>
  <c r="E361" i="5"/>
  <c r="F361" i="5"/>
  <c r="G361" i="5"/>
  <c r="H361" i="5"/>
  <c r="I361" i="5"/>
  <c r="J361" i="5"/>
  <c r="K361" i="5"/>
  <c r="L361" i="5"/>
  <c r="M361" i="5"/>
  <c r="N361" i="5"/>
  <c r="O361" i="5"/>
  <c r="P361" i="5"/>
  <c r="Q361" i="5"/>
  <c r="R361" i="5"/>
  <c r="S361" i="5"/>
  <c r="T361" i="5"/>
  <c r="U361" i="5"/>
  <c r="V361" i="5"/>
  <c r="W361" i="5"/>
  <c r="X361" i="5"/>
  <c r="B362" i="5"/>
  <c r="C362" i="5"/>
  <c r="D362" i="5"/>
  <c r="E362" i="5"/>
  <c r="F362" i="5"/>
  <c r="G362" i="5"/>
  <c r="H362" i="5"/>
  <c r="I362" i="5"/>
  <c r="J362" i="5"/>
  <c r="K362" i="5"/>
  <c r="L362" i="5"/>
  <c r="M362" i="5"/>
  <c r="N362" i="5"/>
  <c r="O362" i="5"/>
  <c r="P362" i="5"/>
  <c r="Q362" i="5"/>
  <c r="R362" i="5"/>
  <c r="S362" i="5"/>
  <c r="T362" i="5"/>
  <c r="U362" i="5"/>
  <c r="V362" i="5"/>
  <c r="W362" i="5"/>
  <c r="X362" i="5"/>
  <c r="B363" i="5"/>
  <c r="C363" i="5"/>
  <c r="D363" i="5"/>
  <c r="E363" i="5"/>
  <c r="F363" i="5"/>
  <c r="G363" i="5"/>
  <c r="H363" i="5"/>
  <c r="I363" i="5"/>
  <c r="J363" i="5"/>
  <c r="K363" i="5"/>
  <c r="L363" i="5"/>
  <c r="M363" i="5"/>
  <c r="N363" i="5"/>
  <c r="O363" i="5"/>
  <c r="P363" i="5"/>
  <c r="Q363" i="5"/>
  <c r="R363" i="5"/>
  <c r="S363" i="5"/>
  <c r="T363" i="5"/>
  <c r="U363" i="5"/>
  <c r="V363" i="5"/>
  <c r="W363" i="5"/>
  <c r="X363" i="5"/>
  <c r="B364" i="5"/>
  <c r="C364" i="5"/>
  <c r="D364" i="5"/>
  <c r="E364" i="5"/>
  <c r="F364" i="5"/>
  <c r="G364" i="5"/>
  <c r="H364" i="5"/>
  <c r="I364" i="5"/>
  <c r="J364" i="5"/>
  <c r="K364" i="5"/>
  <c r="L364" i="5"/>
  <c r="M364" i="5"/>
  <c r="N364" i="5"/>
  <c r="AC364" i="5" s="1"/>
  <c r="O364" i="5"/>
  <c r="P364" i="5"/>
  <c r="Q364" i="5"/>
  <c r="R364" i="5"/>
  <c r="S364" i="5"/>
  <c r="T364" i="5"/>
  <c r="U364" i="5"/>
  <c r="V364" i="5"/>
  <c r="W364" i="5"/>
  <c r="X364" i="5"/>
  <c r="B365" i="5"/>
  <c r="AB365" i="5" s="1"/>
  <c r="C365" i="5"/>
  <c r="D365" i="5"/>
  <c r="E365" i="5"/>
  <c r="F365" i="5"/>
  <c r="G365" i="5"/>
  <c r="H365" i="5"/>
  <c r="I365" i="5"/>
  <c r="J365" i="5"/>
  <c r="K365" i="5"/>
  <c r="L365" i="5"/>
  <c r="M365" i="5"/>
  <c r="N365" i="5"/>
  <c r="O365" i="5"/>
  <c r="P365" i="5"/>
  <c r="Q365" i="5"/>
  <c r="R365" i="5"/>
  <c r="S365" i="5"/>
  <c r="T365" i="5"/>
  <c r="U365" i="5"/>
  <c r="V365" i="5"/>
  <c r="W365" i="5"/>
  <c r="X365" i="5"/>
  <c r="AC365" i="5"/>
  <c r="B366" i="5"/>
  <c r="C366" i="5"/>
  <c r="D366" i="5"/>
  <c r="E366" i="5"/>
  <c r="F366" i="5"/>
  <c r="G366" i="5"/>
  <c r="H366" i="5"/>
  <c r="I366" i="5"/>
  <c r="J366" i="5"/>
  <c r="K366" i="5"/>
  <c r="L366" i="5"/>
  <c r="M366" i="5"/>
  <c r="N366" i="5"/>
  <c r="O366" i="5"/>
  <c r="P366" i="5"/>
  <c r="Q366" i="5"/>
  <c r="R366" i="5"/>
  <c r="S366" i="5"/>
  <c r="T366" i="5"/>
  <c r="U366" i="5"/>
  <c r="V366" i="5"/>
  <c r="W366" i="5"/>
  <c r="X366" i="5"/>
  <c r="B367" i="5"/>
  <c r="C367" i="5"/>
  <c r="D367" i="5"/>
  <c r="E367" i="5"/>
  <c r="F367" i="5"/>
  <c r="G367" i="5"/>
  <c r="H367" i="5"/>
  <c r="I367" i="5"/>
  <c r="J367" i="5"/>
  <c r="K367" i="5"/>
  <c r="L367" i="5"/>
  <c r="M367" i="5"/>
  <c r="N367" i="5"/>
  <c r="O367" i="5"/>
  <c r="P367" i="5"/>
  <c r="AC367" i="5" s="1"/>
  <c r="Q367" i="5"/>
  <c r="R367" i="5"/>
  <c r="S367" i="5"/>
  <c r="T367" i="5"/>
  <c r="U367" i="5"/>
  <c r="V367" i="5"/>
  <c r="W367" i="5"/>
  <c r="X367" i="5"/>
  <c r="B368" i="5"/>
  <c r="C368" i="5"/>
  <c r="D368" i="5"/>
  <c r="E368" i="5"/>
  <c r="F368" i="5"/>
  <c r="G368" i="5"/>
  <c r="H368" i="5"/>
  <c r="I368" i="5"/>
  <c r="J368" i="5"/>
  <c r="K368" i="5"/>
  <c r="L368" i="5"/>
  <c r="M368" i="5"/>
  <c r="N368" i="5"/>
  <c r="O368" i="5"/>
  <c r="P368" i="5"/>
  <c r="Q368" i="5"/>
  <c r="R368" i="5"/>
  <c r="S368" i="5"/>
  <c r="T368" i="5"/>
  <c r="U368" i="5"/>
  <c r="V368" i="5"/>
  <c r="W368" i="5"/>
  <c r="X368" i="5"/>
  <c r="AB368" i="5"/>
  <c r="B369" i="5"/>
  <c r="C369" i="5"/>
  <c r="D369" i="5"/>
  <c r="E369" i="5"/>
  <c r="F369" i="5"/>
  <c r="G369" i="5"/>
  <c r="H369" i="5"/>
  <c r="I369" i="5"/>
  <c r="J369" i="5"/>
  <c r="K369" i="5"/>
  <c r="L369" i="5"/>
  <c r="M369" i="5"/>
  <c r="N369" i="5"/>
  <c r="O369" i="5"/>
  <c r="P369" i="5"/>
  <c r="Q369" i="5"/>
  <c r="R369" i="5"/>
  <c r="S369" i="5"/>
  <c r="T369" i="5"/>
  <c r="U369" i="5"/>
  <c r="V369" i="5"/>
  <c r="W369" i="5"/>
  <c r="X369" i="5"/>
  <c r="B370" i="5"/>
  <c r="C370" i="5"/>
  <c r="D370" i="5"/>
  <c r="E370" i="5"/>
  <c r="F370" i="5"/>
  <c r="G370" i="5"/>
  <c r="H370" i="5"/>
  <c r="I370" i="5"/>
  <c r="J370" i="5"/>
  <c r="K370" i="5"/>
  <c r="L370" i="5"/>
  <c r="M370" i="5"/>
  <c r="N370" i="5"/>
  <c r="O370" i="5"/>
  <c r="P370" i="5"/>
  <c r="Q370" i="5"/>
  <c r="R370" i="5"/>
  <c r="S370" i="5"/>
  <c r="T370" i="5"/>
  <c r="U370" i="5"/>
  <c r="V370" i="5"/>
  <c r="W370" i="5"/>
  <c r="X370" i="5"/>
  <c r="B371" i="5"/>
  <c r="C371" i="5"/>
  <c r="D371" i="5"/>
  <c r="E371" i="5"/>
  <c r="F371" i="5"/>
  <c r="G371" i="5"/>
  <c r="H371" i="5"/>
  <c r="I371" i="5"/>
  <c r="J371" i="5"/>
  <c r="K371" i="5"/>
  <c r="L371" i="5"/>
  <c r="M371" i="5"/>
  <c r="N371" i="5"/>
  <c r="O371" i="5"/>
  <c r="P371" i="5"/>
  <c r="Q371" i="5"/>
  <c r="R371" i="5"/>
  <c r="S371" i="5"/>
  <c r="T371" i="5"/>
  <c r="U371" i="5"/>
  <c r="V371" i="5"/>
  <c r="W371" i="5"/>
  <c r="X371" i="5"/>
  <c r="B372" i="5"/>
  <c r="C372" i="5"/>
  <c r="D372" i="5"/>
  <c r="E372" i="5"/>
  <c r="F372" i="5"/>
  <c r="G372" i="5"/>
  <c r="H372" i="5"/>
  <c r="I372" i="5"/>
  <c r="J372" i="5"/>
  <c r="K372" i="5"/>
  <c r="L372" i="5"/>
  <c r="M372" i="5"/>
  <c r="N372" i="5"/>
  <c r="AC372" i="5" s="1"/>
  <c r="O372" i="5"/>
  <c r="P372" i="5"/>
  <c r="Q372" i="5"/>
  <c r="R372" i="5"/>
  <c r="S372" i="5"/>
  <c r="T372" i="5"/>
  <c r="U372" i="5"/>
  <c r="V372" i="5"/>
  <c r="W372" i="5"/>
  <c r="X372" i="5"/>
  <c r="B373" i="5"/>
  <c r="C373" i="5"/>
  <c r="D373" i="5"/>
  <c r="E373" i="5"/>
  <c r="F373" i="5"/>
  <c r="G373" i="5"/>
  <c r="H373" i="5"/>
  <c r="I373" i="5"/>
  <c r="J373" i="5"/>
  <c r="K373" i="5"/>
  <c r="L373" i="5"/>
  <c r="M373" i="5"/>
  <c r="N373" i="5"/>
  <c r="AC373" i="5" s="1"/>
  <c r="O373" i="5"/>
  <c r="P373" i="5"/>
  <c r="Q373" i="5"/>
  <c r="R373" i="5"/>
  <c r="S373" i="5"/>
  <c r="T373" i="5"/>
  <c r="U373" i="5"/>
  <c r="V373" i="5"/>
  <c r="W373" i="5"/>
  <c r="X373" i="5"/>
  <c r="B374" i="5"/>
  <c r="AB374" i="5" s="1"/>
  <c r="C374" i="5"/>
  <c r="D374" i="5"/>
  <c r="E374" i="5"/>
  <c r="F374" i="5"/>
  <c r="G374" i="5"/>
  <c r="H374" i="5"/>
  <c r="I374" i="5"/>
  <c r="J374" i="5"/>
  <c r="K374" i="5"/>
  <c r="L374" i="5"/>
  <c r="M374" i="5"/>
  <c r="N374" i="5"/>
  <c r="O374" i="5"/>
  <c r="P374" i="5"/>
  <c r="AC374" i="5" s="1"/>
  <c r="Q374" i="5"/>
  <c r="R374" i="5"/>
  <c r="S374" i="5"/>
  <c r="T374" i="5"/>
  <c r="U374" i="5"/>
  <c r="V374" i="5"/>
  <c r="W374" i="5"/>
  <c r="X374" i="5"/>
  <c r="B375" i="5"/>
  <c r="C375" i="5"/>
  <c r="D375" i="5"/>
  <c r="E375" i="5"/>
  <c r="F375" i="5"/>
  <c r="G375" i="5"/>
  <c r="H375" i="5"/>
  <c r="I375" i="5"/>
  <c r="J375" i="5"/>
  <c r="K375" i="5"/>
  <c r="L375" i="5"/>
  <c r="M375" i="5"/>
  <c r="N375" i="5"/>
  <c r="AC375" i="5" s="1"/>
  <c r="O375" i="5"/>
  <c r="P375" i="5"/>
  <c r="Q375" i="5"/>
  <c r="R375" i="5"/>
  <c r="S375" i="5"/>
  <c r="T375" i="5"/>
  <c r="U375" i="5"/>
  <c r="V375" i="5"/>
  <c r="W375" i="5"/>
  <c r="X375" i="5"/>
  <c r="B376" i="5"/>
  <c r="AB376" i="5" s="1"/>
  <c r="C376" i="5"/>
  <c r="D376" i="5"/>
  <c r="E376" i="5"/>
  <c r="F376" i="5"/>
  <c r="G376" i="5"/>
  <c r="H376" i="5"/>
  <c r="I376" i="5"/>
  <c r="J376" i="5"/>
  <c r="K376" i="5"/>
  <c r="L376" i="5"/>
  <c r="M376" i="5"/>
  <c r="N376" i="5"/>
  <c r="O376" i="5"/>
  <c r="P376" i="5"/>
  <c r="Q376" i="5"/>
  <c r="R376" i="5"/>
  <c r="S376" i="5"/>
  <c r="T376" i="5"/>
  <c r="U376" i="5"/>
  <c r="V376" i="5"/>
  <c r="W376" i="5"/>
  <c r="X376" i="5"/>
  <c r="B377" i="5"/>
  <c r="C377" i="5"/>
  <c r="D377" i="5"/>
  <c r="E377" i="5"/>
  <c r="F377" i="5"/>
  <c r="G377" i="5"/>
  <c r="H377" i="5"/>
  <c r="I377" i="5"/>
  <c r="J377" i="5"/>
  <c r="K377" i="5"/>
  <c r="L377" i="5"/>
  <c r="M377" i="5"/>
  <c r="N377" i="5"/>
  <c r="O377" i="5"/>
  <c r="P377" i="5"/>
  <c r="Q377" i="5"/>
  <c r="R377" i="5"/>
  <c r="S377" i="5"/>
  <c r="T377" i="5"/>
  <c r="U377" i="5"/>
  <c r="V377" i="5"/>
  <c r="W377" i="5"/>
  <c r="X377" i="5"/>
  <c r="B378" i="5"/>
  <c r="C378" i="5"/>
  <c r="D378" i="5"/>
  <c r="E378" i="5"/>
  <c r="F378" i="5"/>
  <c r="G378" i="5"/>
  <c r="H378" i="5"/>
  <c r="I378" i="5"/>
  <c r="J378" i="5"/>
  <c r="K378" i="5"/>
  <c r="L378" i="5"/>
  <c r="M378" i="5"/>
  <c r="N378" i="5"/>
  <c r="O378" i="5"/>
  <c r="P378" i="5"/>
  <c r="Q378" i="5"/>
  <c r="R378" i="5"/>
  <c r="S378" i="5"/>
  <c r="T378" i="5"/>
  <c r="U378" i="5"/>
  <c r="V378" i="5"/>
  <c r="W378" i="5"/>
  <c r="X378" i="5"/>
  <c r="B379" i="5"/>
  <c r="C379" i="5"/>
  <c r="D379" i="5"/>
  <c r="E379" i="5"/>
  <c r="F379" i="5"/>
  <c r="G379" i="5"/>
  <c r="H379" i="5"/>
  <c r="I379" i="5"/>
  <c r="J379" i="5"/>
  <c r="K379" i="5"/>
  <c r="L379" i="5"/>
  <c r="M379" i="5"/>
  <c r="N379" i="5"/>
  <c r="O379" i="5"/>
  <c r="P379" i="5"/>
  <c r="Q379" i="5"/>
  <c r="R379" i="5"/>
  <c r="S379" i="5"/>
  <c r="T379" i="5"/>
  <c r="U379" i="5"/>
  <c r="V379" i="5"/>
  <c r="W379" i="5"/>
  <c r="X379" i="5"/>
  <c r="B380" i="5"/>
  <c r="C380" i="5"/>
  <c r="D380" i="5"/>
  <c r="E380" i="5"/>
  <c r="F380" i="5"/>
  <c r="G380" i="5"/>
  <c r="H380" i="5"/>
  <c r="I380" i="5"/>
  <c r="J380" i="5"/>
  <c r="K380" i="5"/>
  <c r="L380" i="5"/>
  <c r="M380" i="5"/>
  <c r="N380" i="5"/>
  <c r="O380" i="5"/>
  <c r="AC380" i="5" s="1"/>
  <c r="P380" i="5"/>
  <c r="Q380" i="5"/>
  <c r="R380" i="5"/>
  <c r="S380" i="5"/>
  <c r="T380" i="5"/>
  <c r="U380" i="5"/>
  <c r="V380" i="5"/>
  <c r="W380" i="5"/>
  <c r="X380" i="5"/>
  <c r="B381" i="5"/>
  <c r="C381" i="5"/>
  <c r="D381" i="5"/>
  <c r="E381" i="5"/>
  <c r="F381" i="5"/>
  <c r="G381" i="5"/>
  <c r="H381" i="5"/>
  <c r="I381" i="5"/>
  <c r="J381" i="5"/>
  <c r="K381" i="5"/>
  <c r="L381" i="5"/>
  <c r="M381" i="5"/>
  <c r="N381" i="5"/>
  <c r="O381" i="5"/>
  <c r="AC381" i="5" s="1"/>
  <c r="P381" i="5"/>
  <c r="Q381" i="5"/>
  <c r="R381" i="5"/>
  <c r="S381" i="5"/>
  <c r="T381" i="5"/>
  <c r="U381" i="5"/>
  <c r="V381" i="5"/>
  <c r="W381" i="5"/>
  <c r="X381" i="5"/>
  <c r="B382" i="5"/>
  <c r="C382" i="5"/>
  <c r="AB382" i="5" s="1"/>
  <c r="D382" i="5"/>
  <c r="E382" i="5"/>
  <c r="F382" i="5"/>
  <c r="G382" i="5"/>
  <c r="H382" i="5"/>
  <c r="I382" i="5"/>
  <c r="J382" i="5"/>
  <c r="K382" i="5"/>
  <c r="L382" i="5"/>
  <c r="M382" i="5"/>
  <c r="N382" i="5"/>
  <c r="O382" i="5"/>
  <c r="P382" i="5"/>
  <c r="Q382" i="5"/>
  <c r="R382" i="5"/>
  <c r="S382" i="5"/>
  <c r="T382" i="5"/>
  <c r="U382" i="5"/>
  <c r="V382" i="5"/>
  <c r="W382" i="5"/>
  <c r="X382" i="5"/>
  <c r="B383" i="5"/>
  <c r="C383" i="5"/>
  <c r="D383" i="5"/>
  <c r="E383" i="5"/>
  <c r="F383" i="5"/>
  <c r="G383" i="5"/>
  <c r="H383" i="5"/>
  <c r="I383" i="5"/>
  <c r="J383" i="5"/>
  <c r="K383" i="5"/>
  <c r="L383" i="5"/>
  <c r="M383" i="5"/>
  <c r="N383" i="5"/>
  <c r="O383" i="5"/>
  <c r="AC383" i="5" s="1"/>
  <c r="P383" i="5"/>
  <c r="Q383" i="5"/>
  <c r="R383" i="5"/>
  <c r="S383" i="5"/>
  <c r="T383" i="5"/>
  <c r="U383" i="5"/>
  <c r="V383" i="5"/>
  <c r="W383" i="5"/>
  <c r="X383" i="5"/>
  <c r="B384" i="5"/>
  <c r="C384" i="5"/>
  <c r="AB384" i="5" s="1"/>
  <c r="D384" i="5"/>
  <c r="E384" i="5"/>
  <c r="F384" i="5"/>
  <c r="G384" i="5"/>
  <c r="H384" i="5"/>
  <c r="I384" i="5"/>
  <c r="J384" i="5"/>
  <c r="K384" i="5"/>
  <c r="L384" i="5"/>
  <c r="M384" i="5"/>
  <c r="N384" i="5"/>
  <c r="O384" i="5"/>
  <c r="AC384" i="5" s="1"/>
  <c r="P384" i="5"/>
  <c r="Q384" i="5"/>
  <c r="R384" i="5"/>
  <c r="S384" i="5"/>
  <c r="T384" i="5"/>
  <c r="U384" i="5"/>
  <c r="V384" i="5"/>
  <c r="W384" i="5"/>
  <c r="X384" i="5"/>
  <c r="B385" i="5"/>
  <c r="C385" i="5"/>
  <c r="D385" i="5"/>
  <c r="E385" i="5"/>
  <c r="F385" i="5"/>
  <c r="G385" i="5"/>
  <c r="H385" i="5"/>
  <c r="I385" i="5"/>
  <c r="J385" i="5"/>
  <c r="K385" i="5"/>
  <c r="L385" i="5"/>
  <c r="M385" i="5"/>
  <c r="N385" i="5"/>
  <c r="O385" i="5"/>
  <c r="P385" i="5"/>
  <c r="Q385" i="5"/>
  <c r="R385" i="5"/>
  <c r="S385" i="5"/>
  <c r="T385" i="5"/>
  <c r="U385" i="5"/>
  <c r="V385" i="5"/>
  <c r="W385" i="5"/>
  <c r="X385" i="5"/>
  <c r="B386" i="5"/>
  <c r="C386" i="5"/>
  <c r="D386" i="5"/>
  <c r="E386" i="5"/>
  <c r="F386" i="5"/>
  <c r="G386" i="5"/>
  <c r="H386" i="5"/>
  <c r="I386" i="5"/>
  <c r="J386" i="5"/>
  <c r="K386" i="5"/>
  <c r="L386" i="5"/>
  <c r="M386" i="5"/>
  <c r="N386" i="5"/>
  <c r="O386" i="5"/>
  <c r="P386" i="5"/>
  <c r="Q386" i="5"/>
  <c r="R386" i="5"/>
  <c r="S386" i="5"/>
  <c r="T386" i="5"/>
  <c r="U386" i="5"/>
  <c r="V386" i="5"/>
  <c r="W386" i="5"/>
  <c r="X386" i="5"/>
  <c r="B387" i="5"/>
  <c r="C387" i="5"/>
  <c r="D387" i="5"/>
  <c r="E387" i="5"/>
  <c r="F387" i="5"/>
  <c r="G387" i="5"/>
  <c r="H387" i="5"/>
  <c r="I387" i="5"/>
  <c r="J387" i="5"/>
  <c r="K387" i="5"/>
  <c r="L387" i="5"/>
  <c r="M387" i="5"/>
  <c r="N387" i="5"/>
  <c r="O387" i="5"/>
  <c r="P387" i="5"/>
  <c r="Q387" i="5"/>
  <c r="R387" i="5"/>
  <c r="S387" i="5"/>
  <c r="T387" i="5"/>
  <c r="U387" i="5"/>
  <c r="V387" i="5"/>
  <c r="W387" i="5"/>
  <c r="X387" i="5"/>
  <c r="B388" i="5"/>
  <c r="C388" i="5"/>
  <c r="D388" i="5"/>
  <c r="E388" i="5"/>
  <c r="F388" i="5"/>
  <c r="G388" i="5"/>
  <c r="H388" i="5"/>
  <c r="I388" i="5"/>
  <c r="J388" i="5"/>
  <c r="K388" i="5"/>
  <c r="L388" i="5"/>
  <c r="M388" i="5"/>
  <c r="N388" i="5"/>
  <c r="AC388" i="5" s="1"/>
  <c r="O388" i="5"/>
  <c r="P388" i="5"/>
  <c r="Q388" i="5"/>
  <c r="R388" i="5"/>
  <c r="S388" i="5"/>
  <c r="T388" i="5"/>
  <c r="U388" i="5"/>
  <c r="V388" i="5"/>
  <c r="W388" i="5"/>
  <c r="X388" i="5"/>
  <c r="B389" i="5"/>
  <c r="AB389" i="5" s="1"/>
  <c r="C389" i="5"/>
  <c r="D389" i="5"/>
  <c r="E389" i="5"/>
  <c r="F389" i="5"/>
  <c r="G389" i="5"/>
  <c r="H389" i="5"/>
  <c r="I389" i="5"/>
  <c r="J389" i="5"/>
  <c r="K389" i="5"/>
  <c r="L389" i="5"/>
  <c r="M389" i="5"/>
  <c r="N389" i="5"/>
  <c r="O389" i="5"/>
  <c r="P389" i="5"/>
  <c r="Q389" i="5"/>
  <c r="R389" i="5"/>
  <c r="S389" i="5"/>
  <c r="T389" i="5"/>
  <c r="U389" i="5"/>
  <c r="V389" i="5"/>
  <c r="W389" i="5"/>
  <c r="X389" i="5"/>
  <c r="AC389" i="5"/>
  <c r="B390" i="5"/>
  <c r="C390" i="5"/>
  <c r="D390" i="5"/>
  <c r="E390" i="5"/>
  <c r="F390" i="5"/>
  <c r="G390" i="5"/>
  <c r="H390" i="5"/>
  <c r="I390" i="5"/>
  <c r="J390" i="5"/>
  <c r="K390" i="5"/>
  <c r="L390" i="5"/>
  <c r="M390" i="5"/>
  <c r="N390" i="5"/>
  <c r="O390" i="5"/>
  <c r="P390" i="5"/>
  <c r="Q390" i="5"/>
  <c r="R390" i="5"/>
  <c r="S390" i="5"/>
  <c r="T390" i="5"/>
  <c r="U390" i="5"/>
  <c r="V390" i="5"/>
  <c r="W390" i="5"/>
  <c r="X390" i="5"/>
  <c r="B391" i="5"/>
  <c r="C391" i="5"/>
  <c r="D391" i="5"/>
  <c r="E391" i="5"/>
  <c r="F391" i="5"/>
  <c r="G391" i="5"/>
  <c r="H391" i="5"/>
  <c r="I391" i="5"/>
  <c r="J391" i="5"/>
  <c r="K391" i="5"/>
  <c r="L391" i="5"/>
  <c r="M391" i="5"/>
  <c r="N391" i="5"/>
  <c r="O391" i="5"/>
  <c r="P391" i="5"/>
  <c r="Q391" i="5"/>
  <c r="R391" i="5"/>
  <c r="S391" i="5"/>
  <c r="T391" i="5"/>
  <c r="U391" i="5"/>
  <c r="V391" i="5"/>
  <c r="W391" i="5"/>
  <c r="X391" i="5"/>
  <c r="B392" i="5"/>
  <c r="C392" i="5"/>
  <c r="AB392" i="5" s="1"/>
  <c r="D392" i="5"/>
  <c r="E392" i="5"/>
  <c r="F392" i="5"/>
  <c r="G392" i="5"/>
  <c r="H392" i="5"/>
  <c r="I392" i="5"/>
  <c r="J392" i="5"/>
  <c r="K392" i="5"/>
  <c r="L392" i="5"/>
  <c r="M392" i="5"/>
  <c r="N392" i="5"/>
  <c r="O392" i="5"/>
  <c r="AC392" i="5" s="1"/>
  <c r="P392" i="5"/>
  <c r="Q392" i="5"/>
  <c r="R392" i="5"/>
  <c r="S392" i="5"/>
  <c r="T392" i="5"/>
  <c r="U392" i="5"/>
  <c r="V392" i="5"/>
  <c r="W392" i="5"/>
  <c r="X392" i="5"/>
  <c r="B393" i="5"/>
  <c r="C393" i="5"/>
  <c r="D393" i="5"/>
  <c r="E393" i="5"/>
  <c r="F393" i="5"/>
  <c r="G393" i="5"/>
  <c r="H393" i="5"/>
  <c r="I393" i="5"/>
  <c r="J393" i="5"/>
  <c r="K393" i="5"/>
  <c r="L393" i="5"/>
  <c r="M393" i="5"/>
  <c r="N393" i="5"/>
  <c r="O393" i="5"/>
  <c r="P393" i="5"/>
  <c r="Q393" i="5"/>
  <c r="R393" i="5"/>
  <c r="S393" i="5"/>
  <c r="T393" i="5"/>
  <c r="U393" i="5"/>
  <c r="V393" i="5"/>
  <c r="W393" i="5"/>
  <c r="X393" i="5"/>
  <c r="B394" i="5"/>
  <c r="C394" i="5"/>
  <c r="D394" i="5"/>
  <c r="E394" i="5"/>
  <c r="F394" i="5"/>
  <c r="G394" i="5"/>
  <c r="H394" i="5"/>
  <c r="I394" i="5"/>
  <c r="J394" i="5"/>
  <c r="K394" i="5"/>
  <c r="L394" i="5"/>
  <c r="M394" i="5"/>
  <c r="N394" i="5"/>
  <c r="O394" i="5"/>
  <c r="P394" i="5"/>
  <c r="Q394" i="5"/>
  <c r="R394" i="5"/>
  <c r="S394" i="5"/>
  <c r="T394" i="5"/>
  <c r="U394" i="5"/>
  <c r="V394" i="5"/>
  <c r="W394" i="5"/>
  <c r="X394" i="5"/>
  <c r="B395" i="5"/>
  <c r="C395" i="5"/>
  <c r="D395" i="5"/>
  <c r="E395" i="5"/>
  <c r="F395" i="5"/>
  <c r="G395" i="5"/>
  <c r="H395" i="5"/>
  <c r="I395" i="5"/>
  <c r="J395" i="5"/>
  <c r="K395" i="5"/>
  <c r="L395" i="5"/>
  <c r="M395" i="5"/>
  <c r="N395" i="5"/>
  <c r="O395" i="5"/>
  <c r="P395" i="5"/>
  <c r="Q395" i="5"/>
  <c r="R395" i="5"/>
  <c r="S395" i="5"/>
  <c r="T395" i="5"/>
  <c r="U395" i="5"/>
  <c r="V395" i="5"/>
  <c r="W395" i="5"/>
  <c r="X395" i="5"/>
  <c r="B396" i="5"/>
  <c r="C396" i="5"/>
  <c r="D396" i="5"/>
  <c r="E396" i="5"/>
  <c r="F396" i="5"/>
  <c r="G396" i="5"/>
  <c r="H396" i="5"/>
  <c r="I396" i="5"/>
  <c r="J396" i="5"/>
  <c r="K396" i="5"/>
  <c r="L396" i="5"/>
  <c r="M396" i="5"/>
  <c r="N396" i="5"/>
  <c r="AC396" i="5" s="1"/>
  <c r="O396" i="5"/>
  <c r="P396" i="5"/>
  <c r="Q396" i="5"/>
  <c r="R396" i="5"/>
  <c r="S396" i="5"/>
  <c r="T396" i="5"/>
  <c r="U396" i="5"/>
  <c r="V396" i="5"/>
  <c r="W396" i="5"/>
  <c r="X396" i="5"/>
  <c r="B397" i="5"/>
  <c r="C397" i="5"/>
  <c r="D397" i="5"/>
  <c r="E397" i="5"/>
  <c r="F397" i="5"/>
  <c r="G397" i="5"/>
  <c r="H397" i="5"/>
  <c r="I397" i="5"/>
  <c r="J397" i="5"/>
  <c r="K397" i="5"/>
  <c r="L397" i="5"/>
  <c r="M397" i="5"/>
  <c r="N397" i="5"/>
  <c r="AC397" i="5" s="1"/>
  <c r="O397" i="5"/>
  <c r="P397" i="5"/>
  <c r="Q397" i="5"/>
  <c r="R397" i="5"/>
  <c r="S397" i="5"/>
  <c r="T397" i="5"/>
  <c r="U397" i="5"/>
  <c r="V397" i="5"/>
  <c r="W397" i="5"/>
  <c r="X397" i="5"/>
  <c r="B398" i="5"/>
  <c r="AB398" i="5" s="1"/>
  <c r="C398" i="5"/>
  <c r="D398" i="5"/>
  <c r="E398" i="5"/>
  <c r="F398" i="5"/>
  <c r="G398" i="5"/>
  <c r="H398" i="5"/>
  <c r="I398" i="5"/>
  <c r="J398" i="5"/>
  <c r="K398" i="5"/>
  <c r="L398" i="5"/>
  <c r="M398" i="5"/>
  <c r="N398" i="5"/>
  <c r="O398" i="5"/>
  <c r="P398" i="5"/>
  <c r="Q398" i="5"/>
  <c r="R398" i="5"/>
  <c r="S398" i="5"/>
  <c r="T398" i="5"/>
  <c r="U398" i="5"/>
  <c r="V398" i="5"/>
  <c r="W398" i="5"/>
  <c r="X398" i="5"/>
  <c r="B399" i="5"/>
  <c r="C399" i="5"/>
  <c r="D399" i="5"/>
  <c r="E399" i="5"/>
  <c r="F399" i="5"/>
  <c r="G399" i="5"/>
  <c r="H399" i="5"/>
  <c r="I399" i="5"/>
  <c r="J399" i="5"/>
  <c r="K399" i="5"/>
  <c r="L399" i="5"/>
  <c r="M399" i="5"/>
  <c r="N399" i="5"/>
  <c r="AC399" i="5" s="1"/>
  <c r="O399" i="5"/>
  <c r="P399" i="5"/>
  <c r="Q399" i="5"/>
  <c r="R399" i="5"/>
  <c r="S399" i="5"/>
  <c r="T399" i="5"/>
  <c r="U399" i="5"/>
  <c r="V399" i="5"/>
  <c r="W399" i="5"/>
  <c r="X399" i="5"/>
  <c r="B400" i="5"/>
  <c r="AB400" i="5" s="1"/>
  <c r="C400" i="5"/>
  <c r="D400" i="5"/>
  <c r="E400" i="5"/>
  <c r="F400" i="5"/>
  <c r="G400" i="5"/>
  <c r="H400" i="5"/>
  <c r="I400" i="5"/>
  <c r="J400" i="5"/>
  <c r="K400" i="5"/>
  <c r="L400" i="5"/>
  <c r="M400" i="5"/>
  <c r="N400" i="5"/>
  <c r="O400" i="5"/>
  <c r="P400" i="5"/>
  <c r="Q400" i="5"/>
  <c r="R400" i="5"/>
  <c r="S400" i="5"/>
  <c r="T400" i="5"/>
  <c r="U400" i="5"/>
  <c r="V400" i="5"/>
  <c r="W400" i="5"/>
  <c r="X400" i="5"/>
  <c r="B401" i="5"/>
  <c r="C401" i="5"/>
  <c r="D401" i="5"/>
  <c r="E401" i="5"/>
  <c r="F401" i="5"/>
  <c r="G401" i="5"/>
  <c r="H401" i="5"/>
  <c r="I401" i="5"/>
  <c r="J401" i="5"/>
  <c r="K401" i="5"/>
  <c r="L401" i="5"/>
  <c r="M401" i="5"/>
  <c r="N401" i="5"/>
  <c r="O401" i="5"/>
  <c r="P401" i="5"/>
  <c r="Q401" i="5"/>
  <c r="R401" i="5"/>
  <c r="S401" i="5"/>
  <c r="T401" i="5"/>
  <c r="U401" i="5"/>
  <c r="V401" i="5"/>
  <c r="W401" i="5"/>
  <c r="X401" i="5"/>
  <c r="B402" i="5"/>
  <c r="C402" i="5"/>
  <c r="D402" i="5"/>
  <c r="E402" i="5"/>
  <c r="F402" i="5"/>
  <c r="G402" i="5"/>
  <c r="H402" i="5"/>
  <c r="I402" i="5"/>
  <c r="J402" i="5"/>
  <c r="K402" i="5"/>
  <c r="L402" i="5"/>
  <c r="M402" i="5"/>
  <c r="N402" i="5"/>
  <c r="O402" i="5"/>
  <c r="P402" i="5"/>
  <c r="Q402" i="5"/>
  <c r="R402" i="5"/>
  <c r="S402" i="5"/>
  <c r="T402" i="5"/>
  <c r="U402" i="5"/>
  <c r="V402" i="5"/>
  <c r="W402" i="5"/>
  <c r="X402" i="5"/>
  <c r="B403" i="5"/>
  <c r="C403" i="5"/>
  <c r="D403" i="5"/>
  <c r="E403" i="5"/>
  <c r="F403" i="5"/>
  <c r="G403" i="5"/>
  <c r="H403" i="5"/>
  <c r="I403" i="5"/>
  <c r="J403" i="5"/>
  <c r="K403" i="5"/>
  <c r="L403" i="5"/>
  <c r="M403" i="5"/>
  <c r="N403" i="5"/>
  <c r="O403" i="5"/>
  <c r="P403" i="5"/>
  <c r="Q403" i="5"/>
  <c r="R403" i="5"/>
  <c r="S403" i="5"/>
  <c r="T403" i="5"/>
  <c r="U403" i="5"/>
  <c r="V403" i="5"/>
  <c r="W403" i="5"/>
  <c r="X403" i="5"/>
  <c r="B404" i="5"/>
  <c r="C404" i="5"/>
  <c r="D404" i="5"/>
  <c r="E404" i="5"/>
  <c r="F404" i="5"/>
  <c r="G404" i="5"/>
  <c r="H404" i="5"/>
  <c r="I404" i="5"/>
  <c r="J404" i="5"/>
  <c r="K404" i="5"/>
  <c r="L404" i="5"/>
  <c r="M404" i="5"/>
  <c r="AC404" i="5" s="1"/>
  <c r="N404" i="5"/>
  <c r="O404" i="5"/>
  <c r="P404" i="5"/>
  <c r="Q404" i="5"/>
  <c r="R404" i="5"/>
  <c r="S404" i="5"/>
  <c r="T404" i="5"/>
  <c r="U404" i="5"/>
  <c r="U1090" i="5" s="1"/>
  <c r="V404" i="5"/>
  <c r="W404" i="5"/>
  <c r="X404" i="5"/>
  <c r="B405" i="5"/>
  <c r="C405" i="5"/>
  <c r="D405" i="5"/>
  <c r="E405" i="5"/>
  <c r="F405" i="5"/>
  <c r="G405" i="5"/>
  <c r="H405" i="5"/>
  <c r="I405" i="5"/>
  <c r="J405" i="5"/>
  <c r="K405" i="5"/>
  <c r="L405" i="5"/>
  <c r="M405" i="5"/>
  <c r="N405" i="5"/>
  <c r="O405" i="5"/>
  <c r="P405" i="5"/>
  <c r="Q405" i="5"/>
  <c r="R405" i="5"/>
  <c r="S405" i="5"/>
  <c r="T405" i="5"/>
  <c r="U405" i="5"/>
  <c r="V405" i="5"/>
  <c r="W405" i="5"/>
  <c r="X405" i="5"/>
  <c r="B406" i="5"/>
  <c r="C406" i="5"/>
  <c r="D406" i="5"/>
  <c r="E406" i="5"/>
  <c r="F406" i="5"/>
  <c r="G406" i="5"/>
  <c r="H406" i="5"/>
  <c r="I406" i="5"/>
  <c r="J406" i="5"/>
  <c r="K406" i="5"/>
  <c r="L406" i="5"/>
  <c r="M406" i="5"/>
  <c r="N406" i="5"/>
  <c r="O406" i="5"/>
  <c r="P406" i="5"/>
  <c r="Q406" i="5"/>
  <c r="R406" i="5"/>
  <c r="S406" i="5"/>
  <c r="T406" i="5"/>
  <c r="U406" i="5"/>
  <c r="V406" i="5"/>
  <c r="W406" i="5"/>
  <c r="X406" i="5"/>
  <c r="B407" i="5"/>
  <c r="C407" i="5"/>
  <c r="D407" i="5"/>
  <c r="E407" i="5"/>
  <c r="F407" i="5"/>
  <c r="G407" i="5"/>
  <c r="H407" i="5"/>
  <c r="I407" i="5"/>
  <c r="J407" i="5"/>
  <c r="K407" i="5"/>
  <c r="L407" i="5"/>
  <c r="M407" i="5"/>
  <c r="N407" i="5"/>
  <c r="AC407" i="5" s="1"/>
  <c r="O407" i="5"/>
  <c r="P407" i="5"/>
  <c r="Q407" i="5"/>
  <c r="R407" i="5"/>
  <c r="S407" i="5"/>
  <c r="T407" i="5"/>
  <c r="U407" i="5"/>
  <c r="V407" i="5"/>
  <c r="W407" i="5"/>
  <c r="X407" i="5"/>
  <c r="B408" i="5"/>
  <c r="AB408" i="5" s="1"/>
  <c r="C408" i="5"/>
  <c r="D408" i="5"/>
  <c r="E408" i="5"/>
  <c r="F408" i="5"/>
  <c r="G408" i="5"/>
  <c r="H408" i="5"/>
  <c r="I408" i="5"/>
  <c r="J408" i="5"/>
  <c r="K408" i="5"/>
  <c r="L408" i="5"/>
  <c r="M408" i="5"/>
  <c r="N408" i="5"/>
  <c r="O408" i="5"/>
  <c r="P408" i="5"/>
  <c r="Q408" i="5"/>
  <c r="R408" i="5"/>
  <c r="S408" i="5"/>
  <c r="T408" i="5"/>
  <c r="U408" i="5"/>
  <c r="V408" i="5"/>
  <c r="W408" i="5"/>
  <c r="X408" i="5"/>
  <c r="B409" i="5"/>
  <c r="C409" i="5"/>
  <c r="D409" i="5"/>
  <c r="E409" i="5"/>
  <c r="F409" i="5"/>
  <c r="G409" i="5"/>
  <c r="H409" i="5"/>
  <c r="I409" i="5"/>
  <c r="J409" i="5"/>
  <c r="K409" i="5"/>
  <c r="L409" i="5"/>
  <c r="M409" i="5"/>
  <c r="N409" i="5"/>
  <c r="O409" i="5"/>
  <c r="P409" i="5"/>
  <c r="Q409" i="5"/>
  <c r="R409" i="5"/>
  <c r="S409" i="5"/>
  <c r="T409" i="5"/>
  <c r="U409" i="5"/>
  <c r="V409" i="5"/>
  <c r="W409" i="5"/>
  <c r="X409" i="5"/>
  <c r="B410" i="5"/>
  <c r="C410" i="5"/>
  <c r="D410" i="5"/>
  <c r="E410" i="5"/>
  <c r="F410" i="5"/>
  <c r="G410" i="5"/>
  <c r="H410" i="5"/>
  <c r="I410" i="5"/>
  <c r="J410" i="5"/>
  <c r="K410" i="5"/>
  <c r="L410" i="5"/>
  <c r="M410" i="5"/>
  <c r="N410" i="5"/>
  <c r="O410" i="5"/>
  <c r="P410" i="5"/>
  <c r="Q410" i="5"/>
  <c r="R410" i="5"/>
  <c r="S410" i="5"/>
  <c r="T410" i="5"/>
  <c r="U410" i="5"/>
  <c r="V410" i="5"/>
  <c r="W410" i="5"/>
  <c r="X410" i="5"/>
  <c r="B411" i="5"/>
  <c r="C411" i="5"/>
  <c r="D411" i="5"/>
  <c r="E411" i="5"/>
  <c r="F411" i="5"/>
  <c r="G411" i="5"/>
  <c r="H411" i="5"/>
  <c r="I411" i="5"/>
  <c r="J411" i="5"/>
  <c r="K411" i="5"/>
  <c r="L411" i="5"/>
  <c r="M411" i="5"/>
  <c r="N411" i="5"/>
  <c r="O411" i="5"/>
  <c r="P411" i="5"/>
  <c r="Q411" i="5"/>
  <c r="R411" i="5"/>
  <c r="S411" i="5"/>
  <c r="T411" i="5"/>
  <c r="U411" i="5"/>
  <c r="V411" i="5"/>
  <c r="W411" i="5"/>
  <c r="X411" i="5"/>
  <c r="B412" i="5"/>
  <c r="C412" i="5"/>
  <c r="D412" i="5"/>
  <c r="E412" i="5"/>
  <c r="F412" i="5"/>
  <c r="G412" i="5"/>
  <c r="H412" i="5"/>
  <c r="I412" i="5"/>
  <c r="J412" i="5"/>
  <c r="K412" i="5"/>
  <c r="L412" i="5"/>
  <c r="M412" i="5"/>
  <c r="N412" i="5"/>
  <c r="O412" i="5"/>
  <c r="P412" i="5"/>
  <c r="Q412" i="5"/>
  <c r="R412" i="5"/>
  <c r="S412" i="5"/>
  <c r="T412" i="5"/>
  <c r="U412" i="5"/>
  <c r="V412" i="5"/>
  <c r="W412" i="5"/>
  <c r="X412" i="5"/>
  <c r="B413" i="5"/>
  <c r="C413" i="5"/>
  <c r="D413" i="5"/>
  <c r="E413" i="5"/>
  <c r="F413" i="5"/>
  <c r="G413" i="5"/>
  <c r="H413" i="5"/>
  <c r="I413" i="5"/>
  <c r="J413" i="5"/>
  <c r="K413" i="5"/>
  <c r="L413" i="5"/>
  <c r="M413" i="5"/>
  <c r="N413" i="5"/>
  <c r="O413" i="5"/>
  <c r="P413" i="5"/>
  <c r="Q413" i="5"/>
  <c r="R413" i="5"/>
  <c r="S413" i="5"/>
  <c r="T413" i="5"/>
  <c r="U413" i="5"/>
  <c r="V413" i="5"/>
  <c r="W413" i="5"/>
  <c r="X413" i="5"/>
  <c r="B414" i="5"/>
  <c r="C414" i="5"/>
  <c r="D414" i="5"/>
  <c r="E414" i="5"/>
  <c r="F414" i="5"/>
  <c r="G414" i="5"/>
  <c r="H414" i="5"/>
  <c r="I414" i="5"/>
  <c r="J414" i="5"/>
  <c r="K414" i="5"/>
  <c r="L414" i="5"/>
  <c r="M414" i="5"/>
  <c r="N414" i="5"/>
  <c r="O414" i="5"/>
  <c r="P414" i="5"/>
  <c r="Q414" i="5"/>
  <c r="R414" i="5"/>
  <c r="S414" i="5"/>
  <c r="T414" i="5"/>
  <c r="U414" i="5"/>
  <c r="V414" i="5"/>
  <c r="W414" i="5"/>
  <c r="X414" i="5"/>
  <c r="B415" i="5"/>
  <c r="C415" i="5"/>
  <c r="D415" i="5"/>
  <c r="E415" i="5"/>
  <c r="F415" i="5"/>
  <c r="G415" i="5"/>
  <c r="H415" i="5"/>
  <c r="I415" i="5"/>
  <c r="J415" i="5"/>
  <c r="K415" i="5"/>
  <c r="L415" i="5"/>
  <c r="M415" i="5"/>
  <c r="N415" i="5"/>
  <c r="AC415" i="5" s="1"/>
  <c r="O415" i="5"/>
  <c r="P415" i="5"/>
  <c r="Q415" i="5"/>
  <c r="R415" i="5"/>
  <c r="S415" i="5"/>
  <c r="T415" i="5"/>
  <c r="U415" i="5"/>
  <c r="V415" i="5"/>
  <c r="W415" i="5"/>
  <c r="X415" i="5"/>
  <c r="B416" i="5"/>
  <c r="AB416" i="5" s="1"/>
  <c r="C416" i="5"/>
  <c r="D416" i="5"/>
  <c r="E416" i="5"/>
  <c r="F416" i="5"/>
  <c r="G416" i="5"/>
  <c r="H416" i="5"/>
  <c r="I416" i="5"/>
  <c r="J416" i="5"/>
  <c r="K416" i="5"/>
  <c r="L416" i="5"/>
  <c r="M416" i="5"/>
  <c r="N416" i="5"/>
  <c r="O416" i="5"/>
  <c r="P416" i="5"/>
  <c r="Q416" i="5"/>
  <c r="R416" i="5"/>
  <c r="S416" i="5"/>
  <c r="T416" i="5"/>
  <c r="U416" i="5"/>
  <c r="V416" i="5"/>
  <c r="W416" i="5"/>
  <c r="X416" i="5"/>
  <c r="B417" i="5"/>
  <c r="C417" i="5"/>
  <c r="D417" i="5"/>
  <c r="E417" i="5"/>
  <c r="F417" i="5"/>
  <c r="G417" i="5"/>
  <c r="H417" i="5"/>
  <c r="I417" i="5"/>
  <c r="J417" i="5"/>
  <c r="K417" i="5"/>
  <c r="L417" i="5"/>
  <c r="M417" i="5"/>
  <c r="N417" i="5"/>
  <c r="O417" i="5"/>
  <c r="P417" i="5"/>
  <c r="Q417" i="5"/>
  <c r="R417" i="5"/>
  <c r="S417" i="5"/>
  <c r="T417" i="5"/>
  <c r="U417" i="5"/>
  <c r="V417" i="5"/>
  <c r="W417" i="5"/>
  <c r="X417" i="5"/>
  <c r="B418" i="5"/>
  <c r="C418" i="5"/>
  <c r="D418" i="5"/>
  <c r="E418" i="5"/>
  <c r="F418" i="5"/>
  <c r="G418" i="5"/>
  <c r="H418" i="5"/>
  <c r="I418" i="5"/>
  <c r="J418" i="5"/>
  <c r="K418" i="5"/>
  <c r="L418" i="5"/>
  <c r="M418" i="5"/>
  <c r="N418" i="5"/>
  <c r="O418" i="5"/>
  <c r="P418" i="5"/>
  <c r="Q418" i="5"/>
  <c r="R418" i="5"/>
  <c r="S418" i="5"/>
  <c r="T418" i="5"/>
  <c r="U418" i="5"/>
  <c r="V418" i="5"/>
  <c r="W418" i="5"/>
  <c r="X418" i="5"/>
  <c r="B419" i="5"/>
  <c r="C419" i="5"/>
  <c r="D419" i="5"/>
  <c r="E419" i="5"/>
  <c r="F419" i="5"/>
  <c r="G419" i="5"/>
  <c r="H419" i="5"/>
  <c r="I419" i="5"/>
  <c r="J419" i="5"/>
  <c r="K419" i="5"/>
  <c r="L419" i="5"/>
  <c r="M419" i="5"/>
  <c r="N419" i="5"/>
  <c r="O419" i="5"/>
  <c r="P419" i="5"/>
  <c r="Q419" i="5"/>
  <c r="R419" i="5"/>
  <c r="S419" i="5"/>
  <c r="T419" i="5"/>
  <c r="U419" i="5"/>
  <c r="V419" i="5"/>
  <c r="W419" i="5"/>
  <c r="X419" i="5"/>
  <c r="B420" i="5"/>
  <c r="C420" i="5"/>
  <c r="D420" i="5"/>
  <c r="E420" i="5"/>
  <c r="F420" i="5"/>
  <c r="G420" i="5"/>
  <c r="H420" i="5"/>
  <c r="I420" i="5"/>
  <c r="J420" i="5"/>
  <c r="K420" i="5"/>
  <c r="L420" i="5"/>
  <c r="M420" i="5"/>
  <c r="N420" i="5"/>
  <c r="O420" i="5"/>
  <c r="P420" i="5"/>
  <c r="Q420" i="5"/>
  <c r="R420" i="5"/>
  <c r="S420" i="5"/>
  <c r="T420" i="5"/>
  <c r="U420" i="5"/>
  <c r="V420" i="5"/>
  <c r="W420" i="5"/>
  <c r="X420" i="5"/>
  <c r="AC420" i="5"/>
  <c r="B421" i="5"/>
  <c r="C421" i="5"/>
  <c r="D421" i="5"/>
  <c r="E421" i="5"/>
  <c r="F421" i="5"/>
  <c r="G421" i="5"/>
  <c r="H421" i="5"/>
  <c r="I421" i="5"/>
  <c r="J421" i="5"/>
  <c r="K421" i="5"/>
  <c r="L421" i="5"/>
  <c r="M421" i="5"/>
  <c r="N421" i="5"/>
  <c r="O421" i="5"/>
  <c r="P421" i="5"/>
  <c r="Q421" i="5"/>
  <c r="R421" i="5"/>
  <c r="S421" i="5"/>
  <c r="T421" i="5"/>
  <c r="U421" i="5"/>
  <c r="V421" i="5"/>
  <c r="W421" i="5"/>
  <c r="X421" i="5"/>
  <c r="AC421" i="5"/>
  <c r="B422" i="5"/>
  <c r="C422" i="5"/>
  <c r="D422" i="5"/>
  <c r="E422" i="5"/>
  <c r="F422" i="5"/>
  <c r="G422" i="5"/>
  <c r="H422" i="5"/>
  <c r="I422" i="5"/>
  <c r="J422" i="5"/>
  <c r="K422" i="5"/>
  <c r="L422" i="5"/>
  <c r="M422" i="5"/>
  <c r="N422" i="5"/>
  <c r="O422" i="5"/>
  <c r="P422" i="5"/>
  <c r="Q422" i="5"/>
  <c r="R422" i="5"/>
  <c r="S422" i="5"/>
  <c r="T422" i="5"/>
  <c r="U422" i="5"/>
  <c r="V422" i="5"/>
  <c r="W422" i="5"/>
  <c r="X422" i="5"/>
  <c r="AB422" i="5"/>
  <c r="B423" i="5"/>
  <c r="C423" i="5"/>
  <c r="D423" i="5"/>
  <c r="E423" i="5"/>
  <c r="F423" i="5"/>
  <c r="G423" i="5"/>
  <c r="H423" i="5"/>
  <c r="I423" i="5"/>
  <c r="J423" i="5"/>
  <c r="K423" i="5"/>
  <c r="L423" i="5"/>
  <c r="M423" i="5"/>
  <c r="N423" i="5"/>
  <c r="O423" i="5"/>
  <c r="P423" i="5"/>
  <c r="Q423" i="5"/>
  <c r="R423" i="5"/>
  <c r="S423" i="5"/>
  <c r="T423" i="5"/>
  <c r="U423" i="5"/>
  <c r="V423" i="5"/>
  <c r="W423" i="5"/>
  <c r="X423" i="5"/>
  <c r="AC423" i="5"/>
  <c r="B424" i="5"/>
  <c r="C424" i="5"/>
  <c r="D424" i="5"/>
  <c r="E424" i="5"/>
  <c r="F424" i="5"/>
  <c r="G424" i="5"/>
  <c r="H424" i="5"/>
  <c r="I424" i="5"/>
  <c r="J424" i="5"/>
  <c r="K424" i="5"/>
  <c r="L424" i="5"/>
  <c r="M424" i="5"/>
  <c r="N424" i="5"/>
  <c r="O424" i="5"/>
  <c r="P424" i="5"/>
  <c r="Q424" i="5"/>
  <c r="R424" i="5"/>
  <c r="S424" i="5"/>
  <c r="T424" i="5"/>
  <c r="U424" i="5"/>
  <c r="V424" i="5"/>
  <c r="W424" i="5"/>
  <c r="X424" i="5"/>
  <c r="AB424" i="5"/>
  <c r="B425" i="5"/>
  <c r="C425" i="5"/>
  <c r="D425" i="5"/>
  <c r="E425" i="5"/>
  <c r="F425" i="5"/>
  <c r="G425" i="5"/>
  <c r="H425" i="5"/>
  <c r="I425" i="5"/>
  <c r="J425" i="5"/>
  <c r="K425" i="5"/>
  <c r="L425" i="5"/>
  <c r="M425" i="5"/>
  <c r="N425" i="5"/>
  <c r="O425" i="5"/>
  <c r="P425" i="5"/>
  <c r="Q425" i="5"/>
  <c r="R425" i="5"/>
  <c r="S425" i="5"/>
  <c r="T425" i="5"/>
  <c r="U425" i="5"/>
  <c r="V425" i="5"/>
  <c r="W425" i="5"/>
  <c r="X425" i="5"/>
  <c r="B426" i="5"/>
  <c r="C426" i="5"/>
  <c r="D426" i="5"/>
  <c r="E426" i="5"/>
  <c r="F426" i="5"/>
  <c r="G426" i="5"/>
  <c r="H426" i="5"/>
  <c r="I426" i="5"/>
  <c r="J426" i="5"/>
  <c r="K426" i="5"/>
  <c r="L426" i="5"/>
  <c r="M426" i="5"/>
  <c r="N426" i="5"/>
  <c r="O426" i="5"/>
  <c r="P426" i="5"/>
  <c r="Q426" i="5"/>
  <c r="R426" i="5"/>
  <c r="S426" i="5"/>
  <c r="T426" i="5"/>
  <c r="U426" i="5"/>
  <c r="V426" i="5"/>
  <c r="W426" i="5"/>
  <c r="X426" i="5"/>
  <c r="B427" i="5"/>
  <c r="C427" i="5"/>
  <c r="D427" i="5"/>
  <c r="E427" i="5"/>
  <c r="F427" i="5"/>
  <c r="G427" i="5"/>
  <c r="H427" i="5"/>
  <c r="I427" i="5"/>
  <c r="J427" i="5"/>
  <c r="K427" i="5"/>
  <c r="L427" i="5"/>
  <c r="M427" i="5"/>
  <c r="N427" i="5"/>
  <c r="O427" i="5"/>
  <c r="P427" i="5"/>
  <c r="Q427" i="5"/>
  <c r="R427" i="5"/>
  <c r="S427" i="5"/>
  <c r="T427" i="5"/>
  <c r="U427" i="5"/>
  <c r="V427" i="5"/>
  <c r="W427" i="5"/>
  <c r="X427" i="5"/>
  <c r="B428" i="5"/>
  <c r="C428" i="5"/>
  <c r="D428" i="5"/>
  <c r="E428" i="5"/>
  <c r="F428" i="5"/>
  <c r="G428" i="5"/>
  <c r="H428" i="5"/>
  <c r="I428" i="5"/>
  <c r="J428" i="5"/>
  <c r="K428" i="5"/>
  <c r="L428" i="5"/>
  <c r="M428" i="5"/>
  <c r="N428" i="5"/>
  <c r="AC428" i="5" s="1"/>
  <c r="O428" i="5"/>
  <c r="P428" i="5"/>
  <c r="Q428" i="5"/>
  <c r="R428" i="5"/>
  <c r="S428" i="5"/>
  <c r="T428" i="5"/>
  <c r="U428" i="5"/>
  <c r="V428" i="5"/>
  <c r="W428" i="5"/>
  <c r="X428" i="5"/>
  <c r="B429" i="5"/>
  <c r="C429" i="5"/>
  <c r="D429" i="5"/>
  <c r="E429" i="5"/>
  <c r="F429" i="5"/>
  <c r="G429" i="5"/>
  <c r="H429" i="5"/>
  <c r="I429" i="5"/>
  <c r="J429" i="5"/>
  <c r="K429" i="5"/>
  <c r="L429" i="5"/>
  <c r="M429" i="5"/>
  <c r="N429" i="5"/>
  <c r="AC429" i="5" s="1"/>
  <c r="O429" i="5"/>
  <c r="P429" i="5"/>
  <c r="Q429" i="5"/>
  <c r="R429" i="5"/>
  <c r="S429" i="5"/>
  <c r="T429" i="5"/>
  <c r="U429" i="5"/>
  <c r="V429" i="5"/>
  <c r="W429" i="5"/>
  <c r="X429" i="5"/>
  <c r="B430" i="5"/>
  <c r="AB430" i="5" s="1"/>
  <c r="C430" i="5"/>
  <c r="D430" i="5"/>
  <c r="E430" i="5"/>
  <c r="F430" i="5"/>
  <c r="G430" i="5"/>
  <c r="H430" i="5"/>
  <c r="I430" i="5"/>
  <c r="J430" i="5"/>
  <c r="K430" i="5"/>
  <c r="L430" i="5"/>
  <c r="M430" i="5"/>
  <c r="N430" i="5"/>
  <c r="O430" i="5"/>
  <c r="P430" i="5"/>
  <c r="Q430" i="5"/>
  <c r="R430" i="5"/>
  <c r="S430" i="5"/>
  <c r="T430" i="5"/>
  <c r="U430" i="5"/>
  <c r="V430" i="5"/>
  <c r="W430" i="5"/>
  <c r="X430" i="5"/>
  <c r="B431" i="5"/>
  <c r="C431" i="5"/>
  <c r="D431" i="5"/>
  <c r="E431" i="5"/>
  <c r="F431" i="5"/>
  <c r="G431" i="5"/>
  <c r="H431" i="5"/>
  <c r="I431" i="5"/>
  <c r="J431" i="5"/>
  <c r="K431" i="5"/>
  <c r="L431" i="5"/>
  <c r="M431" i="5"/>
  <c r="N431" i="5"/>
  <c r="AC431" i="5" s="1"/>
  <c r="O431" i="5"/>
  <c r="P431" i="5"/>
  <c r="Q431" i="5"/>
  <c r="R431" i="5"/>
  <c r="S431" i="5"/>
  <c r="T431" i="5"/>
  <c r="U431" i="5"/>
  <c r="V431" i="5"/>
  <c r="W431" i="5"/>
  <c r="X431" i="5"/>
  <c r="B432" i="5"/>
  <c r="AB432" i="5" s="1"/>
  <c r="C432" i="5"/>
  <c r="D432" i="5"/>
  <c r="E432" i="5"/>
  <c r="F432" i="5"/>
  <c r="G432" i="5"/>
  <c r="H432" i="5"/>
  <c r="I432" i="5"/>
  <c r="J432" i="5"/>
  <c r="K432" i="5"/>
  <c r="L432" i="5"/>
  <c r="M432" i="5"/>
  <c r="N432" i="5"/>
  <c r="O432" i="5"/>
  <c r="P432" i="5"/>
  <c r="Q432" i="5"/>
  <c r="R432" i="5"/>
  <c r="S432" i="5"/>
  <c r="T432" i="5"/>
  <c r="U432" i="5"/>
  <c r="V432" i="5"/>
  <c r="W432" i="5"/>
  <c r="X432" i="5"/>
  <c r="B433" i="5"/>
  <c r="C433" i="5"/>
  <c r="D433" i="5"/>
  <c r="E433" i="5"/>
  <c r="F433" i="5"/>
  <c r="G433" i="5"/>
  <c r="H433" i="5"/>
  <c r="I433" i="5"/>
  <c r="J433" i="5"/>
  <c r="K433" i="5"/>
  <c r="L433" i="5"/>
  <c r="M433" i="5"/>
  <c r="N433" i="5"/>
  <c r="O433" i="5"/>
  <c r="P433" i="5"/>
  <c r="Q433" i="5"/>
  <c r="R433" i="5"/>
  <c r="S433" i="5"/>
  <c r="T433" i="5"/>
  <c r="U433" i="5"/>
  <c r="V433" i="5"/>
  <c r="W433" i="5"/>
  <c r="X433" i="5"/>
  <c r="B434" i="5"/>
  <c r="C434" i="5"/>
  <c r="D434" i="5"/>
  <c r="E434" i="5"/>
  <c r="F434" i="5"/>
  <c r="G434" i="5"/>
  <c r="H434" i="5"/>
  <c r="I434" i="5"/>
  <c r="J434" i="5"/>
  <c r="K434" i="5"/>
  <c r="L434" i="5"/>
  <c r="M434" i="5"/>
  <c r="N434" i="5"/>
  <c r="O434" i="5"/>
  <c r="P434" i="5"/>
  <c r="Q434" i="5"/>
  <c r="R434" i="5"/>
  <c r="S434" i="5"/>
  <c r="T434" i="5"/>
  <c r="U434" i="5"/>
  <c r="V434" i="5"/>
  <c r="W434" i="5"/>
  <c r="X434" i="5"/>
  <c r="B435" i="5"/>
  <c r="C435" i="5"/>
  <c r="D435" i="5"/>
  <c r="E435" i="5"/>
  <c r="F435" i="5"/>
  <c r="G435" i="5"/>
  <c r="H435" i="5"/>
  <c r="I435" i="5"/>
  <c r="J435" i="5"/>
  <c r="K435" i="5"/>
  <c r="L435" i="5"/>
  <c r="M435" i="5"/>
  <c r="N435" i="5"/>
  <c r="O435" i="5"/>
  <c r="P435" i="5"/>
  <c r="Q435" i="5"/>
  <c r="R435" i="5"/>
  <c r="S435" i="5"/>
  <c r="T435" i="5"/>
  <c r="U435" i="5"/>
  <c r="V435" i="5"/>
  <c r="W435" i="5"/>
  <c r="X435" i="5"/>
  <c r="B436" i="5"/>
  <c r="C436" i="5"/>
  <c r="D436" i="5"/>
  <c r="E436" i="5"/>
  <c r="F436" i="5"/>
  <c r="G436" i="5"/>
  <c r="H436" i="5"/>
  <c r="I436" i="5"/>
  <c r="J436" i="5"/>
  <c r="K436" i="5"/>
  <c r="L436" i="5"/>
  <c r="M436" i="5"/>
  <c r="N436" i="5"/>
  <c r="O436" i="5"/>
  <c r="P436" i="5"/>
  <c r="Q436" i="5"/>
  <c r="R436" i="5"/>
  <c r="S436" i="5"/>
  <c r="T436" i="5"/>
  <c r="U436" i="5"/>
  <c r="V436" i="5"/>
  <c r="W436" i="5"/>
  <c r="X436" i="5"/>
  <c r="B437" i="5"/>
  <c r="C437" i="5"/>
  <c r="D437" i="5"/>
  <c r="E437" i="5"/>
  <c r="F437" i="5"/>
  <c r="G437" i="5"/>
  <c r="H437" i="5"/>
  <c r="I437" i="5"/>
  <c r="J437" i="5"/>
  <c r="K437" i="5"/>
  <c r="L437" i="5"/>
  <c r="M437" i="5"/>
  <c r="N437" i="5"/>
  <c r="O437" i="5"/>
  <c r="P437" i="5"/>
  <c r="Q437" i="5"/>
  <c r="R437" i="5"/>
  <c r="S437" i="5"/>
  <c r="T437" i="5"/>
  <c r="U437" i="5"/>
  <c r="V437" i="5"/>
  <c r="W437" i="5"/>
  <c r="X437" i="5"/>
  <c r="B438" i="5"/>
  <c r="C438" i="5"/>
  <c r="D438" i="5"/>
  <c r="E438" i="5"/>
  <c r="F438" i="5"/>
  <c r="G438" i="5"/>
  <c r="H438" i="5"/>
  <c r="I438" i="5"/>
  <c r="J438" i="5"/>
  <c r="K438" i="5"/>
  <c r="L438" i="5"/>
  <c r="M438" i="5"/>
  <c r="N438" i="5"/>
  <c r="O438" i="5"/>
  <c r="P438" i="5"/>
  <c r="Q438" i="5"/>
  <c r="R438" i="5"/>
  <c r="S438" i="5"/>
  <c r="T438" i="5"/>
  <c r="U438" i="5"/>
  <c r="V438" i="5"/>
  <c r="W438" i="5"/>
  <c r="X438" i="5"/>
  <c r="B439" i="5"/>
  <c r="C439" i="5"/>
  <c r="D439" i="5"/>
  <c r="E439" i="5"/>
  <c r="F439" i="5"/>
  <c r="G439" i="5"/>
  <c r="H439" i="5"/>
  <c r="I439" i="5"/>
  <c r="J439" i="5"/>
  <c r="K439" i="5"/>
  <c r="L439" i="5"/>
  <c r="M439" i="5"/>
  <c r="N439" i="5"/>
  <c r="AC439" i="5" s="1"/>
  <c r="O439" i="5"/>
  <c r="P439" i="5"/>
  <c r="Q439" i="5"/>
  <c r="R439" i="5"/>
  <c r="S439" i="5"/>
  <c r="T439" i="5"/>
  <c r="U439" i="5"/>
  <c r="V439" i="5"/>
  <c r="W439" i="5"/>
  <c r="X439" i="5"/>
  <c r="B440" i="5"/>
  <c r="AB440" i="5" s="1"/>
  <c r="C440" i="5"/>
  <c r="D440" i="5"/>
  <c r="E440" i="5"/>
  <c r="F440" i="5"/>
  <c r="G440" i="5"/>
  <c r="H440" i="5"/>
  <c r="I440" i="5"/>
  <c r="J440" i="5"/>
  <c r="K440" i="5"/>
  <c r="L440" i="5"/>
  <c r="M440" i="5"/>
  <c r="N440" i="5"/>
  <c r="O440" i="5"/>
  <c r="P440" i="5"/>
  <c r="Q440" i="5"/>
  <c r="R440" i="5"/>
  <c r="S440" i="5"/>
  <c r="T440" i="5"/>
  <c r="U440" i="5"/>
  <c r="V440" i="5"/>
  <c r="W440" i="5"/>
  <c r="X440" i="5"/>
  <c r="B441" i="5"/>
  <c r="C441" i="5"/>
  <c r="D441" i="5"/>
  <c r="E441" i="5"/>
  <c r="F441" i="5"/>
  <c r="G441" i="5"/>
  <c r="H441" i="5"/>
  <c r="I441" i="5"/>
  <c r="J441" i="5"/>
  <c r="K441" i="5"/>
  <c r="L441" i="5"/>
  <c r="M441" i="5"/>
  <c r="N441" i="5"/>
  <c r="O441" i="5"/>
  <c r="P441" i="5"/>
  <c r="Q441" i="5"/>
  <c r="R441" i="5"/>
  <c r="S441" i="5"/>
  <c r="T441" i="5"/>
  <c r="U441" i="5"/>
  <c r="V441" i="5"/>
  <c r="W441" i="5"/>
  <c r="X441" i="5"/>
  <c r="B442" i="5"/>
  <c r="C442" i="5"/>
  <c r="D442" i="5"/>
  <c r="E442" i="5"/>
  <c r="F442" i="5"/>
  <c r="G442" i="5"/>
  <c r="H442" i="5"/>
  <c r="I442" i="5"/>
  <c r="J442" i="5"/>
  <c r="K442" i="5"/>
  <c r="L442" i="5"/>
  <c r="M442" i="5"/>
  <c r="N442" i="5"/>
  <c r="O442" i="5"/>
  <c r="P442" i="5"/>
  <c r="Q442" i="5"/>
  <c r="R442" i="5"/>
  <c r="S442" i="5"/>
  <c r="T442" i="5"/>
  <c r="U442" i="5"/>
  <c r="V442" i="5"/>
  <c r="W442" i="5"/>
  <c r="X442" i="5"/>
  <c r="B443" i="5"/>
  <c r="C443" i="5"/>
  <c r="D443" i="5"/>
  <c r="E443" i="5"/>
  <c r="F443" i="5"/>
  <c r="G443" i="5"/>
  <c r="H443" i="5"/>
  <c r="I443" i="5"/>
  <c r="J443" i="5"/>
  <c r="K443" i="5"/>
  <c r="L443" i="5"/>
  <c r="M443" i="5"/>
  <c r="N443" i="5"/>
  <c r="O443" i="5"/>
  <c r="P443" i="5"/>
  <c r="Q443" i="5"/>
  <c r="R443" i="5"/>
  <c r="S443" i="5"/>
  <c r="T443" i="5"/>
  <c r="U443" i="5"/>
  <c r="V443" i="5"/>
  <c r="W443" i="5"/>
  <c r="X443" i="5"/>
  <c r="B444" i="5"/>
  <c r="C444" i="5"/>
  <c r="D444" i="5"/>
  <c r="E444" i="5"/>
  <c r="F444" i="5"/>
  <c r="G444" i="5"/>
  <c r="H444" i="5"/>
  <c r="I444" i="5"/>
  <c r="J444" i="5"/>
  <c r="K444" i="5"/>
  <c r="L444" i="5"/>
  <c r="M444" i="5"/>
  <c r="AC444" i="5" s="1"/>
  <c r="N444" i="5"/>
  <c r="O444" i="5"/>
  <c r="P444" i="5"/>
  <c r="Q444" i="5"/>
  <c r="R444" i="5"/>
  <c r="S444" i="5"/>
  <c r="T444" i="5"/>
  <c r="U444" i="5"/>
  <c r="V444" i="5"/>
  <c r="W444" i="5"/>
  <c r="X444" i="5"/>
  <c r="B445" i="5"/>
  <c r="C445" i="5"/>
  <c r="D445" i="5"/>
  <c r="E445" i="5"/>
  <c r="F445" i="5"/>
  <c r="G445" i="5"/>
  <c r="H445" i="5"/>
  <c r="I445" i="5"/>
  <c r="J445" i="5"/>
  <c r="K445" i="5"/>
  <c r="L445" i="5"/>
  <c r="M445" i="5"/>
  <c r="N445" i="5"/>
  <c r="O445" i="5"/>
  <c r="P445" i="5"/>
  <c r="Q445" i="5"/>
  <c r="R445" i="5"/>
  <c r="S445" i="5"/>
  <c r="T445" i="5"/>
  <c r="U445" i="5"/>
  <c r="V445" i="5"/>
  <c r="W445" i="5"/>
  <c r="X445" i="5"/>
  <c r="B446" i="5"/>
  <c r="C446" i="5"/>
  <c r="D446" i="5"/>
  <c r="E446" i="5"/>
  <c r="F446" i="5"/>
  <c r="G446" i="5"/>
  <c r="H446" i="5"/>
  <c r="I446" i="5"/>
  <c r="J446" i="5"/>
  <c r="K446" i="5"/>
  <c r="L446" i="5"/>
  <c r="M446" i="5"/>
  <c r="N446" i="5"/>
  <c r="O446" i="5"/>
  <c r="P446" i="5"/>
  <c r="Q446" i="5"/>
  <c r="R446" i="5"/>
  <c r="S446" i="5"/>
  <c r="T446" i="5"/>
  <c r="U446" i="5"/>
  <c r="V446" i="5"/>
  <c r="W446" i="5"/>
  <c r="X446" i="5"/>
  <c r="B447" i="5"/>
  <c r="C447" i="5"/>
  <c r="D447" i="5"/>
  <c r="E447" i="5"/>
  <c r="F447" i="5"/>
  <c r="G447" i="5"/>
  <c r="H447" i="5"/>
  <c r="I447" i="5"/>
  <c r="J447" i="5"/>
  <c r="K447" i="5"/>
  <c r="L447" i="5"/>
  <c r="M447" i="5"/>
  <c r="N447" i="5"/>
  <c r="O447" i="5"/>
  <c r="P447" i="5"/>
  <c r="Q447" i="5"/>
  <c r="R447" i="5"/>
  <c r="S447" i="5"/>
  <c r="T447" i="5"/>
  <c r="U447" i="5"/>
  <c r="V447" i="5"/>
  <c r="W447" i="5"/>
  <c r="X447" i="5"/>
  <c r="B448" i="5"/>
  <c r="C448" i="5"/>
  <c r="D448" i="5"/>
  <c r="E448" i="5"/>
  <c r="F448" i="5"/>
  <c r="G448" i="5"/>
  <c r="H448" i="5"/>
  <c r="I448" i="5"/>
  <c r="J448" i="5"/>
  <c r="K448" i="5"/>
  <c r="L448" i="5"/>
  <c r="M448" i="5"/>
  <c r="N448" i="5"/>
  <c r="O448" i="5"/>
  <c r="P448" i="5"/>
  <c r="Q448" i="5"/>
  <c r="R448" i="5"/>
  <c r="S448" i="5"/>
  <c r="T448" i="5"/>
  <c r="U448" i="5"/>
  <c r="V448" i="5"/>
  <c r="W448" i="5"/>
  <c r="X448" i="5"/>
  <c r="B449" i="5"/>
  <c r="C449" i="5"/>
  <c r="D449" i="5"/>
  <c r="E449" i="5"/>
  <c r="F449" i="5"/>
  <c r="G449" i="5"/>
  <c r="H449" i="5"/>
  <c r="I449" i="5"/>
  <c r="J449" i="5"/>
  <c r="K449" i="5"/>
  <c r="L449" i="5"/>
  <c r="M449" i="5"/>
  <c r="N449" i="5"/>
  <c r="O449" i="5"/>
  <c r="P449" i="5"/>
  <c r="Q449" i="5"/>
  <c r="R449" i="5"/>
  <c r="S449" i="5"/>
  <c r="T449" i="5"/>
  <c r="U449" i="5"/>
  <c r="V449" i="5"/>
  <c r="W449" i="5"/>
  <c r="X449" i="5"/>
  <c r="B450" i="5"/>
  <c r="C450" i="5"/>
  <c r="D450" i="5"/>
  <c r="E450" i="5"/>
  <c r="F450" i="5"/>
  <c r="G450" i="5"/>
  <c r="H450" i="5"/>
  <c r="I450" i="5"/>
  <c r="J450" i="5"/>
  <c r="K450" i="5"/>
  <c r="L450" i="5"/>
  <c r="M450" i="5"/>
  <c r="N450" i="5"/>
  <c r="O450" i="5"/>
  <c r="P450" i="5"/>
  <c r="Q450" i="5"/>
  <c r="R450" i="5"/>
  <c r="S450" i="5"/>
  <c r="T450" i="5"/>
  <c r="U450" i="5"/>
  <c r="V450" i="5"/>
  <c r="W450" i="5"/>
  <c r="X450" i="5"/>
  <c r="AC450" i="5"/>
  <c r="B451" i="5"/>
  <c r="C451" i="5"/>
  <c r="D451" i="5"/>
  <c r="E451" i="5"/>
  <c r="F451" i="5"/>
  <c r="G451" i="5"/>
  <c r="H451" i="5"/>
  <c r="I451" i="5"/>
  <c r="J451" i="5"/>
  <c r="K451" i="5"/>
  <c r="L451" i="5"/>
  <c r="M451" i="5"/>
  <c r="AC451" i="5" s="1"/>
  <c r="N451" i="5"/>
  <c r="O451" i="5"/>
  <c r="P451" i="5"/>
  <c r="Q451" i="5"/>
  <c r="R451" i="5"/>
  <c r="S451" i="5"/>
  <c r="T451" i="5"/>
  <c r="U451" i="5"/>
  <c r="V451" i="5"/>
  <c r="W451" i="5"/>
  <c r="X451" i="5"/>
  <c r="AB451" i="5"/>
  <c r="B452" i="5"/>
  <c r="C452" i="5"/>
  <c r="D452" i="5"/>
  <c r="E452" i="5"/>
  <c r="F452" i="5"/>
  <c r="G452" i="5"/>
  <c r="H452" i="5"/>
  <c r="AB452" i="5" s="1"/>
  <c r="I452" i="5"/>
  <c r="J452" i="5"/>
  <c r="K452" i="5"/>
  <c r="L452" i="5"/>
  <c r="M452" i="5"/>
  <c r="N452" i="5"/>
  <c r="O452" i="5"/>
  <c r="P452" i="5"/>
  <c r="Q452" i="5"/>
  <c r="R452" i="5"/>
  <c r="S452" i="5"/>
  <c r="T452" i="5"/>
  <c r="U452" i="5"/>
  <c r="V452" i="5"/>
  <c r="W452" i="5"/>
  <c r="X452" i="5"/>
  <c r="B453" i="5"/>
  <c r="C453" i="5"/>
  <c r="D453" i="5"/>
  <c r="E453" i="5"/>
  <c r="F453" i="5"/>
  <c r="G453" i="5"/>
  <c r="H453" i="5"/>
  <c r="I453" i="5"/>
  <c r="J453" i="5"/>
  <c r="K453" i="5"/>
  <c r="L453" i="5"/>
  <c r="M453" i="5"/>
  <c r="N453" i="5"/>
  <c r="O453" i="5"/>
  <c r="P453" i="5"/>
  <c r="Q453" i="5"/>
  <c r="R453" i="5"/>
  <c r="S453" i="5"/>
  <c r="T453" i="5"/>
  <c r="U453" i="5"/>
  <c r="V453" i="5"/>
  <c r="W453" i="5"/>
  <c r="X453" i="5"/>
  <c r="B454" i="5"/>
  <c r="C454" i="5"/>
  <c r="D454" i="5"/>
  <c r="E454" i="5"/>
  <c r="F454" i="5"/>
  <c r="G454" i="5"/>
  <c r="H454" i="5"/>
  <c r="I454" i="5"/>
  <c r="J454" i="5"/>
  <c r="K454" i="5"/>
  <c r="L454" i="5"/>
  <c r="M454" i="5"/>
  <c r="N454" i="5"/>
  <c r="O454" i="5"/>
  <c r="P454" i="5"/>
  <c r="Q454" i="5"/>
  <c r="R454" i="5"/>
  <c r="S454" i="5"/>
  <c r="T454" i="5"/>
  <c r="U454" i="5"/>
  <c r="V454" i="5"/>
  <c r="W454" i="5"/>
  <c r="X454" i="5"/>
  <c r="B455" i="5"/>
  <c r="C455" i="5"/>
  <c r="D455" i="5"/>
  <c r="E455" i="5"/>
  <c r="F455" i="5"/>
  <c r="G455" i="5"/>
  <c r="H455" i="5"/>
  <c r="I455" i="5"/>
  <c r="J455" i="5"/>
  <c r="K455" i="5"/>
  <c r="L455" i="5"/>
  <c r="M455" i="5"/>
  <c r="N455" i="5"/>
  <c r="O455" i="5"/>
  <c r="AC455" i="5" s="1"/>
  <c r="P455" i="5"/>
  <c r="Q455" i="5"/>
  <c r="R455" i="5"/>
  <c r="S455" i="5"/>
  <c r="T455" i="5"/>
  <c r="U455" i="5"/>
  <c r="V455" i="5"/>
  <c r="W455" i="5"/>
  <c r="X455" i="5"/>
  <c r="B456" i="5"/>
  <c r="C456" i="5"/>
  <c r="AB456" i="5" s="1"/>
  <c r="D456" i="5"/>
  <c r="E456" i="5"/>
  <c r="F456" i="5"/>
  <c r="G456" i="5"/>
  <c r="H456" i="5"/>
  <c r="I456" i="5"/>
  <c r="J456" i="5"/>
  <c r="K456" i="5"/>
  <c r="L456" i="5"/>
  <c r="M456" i="5"/>
  <c r="N456" i="5"/>
  <c r="O456" i="5"/>
  <c r="P456" i="5"/>
  <c r="Q456" i="5"/>
  <c r="R456" i="5"/>
  <c r="S456" i="5"/>
  <c r="T456" i="5"/>
  <c r="U456" i="5"/>
  <c r="V456" i="5"/>
  <c r="W456" i="5"/>
  <c r="X456" i="5"/>
  <c r="B457" i="5"/>
  <c r="C457" i="5"/>
  <c r="D457" i="5"/>
  <c r="E457" i="5"/>
  <c r="F457" i="5"/>
  <c r="G457" i="5"/>
  <c r="H457" i="5"/>
  <c r="I457" i="5"/>
  <c r="J457" i="5"/>
  <c r="K457" i="5"/>
  <c r="L457" i="5"/>
  <c r="M457" i="5"/>
  <c r="N457" i="5"/>
  <c r="O457" i="5"/>
  <c r="AC457" i="5" s="1"/>
  <c r="P457" i="5"/>
  <c r="Q457" i="5"/>
  <c r="R457" i="5"/>
  <c r="S457" i="5"/>
  <c r="T457" i="5"/>
  <c r="U457" i="5"/>
  <c r="V457" i="5"/>
  <c r="W457" i="5"/>
  <c r="X457" i="5"/>
  <c r="B458" i="5"/>
  <c r="C458" i="5"/>
  <c r="D458" i="5"/>
  <c r="E458" i="5"/>
  <c r="F458" i="5"/>
  <c r="G458" i="5"/>
  <c r="H458" i="5"/>
  <c r="I458" i="5"/>
  <c r="J458" i="5"/>
  <c r="K458" i="5"/>
  <c r="L458" i="5"/>
  <c r="M458" i="5"/>
  <c r="N458" i="5"/>
  <c r="O458" i="5"/>
  <c r="AC458" i="5" s="1"/>
  <c r="P458" i="5"/>
  <c r="Q458" i="5"/>
  <c r="R458" i="5"/>
  <c r="S458" i="5"/>
  <c r="T458" i="5"/>
  <c r="U458" i="5"/>
  <c r="V458" i="5"/>
  <c r="W458" i="5"/>
  <c r="X458" i="5"/>
  <c r="B459" i="5"/>
  <c r="C459" i="5"/>
  <c r="AB459" i="5" s="1"/>
  <c r="D459" i="5"/>
  <c r="E459" i="5"/>
  <c r="F459" i="5"/>
  <c r="G459" i="5"/>
  <c r="H459" i="5"/>
  <c r="I459" i="5"/>
  <c r="J459" i="5"/>
  <c r="K459" i="5"/>
  <c r="L459" i="5"/>
  <c r="M459" i="5"/>
  <c r="N459" i="5"/>
  <c r="O459" i="5"/>
  <c r="P459" i="5"/>
  <c r="Q459" i="5"/>
  <c r="R459" i="5"/>
  <c r="S459" i="5"/>
  <c r="T459" i="5"/>
  <c r="U459" i="5"/>
  <c r="V459" i="5"/>
  <c r="W459" i="5"/>
  <c r="X459" i="5"/>
  <c r="B460" i="5"/>
  <c r="C460" i="5"/>
  <c r="D460" i="5"/>
  <c r="E460" i="5"/>
  <c r="F460" i="5"/>
  <c r="G460" i="5"/>
  <c r="H460" i="5"/>
  <c r="I460" i="5"/>
  <c r="J460" i="5"/>
  <c r="K460" i="5"/>
  <c r="L460" i="5"/>
  <c r="M460" i="5"/>
  <c r="N460" i="5"/>
  <c r="O460" i="5"/>
  <c r="AC460" i="5" s="1"/>
  <c r="P460" i="5"/>
  <c r="Q460" i="5"/>
  <c r="R460" i="5"/>
  <c r="S460" i="5"/>
  <c r="T460" i="5"/>
  <c r="U460" i="5"/>
  <c r="V460" i="5"/>
  <c r="W460" i="5"/>
  <c r="X460" i="5"/>
  <c r="B461" i="5"/>
  <c r="C461" i="5"/>
  <c r="D461" i="5"/>
  <c r="E461" i="5"/>
  <c r="F461" i="5"/>
  <c r="G461" i="5"/>
  <c r="H461" i="5"/>
  <c r="I461" i="5"/>
  <c r="J461" i="5"/>
  <c r="K461" i="5"/>
  <c r="L461" i="5"/>
  <c r="M461" i="5"/>
  <c r="N461" i="5"/>
  <c r="O461" i="5"/>
  <c r="P461" i="5"/>
  <c r="Q461" i="5"/>
  <c r="R461" i="5"/>
  <c r="S461" i="5"/>
  <c r="T461" i="5"/>
  <c r="U461" i="5"/>
  <c r="V461" i="5"/>
  <c r="W461" i="5"/>
  <c r="X461" i="5"/>
  <c r="B462" i="5"/>
  <c r="AB462" i="5" s="1"/>
  <c r="C462" i="5"/>
  <c r="D462" i="5"/>
  <c r="E462" i="5"/>
  <c r="F462" i="5"/>
  <c r="G462" i="5"/>
  <c r="H462" i="5"/>
  <c r="I462" i="5"/>
  <c r="J462" i="5"/>
  <c r="K462" i="5"/>
  <c r="L462" i="5"/>
  <c r="M462" i="5"/>
  <c r="N462" i="5"/>
  <c r="O462" i="5"/>
  <c r="P462" i="5"/>
  <c r="Q462" i="5"/>
  <c r="R462" i="5"/>
  <c r="S462" i="5"/>
  <c r="T462" i="5"/>
  <c r="U462" i="5"/>
  <c r="V462" i="5"/>
  <c r="W462" i="5"/>
  <c r="X462" i="5"/>
  <c r="B463" i="5"/>
  <c r="C463" i="5"/>
  <c r="D463" i="5"/>
  <c r="E463" i="5"/>
  <c r="F463" i="5"/>
  <c r="G463" i="5"/>
  <c r="H463" i="5"/>
  <c r="I463" i="5"/>
  <c r="J463" i="5"/>
  <c r="K463" i="5"/>
  <c r="L463" i="5"/>
  <c r="M463" i="5"/>
  <c r="N463" i="5"/>
  <c r="O463" i="5"/>
  <c r="P463" i="5"/>
  <c r="Q463" i="5"/>
  <c r="R463" i="5"/>
  <c r="S463" i="5"/>
  <c r="T463" i="5"/>
  <c r="U463" i="5"/>
  <c r="V463" i="5"/>
  <c r="W463" i="5"/>
  <c r="X463" i="5"/>
  <c r="B464" i="5"/>
  <c r="C464" i="5"/>
  <c r="D464" i="5"/>
  <c r="E464" i="5"/>
  <c r="F464" i="5"/>
  <c r="G464" i="5"/>
  <c r="H464" i="5"/>
  <c r="I464" i="5"/>
  <c r="J464" i="5"/>
  <c r="K464" i="5"/>
  <c r="L464" i="5"/>
  <c r="M464" i="5"/>
  <c r="N464" i="5"/>
  <c r="O464" i="5"/>
  <c r="P464" i="5"/>
  <c r="Q464" i="5"/>
  <c r="R464" i="5"/>
  <c r="S464" i="5"/>
  <c r="T464" i="5"/>
  <c r="U464" i="5"/>
  <c r="V464" i="5"/>
  <c r="W464" i="5"/>
  <c r="X464" i="5"/>
  <c r="B465" i="5"/>
  <c r="C465" i="5"/>
  <c r="D465" i="5"/>
  <c r="E465" i="5"/>
  <c r="F465" i="5"/>
  <c r="G465" i="5"/>
  <c r="H465" i="5"/>
  <c r="I465" i="5"/>
  <c r="J465" i="5"/>
  <c r="K465" i="5"/>
  <c r="L465" i="5"/>
  <c r="M465" i="5"/>
  <c r="N465" i="5"/>
  <c r="O465" i="5"/>
  <c r="P465" i="5"/>
  <c r="Q465" i="5"/>
  <c r="R465" i="5"/>
  <c r="S465" i="5"/>
  <c r="T465" i="5"/>
  <c r="U465" i="5"/>
  <c r="V465" i="5"/>
  <c r="W465" i="5"/>
  <c r="X465" i="5"/>
  <c r="B466" i="5"/>
  <c r="C466" i="5"/>
  <c r="D466" i="5"/>
  <c r="E466" i="5"/>
  <c r="F466" i="5"/>
  <c r="G466" i="5"/>
  <c r="H466" i="5"/>
  <c r="I466" i="5"/>
  <c r="J466" i="5"/>
  <c r="K466" i="5"/>
  <c r="L466" i="5"/>
  <c r="M466" i="5"/>
  <c r="N466" i="5"/>
  <c r="O466" i="5"/>
  <c r="P466" i="5"/>
  <c r="Q466" i="5"/>
  <c r="R466" i="5"/>
  <c r="S466" i="5"/>
  <c r="T466" i="5"/>
  <c r="U466" i="5"/>
  <c r="V466" i="5"/>
  <c r="W466" i="5"/>
  <c r="X466" i="5"/>
  <c r="B467" i="5"/>
  <c r="C467" i="5"/>
  <c r="D467" i="5"/>
  <c r="E467" i="5"/>
  <c r="F467" i="5"/>
  <c r="G467" i="5"/>
  <c r="H467" i="5"/>
  <c r="I467" i="5"/>
  <c r="J467" i="5"/>
  <c r="K467" i="5"/>
  <c r="L467" i="5"/>
  <c r="M467" i="5"/>
  <c r="N467" i="5"/>
  <c r="O467" i="5"/>
  <c r="P467" i="5"/>
  <c r="Q467" i="5"/>
  <c r="R467" i="5"/>
  <c r="S467" i="5"/>
  <c r="T467" i="5"/>
  <c r="U467" i="5"/>
  <c r="V467" i="5"/>
  <c r="W467" i="5"/>
  <c r="X467" i="5"/>
  <c r="B468" i="5"/>
  <c r="C468" i="5"/>
  <c r="D468" i="5"/>
  <c r="E468" i="5"/>
  <c r="F468" i="5"/>
  <c r="G468" i="5"/>
  <c r="H468" i="5"/>
  <c r="I468" i="5"/>
  <c r="J468" i="5"/>
  <c r="K468" i="5"/>
  <c r="L468" i="5"/>
  <c r="M468" i="5"/>
  <c r="AC468" i="5" s="1"/>
  <c r="N468" i="5"/>
  <c r="O468" i="5"/>
  <c r="P468" i="5"/>
  <c r="Q468" i="5"/>
  <c r="R468" i="5"/>
  <c r="S468" i="5"/>
  <c r="T468" i="5"/>
  <c r="U468" i="5"/>
  <c r="V468" i="5"/>
  <c r="W468" i="5"/>
  <c r="X468" i="5"/>
  <c r="B469" i="5"/>
  <c r="C469" i="5"/>
  <c r="D469" i="5"/>
  <c r="E469" i="5"/>
  <c r="F469" i="5"/>
  <c r="G469" i="5"/>
  <c r="H469" i="5"/>
  <c r="I469" i="5"/>
  <c r="J469" i="5"/>
  <c r="K469" i="5"/>
  <c r="L469" i="5"/>
  <c r="M469" i="5"/>
  <c r="N469" i="5"/>
  <c r="O469" i="5"/>
  <c r="P469" i="5"/>
  <c r="Q469" i="5"/>
  <c r="R469" i="5"/>
  <c r="S469" i="5"/>
  <c r="T469" i="5"/>
  <c r="U469" i="5"/>
  <c r="V469" i="5"/>
  <c r="W469" i="5"/>
  <c r="X469" i="5"/>
  <c r="B470" i="5"/>
  <c r="C470" i="5"/>
  <c r="D470" i="5"/>
  <c r="E470" i="5"/>
  <c r="F470" i="5"/>
  <c r="G470" i="5"/>
  <c r="H470" i="5"/>
  <c r="I470" i="5"/>
  <c r="J470" i="5"/>
  <c r="K470" i="5"/>
  <c r="L470" i="5"/>
  <c r="M470" i="5"/>
  <c r="N470" i="5"/>
  <c r="O470" i="5"/>
  <c r="AC470" i="5" s="1"/>
  <c r="P470" i="5"/>
  <c r="Q470" i="5"/>
  <c r="R470" i="5"/>
  <c r="S470" i="5"/>
  <c r="T470" i="5"/>
  <c r="U470" i="5"/>
  <c r="V470" i="5"/>
  <c r="W470" i="5"/>
  <c r="X470" i="5"/>
  <c r="B471" i="5"/>
  <c r="C471" i="5"/>
  <c r="D471" i="5"/>
  <c r="E471" i="5"/>
  <c r="F471" i="5"/>
  <c r="G471" i="5"/>
  <c r="H471" i="5"/>
  <c r="I471" i="5"/>
  <c r="J471" i="5"/>
  <c r="K471" i="5"/>
  <c r="L471" i="5"/>
  <c r="M471" i="5"/>
  <c r="N471" i="5"/>
  <c r="O471" i="5"/>
  <c r="P471" i="5"/>
  <c r="AC471" i="5" s="1"/>
  <c r="Q471" i="5"/>
  <c r="R471" i="5"/>
  <c r="S471" i="5"/>
  <c r="T471" i="5"/>
  <c r="U471" i="5"/>
  <c r="V471" i="5"/>
  <c r="W471" i="5"/>
  <c r="X471" i="5"/>
  <c r="B472" i="5"/>
  <c r="C472" i="5"/>
  <c r="D472" i="5"/>
  <c r="AB472" i="5" s="1"/>
  <c r="E472" i="5"/>
  <c r="F472" i="5"/>
  <c r="G472" i="5"/>
  <c r="H472" i="5"/>
  <c r="I472" i="5"/>
  <c r="J472" i="5"/>
  <c r="K472" i="5"/>
  <c r="L472" i="5"/>
  <c r="M472" i="5"/>
  <c r="N472" i="5"/>
  <c r="O472" i="5"/>
  <c r="P472" i="5"/>
  <c r="Q472" i="5"/>
  <c r="R472" i="5"/>
  <c r="S472" i="5"/>
  <c r="T472" i="5"/>
  <c r="U472" i="5"/>
  <c r="V472" i="5"/>
  <c r="W472" i="5"/>
  <c r="X472" i="5"/>
  <c r="B473" i="5"/>
  <c r="C473" i="5"/>
  <c r="D473" i="5"/>
  <c r="E473" i="5"/>
  <c r="F473" i="5"/>
  <c r="G473" i="5"/>
  <c r="H473" i="5"/>
  <c r="I473" i="5"/>
  <c r="J473" i="5"/>
  <c r="K473" i="5"/>
  <c r="L473" i="5"/>
  <c r="M473" i="5"/>
  <c r="N473" i="5"/>
  <c r="O473" i="5"/>
  <c r="P473" i="5"/>
  <c r="AC473" i="5" s="1"/>
  <c r="Q473" i="5"/>
  <c r="R473" i="5"/>
  <c r="S473" i="5"/>
  <c r="T473" i="5"/>
  <c r="U473" i="5"/>
  <c r="V473" i="5"/>
  <c r="W473" i="5"/>
  <c r="X473" i="5"/>
  <c r="B474" i="5"/>
  <c r="C474" i="5"/>
  <c r="D474" i="5"/>
  <c r="AB474" i="5" s="1"/>
  <c r="E474" i="5"/>
  <c r="F474" i="5"/>
  <c r="G474" i="5"/>
  <c r="H474" i="5"/>
  <c r="I474" i="5"/>
  <c r="J474" i="5"/>
  <c r="K474" i="5"/>
  <c r="L474" i="5"/>
  <c r="M474" i="5"/>
  <c r="N474" i="5"/>
  <c r="O474" i="5"/>
  <c r="P474" i="5"/>
  <c r="Q474" i="5"/>
  <c r="R474" i="5"/>
  <c r="S474" i="5"/>
  <c r="T474" i="5"/>
  <c r="U474" i="5"/>
  <c r="V474" i="5"/>
  <c r="W474" i="5"/>
  <c r="X474" i="5"/>
  <c r="B475" i="5"/>
  <c r="C475" i="5"/>
  <c r="D475" i="5"/>
  <c r="E475" i="5"/>
  <c r="F475" i="5"/>
  <c r="G475" i="5"/>
  <c r="H475" i="5"/>
  <c r="I475" i="5"/>
  <c r="J475" i="5"/>
  <c r="K475" i="5"/>
  <c r="L475" i="5"/>
  <c r="M475" i="5"/>
  <c r="N475" i="5"/>
  <c r="O475" i="5"/>
  <c r="P475" i="5"/>
  <c r="Q475" i="5"/>
  <c r="R475" i="5"/>
  <c r="S475" i="5"/>
  <c r="T475" i="5"/>
  <c r="U475" i="5"/>
  <c r="V475" i="5"/>
  <c r="W475" i="5"/>
  <c r="X475" i="5"/>
  <c r="B476" i="5"/>
  <c r="C476" i="5"/>
  <c r="D476" i="5"/>
  <c r="E476" i="5"/>
  <c r="F476" i="5"/>
  <c r="G476" i="5"/>
  <c r="H476" i="5"/>
  <c r="I476" i="5"/>
  <c r="J476" i="5"/>
  <c r="K476" i="5"/>
  <c r="L476" i="5"/>
  <c r="M476" i="5"/>
  <c r="N476" i="5"/>
  <c r="O476" i="5"/>
  <c r="P476" i="5"/>
  <c r="Q476" i="5"/>
  <c r="R476" i="5"/>
  <c r="S476" i="5"/>
  <c r="T476" i="5"/>
  <c r="U476" i="5"/>
  <c r="V476" i="5"/>
  <c r="W476" i="5"/>
  <c r="X476" i="5"/>
  <c r="B477" i="5"/>
  <c r="C477" i="5"/>
  <c r="D477" i="5"/>
  <c r="E477" i="5"/>
  <c r="F477" i="5"/>
  <c r="G477" i="5"/>
  <c r="H477" i="5"/>
  <c r="I477" i="5"/>
  <c r="J477" i="5"/>
  <c r="K477" i="5"/>
  <c r="L477" i="5"/>
  <c r="M477" i="5"/>
  <c r="N477" i="5"/>
  <c r="O477" i="5"/>
  <c r="P477" i="5"/>
  <c r="Q477" i="5"/>
  <c r="R477" i="5"/>
  <c r="S477" i="5"/>
  <c r="T477" i="5"/>
  <c r="U477" i="5"/>
  <c r="V477" i="5"/>
  <c r="W477" i="5"/>
  <c r="X477" i="5"/>
  <c r="B478" i="5"/>
  <c r="C478" i="5"/>
  <c r="D478" i="5"/>
  <c r="E478" i="5"/>
  <c r="F478" i="5"/>
  <c r="G478" i="5"/>
  <c r="H478" i="5"/>
  <c r="I478" i="5"/>
  <c r="J478" i="5"/>
  <c r="K478" i="5"/>
  <c r="L478" i="5"/>
  <c r="M478" i="5"/>
  <c r="N478" i="5"/>
  <c r="O478" i="5"/>
  <c r="P478" i="5"/>
  <c r="Q478" i="5"/>
  <c r="R478" i="5"/>
  <c r="S478" i="5"/>
  <c r="T478" i="5"/>
  <c r="U478" i="5"/>
  <c r="V478" i="5"/>
  <c r="W478" i="5"/>
  <c r="X478" i="5"/>
  <c r="B479" i="5"/>
  <c r="C479" i="5"/>
  <c r="D479" i="5"/>
  <c r="E479" i="5"/>
  <c r="F479" i="5"/>
  <c r="G479" i="5"/>
  <c r="H479" i="5"/>
  <c r="I479" i="5"/>
  <c r="J479" i="5"/>
  <c r="K479" i="5"/>
  <c r="L479" i="5"/>
  <c r="M479" i="5"/>
  <c r="N479" i="5"/>
  <c r="O479" i="5"/>
  <c r="P479" i="5"/>
  <c r="Q479" i="5"/>
  <c r="R479" i="5"/>
  <c r="S479" i="5"/>
  <c r="T479" i="5"/>
  <c r="U479" i="5"/>
  <c r="V479" i="5"/>
  <c r="W479" i="5"/>
  <c r="X479" i="5"/>
  <c r="B480" i="5"/>
  <c r="C480" i="5"/>
  <c r="D480" i="5"/>
  <c r="E480" i="5"/>
  <c r="F480" i="5"/>
  <c r="G480" i="5"/>
  <c r="H480" i="5"/>
  <c r="I480" i="5"/>
  <c r="J480" i="5"/>
  <c r="K480" i="5"/>
  <c r="L480" i="5"/>
  <c r="M480" i="5"/>
  <c r="N480" i="5"/>
  <c r="O480" i="5"/>
  <c r="P480" i="5"/>
  <c r="Q480" i="5"/>
  <c r="R480" i="5"/>
  <c r="S480" i="5"/>
  <c r="T480" i="5"/>
  <c r="U480" i="5"/>
  <c r="V480" i="5"/>
  <c r="W480" i="5"/>
  <c r="X480" i="5"/>
  <c r="B481" i="5"/>
  <c r="C481" i="5"/>
  <c r="D481" i="5"/>
  <c r="E481" i="5"/>
  <c r="F481" i="5"/>
  <c r="G481" i="5"/>
  <c r="H481" i="5"/>
  <c r="I481" i="5"/>
  <c r="J481" i="5"/>
  <c r="K481" i="5"/>
  <c r="L481" i="5"/>
  <c r="M481" i="5"/>
  <c r="N481" i="5"/>
  <c r="AC481" i="5" s="1"/>
  <c r="O481" i="5"/>
  <c r="P481" i="5"/>
  <c r="Q481" i="5"/>
  <c r="R481" i="5"/>
  <c r="S481" i="5"/>
  <c r="T481" i="5"/>
  <c r="U481" i="5"/>
  <c r="V481" i="5"/>
  <c r="W481" i="5"/>
  <c r="X481" i="5"/>
  <c r="B482" i="5"/>
  <c r="C482" i="5"/>
  <c r="D482" i="5"/>
  <c r="E482" i="5"/>
  <c r="F482" i="5"/>
  <c r="G482" i="5"/>
  <c r="H482" i="5"/>
  <c r="I482" i="5"/>
  <c r="J482" i="5"/>
  <c r="K482" i="5"/>
  <c r="L482" i="5"/>
  <c r="M482" i="5"/>
  <c r="N482" i="5"/>
  <c r="O482" i="5"/>
  <c r="P482" i="5"/>
  <c r="Q482" i="5"/>
  <c r="R482" i="5"/>
  <c r="S482" i="5"/>
  <c r="T482" i="5"/>
  <c r="U482" i="5"/>
  <c r="V482" i="5"/>
  <c r="W482" i="5"/>
  <c r="X482" i="5"/>
  <c r="B483" i="5"/>
  <c r="C483" i="5"/>
  <c r="D483" i="5"/>
  <c r="E483" i="5"/>
  <c r="F483" i="5"/>
  <c r="G483" i="5"/>
  <c r="H483" i="5"/>
  <c r="I483" i="5"/>
  <c r="J483" i="5"/>
  <c r="K483" i="5"/>
  <c r="L483" i="5"/>
  <c r="M483" i="5"/>
  <c r="N483" i="5"/>
  <c r="O483" i="5"/>
  <c r="P483" i="5"/>
  <c r="Q483" i="5"/>
  <c r="R483" i="5"/>
  <c r="S483" i="5"/>
  <c r="T483" i="5"/>
  <c r="U483" i="5"/>
  <c r="V483" i="5"/>
  <c r="W483" i="5"/>
  <c r="X483" i="5"/>
  <c r="B484" i="5"/>
  <c r="C484" i="5"/>
  <c r="D484" i="5"/>
  <c r="E484" i="5"/>
  <c r="F484" i="5"/>
  <c r="G484" i="5"/>
  <c r="H484" i="5"/>
  <c r="I484" i="5"/>
  <c r="J484" i="5"/>
  <c r="K484" i="5"/>
  <c r="L484" i="5"/>
  <c r="M484" i="5"/>
  <c r="N484" i="5"/>
  <c r="O484" i="5"/>
  <c r="P484" i="5"/>
  <c r="Q484" i="5"/>
  <c r="R484" i="5"/>
  <c r="S484" i="5"/>
  <c r="T484" i="5"/>
  <c r="U484" i="5"/>
  <c r="V484" i="5"/>
  <c r="W484" i="5"/>
  <c r="X484" i="5"/>
  <c r="B485" i="5"/>
  <c r="C485" i="5"/>
  <c r="D485" i="5"/>
  <c r="E485" i="5"/>
  <c r="F485" i="5"/>
  <c r="G485" i="5"/>
  <c r="H485" i="5"/>
  <c r="I485" i="5"/>
  <c r="J485" i="5"/>
  <c r="K485" i="5"/>
  <c r="L485" i="5"/>
  <c r="M485" i="5"/>
  <c r="N485" i="5"/>
  <c r="AC485" i="5" s="1"/>
  <c r="O485" i="5"/>
  <c r="P485" i="5"/>
  <c r="Q485" i="5"/>
  <c r="R485" i="5"/>
  <c r="S485" i="5"/>
  <c r="T485" i="5"/>
  <c r="U485" i="5"/>
  <c r="V485" i="5"/>
  <c r="W485" i="5"/>
  <c r="X485" i="5"/>
  <c r="B486" i="5"/>
  <c r="C486" i="5"/>
  <c r="D486" i="5"/>
  <c r="E486" i="5"/>
  <c r="F486" i="5"/>
  <c r="G486" i="5"/>
  <c r="H486" i="5"/>
  <c r="I486" i="5"/>
  <c r="J486" i="5"/>
  <c r="K486" i="5"/>
  <c r="L486" i="5"/>
  <c r="M486" i="5"/>
  <c r="N486" i="5"/>
  <c r="O486" i="5"/>
  <c r="P486" i="5"/>
  <c r="Q486" i="5"/>
  <c r="R486" i="5"/>
  <c r="S486" i="5"/>
  <c r="T486" i="5"/>
  <c r="U486" i="5"/>
  <c r="V486" i="5"/>
  <c r="W486" i="5"/>
  <c r="X486" i="5"/>
  <c r="B487" i="5"/>
  <c r="C487" i="5"/>
  <c r="D487" i="5"/>
  <c r="E487" i="5"/>
  <c r="F487" i="5"/>
  <c r="G487" i="5"/>
  <c r="H487" i="5"/>
  <c r="I487" i="5"/>
  <c r="J487" i="5"/>
  <c r="K487" i="5"/>
  <c r="L487" i="5"/>
  <c r="M487" i="5"/>
  <c r="N487" i="5"/>
  <c r="O487" i="5"/>
  <c r="P487" i="5"/>
  <c r="Q487" i="5"/>
  <c r="R487" i="5"/>
  <c r="S487" i="5"/>
  <c r="T487" i="5"/>
  <c r="U487" i="5"/>
  <c r="V487" i="5"/>
  <c r="W487" i="5"/>
  <c r="X487" i="5"/>
  <c r="B488" i="5"/>
  <c r="C488" i="5"/>
  <c r="D488" i="5"/>
  <c r="E488" i="5"/>
  <c r="F488" i="5"/>
  <c r="G488" i="5"/>
  <c r="H488" i="5"/>
  <c r="I488" i="5"/>
  <c r="J488" i="5"/>
  <c r="K488" i="5"/>
  <c r="L488" i="5"/>
  <c r="M488" i="5"/>
  <c r="AC488" i="5" s="1"/>
  <c r="N488" i="5"/>
  <c r="O488" i="5"/>
  <c r="P488" i="5"/>
  <c r="Q488" i="5"/>
  <c r="R488" i="5"/>
  <c r="S488" i="5"/>
  <c r="T488" i="5"/>
  <c r="U488" i="5"/>
  <c r="V488" i="5"/>
  <c r="W488" i="5"/>
  <c r="X488" i="5"/>
  <c r="B489" i="5"/>
  <c r="C489" i="5"/>
  <c r="D489" i="5"/>
  <c r="E489" i="5"/>
  <c r="F489" i="5"/>
  <c r="G489" i="5"/>
  <c r="H489" i="5"/>
  <c r="I489" i="5"/>
  <c r="J489" i="5"/>
  <c r="K489" i="5"/>
  <c r="L489" i="5"/>
  <c r="M489" i="5"/>
  <c r="N489" i="5"/>
  <c r="O489" i="5"/>
  <c r="P489" i="5"/>
  <c r="Q489" i="5"/>
  <c r="R489" i="5"/>
  <c r="S489" i="5"/>
  <c r="T489" i="5"/>
  <c r="U489" i="5"/>
  <c r="V489" i="5"/>
  <c r="W489" i="5"/>
  <c r="X489" i="5"/>
  <c r="B490" i="5"/>
  <c r="C490" i="5"/>
  <c r="D490" i="5"/>
  <c r="E490" i="5"/>
  <c r="F490" i="5"/>
  <c r="G490" i="5"/>
  <c r="H490" i="5"/>
  <c r="I490" i="5"/>
  <c r="J490" i="5"/>
  <c r="K490" i="5"/>
  <c r="L490" i="5"/>
  <c r="M490" i="5"/>
  <c r="N490" i="5"/>
  <c r="O490" i="5"/>
  <c r="P490" i="5"/>
  <c r="Q490" i="5"/>
  <c r="R490" i="5"/>
  <c r="S490" i="5"/>
  <c r="T490" i="5"/>
  <c r="U490" i="5"/>
  <c r="V490" i="5"/>
  <c r="W490" i="5"/>
  <c r="X490" i="5"/>
  <c r="B491" i="5"/>
  <c r="C491" i="5"/>
  <c r="D491" i="5"/>
  <c r="E491" i="5"/>
  <c r="F491" i="5"/>
  <c r="G491" i="5"/>
  <c r="H491" i="5"/>
  <c r="I491" i="5"/>
  <c r="J491" i="5"/>
  <c r="K491" i="5"/>
  <c r="L491" i="5"/>
  <c r="M491" i="5"/>
  <c r="N491" i="5"/>
  <c r="O491" i="5"/>
  <c r="P491" i="5"/>
  <c r="AC491" i="5" s="1"/>
  <c r="Q491" i="5"/>
  <c r="R491" i="5"/>
  <c r="S491" i="5"/>
  <c r="T491" i="5"/>
  <c r="T1097" i="5" s="1"/>
  <c r="U491" i="5"/>
  <c r="V491" i="5"/>
  <c r="W491" i="5"/>
  <c r="X491" i="5"/>
  <c r="B492" i="5"/>
  <c r="C492" i="5"/>
  <c r="D492" i="5"/>
  <c r="E492" i="5"/>
  <c r="F492" i="5"/>
  <c r="G492" i="5"/>
  <c r="H492" i="5"/>
  <c r="I492" i="5"/>
  <c r="J492" i="5"/>
  <c r="K492" i="5"/>
  <c r="L492" i="5"/>
  <c r="M492" i="5"/>
  <c r="N492" i="5"/>
  <c r="O492" i="5"/>
  <c r="P492" i="5"/>
  <c r="Q492" i="5"/>
  <c r="R492" i="5"/>
  <c r="S492" i="5"/>
  <c r="T492" i="5"/>
  <c r="U492" i="5"/>
  <c r="V492" i="5"/>
  <c r="W492" i="5"/>
  <c r="X492" i="5"/>
  <c r="B493" i="5"/>
  <c r="C493" i="5"/>
  <c r="D493" i="5"/>
  <c r="E493" i="5"/>
  <c r="F493" i="5"/>
  <c r="G493" i="5"/>
  <c r="H493" i="5"/>
  <c r="I493" i="5"/>
  <c r="J493" i="5"/>
  <c r="K493" i="5"/>
  <c r="L493" i="5"/>
  <c r="M493" i="5"/>
  <c r="N493" i="5"/>
  <c r="O493" i="5"/>
  <c r="P493" i="5"/>
  <c r="Q493" i="5"/>
  <c r="R493" i="5"/>
  <c r="S493" i="5"/>
  <c r="T493" i="5"/>
  <c r="U493" i="5"/>
  <c r="V493" i="5"/>
  <c r="W493" i="5"/>
  <c r="X493" i="5"/>
  <c r="B494" i="5"/>
  <c r="C494" i="5"/>
  <c r="D494" i="5"/>
  <c r="E494" i="5"/>
  <c r="F494" i="5"/>
  <c r="G494" i="5"/>
  <c r="H494" i="5"/>
  <c r="I494" i="5"/>
  <c r="J494" i="5"/>
  <c r="K494" i="5"/>
  <c r="L494" i="5"/>
  <c r="M494" i="5"/>
  <c r="N494" i="5"/>
  <c r="O494" i="5"/>
  <c r="P494" i="5"/>
  <c r="Q494" i="5"/>
  <c r="R494" i="5"/>
  <c r="S494" i="5"/>
  <c r="T494" i="5"/>
  <c r="U494" i="5"/>
  <c r="V494" i="5"/>
  <c r="W494" i="5"/>
  <c r="X494" i="5"/>
  <c r="B495" i="5"/>
  <c r="C495" i="5"/>
  <c r="D495" i="5"/>
  <c r="E495" i="5"/>
  <c r="F495" i="5"/>
  <c r="G495" i="5"/>
  <c r="H495" i="5"/>
  <c r="I495" i="5"/>
  <c r="J495" i="5"/>
  <c r="K495" i="5"/>
  <c r="L495" i="5"/>
  <c r="M495" i="5"/>
  <c r="N495" i="5"/>
  <c r="O495" i="5"/>
  <c r="P495" i="5"/>
  <c r="Q495" i="5"/>
  <c r="R495" i="5"/>
  <c r="S495" i="5"/>
  <c r="T495" i="5"/>
  <c r="U495" i="5"/>
  <c r="V495" i="5"/>
  <c r="W495" i="5"/>
  <c r="X495" i="5"/>
  <c r="B496" i="5"/>
  <c r="C496" i="5"/>
  <c r="D496" i="5"/>
  <c r="E496" i="5"/>
  <c r="F496" i="5"/>
  <c r="G496" i="5"/>
  <c r="H496" i="5"/>
  <c r="I496" i="5"/>
  <c r="J496" i="5"/>
  <c r="K496" i="5"/>
  <c r="L496" i="5"/>
  <c r="M496" i="5"/>
  <c r="N496" i="5"/>
  <c r="O496" i="5"/>
  <c r="P496" i="5"/>
  <c r="Q496" i="5"/>
  <c r="R496" i="5"/>
  <c r="S496" i="5"/>
  <c r="T496" i="5"/>
  <c r="U496" i="5"/>
  <c r="V496" i="5"/>
  <c r="W496" i="5"/>
  <c r="X496" i="5"/>
  <c r="B497" i="5"/>
  <c r="C497" i="5"/>
  <c r="D497" i="5"/>
  <c r="E497" i="5"/>
  <c r="F497" i="5"/>
  <c r="G497" i="5"/>
  <c r="H497" i="5"/>
  <c r="I497" i="5"/>
  <c r="J497" i="5"/>
  <c r="K497" i="5"/>
  <c r="L497" i="5"/>
  <c r="M497" i="5"/>
  <c r="N497" i="5"/>
  <c r="O497" i="5"/>
  <c r="P497" i="5"/>
  <c r="Q497" i="5"/>
  <c r="R497" i="5"/>
  <c r="S497" i="5"/>
  <c r="T497" i="5"/>
  <c r="U497" i="5"/>
  <c r="V497" i="5"/>
  <c r="W497" i="5"/>
  <c r="X497" i="5"/>
  <c r="B498" i="5"/>
  <c r="C498" i="5"/>
  <c r="D498" i="5"/>
  <c r="E498" i="5"/>
  <c r="F498" i="5"/>
  <c r="G498" i="5"/>
  <c r="H498" i="5"/>
  <c r="I498" i="5"/>
  <c r="J498" i="5"/>
  <c r="K498" i="5"/>
  <c r="L498" i="5"/>
  <c r="M498" i="5"/>
  <c r="N498" i="5"/>
  <c r="O498" i="5"/>
  <c r="P498" i="5"/>
  <c r="Q498" i="5"/>
  <c r="R498" i="5"/>
  <c r="S498" i="5"/>
  <c r="T498" i="5"/>
  <c r="U498" i="5"/>
  <c r="V498" i="5"/>
  <c r="W498" i="5"/>
  <c r="X498" i="5"/>
  <c r="B499" i="5"/>
  <c r="C499" i="5"/>
  <c r="D499" i="5"/>
  <c r="E499" i="5"/>
  <c r="F499" i="5"/>
  <c r="G499" i="5"/>
  <c r="H499" i="5"/>
  <c r="I499" i="5"/>
  <c r="J499" i="5"/>
  <c r="K499" i="5"/>
  <c r="L499" i="5"/>
  <c r="M499" i="5"/>
  <c r="N499" i="5"/>
  <c r="O499" i="5"/>
  <c r="P499" i="5"/>
  <c r="AC499" i="5" s="1"/>
  <c r="Q499" i="5"/>
  <c r="R499" i="5"/>
  <c r="S499" i="5"/>
  <c r="T499" i="5"/>
  <c r="U499" i="5"/>
  <c r="V499" i="5"/>
  <c r="W499" i="5"/>
  <c r="X499" i="5"/>
  <c r="B500" i="5"/>
  <c r="C500" i="5"/>
  <c r="D500" i="5"/>
  <c r="AB500" i="5" s="1"/>
  <c r="E500" i="5"/>
  <c r="F500" i="5"/>
  <c r="G500" i="5"/>
  <c r="H500" i="5"/>
  <c r="I500" i="5"/>
  <c r="J500" i="5"/>
  <c r="K500" i="5"/>
  <c r="L500" i="5"/>
  <c r="M500" i="5"/>
  <c r="AC500" i="5" s="1"/>
  <c r="N500" i="5"/>
  <c r="O500" i="5"/>
  <c r="P500" i="5"/>
  <c r="Q500" i="5"/>
  <c r="R500" i="5"/>
  <c r="S500" i="5"/>
  <c r="T500" i="5"/>
  <c r="U500" i="5"/>
  <c r="V500" i="5"/>
  <c r="W500" i="5"/>
  <c r="X500" i="5"/>
  <c r="B501" i="5"/>
  <c r="C501" i="5"/>
  <c r="D501" i="5"/>
  <c r="E501" i="5"/>
  <c r="F501" i="5"/>
  <c r="G501" i="5"/>
  <c r="H501" i="5"/>
  <c r="I501" i="5"/>
  <c r="J501" i="5"/>
  <c r="K501" i="5"/>
  <c r="L501" i="5"/>
  <c r="M501" i="5"/>
  <c r="N501" i="5"/>
  <c r="O501" i="5"/>
  <c r="P501" i="5"/>
  <c r="Q501" i="5"/>
  <c r="R501" i="5"/>
  <c r="S501" i="5"/>
  <c r="T501" i="5"/>
  <c r="U501" i="5"/>
  <c r="V501" i="5"/>
  <c r="W501" i="5"/>
  <c r="X501" i="5"/>
  <c r="B502" i="5"/>
  <c r="C502" i="5"/>
  <c r="D502" i="5"/>
  <c r="E502" i="5"/>
  <c r="F502" i="5"/>
  <c r="G502" i="5"/>
  <c r="H502" i="5"/>
  <c r="I502" i="5"/>
  <c r="J502" i="5"/>
  <c r="K502" i="5"/>
  <c r="L502" i="5"/>
  <c r="M502" i="5"/>
  <c r="N502" i="5"/>
  <c r="O502" i="5"/>
  <c r="P502" i="5"/>
  <c r="Q502" i="5"/>
  <c r="R502" i="5"/>
  <c r="S502" i="5"/>
  <c r="T502" i="5"/>
  <c r="U502" i="5"/>
  <c r="V502" i="5"/>
  <c r="W502" i="5"/>
  <c r="X502" i="5"/>
  <c r="B503" i="5"/>
  <c r="C503" i="5"/>
  <c r="D503" i="5"/>
  <c r="E503" i="5"/>
  <c r="F503" i="5"/>
  <c r="G503" i="5"/>
  <c r="H503" i="5"/>
  <c r="I503" i="5"/>
  <c r="J503" i="5"/>
  <c r="K503" i="5"/>
  <c r="L503" i="5"/>
  <c r="M503" i="5"/>
  <c r="N503" i="5"/>
  <c r="O503" i="5"/>
  <c r="P503" i="5"/>
  <c r="Q503" i="5"/>
  <c r="R503" i="5"/>
  <c r="S503" i="5"/>
  <c r="T503" i="5"/>
  <c r="U503" i="5"/>
  <c r="V503" i="5"/>
  <c r="W503" i="5"/>
  <c r="X503" i="5"/>
  <c r="B504" i="5"/>
  <c r="C504" i="5"/>
  <c r="D504" i="5"/>
  <c r="E504" i="5"/>
  <c r="F504" i="5"/>
  <c r="G504" i="5"/>
  <c r="H504" i="5"/>
  <c r="I504" i="5"/>
  <c r="J504" i="5"/>
  <c r="K504" i="5"/>
  <c r="L504" i="5"/>
  <c r="M504" i="5"/>
  <c r="N504" i="5"/>
  <c r="O504" i="5"/>
  <c r="P504" i="5"/>
  <c r="Q504" i="5"/>
  <c r="R504" i="5"/>
  <c r="S504" i="5"/>
  <c r="T504" i="5"/>
  <c r="U504" i="5"/>
  <c r="V504" i="5"/>
  <c r="W504" i="5"/>
  <c r="X504" i="5"/>
  <c r="B505" i="5"/>
  <c r="C505" i="5"/>
  <c r="D505" i="5"/>
  <c r="E505" i="5"/>
  <c r="F505" i="5"/>
  <c r="G505" i="5"/>
  <c r="H505" i="5"/>
  <c r="I505" i="5"/>
  <c r="J505" i="5"/>
  <c r="K505" i="5"/>
  <c r="L505" i="5"/>
  <c r="M505" i="5"/>
  <c r="N505" i="5"/>
  <c r="O505" i="5"/>
  <c r="P505" i="5"/>
  <c r="Q505" i="5"/>
  <c r="R505" i="5"/>
  <c r="S505" i="5"/>
  <c r="T505" i="5"/>
  <c r="U505" i="5"/>
  <c r="V505" i="5"/>
  <c r="W505" i="5"/>
  <c r="X505" i="5"/>
  <c r="B506" i="5"/>
  <c r="C506" i="5"/>
  <c r="D506" i="5"/>
  <c r="E506" i="5"/>
  <c r="F506" i="5"/>
  <c r="G506" i="5"/>
  <c r="H506" i="5"/>
  <c r="I506" i="5"/>
  <c r="J506" i="5"/>
  <c r="K506" i="5"/>
  <c r="L506" i="5"/>
  <c r="M506" i="5"/>
  <c r="N506" i="5"/>
  <c r="O506" i="5"/>
  <c r="P506" i="5"/>
  <c r="Q506" i="5"/>
  <c r="R506" i="5"/>
  <c r="S506" i="5"/>
  <c r="T506" i="5"/>
  <c r="U506" i="5"/>
  <c r="V506" i="5"/>
  <c r="W506" i="5"/>
  <c r="X506" i="5"/>
  <c r="B507" i="5"/>
  <c r="C507" i="5"/>
  <c r="D507" i="5"/>
  <c r="E507" i="5"/>
  <c r="F507" i="5"/>
  <c r="G507" i="5"/>
  <c r="H507" i="5"/>
  <c r="I507" i="5"/>
  <c r="J507" i="5"/>
  <c r="K507" i="5"/>
  <c r="L507" i="5"/>
  <c r="M507" i="5"/>
  <c r="AC507" i="5" s="1"/>
  <c r="N507" i="5"/>
  <c r="O507" i="5"/>
  <c r="P507" i="5"/>
  <c r="Q507" i="5"/>
  <c r="R507" i="5"/>
  <c r="S507" i="5"/>
  <c r="T507" i="5"/>
  <c r="U507" i="5"/>
  <c r="V507" i="5"/>
  <c r="W507" i="5"/>
  <c r="X507" i="5"/>
  <c r="B508" i="5"/>
  <c r="C508" i="5"/>
  <c r="D508" i="5"/>
  <c r="E508" i="5"/>
  <c r="F508" i="5"/>
  <c r="G508" i="5"/>
  <c r="H508" i="5"/>
  <c r="I508" i="5"/>
  <c r="J508" i="5"/>
  <c r="K508" i="5"/>
  <c r="L508" i="5"/>
  <c r="M508" i="5"/>
  <c r="N508" i="5"/>
  <c r="O508" i="5"/>
  <c r="P508" i="5"/>
  <c r="Q508" i="5"/>
  <c r="R508" i="5"/>
  <c r="S508" i="5"/>
  <c r="T508" i="5"/>
  <c r="U508" i="5"/>
  <c r="V508" i="5"/>
  <c r="W508" i="5"/>
  <c r="X508" i="5"/>
  <c r="B509" i="5"/>
  <c r="C509" i="5"/>
  <c r="D509" i="5"/>
  <c r="E509" i="5"/>
  <c r="F509" i="5"/>
  <c r="G509" i="5"/>
  <c r="H509" i="5"/>
  <c r="I509" i="5"/>
  <c r="J509" i="5"/>
  <c r="K509" i="5"/>
  <c r="L509" i="5"/>
  <c r="M509" i="5"/>
  <c r="N509" i="5"/>
  <c r="O509" i="5"/>
  <c r="P509" i="5"/>
  <c r="Q509" i="5"/>
  <c r="R509" i="5"/>
  <c r="S509" i="5"/>
  <c r="T509" i="5"/>
  <c r="U509" i="5"/>
  <c r="V509" i="5"/>
  <c r="W509" i="5"/>
  <c r="X509" i="5"/>
  <c r="B510" i="5"/>
  <c r="C510" i="5"/>
  <c r="D510" i="5"/>
  <c r="E510" i="5"/>
  <c r="F510" i="5"/>
  <c r="G510" i="5"/>
  <c r="H510" i="5"/>
  <c r="I510" i="5"/>
  <c r="J510" i="5"/>
  <c r="K510" i="5"/>
  <c r="L510" i="5"/>
  <c r="M510" i="5"/>
  <c r="N510" i="5"/>
  <c r="O510" i="5"/>
  <c r="P510" i="5"/>
  <c r="AC510" i="5" s="1"/>
  <c r="Q510" i="5"/>
  <c r="R510" i="5"/>
  <c r="S510" i="5"/>
  <c r="T510" i="5"/>
  <c r="U510" i="5"/>
  <c r="V510" i="5"/>
  <c r="W510" i="5"/>
  <c r="X510" i="5"/>
  <c r="B511" i="5"/>
  <c r="C511" i="5"/>
  <c r="D511" i="5"/>
  <c r="AB511" i="5" s="1"/>
  <c r="E511" i="5"/>
  <c r="F511" i="5"/>
  <c r="G511" i="5"/>
  <c r="H511" i="5"/>
  <c r="I511" i="5"/>
  <c r="J511" i="5"/>
  <c r="K511" i="5"/>
  <c r="L511" i="5"/>
  <c r="M511" i="5"/>
  <c r="N511" i="5"/>
  <c r="O511" i="5"/>
  <c r="P511" i="5"/>
  <c r="Q511" i="5"/>
  <c r="R511" i="5"/>
  <c r="S511" i="5"/>
  <c r="T511" i="5"/>
  <c r="U511" i="5"/>
  <c r="V511" i="5"/>
  <c r="W511" i="5"/>
  <c r="X511" i="5"/>
  <c r="B512" i="5"/>
  <c r="C512" i="5"/>
  <c r="D512" i="5"/>
  <c r="E512" i="5"/>
  <c r="F512" i="5"/>
  <c r="G512" i="5"/>
  <c r="H512" i="5"/>
  <c r="I512" i="5"/>
  <c r="J512" i="5"/>
  <c r="K512" i="5"/>
  <c r="L512" i="5"/>
  <c r="M512" i="5"/>
  <c r="N512" i="5"/>
  <c r="O512" i="5"/>
  <c r="P512" i="5"/>
  <c r="Q512" i="5"/>
  <c r="R512" i="5"/>
  <c r="S512" i="5"/>
  <c r="T512" i="5"/>
  <c r="U512" i="5"/>
  <c r="V512" i="5"/>
  <c r="W512" i="5"/>
  <c r="X512" i="5"/>
  <c r="B513" i="5"/>
  <c r="C513" i="5"/>
  <c r="D513" i="5"/>
  <c r="E513" i="5"/>
  <c r="F513" i="5"/>
  <c r="G513" i="5"/>
  <c r="H513" i="5"/>
  <c r="I513" i="5"/>
  <c r="J513" i="5"/>
  <c r="K513" i="5"/>
  <c r="L513" i="5"/>
  <c r="M513" i="5"/>
  <c r="N513" i="5"/>
  <c r="O513" i="5"/>
  <c r="P513" i="5"/>
  <c r="Q513" i="5"/>
  <c r="R513" i="5"/>
  <c r="S513" i="5"/>
  <c r="T513" i="5"/>
  <c r="U513" i="5"/>
  <c r="V513" i="5"/>
  <c r="W513" i="5"/>
  <c r="X513" i="5"/>
  <c r="B514" i="5"/>
  <c r="C514" i="5"/>
  <c r="D514" i="5"/>
  <c r="E514" i="5"/>
  <c r="F514" i="5"/>
  <c r="G514" i="5"/>
  <c r="H514" i="5"/>
  <c r="I514" i="5"/>
  <c r="J514" i="5"/>
  <c r="K514" i="5"/>
  <c r="L514" i="5"/>
  <c r="M514" i="5"/>
  <c r="N514" i="5"/>
  <c r="O514" i="5"/>
  <c r="P514" i="5"/>
  <c r="Q514" i="5"/>
  <c r="R514" i="5"/>
  <c r="S514" i="5"/>
  <c r="T514" i="5"/>
  <c r="U514" i="5"/>
  <c r="V514" i="5"/>
  <c r="W514" i="5"/>
  <c r="X514" i="5"/>
  <c r="B515" i="5"/>
  <c r="C515" i="5"/>
  <c r="D515" i="5"/>
  <c r="E515" i="5"/>
  <c r="F515" i="5"/>
  <c r="G515" i="5"/>
  <c r="H515" i="5"/>
  <c r="I515" i="5"/>
  <c r="J515" i="5"/>
  <c r="K515" i="5"/>
  <c r="L515" i="5"/>
  <c r="M515" i="5"/>
  <c r="N515" i="5"/>
  <c r="O515" i="5"/>
  <c r="P515" i="5"/>
  <c r="Q515" i="5"/>
  <c r="R515" i="5"/>
  <c r="S515" i="5"/>
  <c r="T515" i="5"/>
  <c r="U515" i="5"/>
  <c r="V515" i="5"/>
  <c r="W515" i="5"/>
  <c r="X515" i="5"/>
  <c r="B516" i="5"/>
  <c r="C516" i="5"/>
  <c r="D516" i="5"/>
  <c r="E516" i="5"/>
  <c r="F516" i="5"/>
  <c r="G516" i="5"/>
  <c r="H516" i="5"/>
  <c r="I516" i="5"/>
  <c r="J516" i="5"/>
  <c r="K516" i="5"/>
  <c r="L516" i="5"/>
  <c r="M516" i="5"/>
  <c r="N516" i="5"/>
  <c r="O516" i="5"/>
  <c r="P516" i="5"/>
  <c r="Q516" i="5"/>
  <c r="R516" i="5"/>
  <c r="S516" i="5"/>
  <c r="T516" i="5"/>
  <c r="U516" i="5"/>
  <c r="V516" i="5"/>
  <c r="W516" i="5"/>
  <c r="X516" i="5"/>
  <c r="B517" i="5"/>
  <c r="C517" i="5"/>
  <c r="D517" i="5"/>
  <c r="E517" i="5"/>
  <c r="F517" i="5"/>
  <c r="G517" i="5"/>
  <c r="H517" i="5"/>
  <c r="I517" i="5"/>
  <c r="J517" i="5"/>
  <c r="K517" i="5"/>
  <c r="L517" i="5"/>
  <c r="M517" i="5"/>
  <c r="N517" i="5"/>
  <c r="O517" i="5"/>
  <c r="P517" i="5"/>
  <c r="Q517" i="5"/>
  <c r="R517" i="5"/>
  <c r="S517" i="5"/>
  <c r="T517" i="5"/>
  <c r="U517" i="5"/>
  <c r="V517" i="5"/>
  <c r="W517" i="5"/>
  <c r="X517" i="5"/>
  <c r="AC517" i="5"/>
  <c r="B518" i="5"/>
  <c r="C518" i="5"/>
  <c r="D518" i="5"/>
  <c r="E518" i="5"/>
  <c r="F518" i="5"/>
  <c r="G518" i="5"/>
  <c r="H518" i="5"/>
  <c r="I518" i="5"/>
  <c r="J518" i="5"/>
  <c r="K518" i="5"/>
  <c r="L518" i="5"/>
  <c r="M518" i="5"/>
  <c r="N518" i="5"/>
  <c r="O518" i="5"/>
  <c r="P518" i="5"/>
  <c r="Q518" i="5"/>
  <c r="R518" i="5"/>
  <c r="S518" i="5"/>
  <c r="T518" i="5"/>
  <c r="U518" i="5"/>
  <c r="V518" i="5"/>
  <c r="W518" i="5"/>
  <c r="X518" i="5"/>
  <c r="AC518" i="5"/>
  <c r="B519" i="5"/>
  <c r="C519" i="5"/>
  <c r="D519" i="5"/>
  <c r="E519" i="5"/>
  <c r="F519" i="5"/>
  <c r="G519" i="5"/>
  <c r="H519" i="5"/>
  <c r="I519" i="5"/>
  <c r="J519" i="5"/>
  <c r="K519" i="5"/>
  <c r="L519" i="5"/>
  <c r="M519" i="5"/>
  <c r="N519" i="5"/>
  <c r="O519" i="5"/>
  <c r="P519" i="5"/>
  <c r="Q519" i="5"/>
  <c r="R519" i="5"/>
  <c r="S519" i="5"/>
  <c r="T519" i="5"/>
  <c r="U519" i="5"/>
  <c r="V519" i="5"/>
  <c r="W519" i="5"/>
  <c r="X519" i="5"/>
  <c r="AB519" i="5"/>
  <c r="B520" i="5"/>
  <c r="C520" i="5"/>
  <c r="D520" i="5"/>
  <c r="E520" i="5"/>
  <c r="F520" i="5"/>
  <c r="G520" i="5"/>
  <c r="H520" i="5"/>
  <c r="I520" i="5"/>
  <c r="J520" i="5"/>
  <c r="K520" i="5"/>
  <c r="L520" i="5"/>
  <c r="M520" i="5"/>
  <c r="N520" i="5"/>
  <c r="O520" i="5"/>
  <c r="P520" i="5"/>
  <c r="Q520" i="5"/>
  <c r="R520" i="5"/>
  <c r="S520" i="5"/>
  <c r="T520" i="5"/>
  <c r="U520" i="5"/>
  <c r="V520" i="5"/>
  <c r="W520" i="5"/>
  <c r="X520" i="5"/>
  <c r="AC520" i="5"/>
  <c r="B521" i="5"/>
  <c r="C521" i="5"/>
  <c r="D521" i="5"/>
  <c r="E521" i="5"/>
  <c r="F521" i="5"/>
  <c r="G521" i="5"/>
  <c r="H521" i="5"/>
  <c r="I521" i="5"/>
  <c r="J521" i="5"/>
  <c r="K521" i="5"/>
  <c r="L521" i="5"/>
  <c r="M521" i="5"/>
  <c r="N521" i="5"/>
  <c r="O521" i="5"/>
  <c r="P521" i="5"/>
  <c r="Q521" i="5"/>
  <c r="R521" i="5"/>
  <c r="S521" i="5"/>
  <c r="T521" i="5"/>
  <c r="U521" i="5"/>
  <c r="V521" i="5"/>
  <c r="W521" i="5"/>
  <c r="X521" i="5"/>
  <c r="AB521" i="5"/>
  <c r="B522" i="5"/>
  <c r="C522" i="5"/>
  <c r="D522" i="5"/>
  <c r="E522" i="5"/>
  <c r="F522" i="5"/>
  <c r="G522" i="5"/>
  <c r="H522" i="5"/>
  <c r="I522" i="5"/>
  <c r="J522" i="5"/>
  <c r="K522" i="5"/>
  <c r="L522" i="5"/>
  <c r="M522" i="5"/>
  <c r="AC522" i="5" s="1"/>
  <c r="N522" i="5"/>
  <c r="O522" i="5"/>
  <c r="P522" i="5"/>
  <c r="Q522" i="5"/>
  <c r="R522" i="5"/>
  <c r="S522" i="5"/>
  <c r="T522" i="5"/>
  <c r="U522" i="5"/>
  <c r="V522" i="5"/>
  <c r="W522" i="5"/>
  <c r="X522" i="5"/>
  <c r="B523" i="5"/>
  <c r="C523" i="5"/>
  <c r="D523" i="5"/>
  <c r="E523" i="5"/>
  <c r="F523" i="5"/>
  <c r="G523" i="5"/>
  <c r="H523" i="5"/>
  <c r="I523" i="5"/>
  <c r="J523" i="5"/>
  <c r="K523" i="5"/>
  <c r="L523" i="5"/>
  <c r="M523" i="5"/>
  <c r="N523" i="5"/>
  <c r="O523" i="5"/>
  <c r="P523" i="5"/>
  <c r="Q523" i="5"/>
  <c r="R523" i="5"/>
  <c r="S523" i="5"/>
  <c r="T523" i="5"/>
  <c r="U523" i="5"/>
  <c r="V523" i="5"/>
  <c r="W523" i="5"/>
  <c r="X523" i="5"/>
  <c r="B524" i="5"/>
  <c r="C524" i="5"/>
  <c r="D524" i="5"/>
  <c r="E524" i="5"/>
  <c r="F524" i="5"/>
  <c r="G524" i="5"/>
  <c r="H524" i="5"/>
  <c r="I524" i="5"/>
  <c r="J524" i="5"/>
  <c r="K524" i="5"/>
  <c r="L524" i="5"/>
  <c r="M524" i="5"/>
  <c r="N524" i="5"/>
  <c r="O524" i="5"/>
  <c r="P524" i="5"/>
  <c r="Q524" i="5"/>
  <c r="R524" i="5"/>
  <c r="S524" i="5"/>
  <c r="T524" i="5"/>
  <c r="U524" i="5"/>
  <c r="V524" i="5"/>
  <c r="W524" i="5"/>
  <c r="X524" i="5"/>
  <c r="B525" i="5"/>
  <c r="C525" i="5"/>
  <c r="D525" i="5"/>
  <c r="E525" i="5"/>
  <c r="F525" i="5"/>
  <c r="G525" i="5"/>
  <c r="H525" i="5"/>
  <c r="I525" i="5"/>
  <c r="J525" i="5"/>
  <c r="K525" i="5"/>
  <c r="L525" i="5"/>
  <c r="M525" i="5"/>
  <c r="N525" i="5"/>
  <c r="O525" i="5"/>
  <c r="P525" i="5"/>
  <c r="AC525" i="5" s="1"/>
  <c r="Q525" i="5"/>
  <c r="R525" i="5"/>
  <c r="S525" i="5"/>
  <c r="T525" i="5"/>
  <c r="U525" i="5"/>
  <c r="V525" i="5"/>
  <c r="W525" i="5"/>
  <c r="X525" i="5"/>
  <c r="B526" i="5"/>
  <c r="C526" i="5"/>
  <c r="D526" i="5"/>
  <c r="AB526" i="5" s="1"/>
  <c r="E526" i="5"/>
  <c r="F526" i="5"/>
  <c r="G526" i="5"/>
  <c r="H526" i="5"/>
  <c r="I526" i="5"/>
  <c r="J526" i="5"/>
  <c r="K526" i="5"/>
  <c r="L526" i="5"/>
  <c r="M526" i="5"/>
  <c r="N526" i="5"/>
  <c r="O526" i="5"/>
  <c r="P526" i="5"/>
  <c r="AC526" i="5" s="1"/>
  <c r="Q526" i="5"/>
  <c r="R526" i="5"/>
  <c r="S526" i="5"/>
  <c r="T526" i="5"/>
  <c r="U526" i="5"/>
  <c r="V526" i="5"/>
  <c r="W526" i="5"/>
  <c r="X526" i="5"/>
  <c r="B527" i="5"/>
  <c r="C527" i="5"/>
  <c r="D527" i="5"/>
  <c r="E527" i="5"/>
  <c r="F527" i="5"/>
  <c r="G527" i="5"/>
  <c r="H527" i="5"/>
  <c r="I527" i="5"/>
  <c r="J527" i="5"/>
  <c r="K527" i="5"/>
  <c r="L527" i="5"/>
  <c r="M527" i="5"/>
  <c r="N527" i="5"/>
  <c r="O527" i="5"/>
  <c r="AC527" i="5" s="1"/>
  <c r="P527" i="5"/>
  <c r="Q527" i="5"/>
  <c r="R527" i="5"/>
  <c r="S527" i="5"/>
  <c r="T527" i="5"/>
  <c r="U527" i="5"/>
  <c r="V527" i="5"/>
  <c r="W527" i="5"/>
  <c r="X527" i="5"/>
  <c r="B528" i="5"/>
  <c r="C528" i="5"/>
  <c r="D528" i="5"/>
  <c r="E528" i="5"/>
  <c r="F528" i="5"/>
  <c r="G528" i="5"/>
  <c r="H528" i="5"/>
  <c r="I528" i="5"/>
  <c r="J528" i="5"/>
  <c r="K528" i="5"/>
  <c r="L528" i="5"/>
  <c r="M528" i="5"/>
  <c r="N528" i="5"/>
  <c r="O528" i="5"/>
  <c r="P528" i="5"/>
  <c r="Q528" i="5"/>
  <c r="R528" i="5"/>
  <c r="S528" i="5"/>
  <c r="T528" i="5"/>
  <c r="U528" i="5"/>
  <c r="V528" i="5"/>
  <c r="W528" i="5"/>
  <c r="X528" i="5"/>
  <c r="B529" i="5"/>
  <c r="C529" i="5"/>
  <c r="D529" i="5"/>
  <c r="E529" i="5"/>
  <c r="F529" i="5"/>
  <c r="G529" i="5"/>
  <c r="H529" i="5"/>
  <c r="I529" i="5"/>
  <c r="J529" i="5"/>
  <c r="K529" i="5"/>
  <c r="L529" i="5"/>
  <c r="M529" i="5"/>
  <c r="N529" i="5"/>
  <c r="O529" i="5"/>
  <c r="P529" i="5"/>
  <c r="Q529" i="5"/>
  <c r="R529" i="5"/>
  <c r="S529" i="5"/>
  <c r="T529" i="5"/>
  <c r="U529" i="5"/>
  <c r="V529" i="5"/>
  <c r="W529" i="5"/>
  <c r="X529" i="5"/>
  <c r="B530" i="5"/>
  <c r="C530" i="5"/>
  <c r="D530" i="5"/>
  <c r="E530" i="5"/>
  <c r="F530" i="5"/>
  <c r="G530" i="5"/>
  <c r="H530" i="5"/>
  <c r="I530" i="5"/>
  <c r="J530" i="5"/>
  <c r="K530" i="5"/>
  <c r="L530" i="5"/>
  <c r="M530" i="5"/>
  <c r="N530" i="5"/>
  <c r="O530" i="5"/>
  <c r="P530" i="5"/>
  <c r="Q530" i="5"/>
  <c r="R530" i="5"/>
  <c r="S530" i="5"/>
  <c r="T530" i="5"/>
  <c r="U530" i="5"/>
  <c r="V530" i="5"/>
  <c r="W530" i="5"/>
  <c r="X530" i="5"/>
  <c r="B531" i="5"/>
  <c r="C531" i="5"/>
  <c r="D531" i="5"/>
  <c r="E531" i="5"/>
  <c r="F531" i="5"/>
  <c r="G531" i="5"/>
  <c r="H531" i="5"/>
  <c r="I531" i="5"/>
  <c r="J531" i="5"/>
  <c r="K531" i="5"/>
  <c r="L531" i="5"/>
  <c r="M531" i="5"/>
  <c r="N531" i="5"/>
  <c r="O531" i="5"/>
  <c r="P531" i="5"/>
  <c r="Q531" i="5"/>
  <c r="R531" i="5"/>
  <c r="S531" i="5"/>
  <c r="T531" i="5"/>
  <c r="U531" i="5"/>
  <c r="V531" i="5"/>
  <c r="W531" i="5"/>
  <c r="X531" i="5"/>
  <c r="B532" i="5"/>
  <c r="C532" i="5"/>
  <c r="D532" i="5"/>
  <c r="E532" i="5"/>
  <c r="F532" i="5"/>
  <c r="G532" i="5"/>
  <c r="H532" i="5"/>
  <c r="I532" i="5"/>
  <c r="J532" i="5"/>
  <c r="K532" i="5"/>
  <c r="L532" i="5"/>
  <c r="M532" i="5"/>
  <c r="N532" i="5"/>
  <c r="O532" i="5"/>
  <c r="P532" i="5"/>
  <c r="Q532" i="5"/>
  <c r="R532" i="5"/>
  <c r="S532" i="5"/>
  <c r="T532" i="5"/>
  <c r="U532" i="5"/>
  <c r="V532" i="5"/>
  <c r="W532" i="5"/>
  <c r="X532" i="5"/>
  <c r="B533" i="5"/>
  <c r="C533" i="5"/>
  <c r="D533" i="5"/>
  <c r="E533" i="5"/>
  <c r="F533" i="5"/>
  <c r="G533" i="5"/>
  <c r="H533" i="5"/>
  <c r="I533" i="5"/>
  <c r="J533" i="5"/>
  <c r="K533" i="5"/>
  <c r="L533" i="5"/>
  <c r="M533" i="5"/>
  <c r="N533" i="5"/>
  <c r="O533" i="5"/>
  <c r="P533" i="5"/>
  <c r="Q533" i="5"/>
  <c r="R533" i="5"/>
  <c r="S533" i="5"/>
  <c r="T533" i="5"/>
  <c r="U533" i="5"/>
  <c r="V533" i="5"/>
  <c r="W533" i="5"/>
  <c r="X533" i="5"/>
  <c r="AC533" i="5"/>
  <c r="B534" i="5"/>
  <c r="C534" i="5"/>
  <c r="D534" i="5"/>
  <c r="E534" i="5"/>
  <c r="F534" i="5"/>
  <c r="G534" i="5"/>
  <c r="H534" i="5"/>
  <c r="I534" i="5"/>
  <c r="J534" i="5"/>
  <c r="K534" i="5"/>
  <c r="L534" i="5"/>
  <c r="M534" i="5"/>
  <c r="N534" i="5"/>
  <c r="O534" i="5"/>
  <c r="P534" i="5"/>
  <c r="Q534" i="5"/>
  <c r="R534" i="5"/>
  <c r="S534" i="5"/>
  <c r="T534" i="5"/>
  <c r="U534" i="5"/>
  <c r="V534" i="5"/>
  <c r="W534" i="5"/>
  <c r="X534" i="5"/>
  <c r="AC534" i="5"/>
  <c r="B535" i="5"/>
  <c r="C535" i="5"/>
  <c r="D535" i="5"/>
  <c r="E535" i="5"/>
  <c r="F535" i="5"/>
  <c r="G535" i="5"/>
  <c r="H535" i="5"/>
  <c r="I535" i="5"/>
  <c r="J535" i="5"/>
  <c r="K535" i="5"/>
  <c r="L535" i="5"/>
  <c r="M535" i="5"/>
  <c r="N535" i="5"/>
  <c r="O535" i="5"/>
  <c r="P535" i="5"/>
  <c r="Q535" i="5"/>
  <c r="R535" i="5"/>
  <c r="S535" i="5"/>
  <c r="T535" i="5"/>
  <c r="U535" i="5"/>
  <c r="V535" i="5"/>
  <c r="W535" i="5"/>
  <c r="X535" i="5"/>
  <c r="AB535" i="5"/>
  <c r="B536" i="5"/>
  <c r="C536" i="5"/>
  <c r="D536" i="5"/>
  <c r="E536" i="5"/>
  <c r="F536" i="5"/>
  <c r="G536" i="5"/>
  <c r="H536" i="5"/>
  <c r="I536" i="5"/>
  <c r="J536" i="5"/>
  <c r="K536" i="5"/>
  <c r="L536" i="5"/>
  <c r="M536" i="5"/>
  <c r="N536" i="5"/>
  <c r="O536" i="5"/>
  <c r="P536" i="5"/>
  <c r="Q536" i="5"/>
  <c r="R536" i="5"/>
  <c r="S536" i="5"/>
  <c r="T536" i="5"/>
  <c r="U536" i="5"/>
  <c r="V536" i="5"/>
  <c r="W536" i="5"/>
  <c r="X536" i="5"/>
  <c r="AC536" i="5"/>
  <c r="B537" i="5"/>
  <c r="C537" i="5"/>
  <c r="D537" i="5"/>
  <c r="E537" i="5"/>
  <c r="F537" i="5"/>
  <c r="G537" i="5"/>
  <c r="H537" i="5"/>
  <c r="I537" i="5"/>
  <c r="J537" i="5"/>
  <c r="K537" i="5"/>
  <c r="L537" i="5"/>
  <c r="M537" i="5"/>
  <c r="N537" i="5"/>
  <c r="O537" i="5"/>
  <c r="P537" i="5"/>
  <c r="Q537" i="5"/>
  <c r="R537" i="5"/>
  <c r="S537" i="5"/>
  <c r="T537" i="5"/>
  <c r="U537" i="5"/>
  <c r="V537" i="5"/>
  <c r="W537" i="5"/>
  <c r="X537" i="5"/>
  <c r="AB537" i="5"/>
  <c r="B538" i="5"/>
  <c r="C538" i="5"/>
  <c r="D538" i="5"/>
  <c r="E538" i="5"/>
  <c r="F538" i="5"/>
  <c r="G538" i="5"/>
  <c r="H538" i="5"/>
  <c r="I538" i="5"/>
  <c r="J538" i="5"/>
  <c r="K538" i="5"/>
  <c r="L538" i="5"/>
  <c r="M538" i="5"/>
  <c r="AC538" i="5" s="1"/>
  <c r="N538" i="5"/>
  <c r="O538" i="5"/>
  <c r="P538" i="5"/>
  <c r="Q538" i="5"/>
  <c r="R538" i="5"/>
  <c r="S538" i="5"/>
  <c r="T538" i="5"/>
  <c r="U538" i="5"/>
  <c r="V538" i="5"/>
  <c r="W538" i="5"/>
  <c r="X538" i="5"/>
  <c r="B539" i="5"/>
  <c r="C539" i="5"/>
  <c r="D539" i="5"/>
  <c r="E539" i="5"/>
  <c r="F539" i="5"/>
  <c r="G539" i="5"/>
  <c r="H539" i="5"/>
  <c r="I539" i="5"/>
  <c r="J539" i="5"/>
  <c r="K539" i="5"/>
  <c r="L539" i="5"/>
  <c r="M539" i="5"/>
  <c r="N539" i="5"/>
  <c r="O539" i="5"/>
  <c r="P539" i="5"/>
  <c r="Q539" i="5"/>
  <c r="R539" i="5"/>
  <c r="S539" i="5"/>
  <c r="T539" i="5"/>
  <c r="U539" i="5"/>
  <c r="V539" i="5"/>
  <c r="W539" i="5"/>
  <c r="X539" i="5"/>
  <c r="B540" i="5"/>
  <c r="C540" i="5"/>
  <c r="D540" i="5"/>
  <c r="E540" i="5"/>
  <c r="F540" i="5"/>
  <c r="G540" i="5"/>
  <c r="H540" i="5"/>
  <c r="I540" i="5"/>
  <c r="J540" i="5"/>
  <c r="K540" i="5"/>
  <c r="L540" i="5"/>
  <c r="M540" i="5"/>
  <c r="N540" i="5"/>
  <c r="O540" i="5"/>
  <c r="P540" i="5"/>
  <c r="Q540" i="5"/>
  <c r="R540" i="5"/>
  <c r="S540" i="5"/>
  <c r="T540" i="5"/>
  <c r="U540" i="5"/>
  <c r="V540" i="5"/>
  <c r="W540" i="5"/>
  <c r="X540" i="5"/>
  <c r="B541" i="5"/>
  <c r="C541" i="5"/>
  <c r="D541" i="5"/>
  <c r="E541" i="5"/>
  <c r="F541" i="5"/>
  <c r="G541" i="5"/>
  <c r="H541" i="5"/>
  <c r="I541" i="5"/>
  <c r="J541" i="5"/>
  <c r="K541" i="5"/>
  <c r="L541" i="5"/>
  <c r="M541" i="5"/>
  <c r="N541" i="5"/>
  <c r="O541" i="5"/>
  <c r="P541" i="5"/>
  <c r="AC541" i="5" s="1"/>
  <c r="Q541" i="5"/>
  <c r="R541" i="5"/>
  <c r="S541" i="5"/>
  <c r="T541" i="5"/>
  <c r="U541" i="5"/>
  <c r="V541" i="5"/>
  <c r="W541" i="5"/>
  <c r="X541" i="5"/>
  <c r="B542" i="5"/>
  <c r="C542" i="5"/>
  <c r="D542" i="5"/>
  <c r="E542" i="5"/>
  <c r="F542" i="5"/>
  <c r="G542" i="5"/>
  <c r="H542" i="5"/>
  <c r="I542" i="5"/>
  <c r="J542" i="5"/>
  <c r="K542" i="5"/>
  <c r="L542" i="5"/>
  <c r="M542" i="5"/>
  <c r="N542" i="5"/>
  <c r="O542" i="5"/>
  <c r="P542" i="5"/>
  <c r="AC542" i="5" s="1"/>
  <c r="Q542" i="5"/>
  <c r="R542" i="5"/>
  <c r="S542" i="5"/>
  <c r="T542" i="5"/>
  <c r="U542" i="5"/>
  <c r="V542" i="5"/>
  <c r="W542" i="5"/>
  <c r="X542" i="5"/>
  <c r="B543" i="5"/>
  <c r="C543" i="5"/>
  <c r="D543" i="5"/>
  <c r="AB543" i="5" s="1"/>
  <c r="E543" i="5"/>
  <c r="F543" i="5"/>
  <c r="G543" i="5"/>
  <c r="H543" i="5"/>
  <c r="I543" i="5"/>
  <c r="J543" i="5"/>
  <c r="K543" i="5"/>
  <c r="L543" i="5"/>
  <c r="M543" i="5"/>
  <c r="N543" i="5"/>
  <c r="O543" i="5"/>
  <c r="P543" i="5"/>
  <c r="Q543" i="5"/>
  <c r="R543" i="5"/>
  <c r="S543" i="5"/>
  <c r="T543" i="5"/>
  <c r="U543" i="5"/>
  <c r="V543" i="5"/>
  <c r="W543" i="5"/>
  <c r="X543" i="5"/>
  <c r="B544" i="5"/>
  <c r="C544" i="5"/>
  <c r="D544" i="5"/>
  <c r="E544" i="5"/>
  <c r="F544" i="5"/>
  <c r="G544" i="5"/>
  <c r="H544" i="5"/>
  <c r="I544" i="5"/>
  <c r="J544" i="5"/>
  <c r="K544" i="5"/>
  <c r="L544" i="5"/>
  <c r="M544" i="5"/>
  <c r="N544" i="5"/>
  <c r="O544" i="5"/>
  <c r="P544" i="5"/>
  <c r="Q544" i="5"/>
  <c r="R544" i="5"/>
  <c r="S544" i="5"/>
  <c r="T544" i="5"/>
  <c r="U544" i="5"/>
  <c r="V544" i="5"/>
  <c r="W544" i="5"/>
  <c r="X544" i="5"/>
  <c r="B545" i="5"/>
  <c r="C545" i="5"/>
  <c r="D545" i="5"/>
  <c r="E545" i="5"/>
  <c r="F545" i="5"/>
  <c r="G545" i="5"/>
  <c r="H545" i="5"/>
  <c r="I545" i="5"/>
  <c r="J545" i="5"/>
  <c r="K545" i="5"/>
  <c r="L545" i="5"/>
  <c r="M545" i="5"/>
  <c r="N545" i="5"/>
  <c r="O545" i="5"/>
  <c r="P545" i="5"/>
  <c r="Q545" i="5"/>
  <c r="R545" i="5"/>
  <c r="S545" i="5"/>
  <c r="T545" i="5"/>
  <c r="U545" i="5"/>
  <c r="V545" i="5"/>
  <c r="W545" i="5"/>
  <c r="X545" i="5"/>
  <c r="B546" i="5"/>
  <c r="C546" i="5"/>
  <c r="D546" i="5"/>
  <c r="E546" i="5"/>
  <c r="F546" i="5"/>
  <c r="G546" i="5"/>
  <c r="H546" i="5"/>
  <c r="I546" i="5"/>
  <c r="J546" i="5"/>
  <c r="K546" i="5"/>
  <c r="L546" i="5"/>
  <c r="M546" i="5"/>
  <c r="N546" i="5"/>
  <c r="O546" i="5"/>
  <c r="P546" i="5"/>
  <c r="Q546" i="5"/>
  <c r="R546" i="5"/>
  <c r="S546" i="5"/>
  <c r="T546" i="5"/>
  <c r="U546" i="5"/>
  <c r="V546" i="5"/>
  <c r="W546" i="5"/>
  <c r="X546" i="5"/>
  <c r="B547" i="5"/>
  <c r="C547" i="5"/>
  <c r="D547" i="5"/>
  <c r="E547" i="5"/>
  <c r="F547" i="5"/>
  <c r="G547" i="5"/>
  <c r="H547" i="5"/>
  <c r="I547" i="5"/>
  <c r="J547" i="5"/>
  <c r="K547" i="5"/>
  <c r="L547" i="5"/>
  <c r="M547" i="5"/>
  <c r="N547" i="5"/>
  <c r="O547" i="5"/>
  <c r="P547" i="5"/>
  <c r="Q547" i="5"/>
  <c r="R547" i="5"/>
  <c r="S547" i="5"/>
  <c r="T547" i="5"/>
  <c r="U547" i="5"/>
  <c r="V547" i="5"/>
  <c r="W547" i="5"/>
  <c r="X547" i="5"/>
  <c r="B548" i="5"/>
  <c r="C548" i="5"/>
  <c r="D548" i="5"/>
  <c r="E548" i="5"/>
  <c r="F548" i="5"/>
  <c r="G548" i="5"/>
  <c r="H548" i="5"/>
  <c r="I548" i="5"/>
  <c r="J548" i="5"/>
  <c r="K548" i="5"/>
  <c r="L548" i="5"/>
  <c r="M548" i="5"/>
  <c r="N548" i="5"/>
  <c r="O548" i="5"/>
  <c r="P548" i="5"/>
  <c r="Q548" i="5"/>
  <c r="R548" i="5"/>
  <c r="S548" i="5"/>
  <c r="T548" i="5"/>
  <c r="U548" i="5"/>
  <c r="V548" i="5"/>
  <c r="W548" i="5"/>
  <c r="X548" i="5"/>
  <c r="B549" i="5"/>
  <c r="C549" i="5"/>
  <c r="D549" i="5"/>
  <c r="E549" i="5"/>
  <c r="F549" i="5"/>
  <c r="G549" i="5"/>
  <c r="H549" i="5"/>
  <c r="I549" i="5"/>
  <c r="J549" i="5"/>
  <c r="K549" i="5"/>
  <c r="L549" i="5"/>
  <c r="M549" i="5"/>
  <c r="N549" i="5"/>
  <c r="O549" i="5"/>
  <c r="P549" i="5"/>
  <c r="Q549" i="5"/>
  <c r="R549" i="5"/>
  <c r="S549" i="5"/>
  <c r="T549" i="5"/>
  <c r="U549" i="5"/>
  <c r="V549" i="5"/>
  <c r="W549" i="5"/>
  <c r="X549" i="5"/>
  <c r="AC549" i="5"/>
  <c r="B550" i="5"/>
  <c r="C550" i="5"/>
  <c r="D550" i="5"/>
  <c r="E550" i="5"/>
  <c r="F550" i="5"/>
  <c r="G550" i="5"/>
  <c r="H550" i="5"/>
  <c r="I550" i="5"/>
  <c r="J550" i="5"/>
  <c r="K550" i="5"/>
  <c r="L550" i="5"/>
  <c r="M550" i="5"/>
  <c r="AC550" i="5" s="1"/>
  <c r="N550" i="5"/>
  <c r="O550" i="5"/>
  <c r="P550" i="5"/>
  <c r="Q550" i="5"/>
  <c r="R550" i="5"/>
  <c r="S550" i="5"/>
  <c r="T550" i="5"/>
  <c r="U550" i="5"/>
  <c r="V550" i="5"/>
  <c r="W550" i="5"/>
  <c r="X550" i="5"/>
  <c r="AB550" i="5"/>
  <c r="B551" i="5"/>
  <c r="C551" i="5"/>
  <c r="D551" i="5"/>
  <c r="E551" i="5"/>
  <c r="F551" i="5"/>
  <c r="G551" i="5"/>
  <c r="H551" i="5"/>
  <c r="AB551" i="5" s="1"/>
  <c r="I551" i="5"/>
  <c r="J551" i="5"/>
  <c r="K551" i="5"/>
  <c r="L551" i="5"/>
  <c r="M551" i="5"/>
  <c r="N551" i="5"/>
  <c r="O551" i="5"/>
  <c r="P551" i="5"/>
  <c r="Q551" i="5"/>
  <c r="R551" i="5"/>
  <c r="S551" i="5"/>
  <c r="T551" i="5"/>
  <c r="U551" i="5"/>
  <c r="V551" i="5"/>
  <c r="W551" i="5"/>
  <c r="X551" i="5"/>
  <c r="B552" i="5"/>
  <c r="C552" i="5"/>
  <c r="D552" i="5"/>
  <c r="E552" i="5"/>
  <c r="F552" i="5"/>
  <c r="G552" i="5"/>
  <c r="H552" i="5"/>
  <c r="I552" i="5"/>
  <c r="J552" i="5"/>
  <c r="K552" i="5"/>
  <c r="L552" i="5"/>
  <c r="M552" i="5"/>
  <c r="N552" i="5"/>
  <c r="O552" i="5"/>
  <c r="P552" i="5"/>
  <c r="Q552" i="5"/>
  <c r="R552" i="5"/>
  <c r="S552" i="5"/>
  <c r="T552" i="5"/>
  <c r="U552" i="5"/>
  <c r="V552" i="5"/>
  <c r="W552" i="5"/>
  <c r="X552" i="5"/>
  <c r="B553" i="5"/>
  <c r="AB553" i="5" s="1"/>
  <c r="C553" i="5"/>
  <c r="D553" i="5"/>
  <c r="E553" i="5"/>
  <c r="F553" i="5"/>
  <c r="G553" i="5"/>
  <c r="H553" i="5"/>
  <c r="I553" i="5"/>
  <c r="J553" i="5"/>
  <c r="K553" i="5"/>
  <c r="L553" i="5"/>
  <c r="M553" i="5"/>
  <c r="N553" i="5"/>
  <c r="O553" i="5"/>
  <c r="P553" i="5"/>
  <c r="Q553" i="5"/>
  <c r="R553" i="5"/>
  <c r="S553" i="5"/>
  <c r="T553" i="5"/>
  <c r="U553" i="5"/>
  <c r="V553" i="5"/>
  <c r="W553" i="5"/>
  <c r="X553" i="5"/>
  <c r="B554" i="5"/>
  <c r="C554" i="5"/>
  <c r="D554" i="5"/>
  <c r="E554" i="5"/>
  <c r="F554" i="5"/>
  <c r="G554" i="5"/>
  <c r="H554" i="5"/>
  <c r="I554" i="5"/>
  <c r="J554" i="5"/>
  <c r="K554" i="5"/>
  <c r="L554" i="5"/>
  <c r="M554" i="5"/>
  <c r="N554" i="5"/>
  <c r="O554" i="5"/>
  <c r="P554" i="5"/>
  <c r="Q554" i="5"/>
  <c r="R554" i="5"/>
  <c r="S554" i="5"/>
  <c r="T554" i="5"/>
  <c r="U554" i="5"/>
  <c r="V554" i="5"/>
  <c r="W554" i="5"/>
  <c r="X554" i="5"/>
  <c r="B555" i="5"/>
  <c r="C555" i="5"/>
  <c r="D555" i="5"/>
  <c r="E555" i="5"/>
  <c r="F555" i="5"/>
  <c r="G555" i="5"/>
  <c r="H555" i="5"/>
  <c r="I555" i="5"/>
  <c r="J555" i="5"/>
  <c r="K555" i="5"/>
  <c r="L555" i="5"/>
  <c r="M555" i="5"/>
  <c r="N555" i="5"/>
  <c r="O555" i="5"/>
  <c r="P555" i="5"/>
  <c r="Q555" i="5"/>
  <c r="R555" i="5"/>
  <c r="S555" i="5"/>
  <c r="T555" i="5"/>
  <c r="U555" i="5"/>
  <c r="V555" i="5"/>
  <c r="W555" i="5"/>
  <c r="X555" i="5"/>
  <c r="B556" i="5"/>
  <c r="C556" i="5"/>
  <c r="D556" i="5"/>
  <c r="E556" i="5"/>
  <c r="F556" i="5"/>
  <c r="G556" i="5"/>
  <c r="H556" i="5"/>
  <c r="I556" i="5"/>
  <c r="J556" i="5"/>
  <c r="K556" i="5"/>
  <c r="L556" i="5"/>
  <c r="M556" i="5"/>
  <c r="N556" i="5"/>
  <c r="O556" i="5"/>
  <c r="P556" i="5"/>
  <c r="Q556" i="5"/>
  <c r="R556" i="5"/>
  <c r="S556" i="5"/>
  <c r="T556" i="5"/>
  <c r="U556" i="5"/>
  <c r="V556" i="5"/>
  <c r="W556" i="5"/>
  <c r="X556" i="5"/>
  <c r="B557" i="5"/>
  <c r="C557" i="5"/>
  <c r="D557" i="5"/>
  <c r="E557" i="5"/>
  <c r="F557" i="5"/>
  <c r="G557" i="5"/>
  <c r="H557" i="5"/>
  <c r="I557" i="5"/>
  <c r="J557" i="5"/>
  <c r="K557" i="5"/>
  <c r="L557" i="5"/>
  <c r="M557" i="5"/>
  <c r="N557" i="5"/>
  <c r="O557" i="5"/>
  <c r="P557" i="5"/>
  <c r="Q557" i="5"/>
  <c r="R557" i="5"/>
  <c r="S557" i="5"/>
  <c r="T557" i="5"/>
  <c r="U557" i="5"/>
  <c r="V557" i="5"/>
  <c r="W557" i="5"/>
  <c r="X557" i="5"/>
  <c r="AC557" i="5"/>
  <c r="B558" i="5"/>
  <c r="C558" i="5"/>
  <c r="D558" i="5"/>
  <c r="E558" i="5"/>
  <c r="F558" i="5"/>
  <c r="G558" i="5"/>
  <c r="H558" i="5"/>
  <c r="I558" i="5"/>
  <c r="J558" i="5"/>
  <c r="K558" i="5"/>
  <c r="L558" i="5"/>
  <c r="M558" i="5"/>
  <c r="AC558" i="5" s="1"/>
  <c r="N558" i="5"/>
  <c r="O558" i="5"/>
  <c r="P558" i="5"/>
  <c r="Q558" i="5"/>
  <c r="R558" i="5"/>
  <c r="S558" i="5"/>
  <c r="T558" i="5"/>
  <c r="U558" i="5"/>
  <c r="V558" i="5"/>
  <c r="W558" i="5"/>
  <c r="X558" i="5"/>
  <c r="AB558" i="5"/>
  <c r="B559" i="5"/>
  <c r="C559" i="5"/>
  <c r="D559" i="5"/>
  <c r="E559" i="5"/>
  <c r="F559" i="5"/>
  <c r="G559" i="5"/>
  <c r="H559" i="5"/>
  <c r="AB559" i="5" s="1"/>
  <c r="I559" i="5"/>
  <c r="J559" i="5"/>
  <c r="K559" i="5"/>
  <c r="L559" i="5"/>
  <c r="M559" i="5"/>
  <c r="N559" i="5"/>
  <c r="O559" i="5"/>
  <c r="P559" i="5"/>
  <c r="Q559" i="5"/>
  <c r="R559" i="5"/>
  <c r="S559" i="5"/>
  <c r="T559" i="5"/>
  <c r="U559" i="5"/>
  <c r="V559" i="5"/>
  <c r="W559" i="5"/>
  <c r="X559" i="5"/>
  <c r="B560" i="5"/>
  <c r="C560" i="5"/>
  <c r="D560" i="5"/>
  <c r="E560" i="5"/>
  <c r="F560" i="5"/>
  <c r="G560" i="5"/>
  <c r="H560" i="5"/>
  <c r="I560" i="5"/>
  <c r="J560" i="5"/>
  <c r="K560" i="5"/>
  <c r="L560" i="5"/>
  <c r="M560" i="5"/>
  <c r="N560" i="5"/>
  <c r="O560" i="5"/>
  <c r="P560" i="5"/>
  <c r="Q560" i="5"/>
  <c r="R560" i="5"/>
  <c r="S560" i="5"/>
  <c r="T560" i="5"/>
  <c r="U560" i="5"/>
  <c r="V560" i="5"/>
  <c r="W560" i="5"/>
  <c r="X560" i="5"/>
  <c r="B561" i="5"/>
  <c r="C561" i="5"/>
  <c r="D561" i="5"/>
  <c r="E561" i="5"/>
  <c r="F561" i="5"/>
  <c r="G561" i="5"/>
  <c r="H561" i="5"/>
  <c r="I561" i="5"/>
  <c r="J561" i="5"/>
  <c r="K561" i="5"/>
  <c r="L561" i="5"/>
  <c r="M561" i="5"/>
  <c r="N561" i="5"/>
  <c r="O561" i="5"/>
  <c r="P561" i="5"/>
  <c r="Q561" i="5"/>
  <c r="R561" i="5"/>
  <c r="S561" i="5"/>
  <c r="T561" i="5"/>
  <c r="U561" i="5"/>
  <c r="V561" i="5"/>
  <c r="W561" i="5"/>
  <c r="X561" i="5"/>
  <c r="B562" i="5"/>
  <c r="C562" i="5"/>
  <c r="D562" i="5"/>
  <c r="E562" i="5"/>
  <c r="F562" i="5"/>
  <c r="G562" i="5"/>
  <c r="H562" i="5"/>
  <c r="I562" i="5"/>
  <c r="J562" i="5"/>
  <c r="K562" i="5"/>
  <c r="L562" i="5"/>
  <c r="M562" i="5"/>
  <c r="N562" i="5"/>
  <c r="O562" i="5"/>
  <c r="P562" i="5"/>
  <c r="Q562" i="5"/>
  <c r="R562" i="5"/>
  <c r="S562" i="5"/>
  <c r="T562" i="5"/>
  <c r="U562" i="5"/>
  <c r="V562" i="5"/>
  <c r="W562" i="5"/>
  <c r="X562" i="5"/>
  <c r="B563" i="5"/>
  <c r="C563" i="5"/>
  <c r="D563" i="5"/>
  <c r="E563" i="5"/>
  <c r="F563" i="5"/>
  <c r="G563" i="5"/>
  <c r="H563" i="5"/>
  <c r="I563" i="5"/>
  <c r="J563" i="5"/>
  <c r="K563" i="5"/>
  <c r="L563" i="5"/>
  <c r="M563" i="5"/>
  <c r="N563" i="5"/>
  <c r="O563" i="5"/>
  <c r="P563" i="5"/>
  <c r="Q563" i="5"/>
  <c r="R563" i="5"/>
  <c r="S563" i="5"/>
  <c r="T563" i="5"/>
  <c r="U563" i="5"/>
  <c r="V563" i="5"/>
  <c r="W563" i="5"/>
  <c r="X563" i="5"/>
  <c r="B564" i="5"/>
  <c r="C564" i="5"/>
  <c r="D564" i="5"/>
  <c r="E564" i="5"/>
  <c r="F564" i="5"/>
  <c r="G564" i="5"/>
  <c r="H564" i="5"/>
  <c r="I564" i="5"/>
  <c r="J564" i="5"/>
  <c r="K564" i="5"/>
  <c r="L564" i="5"/>
  <c r="M564" i="5"/>
  <c r="N564" i="5"/>
  <c r="O564" i="5"/>
  <c r="P564" i="5"/>
  <c r="Q564" i="5"/>
  <c r="R564" i="5"/>
  <c r="S564" i="5"/>
  <c r="T564" i="5"/>
  <c r="U564" i="5"/>
  <c r="V564" i="5"/>
  <c r="W564" i="5"/>
  <c r="X564" i="5"/>
  <c r="B565" i="5"/>
  <c r="C565" i="5"/>
  <c r="D565" i="5"/>
  <c r="E565" i="5"/>
  <c r="F565" i="5"/>
  <c r="G565" i="5"/>
  <c r="H565" i="5"/>
  <c r="I565" i="5"/>
  <c r="J565" i="5"/>
  <c r="K565" i="5"/>
  <c r="L565" i="5"/>
  <c r="M565" i="5"/>
  <c r="N565" i="5"/>
  <c r="AC565" i="5" s="1"/>
  <c r="O565" i="5"/>
  <c r="P565" i="5"/>
  <c r="Q565" i="5"/>
  <c r="R565" i="5"/>
  <c r="S565" i="5"/>
  <c r="T565" i="5"/>
  <c r="U565" i="5"/>
  <c r="V565" i="5"/>
  <c r="W565" i="5"/>
  <c r="X565" i="5"/>
  <c r="B566" i="5"/>
  <c r="C566" i="5"/>
  <c r="D566" i="5"/>
  <c r="E566" i="5"/>
  <c r="F566" i="5"/>
  <c r="G566" i="5"/>
  <c r="H566" i="5"/>
  <c r="I566" i="5"/>
  <c r="J566" i="5"/>
  <c r="K566" i="5"/>
  <c r="L566" i="5"/>
  <c r="M566" i="5"/>
  <c r="N566" i="5"/>
  <c r="AC566" i="5" s="1"/>
  <c r="O566" i="5"/>
  <c r="P566" i="5"/>
  <c r="Q566" i="5"/>
  <c r="R566" i="5"/>
  <c r="S566" i="5"/>
  <c r="T566" i="5"/>
  <c r="U566" i="5"/>
  <c r="V566" i="5"/>
  <c r="W566" i="5"/>
  <c r="X566" i="5"/>
  <c r="B567" i="5"/>
  <c r="AB567" i="5" s="1"/>
  <c r="C567" i="5"/>
  <c r="D567" i="5"/>
  <c r="E567" i="5"/>
  <c r="F567" i="5"/>
  <c r="G567" i="5"/>
  <c r="H567" i="5"/>
  <c r="I567" i="5"/>
  <c r="J567" i="5"/>
  <c r="K567" i="5"/>
  <c r="L567" i="5"/>
  <c r="M567" i="5"/>
  <c r="N567" i="5"/>
  <c r="O567" i="5"/>
  <c r="P567" i="5"/>
  <c r="Q567" i="5"/>
  <c r="R567" i="5"/>
  <c r="S567" i="5"/>
  <c r="T567" i="5"/>
  <c r="U567" i="5"/>
  <c r="V567" i="5"/>
  <c r="W567" i="5"/>
  <c r="X567" i="5"/>
  <c r="B568" i="5"/>
  <c r="C568" i="5"/>
  <c r="D568" i="5"/>
  <c r="E568" i="5"/>
  <c r="F568" i="5"/>
  <c r="G568" i="5"/>
  <c r="H568" i="5"/>
  <c r="I568" i="5"/>
  <c r="J568" i="5"/>
  <c r="K568" i="5"/>
  <c r="L568" i="5"/>
  <c r="M568" i="5"/>
  <c r="N568" i="5"/>
  <c r="AC568" i="5" s="1"/>
  <c r="O568" i="5"/>
  <c r="P568" i="5"/>
  <c r="Q568" i="5"/>
  <c r="R568" i="5"/>
  <c r="S568" i="5"/>
  <c r="T568" i="5"/>
  <c r="U568" i="5"/>
  <c r="V568" i="5"/>
  <c r="W568" i="5"/>
  <c r="X568" i="5"/>
  <c r="B569" i="5"/>
  <c r="AB569" i="5" s="1"/>
  <c r="C569" i="5"/>
  <c r="D569" i="5"/>
  <c r="E569" i="5"/>
  <c r="F569" i="5"/>
  <c r="G569" i="5"/>
  <c r="H569" i="5"/>
  <c r="I569" i="5"/>
  <c r="J569" i="5"/>
  <c r="K569" i="5"/>
  <c r="L569" i="5"/>
  <c r="M569" i="5"/>
  <c r="N569" i="5"/>
  <c r="O569" i="5"/>
  <c r="P569" i="5"/>
  <c r="Q569" i="5"/>
  <c r="R569" i="5"/>
  <c r="S569" i="5"/>
  <c r="T569" i="5"/>
  <c r="U569" i="5"/>
  <c r="V569" i="5"/>
  <c r="W569" i="5"/>
  <c r="X569" i="5"/>
  <c r="B570" i="5"/>
  <c r="C570" i="5"/>
  <c r="D570" i="5"/>
  <c r="E570" i="5"/>
  <c r="F570" i="5"/>
  <c r="G570" i="5"/>
  <c r="H570" i="5"/>
  <c r="I570" i="5"/>
  <c r="J570" i="5"/>
  <c r="K570" i="5"/>
  <c r="L570" i="5"/>
  <c r="M570" i="5"/>
  <c r="N570" i="5"/>
  <c r="O570" i="5"/>
  <c r="P570" i="5"/>
  <c r="Q570" i="5"/>
  <c r="R570" i="5"/>
  <c r="S570" i="5"/>
  <c r="T570" i="5"/>
  <c r="U570" i="5"/>
  <c r="V570" i="5"/>
  <c r="W570" i="5"/>
  <c r="X570" i="5"/>
  <c r="B571" i="5"/>
  <c r="C571" i="5"/>
  <c r="D571" i="5"/>
  <c r="E571" i="5"/>
  <c r="F571" i="5"/>
  <c r="G571" i="5"/>
  <c r="H571" i="5"/>
  <c r="I571" i="5"/>
  <c r="J571" i="5"/>
  <c r="K571" i="5"/>
  <c r="L571" i="5"/>
  <c r="M571" i="5"/>
  <c r="N571" i="5"/>
  <c r="O571" i="5"/>
  <c r="P571" i="5"/>
  <c r="Q571" i="5"/>
  <c r="R571" i="5"/>
  <c r="S571" i="5"/>
  <c r="T571" i="5"/>
  <c r="U571" i="5"/>
  <c r="V571" i="5"/>
  <c r="W571" i="5"/>
  <c r="X571" i="5"/>
  <c r="B572" i="5"/>
  <c r="C572" i="5"/>
  <c r="D572" i="5"/>
  <c r="E572" i="5"/>
  <c r="F572" i="5"/>
  <c r="G572" i="5"/>
  <c r="H572" i="5"/>
  <c r="I572" i="5"/>
  <c r="J572" i="5"/>
  <c r="K572" i="5"/>
  <c r="L572" i="5"/>
  <c r="M572" i="5"/>
  <c r="N572" i="5"/>
  <c r="O572" i="5"/>
  <c r="P572" i="5"/>
  <c r="Q572" i="5"/>
  <c r="R572" i="5"/>
  <c r="S572" i="5"/>
  <c r="T572" i="5"/>
  <c r="U572" i="5"/>
  <c r="V572" i="5"/>
  <c r="W572" i="5"/>
  <c r="X572" i="5"/>
  <c r="B573" i="5"/>
  <c r="C573" i="5"/>
  <c r="D573" i="5"/>
  <c r="E573" i="5"/>
  <c r="F573" i="5"/>
  <c r="G573" i="5"/>
  <c r="H573" i="5"/>
  <c r="I573" i="5"/>
  <c r="J573" i="5"/>
  <c r="K573" i="5"/>
  <c r="L573" i="5"/>
  <c r="M573" i="5"/>
  <c r="N573" i="5"/>
  <c r="O573" i="5"/>
  <c r="P573" i="5"/>
  <c r="Q573" i="5"/>
  <c r="R573" i="5"/>
  <c r="S573" i="5"/>
  <c r="T573" i="5"/>
  <c r="U573" i="5"/>
  <c r="V573" i="5"/>
  <c r="W573" i="5"/>
  <c r="X573" i="5"/>
  <c r="AC573" i="5"/>
  <c r="B574" i="5"/>
  <c r="C574" i="5"/>
  <c r="D574" i="5"/>
  <c r="E574" i="5"/>
  <c r="F574" i="5"/>
  <c r="G574" i="5"/>
  <c r="H574" i="5"/>
  <c r="I574" i="5"/>
  <c r="J574" i="5"/>
  <c r="K574" i="5"/>
  <c r="L574" i="5"/>
  <c r="M574" i="5"/>
  <c r="N574" i="5"/>
  <c r="O574" i="5"/>
  <c r="P574" i="5"/>
  <c r="Q574" i="5"/>
  <c r="R574" i="5"/>
  <c r="S574" i="5"/>
  <c r="T574" i="5"/>
  <c r="U574" i="5"/>
  <c r="V574" i="5"/>
  <c r="W574" i="5"/>
  <c r="X574" i="5"/>
  <c r="AC574" i="5"/>
  <c r="B575" i="5"/>
  <c r="C575" i="5"/>
  <c r="D575" i="5"/>
  <c r="E575" i="5"/>
  <c r="F575" i="5"/>
  <c r="G575" i="5"/>
  <c r="H575" i="5"/>
  <c r="I575" i="5"/>
  <c r="J575" i="5"/>
  <c r="K575" i="5"/>
  <c r="L575" i="5"/>
  <c r="M575" i="5"/>
  <c r="N575" i="5"/>
  <c r="O575" i="5"/>
  <c r="P575" i="5"/>
  <c r="Q575" i="5"/>
  <c r="R575" i="5"/>
  <c r="S575" i="5"/>
  <c r="T575" i="5"/>
  <c r="U575" i="5"/>
  <c r="V575" i="5"/>
  <c r="W575" i="5"/>
  <c r="X575" i="5"/>
  <c r="AB575" i="5"/>
  <c r="B576" i="5"/>
  <c r="C576" i="5"/>
  <c r="D576" i="5"/>
  <c r="E576" i="5"/>
  <c r="F576" i="5"/>
  <c r="G576" i="5"/>
  <c r="H576" i="5"/>
  <c r="I576" i="5"/>
  <c r="J576" i="5"/>
  <c r="K576" i="5"/>
  <c r="L576" i="5"/>
  <c r="M576" i="5"/>
  <c r="N576" i="5"/>
  <c r="O576" i="5"/>
  <c r="P576" i="5"/>
  <c r="Q576" i="5"/>
  <c r="R576" i="5"/>
  <c r="S576" i="5"/>
  <c r="T576" i="5"/>
  <c r="U576" i="5"/>
  <c r="V576" i="5"/>
  <c r="W576" i="5"/>
  <c r="X576" i="5"/>
  <c r="B577" i="5"/>
  <c r="C577" i="5"/>
  <c r="D577" i="5"/>
  <c r="E577" i="5"/>
  <c r="F577" i="5"/>
  <c r="G577" i="5"/>
  <c r="H577" i="5"/>
  <c r="I577" i="5"/>
  <c r="J577" i="5"/>
  <c r="K577" i="5"/>
  <c r="L577" i="5"/>
  <c r="M577" i="5"/>
  <c r="N577" i="5"/>
  <c r="O577" i="5"/>
  <c r="P577" i="5"/>
  <c r="Q577" i="5"/>
  <c r="R577" i="5"/>
  <c r="S577" i="5"/>
  <c r="T577" i="5"/>
  <c r="U577" i="5"/>
  <c r="V577" i="5"/>
  <c r="W577" i="5"/>
  <c r="X577" i="5"/>
  <c r="B578" i="5"/>
  <c r="C578" i="5"/>
  <c r="D578" i="5"/>
  <c r="E578" i="5"/>
  <c r="F578" i="5"/>
  <c r="G578" i="5"/>
  <c r="H578" i="5"/>
  <c r="I578" i="5"/>
  <c r="J578" i="5"/>
  <c r="K578" i="5"/>
  <c r="L578" i="5"/>
  <c r="M578" i="5"/>
  <c r="N578" i="5"/>
  <c r="O578" i="5"/>
  <c r="P578" i="5"/>
  <c r="Q578" i="5"/>
  <c r="R578" i="5"/>
  <c r="S578" i="5"/>
  <c r="T578" i="5"/>
  <c r="U578" i="5"/>
  <c r="V578" i="5"/>
  <c r="W578" i="5"/>
  <c r="X578" i="5"/>
  <c r="B579" i="5"/>
  <c r="C579" i="5"/>
  <c r="D579" i="5"/>
  <c r="E579" i="5"/>
  <c r="F579" i="5"/>
  <c r="G579" i="5"/>
  <c r="H579" i="5"/>
  <c r="I579" i="5"/>
  <c r="J579" i="5"/>
  <c r="K579" i="5"/>
  <c r="L579" i="5"/>
  <c r="M579" i="5"/>
  <c r="N579" i="5"/>
  <c r="O579" i="5"/>
  <c r="P579" i="5"/>
  <c r="Q579" i="5"/>
  <c r="R579" i="5"/>
  <c r="S579" i="5"/>
  <c r="T579" i="5"/>
  <c r="U579" i="5"/>
  <c r="V579" i="5"/>
  <c r="W579" i="5"/>
  <c r="X579" i="5"/>
  <c r="B580" i="5"/>
  <c r="C580" i="5"/>
  <c r="D580" i="5"/>
  <c r="E580" i="5"/>
  <c r="F580" i="5"/>
  <c r="G580" i="5"/>
  <c r="H580" i="5"/>
  <c r="I580" i="5"/>
  <c r="J580" i="5"/>
  <c r="K580" i="5"/>
  <c r="L580" i="5"/>
  <c r="M580" i="5"/>
  <c r="N580" i="5"/>
  <c r="O580" i="5"/>
  <c r="P580" i="5"/>
  <c r="Q580" i="5"/>
  <c r="R580" i="5"/>
  <c r="S580" i="5"/>
  <c r="T580" i="5"/>
  <c r="U580" i="5"/>
  <c r="V580" i="5"/>
  <c r="W580" i="5"/>
  <c r="X580" i="5"/>
  <c r="B581" i="5"/>
  <c r="C581" i="5"/>
  <c r="D581" i="5"/>
  <c r="E581" i="5"/>
  <c r="F581" i="5"/>
  <c r="G581" i="5"/>
  <c r="H581" i="5"/>
  <c r="I581" i="5"/>
  <c r="J581" i="5"/>
  <c r="K581" i="5"/>
  <c r="L581" i="5"/>
  <c r="M581" i="5"/>
  <c r="N581" i="5"/>
  <c r="AC581" i="5" s="1"/>
  <c r="O581" i="5"/>
  <c r="P581" i="5"/>
  <c r="Q581" i="5"/>
  <c r="R581" i="5"/>
  <c r="S581" i="5"/>
  <c r="T581" i="5"/>
  <c r="U581" i="5"/>
  <c r="V581" i="5"/>
  <c r="W581" i="5"/>
  <c r="X581" i="5"/>
  <c r="B582" i="5"/>
  <c r="C582" i="5"/>
  <c r="D582" i="5"/>
  <c r="E582" i="5"/>
  <c r="F582" i="5"/>
  <c r="G582" i="5"/>
  <c r="H582" i="5"/>
  <c r="I582" i="5"/>
  <c r="J582" i="5"/>
  <c r="K582" i="5"/>
  <c r="L582" i="5"/>
  <c r="M582" i="5"/>
  <c r="N582" i="5"/>
  <c r="AC582" i="5" s="1"/>
  <c r="O582" i="5"/>
  <c r="P582" i="5"/>
  <c r="Q582" i="5"/>
  <c r="R582" i="5"/>
  <c r="S582" i="5"/>
  <c r="T582" i="5"/>
  <c r="U582" i="5"/>
  <c r="V582" i="5"/>
  <c r="W582" i="5"/>
  <c r="X582" i="5"/>
  <c r="B583" i="5"/>
  <c r="AB583" i="5" s="1"/>
  <c r="C583" i="5"/>
  <c r="D583" i="5"/>
  <c r="E583" i="5"/>
  <c r="F583" i="5"/>
  <c r="G583" i="5"/>
  <c r="H583" i="5"/>
  <c r="I583" i="5"/>
  <c r="J583" i="5"/>
  <c r="K583" i="5"/>
  <c r="L583" i="5"/>
  <c r="M583" i="5"/>
  <c r="N583" i="5"/>
  <c r="O583" i="5"/>
  <c r="P583" i="5"/>
  <c r="Q583" i="5"/>
  <c r="R583" i="5"/>
  <c r="S583" i="5"/>
  <c r="T583" i="5"/>
  <c r="U583" i="5"/>
  <c r="V583" i="5"/>
  <c r="W583" i="5"/>
  <c r="X583" i="5"/>
  <c r="B584" i="5"/>
  <c r="C584" i="5"/>
  <c r="D584" i="5"/>
  <c r="E584" i="5"/>
  <c r="F584" i="5"/>
  <c r="G584" i="5"/>
  <c r="H584" i="5"/>
  <c r="I584" i="5"/>
  <c r="J584" i="5"/>
  <c r="K584" i="5"/>
  <c r="L584" i="5"/>
  <c r="M584" i="5"/>
  <c r="N584" i="5"/>
  <c r="AC584" i="5" s="1"/>
  <c r="O584" i="5"/>
  <c r="P584" i="5"/>
  <c r="Q584" i="5"/>
  <c r="R584" i="5"/>
  <c r="S584" i="5"/>
  <c r="T584" i="5"/>
  <c r="U584" i="5"/>
  <c r="V584" i="5"/>
  <c r="W584" i="5"/>
  <c r="X584" i="5"/>
  <c r="B585" i="5"/>
  <c r="AB585" i="5" s="1"/>
  <c r="C585" i="5"/>
  <c r="D585" i="5"/>
  <c r="E585" i="5"/>
  <c r="F585" i="5"/>
  <c r="G585" i="5"/>
  <c r="H585" i="5"/>
  <c r="I585" i="5"/>
  <c r="J585" i="5"/>
  <c r="K585" i="5"/>
  <c r="L585" i="5"/>
  <c r="M585" i="5"/>
  <c r="N585" i="5"/>
  <c r="AC585" i="5" s="1"/>
  <c r="O585" i="5"/>
  <c r="P585" i="5"/>
  <c r="Q585" i="5"/>
  <c r="R585" i="5"/>
  <c r="S585" i="5"/>
  <c r="T585" i="5"/>
  <c r="U585" i="5"/>
  <c r="V585" i="5"/>
  <c r="W585" i="5"/>
  <c r="X585" i="5"/>
  <c r="B586" i="5"/>
  <c r="C586" i="5"/>
  <c r="D586" i="5"/>
  <c r="E586" i="5"/>
  <c r="F586" i="5"/>
  <c r="G586" i="5"/>
  <c r="H586" i="5"/>
  <c r="I586" i="5"/>
  <c r="J586" i="5"/>
  <c r="K586" i="5"/>
  <c r="L586" i="5"/>
  <c r="M586" i="5"/>
  <c r="N586" i="5"/>
  <c r="O586" i="5"/>
  <c r="P586" i="5"/>
  <c r="Q586" i="5"/>
  <c r="R586" i="5"/>
  <c r="S586" i="5"/>
  <c r="T586" i="5"/>
  <c r="U586" i="5"/>
  <c r="V586" i="5"/>
  <c r="W586" i="5"/>
  <c r="X586" i="5"/>
  <c r="B587" i="5"/>
  <c r="C587" i="5"/>
  <c r="D587" i="5"/>
  <c r="E587" i="5"/>
  <c r="F587" i="5"/>
  <c r="G587" i="5"/>
  <c r="H587" i="5"/>
  <c r="I587" i="5"/>
  <c r="J587" i="5"/>
  <c r="K587" i="5"/>
  <c r="L587" i="5"/>
  <c r="M587" i="5"/>
  <c r="N587" i="5"/>
  <c r="O587" i="5"/>
  <c r="P587" i="5"/>
  <c r="Q587" i="5"/>
  <c r="R587" i="5"/>
  <c r="S587" i="5"/>
  <c r="T587" i="5"/>
  <c r="U587" i="5"/>
  <c r="V587" i="5"/>
  <c r="W587" i="5"/>
  <c r="X587" i="5"/>
  <c r="B588" i="5"/>
  <c r="C588" i="5"/>
  <c r="D588" i="5"/>
  <c r="E588" i="5"/>
  <c r="F588" i="5"/>
  <c r="G588" i="5"/>
  <c r="H588" i="5"/>
  <c r="I588" i="5"/>
  <c r="J588" i="5"/>
  <c r="K588" i="5"/>
  <c r="L588" i="5"/>
  <c r="M588" i="5"/>
  <c r="N588" i="5"/>
  <c r="O588" i="5"/>
  <c r="P588" i="5"/>
  <c r="Q588" i="5"/>
  <c r="R588" i="5"/>
  <c r="S588" i="5"/>
  <c r="T588" i="5"/>
  <c r="U588" i="5"/>
  <c r="V588" i="5"/>
  <c r="W588" i="5"/>
  <c r="X588" i="5"/>
  <c r="B589" i="5"/>
  <c r="C589" i="5"/>
  <c r="D589" i="5"/>
  <c r="E589" i="5"/>
  <c r="F589" i="5"/>
  <c r="G589" i="5"/>
  <c r="H589" i="5"/>
  <c r="I589" i="5"/>
  <c r="J589" i="5"/>
  <c r="K589" i="5"/>
  <c r="L589" i="5"/>
  <c r="M589" i="5"/>
  <c r="N589" i="5"/>
  <c r="O589" i="5"/>
  <c r="P589" i="5"/>
  <c r="Q589" i="5"/>
  <c r="R589" i="5"/>
  <c r="S589" i="5"/>
  <c r="T589" i="5"/>
  <c r="U589" i="5"/>
  <c r="V589" i="5"/>
  <c r="W589" i="5"/>
  <c r="X589" i="5"/>
  <c r="B590" i="5"/>
  <c r="AB590" i="5" s="1"/>
  <c r="C590" i="5"/>
  <c r="D590" i="5"/>
  <c r="E590" i="5"/>
  <c r="F590" i="5"/>
  <c r="G590" i="5"/>
  <c r="H590" i="5"/>
  <c r="I590" i="5"/>
  <c r="J590" i="5"/>
  <c r="K590" i="5"/>
  <c r="L590" i="5"/>
  <c r="M590" i="5"/>
  <c r="N590" i="5"/>
  <c r="O590" i="5"/>
  <c r="P590" i="5"/>
  <c r="Q590" i="5"/>
  <c r="R590" i="5"/>
  <c r="S590" i="5"/>
  <c r="T590" i="5"/>
  <c r="U590" i="5"/>
  <c r="V590" i="5"/>
  <c r="W590" i="5"/>
  <c r="X590" i="5"/>
  <c r="AC590" i="5"/>
  <c r="B591" i="5"/>
  <c r="C591" i="5"/>
  <c r="D591" i="5"/>
  <c r="E591" i="5"/>
  <c r="F591" i="5"/>
  <c r="G591" i="5"/>
  <c r="H591" i="5"/>
  <c r="I591" i="5"/>
  <c r="J591" i="5"/>
  <c r="K591" i="5"/>
  <c r="L591" i="5"/>
  <c r="M591" i="5"/>
  <c r="N591" i="5"/>
  <c r="O591" i="5"/>
  <c r="P591" i="5"/>
  <c r="Q591" i="5"/>
  <c r="R591" i="5"/>
  <c r="S591" i="5"/>
  <c r="T591" i="5"/>
  <c r="U591" i="5"/>
  <c r="V591" i="5"/>
  <c r="W591" i="5"/>
  <c r="X591" i="5"/>
  <c r="B592" i="5"/>
  <c r="C592" i="5"/>
  <c r="D592" i="5"/>
  <c r="E592" i="5"/>
  <c r="F592" i="5"/>
  <c r="G592" i="5"/>
  <c r="H592" i="5"/>
  <c r="I592" i="5"/>
  <c r="J592" i="5"/>
  <c r="K592" i="5"/>
  <c r="L592" i="5"/>
  <c r="M592" i="5"/>
  <c r="N592" i="5"/>
  <c r="O592" i="5"/>
  <c r="P592" i="5"/>
  <c r="Q592" i="5"/>
  <c r="R592" i="5"/>
  <c r="S592" i="5"/>
  <c r="T592" i="5"/>
  <c r="U592" i="5"/>
  <c r="V592" i="5"/>
  <c r="W592" i="5"/>
  <c r="X592" i="5"/>
  <c r="B593" i="5"/>
  <c r="C593" i="5"/>
  <c r="D593" i="5"/>
  <c r="E593" i="5"/>
  <c r="F593" i="5"/>
  <c r="G593" i="5"/>
  <c r="H593" i="5"/>
  <c r="I593" i="5"/>
  <c r="J593" i="5"/>
  <c r="K593" i="5"/>
  <c r="L593" i="5"/>
  <c r="M593" i="5"/>
  <c r="N593" i="5"/>
  <c r="O593" i="5"/>
  <c r="P593" i="5"/>
  <c r="Q593" i="5"/>
  <c r="R593" i="5"/>
  <c r="S593" i="5"/>
  <c r="T593" i="5"/>
  <c r="U593" i="5"/>
  <c r="V593" i="5"/>
  <c r="W593" i="5"/>
  <c r="X593" i="5"/>
  <c r="B594" i="5"/>
  <c r="C594" i="5"/>
  <c r="D594" i="5"/>
  <c r="E594" i="5"/>
  <c r="F594" i="5"/>
  <c r="G594" i="5"/>
  <c r="H594" i="5"/>
  <c r="I594" i="5"/>
  <c r="J594" i="5"/>
  <c r="K594" i="5"/>
  <c r="L594" i="5"/>
  <c r="M594" i="5"/>
  <c r="N594" i="5"/>
  <c r="O594" i="5"/>
  <c r="P594" i="5"/>
  <c r="Q594" i="5"/>
  <c r="R594" i="5"/>
  <c r="S594" i="5"/>
  <c r="T594" i="5"/>
  <c r="U594" i="5"/>
  <c r="V594" i="5"/>
  <c r="W594" i="5"/>
  <c r="X594" i="5"/>
  <c r="B595" i="5"/>
  <c r="C595" i="5"/>
  <c r="D595" i="5"/>
  <c r="E595" i="5"/>
  <c r="F595" i="5"/>
  <c r="G595" i="5"/>
  <c r="H595" i="5"/>
  <c r="I595" i="5"/>
  <c r="J595" i="5"/>
  <c r="K595" i="5"/>
  <c r="L595" i="5"/>
  <c r="M595" i="5"/>
  <c r="N595" i="5"/>
  <c r="O595" i="5"/>
  <c r="P595" i="5"/>
  <c r="Q595" i="5"/>
  <c r="R595" i="5"/>
  <c r="S595" i="5"/>
  <c r="T595" i="5"/>
  <c r="U595" i="5"/>
  <c r="V595" i="5"/>
  <c r="W595" i="5"/>
  <c r="X595" i="5"/>
  <c r="B596" i="5"/>
  <c r="C596" i="5"/>
  <c r="D596" i="5"/>
  <c r="E596" i="5"/>
  <c r="F596" i="5"/>
  <c r="G596" i="5"/>
  <c r="H596" i="5"/>
  <c r="I596" i="5"/>
  <c r="J596" i="5"/>
  <c r="K596" i="5"/>
  <c r="L596" i="5"/>
  <c r="M596" i="5"/>
  <c r="N596" i="5"/>
  <c r="O596" i="5"/>
  <c r="P596" i="5"/>
  <c r="Q596" i="5"/>
  <c r="R596" i="5"/>
  <c r="S596" i="5"/>
  <c r="T596" i="5"/>
  <c r="U596" i="5"/>
  <c r="V596" i="5"/>
  <c r="W596" i="5"/>
  <c r="X596" i="5"/>
  <c r="B597" i="5"/>
  <c r="C597" i="5"/>
  <c r="D597" i="5"/>
  <c r="E597" i="5"/>
  <c r="F597" i="5"/>
  <c r="G597" i="5"/>
  <c r="H597" i="5"/>
  <c r="I597" i="5"/>
  <c r="J597" i="5"/>
  <c r="K597" i="5"/>
  <c r="L597" i="5"/>
  <c r="M597" i="5"/>
  <c r="N597" i="5"/>
  <c r="O597" i="5"/>
  <c r="AC597" i="5" s="1"/>
  <c r="P597" i="5"/>
  <c r="Q597" i="5"/>
  <c r="R597" i="5"/>
  <c r="S597" i="5"/>
  <c r="T597" i="5"/>
  <c r="U597" i="5"/>
  <c r="V597" i="5"/>
  <c r="W597" i="5"/>
  <c r="X597" i="5"/>
  <c r="B598" i="5"/>
  <c r="C598" i="5"/>
  <c r="D598" i="5"/>
  <c r="E598" i="5"/>
  <c r="F598" i="5"/>
  <c r="G598" i="5"/>
  <c r="H598" i="5"/>
  <c r="I598" i="5"/>
  <c r="J598" i="5"/>
  <c r="K598" i="5"/>
  <c r="L598" i="5"/>
  <c r="M598" i="5"/>
  <c r="N598" i="5"/>
  <c r="O598" i="5"/>
  <c r="AC598" i="5" s="1"/>
  <c r="P598" i="5"/>
  <c r="Q598" i="5"/>
  <c r="R598" i="5"/>
  <c r="S598" i="5"/>
  <c r="T598" i="5"/>
  <c r="U598" i="5"/>
  <c r="V598" i="5"/>
  <c r="W598" i="5"/>
  <c r="X598" i="5"/>
  <c r="B599" i="5"/>
  <c r="C599" i="5"/>
  <c r="AB599" i="5" s="1"/>
  <c r="D599" i="5"/>
  <c r="E599" i="5"/>
  <c r="F599" i="5"/>
  <c r="G599" i="5"/>
  <c r="H599" i="5"/>
  <c r="I599" i="5"/>
  <c r="J599" i="5"/>
  <c r="K599" i="5"/>
  <c r="L599" i="5"/>
  <c r="M599" i="5"/>
  <c r="N599" i="5"/>
  <c r="O599" i="5"/>
  <c r="P599" i="5"/>
  <c r="Q599" i="5"/>
  <c r="R599" i="5"/>
  <c r="S599" i="5"/>
  <c r="T599" i="5"/>
  <c r="U599" i="5"/>
  <c r="V599" i="5"/>
  <c r="W599" i="5"/>
  <c r="X599" i="5"/>
  <c r="B600" i="5"/>
  <c r="C600" i="5"/>
  <c r="D600" i="5"/>
  <c r="E600" i="5"/>
  <c r="F600" i="5"/>
  <c r="G600" i="5"/>
  <c r="H600" i="5"/>
  <c r="I600" i="5"/>
  <c r="J600" i="5"/>
  <c r="K600" i="5"/>
  <c r="L600" i="5"/>
  <c r="M600" i="5"/>
  <c r="N600" i="5"/>
  <c r="O600" i="5"/>
  <c r="AC600" i="5" s="1"/>
  <c r="P600" i="5"/>
  <c r="Q600" i="5"/>
  <c r="R600" i="5"/>
  <c r="S600" i="5"/>
  <c r="T600" i="5"/>
  <c r="U600" i="5"/>
  <c r="V600" i="5"/>
  <c r="W600" i="5"/>
  <c r="X600" i="5"/>
  <c r="B601" i="5"/>
  <c r="C601" i="5"/>
  <c r="AB601" i="5" s="1"/>
  <c r="D601" i="5"/>
  <c r="E601" i="5"/>
  <c r="F601" i="5"/>
  <c r="G601" i="5"/>
  <c r="H601" i="5"/>
  <c r="I601" i="5"/>
  <c r="J601" i="5"/>
  <c r="K601" i="5"/>
  <c r="L601" i="5"/>
  <c r="M601" i="5"/>
  <c r="N601" i="5"/>
  <c r="O601" i="5"/>
  <c r="P601" i="5"/>
  <c r="Q601" i="5"/>
  <c r="R601" i="5"/>
  <c r="S601" i="5"/>
  <c r="T601" i="5"/>
  <c r="U601" i="5"/>
  <c r="V601" i="5"/>
  <c r="W601" i="5"/>
  <c r="X601" i="5"/>
  <c r="B602" i="5"/>
  <c r="C602" i="5"/>
  <c r="D602" i="5"/>
  <c r="E602" i="5"/>
  <c r="F602" i="5"/>
  <c r="G602" i="5"/>
  <c r="H602" i="5"/>
  <c r="I602" i="5"/>
  <c r="J602" i="5"/>
  <c r="K602" i="5"/>
  <c r="L602" i="5"/>
  <c r="M602" i="5"/>
  <c r="N602" i="5"/>
  <c r="O602" i="5"/>
  <c r="P602" i="5"/>
  <c r="Q602" i="5"/>
  <c r="R602" i="5"/>
  <c r="S602" i="5"/>
  <c r="T602" i="5"/>
  <c r="U602" i="5"/>
  <c r="V602" i="5"/>
  <c r="W602" i="5"/>
  <c r="X602" i="5"/>
  <c r="B603" i="5"/>
  <c r="C603" i="5"/>
  <c r="D603" i="5"/>
  <c r="E603" i="5"/>
  <c r="F603" i="5"/>
  <c r="G603" i="5"/>
  <c r="H603" i="5"/>
  <c r="I603" i="5"/>
  <c r="J603" i="5"/>
  <c r="K603" i="5"/>
  <c r="L603" i="5"/>
  <c r="M603" i="5"/>
  <c r="N603" i="5"/>
  <c r="O603" i="5"/>
  <c r="P603" i="5"/>
  <c r="Q603" i="5"/>
  <c r="R603" i="5"/>
  <c r="S603" i="5"/>
  <c r="T603" i="5"/>
  <c r="U603" i="5"/>
  <c r="V603" i="5"/>
  <c r="W603" i="5"/>
  <c r="X603" i="5"/>
  <c r="B604" i="5"/>
  <c r="C604" i="5"/>
  <c r="D604" i="5"/>
  <c r="E604" i="5"/>
  <c r="F604" i="5"/>
  <c r="G604" i="5"/>
  <c r="H604" i="5"/>
  <c r="I604" i="5"/>
  <c r="J604" i="5"/>
  <c r="K604" i="5"/>
  <c r="L604" i="5"/>
  <c r="M604" i="5"/>
  <c r="N604" i="5"/>
  <c r="O604" i="5"/>
  <c r="P604" i="5"/>
  <c r="Q604" i="5"/>
  <c r="R604" i="5"/>
  <c r="S604" i="5"/>
  <c r="T604" i="5"/>
  <c r="U604" i="5"/>
  <c r="V604" i="5"/>
  <c r="W604" i="5"/>
  <c r="X604" i="5"/>
  <c r="B605" i="5"/>
  <c r="C605" i="5"/>
  <c r="D605" i="5"/>
  <c r="E605" i="5"/>
  <c r="F605" i="5"/>
  <c r="G605" i="5"/>
  <c r="H605" i="5"/>
  <c r="I605" i="5"/>
  <c r="J605" i="5"/>
  <c r="K605" i="5"/>
  <c r="L605" i="5"/>
  <c r="M605" i="5"/>
  <c r="N605" i="5"/>
  <c r="AC605" i="5" s="1"/>
  <c r="O605" i="5"/>
  <c r="P605" i="5"/>
  <c r="Q605" i="5"/>
  <c r="R605" i="5"/>
  <c r="S605" i="5"/>
  <c r="T605" i="5"/>
  <c r="U605" i="5"/>
  <c r="V605" i="5"/>
  <c r="W605" i="5"/>
  <c r="X605" i="5"/>
  <c r="B606" i="5"/>
  <c r="C606" i="5"/>
  <c r="D606" i="5"/>
  <c r="E606" i="5"/>
  <c r="F606" i="5"/>
  <c r="G606" i="5"/>
  <c r="H606" i="5"/>
  <c r="I606" i="5"/>
  <c r="J606" i="5"/>
  <c r="K606" i="5"/>
  <c r="L606" i="5"/>
  <c r="M606" i="5"/>
  <c r="N606" i="5"/>
  <c r="AC606" i="5" s="1"/>
  <c r="O606" i="5"/>
  <c r="P606" i="5"/>
  <c r="Q606" i="5"/>
  <c r="R606" i="5"/>
  <c r="S606" i="5"/>
  <c r="T606" i="5"/>
  <c r="U606" i="5"/>
  <c r="V606" i="5"/>
  <c r="W606" i="5"/>
  <c r="X606" i="5"/>
  <c r="B607" i="5"/>
  <c r="AB607" i="5" s="1"/>
  <c r="C607" i="5"/>
  <c r="D607" i="5"/>
  <c r="E607" i="5"/>
  <c r="F607" i="5"/>
  <c r="G607" i="5"/>
  <c r="H607" i="5"/>
  <c r="I607" i="5"/>
  <c r="J607" i="5"/>
  <c r="K607" i="5"/>
  <c r="L607" i="5"/>
  <c r="M607" i="5"/>
  <c r="N607" i="5"/>
  <c r="O607" i="5"/>
  <c r="P607" i="5"/>
  <c r="Q607" i="5"/>
  <c r="R607" i="5"/>
  <c r="S607" i="5"/>
  <c r="T607" i="5"/>
  <c r="U607" i="5"/>
  <c r="V607" i="5"/>
  <c r="W607" i="5"/>
  <c r="X607" i="5"/>
  <c r="B608" i="5"/>
  <c r="C608" i="5"/>
  <c r="D608" i="5"/>
  <c r="E608" i="5"/>
  <c r="F608" i="5"/>
  <c r="G608" i="5"/>
  <c r="H608" i="5"/>
  <c r="I608" i="5"/>
  <c r="J608" i="5"/>
  <c r="K608" i="5"/>
  <c r="L608" i="5"/>
  <c r="M608" i="5"/>
  <c r="N608" i="5"/>
  <c r="O608" i="5"/>
  <c r="P608" i="5"/>
  <c r="Q608" i="5"/>
  <c r="R608" i="5"/>
  <c r="S608" i="5"/>
  <c r="T608" i="5"/>
  <c r="U608" i="5"/>
  <c r="V608" i="5"/>
  <c r="W608" i="5"/>
  <c r="X608" i="5"/>
  <c r="B609" i="5"/>
  <c r="C609" i="5"/>
  <c r="D609" i="5"/>
  <c r="E609" i="5"/>
  <c r="F609" i="5"/>
  <c r="G609" i="5"/>
  <c r="H609" i="5"/>
  <c r="I609" i="5"/>
  <c r="J609" i="5"/>
  <c r="K609" i="5"/>
  <c r="L609" i="5"/>
  <c r="M609" i="5"/>
  <c r="N609" i="5"/>
  <c r="O609" i="5"/>
  <c r="P609" i="5"/>
  <c r="Q609" i="5"/>
  <c r="R609" i="5"/>
  <c r="S609" i="5"/>
  <c r="T609" i="5"/>
  <c r="U609" i="5"/>
  <c r="V609" i="5"/>
  <c r="W609" i="5"/>
  <c r="X609" i="5"/>
  <c r="B610" i="5"/>
  <c r="C610" i="5"/>
  <c r="D610" i="5"/>
  <c r="E610" i="5"/>
  <c r="F610" i="5"/>
  <c r="G610" i="5"/>
  <c r="H610" i="5"/>
  <c r="I610" i="5"/>
  <c r="J610" i="5"/>
  <c r="K610" i="5"/>
  <c r="L610" i="5"/>
  <c r="M610" i="5"/>
  <c r="N610" i="5"/>
  <c r="O610" i="5"/>
  <c r="P610" i="5"/>
  <c r="Q610" i="5"/>
  <c r="R610" i="5"/>
  <c r="S610" i="5"/>
  <c r="T610" i="5"/>
  <c r="U610" i="5"/>
  <c r="V610" i="5"/>
  <c r="W610" i="5"/>
  <c r="X610" i="5"/>
  <c r="B611" i="5"/>
  <c r="C611" i="5"/>
  <c r="D611" i="5"/>
  <c r="E611" i="5"/>
  <c r="F611" i="5"/>
  <c r="G611" i="5"/>
  <c r="H611" i="5"/>
  <c r="I611" i="5"/>
  <c r="J611" i="5"/>
  <c r="K611" i="5"/>
  <c r="L611" i="5"/>
  <c r="M611" i="5"/>
  <c r="AC611" i="5" s="1"/>
  <c r="N611" i="5"/>
  <c r="O611" i="5"/>
  <c r="P611" i="5"/>
  <c r="Q611" i="5"/>
  <c r="R611" i="5"/>
  <c r="S611" i="5"/>
  <c r="T611" i="5"/>
  <c r="U611" i="5"/>
  <c r="V611" i="5"/>
  <c r="W611" i="5"/>
  <c r="X611" i="5"/>
  <c r="B612" i="5"/>
  <c r="C612" i="5"/>
  <c r="D612" i="5"/>
  <c r="E612" i="5"/>
  <c r="F612" i="5"/>
  <c r="G612" i="5"/>
  <c r="H612" i="5"/>
  <c r="I612" i="5"/>
  <c r="J612" i="5"/>
  <c r="K612" i="5"/>
  <c r="L612" i="5"/>
  <c r="M612" i="5"/>
  <c r="N612" i="5"/>
  <c r="AC612" i="5" s="1"/>
  <c r="O612" i="5"/>
  <c r="P612" i="5"/>
  <c r="Q612" i="5"/>
  <c r="R612" i="5"/>
  <c r="S612" i="5"/>
  <c r="T612" i="5"/>
  <c r="U612" i="5"/>
  <c r="V612" i="5"/>
  <c r="W612" i="5"/>
  <c r="X612" i="5"/>
  <c r="B613" i="5"/>
  <c r="C613" i="5"/>
  <c r="D613" i="5"/>
  <c r="E613" i="5"/>
  <c r="F613" i="5"/>
  <c r="G613" i="5"/>
  <c r="H613" i="5"/>
  <c r="I613" i="5"/>
  <c r="J613" i="5"/>
  <c r="K613" i="5"/>
  <c r="L613" i="5"/>
  <c r="M613" i="5"/>
  <c r="N613" i="5"/>
  <c r="O613" i="5"/>
  <c r="AC613" i="5" s="1"/>
  <c r="P613" i="5"/>
  <c r="Q613" i="5"/>
  <c r="R613" i="5"/>
  <c r="S613" i="5"/>
  <c r="T613" i="5"/>
  <c r="U613" i="5"/>
  <c r="V613" i="5"/>
  <c r="W613" i="5"/>
  <c r="X613" i="5"/>
  <c r="B614" i="5"/>
  <c r="C614" i="5"/>
  <c r="AB614" i="5" s="1"/>
  <c r="D614" i="5"/>
  <c r="E614" i="5"/>
  <c r="F614" i="5"/>
  <c r="G614" i="5"/>
  <c r="H614" i="5"/>
  <c r="I614" i="5"/>
  <c r="J614" i="5"/>
  <c r="K614" i="5"/>
  <c r="L614" i="5"/>
  <c r="M614" i="5"/>
  <c r="N614" i="5"/>
  <c r="O614" i="5"/>
  <c r="AC614" i="5" s="1"/>
  <c r="P614" i="5"/>
  <c r="Q614" i="5"/>
  <c r="R614" i="5"/>
  <c r="S614" i="5"/>
  <c r="T614" i="5"/>
  <c r="U614" i="5"/>
  <c r="V614" i="5"/>
  <c r="W614" i="5"/>
  <c r="X614" i="5"/>
  <c r="B615" i="5"/>
  <c r="C615" i="5"/>
  <c r="D615" i="5"/>
  <c r="E615" i="5"/>
  <c r="F615" i="5"/>
  <c r="G615" i="5"/>
  <c r="H615" i="5"/>
  <c r="I615" i="5"/>
  <c r="J615" i="5"/>
  <c r="K615" i="5"/>
  <c r="L615" i="5"/>
  <c r="M615" i="5"/>
  <c r="N615" i="5"/>
  <c r="O615" i="5"/>
  <c r="P615" i="5"/>
  <c r="Q615" i="5"/>
  <c r="R615" i="5"/>
  <c r="S615" i="5"/>
  <c r="T615" i="5"/>
  <c r="U615" i="5"/>
  <c r="V615" i="5"/>
  <c r="W615" i="5"/>
  <c r="X615" i="5"/>
  <c r="B616" i="5"/>
  <c r="C616" i="5"/>
  <c r="D616" i="5"/>
  <c r="E616" i="5"/>
  <c r="F616" i="5"/>
  <c r="G616" i="5"/>
  <c r="H616" i="5"/>
  <c r="I616" i="5"/>
  <c r="J616" i="5"/>
  <c r="K616" i="5"/>
  <c r="L616" i="5"/>
  <c r="M616" i="5"/>
  <c r="N616" i="5"/>
  <c r="O616" i="5"/>
  <c r="P616" i="5"/>
  <c r="Q616" i="5"/>
  <c r="R616" i="5"/>
  <c r="S616" i="5"/>
  <c r="T616" i="5"/>
  <c r="U616" i="5"/>
  <c r="V616" i="5"/>
  <c r="W616" i="5"/>
  <c r="X616" i="5"/>
  <c r="B617" i="5"/>
  <c r="C617" i="5"/>
  <c r="D617" i="5"/>
  <c r="E617" i="5"/>
  <c r="F617" i="5"/>
  <c r="G617" i="5"/>
  <c r="H617" i="5"/>
  <c r="I617" i="5"/>
  <c r="J617" i="5"/>
  <c r="K617" i="5"/>
  <c r="L617" i="5"/>
  <c r="M617" i="5"/>
  <c r="N617" i="5"/>
  <c r="O617" i="5"/>
  <c r="P617" i="5"/>
  <c r="Q617" i="5"/>
  <c r="R617" i="5"/>
  <c r="S617" i="5"/>
  <c r="T617" i="5"/>
  <c r="U617" i="5"/>
  <c r="V617" i="5"/>
  <c r="W617" i="5"/>
  <c r="X617" i="5"/>
  <c r="B618" i="5"/>
  <c r="C618" i="5"/>
  <c r="D618" i="5"/>
  <c r="E618" i="5"/>
  <c r="F618" i="5"/>
  <c r="G618" i="5"/>
  <c r="H618" i="5"/>
  <c r="I618" i="5"/>
  <c r="J618" i="5"/>
  <c r="K618" i="5"/>
  <c r="L618" i="5"/>
  <c r="M618" i="5"/>
  <c r="N618" i="5"/>
  <c r="O618" i="5"/>
  <c r="P618" i="5"/>
  <c r="Q618" i="5"/>
  <c r="R618" i="5"/>
  <c r="S618" i="5"/>
  <c r="T618" i="5"/>
  <c r="U618" i="5"/>
  <c r="V618" i="5"/>
  <c r="W618" i="5"/>
  <c r="X618" i="5"/>
  <c r="B619" i="5"/>
  <c r="C619" i="5"/>
  <c r="D619" i="5"/>
  <c r="E619" i="5"/>
  <c r="F619" i="5"/>
  <c r="G619" i="5"/>
  <c r="H619" i="5"/>
  <c r="I619" i="5"/>
  <c r="J619" i="5"/>
  <c r="K619" i="5"/>
  <c r="L619" i="5"/>
  <c r="M619" i="5"/>
  <c r="N619" i="5"/>
  <c r="O619" i="5"/>
  <c r="P619" i="5"/>
  <c r="Q619" i="5"/>
  <c r="R619" i="5"/>
  <c r="S619" i="5"/>
  <c r="T619" i="5"/>
  <c r="U619" i="5"/>
  <c r="V619" i="5"/>
  <c r="W619" i="5"/>
  <c r="X619" i="5"/>
  <c r="B620" i="5"/>
  <c r="C620" i="5"/>
  <c r="D620" i="5"/>
  <c r="E620" i="5"/>
  <c r="F620" i="5"/>
  <c r="G620" i="5"/>
  <c r="H620" i="5"/>
  <c r="I620" i="5"/>
  <c r="J620" i="5"/>
  <c r="K620" i="5"/>
  <c r="L620" i="5"/>
  <c r="M620" i="5"/>
  <c r="N620" i="5"/>
  <c r="O620" i="5"/>
  <c r="P620" i="5"/>
  <c r="Q620" i="5"/>
  <c r="R620" i="5"/>
  <c r="S620" i="5"/>
  <c r="T620" i="5"/>
  <c r="U620" i="5"/>
  <c r="V620" i="5"/>
  <c r="W620" i="5"/>
  <c r="X620" i="5"/>
  <c r="B621" i="5"/>
  <c r="C621" i="5"/>
  <c r="D621" i="5"/>
  <c r="E621" i="5"/>
  <c r="F621" i="5"/>
  <c r="G621" i="5"/>
  <c r="H621" i="5"/>
  <c r="I621" i="5"/>
  <c r="J621" i="5"/>
  <c r="K621" i="5"/>
  <c r="L621" i="5"/>
  <c r="M621" i="5"/>
  <c r="N621" i="5"/>
  <c r="O621" i="5"/>
  <c r="P621" i="5"/>
  <c r="AC621" i="5" s="1"/>
  <c r="Q621" i="5"/>
  <c r="R621" i="5"/>
  <c r="S621" i="5"/>
  <c r="T621" i="5"/>
  <c r="U621" i="5"/>
  <c r="V621" i="5"/>
  <c r="W621" i="5"/>
  <c r="X621" i="5"/>
  <c r="B622" i="5"/>
  <c r="C622" i="5"/>
  <c r="D622" i="5"/>
  <c r="AB622" i="5" s="1"/>
  <c r="E622" i="5"/>
  <c r="F622" i="5"/>
  <c r="G622" i="5"/>
  <c r="H622" i="5"/>
  <c r="I622" i="5"/>
  <c r="J622" i="5"/>
  <c r="K622" i="5"/>
  <c r="L622" i="5"/>
  <c r="M622" i="5"/>
  <c r="N622" i="5"/>
  <c r="O622" i="5"/>
  <c r="P622" i="5"/>
  <c r="AC622" i="5" s="1"/>
  <c r="Q622" i="5"/>
  <c r="R622" i="5"/>
  <c r="S622" i="5"/>
  <c r="T622" i="5"/>
  <c r="U622" i="5"/>
  <c r="V622" i="5"/>
  <c r="W622" i="5"/>
  <c r="X622" i="5"/>
  <c r="B623" i="5"/>
  <c r="C623" i="5"/>
  <c r="D623" i="5"/>
  <c r="E623" i="5"/>
  <c r="F623" i="5"/>
  <c r="G623" i="5"/>
  <c r="H623" i="5"/>
  <c r="I623" i="5"/>
  <c r="J623" i="5"/>
  <c r="K623" i="5"/>
  <c r="L623" i="5"/>
  <c r="M623" i="5"/>
  <c r="N623" i="5"/>
  <c r="O623" i="5"/>
  <c r="P623" i="5"/>
  <c r="Q623" i="5"/>
  <c r="R623" i="5"/>
  <c r="S623" i="5"/>
  <c r="T623" i="5"/>
  <c r="U623" i="5"/>
  <c r="V623" i="5"/>
  <c r="W623" i="5"/>
  <c r="X623" i="5"/>
  <c r="B624" i="5"/>
  <c r="C624" i="5"/>
  <c r="D624" i="5"/>
  <c r="E624" i="5"/>
  <c r="F624" i="5"/>
  <c r="G624" i="5"/>
  <c r="H624" i="5"/>
  <c r="I624" i="5"/>
  <c r="J624" i="5"/>
  <c r="K624" i="5"/>
  <c r="L624" i="5"/>
  <c r="M624" i="5"/>
  <c r="N624" i="5"/>
  <c r="O624" i="5"/>
  <c r="P624" i="5"/>
  <c r="Q624" i="5"/>
  <c r="R624" i="5"/>
  <c r="S624" i="5"/>
  <c r="T624" i="5"/>
  <c r="U624" i="5"/>
  <c r="V624" i="5"/>
  <c r="W624" i="5"/>
  <c r="X624" i="5"/>
  <c r="B625" i="5"/>
  <c r="C625" i="5"/>
  <c r="D625" i="5"/>
  <c r="E625" i="5"/>
  <c r="F625" i="5"/>
  <c r="G625" i="5"/>
  <c r="H625" i="5"/>
  <c r="I625" i="5"/>
  <c r="J625" i="5"/>
  <c r="K625" i="5"/>
  <c r="L625" i="5"/>
  <c r="M625" i="5"/>
  <c r="N625" i="5"/>
  <c r="O625" i="5"/>
  <c r="P625" i="5"/>
  <c r="Q625" i="5"/>
  <c r="R625" i="5"/>
  <c r="S625" i="5"/>
  <c r="T625" i="5"/>
  <c r="U625" i="5"/>
  <c r="V625" i="5"/>
  <c r="W625" i="5"/>
  <c r="X625" i="5"/>
  <c r="B626" i="5"/>
  <c r="C626" i="5"/>
  <c r="D626" i="5"/>
  <c r="E626" i="5"/>
  <c r="F626" i="5"/>
  <c r="G626" i="5"/>
  <c r="H626" i="5"/>
  <c r="I626" i="5"/>
  <c r="J626" i="5"/>
  <c r="K626" i="5"/>
  <c r="L626" i="5"/>
  <c r="M626" i="5"/>
  <c r="N626" i="5"/>
  <c r="O626" i="5"/>
  <c r="P626" i="5"/>
  <c r="Q626" i="5"/>
  <c r="R626" i="5"/>
  <c r="S626" i="5"/>
  <c r="T626" i="5"/>
  <c r="U626" i="5"/>
  <c r="V626" i="5"/>
  <c r="W626" i="5"/>
  <c r="X626" i="5"/>
  <c r="B627" i="5"/>
  <c r="C627" i="5"/>
  <c r="D627" i="5"/>
  <c r="E627" i="5"/>
  <c r="F627" i="5"/>
  <c r="G627" i="5"/>
  <c r="H627" i="5"/>
  <c r="I627" i="5"/>
  <c r="J627" i="5"/>
  <c r="K627" i="5"/>
  <c r="L627" i="5"/>
  <c r="M627" i="5"/>
  <c r="N627" i="5"/>
  <c r="O627" i="5"/>
  <c r="P627" i="5"/>
  <c r="Q627" i="5"/>
  <c r="R627" i="5"/>
  <c r="S627" i="5"/>
  <c r="T627" i="5"/>
  <c r="U627" i="5"/>
  <c r="V627" i="5"/>
  <c r="W627" i="5"/>
  <c r="X627" i="5"/>
  <c r="B628" i="5"/>
  <c r="C628" i="5"/>
  <c r="D628" i="5"/>
  <c r="E628" i="5"/>
  <c r="F628" i="5"/>
  <c r="G628" i="5"/>
  <c r="H628" i="5"/>
  <c r="I628" i="5"/>
  <c r="J628" i="5"/>
  <c r="K628" i="5"/>
  <c r="L628" i="5"/>
  <c r="M628" i="5"/>
  <c r="N628" i="5"/>
  <c r="O628" i="5"/>
  <c r="P628" i="5"/>
  <c r="Q628" i="5"/>
  <c r="R628" i="5"/>
  <c r="S628" i="5"/>
  <c r="T628" i="5"/>
  <c r="U628" i="5"/>
  <c r="V628" i="5"/>
  <c r="W628" i="5"/>
  <c r="X628" i="5"/>
  <c r="B629" i="5"/>
  <c r="C629" i="5"/>
  <c r="D629" i="5"/>
  <c r="E629" i="5"/>
  <c r="F629" i="5"/>
  <c r="G629" i="5"/>
  <c r="H629" i="5"/>
  <c r="I629" i="5"/>
  <c r="J629" i="5"/>
  <c r="K629" i="5"/>
  <c r="L629" i="5"/>
  <c r="M629" i="5"/>
  <c r="N629" i="5"/>
  <c r="O629" i="5"/>
  <c r="P629" i="5"/>
  <c r="Q629" i="5"/>
  <c r="R629" i="5"/>
  <c r="S629" i="5"/>
  <c r="T629" i="5"/>
  <c r="U629" i="5"/>
  <c r="V629" i="5"/>
  <c r="W629" i="5"/>
  <c r="X629" i="5"/>
  <c r="AC629" i="5"/>
  <c r="B630" i="5"/>
  <c r="C630" i="5"/>
  <c r="D630" i="5"/>
  <c r="E630" i="5"/>
  <c r="F630" i="5"/>
  <c r="G630" i="5"/>
  <c r="H630" i="5"/>
  <c r="I630" i="5"/>
  <c r="J630" i="5"/>
  <c r="K630" i="5"/>
  <c r="L630" i="5"/>
  <c r="M630" i="5"/>
  <c r="N630" i="5"/>
  <c r="O630" i="5"/>
  <c r="P630" i="5"/>
  <c r="Q630" i="5"/>
  <c r="R630" i="5"/>
  <c r="S630" i="5"/>
  <c r="T630" i="5"/>
  <c r="U630" i="5"/>
  <c r="V630" i="5"/>
  <c r="W630" i="5"/>
  <c r="X630" i="5"/>
  <c r="AC630" i="5"/>
  <c r="B631" i="5"/>
  <c r="C631" i="5"/>
  <c r="D631" i="5"/>
  <c r="E631" i="5"/>
  <c r="F631" i="5"/>
  <c r="G631" i="5"/>
  <c r="H631" i="5"/>
  <c r="I631" i="5"/>
  <c r="J631" i="5"/>
  <c r="K631" i="5"/>
  <c r="L631" i="5"/>
  <c r="M631" i="5"/>
  <c r="N631" i="5"/>
  <c r="O631" i="5"/>
  <c r="P631" i="5"/>
  <c r="Q631" i="5"/>
  <c r="R631" i="5"/>
  <c r="S631" i="5"/>
  <c r="T631" i="5"/>
  <c r="U631" i="5"/>
  <c r="V631" i="5"/>
  <c r="W631" i="5"/>
  <c r="X631" i="5"/>
  <c r="AB631" i="5"/>
  <c r="B632" i="5"/>
  <c r="C632" i="5"/>
  <c r="D632" i="5"/>
  <c r="E632" i="5"/>
  <c r="F632" i="5"/>
  <c r="G632" i="5"/>
  <c r="H632" i="5"/>
  <c r="I632" i="5"/>
  <c r="J632" i="5"/>
  <c r="K632" i="5"/>
  <c r="L632" i="5"/>
  <c r="M632" i="5"/>
  <c r="N632" i="5"/>
  <c r="O632" i="5"/>
  <c r="P632" i="5"/>
  <c r="Q632" i="5"/>
  <c r="R632" i="5"/>
  <c r="S632" i="5"/>
  <c r="T632" i="5"/>
  <c r="U632" i="5"/>
  <c r="V632" i="5"/>
  <c r="W632" i="5"/>
  <c r="X632" i="5"/>
  <c r="AC632" i="5"/>
  <c r="B633" i="5"/>
  <c r="C633" i="5"/>
  <c r="D633" i="5"/>
  <c r="E633" i="5"/>
  <c r="F633" i="5"/>
  <c r="G633" i="5"/>
  <c r="H633" i="5"/>
  <c r="I633" i="5"/>
  <c r="J633" i="5"/>
  <c r="K633" i="5"/>
  <c r="L633" i="5"/>
  <c r="M633" i="5"/>
  <c r="N633" i="5"/>
  <c r="O633" i="5"/>
  <c r="P633" i="5"/>
  <c r="Q633" i="5"/>
  <c r="R633" i="5"/>
  <c r="S633" i="5"/>
  <c r="T633" i="5"/>
  <c r="U633" i="5"/>
  <c r="V633" i="5"/>
  <c r="W633" i="5"/>
  <c r="X633" i="5"/>
  <c r="AB633" i="5"/>
  <c r="B634" i="5"/>
  <c r="C634" i="5"/>
  <c r="D634" i="5"/>
  <c r="E634" i="5"/>
  <c r="F634" i="5"/>
  <c r="G634" i="5"/>
  <c r="H634" i="5"/>
  <c r="I634" i="5"/>
  <c r="J634" i="5"/>
  <c r="K634" i="5"/>
  <c r="L634" i="5"/>
  <c r="M634" i="5"/>
  <c r="AC634" i="5" s="1"/>
  <c r="N634" i="5"/>
  <c r="O634" i="5"/>
  <c r="P634" i="5"/>
  <c r="Q634" i="5"/>
  <c r="R634" i="5"/>
  <c r="S634" i="5"/>
  <c r="T634" i="5"/>
  <c r="U634" i="5"/>
  <c r="V634" i="5"/>
  <c r="W634" i="5"/>
  <c r="X634" i="5"/>
  <c r="B635" i="5"/>
  <c r="C635" i="5"/>
  <c r="D635" i="5"/>
  <c r="E635" i="5"/>
  <c r="F635" i="5"/>
  <c r="G635" i="5"/>
  <c r="H635" i="5"/>
  <c r="I635" i="5"/>
  <c r="J635" i="5"/>
  <c r="K635" i="5"/>
  <c r="L635" i="5"/>
  <c r="M635" i="5"/>
  <c r="N635" i="5"/>
  <c r="O635" i="5"/>
  <c r="P635" i="5"/>
  <c r="Q635" i="5"/>
  <c r="R635" i="5"/>
  <c r="S635" i="5"/>
  <c r="T635" i="5"/>
  <c r="U635" i="5"/>
  <c r="V635" i="5"/>
  <c r="W635" i="5"/>
  <c r="X635" i="5"/>
  <c r="B636" i="5"/>
  <c r="C636" i="5"/>
  <c r="D636" i="5"/>
  <c r="E636" i="5"/>
  <c r="F636" i="5"/>
  <c r="G636" i="5"/>
  <c r="H636" i="5"/>
  <c r="I636" i="5"/>
  <c r="J636" i="5"/>
  <c r="K636" i="5"/>
  <c r="L636" i="5"/>
  <c r="M636" i="5"/>
  <c r="N636" i="5"/>
  <c r="O636" i="5"/>
  <c r="P636" i="5"/>
  <c r="Q636" i="5"/>
  <c r="R636" i="5"/>
  <c r="S636" i="5"/>
  <c r="T636" i="5"/>
  <c r="U636" i="5"/>
  <c r="V636" i="5"/>
  <c r="W636" i="5"/>
  <c r="X636" i="5"/>
  <c r="B637" i="5"/>
  <c r="C637" i="5"/>
  <c r="D637" i="5"/>
  <c r="E637" i="5"/>
  <c r="F637" i="5"/>
  <c r="G637" i="5"/>
  <c r="H637" i="5"/>
  <c r="I637" i="5"/>
  <c r="J637" i="5"/>
  <c r="K637" i="5"/>
  <c r="L637" i="5"/>
  <c r="M637" i="5"/>
  <c r="N637" i="5"/>
  <c r="O637" i="5"/>
  <c r="P637" i="5"/>
  <c r="AC637" i="5" s="1"/>
  <c r="Q637" i="5"/>
  <c r="R637" i="5"/>
  <c r="S637" i="5"/>
  <c r="T637" i="5"/>
  <c r="U637" i="5"/>
  <c r="V637" i="5"/>
  <c r="W637" i="5"/>
  <c r="X637" i="5"/>
  <c r="B638" i="5"/>
  <c r="C638" i="5"/>
  <c r="D638" i="5"/>
  <c r="E638" i="5"/>
  <c r="F638" i="5"/>
  <c r="G638" i="5"/>
  <c r="H638" i="5"/>
  <c r="I638" i="5"/>
  <c r="J638" i="5"/>
  <c r="K638" i="5"/>
  <c r="L638" i="5"/>
  <c r="M638" i="5"/>
  <c r="N638" i="5"/>
  <c r="O638" i="5"/>
  <c r="P638" i="5"/>
  <c r="AC638" i="5" s="1"/>
  <c r="Q638" i="5"/>
  <c r="R638" i="5"/>
  <c r="S638" i="5"/>
  <c r="T638" i="5"/>
  <c r="U638" i="5"/>
  <c r="V638" i="5"/>
  <c r="W638" i="5"/>
  <c r="X638" i="5"/>
  <c r="B639" i="5"/>
  <c r="C639" i="5"/>
  <c r="D639" i="5"/>
  <c r="AB639" i="5" s="1"/>
  <c r="E639" i="5"/>
  <c r="F639" i="5"/>
  <c r="G639" i="5"/>
  <c r="H639" i="5"/>
  <c r="I639" i="5"/>
  <c r="J639" i="5"/>
  <c r="K639" i="5"/>
  <c r="L639" i="5"/>
  <c r="M639" i="5"/>
  <c r="N639" i="5"/>
  <c r="O639" i="5"/>
  <c r="P639" i="5"/>
  <c r="AC639" i="5" s="1"/>
  <c r="Q639" i="5"/>
  <c r="R639" i="5"/>
  <c r="S639" i="5"/>
  <c r="T639" i="5"/>
  <c r="U639" i="5"/>
  <c r="V639" i="5"/>
  <c r="W639" i="5"/>
  <c r="X639" i="5"/>
  <c r="B640" i="5"/>
  <c r="C640" i="5"/>
  <c r="D640" i="5"/>
  <c r="E640" i="5"/>
  <c r="F640" i="5"/>
  <c r="G640" i="5"/>
  <c r="H640" i="5"/>
  <c r="I640" i="5"/>
  <c r="J640" i="5"/>
  <c r="K640" i="5"/>
  <c r="L640" i="5"/>
  <c r="M640" i="5"/>
  <c r="N640" i="5"/>
  <c r="O640" i="5"/>
  <c r="P640" i="5"/>
  <c r="Q640" i="5"/>
  <c r="R640" i="5"/>
  <c r="S640" i="5"/>
  <c r="T640" i="5"/>
  <c r="U640" i="5"/>
  <c r="V640" i="5"/>
  <c r="W640" i="5"/>
  <c r="X640" i="5"/>
  <c r="B641" i="5"/>
  <c r="C641" i="5"/>
  <c r="D641" i="5"/>
  <c r="E641" i="5"/>
  <c r="F641" i="5"/>
  <c r="G641" i="5"/>
  <c r="H641" i="5"/>
  <c r="I641" i="5"/>
  <c r="J641" i="5"/>
  <c r="K641" i="5"/>
  <c r="L641" i="5"/>
  <c r="M641" i="5"/>
  <c r="N641" i="5"/>
  <c r="O641" i="5"/>
  <c r="P641" i="5"/>
  <c r="Q641" i="5"/>
  <c r="R641" i="5"/>
  <c r="S641" i="5"/>
  <c r="T641" i="5"/>
  <c r="U641" i="5"/>
  <c r="V641" i="5"/>
  <c r="W641" i="5"/>
  <c r="X641" i="5"/>
  <c r="B642" i="5"/>
  <c r="C642" i="5"/>
  <c r="D642" i="5"/>
  <c r="E642" i="5"/>
  <c r="F642" i="5"/>
  <c r="G642" i="5"/>
  <c r="H642" i="5"/>
  <c r="I642" i="5"/>
  <c r="J642" i="5"/>
  <c r="K642" i="5"/>
  <c r="L642" i="5"/>
  <c r="M642" i="5"/>
  <c r="N642" i="5"/>
  <c r="O642" i="5"/>
  <c r="P642" i="5"/>
  <c r="Q642" i="5"/>
  <c r="R642" i="5"/>
  <c r="S642" i="5"/>
  <c r="T642" i="5"/>
  <c r="U642" i="5"/>
  <c r="V642" i="5"/>
  <c r="W642" i="5"/>
  <c r="X642" i="5"/>
  <c r="B643" i="5"/>
  <c r="C643" i="5"/>
  <c r="D643" i="5"/>
  <c r="E643" i="5"/>
  <c r="F643" i="5"/>
  <c r="G643" i="5"/>
  <c r="H643" i="5"/>
  <c r="I643" i="5"/>
  <c r="J643" i="5"/>
  <c r="K643" i="5"/>
  <c r="L643" i="5"/>
  <c r="M643" i="5"/>
  <c r="N643" i="5"/>
  <c r="O643" i="5"/>
  <c r="P643" i="5"/>
  <c r="Q643" i="5"/>
  <c r="R643" i="5"/>
  <c r="S643" i="5"/>
  <c r="T643" i="5"/>
  <c r="U643" i="5"/>
  <c r="V643" i="5"/>
  <c r="W643" i="5"/>
  <c r="X643" i="5"/>
  <c r="B644" i="5"/>
  <c r="C644" i="5"/>
  <c r="D644" i="5"/>
  <c r="E644" i="5"/>
  <c r="F644" i="5"/>
  <c r="G644" i="5"/>
  <c r="H644" i="5"/>
  <c r="I644" i="5"/>
  <c r="J644" i="5"/>
  <c r="K644" i="5"/>
  <c r="L644" i="5"/>
  <c r="M644" i="5"/>
  <c r="N644" i="5"/>
  <c r="O644" i="5"/>
  <c r="P644" i="5"/>
  <c r="Q644" i="5"/>
  <c r="R644" i="5"/>
  <c r="S644" i="5"/>
  <c r="T644" i="5"/>
  <c r="U644" i="5"/>
  <c r="V644" i="5"/>
  <c r="W644" i="5"/>
  <c r="X644" i="5"/>
  <c r="B645" i="5"/>
  <c r="C645" i="5"/>
  <c r="D645" i="5"/>
  <c r="E645" i="5"/>
  <c r="F645" i="5"/>
  <c r="G645" i="5"/>
  <c r="H645" i="5"/>
  <c r="I645" i="5"/>
  <c r="J645" i="5"/>
  <c r="K645" i="5"/>
  <c r="L645" i="5"/>
  <c r="M645" i="5"/>
  <c r="N645" i="5"/>
  <c r="O645" i="5"/>
  <c r="P645" i="5"/>
  <c r="Q645" i="5"/>
  <c r="R645" i="5"/>
  <c r="S645" i="5"/>
  <c r="T645" i="5"/>
  <c r="U645" i="5"/>
  <c r="V645" i="5"/>
  <c r="W645" i="5"/>
  <c r="X645" i="5"/>
  <c r="AC645" i="5"/>
  <c r="B646" i="5"/>
  <c r="C646" i="5"/>
  <c r="D646" i="5"/>
  <c r="E646" i="5"/>
  <c r="F646" i="5"/>
  <c r="G646" i="5"/>
  <c r="H646" i="5"/>
  <c r="I646" i="5"/>
  <c r="J646" i="5"/>
  <c r="K646" i="5"/>
  <c r="L646" i="5"/>
  <c r="M646" i="5"/>
  <c r="N646" i="5"/>
  <c r="O646" i="5"/>
  <c r="P646" i="5"/>
  <c r="Q646" i="5"/>
  <c r="R646" i="5"/>
  <c r="S646" i="5"/>
  <c r="T646" i="5"/>
  <c r="U646" i="5"/>
  <c r="V646" i="5"/>
  <c r="W646" i="5"/>
  <c r="X646" i="5"/>
  <c r="AC646" i="5"/>
  <c r="B647" i="5"/>
  <c r="C647" i="5"/>
  <c r="D647" i="5"/>
  <c r="E647" i="5"/>
  <c r="F647" i="5"/>
  <c r="G647" i="5"/>
  <c r="H647" i="5"/>
  <c r="I647" i="5"/>
  <c r="J647" i="5"/>
  <c r="K647" i="5"/>
  <c r="L647" i="5"/>
  <c r="M647" i="5"/>
  <c r="N647" i="5"/>
  <c r="O647" i="5"/>
  <c r="P647" i="5"/>
  <c r="Q647" i="5"/>
  <c r="R647" i="5"/>
  <c r="S647" i="5"/>
  <c r="T647" i="5"/>
  <c r="U647" i="5"/>
  <c r="V647" i="5"/>
  <c r="W647" i="5"/>
  <c r="X647" i="5"/>
  <c r="AB647" i="5"/>
  <c r="B648" i="5"/>
  <c r="C648" i="5"/>
  <c r="D648" i="5"/>
  <c r="E648" i="5"/>
  <c r="F648" i="5"/>
  <c r="G648" i="5"/>
  <c r="H648" i="5"/>
  <c r="I648" i="5"/>
  <c r="J648" i="5"/>
  <c r="K648" i="5"/>
  <c r="L648" i="5"/>
  <c r="M648" i="5"/>
  <c r="N648" i="5"/>
  <c r="O648" i="5"/>
  <c r="P648" i="5"/>
  <c r="Q648" i="5"/>
  <c r="R648" i="5"/>
  <c r="S648" i="5"/>
  <c r="T648" i="5"/>
  <c r="U648" i="5"/>
  <c r="V648" i="5"/>
  <c r="W648" i="5"/>
  <c r="X648" i="5"/>
  <c r="AC648" i="5"/>
  <c r="B649" i="5"/>
  <c r="C649" i="5"/>
  <c r="D649" i="5"/>
  <c r="E649" i="5"/>
  <c r="F649" i="5"/>
  <c r="G649" i="5"/>
  <c r="H649" i="5"/>
  <c r="I649" i="5"/>
  <c r="J649" i="5"/>
  <c r="K649" i="5"/>
  <c r="L649" i="5"/>
  <c r="M649" i="5"/>
  <c r="N649" i="5"/>
  <c r="O649" i="5"/>
  <c r="P649" i="5"/>
  <c r="Q649" i="5"/>
  <c r="R649" i="5"/>
  <c r="S649" i="5"/>
  <c r="T649" i="5"/>
  <c r="U649" i="5"/>
  <c r="V649" i="5"/>
  <c r="W649" i="5"/>
  <c r="X649" i="5"/>
  <c r="B650" i="5"/>
  <c r="C650" i="5"/>
  <c r="D650" i="5"/>
  <c r="E650" i="5"/>
  <c r="F650" i="5"/>
  <c r="G650" i="5"/>
  <c r="H650" i="5"/>
  <c r="I650" i="5"/>
  <c r="J650" i="5"/>
  <c r="K650" i="5"/>
  <c r="L650" i="5"/>
  <c r="M650" i="5"/>
  <c r="N650" i="5"/>
  <c r="O650" i="5"/>
  <c r="P650" i="5"/>
  <c r="Q650" i="5"/>
  <c r="R650" i="5"/>
  <c r="S650" i="5"/>
  <c r="T650" i="5"/>
  <c r="U650" i="5"/>
  <c r="V650" i="5"/>
  <c r="W650" i="5"/>
  <c r="X650" i="5"/>
  <c r="B651" i="5"/>
  <c r="C651" i="5"/>
  <c r="D651" i="5"/>
  <c r="E651" i="5"/>
  <c r="F651" i="5"/>
  <c r="G651" i="5"/>
  <c r="H651" i="5"/>
  <c r="I651" i="5"/>
  <c r="J651" i="5"/>
  <c r="K651" i="5"/>
  <c r="L651" i="5"/>
  <c r="M651" i="5"/>
  <c r="N651" i="5"/>
  <c r="O651" i="5"/>
  <c r="P651" i="5"/>
  <c r="Q651" i="5"/>
  <c r="R651" i="5"/>
  <c r="S651" i="5"/>
  <c r="T651" i="5"/>
  <c r="U651" i="5"/>
  <c r="V651" i="5"/>
  <c r="W651" i="5"/>
  <c r="X651" i="5"/>
  <c r="B652" i="5"/>
  <c r="C652" i="5"/>
  <c r="D652" i="5"/>
  <c r="E652" i="5"/>
  <c r="F652" i="5"/>
  <c r="G652" i="5"/>
  <c r="H652" i="5"/>
  <c r="I652" i="5"/>
  <c r="J652" i="5"/>
  <c r="K652" i="5"/>
  <c r="L652" i="5"/>
  <c r="M652" i="5"/>
  <c r="N652" i="5"/>
  <c r="O652" i="5"/>
  <c r="P652" i="5"/>
  <c r="Q652" i="5"/>
  <c r="R652" i="5"/>
  <c r="S652" i="5"/>
  <c r="T652" i="5"/>
  <c r="U652" i="5"/>
  <c r="V652" i="5"/>
  <c r="W652" i="5"/>
  <c r="X652" i="5"/>
  <c r="B653" i="5"/>
  <c r="C653" i="5"/>
  <c r="D653" i="5"/>
  <c r="E653" i="5"/>
  <c r="F653" i="5"/>
  <c r="G653" i="5"/>
  <c r="H653" i="5"/>
  <c r="I653" i="5"/>
  <c r="J653" i="5"/>
  <c r="K653" i="5"/>
  <c r="L653" i="5"/>
  <c r="M653" i="5"/>
  <c r="N653" i="5"/>
  <c r="O653" i="5"/>
  <c r="P653" i="5"/>
  <c r="Q653" i="5"/>
  <c r="R653" i="5"/>
  <c r="S653" i="5"/>
  <c r="T653" i="5"/>
  <c r="U653" i="5"/>
  <c r="V653" i="5"/>
  <c r="W653" i="5"/>
  <c r="X653" i="5"/>
  <c r="AC653" i="5"/>
  <c r="B654" i="5"/>
  <c r="C654" i="5"/>
  <c r="D654" i="5"/>
  <c r="E654" i="5"/>
  <c r="F654" i="5"/>
  <c r="G654" i="5"/>
  <c r="H654" i="5"/>
  <c r="I654" i="5"/>
  <c r="J654" i="5"/>
  <c r="K654" i="5"/>
  <c r="L654" i="5"/>
  <c r="M654" i="5"/>
  <c r="AC654" i="5" s="1"/>
  <c r="N654" i="5"/>
  <c r="O654" i="5"/>
  <c r="P654" i="5"/>
  <c r="Q654" i="5"/>
  <c r="R654" i="5"/>
  <c r="S654" i="5"/>
  <c r="T654" i="5"/>
  <c r="U654" i="5"/>
  <c r="V654" i="5"/>
  <c r="W654" i="5"/>
  <c r="X654" i="5"/>
  <c r="AB654" i="5"/>
  <c r="B655" i="5"/>
  <c r="C655" i="5"/>
  <c r="D655" i="5"/>
  <c r="E655" i="5"/>
  <c r="F655" i="5"/>
  <c r="G655" i="5"/>
  <c r="H655" i="5"/>
  <c r="AB655" i="5" s="1"/>
  <c r="I655" i="5"/>
  <c r="J655" i="5"/>
  <c r="K655" i="5"/>
  <c r="L655" i="5"/>
  <c r="M655" i="5"/>
  <c r="N655" i="5"/>
  <c r="O655" i="5"/>
  <c r="P655" i="5"/>
  <c r="AC655" i="5" s="1"/>
  <c r="Q655" i="5"/>
  <c r="R655" i="5"/>
  <c r="S655" i="5"/>
  <c r="T655" i="5"/>
  <c r="U655" i="5"/>
  <c r="V655" i="5"/>
  <c r="W655" i="5"/>
  <c r="X655" i="5"/>
  <c r="B656" i="5"/>
  <c r="C656" i="5"/>
  <c r="D656" i="5"/>
  <c r="E656" i="5"/>
  <c r="F656" i="5"/>
  <c r="G656" i="5"/>
  <c r="H656" i="5"/>
  <c r="I656" i="5"/>
  <c r="J656" i="5"/>
  <c r="K656" i="5"/>
  <c r="L656" i="5"/>
  <c r="M656" i="5"/>
  <c r="N656" i="5"/>
  <c r="O656" i="5"/>
  <c r="P656" i="5"/>
  <c r="Q656" i="5"/>
  <c r="R656" i="5"/>
  <c r="S656" i="5"/>
  <c r="T656" i="5"/>
  <c r="U656" i="5"/>
  <c r="V656" i="5"/>
  <c r="W656" i="5"/>
  <c r="X656" i="5"/>
  <c r="B657" i="5"/>
  <c r="C657" i="5"/>
  <c r="D657" i="5"/>
  <c r="E657" i="5"/>
  <c r="F657" i="5"/>
  <c r="G657" i="5"/>
  <c r="H657" i="5"/>
  <c r="I657" i="5"/>
  <c r="J657" i="5"/>
  <c r="K657" i="5"/>
  <c r="L657" i="5"/>
  <c r="M657" i="5"/>
  <c r="N657" i="5"/>
  <c r="O657" i="5"/>
  <c r="P657" i="5"/>
  <c r="Q657" i="5"/>
  <c r="R657" i="5"/>
  <c r="S657" i="5"/>
  <c r="T657" i="5"/>
  <c r="U657" i="5"/>
  <c r="V657" i="5"/>
  <c r="W657" i="5"/>
  <c r="X657" i="5"/>
  <c r="B658" i="5"/>
  <c r="C658" i="5"/>
  <c r="D658" i="5"/>
  <c r="E658" i="5"/>
  <c r="F658" i="5"/>
  <c r="G658" i="5"/>
  <c r="H658" i="5"/>
  <c r="I658" i="5"/>
  <c r="J658" i="5"/>
  <c r="K658" i="5"/>
  <c r="L658" i="5"/>
  <c r="M658" i="5"/>
  <c r="N658" i="5"/>
  <c r="O658" i="5"/>
  <c r="P658" i="5"/>
  <c r="Q658" i="5"/>
  <c r="R658" i="5"/>
  <c r="S658" i="5"/>
  <c r="T658" i="5"/>
  <c r="U658" i="5"/>
  <c r="V658" i="5"/>
  <c r="W658" i="5"/>
  <c r="X658" i="5"/>
  <c r="B659" i="5"/>
  <c r="C659" i="5"/>
  <c r="D659" i="5"/>
  <c r="E659" i="5"/>
  <c r="F659" i="5"/>
  <c r="G659" i="5"/>
  <c r="H659" i="5"/>
  <c r="I659" i="5"/>
  <c r="J659" i="5"/>
  <c r="K659" i="5"/>
  <c r="L659" i="5"/>
  <c r="M659" i="5"/>
  <c r="N659" i="5"/>
  <c r="O659" i="5"/>
  <c r="P659" i="5"/>
  <c r="Q659" i="5"/>
  <c r="R659" i="5"/>
  <c r="S659" i="5"/>
  <c r="T659" i="5"/>
  <c r="U659" i="5"/>
  <c r="V659" i="5"/>
  <c r="W659" i="5"/>
  <c r="X659" i="5"/>
  <c r="B660" i="5"/>
  <c r="C660" i="5"/>
  <c r="D660" i="5"/>
  <c r="E660" i="5"/>
  <c r="F660" i="5"/>
  <c r="G660" i="5"/>
  <c r="H660" i="5"/>
  <c r="I660" i="5"/>
  <c r="J660" i="5"/>
  <c r="K660" i="5"/>
  <c r="L660" i="5"/>
  <c r="M660" i="5"/>
  <c r="N660" i="5"/>
  <c r="O660" i="5"/>
  <c r="P660" i="5"/>
  <c r="Q660" i="5"/>
  <c r="R660" i="5"/>
  <c r="S660" i="5"/>
  <c r="T660" i="5"/>
  <c r="U660" i="5"/>
  <c r="V660" i="5"/>
  <c r="W660" i="5"/>
  <c r="X660" i="5"/>
  <c r="B661" i="5"/>
  <c r="C661" i="5"/>
  <c r="D661" i="5"/>
  <c r="E661" i="5"/>
  <c r="F661" i="5"/>
  <c r="G661" i="5"/>
  <c r="H661" i="5"/>
  <c r="I661" i="5"/>
  <c r="J661" i="5"/>
  <c r="K661" i="5"/>
  <c r="L661" i="5"/>
  <c r="M661" i="5"/>
  <c r="N661" i="5"/>
  <c r="AC661" i="5" s="1"/>
  <c r="O661" i="5"/>
  <c r="P661" i="5"/>
  <c r="Q661" i="5"/>
  <c r="R661" i="5"/>
  <c r="S661" i="5"/>
  <c r="T661" i="5"/>
  <c r="U661" i="5"/>
  <c r="V661" i="5"/>
  <c r="W661" i="5"/>
  <c r="X661" i="5"/>
  <c r="B662" i="5"/>
  <c r="C662" i="5"/>
  <c r="D662" i="5"/>
  <c r="E662" i="5"/>
  <c r="F662" i="5"/>
  <c r="G662" i="5"/>
  <c r="H662" i="5"/>
  <c r="I662" i="5"/>
  <c r="J662" i="5"/>
  <c r="K662" i="5"/>
  <c r="L662" i="5"/>
  <c r="M662" i="5"/>
  <c r="N662" i="5"/>
  <c r="AC662" i="5" s="1"/>
  <c r="O662" i="5"/>
  <c r="P662" i="5"/>
  <c r="Q662" i="5"/>
  <c r="R662" i="5"/>
  <c r="S662" i="5"/>
  <c r="T662" i="5"/>
  <c r="U662" i="5"/>
  <c r="V662" i="5"/>
  <c r="W662" i="5"/>
  <c r="X662" i="5"/>
  <c r="B663" i="5"/>
  <c r="AB663" i="5" s="1"/>
  <c r="C663" i="5"/>
  <c r="D663" i="5"/>
  <c r="E663" i="5"/>
  <c r="F663" i="5"/>
  <c r="G663" i="5"/>
  <c r="H663" i="5"/>
  <c r="I663" i="5"/>
  <c r="J663" i="5"/>
  <c r="K663" i="5"/>
  <c r="L663" i="5"/>
  <c r="M663" i="5"/>
  <c r="N663" i="5"/>
  <c r="O663" i="5"/>
  <c r="P663" i="5"/>
  <c r="Q663" i="5"/>
  <c r="R663" i="5"/>
  <c r="S663" i="5"/>
  <c r="T663" i="5"/>
  <c r="U663" i="5"/>
  <c r="V663" i="5"/>
  <c r="W663" i="5"/>
  <c r="X663" i="5"/>
  <c r="B664" i="5"/>
  <c r="C664" i="5"/>
  <c r="D664" i="5"/>
  <c r="E664" i="5"/>
  <c r="F664" i="5"/>
  <c r="G664" i="5"/>
  <c r="H664" i="5"/>
  <c r="I664" i="5"/>
  <c r="J664" i="5"/>
  <c r="K664" i="5"/>
  <c r="L664" i="5"/>
  <c r="M664" i="5"/>
  <c r="N664" i="5"/>
  <c r="AC664" i="5" s="1"/>
  <c r="O664" i="5"/>
  <c r="P664" i="5"/>
  <c r="Q664" i="5"/>
  <c r="R664" i="5"/>
  <c r="S664" i="5"/>
  <c r="T664" i="5"/>
  <c r="U664" i="5"/>
  <c r="V664" i="5"/>
  <c r="W664" i="5"/>
  <c r="X664" i="5"/>
  <c r="B665" i="5"/>
  <c r="AB665" i="5" s="1"/>
  <c r="C665" i="5"/>
  <c r="D665" i="5"/>
  <c r="E665" i="5"/>
  <c r="F665" i="5"/>
  <c r="G665" i="5"/>
  <c r="H665" i="5"/>
  <c r="I665" i="5"/>
  <c r="J665" i="5"/>
  <c r="K665" i="5"/>
  <c r="L665" i="5"/>
  <c r="M665" i="5"/>
  <c r="N665" i="5"/>
  <c r="O665" i="5"/>
  <c r="P665" i="5"/>
  <c r="Q665" i="5"/>
  <c r="R665" i="5"/>
  <c r="S665" i="5"/>
  <c r="T665" i="5"/>
  <c r="U665" i="5"/>
  <c r="V665" i="5"/>
  <c r="W665" i="5"/>
  <c r="X665" i="5"/>
  <c r="B666" i="5"/>
  <c r="C666" i="5"/>
  <c r="D666" i="5"/>
  <c r="E666" i="5"/>
  <c r="F666" i="5"/>
  <c r="G666" i="5"/>
  <c r="H666" i="5"/>
  <c r="I666" i="5"/>
  <c r="J666" i="5"/>
  <c r="K666" i="5"/>
  <c r="L666" i="5"/>
  <c r="M666" i="5"/>
  <c r="N666" i="5"/>
  <c r="O666" i="5"/>
  <c r="P666" i="5"/>
  <c r="Q666" i="5"/>
  <c r="R666" i="5"/>
  <c r="S666" i="5"/>
  <c r="T666" i="5"/>
  <c r="U666" i="5"/>
  <c r="V666" i="5"/>
  <c r="W666" i="5"/>
  <c r="X666" i="5"/>
  <c r="B667" i="5"/>
  <c r="C667" i="5"/>
  <c r="D667" i="5"/>
  <c r="E667" i="5"/>
  <c r="F667" i="5"/>
  <c r="G667" i="5"/>
  <c r="H667" i="5"/>
  <c r="I667" i="5"/>
  <c r="J667" i="5"/>
  <c r="K667" i="5"/>
  <c r="L667" i="5"/>
  <c r="M667" i="5"/>
  <c r="N667" i="5"/>
  <c r="O667" i="5"/>
  <c r="P667" i="5"/>
  <c r="Q667" i="5"/>
  <c r="R667" i="5"/>
  <c r="S667" i="5"/>
  <c r="T667" i="5"/>
  <c r="U667" i="5"/>
  <c r="V667" i="5"/>
  <c r="W667" i="5"/>
  <c r="X667" i="5"/>
  <c r="B668" i="5"/>
  <c r="C668" i="5"/>
  <c r="D668" i="5"/>
  <c r="E668" i="5"/>
  <c r="F668" i="5"/>
  <c r="G668" i="5"/>
  <c r="H668" i="5"/>
  <c r="I668" i="5"/>
  <c r="J668" i="5"/>
  <c r="K668" i="5"/>
  <c r="L668" i="5"/>
  <c r="M668" i="5"/>
  <c r="N668" i="5"/>
  <c r="O668" i="5"/>
  <c r="P668" i="5"/>
  <c r="Q668" i="5"/>
  <c r="R668" i="5"/>
  <c r="S668" i="5"/>
  <c r="T668" i="5"/>
  <c r="U668" i="5"/>
  <c r="V668" i="5"/>
  <c r="W668" i="5"/>
  <c r="X668" i="5"/>
  <c r="B669" i="5"/>
  <c r="C669" i="5"/>
  <c r="D669" i="5"/>
  <c r="E669" i="5"/>
  <c r="F669" i="5"/>
  <c r="G669" i="5"/>
  <c r="H669" i="5"/>
  <c r="I669" i="5"/>
  <c r="J669" i="5"/>
  <c r="K669" i="5"/>
  <c r="L669" i="5"/>
  <c r="M669" i="5"/>
  <c r="N669" i="5"/>
  <c r="O669" i="5"/>
  <c r="P669" i="5"/>
  <c r="Q669" i="5"/>
  <c r="R669" i="5"/>
  <c r="S669" i="5"/>
  <c r="T669" i="5"/>
  <c r="U669" i="5"/>
  <c r="V669" i="5"/>
  <c r="W669" i="5"/>
  <c r="X669" i="5"/>
  <c r="AC669" i="5"/>
  <c r="B670" i="5"/>
  <c r="C670" i="5"/>
  <c r="D670" i="5"/>
  <c r="E670" i="5"/>
  <c r="F670" i="5"/>
  <c r="G670" i="5"/>
  <c r="H670" i="5"/>
  <c r="I670" i="5"/>
  <c r="J670" i="5"/>
  <c r="K670" i="5"/>
  <c r="L670" i="5"/>
  <c r="M670" i="5"/>
  <c r="N670" i="5"/>
  <c r="O670" i="5"/>
  <c r="P670" i="5"/>
  <c r="Q670" i="5"/>
  <c r="R670" i="5"/>
  <c r="S670" i="5"/>
  <c r="T670" i="5"/>
  <c r="U670" i="5"/>
  <c r="V670" i="5"/>
  <c r="W670" i="5"/>
  <c r="X670" i="5"/>
  <c r="AC670" i="5"/>
  <c r="B671" i="5"/>
  <c r="C671" i="5"/>
  <c r="D671" i="5"/>
  <c r="E671" i="5"/>
  <c r="F671" i="5"/>
  <c r="G671" i="5"/>
  <c r="H671" i="5"/>
  <c r="I671" i="5"/>
  <c r="J671" i="5"/>
  <c r="K671" i="5"/>
  <c r="L671" i="5"/>
  <c r="M671" i="5"/>
  <c r="N671" i="5"/>
  <c r="O671" i="5"/>
  <c r="P671" i="5"/>
  <c r="Q671" i="5"/>
  <c r="R671" i="5"/>
  <c r="S671" i="5"/>
  <c r="T671" i="5"/>
  <c r="U671" i="5"/>
  <c r="V671" i="5"/>
  <c r="W671" i="5"/>
  <c r="X671" i="5"/>
  <c r="AB671" i="5"/>
  <c r="B672" i="5"/>
  <c r="C672" i="5"/>
  <c r="D672" i="5"/>
  <c r="E672" i="5"/>
  <c r="F672" i="5"/>
  <c r="G672" i="5"/>
  <c r="H672" i="5"/>
  <c r="I672" i="5"/>
  <c r="J672" i="5"/>
  <c r="K672" i="5"/>
  <c r="L672" i="5"/>
  <c r="M672" i="5"/>
  <c r="N672" i="5"/>
  <c r="O672" i="5"/>
  <c r="P672" i="5"/>
  <c r="Q672" i="5"/>
  <c r="R672" i="5"/>
  <c r="S672" i="5"/>
  <c r="T672" i="5"/>
  <c r="U672" i="5"/>
  <c r="V672" i="5"/>
  <c r="W672" i="5"/>
  <c r="X672" i="5"/>
  <c r="B673" i="5"/>
  <c r="C673" i="5"/>
  <c r="D673" i="5"/>
  <c r="E673" i="5"/>
  <c r="F673" i="5"/>
  <c r="G673" i="5"/>
  <c r="H673" i="5"/>
  <c r="I673" i="5"/>
  <c r="J673" i="5"/>
  <c r="K673" i="5"/>
  <c r="L673" i="5"/>
  <c r="M673" i="5"/>
  <c r="N673" i="5"/>
  <c r="O673" i="5"/>
  <c r="P673" i="5"/>
  <c r="Q673" i="5"/>
  <c r="R673" i="5"/>
  <c r="S673" i="5"/>
  <c r="T673" i="5"/>
  <c r="U673" i="5"/>
  <c r="V673" i="5"/>
  <c r="W673" i="5"/>
  <c r="X673" i="5"/>
  <c r="B674" i="5"/>
  <c r="C674" i="5"/>
  <c r="D674" i="5"/>
  <c r="E674" i="5"/>
  <c r="F674" i="5"/>
  <c r="G674" i="5"/>
  <c r="H674" i="5"/>
  <c r="I674" i="5"/>
  <c r="J674" i="5"/>
  <c r="K674" i="5"/>
  <c r="L674" i="5"/>
  <c r="M674" i="5"/>
  <c r="N674" i="5"/>
  <c r="O674" i="5"/>
  <c r="P674" i="5"/>
  <c r="Q674" i="5"/>
  <c r="R674" i="5"/>
  <c r="S674" i="5"/>
  <c r="T674" i="5"/>
  <c r="U674" i="5"/>
  <c r="V674" i="5"/>
  <c r="W674" i="5"/>
  <c r="X674" i="5"/>
  <c r="B675" i="5"/>
  <c r="C675" i="5"/>
  <c r="D675" i="5"/>
  <c r="E675" i="5"/>
  <c r="F675" i="5"/>
  <c r="G675" i="5"/>
  <c r="H675" i="5"/>
  <c r="I675" i="5"/>
  <c r="J675" i="5"/>
  <c r="K675" i="5"/>
  <c r="L675" i="5"/>
  <c r="M675" i="5"/>
  <c r="N675" i="5"/>
  <c r="O675" i="5"/>
  <c r="P675" i="5"/>
  <c r="Q675" i="5"/>
  <c r="R675" i="5"/>
  <c r="S675" i="5"/>
  <c r="T675" i="5"/>
  <c r="U675" i="5"/>
  <c r="V675" i="5"/>
  <c r="W675" i="5"/>
  <c r="X675" i="5"/>
  <c r="B676" i="5"/>
  <c r="C676" i="5"/>
  <c r="D676" i="5"/>
  <c r="E676" i="5"/>
  <c r="F676" i="5"/>
  <c r="G676" i="5"/>
  <c r="H676" i="5"/>
  <c r="I676" i="5"/>
  <c r="J676" i="5"/>
  <c r="K676" i="5"/>
  <c r="L676" i="5"/>
  <c r="M676" i="5"/>
  <c r="N676" i="5"/>
  <c r="O676" i="5"/>
  <c r="P676" i="5"/>
  <c r="Q676" i="5"/>
  <c r="R676" i="5"/>
  <c r="S676" i="5"/>
  <c r="T676" i="5"/>
  <c r="U676" i="5"/>
  <c r="V676" i="5"/>
  <c r="W676" i="5"/>
  <c r="X676" i="5"/>
  <c r="B677" i="5"/>
  <c r="C677" i="5"/>
  <c r="D677" i="5"/>
  <c r="E677" i="5"/>
  <c r="F677" i="5"/>
  <c r="G677" i="5"/>
  <c r="H677" i="5"/>
  <c r="I677" i="5"/>
  <c r="J677" i="5"/>
  <c r="K677" i="5"/>
  <c r="L677" i="5"/>
  <c r="M677" i="5"/>
  <c r="N677" i="5"/>
  <c r="AC677" i="5" s="1"/>
  <c r="O677" i="5"/>
  <c r="P677" i="5"/>
  <c r="Q677" i="5"/>
  <c r="R677" i="5"/>
  <c r="S677" i="5"/>
  <c r="T677" i="5"/>
  <c r="U677" i="5"/>
  <c r="V677" i="5"/>
  <c r="W677" i="5"/>
  <c r="X677" i="5"/>
  <c r="B678" i="5"/>
  <c r="C678" i="5"/>
  <c r="D678" i="5"/>
  <c r="E678" i="5"/>
  <c r="F678" i="5"/>
  <c r="G678" i="5"/>
  <c r="H678" i="5"/>
  <c r="I678" i="5"/>
  <c r="J678" i="5"/>
  <c r="K678" i="5"/>
  <c r="L678" i="5"/>
  <c r="M678" i="5"/>
  <c r="N678" i="5"/>
  <c r="O678" i="5"/>
  <c r="P678" i="5"/>
  <c r="Q678" i="5"/>
  <c r="R678" i="5"/>
  <c r="S678" i="5"/>
  <c r="T678" i="5"/>
  <c r="U678" i="5"/>
  <c r="V678" i="5"/>
  <c r="W678" i="5"/>
  <c r="X678" i="5"/>
  <c r="AC678" i="5"/>
  <c r="B679" i="5"/>
  <c r="C679" i="5"/>
  <c r="D679" i="5"/>
  <c r="E679" i="5"/>
  <c r="F679" i="5"/>
  <c r="G679" i="5"/>
  <c r="H679" i="5"/>
  <c r="I679" i="5"/>
  <c r="J679" i="5"/>
  <c r="K679" i="5"/>
  <c r="L679" i="5"/>
  <c r="M679" i="5"/>
  <c r="N679" i="5"/>
  <c r="O679" i="5"/>
  <c r="P679" i="5"/>
  <c r="Q679" i="5"/>
  <c r="R679" i="5"/>
  <c r="S679" i="5"/>
  <c r="T679" i="5"/>
  <c r="U679" i="5"/>
  <c r="V679" i="5"/>
  <c r="W679" i="5"/>
  <c r="X679" i="5"/>
  <c r="B680" i="5"/>
  <c r="C680" i="5"/>
  <c r="D680" i="5"/>
  <c r="E680" i="5"/>
  <c r="F680" i="5"/>
  <c r="G680" i="5"/>
  <c r="H680" i="5"/>
  <c r="I680" i="5"/>
  <c r="J680" i="5"/>
  <c r="K680" i="5"/>
  <c r="L680" i="5"/>
  <c r="M680" i="5"/>
  <c r="N680" i="5"/>
  <c r="O680" i="5"/>
  <c r="P680" i="5"/>
  <c r="AC680" i="5" s="1"/>
  <c r="Q680" i="5"/>
  <c r="R680" i="5"/>
  <c r="S680" i="5"/>
  <c r="T680" i="5"/>
  <c r="U680" i="5"/>
  <c r="V680" i="5"/>
  <c r="W680" i="5"/>
  <c r="X680" i="5"/>
  <c r="B681" i="5"/>
  <c r="C681" i="5"/>
  <c r="D681" i="5"/>
  <c r="E681" i="5"/>
  <c r="F681" i="5"/>
  <c r="G681" i="5"/>
  <c r="H681" i="5"/>
  <c r="I681" i="5"/>
  <c r="J681" i="5"/>
  <c r="K681" i="5"/>
  <c r="L681" i="5"/>
  <c r="M681" i="5"/>
  <c r="N681" i="5"/>
  <c r="O681" i="5"/>
  <c r="P681" i="5"/>
  <c r="Q681" i="5"/>
  <c r="R681" i="5"/>
  <c r="S681" i="5"/>
  <c r="T681" i="5"/>
  <c r="U681" i="5"/>
  <c r="V681" i="5"/>
  <c r="W681" i="5"/>
  <c r="X681" i="5"/>
  <c r="B682" i="5"/>
  <c r="C682" i="5"/>
  <c r="D682" i="5"/>
  <c r="E682" i="5"/>
  <c r="F682" i="5"/>
  <c r="G682" i="5"/>
  <c r="H682" i="5"/>
  <c r="I682" i="5"/>
  <c r="J682" i="5"/>
  <c r="K682" i="5"/>
  <c r="L682" i="5"/>
  <c r="M682" i="5"/>
  <c r="N682" i="5"/>
  <c r="O682" i="5"/>
  <c r="P682" i="5"/>
  <c r="Q682" i="5"/>
  <c r="R682" i="5"/>
  <c r="S682" i="5"/>
  <c r="T682" i="5"/>
  <c r="U682" i="5"/>
  <c r="V682" i="5"/>
  <c r="W682" i="5"/>
  <c r="X682" i="5"/>
  <c r="B683" i="5"/>
  <c r="C683" i="5"/>
  <c r="D683" i="5"/>
  <c r="E683" i="5"/>
  <c r="F683" i="5"/>
  <c r="G683" i="5"/>
  <c r="H683" i="5"/>
  <c r="I683" i="5"/>
  <c r="J683" i="5"/>
  <c r="K683" i="5"/>
  <c r="L683" i="5"/>
  <c r="M683" i="5"/>
  <c r="N683" i="5"/>
  <c r="O683" i="5"/>
  <c r="P683" i="5"/>
  <c r="Q683" i="5"/>
  <c r="R683" i="5"/>
  <c r="S683" i="5"/>
  <c r="T683" i="5"/>
  <c r="U683" i="5"/>
  <c r="V683" i="5"/>
  <c r="W683" i="5"/>
  <c r="X683" i="5"/>
  <c r="B684" i="5"/>
  <c r="C684" i="5"/>
  <c r="D684" i="5"/>
  <c r="E684" i="5"/>
  <c r="F684" i="5"/>
  <c r="G684" i="5"/>
  <c r="H684" i="5"/>
  <c r="I684" i="5"/>
  <c r="J684" i="5"/>
  <c r="K684" i="5"/>
  <c r="L684" i="5"/>
  <c r="M684" i="5"/>
  <c r="N684" i="5"/>
  <c r="O684" i="5"/>
  <c r="P684" i="5"/>
  <c r="Q684" i="5"/>
  <c r="R684" i="5"/>
  <c r="S684" i="5"/>
  <c r="T684" i="5"/>
  <c r="U684" i="5"/>
  <c r="V684" i="5"/>
  <c r="W684" i="5"/>
  <c r="X684" i="5"/>
  <c r="B685" i="5"/>
  <c r="C685" i="5"/>
  <c r="D685" i="5"/>
  <c r="E685" i="5"/>
  <c r="F685" i="5"/>
  <c r="G685" i="5"/>
  <c r="H685" i="5"/>
  <c r="I685" i="5"/>
  <c r="J685" i="5"/>
  <c r="K685" i="5"/>
  <c r="L685" i="5"/>
  <c r="M685" i="5"/>
  <c r="N685" i="5"/>
  <c r="O685" i="5"/>
  <c r="P685" i="5"/>
  <c r="Q685" i="5"/>
  <c r="R685" i="5"/>
  <c r="S685" i="5"/>
  <c r="T685" i="5"/>
  <c r="U685" i="5"/>
  <c r="V685" i="5"/>
  <c r="W685" i="5"/>
  <c r="X685" i="5"/>
  <c r="AC685" i="5"/>
  <c r="B686" i="5"/>
  <c r="C686" i="5"/>
  <c r="D686" i="5"/>
  <c r="E686" i="5"/>
  <c r="F686" i="5"/>
  <c r="G686" i="5"/>
  <c r="H686" i="5"/>
  <c r="I686" i="5"/>
  <c r="J686" i="5"/>
  <c r="K686" i="5"/>
  <c r="L686" i="5"/>
  <c r="M686" i="5"/>
  <c r="AC686" i="5" s="1"/>
  <c r="N686" i="5"/>
  <c r="O686" i="5"/>
  <c r="P686" i="5"/>
  <c r="Q686" i="5"/>
  <c r="R686" i="5"/>
  <c r="S686" i="5"/>
  <c r="T686" i="5"/>
  <c r="U686" i="5"/>
  <c r="V686" i="5"/>
  <c r="W686" i="5"/>
  <c r="X686" i="5"/>
  <c r="AB686" i="5"/>
  <c r="B687" i="5"/>
  <c r="C687" i="5"/>
  <c r="D687" i="5"/>
  <c r="E687" i="5"/>
  <c r="F687" i="5"/>
  <c r="G687" i="5"/>
  <c r="H687" i="5"/>
  <c r="AB687" i="5" s="1"/>
  <c r="I687" i="5"/>
  <c r="J687" i="5"/>
  <c r="K687" i="5"/>
  <c r="L687" i="5"/>
  <c r="M687" i="5"/>
  <c r="N687" i="5"/>
  <c r="O687" i="5"/>
  <c r="P687" i="5"/>
  <c r="AC687" i="5" s="1"/>
  <c r="Q687" i="5"/>
  <c r="R687" i="5"/>
  <c r="S687" i="5"/>
  <c r="T687" i="5"/>
  <c r="U687" i="5"/>
  <c r="V687" i="5"/>
  <c r="W687" i="5"/>
  <c r="X687" i="5"/>
  <c r="B688" i="5"/>
  <c r="C688" i="5"/>
  <c r="D688" i="5"/>
  <c r="E688" i="5"/>
  <c r="F688" i="5"/>
  <c r="G688" i="5"/>
  <c r="H688" i="5"/>
  <c r="I688" i="5"/>
  <c r="J688" i="5"/>
  <c r="K688" i="5"/>
  <c r="L688" i="5"/>
  <c r="M688" i="5"/>
  <c r="N688" i="5"/>
  <c r="O688" i="5"/>
  <c r="P688" i="5"/>
  <c r="Q688" i="5"/>
  <c r="R688" i="5"/>
  <c r="S688" i="5"/>
  <c r="T688" i="5"/>
  <c r="U688" i="5"/>
  <c r="V688" i="5"/>
  <c r="W688" i="5"/>
  <c r="X688" i="5"/>
  <c r="B689" i="5"/>
  <c r="C689" i="5"/>
  <c r="D689" i="5"/>
  <c r="E689" i="5"/>
  <c r="F689" i="5"/>
  <c r="G689" i="5"/>
  <c r="H689" i="5"/>
  <c r="I689" i="5"/>
  <c r="J689" i="5"/>
  <c r="K689" i="5"/>
  <c r="L689" i="5"/>
  <c r="M689" i="5"/>
  <c r="N689" i="5"/>
  <c r="O689" i="5"/>
  <c r="P689" i="5"/>
  <c r="Q689" i="5"/>
  <c r="R689" i="5"/>
  <c r="S689" i="5"/>
  <c r="T689" i="5"/>
  <c r="U689" i="5"/>
  <c r="V689" i="5"/>
  <c r="W689" i="5"/>
  <c r="X689" i="5"/>
  <c r="B690" i="5"/>
  <c r="C690" i="5"/>
  <c r="D690" i="5"/>
  <c r="E690" i="5"/>
  <c r="F690" i="5"/>
  <c r="G690" i="5"/>
  <c r="H690" i="5"/>
  <c r="I690" i="5"/>
  <c r="J690" i="5"/>
  <c r="K690" i="5"/>
  <c r="L690" i="5"/>
  <c r="M690" i="5"/>
  <c r="N690" i="5"/>
  <c r="O690" i="5"/>
  <c r="P690" i="5"/>
  <c r="Q690" i="5"/>
  <c r="R690" i="5"/>
  <c r="S690" i="5"/>
  <c r="T690" i="5"/>
  <c r="U690" i="5"/>
  <c r="V690" i="5"/>
  <c r="W690" i="5"/>
  <c r="X690" i="5"/>
  <c r="B691" i="5"/>
  <c r="C691" i="5"/>
  <c r="D691" i="5"/>
  <c r="E691" i="5"/>
  <c r="F691" i="5"/>
  <c r="G691" i="5"/>
  <c r="H691" i="5"/>
  <c r="I691" i="5"/>
  <c r="J691" i="5"/>
  <c r="K691" i="5"/>
  <c r="L691" i="5"/>
  <c r="M691" i="5"/>
  <c r="N691" i="5"/>
  <c r="O691" i="5"/>
  <c r="P691" i="5"/>
  <c r="Q691" i="5"/>
  <c r="R691" i="5"/>
  <c r="S691" i="5"/>
  <c r="T691" i="5"/>
  <c r="U691" i="5"/>
  <c r="V691" i="5"/>
  <c r="W691" i="5"/>
  <c r="X691" i="5"/>
  <c r="B692" i="5"/>
  <c r="C692" i="5"/>
  <c r="D692" i="5"/>
  <c r="E692" i="5"/>
  <c r="F692" i="5"/>
  <c r="G692" i="5"/>
  <c r="H692" i="5"/>
  <c r="I692" i="5"/>
  <c r="J692" i="5"/>
  <c r="K692" i="5"/>
  <c r="L692" i="5"/>
  <c r="M692" i="5"/>
  <c r="N692" i="5"/>
  <c r="O692" i="5"/>
  <c r="P692" i="5"/>
  <c r="Q692" i="5"/>
  <c r="R692" i="5"/>
  <c r="S692" i="5"/>
  <c r="T692" i="5"/>
  <c r="U692" i="5"/>
  <c r="V692" i="5"/>
  <c r="W692" i="5"/>
  <c r="X692" i="5"/>
  <c r="B693" i="5"/>
  <c r="C693" i="5"/>
  <c r="D693" i="5"/>
  <c r="E693" i="5"/>
  <c r="F693" i="5"/>
  <c r="G693" i="5"/>
  <c r="H693" i="5"/>
  <c r="I693" i="5"/>
  <c r="J693" i="5"/>
  <c r="K693" i="5"/>
  <c r="L693" i="5"/>
  <c r="M693" i="5"/>
  <c r="N693" i="5"/>
  <c r="AC693" i="5" s="1"/>
  <c r="O693" i="5"/>
  <c r="P693" i="5"/>
  <c r="Q693" i="5"/>
  <c r="R693" i="5"/>
  <c r="S693" i="5"/>
  <c r="T693" i="5"/>
  <c r="U693" i="5"/>
  <c r="V693" i="5"/>
  <c r="W693" i="5"/>
  <c r="X693" i="5"/>
  <c r="B694" i="5"/>
  <c r="C694" i="5"/>
  <c r="D694" i="5"/>
  <c r="E694" i="5"/>
  <c r="F694" i="5"/>
  <c r="G694" i="5"/>
  <c r="H694" i="5"/>
  <c r="I694" i="5"/>
  <c r="J694" i="5"/>
  <c r="K694" i="5"/>
  <c r="L694" i="5"/>
  <c r="M694" i="5"/>
  <c r="N694" i="5"/>
  <c r="AC694" i="5" s="1"/>
  <c r="O694" i="5"/>
  <c r="P694" i="5"/>
  <c r="Q694" i="5"/>
  <c r="R694" i="5"/>
  <c r="S694" i="5"/>
  <c r="T694" i="5"/>
  <c r="U694" i="5"/>
  <c r="V694" i="5"/>
  <c r="W694" i="5"/>
  <c r="X694" i="5"/>
  <c r="B695" i="5"/>
  <c r="AB695" i="5" s="1"/>
  <c r="C695" i="5"/>
  <c r="D695" i="5"/>
  <c r="E695" i="5"/>
  <c r="F695" i="5"/>
  <c r="G695" i="5"/>
  <c r="H695" i="5"/>
  <c r="I695" i="5"/>
  <c r="J695" i="5"/>
  <c r="K695" i="5"/>
  <c r="L695" i="5"/>
  <c r="M695" i="5"/>
  <c r="N695" i="5"/>
  <c r="O695" i="5"/>
  <c r="P695" i="5"/>
  <c r="Q695" i="5"/>
  <c r="R695" i="5"/>
  <c r="S695" i="5"/>
  <c r="T695" i="5"/>
  <c r="U695" i="5"/>
  <c r="V695" i="5"/>
  <c r="W695" i="5"/>
  <c r="X695" i="5"/>
  <c r="B696" i="5"/>
  <c r="C696" i="5"/>
  <c r="D696" i="5"/>
  <c r="E696" i="5"/>
  <c r="F696" i="5"/>
  <c r="G696" i="5"/>
  <c r="H696" i="5"/>
  <c r="I696" i="5"/>
  <c r="J696" i="5"/>
  <c r="K696" i="5"/>
  <c r="L696" i="5"/>
  <c r="M696" i="5"/>
  <c r="N696" i="5"/>
  <c r="AC696" i="5" s="1"/>
  <c r="O696" i="5"/>
  <c r="P696" i="5"/>
  <c r="Q696" i="5"/>
  <c r="R696" i="5"/>
  <c r="S696" i="5"/>
  <c r="T696" i="5"/>
  <c r="U696" i="5"/>
  <c r="V696" i="5"/>
  <c r="W696" i="5"/>
  <c r="X696" i="5"/>
  <c r="B697" i="5"/>
  <c r="AB697" i="5" s="1"/>
  <c r="C697" i="5"/>
  <c r="D697" i="5"/>
  <c r="E697" i="5"/>
  <c r="F697" i="5"/>
  <c r="G697" i="5"/>
  <c r="H697" i="5"/>
  <c r="I697" i="5"/>
  <c r="J697" i="5"/>
  <c r="K697" i="5"/>
  <c r="L697" i="5"/>
  <c r="M697" i="5"/>
  <c r="N697" i="5"/>
  <c r="O697" i="5"/>
  <c r="P697" i="5"/>
  <c r="Q697" i="5"/>
  <c r="R697" i="5"/>
  <c r="S697" i="5"/>
  <c r="T697" i="5"/>
  <c r="U697" i="5"/>
  <c r="V697" i="5"/>
  <c r="W697" i="5"/>
  <c r="X697" i="5"/>
  <c r="B698" i="5"/>
  <c r="C698" i="5"/>
  <c r="D698" i="5"/>
  <c r="E698" i="5"/>
  <c r="F698" i="5"/>
  <c r="G698" i="5"/>
  <c r="H698" i="5"/>
  <c r="I698" i="5"/>
  <c r="J698" i="5"/>
  <c r="K698" i="5"/>
  <c r="L698" i="5"/>
  <c r="M698" i="5"/>
  <c r="N698" i="5"/>
  <c r="O698" i="5"/>
  <c r="P698" i="5"/>
  <c r="Q698" i="5"/>
  <c r="R698" i="5"/>
  <c r="S698" i="5"/>
  <c r="T698" i="5"/>
  <c r="U698" i="5"/>
  <c r="V698" i="5"/>
  <c r="W698" i="5"/>
  <c r="X698" i="5"/>
  <c r="B699" i="5"/>
  <c r="C699" i="5"/>
  <c r="D699" i="5"/>
  <c r="E699" i="5"/>
  <c r="F699" i="5"/>
  <c r="G699" i="5"/>
  <c r="H699" i="5"/>
  <c r="I699" i="5"/>
  <c r="J699" i="5"/>
  <c r="K699" i="5"/>
  <c r="L699" i="5"/>
  <c r="M699" i="5"/>
  <c r="N699" i="5"/>
  <c r="O699" i="5"/>
  <c r="P699" i="5"/>
  <c r="Q699" i="5"/>
  <c r="R699" i="5"/>
  <c r="S699" i="5"/>
  <c r="T699" i="5"/>
  <c r="U699" i="5"/>
  <c r="V699" i="5"/>
  <c r="W699" i="5"/>
  <c r="X699" i="5"/>
  <c r="B700" i="5"/>
  <c r="C700" i="5"/>
  <c r="D700" i="5"/>
  <c r="E700" i="5"/>
  <c r="F700" i="5"/>
  <c r="G700" i="5"/>
  <c r="H700" i="5"/>
  <c r="I700" i="5"/>
  <c r="J700" i="5"/>
  <c r="K700" i="5"/>
  <c r="L700" i="5"/>
  <c r="M700" i="5"/>
  <c r="N700" i="5"/>
  <c r="O700" i="5"/>
  <c r="P700" i="5"/>
  <c r="Q700" i="5"/>
  <c r="R700" i="5"/>
  <c r="S700" i="5"/>
  <c r="T700" i="5"/>
  <c r="U700" i="5"/>
  <c r="V700" i="5"/>
  <c r="W700" i="5"/>
  <c r="X700" i="5"/>
  <c r="B701" i="5"/>
  <c r="C701" i="5"/>
  <c r="D701" i="5"/>
  <c r="E701" i="5"/>
  <c r="F701" i="5"/>
  <c r="G701" i="5"/>
  <c r="H701" i="5"/>
  <c r="I701" i="5"/>
  <c r="J701" i="5"/>
  <c r="K701" i="5"/>
  <c r="L701" i="5"/>
  <c r="M701" i="5"/>
  <c r="N701" i="5"/>
  <c r="O701" i="5"/>
  <c r="P701" i="5"/>
  <c r="Q701" i="5"/>
  <c r="R701" i="5"/>
  <c r="S701" i="5"/>
  <c r="T701" i="5"/>
  <c r="U701" i="5"/>
  <c r="V701" i="5"/>
  <c r="W701" i="5"/>
  <c r="X701" i="5"/>
  <c r="AC701" i="5"/>
  <c r="B702" i="5"/>
  <c r="C702" i="5"/>
  <c r="D702" i="5"/>
  <c r="E702" i="5"/>
  <c r="F702" i="5"/>
  <c r="G702" i="5"/>
  <c r="H702" i="5"/>
  <c r="I702" i="5"/>
  <c r="J702" i="5"/>
  <c r="K702" i="5"/>
  <c r="L702" i="5"/>
  <c r="M702" i="5"/>
  <c r="N702" i="5"/>
  <c r="O702" i="5"/>
  <c r="P702" i="5"/>
  <c r="Q702" i="5"/>
  <c r="R702" i="5"/>
  <c r="S702" i="5"/>
  <c r="T702" i="5"/>
  <c r="U702" i="5"/>
  <c r="V702" i="5"/>
  <c r="W702" i="5"/>
  <c r="X702" i="5"/>
  <c r="AC702" i="5"/>
  <c r="B703" i="5"/>
  <c r="C703" i="5"/>
  <c r="D703" i="5"/>
  <c r="E703" i="5"/>
  <c r="F703" i="5"/>
  <c r="G703" i="5"/>
  <c r="H703" i="5"/>
  <c r="I703" i="5"/>
  <c r="J703" i="5"/>
  <c r="K703" i="5"/>
  <c r="L703" i="5"/>
  <c r="M703" i="5"/>
  <c r="N703" i="5"/>
  <c r="O703" i="5"/>
  <c r="P703" i="5"/>
  <c r="Q703" i="5"/>
  <c r="R703" i="5"/>
  <c r="S703" i="5"/>
  <c r="T703" i="5"/>
  <c r="U703" i="5"/>
  <c r="V703" i="5"/>
  <c r="W703" i="5"/>
  <c r="X703" i="5"/>
  <c r="AB703" i="5"/>
  <c r="B704" i="5"/>
  <c r="C704" i="5"/>
  <c r="D704" i="5"/>
  <c r="E704" i="5"/>
  <c r="F704" i="5"/>
  <c r="G704" i="5"/>
  <c r="H704" i="5"/>
  <c r="I704" i="5"/>
  <c r="J704" i="5"/>
  <c r="K704" i="5"/>
  <c r="L704" i="5"/>
  <c r="M704" i="5"/>
  <c r="N704" i="5"/>
  <c r="O704" i="5"/>
  <c r="P704" i="5"/>
  <c r="Q704" i="5"/>
  <c r="R704" i="5"/>
  <c r="S704" i="5"/>
  <c r="T704" i="5"/>
  <c r="U704" i="5"/>
  <c r="V704" i="5"/>
  <c r="W704" i="5"/>
  <c r="X704" i="5"/>
  <c r="B705" i="5"/>
  <c r="C705" i="5"/>
  <c r="D705" i="5"/>
  <c r="E705" i="5"/>
  <c r="F705" i="5"/>
  <c r="G705" i="5"/>
  <c r="H705" i="5"/>
  <c r="I705" i="5"/>
  <c r="J705" i="5"/>
  <c r="K705" i="5"/>
  <c r="L705" i="5"/>
  <c r="M705" i="5"/>
  <c r="N705" i="5"/>
  <c r="AC705" i="5" s="1"/>
  <c r="O705" i="5"/>
  <c r="P705" i="5"/>
  <c r="Q705" i="5"/>
  <c r="R705" i="5"/>
  <c r="S705" i="5"/>
  <c r="T705" i="5"/>
  <c r="U705" i="5"/>
  <c r="V705" i="5"/>
  <c r="W705" i="5"/>
  <c r="X705" i="5"/>
  <c r="B706" i="5"/>
  <c r="C706" i="5"/>
  <c r="D706" i="5"/>
  <c r="E706" i="5"/>
  <c r="F706" i="5"/>
  <c r="G706" i="5"/>
  <c r="H706" i="5"/>
  <c r="I706" i="5"/>
  <c r="J706" i="5"/>
  <c r="K706" i="5"/>
  <c r="L706" i="5"/>
  <c r="M706" i="5"/>
  <c r="N706" i="5"/>
  <c r="O706" i="5"/>
  <c r="P706" i="5"/>
  <c r="Q706" i="5"/>
  <c r="R706" i="5"/>
  <c r="S706" i="5"/>
  <c r="T706" i="5"/>
  <c r="U706" i="5"/>
  <c r="V706" i="5"/>
  <c r="W706" i="5"/>
  <c r="X706" i="5"/>
  <c r="B707" i="5"/>
  <c r="C707" i="5"/>
  <c r="D707" i="5"/>
  <c r="E707" i="5"/>
  <c r="F707" i="5"/>
  <c r="G707" i="5"/>
  <c r="H707" i="5"/>
  <c r="I707" i="5"/>
  <c r="J707" i="5"/>
  <c r="K707" i="5"/>
  <c r="L707" i="5"/>
  <c r="M707" i="5"/>
  <c r="N707" i="5"/>
  <c r="O707" i="5"/>
  <c r="P707" i="5"/>
  <c r="Q707" i="5"/>
  <c r="R707" i="5"/>
  <c r="S707" i="5"/>
  <c r="T707" i="5"/>
  <c r="U707" i="5"/>
  <c r="V707" i="5"/>
  <c r="W707" i="5"/>
  <c r="X707" i="5"/>
  <c r="B708" i="5"/>
  <c r="C708" i="5"/>
  <c r="D708" i="5"/>
  <c r="E708" i="5"/>
  <c r="F708" i="5"/>
  <c r="G708" i="5"/>
  <c r="H708" i="5"/>
  <c r="I708" i="5"/>
  <c r="J708" i="5"/>
  <c r="K708" i="5"/>
  <c r="L708" i="5"/>
  <c r="M708" i="5"/>
  <c r="N708" i="5"/>
  <c r="O708" i="5"/>
  <c r="P708" i="5"/>
  <c r="Q708" i="5"/>
  <c r="R708" i="5"/>
  <c r="S708" i="5"/>
  <c r="T708" i="5"/>
  <c r="U708" i="5"/>
  <c r="V708" i="5"/>
  <c r="W708" i="5"/>
  <c r="X708" i="5"/>
  <c r="B709" i="5"/>
  <c r="C709" i="5"/>
  <c r="D709" i="5"/>
  <c r="E709" i="5"/>
  <c r="F709" i="5"/>
  <c r="G709" i="5"/>
  <c r="H709" i="5"/>
  <c r="I709" i="5"/>
  <c r="J709" i="5"/>
  <c r="K709" i="5"/>
  <c r="L709" i="5"/>
  <c r="M709" i="5"/>
  <c r="N709" i="5"/>
  <c r="AC709" i="5" s="1"/>
  <c r="O709" i="5"/>
  <c r="P709" i="5"/>
  <c r="Q709" i="5"/>
  <c r="R709" i="5"/>
  <c r="S709" i="5"/>
  <c r="T709" i="5"/>
  <c r="U709" i="5"/>
  <c r="V709" i="5"/>
  <c r="W709" i="5"/>
  <c r="X709" i="5"/>
  <c r="B710" i="5"/>
  <c r="C710" i="5"/>
  <c r="D710" i="5"/>
  <c r="E710" i="5"/>
  <c r="F710" i="5"/>
  <c r="G710" i="5"/>
  <c r="H710" i="5"/>
  <c r="I710" i="5"/>
  <c r="J710" i="5"/>
  <c r="K710" i="5"/>
  <c r="L710" i="5"/>
  <c r="M710" i="5"/>
  <c r="N710" i="5"/>
  <c r="AC710" i="5" s="1"/>
  <c r="O710" i="5"/>
  <c r="P710" i="5"/>
  <c r="Q710" i="5"/>
  <c r="R710" i="5"/>
  <c r="S710" i="5"/>
  <c r="T710" i="5"/>
  <c r="U710" i="5"/>
  <c r="V710" i="5"/>
  <c r="W710" i="5"/>
  <c r="X710" i="5"/>
  <c r="B711" i="5"/>
  <c r="AB711" i="5" s="1"/>
  <c r="C711" i="5"/>
  <c r="D711" i="5"/>
  <c r="E711" i="5"/>
  <c r="F711" i="5"/>
  <c r="G711" i="5"/>
  <c r="H711" i="5"/>
  <c r="I711" i="5"/>
  <c r="J711" i="5"/>
  <c r="K711" i="5"/>
  <c r="L711" i="5"/>
  <c r="M711" i="5"/>
  <c r="N711" i="5"/>
  <c r="O711" i="5"/>
  <c r="P711" i="5"/>
  <c r="Q711" i="5"/>
  <c r="R711" i="5"/>
  <c r="S711" i="5"/>
  <c r="T711" i="5"/>
  <c r="U711" i="5"/>
  <c r="V711" i="5"/>
  <c r="W711" i="5"/>
  <c r="X711" i="5"/>
  <c r="B712" i="5"/>
  <c r="C712" i="5"/>
  <c r="D712" i="5"/>
  <c r="E712" i="5"/>
  <c r="F712" i="5"/>
  <c r="G712" i="5"/>
  <c r="H712" i="5"/>
  <c r="I712" i="5"/>
  <c r="J712" i="5"/>
  <c r="K712" i="5"/>
  <c r="L712" i="5"/>
  <c r="M712" i="5"/>
  <c r="N712" i="5"/>
  <c r="AC712" i="5" s="1"/>
  <c r="O712" i="5"/>
  <c r="P712" i="5"/>
  <c r="Q712" i="5"/>
  <c r="R712" i="5"/>
  <c r="S712" i="5"/>
  <c r="T712" i="5"/>
  <c r="U712" i="5"/>
  <c r="V712" i="5"/>
  <c r="W712" i="5"/>
  <c r="X712" i="5"/>
  <c r="B713" i="5"/>
  <c r="AB713" i="5" s="1"/>
  <c r="C713" i="5"/>
  <c r="D713" i="5"/>
  <c r="E713" i="5"/>
  <c r="F713" i="5"/>
  <c r="G713" i="5"/>
  <c r="H713" i="5"/>
  <c r="I713" i="5"/>
  <c r="J713" i="5"/>
  <c r="K713" i="5"/>
  <c r="L713" i="5"/>
  <c r="M713" i="5"/>
  <c r="N713" i="5"/>
  <c r="AC713" i="5" s="1"/>
  <c r="O713" i="5"/>
  <c r="P713" i="5"/>
  <c r="Q713" i="5"/>
  <c r="R713" i="5"/>
  <c r="S713" i="5"/>
  <c r="T713" i="5"/>
  <c r="U713" i="5"/>
  <c r="V713" i="5"/>
  <c r="W713" i="5"/>
  <c r="X713" i="5"/>
  <c r="B714" i="5"/>
  <c r="C714" i="5"/>
  <c r="D714" i="5"/>
  <c r="E714" i="5"/>
  <c r="F714" i="5"/>
  <c r="G714" i="5"/>
  <c r="H714" i="5"/>
  <c r="I714" i="5"/>
  <c r="J714" i="5"/>
  <c r="K714" i="5"/>
  <c r="L714" i="5"/>
  <c r="M714" i="5"/>
  <c r="N714" i="5"/>
  <c r="O714" i="5"/>
  <c r="P714" i="5"/>
  <c r="Q714" i="5"/>
  <c r="R714" i="5"/>
  <c r="S714" i="5"/>
  <c r="T714" i="5"/>
  <c r="U714" i="5"/>
  <c r="V714" i="5"/>
  <c r="W714" i="5"/>
  <c r="X714" i="5"/>
  <c r="B715" i="5"/>
  <c r="C715" i="5"/>
  <c r="D715" i="5"/>
  <c r="E715" i="5"/>
  <c r="F715" i="5"/>
  <c r="G715" i="5"/>
  <c r="H715" i="5"/>
  <c r="I715" i="5"/>
  <c r="J715" i="5"/>
  <c r="K715" i="5"/>
  <c r="L715" i="5"/>
  <c r="M715" i="5"/>
  <c r="N715" i="5"/>
  <c r="O715" i="5"/>
  <c r="P715" i="5"/>
  <c r="Q715" i="5"/>
  <c r="R715" i="5"/>
  <c r="S715" i="5"/>
  <c r="T715" i="5"/>
  <c r="U715" i="5"/>
  <c r="V715" i="5"/>
  <c r="W715" i="5"/>
  <c r="X715" i="5"/>
  <c r="B716" i="5"/>
  <c r="C716" i="5"/>
  <c r="D716" i="5"/>
  <c r="E716" i="5"/>
  <c r="F716" i="5"/>
  <c r="G716" i="5"/>
  <c r="H716" i="5"/>
  <c r="I716" i="5"/>
  <c r="J716" i="5"/>
  <c r="K716" i="5"/>
  <c r="L716" i="5"/>
  <c r="M716" i="5"/>
  <c r="N716" i="5"/>
  <c r="O716" i="5"/>
  <c r="P716" i="5"/>
  <c r="Q716" i="5"/>
  <c r="R716" i="5"/>
  <c r="S716" i="5"/>
  <c r="T716" i="5"/>
  <c r="U716" i="5"/>
  <c r="V716" i="5"/>
  <c r="W716" i="5"/>
  <c r="X716" i="5"/>
  <c r="B717" i="5"/>
  <c r="C717" i="5"/>
  <c r="D717" i="5"/>
  <c r="E717" i="5"/>
  <c r="F717" i="5"/>
  <c r="G717" i="5"/>
  <c r="H717" i="5"/>
  <c r="I717" i="5"/>
  <c r="J717" i="5"/>
  <c r="K717" i="5"/>
  <c r="L717" i="5"/>
  <c r="M717" i="5"/>
  <c r="N717" i="5"/>
  <c r="O717" i="5"/>
  <c r="P717" i="5"/>
  <c r="Q717" i="5"/>
  <c r="R717" i="5"/>
  <c r="S717" i="5"/>
  <c r="T717" i="5"/>
  <c r="U717" i="5"/>
  <c r="V717" i="5"/>
  <c r="W717" i="5"/>
  <c r="X717" i="5"/>
  <c r="AC717" i="5"/>
  <c r="B718" i="5"/>
  <c r="C718" i="5"/>
  <c r="D718" i="5"/>
  <c r="E718" i="5"/>
  <c r="F718" i="5"/>
  <c r="G718" i="5"/>
  <c r="H718" i="5"/>
  <c r="I718" i="5"/>
  <c r="J718" i="5"/>
  <c r="K718" i="5"/>
  <c r="L718" i="5"/>
  <c r="M718" i="5"/>
  <c r="AC718" i="5" s="1"/>
  <c r="N718" i="5"/>
  <c r="O718" i="5"/>
  <c r="P718" i="5"/>
  <c r="Q718" i="5"/>
  <c r="R718" i="5"/>
  <c r="S718" i="5"/>
  <c r="T718" i="5"/>
  <c r="U718" i="5"/>
  <c r="V718" i="5"/>
  <c r="W718" i="5"/>
  <c r="X718" i="5"/>
  <c r="AB718" i="5"/>
  <c r="B719" i="5"/>
  <c r="C719" i="5"/>
  <c r="D719" i="5"/>
  <c r="E719" i="5"/>
  <c r="F719" i="5"/>
  <c r="G719" i="5"/>
  <c r="H719" i="5"/>
  <c r="AB719" i="5" s="1"/>
  <c r="I719" i="5"/>
  <c r="J719" i="5"/>
  <c r="K719" i="5"/>
  <c r="L719" i="5"/>
  <c r="M719" i="5"/>
  <c r="N719" i="5"/>
  <c r="O719" i="5"/>
  <c r="P719" i="5"/>
  <c r="AC719" i="5" s="1"/>
  <c r="Q719" i="5"/>
  <c r="R719" i="5"/>
  <c r="S719" i="5"/>
  <c r="T719" i="5"/>
  <c r="U719" i="5"/>
  <c r="V719" i="5"/>
  <c r="W719" i="5"/>
  <c r="X719" i="5"/>
  <c r="B720" i="5"/>
  <c r="C720" i="5"/>
  <c r="D720" i="5"/>
  <c r="E720" i="5"/>
  <c r="F720" i="5"/>
  <c r="G720" i="5"/>
  <c r="H720" i="5"/>
  <c r="I720" i="5"/>
  <c r="J720" i="5"/>
  <c r="K720" i="5"/>
  <c r="L720" i="5"/>
  <c r="M720" i="5"/>
  <c r="N720" i="5"/>
  <c r="O720" i="5"/>
  <c r="P720" i="5"/>
  <c r="Q720" i="5"/>
  <c r="R720" i="5"/>
  <c r="S720" i="5"/>
  <c r="T720" i="5"/>
  <c r="U720" i="5"/>
  <c r="V720" i="5"/>
  <c r="W720" i="5"/>
  <c r="X720" i="5"/>
  <c r="B721" i="5"/>
  <c r="C721" i="5"/>
  <c r="D721" i="5"/>
  <c r="E721" i="5"/>
  <c r="F721" i="5"/>
  <c r="G721" i="5"/>
  <c r="H721" i="5"/>
  <c r="I721" i="5"/>
  <c r="J721" i="5"/>
  <c r="K721" i="5"/>
  <c r="L721" i="5"/>
  <c r="M721" i="5"/>
  <c r="N721" i="5"/>
  <c r="O721" i="5"/>
  <c r="P721" i="5"/>
  <c r="Q721" i="5"/>
  <c r="R721" i="5"/>
  <c r="S721" i="5"/>
  <c r="T721" i="5"/>
  <c r="U721" i="5"/>
  <c r="V721" i="5"/>
  <c r="W721" i="5"/>
  <c r="X721" i="5"/>
  <c r="B722" i="5"/>
  <c r="C722" i="5"/>
  <c r="D722" i="5"/>
  <c r="E722" i="5"/>
  <c r="F722" i="5"/>
  <c r="G722" i="5"/>
  <c r="H722" i="5"/>
  <c r="I722" i="5"/>
  <c r="J722" i="5"/>
  <c r="K722" i="5"/>
  <c r="L722" i="5"/>
  <c r="M722" i="5"/>
  <c r="N722" i="5"/>
  <c r="O722" i="5"/>
  <c r="P722" i="5"/>
  <c r="Q722" i="5"/>
  <c r="R722" i="5"/>
  <c r="S722" i="5"/>
  <c r="T722" i="5"/>
  <c r="U722" i="5"/>
  <c r="V722" i="5"/>
  <c r="W722" i="5"/>
  <c r="X722" i="5"/>
  <c r="B723" i="5"/>
  <c r="C723" i="5"/>
  <c r="D723" i="5"/>
  <c r="E723" i="5"/>
  <c r="F723" i="5"/>
  <c r="G723" i="5"/>
  <c r="H723" i="5"/>
  <c r="I723" i="5"/>
  <c r="J723" i="5"/>
  <c r="K723" i="5"/>
  <c r="L723" i="5"/>
  <c r="M723" i="5"/>
  <c r="N723" i="5"/>
  <c r="O723" i="5"/>
  <c r="P723" i="5"/>
  <c r="Q723" i="5"/>
  <c r="R723" i="5"/>
  <c r="S723" i="5"/>
  <c r="T723" i="5"/>
  <c r="U723" i="5"/>
  <c r="V723" i="5"/>
  <c r="W723" i="5"/>
  <c r="X723" i="5"/>
  <c r="B724" i="5"/>
  <c r="C724" i="5"/>
  <c r="D724" i="5"/>
  <c r="E724" i="5"/>
  <c r="F724" i="5"/>
  <c r="G724" i="5"/>
  <c r="H724" i="5"/>
  <c r="I724" i="5"/>
  <c r="J724" i="5"/>
  <c r="K724" i="5"/>
  <c r="L724" i="5"/>
  <c r="M724" i="5"/>
  <c r="N724" i="5"/>
  <c r="O724" i="5"/>
  <c r="P724" i="5"/>
  <c r="Q724" i="5"/>
  <c r="R724" i="5"/>
  <c r="S724" i="5"/>
  <c r="T724" i="5"/>
  <c r="U724" i="5"/>
  <c r="V724" i="5"/>
  <c r="W724" i="5"/>
  <c r="X724" i="5"/>
  <c r="B725" i="5"/>
  <c r="C725" i="5"/>
  <c r="D725" i="5"/>
  <c r="E725" i="5"/>
  <c r="F725" i="5"/>
  <c r="G725" i="5"/>
  <c r="H725" i="5"/>
  <c r="I725" i="5"/>
  <c r="J725" i="5"/>
  <c r="K725" i="5"/>
  <c r="L725" i="5"/>
  <c r="M725" i="5"/>
  <c r="N725" i="5"/>
  <c r="AC725" i="5" s="1"/>
  <c r="O725" i="5"/>
  <c r="P725" i="5"/>
  <c r="Q725" i="5"/>
  <c r="R725" i="5"/>
  <c r="S725" i="5"/>
  <c r="T725" i="5"/>
  <c r="U725" i="5"/>
  <c r="V725" i="5"/>
  <c r="W725" i="5"/>
  <c r="X725" i="5"/>
  <c r="B726" i="5"/>
  <c r="C726" i="5"/>
  <c r="D726" i="5"/>
  <c r="E726" i="5"/>
  <c r="F726" i="5"/>
  <c r="G726" i="5"/>
  <c r="H726" i="5"/>
  <c r="I726" i="5"/>
  <c r="J726" i="5"/>
  <c r="K726" i="5"/>
  <c r="L726" i="5"/>
  <c r="M726" i="5"/>
  <c r="N726" i="5"/>
  <c r="AC726" i="5" s="1"/>
  <c r="O726" i="5"/>
  <c r="P726" i="5"/>
  <c r="Q726" i="5"/>
  <c r="R726" i="5"/>
  <c r="S726" i="5"/>
  <c r="T726" i="5"/>
  <c r="U726" i="5"/>
  <c r="V726" i="5"/>
  <c r="W726" i="5"/>
  <c r="X726" i="5"/>
  <c r="B727" i="5"/>
  <c r="AB727" i="5" s="1"/>
  <c r="C727" i="5"/>
  <c r="D727" i="5"/>
  <c r="E727" i="5"/>
  <c r="F727" i="5"/>
  <c r="G727" i="5"/>
  <c r="H727" i="5"/>
  <c r="I727" i="5"/>
  <c r="J727" i="5"/>
  <c r="K727" i="5"/>
  <c r="L727" i="5"/>
  <c r="M727" i="5"/>
  <c r="N727" i="5"/>
  <c r="O727" i="5"/>
  <c r="P727" i="5"/>
  <c r="Q727" i="5"/>
  <c r="R727" i="5"/>
  <c r="S727" i="5"/>
  <c r="T727" i="5"/>
  <c r="U727" i="5"/>
  <c r="V727" i="5"/>
  <c r="W727" i="5"/>
  <c r="X727" i="5"/>
  <c r="B728" i="5"/>
  <c r="C728" i="5"/>
  <c r="D728" i="5"/>
  <c r="E728" i="5"/>
  <c r="F728" i="5"/>
  <c r="G728" i="5"/>
  <c r="H728" i="5"/>
  <c r="I728" i="5"/>
  <c r="J728" i="5"/>
  <c r="K728" i="5"/>
  <c r="L728" i="5"/>
  <c r="M728" i="5"/>
  <c r="N728" i="5"/>
  <c r="AC728" i="5" s="1"/>
  <c r="O728" i="5"/>
  <c r="P728" i="5"/>
  <c r="Q728" i="5"/>
  <c r="R728" i="5"/>
  <c r="S728" i="5"/>
  <c r="T728" i="5"/>
  <c r="U728" i="5"/>
  <c r="V728" i="5"/>
  <c r="W728" i="5"/>
  <c r="X728" i="5"/>
  <c r="B729" i="5"/>
  <c r="AB729" i="5" s="1"/>
  <c r="C729" i="5"/>
  <c r="D729" i="5"/>
  <c r="E729" i="5"/>
  <c r="F729" i="5"/>
  <c r="G729" i="5"/>
  <c r="H729" i="5"/>
  <c r="I729" i="5"/>
  <c r="J729" i="5"/>
  <c r="K729" i="5"/>
  <c r="L729" i="5"/>
  <c r="M729" i="5"/>
  <c r="N729" i="5"/>
  <c r="O729" i="5"/>
  <c r="P729" i="5"/>
  <c r="Q729" i="5"/>
  <c r="R729" i="5"/>
  <c r="S729" i="5"/>
  <c r="T729" i="5"/>
  <c r="U729" i="5"/>
  <c r="V729" i="5"/>
  <c r="W729" i="5"/>
  <c r="X729" i="5"/>
  <c r="B730" i="5"/>
  <c r="C730" i="5"/>
  <c r="D730" i="5"/>
  <c r="E730" i="5"/>
  <c r="F730" i="5"/>
  <c r="G730" i="5"/>
  <c r="H730" i="5"/>
  <c r="I730" i="5"/>
  <c r="J730" i="5"/>
  <c r="K730" i="5"/>
  <c r="L730" i="5"/>
  <c r="M730" i="5"/>
  <c r="N730" i="5"/>
  <c r="O730" i="5"/>
  <c r="P730" i="5"/>
  <c r="Q730" i="5"/>
  <c r="R730" i="5"/>
  <c r="S730" i="5"/>
  <c r="T730" i="5"/>
  <c r="U730" i="5"/>
  <c r="V730" i="5"/>
  <c r="W730" i="5"/>
  <c r="X730" i="5"/>
  <c r="B731" i="5"/>
  <c r="C731" i="5"/>
  <c r="D731" i="5"/>
  <c r="E731" i="5"/>
  <c r="F731" i="5"/>
  <c r="G731" i="5"/>
  <c r="H731" i="5"/>
  <c r="I731" i="5"/>
  <c r="J731" i="5"/>
  <c r="K731" i="5"/>
  <c r="L731" i="5"/>
  <c r="M731" i="5"/>
  <c r="N731" i="5"/>
  <c r="O731" i="5"/>
  <c r="P731" i="5"/>
  <c r="Q731" i="5"/>
  <c r="R731" i="5"/>
  <c r="S731" i="5"/>
  <c r="T731" i="5"/>
  <c r="U731" i="5"/>
  <c r="V731" i="5"/>
  <c r="W731" i="5"/>
  <c r="X731" i="5"/>
  <c r="B732" i="5"/>
  <c r="C732" i="5"/>
  <c r="D732" i="5"/>
  <c r="E732" i="5"/>
  <c r="F732" i="5"/>
  <c r="G732" i="5"/>
  <c r="H732" i="5"/>
  <c r="I732" i="5"/>
  <c r="J732" i="5"/>
  <c r="K732" i="5"/>
  <c r="L732" i="5"/>
  <c r="M732" i="5"/>
  <c r="N732" i="5"/>
  <c r="O732" i="5"/>
  <c r="P732" i="5"/>
  <c r="Q732" i="5"/>
  <c r="R732" i="5"/>
  <c r="S732" i="5"/>
  <c r="T732" i="5"/>
  <c r="U732" i="5"/>
  <c r="V732" i="5"/>
  <c r="W732" i="5"/>
  <c r="X732" i="5"/>
  <c r="B733" i="5"/>
  <c r="C733" i="5"/>
  <c r="D733" i="5"/>
  <c r="E733" i="5"/>
  <c r="F733" i="5"/>
  <c r="G733" i="5"/>
  <c r="H733" i="5"/>
  <c r="I733" i="5"/>
  <c r="J733" i="5"/>
  <c r="K733" i="5"/>
  <c r="L733" i="5"/>
  <c r="M733" i="5"/>
  <c r="N733" i="5"/>
  <c r="O733" i="5"/>
  <c r="P733" i="5"/>
  <c r="Q733" i="5"/>
  <c r="R733" i="5"/>
  <c r="S733" i="5"/>
  <c r="T733" i="5"/>
  <c r="U733" i="5"/>
  <c r="V733" i="5"/>
  <c r="W733" i="5"/>
  <c r="X733" i="5"/>
  <c r="AC733" i="5"/>
  <c r="B734" i="5"/>
  <c r="C734" i="5"/>
  <c r="D734" i="5"/>
  <c r="E734" i="5"/>
  <c r="F734" i="5"/>
  <c r="G734" i="5"/>
  <c r="H734" i="5"/>
  <c r="I734" i="5"/>
  <c r="J734" i="5"/>
  <c r="K734" i="5"/>
  <c r="L734" i="5"/>
  <c r="M734" i="5"/>
  <c r="N734" i="5"/>
  <c r="O734" i="5"/>
  <c r="P734" i="5"/>
  <c r="Q734" i="5"/>
  <c r="R734" i="5"/>
  <c r="S734" i="5"/>
  <c r="T734" i="5"/>
  <c r="U734" i="5"/>
  <c r="V734" i="5"/>
  <c r="W734" i="5"/>
  <c r="X734" i="5"/>
  <c r="B735" i="5"/>
  <c r="AB735" i="5" s="1"/>
  <c r="C735" i="5"/>
  <c r="D735" i="5"/>
  <c r="E735" i="5"/>
  <c r="F735" i="5"/>
  <c r="G735" i="5"/>
  <c r="H735" i="5"/>
  <c r="I735" i="5"/>
  <c r="J735" i="5"/>
  <c r="K735" i="5"/>
  <c r="L735" i="5"/>
  <c r="M735" i="5"/>
  <c r="N735" i="5"/>
  <c r="O735" i="5"/>
  <c r="P735" i="5"/>
  <c r="Q735" i="5"/>
  <c r="R735" i="5"/>
  <c r="S735" i="5"/>
  <c r="T735" i="5"/>
  <c r="U735" i="5"/>
  <c r="V735" i="5"/>
  <c r="W735" i="5"/>
  <c r="X735" i="5"/>
  <c r="B736" i="5"/>
  <c r="C736" i="5"/>
  <c r="D736" i="5"/>
  <c r="E736" i="5"/>
  <c r="F736" i="5"/>
  <c r="G736" i="5"/>
  <c r="H736" i="5"/>
  <c r="I736" i="5"/>
  <c r="J736" i="5"/>
  <c r="K736" i="5"/>
  <c r="L736" i="5"/>
  <c r="M736" i="5"/>
  <c r="N736" i="5"/>
  <c r="O736" i="5"/>
  <c r="P736" i="5"/>
  <c r="Q736" i="5"/>
  <c r="R736" i="5"/>
  <c r="S736" i="5"/>
  <c r="T736" i="5"/>
  <c r="U736" i="5"/>
  <c r="V736" i="5"/>
  <c r="W736" i="5"/>
  <c r="X736" i="5"/>
  <c r="B737" i="5"/>
  <c r="C737" i="5"/>
  <c r="D737" i="5"/>
  <c r="E737" i="5"/>
  <c r="F737" i="5"/>
  <c r="G737" i="5"/>
  <c r="H737" i="5"/>
  <c r="I737" i="5"/>
  <c r="J737" i="5"/>
  <c r="K737" i="5"/>
  <c r="L737" i="5"/>
  <c r="M737" i="5"/>
  <c r="N737" i="5"/>
  <c r="O737" i="5"/>
  <c r="P737" i="5"/>
  <c r="Q737" i="5"/>
  <c r="R737" i="5"/>
  <c r="S737" i="5"/>
  <c r="T737" i="5"/>
  <c r="U737" i="5"/>
  <c r="V737" i="5"/>
  <c r="W737" i="5"/>
  <c r="X737" i="5"/>
  <c r="B738" i="5"/>
  <c r="C738" i="5"/>
  <c r="D738" i="5"/>
  <c r="E738" i="5"/>
  <c r="F738" i="5"/>
  <c r="G738" i="5"/>
  <c r="H738" i="5"/>
  <c r="I738" i="5"/>
  <c r="J738" i="5"/>
  <c r="K738" i="5"/>
  <c r="L738" i="5"/>
  <c r="M738" i="5"/>
  <c r="N738" i="5"/>
  <c r="O738" i="5"/>
  <c r="P738" i="5"/>
  <c r="Q738" i="5"/>
  <c r="R738" i="5"/>
  <c r="S738" i="5"/>
  <c r="T738" i="5"/>
  <c r="U738" i="5"/>
  <c r="V738" i="5"/>
  <c r="W738" i="5"/>
  <c r="X738" i="5"/>
  <c r="B739" i="5"/>
  <c r="C739" i="5"/>
  <c r="D739" i="5"/>
  <c r="E739" i="5"/>
  <c r="F739" i="5"/>
  <c r="G739" i="5"/>
  <c r="H739" i="5"/>
  <c r="I739" i="5"/>
  <c r="J739" i="5"/>
  <c r="K739" i="5"/>
  <c r="L739" i="5"/>
  <c r="M739" i="5"/>
  <c r="N739" i="5"/>
  <c r="O739" i="5"/>
  <c r="P739" i="5"/>
  <c r="Q739" i="5"/>
  <c r="R739" i="5"/>
  <c r="S739" i="5"/>
  <c r="T739" i="5"/>
  <c r="U739" i="5"/>
  <c r="V739" i="5"/>
  <c r="W739" i="5"/>
  <c r="X739" i="5"/>
  <c r="B740" i="5"/>
  <c r="C740" i="5"/>
  <c r="D740" i="5"/>
  <c r="E740" i="5"/>
  <c r="F740" i="5"/>
  <c r="G740" i="5"/>
  <c r="H740" i="5"/>
  <c r="I740" i="5"/>
  <c r="J740" i="5"/>
  <c r="K740" i="5"/>
  <c r="L740" i="5"/>
  <c r="M740" i="5"/>
  <c r="N740" i="5"/>
  <c r="O740" i="5"/>
  <c r="P740" i="5"/>
  <c r="Q740" i="5"/>
  <c r="R740" i="5"/>
  <c r="S740" i="5"/>
  <c r="T740" i="5"/>
  <c r="U740" i="5"/>
  <c r="V740" i="5"/>
  <c r="W740" i="5"/>
  <c r="X740" i="5"/>
  <c r="B741" i="5"/>
  <c r="C741" i="5"/>
  <c r="D741" i="5"/>
  <c r="E741" i="5"/>
  <c r="F741" i="5"/>
  <c r="G741" i="5"/>
  <c r="H741" i="5"/>
  <c r="I741" i="5"/>
  <c r="J741" i="5"/>
  <c r="K741" i="5"/>
  <c r="L741" i="5"/>
  <c r="M741" i="5"/>
  <c r="N741" i="5"/>
  <c r="O741" i="5"/>
  <c r="AC741" i="5" s="1"/>
  <c r="P741" i="5"/>
  <c r="Q741" i="5"/>
  <c r="R741" i="5"/>
  <c r="S741" i="5"/>
  <c r="T741" i="5"/>
  <c r="U741" i="5"/>
  <c r="V741" i="5"/>
  <c r="W741" i="5"/>
  <c r="X741" i="5"/>
  <c r="B742" i="5"/>
  <c r="C742" i="5"/>
  <c r="D742" i="5"/>
  <c r="E742" i="5"/>
  <c r="F742" i="5"/>
  <c r="G742" i="5"/>
  <c r="H742" i="5"/>
  <c r="I742" i="5"/>
  <c r="J742" i="5"/>
  <c r="K742" i="5"/>
  <c r="L742" i="5"/>
  <c r="M742" i="5"/>
  <c r="N742" i="5"/>
  <c r="O742" i="5"/>
  <c r="AC742" i="5" s="1"/>
  <c r="P742" i="5"/>
  <c r="Q742" i="5"/>
  <c r="R742" i="5"/>
  <c r="S742" i="5"/>
  <c r="T742" i="5"/>
  <c r="U742" i="5"/>
  <c r="V742" i="5"/>
  <c r="W742" i="5"/>
  <c r="X742" i="5"/>
  <c r="B743" i="5"/>
  <c r="C743" i="5"/>
  <c r="AB743" i="5" s="1"/>
  <c r="D743" i="5"/>
  <c r="E743" i="5"/>
  <c r="F743" i="5"/>
  <c r="G743" i="5"/>
  <c r="H743" i="5"/>
  <c r="I743" i="5"/>
  <c r="J743" i="5"/>
  <c r="K743" i="5"/>
  <c r="L743" i="5"/>
  <c r="M743" i="5"/>
  <c r="N743" i="5"/>
  <c r="O743" i="5"/>
  <c r="P743" i="5"/>
  <c r="Q743" i="5"/>
  <c r="R743" i="5"/>
  <c r="S743" i="5"/>
  <c r="T743" i="5"/>
  <c r="U743" i="5"/>
  <c r="V743" i="5"/>
  <c r="W743" i="5"/>
  <c r="X743" i="5"/>
  <c r="B744" i="5"/>
  <c r="C744" i="5"/>
  <c r="D744" i="5"/>
  <c r="E744" i="5"/>
  <c r="F744" i="5"/>
  <c r="G744" i="5"/>
  <c r="H744" i="5"/>
  <c r="I744" i="5"/>
  <c r="J744" i="5"/>
  <c r="K744" i="5"/>
  <c r="L744" i="5"/>
  <c r="M744" i="5"/>
  <c r="N744" i="5"/>
  <c r="O744" i="5"/>
  <c r="AC744" i="5" s="1"/>
  <c r="P744" i="5"/>
  <c r="Q744" i="5"/>
  <c r="R744" i="5"/>
  <c r="S744" i="5"/>
  <c r="T744" i="5"/>
  <c r="U744" i="5"/>
  <c r="V744" i="5"/>
  <c r="W744" i="5"/>
  <c r="X744" i="5"/>
  <c r="B745" i="5"/>
  <c r="C745" i="5"/>
  <c r="AB745" i="5" s="1"/>
  <c r="D745" i="5"/>
  <c r="E745" i="5"/>
  <c r="F745" i="5"/>
  <c r="G745" i="5"/>
  <c r="H745" i="5"/>
  <c r="I745" i="5"/>
  <c r="J745" i="5"/>
  <c r="K745" i="5"/>
  <c r="L745" i="5"/>
  <c r="M745" i="5"/>
  <c r="N745" i="5"/>
  <c r="O745" i="5"/>
  <c r="P745" i="5"/>
  <c r="Q745" i="5"/>
  <c r="R745" i="5"/>
  <c r="S745" i="5"/>
  <c r="T745" i="5"/>
  <c r="U745" i="5"/>
  <c r="V745" i="5"/>
  <c r="W745" i="5"/>
  <c r="X745" i="5"/>
  <c r="B746" i="5"/>
  <c r="C746" i="5"/>
  <c r="D746" i="5"/>
  <c r="E746" i="5"/>
  <c r="F746" i="5"/>
  <c r="G746" i="5"/>
  <c r="H746" i="5"/>
  <c r="I746" i="5"/>
  <c r="J746" i="5"/>
  <c r="K746" i="5"/>
  <c r="L746" i="5"/>
  <c r="M746" i="5"/>
  <c r="N746" i="5"/>
  <c r="O746" i="5"/>
  <c r="P746" i="5"/>
  <c r="Q746" i="5"/>
  <c r="R746" i="5"/>
  <c r="S746" i="5"/>
  <c r="T746" i="5"/>
  <c r="U746" i="5"/>
  <c r="V746" i="5"/>
  <c r="W746" i="5"/>
  <c r="X746" i="5"/>
  <c r="B747" i="5"/>
  <c r="C747" i="5"/>
  <c r="D747" i="5"/>
  <c r="E747" i="5"/>
  <c r="F747" i="5"/>
  <c r="G747" i="5"/>
  <c r="H747" i="5"/>
  <c r="I747" i="5"/>
  <c r="J747" i="5"/>
  <c r="K747" i="5"/>
  <c r="L747" i="5"/>
  <c r="M747" i="5"/>
  <c r="N747" i="5"/>
  <c r="O747" i="5"/>
  <c r="P747" i="5"/>
  <c r="Q747" i="5"/>
  <c r="R747" i="5"/>
  <c r="S747" i="5"/>
  <c r="T747" i="5"/>
  <c r="U747" i="5"/>
  <c r="V747" i="5"/>
  <c r="W747" i="5"/>
  <c r="X747" i="5"/>
  <c r="B748" i="5"/>
  <c r="C748" i="5"/>
  <c r="D748" i="5"/>
  <c r="E748" i="5"/>
  <c r="F748" i="5"/>
  <c r="G748" i="5"/>
  <c r="H748" i="5"/>
  <c r="I748" i="5"/>
  <c r="J748" i="5"/>
  <c r="K748" i="5"/>
  <c r="L748" i="5"/>
  <c r="M748" i="5"/>
  <c r="N748" i="5"/>
  <c r="O748" i="5"/>
  <c r="P748" i="5"/>
  <c r="Q748" i="5"/>
  <c r="R748" i="5"/>
  <c r="S748" i="5"/>
  <c r="T748" i="5"/>
  <c r="U748" i="5"/>
  <c r="V748" i="5"/>
  <c r="W748" i="5"/>
  <c r="X748" i="5"/>
  <c r="B749" i="5"/>
  <c r="C749" i="5"/>
  <c r="D749" i="5"/>
  <c r="E749" i="5"/>
  <c r="F749" i="5"/>
  <c r="G749" i="5"/>
  <c r="H749" i="5"/>
  <c r="I749" i="5"/>
  <c r="J749" i="5"/>
  <c r="K749" i="5"/>
  <c r="L749" i="5"/>
  <c r="M749" i="5"/>
  <c r="N749" i="5"/>
  <c r="AC749" i="5" s="1"/>
  <c r="O749" i="5"/>
  <c r="P749" i="5"/>
  <c r="Q749" i="5"/>
  <c r="R749" i="5"/>
  <c r="S749" i="5"/>
  <c r="T749" i="5"/>
  <c r="U749" i="5"/>
  <c r="V749" i="5"/>
  <c r="W749" i="5"/>
  <c r="X749" i="5"/>
  <c r="B750" i="5"/>
  <c r="AB750" i="5" s="1"/>
  <c r="C750" i="5"/>
  <c r="D750" i="5"/>
  <c r="E750" i="5"/>
  <c r="F750" i="5"/>
  <c r="G750" i="5"/>
  <c r="H750" i="5"/>
  <c r="I750" i="5"/>
  <c r="J750" i="5"/>
  <c r="K750" i="5"/>
  <c r="L750" i="5"/>
  <c r="M750" i="5"/>
  <c r="N750" i="5"/>
  <c r="O750" i="5"/>
  <c r="P750" i="5"/>
  <c r="Q750" i="5"/>
  <c r="R750" i="5"/>
  <c r="S750" i="5"/>
  <c r="T750" i="5"/>
  <c r="U750" i="5"/>
  <c r="V750" i="5"/>
  <c r="W750" i="5"/>
  <c r="X750" i="5"/>
  <c r="AC750" i="5"/>
  <c r="B751" i="5"/>
  <c r="C751" i="5"/>
  <c r="D751" i="5"/>
  <c r="E751" i="5"/>
  <c r="F751" i="5"/>
  <c r="G751" i="5"/>
  <c r="H751" i="5"/>
  <c r="I751" i="5"/>
  <c r="J751" i="5"/>
  <c r="K751" i="5"/>
  <c r="L751" i="5"/>
  <c r="M751" i="5"/>
  <c r="N751" i="5"/>
  <c r="O751" i="5"/>
  <c r="P751" i="5"/>
  <c r="Q751" i="5"/>
  <c r="R751" i="5"/>
  <c r="S751" i="5"/>
  <c r="T751" i="5"/>
  <c r="U751" i="5"/>
  <c r="V751" i="5"/>
  <c r="W751" i="5"/>
  <c r="X751" i="5"/>
  <c r="B752" i="5"/>
  <c r="C752" i="5"/>
  <c r="D752" i="5"/>
  <c r="E752" i="5"/>
  <c r="F752" i="5"/>
  <c r="G752" i="5"/>
  <c r="H752" i="5"/>
  <c r="I752" i="5"/>
  <c r="J752" i="5"/>
  <c r="K752" i="5"/>
  <c r="L752" i="5"/>
  <c r="M752" i="5"/>
  <c r="N752" i="5"/>
  <c r="O752" i="5"/>
  <c r="P752" i="5"/>
  <c r="Q752" i="5"/>
  <c r="R752" i="5"/>
  <c r="S752" i="5"/>
  <c r="T752" i="5"/>
  <c r="U752" i="5"/>
  <c r="V752" i="5"/>
  <c r="W752" i="5"/>
  <c r="X752" i="5"/>
  <c r="B753" i="5"/>
  <c r="C753" i="5"/>
  <c r="D753" i="5"/>
  <c r="E753" i="5"/>
  <c r="F753" i="5"/>
  <c r="G753" i="5"/>
  <c r="AB753" i="5" s="1"/>
  <c r="H753" i="5"/>
  <c r="I753" i="5"/>
  <c r="J753" i="5"/>
  <c r="K753" i="5"/>
  <c r="L753" i="5"/>
  <c r="M753" i="5"/>
  <c r="N753" i="5"/>
  <c r="O753" i="5"/>
  <c r="P753" i="5"/>
  <c r="Q753" i="5"/>
  <c r="R753" i="5"/>
  <c r="S753" i="5"/>
  <c r="T753" i="5"/>
  <c r="U753" i="5"/>
  <c r="V753" i="5"/>
  <c r="W753" i="5"/>
  <c r="X753" i="5"/>
  <c r="B754" i="5"/>
  <c r="C754" i="5"/>
  <c r="D754" i="5"/>
  <c r="E754" i="5"/>
  <c r="F754" i="5"/>
  <c r="G754" i="5"/>
  <c r="H754" i="5"/>
  <c r="I754" i="5"/>
  <c r="J754" i="5"/>
  <c r="K754" i="5"/>
  <c r="L754" i="5"/>
  <c r="M754" i="5"/>
  <c r="N754" i="5"/>
  <c r="O754" i="5"/>
  <c r="P754" i="5"/>
  <c r="Q754" i="5"/>
  <c r="R754" i="5"/>
  <c r="S754" i="5"/>
  <c r="T754" i="5"/>
  <c r="U754" i="5"/>
  <c r="V754" i="5"/>
  <c r="W754" i="5"/>
  <c r="X754" i="5"/>
  <c r="B755" i="5"/>
  <c r="C755" i="5"/>
  <c r="D755" i="5"/>
  <c r="E755" i="5"/>
  <c r="F755" i="5"/>
  <c r="G755" i="5"/>
  <c r="H755" i="5"/>
  <c r="I755" i="5"/>
  <c r="J755" i="5"/>
  <c r="K755" i="5"/>
  <c r="L755" i="5"/>
  <c r="M755" i="5"/>
  <c r="N755" i="5"/>
  <c r="O755" i="5"/>
  <c r="P755" i="5"/>
  <c r="Q755" i="5"/>
  <c r="R755" i="5"/>
  <c r="S755" i="5"/>
  <c r="T755" i="5"/>
  <c r="U755" i="5"/>
  <c r="V755" i="5"/>
  <c r="W755" i="5"/>
  <c r="X755" i="5"/>
  <c r="B756" i="5"/>
  <c r="C756" i="5"/>
  <c r="D756" i="5"/>
  <c r="E756" i="5"/>
  <c r="F756" i="5"/>
  <c r="G756" i="5"/>
  <c r="H756" i="5"/>
  <c r="I756" i="5"/>
  <c r="J756" i="5"/>
  <c r="K756" i="5"/>
  <c r="L756" i="5"/>
  <c r="M756" i="5"/>
  <c r="N756" i="5"/>
  <c r="O756" i="5"/>
  <c r="P756" i="5"/>
  <c r="Q756" i="5"/>
  <c r="R756" i="5"/>
  <c r="S756" i="5"/>
  <c r="T756" i="5"/>
  <c r="U756" i="5"/>
  <c r="V756" i="5"/>
  <c r="W756" i="5"/>
  <c r="X756" i="5"/>
  <c r="B757" i="5"/>
  <c r="C757" i="5"/>
  <c r="D757" i="5"/>
  <c r="E757" i="5"/>
  <c r="F757" i="5"/>
  <c r="G757" i="5"/>
  <c r="H757" i="5"/>
  <c r="I757" i="5"/>
  <c r="J757" i="5"/>
  <c r="K757" i="5"/>
  <c r="L757" i="5"/>
  <c r="M757" i="5"/>
  <c r="N757" i="5"/>
  <c r="O757" i="5"/>
  <c r="AC757" i="5" s="1"/>
  <c r="P757" i="5"/>
  <c r="Q757" i="5"/>
  <c r="R757" i="5"/>
  <c r="S757" i="5"/>
  <c r="T757" i="5"/>
  <c r="U757" i="5"/>
  <c r="V757" i="5"/>
  <c r="W757" i="5"/>
  <c r="X757" i="5"/>
  <c r="B758" i="5"/>
  <c r="C758" i="5"/>
  <c r="D758" i="5"/>
  <c r="E758" i="5"/>
  <c r="F758" i="5"/>
  <c r="G758" i="5"/>
  <c r="H758" i="5"/>
  <c r="I758" i="5"/>
  <c r="J758" i="5"/>
  <c r="K758" i="5"/>
  <c r="L758" i="5"/>
  <c r="M758" i="5"/>
  <c r="N758" i="5"/>
  <c r="O758" i="5"/>
  <c r="AC758" i="5" s="1"/>
  <c r="P758" i="5"/>
  <c r="Q758" i="5"/>
  <c r="R758" i="5"/>
  <c r="S758" i="5"/>
  <c r="T758" i="5"/>
  <c r="U758" i="5"/>
  <c r="V758" i="5"/>
  <c r="W758" i="5"/>
  <c r="X758" i="5"/>
  <c r="B759" i="5"/>
  <c r="C759" i="5"/>
  <c r="AB759" i="5" s="1"/>
  <c r="D759" i="5"/>
  <c r="E759" i="5"/>
  <c r="F759" i="5"/>
  <c r="G759" i="5"/>
  <c r="H759" i="5"/>
  <c r="I759" i="5"/>
  <c r="J759" i="5"/>
  <c r="K759" i="5"/>
  <c r="L759" i="5"/>
  <c r="M759" i="5"/>
  <c r="N759" i="5"/>
  <c r="O759" i="5"/>
  <c r="P759" i="5"/>
  <c r="Q759" i="5"/>
  <c r="R759" i="5"/>
  <c r="S759" i="5"/>
  <c r="T759" i="5"/>
  <c r="U759" i="5"/>
  <c r="V759" i="5"/>
  <c r="W759" i="5"/>
  <c r="X759" i="5"/>
  <c r="B760" i="5"/>
  <c r="C760" i="5"/>
  <c r="D760" i="5"/>
  <c r="E760" i="5"/>
  <c r="F760" i="5"/>
  <c r="G760" i="5"/>
  <c r="H760" i="5"/>
  <c r="I760" i="5"/>
  <c r="J760" i="5"/>
  <c r="K760" i="5"/>
  <c r="L760" i="5"/>
  <c r="M760" i="5"/>
  <c r="N760" i="5"/>
  <c r="O760" i="5"/>
  <c r="AC760" i="5" s="1"/>
  <c r="P760" i="5"/>
  <c r="Q760" i="5"/>
  <c r="R760" i="5"/>
  <c r="S760" i="5"/>
  <c r="T760" i="5"/>
  <c r="U760" i="5"/>
  <c r="V760" i="5"/>
  <c r="W760" i="5"/>
  <c r="X760" i="5"/>
  <c r="B761" i="5"/>
  <c r="C761" i="5"/>
  <c r="AB761" i="5" s="1"/>
  <c r="D761" i="5"/>
  <c r="E761" i="5"/>
  <c r="F761" i="5"/>
  <c r="G761" i="5"/>
  <c r="H761" i="5"/>
  <c r="I761" i="5"/>
  <c r="J761" i="5"/>
  <c r="K761" i="5"/>
  <c r="L761" i="5"/>
  <c r="M761" i="5"/>
  <c r="N761" i="5"/>
  <c r="O761" i="5"/>
  <c r="P761" i="5"/>
  <c r="Q761" i="5"/>
  <c r="R761" i="5"/>
  <c r="S761" i="5"/>
  <c r="T761" i="5"/>
  <c r="U761" i="5"/>
  <c r="V761" i="5"/>
  <c r="W761" i="5"/>
  <c r="X761" i="5"/>
  <c r="B762" i="5"/>
  <c r="C762" i="5"/>
  <c r="D762" i="5"/>
  <c r="E762" i="5"/>
  <c r="F762" i="5"/>
  <c r="G762" i="5"/>
  <c r="H762" i="5"/>
  <c r="I762" i="5"/>
  <c r="J762" i="5"/>
  <c r="K762" i="5"/>
  <c r="L762" i="5"/>
  <c r="M762" i="5"/>
  <c r="N762" i="5"/>
  <c r="O762" i="5"/>
  <c r="P762" i="5"/>
  <c r="Q762" i="5"/>
  <c r="R762" i="5"/>
  <c r="S762" i="5"/>
  <c r="T762" i="5"/>
  <c r="U762" i="5"/>
  <c r="V762" i="5"/>
  <c r="W762" i="5"/>
  <c r="X762" i="5"/>
  <c r="B763" i="5"/>
  <c r="C763" i="5"/>
  <c r="D763" i="5"/>
  <c r="E763" i="5"/>
  <c r="F763" i="5"/>
  <c r="G763" i="5"/>
  <c r="H763" i="5"/>
  <c r="I763" i="5"/>
  <c r="J763" i="5"/>
  <c r="K763" i="5"/>
  <c r="L763" i="5"/>
  <c r="M763" i="5"/>
  <c r="N763" i="5"/>
  <c r="O763" i="5"/>
  <c r="P763" i="5"/>
  <c r="Q763" i="5"/>
  <c r="R763" i="5"/>
  <c r="S763" i="5"/>
  <c r="T763" i="5"/>
  <c r="U763" i="5"/>
  <c r="V763" i="5"/>
  <c r="W763" i="5"/>
  <c r="X763" i="5"/>
  <c r="B764" i="5"/>
  <c r="C764" i="5"/>
  <c r="D764" i="5"/>
  <c r="E764" i="5"/>
  <c r="F764" i="5"/>
  <c r="G764" i="5"/>
  <c r="H764" i="5"/>
  <c r="I764" i="5"/>
  <c r="J764" i="5"/>
  <c r="K764" i="5"/>
  <c r="L764" i="5"/>
  <c r="M764" i="5"/>
  <c r="N764" i="5"/>
  <c r="O764" i="5"/>
  <c r="P764" i="5"/>
  <c r="Q764" i="5"/>
  <c r="R764" i="5"/>
  <c r="S764" i="5"/>
  <c r="T764" i="5"/>
  <c r="U764" i="5"/>
  <c r="V764" i="5"/>
  <c r="W764" i="5"/>
  <c r="X764" i="5"/>
  <c r="B765" i="5"/>
  <c r="C765" i="5"/>
  <c r="D765" i="5"/>
  <c r="E765" i="5"/>
  <c r="F765" i="5"/>
  <c r="G765" i="5"/>
  <c r="H765" i="5"/>
  <c r="I765" i="5"/>
  <c r="J765" i="5"/>
  <c r="K765" i="5"/>
  <c r="L765" i="5"/>
  <c r="M765" i="5"/>
  <c r="N765" i="5"/>
  <c r="AC765" i="5" s="1"/>
  <c r="O765" i="5"/>
  <c r="P765" i="5"/>
  <c r="Q765" i="5"/>
  <c r="R765" i="5"/>
  <c r="S765" i="5"/>
  <c r="T765" i="5"/>
  <c r="U765" i="5"/>
  <c r="V765" i="5"/>
  <c r="W765" i="5"/>
  <c r="X765" i="5"/>
  <c r="B766" i="5"/>
  <c r="C766" i="5"/>
  <c r="D766" i="5"/>
  <c r="E766" i="5"/>
  <c r="F766" i="5"/>
  <c r="G766" i="5"/>
  <c r="H766" i="5"/>
  <c r="I766" i="5"/>
  <c r="J766" i="5"/>
  <c r="K766" i="5"/>
  <c r="L766" i="5"/>
  <c r="M766" i="5"/>
  <c r="N766" i="5"/>
  <c r="AC766" i="5" s="1"/>
  <c r="O766" i="5"/>
  <c r="P766" i="5"/>
  <c r="Q766" i="5"/>
  <c r="R766" i="5"/>
  <c r="S766" i="5"/>
  <c r="T766" i="5"/>
  <c r="U766" i="5"/>
  <c r="V766" i="5"/>
  <c r="W766" i="5"/>
  <c r="X766" i="5"/>
  <c r="B767" i="5"/>
  <c r="AB767" i="5" s="1"/>
  <c r="C767" i="5"/>
  <c r="D767" i="5"/>
  <c r="E767" i="5"/>
  <c r="F767" i="5"/>
  <c r="G767" i="5"/>
  <c r="H767" i="5"/>
  <c r="I767" i="5"/>
  <c r="J767" i="5"/>
  <c r="K767" i="5"/>
  <c r="L767" i="5"/>
  <c r="M767" i="5"/>
  <c r="N767" i="5"/>
  <c r="O767" i="5"/>
  <c r="P767" i="5"/>
  <c r="Q767" i="5"/>
  <c r="R767" i="5"/>
  <c r="S767" i="5"/>
  <c r="T767" i="5"/>
  <c r="U767" i="5"/>
  <c r="V767" i="5"/>
  <c r="W767" i="5"/>
  <c r="X767" i="5"/>
  <c r="B768" i="5"/>
  <c r="C768" i="5"/>
  <c r="D768" i="5"/>
  <c r="E768" i="5"/>
  <c r="F768" i="5"/>
  <c r="G768" i="5"/>
  <c r="H768" i="5"/>
  <c r="I768" i="5"/>
  <c r="J768" i="5"/>
  <c r="K768" i="5"/>
  <c r="L768" i="5"/>
  <c r="M768" i="5"/>
  <c r="N768" i="5"/>
  <c r="O768" i="5"/>
  <c r="P768" i="5"/>
  <c r="Q768" i="5"/>
  <c r="R768" i="5"/>
  <c r="S768" i="5"/>
  <c r="T768" i="5"/>
  <c r="U768" i="5"/>
  <c r="V768" i="5"/>
  <c r="W768" i="5"/>
  <c r="X768" i="5"/>
  <c r="B769" i="5"/>
  <c r="C769" i="5"/>
  <c r="D769" i="5"/>
  <c r="E769" i="5"/>
  <c r="F769" i="5"/>
  <c r="G769" i="5"/>
  <c r="H769" i="5"/>
  <c r="I769" i="5"/>
  <c r="J769" i="5"/>
  <c r="K769" i="5"/>
  <c r="L769" i="5"/>
  <c r="M769" i="5"/>
  <c r="N769" i="5"/>
  <c r="O769" i="5"/>
  <c r="P769" i="5"/>
  <c r="Q769" i="5"/>
  <c r="R769" i="5"/>
  <c r="S769" i="5"/>
  <c r="T769" i="5"/>
  <c r="U769" i="5"/>
  <c r="V769" i="5"/>
  <c r="W769" i="5"/>
  <c r="X769" i="5"/>
  <c r="B770" i="5"/>
  <c r="C770" i="5"/>
  <c r="D770" i="5"/>
  <c r="E770" i="5"/>
  <c r="F770" i="5"/>
  <c r="G770" i="5"/>
  <c r="H770" i="5"/>
  <c r="I770" i="5"/>
  <c r="J770" i="5"/>
  <c r="K770" i="5"/>
  <c r="L770" i="5"/>
  <c r="M770" i="5"/>
  <c r="N770" i="5"/>
  <c r="O770" i="5"/>
  <c r="P770" i="5"/>
  <c r="Q770" i="5"/>
  <c r="R770" i="5"/>
  <c r="S770" i="5"/>
  <c r="T770" i="5"/>
  <c r="U770" i="5"/>
  <c r="V770" i="5"/>
  <c r="W770" i="5"/>
  <c r="X770" i="5"/>
  <c r="B771" i="5"/>
  <c r="C771" i="5"/>
  <c r="D771" i="5"/>
  <c r="E771" i="5"/>
  <c r="F771" i="5"/>
  <c r="G771" i="5"/>
  <c r="H771" i="5"/>
  <c r="I771" i="5"/>
  <c r="J771" i="5"/>
  <c r="K771" i="5"/>
  <c r="L771" i="5"/>
  <c r="M771" i="5"/>
  <c r="N771" i="5"/>
  <c r="O771" i="5"/>
  <c r="P771" i="5"/>
  <c r="Q771" i="5"/>
  <c r="R771" i="5"/>
  <c r="S771" i="5"/>
  <c r="T771" i="5"/>
  <c r="U771" i="5"/>
  <c r="V771" i="5"/>
  <c r="W771" i="5"/>
  <c r="X771" i="5"/>
  <c r="B772" i="5"/>
  <c r="C772" i="5"/>
  <c r="D772" i="5"/>
  <c r="E772" i="5"/>
  <c r="F772" i="5"/>
  <c r="G772" i="5"/>
  <c r="H772" i="5"/>
  <c r="I772" i="5"/>
  <c r="J772" i="5"/>
  <c r="K772" i="5"/>
  <c r="L772" i="5"/>
  <c r="M772" i="5"/>
  <c r="N772" i="5"/>
  <c r="O772" i="5"/>
  <c r="P772" i="5"/>
  <c r="Q772" i="5"/>
  <c r="R772" i="5"/>
  <c r="S772" i="5"/>
  <c r="T772" i="5"/>
  <c r="U772" i="5"/>
  <c r="V772" i="5"/>
  <c r="W772" i="5"/>
  <c r="X772" i="5"/>
  <c r="B773" i="5"/>
  <c r="C773" i="5"/>
  <c r="D773" i="5"/>
  <c r="E773" i="5"/>
  <c r="F773" i="5"/>
  <c r="G773" i="5"/>
  <c r="H773" i="5"/>
  <c r="I773" i="5"/>
  <c r="J773" i="5"/>
  <c r="K773" i="5"/>
  <c r="L773" i="5"/>
  <c r="M773" i="5"/>
  <c r="N773" i="5"/>
  <c r="O773" i="5"/>
  <c r="AC773" i="5" s="1"/>
  <c r="P773" i="5"/>
  <c r="Q773" i="5"/>
  <c r="R773" i="5"/>
  <c r="S773" i="5"/>
  <c r="T773" i="5"/>
  <c r="U773" i="5"/>
  <c r="V773" i="5"/>
  <c r="W773" i="5"/>
  <c r="X773" i="5"/>
  <c r="B774" i="5"/>
  <c r="C774" i="5"/>
  <c r="AB774" i="5" s="1"/>
  <c r="D774" i="5"/>
  <c r="E774" i="5"/>
  <c r="F774" i="5"/>
  <c r="G774" i="5"/>
  <c r="H774" i="5"/>
  <c r="I774" i="5"/>
  <c r="J774" i="5"/>
  <c r="K774" i="5"/>
  <c r="L774" i="5"/>
  <c r="M774" i="5"/>
  <c r="N774" i="5"/>
  <c r="O774" i="5"/>
  <c r="AC774" i="5" s="1"/>
  <c r="P774" i="5"/>
  <c r="Q774" i="5"/>
  <c r="R774" i="5"/>
  <c r="S774" i="5"/>
  <c r="T774" i="5"/>
  <c r="U774" i="5"/>
  <c r="V774" i="5"/>
  <c r="W774" i="5"/>
  <c r="X774" i="5"/>
  <c r="B775" i="5"/>
  <c r="C775" i="5"/>
  <c r="D775" i="5"/>
  <c r="E775" i="5"/>
  <c r="F775" i="5"/>
  <c r="G775" i="5"/>
  <c r="H775" i="5"/>
  <c r="I775" i="5"/>
  <c r="J775" i="5"/>
  <c r="K775" i="5"/>
  <c r="L775" i="5"/>
  <c r="M775" i="5"/>
  <c r="N775" i="5"/>
  <c r="O775" i="5"/>
  <c r="P775" i="5"/>
  <c r="Q775" i="5"/>
  <c r="R775" i="5"/>
  <c r="S775" i="5"/>
  <c r="T775" i="5"/>
  <c r="U775" i="5"/>
  <c r="V775" i="5"/>
  <c r="W775" i="5"/>
  <c r="X775" i="5"/>
  <c r="B776" i="5"/>
  <c r="C776" i="5"/>
  <c r="D776" i="5"/>
  <c r="E776" i="5"/>
  <c r="F776" i="5"/>
  <c r="G776" i="5"/>
  <c r="H776" i="5"/>
  <c r="I776" i="5"/>
  <c r="J776" i="5"/>
  <c r="K776" i="5"/>
  <c r="L776" i="5"/>
  <c r="M776" i="5"/>
  <c r="N776" i="5"/>
  <c r="O776" i="5"/>
  <c r="P776" i="5"/>
  <c r="Q776" i="5"/>
  <c r="R776" i="5"/>
  <c r="S776" i="5"/>
  <c r="T776" i="5"/>
  <c r="U776" i="5"/>
  <c r="V776" i="5"/>
  <c r="W776" i="5"/>
  <c r="X776" i="5"/>
  <c r="B777" i="5"/>
  <c r="C777" i="5"/>
  <c r="D777" i="5"/>
  <c r="E777" i="5"/>
  <c r="F777" i="5"/>
  <c r="G777" i="5"/>
  <c r="H777" i="5"/>
  <c r="I777" i="5"/>
  <c r="J777" i="5"/>
  <c r="K777" i="5"/>
  <c r="L777" i="5"/>
  <c r="M777" i="5"/>
  <c r="N777" i="5"/>
  <c r="O777" i="5"/>
  <c r="P777" i="5"/>
  <c r="Q777" i="5"/>
  <c r="R777" i="5"/>
  <c r="S777" i="5"/>
  <c r="T777" i="5"/>
  <c r="U777" i="5"/>
  <c r="V777" i="5"/>
  <c r="W777" i="5"/>
  <c r="X777" i="5"/>
  <c r="B778" i="5"/>
  <c r="C778" i="5"/>
  <c r="D778" i="5"/>
  <c r="E778" i="5"/>
  <c r="F778" i="5"/>
  <c r="G778" i="5"/>
  <c r="H778" i="5"/>
  <c r="I778" i="5"/>
  <c r="J778" i="5"/>
  <c r="K778" i="5"/>
  <c r="L778" i="5"/>
  <c r="M778" i="5"/>
  <c r="N778" i="5"/>
  <c r="O778" i="5"/>
  <c r="P778" i="5"/>
  <c r="Q778" i="5"/>
  <c r="R778" i="5"/>
  <c r="S778" i="5"/>
  <c r="T778" i="5"/>
  <c r="U778" i="5"/>
  <c r="V778" i="5"/>
  <c r="W778" i="5"/>
  <c r="X778" i="5"/>
  <c r="B779" i="5"/>
  <c r="C779" i="5"/>
  <c r="D779" i="5"/>
  <c r="E779" i="5"/>
  <c r="F779" i="5"/>
  <c r="G779" i="5"/>
  <c r="H779" i="5"/>
  <c r="I779" i="5"/>
  <c r="J779" i="5"/>
  <c r="K779" i="5"/>
  <c r="L779" i="5"/>
  <c r="M779" i="5"/>
  <c r="N779" i="5"/>
  <c r="O779" i="5"/>
  <c r="P779" i="5"/>
  <c r="Q779" i="5"/>
  <c r="R779" i="5"/>
  <c r="S779" i="5"/>
  <c r="T779" i="5"/>
  <c r="U779" i="5"/>
  <c r="V779" i="5"/>
  <c r="W779" i="5"/>
  <c r="X779" i="5"/>
  <c r="B780" i="5"/>
  <c r="C780" i="5"/>
  <c r="D780" i="5"/>
  <c r="E780" i="5"/>
  <c r="F780" i="5"/>
  <c r="G780" i="5"/>
  <c r="H780" i="5"/>
  <c r="I780" i="5"/>
  <c r="J780" i="5"/>
  <c r="K780" i="5"/>
  <c r="L780" i="5"/>
  <c r="M780" i="5"/>
  <c r="N780" i="5"/>
  <c r="O780" i="5"/>
  <c r="P780" i="5"/>
  <c r="Q780" i="5"/>
  <c r="R780" i="5"/>
  <c r="S780" i="5"/>
  <c r="T780" i="5"/>
  <c r="U780" i="5"/>
  <c r="V780" i="5"/>
  <c r="W780" i="5"/>
  <c r="X780" i="5"/>
  <c r="B781" i="5"/>
  <c r="C781" i="5"/>
  <c r="D781" i="5"/>
  <c r="E781" i="5"/>
  <c r="F781" i="5"/>
  <c r="G781" i="5"/>
  <c r="H781" i="5"/>
  <c r="I781" i="5"/>
  <c r="J781" i="5"/>
  <c r="K781" i="5"/>
  <c r="L781" i="5"/>
  <c r="M781" i="5"/>
  <c r="N781" i="5"/>
  <c r="O781" i="5"/>
  <c r="P781" i="5"/>
  <c r="AC781" i="5" s="1"/>
  <c r="Q781" i="5"/>
  <c r="R781" i="5"/>
  <c r="S781" i="5"/>
  <c r="T781" i="5"/>
  <c r="U781" i="5"/>
  <c r="V781" i="5"/>
  <c r="W781" i="5"/>
  <c r="X781" i="5"/>
  <c r="B782" i="5"/>
  <c r="C782" i="5"/>
  <c r="D782" i="5"/>
  <c r="AB782" i="5" s="1"/>
  <c r="E782" i="5"/>
  <c r="F782" i="5"/>
  <c r="G782" i="5"/>
  <c r="H782" i="5"/>
  <c r="I782" i="5"/>
  <c r="J782" i="5"/>
  <c r="K782" i="5"/>
  <c r="L782" i="5"/>
  <c r="M782" i="5"/>
  <c r="N782" i="5"/>
  <c r="O782" i="5"/>
  <c r="P782" i="5"/>
  <c r="AC782" i="5" s="1"/>
  <c r="Q782" i="5"/>
  <c r="R782" i="5"/>
  <c r="S782" i="5"/>
  <c r="T782" i="5"/>
  <c r="U782" i="5"/>
  <c r="V782" i="5"/>
  <c r="W782" i="5"/>
  <c r="X782" i="5"/>
  <c r="B783" i="5"/>
  <c r="C783" i="5"/>
  <c r="D783" i="5"/>
  <c r="E783" i="5"/>
  <c r="F783" i="5"/>
  <c r="G783" i="5"/>
  <c r="H783" i="5"/>
  <c r="I783" i="5"/>
  <c r="J783" i="5"/>
  <c r="K783" i="5"/>
  <c r="L783" i="5"/>
  <c r="M783" i="5"/>
  <c r="N783" i="5"/>
  <c r="O783" i="5"/>
  <c r="P783" i="5"/>
  <c r="Q783" i="5"/>
  <c r="R783" i="5"/>
  <c r="S783" i="5"/>
  <c r="T783" i="5"/>
  <c r="U783" i="5"/>
  <c r="V783" i="5"/>
  <c r="W783" i="5"/>
  <c r="X783" i="5"/>
  <c r="B784" i="5"/>
  <c r="C784" i="5"/>
  <c r="D784" i="5"/>
  <c r="E784" i="5"/>
  <c r="F784" i="5"/>
  <c r="G784" i="5"/>
  <c r="H784" i="5"/>
  <c r="I784" i="5"/>
  <c r="J784" i="5"/>
  <c r="K784" i="5"/>
  <c r="L784" i="5"/>
  <c r="M784" i="5"/>
  <c r="N784" i="5"/>
  <c r="O784" i="5"/>
  <c r="P784" i="5"/>
  <c r="Q784" i="5"/>
  <c r="R784" i="5"/>
  <c r="S784" i="5"/>
  <c r="T784" i="5"/>
  <c r="U784" i="5"/>
  <c r="V784" i="5"/>
  <c r="W784" i="5"/>
  <c r="X784" i="5"/>
  <c r="B785" i="5"/>
  <c r="C785" i="5"/>
  <c r="D785" i="5"/>
  <c r="E785" i="5"/>
  <c r="F785" i="5"/>
  <c r="G785" i="5"/>
  <c r="H785" i="5"/>
  <c r="I785" i="5"/>
  <c r="J785" i="5"/>
  <c r="K785" i="5"/>
  <c r="L785" i="5"/>
  <c r="M785" i="5"/>
  <c r="N785" i="5"/>
  <c r="O785" i="5"/>
  <c r="P785" i="5"/>
  <c r="Q785" i="5"/>
  <c r="R785" i="5"/>
  <c r="S785" i="5"/>
  <c r="T785" i="5"/>
  <c r="U785" i="5"/>
  <c r="V785" i="5"/>
  <c r="W785" i="5"/>
  <c r="X785" i="5"/>
  <c r="B786" i="5"/>
  <c r="C786" i="5"/>
  <c r="D786" i="5"/>
  <c r="E786" i="5"/>
  <c r="F786" i="5"/>
  <c r="G786" i="5"/>
  <c r="H786" i="5"/>
  <c r="I786" i="5"/>
  <c r="J786" i="5"/>
  <c r="K786" i="5"/>
  <c r="L786" i="5"/>
  <c r="M786" i="5"/>
  <c r="N786" i="5"/>
  <c r="O786" i="5"/>
  <c r="P786" i="5"/>
  <c r="Q786" i="5"/>
  <c r="R786" i="5"/>
  <c r="S786" i="5"/>
  <c r="T786" i="5"/>
  <c r="U786" i="5"/>
  <c r="V786" i="5"/>
  <c r="W786" i="5"/>
  <c r="X786" i="5"/>
  <c r="B787" i="5"/>
  <c r="C787" i="5"/>
  <c r="D787" i="5"/>
  <c r="E787" i="5"/>
  <c r="F787" i="5"/>
  <c r="G787" i="5"/>
  <c r="H787" i="5"/>
  <c r="I787" i="5"/>
  <c r="J787" i="5"/>
  <c r="K787" i="5"/>
  <c r="L787" i="5"/>
  <c r="M787" i="5"/>
  <c r="N787" i="5"/>
  <c r="O787" i="5"/>
  <c r="P787" i="5"/>
  <c r="Q787" i="5"/>
  <c r="R787" i="5"/>
  <c r="S787" i="5"/>
  <c r="T787" i="5"/>
  <c r="U787" i="5"/>
  <c r="V787" i="5"/>
  <c r="W787" i="5"/>
  <c r="X787" i="5"/>
  <c r="B788" i="5"/>
  <c r="C788" i="5"/>
  <c r="D788" i="5"/>
  <c r="E788" i="5"/>
  <c r="F788" i="5"/>
  <c r="G788" i="5"/>
  <c r="H788" i="5"/>
  <c r="I788" i="5"/>
  <c r="J788" i="5"/>
  <c r="K788" i="5"/>
  <c r="L788" i="5"/>
  <c r="M788" i="5"/>
  <c r="N788" i="5"/>
  <c r="O788" i="5"/>
  <c r="P788" i="5"/>
  <c r="Q788" i="5"/>
  <c r="R788" i="5"/>
  <c r="S788" i="5"/>
  <c r="T788" i="5"/>
  <c r="U788" i="5"/>
  <c r="V788" i="5"/>
  <c r="W788" i="5"/>
  <c r="X788" i="5"/>
  <c r="B789" i="5"/>
  <c r="C789" i="5"/>
  <c r="D789" i="5"/>
  <c r="E789" i="5"/>
  <c r="F789" i="5"/>
  <c r="G789" i="5"/>
  <c r="H789" i="5"/>
  <c r="I789" i="5"/>
  <c r="J789" i="5"/>
  <c r="K789" i="5"/>
  <c r="L789" i="5"/>
  <c r="M789" i="5"/>
  <c r="N789" i="5"/>
  <c r="O789" i="5"/>
  <c r="P789" i="5"/>
  <c r="Q789" i="5"/>
  <c r="R789" i="5"/>
  <c r="S789" i="5"/>
  <c r="T789" i="5"/>
  <c r="U789" i="5"/>
  <c r="V789" i="5"/>
  <c r="W789" i="5"/>
  <c r="X789" i="5"/>
  <c r="AC789" i="5"/>
  <c r="B790" i="5"/>
  <c r="C790" i="5"/>
  <c r="D790" i="5"/>
  <c r="E790" i="5"/>
  <c r="F790" i="5"/>
  <c r="G790" i="5"/>
  <c r="H790" i="5"/>
  <c r="I790" i="5"/>
  <c r="J790" i="5"/>
  <c r="K790" i="5"/>
  <c r="L790" i="5"/>
  <c r="M790" i="5"/>
  <c r="N790" i="5"/>
  <c r="O790" i="5"/>
  <c r="P790" i="5"/>
  <c r="Q790" i="5"/>
  <c r="R790" i="5"/>
  <c r="S790" i="5"/>
  <c r="T790" i="5"/>
  <c r="U790" i="5"/>
  <c r="V790" i="5"/>
  <c r="W790" i="5"/>
  <c r="X790" i="5"/>
  <c r="B791" i="5"/>
  <c r="AB791" i="5" s="1"/>
  <c r="C791" i="5"/>
  <c r="D791" i="5"/>
  <c r="E791" i="5"/>
  <c r="F791" i="5"/>
  <c r="G791" i="5"/>
  <c r="H791" i="5"/>
  <c r="I791" i="5"/>
  <c r="J791" i="5"/>
  <c r="K791" i="5"/>
  <c r="L791" i="5"/>
  <c r="M791" i="5"/>
  <c r="N791" i="5"/>
  <c r="O791" i="5"/>
  <c r="P791" i="5"/>
  <c r="Q791" i="5"/>
  <c r="R791" i="5"/>
  <c r="S791" i="5"/>
  <c r="T791" i="5"/>
  <c r="U791" i="5"/>
  <c r="V791" i="5"/>
  <c r="W791" i="5"/>
  <c r="X791" i="5"/>
  <c r="B792" i="5"/>
  <c r="C792" i="5"/>
  <c r="D792" i="5"/>
  <c r="E792" i="5"/>
  <c r="F792" i="5"/>
  <c r="G792" i="5"/>
  <c r="H792" i="5"/>
  <c r="I792" i="5"/>
  <c r="J792" i="5"/>
  <c r="K792" i="5"/>
  <c r="L792" i="5"/>
  <c r="M792" i="5"/>
  <c r="N792" i="5"/>
  <c r="AC792" i="5" s="1"/>
  <c r="O792" i="5"/>
  <c r="P792" i="5"/>
  <c r="Q792" i="5"/>
  <c r="R792" i="5"/>
  <c r="S792" i="5"/>
  <c r="T792" i="5"/>
  <c r="U792" i="5"/>
  <c r="V792" i="5"/>
  <c r="W792" i="5"/>
  <c r="X792" i="5"/>
  <c r="B793" i="5"/>
  <c r="AB793" i="5" s="1"/>
  <c r="C793" i="5"/>
  <c r="D793" i="5"/>
  <c r="E793" i="5"/>
  <c r="F793" i="5"/>
  <c r="G793" i="5"/>
  <c r="H793" i="5"/>
  <c r="I793" i="5"/>
  <c r="J793" i="5"/>
  <c r="K793" i="5"/>
  <c r="L793" i="5"/>
  <c r="M793" i="5"/>
  <c r="N793" i="5"/>
  <c r="O793" i="5"/>
  <c r="P793" i="5"/>
  <c r="Q793" i="5"/>
  <c r="R793" i="5"/>
  <c r="S793" i="5"/>
  <c r="T793" i="5"/>
  <c r="U793" i="5"/>
  <c r="V793" i="5"/>
  <c r="W793" i="5"/>
  <c r="X793" i="5"/>
  <c r="B794" i="5"/>
  <c r="C794" i="5"/>
  <c r="D794" i="5"/>
  <c r="E794" i="5"/>
  <c r="F794" i="5"/>
  <c r="G794" i="5"/>
  <c r="H794" i="5"/>
  <c r="I794" i="5"/>
  <c r="J794" i="5"/>
  <c r="K794" i="5"/>
  <c r="L794" i="5"/>
  <c r="M794" i="5"/>
  <c r="N794" i="5"/>
  <c r="O794" i="5"/>
  <c r="P794" i="5"/>
  <c r="Q794" i="5"/>
  <c r="R794" i="5"/>
  <c r="S794" i="5"/>
  <c r="T794" i="5"/>
  <c r="U794" i="5"/>
  <c r="V794" i="5"/>
  <c r="W794" i="5"/>
  <c r="X794" i="5"/>
  <c r="B795" i="5"/>
  <c r="C795" i="5"/>
  <c r="D795" i="5"/>
  <c r="E795" i="5"/>
  <c r="F795" i="5"/>
  <c r="G795" i="5"/>
  <c r="H795" i="5"/>
  <c r="I795" i="5"/>
  <c r="J795" i="5"/>
  <c r="K795" i="5"/>
  <c r="L795" i="5"/>
  <c r="M795" i="5"/>
  <c r="N795" i="5"/>
  <c r="O795" i="5"/>
  <c r="P795" i="5"/>
  <c r="Q795" i="5"/>
  <c r="R795" i="5"/>
  <c r="S795" i="5"/>
  <c r="T795" i="5"/>
  <c r="U795" i="5"/>
  <c r="V795" i="5"/>
  <c r="W795" i="5"/>
  <c r="X795" i="5"/>
  <c r="B796" i="5"/>
  <c r="C796" i="5"/>
  <c r="D796" i="5"/>
  <c r="E796" i="5"/>
  <c r="F796" i="5"/>
  <c r="G796" i="5"/>
  <c r="H796" i="5"/>
  <c r="I796" i="5"/>
  <c r="J796" i="5"/>
  <c r="K796" i="5"/>
  <c r="L796" i="5"/>
  <c r="M796" i="5"/>
  <c r="N796" i="5"/>
  <c r="O796" i="5"/>
  <c r="P796" i="5"/>
  <c r="Q796" i="5"/>
  <c r="R796" i="5"/>
  <c r="S796" i="5"/>
  <c r="T796" i="5"/>
  <c r="U796" i="5"/>
  <c r="V796" i="5"/>
  <c r="W796" i="5"/>
  <c r="X796" i="5"/>
  <c r="B797" i="5"/>
  <c r="C797" i="5"/>
  <c r="D797" i="5"/>
  <c r="E797" i="5"/>
  <c r="F797" i="5"/>
  <c r="G797" i="5"/>
  <c r="H797" i="5"/>
  <c r="I797" i="5"/>
  <c r="J797" i="5"/>
  <c r="K797" i="5"/>
  <c r="L797" i="5"/>
  <c r="M797" i="5"/>
  <c r="N797" i="5"/>
  <c r="O797" i="5"/>
  <c r="P797" i="5"/>
  <c r="Q797" i="5"/>
  <c r="R797" i="5"/>
  <c r="S797" i="5"/>
  <c r="T797" i="5"/>
  <c r="U797" i="5"/>
  <c r="V797" i="5"/>
  <c r="W797" i="5"/>
  <c r="X797" i="5"/>
  <c r="AC797" i="5"/>
  <c r="B798" i="5"/>
  <c r="C798" i="5"/>
  <c r="D798" i="5"/>
  <c r="E798" i="5"/>
  <c r="F798" i="5"/>
  <c r="G798" i="5"/>
  <c r="H798" i="5"/>
  <c r="I798" i="5"/>
  <c r="J798" i="5"/>
  <c r="K798" i="5"/>
  <c r="L798" i="5"/>
  <c r="M798" i="5"/>
  <c r="N798" i="5"/>
  <c r="O798" i="5"/>
  <c r="P798" i="5"/>
  <c r="Q798" i="5"/>
  <c r="R798" i="5"/>
  <c r="S798" i="5"/>
  <c r="T798" i="5"/>
  <c r="U798" i="5"/>
  <c r="V798" i="5"/>
  <c r="W798" i="5"/>
  <c r="X798" i="5"/>
  <c r="AC798" i="5"/>
  <c r="B799" i="5"/>
  <c r="C799" i="5"/>
  <c r="D799" i="5"/>
  <c r="E799" i="5"/>
  <c r="F799" i="5"/>
  <c r="G799" i="5"/>
  <c r="H799" i="5"/>
  <c r="I799" i="5"/>
  <c r="J799" i="5"/>
  <c r="K799" i="5"/>
  <c r="L799" i="5"/>
  <c r="M799" i="5"/>
  <c r="N799" i="5"/>
  <c r="O799" i="5"/>
  <c r="P799" i="5"/>
  <c r="Q799" i="5"/>
  <c r="R799" i="5"/>
  <c r="S799" i="5"/>
  <c r="T799" i="5"/>
  <c r="U799" i="5"/>
  <c r="V799" i="5"/>
  <c r="W799" i="5"/>
  <c r="X799" i="5"/>
  <c r="AB799" i="5"/>
  <c r="B800" i="5"/>
  <c r="C800" i="5"/>
  <c r="D800" i="5"/>
  <c r="E800" i="5"/>
  <c r="F800" i="5"/>
  <c r="G800" i="5"/>
  <c r="H800" i="5"/>
  <c r="I800" i="5"/>
  <c r="J800" i="5"/>
  <c r="K800" i="5"/>
  <c r="L800" i="5"/>
  <c r="M800" i="5"/>
  <c r="N800" i="5"/>
  <c r="O800" i="5"/>
  <c r="P800" i="5"/>
  <c r="Q800" i="5"/>
  <c r="R800" i="5"/>
  <c r="S800" i="5"/>
  <c r="T800" i="5"/>
  <c r="U800" i="5"/>
  <c r="V800" i="5"/>
  <c r="W800" i="5"/>
  <c r="X800" i="5"/>
  <c r="B801" i="5"/>
  <c r="C801" i="5"/>
  <c r="D801" i="5"/>
  <c r="E801" i="5"/>
  <c r="F801" i="5"/>
  <c r="G801" i="5"/>
  <c r="H801" i="5"/>
  <c r="I801" i="5"/>
  <c r="J801" i="5"/>
  <c r="K801" i="5"/>
  <c r="L801" i="5"/>
  <c r="M801" i="5"/>
  <c r="N801" i="5"/>
  <c r="O801" i="5"/>
  <c r="P801" i="5"/>
  <c r="Q801" i="5"/>
  <c r="R801" i="5"/>
  <c r="S801" i="5"/>
  <c r="T801" i="5"/>
  <c r="U801" i="5"/>
  <c r="V801" i="5"/>
  <c r="W801" i="5"/>
  <c r="X801" i="5"/>
  <c r="B802" i="5"/>
  <c r="C802" i="5"/>
  <c r="D802" i="5"/>
  <c r="E802" i="5"/>
  <c r="F802" i="5"/>
  <c r="G802" i="5"/>
  <c r="H802" i="5"/>
  <c r="I802" i="5"/>
  <c r="J802" i="5"/>
  <c r="K802" i="5"/>
  <c r="L802" i="5"/>
  <c r="M802" i="5"/>
  <c r="N802" i="5"/>
  <c r="O802" i="5"/>
  <c r="P802" i="5"/>
  <c r="Q802" i="5"/>
  <c r="R802" i="5"/>
  <c r="S802" i="5"/>
  <c r="T802" i="5"/>
  <c r="U802" i="5"/>
  <c r="V802" i="5"/>
  <c r="W802" i="5"/>
  <c r="X802" i="5"/>
  <c r="B803" i="5"/>
  <c r="C803" i="5"/>
  <c r="D803" i="5"/>
  <c r="E803" i="5"/>
  <c r="F803" i="5"/>
  <c r="G803" i="5"/>
  <c r="H803" i="5"/>
  <c r="I803" i="5"/>
  <c r="J803" i="5"/>
  <c r="K803" i="5"/>
  <c r="L803" i="5"/>
  <c r="M803" i="5"/>
  <c r="N803" i="5"/>
  <c r="O803" i="5"/>
  <c r="P803" i="5"/>
  <c r="Q803" i="5"/>
  <c r="R803" i="5"/>
  <c r="S803" i="5"/>
  <c r="T803" i="5"/>
  <c r="U803" i="5"/>
  <c r="V803" i="5"/>
  <c r="W803" i="5"/>
  <c r="X803" i="5"/>
  <c r="B804" i="5"/>
  <c r="C804" i="5"/>
  <c r="D804" i="5"/>
  <c r="E804" i="5"/>
  <c r="F804" i="5"/>
  <c r="G804" i="5"/>
  <c r="H804" i="5"/>
  <c r="I804" i="5"/>
  <c r="J804" i="5"/>
  <c r="K804" i="5"/>
  <c r="L804" i="5"/>
  <c r="M804" i="5"/>
  <c r="N804" i="5"/>
  <c r="O804" i="5"/>
  <c r="P804" i="5"/>
  <c r="Q804" i="5"/>
  <c r="R804" i="5"/>
  <c r="S804" i="5"/>
  <c r="T804" i="5"/>
  <c r="U804" i="5"/>
  <c r="V804" i="5"/>
  <c r="W804" i="5"/>
  <c r="X804" i="5"/>
  <c r="B805" i="5"/>
  <c r="C805" i="5"/>
  <c r="D805" i="5"/>
  <c r="E805" i="5"/>
  <c r="F805" i="5"/>
  <c r="G805" i="5"/>
  <c r="H805" i="5"/>
  <c r="I805" i="5"/>
  <c r="J805" i="5"/>
  <c r="K805" i="5"/>
  <c r="L805" i="5"/>
  <c r="M805" i="5"/>
  <c r="N805" i="5"/>
  <c r="AC805" i="5" s="1"/>
  <c r="O805" i="5"/>
  <c r="P805" i="5"/>
  <c r="Q805" i="5"/>
  <c r="R805" i="5"/>
  <c r="S805" i="5"/>
  <c r="T805" i="5"/>
  <c r="U805" i="5"/>
  <c r="V805" i="5"/>
  <c r="W805" i="5"/>
  <c r="X805" i="5"/>
  <c r="B806" i="5"/>
  <c r="C806" i="5"/>
  <c r="D806" i="5"/>
  <c r="E806" i="5"/>
  <c r="F806" i="5"/>
  <c r="G806" i="5"/>
  <c r="H806" i="5"/>
  <c r="I806" i="5"/>
  <c r="J806" i="5"/>
  <c r="K806" i="5"/>
  <c r="L806" i="5"/>
  <c r="M806" i="5"/>
  <c r="N806" i="5"/>
  <c r="AC806" i="5" s="1"/>
  <c r="O806" i="5"/>
  <c r="P806" i="5"/>
  <c r="Q806" i="5"/>
  <c r="R806" i="5"/>
  <c r="S806" i="5"/>
  <c r="T806" i="5"/>
  <c r="U806" i="5"/>
  <c r="V806" i="5"/>
  <c r="W806" i="5"/>
  <c r="X806" i="5"/>
  <c r="B807" i="5"/>
  <c r="AB807" i="5" s="1"/>
  <c r="C807" i="5"/>
  <c r="D807" i="5"/>
  <c r="E807" i="5"/>
  <c r="F807" i="5"/>
  <c r="G807" i="5"/>
  <c r="H807" i="5"/>
  <c r="I807" i="5"/>
  <c r="J807" i="5"/>
  <c r="K807" i="5"/>
  <c r="L807" i="5"/>
  <c r="M807" i="5"/>
  <c r="N807" i="5"/>
  <c r="O807" i="5"/>
  <c r="P807" i="5"/>
  <c r="Q807" i="5"/>
  <c r="R807" i="5"/>
  <c r="S807" i="5"/>
  <c r="T807" i="5"/>
  <c r="U807" i="5"/>
  <c r="V807" i="5"/>
  <c r="W807" i="5"/>
  <c r="X807" i="5"/>
  <c r="B808" i="5"/>
  <c r="C808" i="5"/>
  <c r="D808" i="5"/>
  <c r="E808" i="5"/>
  <c r="F808" i="5"/>
  <c r="G808" i="5"/>
  <c r="H808" i="5"/>
  <c r="I808" i="5"/>
  <c r="J808" i="5"/>
  <c r="K808" i="5"/>
  <c r="L808" i="5"/>
  <c r="M808" i="5"/>
  <c r="N808" i="5"/>
  <c r="AC808" i="5" s="1"/>
  <c r="O808" i="5"/>
  <c r="P808" i="5"/>
  <c r="Q808" i="5"/>
  <c r="R808" i="5"/>
  <c r="S808" i="5"/>
  <c r="T808" i="5"/>
  <c r="U808" i="5"/>
  <c r="V808" i="5"/>
  <c r="W808" i="5"/>
  <c r="X808" i="5"/>
  <c r="B809" i="5"/>
  <c r="AB809" i="5" s="1"/>
  <c r="C809" i="5"/>
  <c r="D809" i="5"/>
  <c r="E809" i="5"/>
  <c r="F809" i="5"/>
  <c r="G809" i="5"/>
  <c r="H809" i="5"/>
  <c r="I809" i="5"/>
  <c r="J809" i="5"/>
  <c r="K809" i="5"/>
  <c r="L809" i="5"/>
  <c r="M809" i="5"/>
  <c r="N809" i="5"/>
  <c r="AC809" i="5" s="1"/>
  <c r="O809" i="5"/>
  <c r="P809" i="5"/>
  <c r="Q809" i="5"/>
  <c r="R809" i="5"/>
  <c r="S809" i="5"/>
  <c r="T809" i="5"/>
  <c r="U809" i="5"/>
  <c r="V809" i="5"/>
  <c r="W809" i="5"/>
  <c r="X809" i="5"/>
  <c r="B810" i="5"/>
  <c r="C810" i="5"/>
  <c r="D810" i="5"/>
  <c r="E810" i="5"/>
  <c r="F810" i="5"/>
  <c r="G810" i="5"/>
  <c r="H810" i="5"/>
  <c r="I810" i="5"/>
  <c r="J810" i="5"/>
  <c r="K810" i="5"/>
  <c r="L810" i="5"/>
  <c r="M810" i="5"/>
  <c r="N810" i="5"/>
  <c r="O810" i="5"/>
  <c r="P810" i="5"/>
  <c r="Q810" i="5"/>
  <c r="R810" i="5"/>
  <c r="S810" i="5"/>
  <c r="T810" i="5"/>
  <c r="U810" i="5"/>
  <c r="V810" i="5"/>
  <c r="W810" i="5"/>
  <c r="X810" i="5"/>
  <c r="B811" i="5"/>
  <c r="C811" i="5"/>
  <c r="D811" i="5"/>
  <c r="E811" i="5"/>
  <c r="F811" i="5"/>
  <c r="G811" i="5"/>
  <c r="H811" i="5"/>
  <c r="I811" i="5"/>
  <c r="J811" i="5"/>
  <c r="K811" i="5"/>
  <c r="L811" i="5"/>
  <c r="M811" i="5"/>
  <c r="N811" i="5"/>
  <c r="O811" i="5"/>
  <c r="P811" i="5"/>
  <c r="Q811" i="5"/>
  <c r="R811" i="5"/>
  <c r="S811" i="5"/>
  <c r="T811" i="5"/>
  <c r="U811" i="5"/>
  <c r="V811" i="5"/>
  <c r="W811" i="5"/>
  <c r="X811" i="5"/>
  <c r="B812" i="5"/>
  <c r="C812" i="5"/>
  <c r="D812" i="5"/>
  <c r="E812" i="5"/>
  <c r="F812" i="5"/>
  <c r="G812" i="5"/>
  <c r="H812" i="5"/>
  <c r="I812" i="5"/>
  <c r="J812" i="5"/>
  <c r="K812" i="5"/>
  <c r="L812" i="5"/>
  <c r="M812" i="5"/>
  <c r="N812" i="5"/>
  <c r="O812" i="5"/>
  <c r="P812" i="5"/>
  <c r="Q812" i="5"/>
  <c r="R812" i="5"/>
  <c r="S812" i="5"/>
  <c r="T812" i="5"/>
  <c r="U812" i="5"/>
  <c r="V812" i="5"/>
  <c r="W812" i="5"/>
  <c r="X812" i="5"/>
  <c r="B813" i="5"/>
  <c r="C813" i="5"/>
  <c r="D813" i="5"/>
  <c r="E813" i="5"/>
  <c r="F813" i="5"/>
  <c r="G813" i="5"/>
  <c r="H813" i="5"/>
  <c r="I813" i="5"/>
  <c r="J813" i="5"/>
  <c r="K813" i="5"/>
  <c r="L813" i="5"/>
  <c r="M813" i="5"/>
  <c r="N813" i="5"/>
  <c r="O813" i="5"/>
  <c r="P813" i="5"/>
  <c r="Q813" i="5"/>
  <c r="R813" i="5"/>
  <c r="S813" i="5"/>
  <c r="T813" i="5"/>
  <c r="U813" i="5"/>
  <c r="V813" i="5"/>
  <c r="W813" i="5"/>
  <c r="X813" i="5"/>
  <c r="AC813" i="5"/>
  <c r="B814" i="5"/>
  <c r="C814" i="5"/>
  <c r="D814" i="5"/>
  <c r="E814" i="5"/>
  <c r="F814" i="5"/>
  <c r="G814" i="5"/>
  <c r="H814" i="5"/>
  <c r="I814" i="5"/>
  <c r="J814" i="5"/>
  <c r="K814" i="5"/>
  <c r="L814" i="5"/>
  <c r="M814" i="5"/>
  <c r="AC814" i="5" s="1"/>
  <c r="N814" i="5"/>
  <c r="O814" i="5"/>
  <c r="P814" i="5"/>
  <c r="Q814" i="5"/>
  <c r="R814" i="5"/>
  <c r="S814" i="5"/>
  <c r="T814" i="5"/>
  <c r="U814" i="5"/>
  <c r="V814" i="5"/>
  <c r="W814" i="5"/>
  <c r="X814" i="5"/>
  <c r="AB814" i="5"/>
  <c r="B815" i="5"/>
  <c r="C815" i="5"/>
  <c r="D815" i="5"/>
  <c r="E815" i="5"/>
  <c r="F815" i="5"/>
  <c r="G815" i="5"/>
  <c r="H815" i="5"/>
  <c r="AB815" i="5" s="1"/>
  <c r="I815" i="5"/>
  <c r="J815" i="5"/>
  <c r="K815" i="5"/>
  <c r="L815" i="5"/>
  <c r="M815" i="5"/>
  <c r="N815" i="5"/>
  <c r="O815" i="5"/>
  <c r="P815" i="5"/>
  <c r="AC815" i="5" s="1"/>
  <c r="Q815" i="5"/>
  <c r="R815" i="5"/>
  <c r="S815" i="5"/>
  <c r="T815" i="5"/>
  <c r="U815" i="5"/>
  <c r="V815" i="5"/>
  <c r="W815" i="5"/>
  <c r="X815" i="5"/>
  <c r="B816" i="5"/>
  <c r="C816" i="5"/>
  <c r="D816" i="5"/>
  <c r="E816" i="5"/>
  <c r="F816" i="5"/>
  <c r="G816" i="5"/>
  <c r="H816" i="5"/>
  <c r="I816" i="5"/>
  <c r="J816" i="5"/>
  <c r="K816" i="5"/>
  <c r="L816" i="5"/>
  <c r="M816" i="5"/>
  <c r="N816" i="5"/>
  <c r="O816" i="5"/>
  <c r="P816" i="5"/>
  <c r="Q816" i="5"/>
  <c r="R816" i="5"/>
  <c r="S816" i="5"/>
  <c r="T816" i="5"/>
  <c r="U816" i="5"/>
  <c r="V816" i="5"/>
  <c r="W816" i="5"/>
  <c r="X816" i="5"/>
  <c r="B817" i="5"/>
  <c r="C817" i="5"/>
  <c r="D817" i="5"/>
  <c r="E817" i="5"/>
  <c r="F817" i="5"/>
  <c r="G817" i="5"/>
  <c r="H817" i="5"/>
  <c r="I817" i="5"/>
  <c r="J817" i="5"/>
  <c r="K817" i="5"/>
  <c r="L817" i="5"/>
  <c r="M817" i="5"/>
  <c r="N817" i="5"/>
  <c r="O817" i="5"/>
  <c r="P817" i="5"/>
  <c r="Q817" i="5"/>
  <c r="R817" i="5"/>
  <c r="S817" i="5"/>
  <c r="T817" i="5"/>
  <c r="U817" i="5"/>
  <c r="V817" i="5"/>
  <c r="W817" i="5"/>
  <c r="X817" i="5"/>
  <c r="B818" i="5"/>
  <c r="C818" i="5"/>
  <c r="D818" i="5"/>
  <c r="E818" i="5"/>
  <c r="F818" i="5"/>
  <c r="G818" i="5"/>
  <c r="H818" i="5"/>
  <c r="I818" i="5"/>
  <c r="J818" i="5"/>
  <c r="K818" i="5"/>
  <c r="L818" i="5"/>
  <c r="M818" i="5"/>
  <c r="N818" i="5"/>
  <c r="O818" i="5"/>
  <c r="P818" i="5"/>
  <c r="Q818" i="5"/>
  <c r="R818" i="5"/>
  <c r="S818" i="5"/>
  <c r="T818" i="5"/>
  <c r="U818" i="5"/>
  <c r="V818" i="5"/>
  <c r="W818" i="5"/>
  <c r="X818" i="5"/>
  <c r="B819" i="5"/>
  <c r="C819" i="5"/>
  <c r="D819" i="5"/>
  <c r="E819" i="5"/>
  <c r="F819" i="5"/>
  <c r="G819" i="5"/>
  <c r="H819" i="5"/>
  <c r="I819" i="5"/>
  <c r="J819" i="5"/>
  <c r="K819" i="5"/>
  <c r="L819" i="5"/>
  <c r="M819" i="5"/>
  <c r="N819" i="5"/>
  <c r="O819" i="5"/>
  <c r="P819" i="5"/>
  <c r="Q819" i="5"/>
  <c r="R819" i="5"/>
  <c r="S819" i="5"/>
  <c r="T819" i="5"/>
  <c r="U819" i="5"/>
  <c r="V819" i="5"/>
  <c r="W819" i="5"/>
  <c r="X819" i="5"/>
  <c r="B820" i="5"/>
  <c r="C820" i="5"/>
  <c r="D820" i="5"/>
  <c r="E820" i="5"/>
  <c r="F820" i="5"/>
  <c r="G820" i="5"/>
  <c r="H820" i="5"/>
  <c r="I820" i="5"/>
  <c r="J820" i="5"/>
  <c r="K820" i="5"/>
  <c r="L820" i="5"/>
  <c r="M820" i="5"/>
  <c r="N820" i="5"/>
  <c r="O820" i="5"/>
  <c r="P820" i="5"/>
  <c r="Q820" i="5"/>
  <c r="R820" i="5"/>
  <c r="S820" i="5"/>
  <c r="T820" i="5"/>
  <c r="U820" i="5"/>
  <c r="V820" i="5"/>
  <c r="W820" i="5"/>
  <c r="X820" i="5"/>
  <c r="B821" i="5"/>
  <c r="C821" i="5"/>
  <c r="D821" i="5"/>
  <c r="E821" i="5"/>
  <c r="F821" i="5"/>
  <c r="G821" i="5"/>
  <c r="H821" i="5"/>
  <c r="I821" i="5"/>
  <c r="J821" i="5"/>
  <c r="K821" i="5"/>
  <c r="L821" i="5"/>
  <c r="M821" i="5"/>
  <c r="N821" i="5"/>
  <c r="AC821" i="5" s="1"/>
  <c r="O821" i="5"/>
  <c r="P821" i="5"/>
  <c r="Q821" i="5"/>
  <c r="R821" i="5"/>
  <c r="S821" i="5"/>
  <c r="T821" i="5"/>
  <c r="U821" i="5"/>
  <c r="V821" i="5"/>
  <c r="W821" i="5"/>
  <c r="X821" i="5"/>
  <c r="B822" i="5"/>
  <c r="C822" i="5"/>
  <c r="D822" i="5"/>
  <c r="E822" i="5"/>
  <c r="F822" i="5"/>
  <c r="G822" i="5"/>
  <c r="H822" i="5"/>
  <c r="I822" i="5"/>
  <c r="J822" i="5"/>
  <c r="K822" i="5"/>
  <c r="L822" i="5"/>
  <c r="M822" i="5"/>
  <c r="N822" i="5"/>
  <c r="AC822" i="5" s="1"/>
  <c r="O822" i="5"/>
  <c r="P822" i="5"/>
  <c r="Q822" i="5"/>
  <c r="R822" i="5"/>
  <c r="S822" i="5"/>
  <c r="T822" i="5"/>
  <c r="U822" i="5"/>
  <c r="V822" i="5"/>
  <c r="W822" i="5"/>
  <c r="X822" i="5"/>
  <c r="B823" i="5"/>
  <c r="AB823" i="5" s="1"/>
  <c r="C823" i="5"/>
  <c r="D823" i="5"/>
  <c r="E823" i="5"/>
  <c r="F823" i="5"/>
  <c r="G823" i="5"/>
  <c r="H823" i="5"/>
  <c r="I823" i="5"/>
  <c r="J823" i="5"/>
  <c r="K823" i="5"/>
  <c r="L823" i="5"/>
  <c r="M823" i="5"/>
  <c r="N823" i="5"/>
  <c r="O823" i="5"/>
  <c r="P823" i="5"/>
  <c r="Q823" i="5"/>
  <c r="R823" i="5"/>
  <c r="S823" i="5"/>
  <c r="T823" i="5"/>
  <c r="U823" i="5"/>
  <c r="V823" i="5"/>
  <c r="W823" i="5"/>
  <c r="X823" i="5"/>
  <c r="B824" i="5"/>
  <c r="C824" i="5"/>
  <c r="D824" i="5"/>
  <c r="E824" i="5"/>
  <c r="F824" i="5"/>
  <c r="G824" i="5"/>
  <c r="H824" i="5"/>
  <c r="I824" i="5"/>
  <c r="J824" i="5"/>
  <c r="K824" i="5"/>
  <c r="L824" i="5"/>
  <c r="M824" i="5"/>
  <c r="N824" i="5"/>
  <c r="AC824" i="5" s="1"/>
  <c r="O824" i="5"/>
  <c r="P824" i="5"/>
  <c r="Q824" i="5"/>
  <c r="R824" i="5"/>
  <c r="S824" i="5"/>
  <c r="T824" i="5"/>
  <c r="U824" i="5"/>
  <c r="V824" i="5"/>
  <c r="W824" i="5"/>
  <c r="X824" i="5"/>
  <c r="B825" i="5"/>
  <c r="AB825" i="5" s="1"/>
  <c r="C825" i="5"/>
  <c r="D825" i="5"/>
  <c r="E825" i="5"/>
  <c r="F825" i="5"/>
  <c r="G825" i="5"/>
  <c r="H825" i="5"/>
  <c r="I825" i="5"/>
  <c r="J825" i="5"/>
  <c r="K825" i="5"/>
  <c r="L825" i="5"/>
  <c r="M825" i="5"/>
  <c r="N825" i="5"/>
  <c r="O825" i="5"/>
  <c r="P825" i="5"/>
  <c r="Q825" i="5"/>
  <c r="R825" i="5"/>
  <c r="S825" i="5"/>
  <c r="T825" i="5"/>
  <c r="U825" i="5"/>
  <c r="V825" i="5"/>
  <c r="W825" i="5"/>
  <c r="X825" i="5"/>
  <c r="B826" i="5"/>
  <c r="C826" i="5"/>
  <c r="D826" i="5"/>
  <c r="E826" i="5"/>
  <c r="F826" i="5"/>
  <c r="G826" i="5"/>
  <c r="H826" i="5"/>
  <c r="I826" i="5"/>
  <c r="J826" i="5"/>
  <c r="K826" i="5"/>
  <c r="L826" i="5"/>
  <c r="M826" i="5"/>
  <c r="N826" i="5"/>
  <c r="O826" i="5"/>
  <c r="P826" i="5"/>
  <c r="Q826" i="5"/>
  <c r="R826" i="5"/>
  <c r="S826" i="5"/>
  <c r="T826" i="5"/>
  <c r="U826" i="5"/>
  <c r="V826" i="5"/>
  <c r="W826" i="5"/>
  <c r="X826" i="5"/>
  <c r="B827" i="5"/>
  <c r="C827" i="5"/>
  <c r="D827" i="5"/>
  <c r="E827" i="5"/>
  <c r="F827" i="5"/>
  <c r="G827" i="5"/>
  <c r="H827" i="5"/>
  <c r="I827" i="5"/>
  <c r="J827" i="5"/>
  <c r="K827" i="5"/>
  <c r="L827" i="5"/>
  <c r="M827" i="5"/>
  <c r="N827" i="5"/>
  <c r="O827" i="5"/>
  <c r="P827" i="5"/>
  <c r="Q827" i="5"/>
  <c r="R827" i="5"/>
  <c r="S827" i="5"/>
  <c r="T827" i="5"/>
  <c r="U827" i="5"/>
  <c r="V827" i="5"/>
  <c r="W827" i="5"/>
  <c r="X827" i="5"/>
  <c r="B828" i="5"/>
  <c r="C828" i="5"/>
  <c r="D828" i="5"/>
  <c r="E828" i="5"/>
  <c r="F828" i="5"/>
  <c r="G828" i="5"/>
  <c r="H828" i="5"/>
  <c r="I828" i="5"/>
  <c r="J828" i="5"/>
  <c r="K828" i="5"/>
  <c r="L828" i="5"/>
  <c r="M828" i="5"/>
  <c r="N828" i="5"/>
  <c r="O828" i="5"/>
  <c r="P828" i="5"/>
  <c r="Q828" i="5"/>
  <c r="R828" i="5"/>
  <c r="S828" i="5"/>
  <c r="T828" i="5"/>
  <c r="U828" i="5"/>
  <c r="V828" i="5"/>
  <c r="W828" i="5"/>
  <c r="X828" i="5"/>
  <c r="B829" i="5"/>
  <c r="C829" i="5"/>
  <c r="D829" i="5"/>
  <c r="E829" i="5"/>
  <c r="F829" i="5"/>
  <c r="G829" i="5"/>
  <c r="H829" i="5"/>
  <c r="I829" i="5"/>
  <c r="J829" i="5"/>
  <c r="K829" i="5"/>
  <c r="L829" i="5"/>
  <c r="M829" i="5"/>
  <c r="N829" i="5"/>
  <c r="O829" i="5"/>
  <c r="P829" i="5"/>
  <c r="Q829" i="5"/>
  <c r="R829" i="5"/>
  <c r="S829" i="5"/>
  <c r="T829" i="5"/>
  <c r="U829" i="5"/>
  <c r="V829" i="5"/>
  <c r="W829" i="5"/>
  <c r="X829" i="5"/>
  <c r="AC829" i="5"/>
  <c r="B830" i="5"/>
  <c r="C830" i="5"/>
  <c r="D830" i="5"/>
  <c r="E830" i="5"/>
  <c r="F830" i="5"/>
  <c r="G830" i="5"/>
  <c r="H830" i="5"/>
  <c r="I830" i="5"/>
  <c r="J830" i="5"/>
  <c r="K830" i="5"/>
  <c r="L830" i="5"/>
  <c r="M830" i="5"/>
  <c r="N830" i="5"/>
  <c r="O830" i="5"/>
  <c r="P830" i="5"/>
  <c r="Q830" i="5"/>
  <c r="R830" i="5"/>
  <c r="S830" i="5"/>
  <c r="T830" i="5"/>
  <c r="U830" i="5"/>
  <c r="V830" i="5"/>
  <c r="W830" i="5"/>
  <c r="X830" i="5"/>
  <c r="AC830" i="5"/>
  <c r="B831" i="5"/>
  <c r="C831" i="5"/>
  <c r="D831" i="5"/>
  <c r="E831" i="5"/>
  <c r="F831" i="5"/>
  <c r="G831" i="5"/>
  <c r="H831" i="5"/>
  <c r="I831" i="5"/>
  <c r="J831" i="5"/>
  <c r="K831" i="5"/>
  <c r="L831" i="5"/>
  <c r="M831" i="5"/>
  <c r="N831" i="5"/>
  <c r="O831" i="5"/>
  <c r="P831" i="5"/>
  <c r="Q831" i="5"/>
  <c r="R831" i="5"/>
  <c r="S831" i="5"/>
  <c r="T831" i="5"/>
  <c r="U831" i="5"/>
  <c r="V831" i="5"/>
  <c r="W831" i="5"/>
  <c r="X831" i="5"/>
  <c r="AB831" i="5"/>
  <c r="B832" i="5"/>
  <c r="C832" i="5"/>
  <c r="D832" i="5"/>
  <c r="E832" i="5"/>
  <c r="F832" i="5"/>
  <c r="G832" i="5"/>
  <c r="H832" i="5"/>
  <c r="I832" i="5"/>
  <c r="J832" i="5"/>
  <c r="K832" i="5"/>
  <c r="L832" i="5"/>
  <c r="M832" i="5"/>
  <c r="N832" i="5"/>
  <c r="O832" i="5"/>
  <c r="P832" i="5"/>
  <c r="Q832" i="5"/>
  <c r="R832" i="5"/>
  <c r="S832" i="5"/>
  <c r="T832" i="5"/>
  <c r="U832" i="5"/>
  <c r="V832" i="5"/>
  <c r="W832" i="5"/>
  <c r="X832" i="5"/>
  <c r="B833" i="5"/>
  <c r="C833" i="5"/>
  <c r="D833" i="5"/>
  <c r="E833" i="5"/>
  <c r="F833" i="5"/>
  <c r="G833" i="5"/>
  <c r="H833" i="5"/>
  <c r="I833" i="5"/>
  <c r="J833" i="5"/>
  <c r="K833" i="5"/>
  <c r="L833" i="5"/>
  <c r="M833" i="5"/>
  <c r="N833" i="5"/>
  <c r="O833" i="5"/>
  <c r="P833" i="5"/>
  <c r="Q833" i="5"/>
  <c r="R833" i="5"/>
  <c r="S833" i="5"/>
  <c r="T833" i="5"/>
  <c r="U833" i="5"/>
  <c r="V833" i="5"/>
  <c r="W833" i="5"/>
  <c r="X833" i="5"/>
  <c r="B834" i="5"/>
  <c r="C834" i="5"/>
  <c r="D834" i="5"/>
  <c r="E834" i="5"/>
  <c r="F834" i="5"/>
  <c r="G834" i="5"/>
  <c r="H834" i="5"/>
  <c r="I834" i="5"/>
  <c r="J834" i="5"/>
  <c r="K834" i="5"/>
  <c r="L834" i="5"/>
  <c r="M834" i="5"/>
  <c r="N834" i="5"/>
  <c r="O834" i="5"/>
  <c r="P834" i="5"/>
  <c r="Q834" i="5"/>
  <c r="R834" i="5"/>
  <c r="S834" i="5"/>
  <c r="T834" i="5"/>
  <c r="U834" i="5"/>
  <c r="V834" i="5"/>
  <c r="W834" i="5"/>
  <c r="X834" i="5"/>
  <c r="B835" i="5"/>
  <c r="C835" i="5"/>
  <c r="D835" i="5"/>
  <c r="E835" i="5"/>
  <c r="F835" i="5"/>
  <c r="G835" i="5"/>
  <c r="H835" i="5"/>
  <c r="I835" i="5"/>
  <c r="J835" i="5"/>
  <c r="K835" i="5"/>
  <c r="L835" i="5"/>
  <c r="M835" i="5"/>
  <c r="N835" i="5"/>
  <c r="O835" i="5"/>
  <c r="P835" i="5"/>
  <c r="Q835" i="5"/>
  <c r="R835" i="5"/>
  <c r="S835" i="5"/>
  <c r="T835" i="5"/>
  <c r="U835" i="5"/>
  <c r="V835" i="5"/>
  <c r="W835" i="5"/>
  <c r="X835" i="5"/>
  <c r="B836" i="5"/>
  <c r="C836" i="5"/>
  <c r="D836" i="5"/>
  <c r="E836" i="5"/>
  <c r="F836" i="5"/>
  <c r="G836" i="5"/>
  <c r="H836" i="5"/>
  <c r="I836" i="5"/>
  <c r="J836" i="5"/>
  <c r="K836" i="5"/>
  <c r="L836" i="5"/>
  <c r="M836" i="5"/>
  <c r="N836" i="5"/>
  <c r="O836" i="5"/>
  <c r="P836" i="5"/>
  <c r="Q836" i="5"/>
  <c r="R836" i="5"/>
  <c r="S836" i="5"/>
  <c r="T836" i="5"/>
  <c r="U836" i="5"/>
  <c r="V836" i="5"/>
  <c r="W836" i="5"/>
  <c r="X836" i="5"/>
  <c r="B837" i="5"/>
  <c r="C837" i="5"/>
  <c r="D837" i="5"/>
  <c r="E837" i="5"/>
  <c r="F837" i="5"/>
  <c r="G837" i="5"/>
  <c r="H837" i="5"/>
  <c r="I837" i="5"/>
  <c r="J837" i="5"/>
  <c r="K837" i="5"/>
  <c r="L837" i="5"/>
  <c r="M837" i="5"/>
  <c r="N837" i="5"/>
  <c r="AC837" i="5" s="1"/>
  <c r="O837" i="5"/>
  <c r="P837" i="5"/>
  <c r="Q837" i="5"/>
  <c r="R837" i="5"/>
  <c r="S837" i="5"/>
  <c r="T837" i="5"/>
  <c r="U837" i="5"/>
  <c r="V837" i="5"/>
  <c r="W837" i="5"/>
  <c r="X837" i="5"/>
  <c r="B838" i="5"/>
  <c r="AB838" i="5" s="1"/>
  <c r="C838" i="5"/>
  <c r="D838" i="5"/>
  <c r="E838" i="5"/>
  <c r="F838" i="5"/>
  <c r="G838" i="5"/>
  <c r="H838" i="5"/>
  <c r="I838" i="5"/>
  <c r="J838" i="5"/>
  <c r="K838" i="5"/>
  <c r="L838" i="5"/>
  <c r="M838" i="5"/>
  <c r="N838" i="5"/>
  <c r="O838" i="5"/>
  <c r="P838" i="5"/>
  <c r="Q838" i="5"/>
  <c r="R838" i="5"/>
  <c r="S838" i="5"/>
  <c r="T838" i="5"/>
  <c r="U838" i="5"/>
  <c r="V838" i="5"/>
  <c r="W838" i="5"/>
  <c r="X838" i="5"/>
  <c r="AC838" i="5"/>
  <c r="B839" i="5"/>
  <c r="C839" i="5"/>
  <c r="D839" i="5"/>
  <c r="E839" i="5"/>
  <c r="F839" i="5"/>
  <c r="G839" i="5"/>
  <c r="H839" i="5"/>
  <c r="I839" i="5"/>
  <c r="J839" i="5"/>
  <c r="K839" i="5"/>
  <c r="L839" i="5"/>
  <c r="M839" i="5"/>
  <c r="N839" i="5"/>
  <c r="O839" i="5"/>
  <c r="P839" i="5"/>
  <c r="Q839" i="5"/>
  <c r="R839" i="5"/>
  <c r="S839" i="5"/>
  <c r="T839" i="5"/>
  <c r="U839" i="5"/>
  <c r="V839" i="5"/>
  <c r="W839" i="5"/>
  <c r="X839" i="5"/>
  <c r="B840" i="5"/>
  <c r="C840" i="5"/>
  <c r="D840" i="5"/>
  <c r="E840" i="5"/>
  <c r="F840" i="5"/>
  <c r="G840" i="5"/>
  <c r="H840" i="5"/>
  <c r="I840" i="5"/>
  <c r="J840" i="5"/>
  <c r="K840" i="5"/>
  <c r="L840" i="5"/>
  <c r="M840" i="5"/>
  <c r="N840" i="5"/>
  <c r="O840" i="5"/>
  <c r="P840" i="5"/>
  <c r="Q840" i="5"/>
  <c r="R840" i="5"/>
  <c r="S840" i="5"/>
  <c r="T840" i="5"/>
  <c r="U840" i="5"/>
  <c r="V840" i="5"/>
  <c r="W840" i="5"/>
  <c r="X840" i="5"/>
  <c r="B841" i="5"/>
  <c r="C841" i="5"/>
  <c r="AB841" i="5" s="1"/>
  <c r="D841" i="5"/>
  <c r="E841" i="5"/>
  <c r="F841" i="5"/>
  <c r="G841" i="5"/>
  <c r="H841" i="5"/>
  <c r="I841" i="5"/>
  <c r="J841" i="5"/>
  <c r="K841" i="5"/>
  <c r="L841" i="5"/>
  <c r="M841" i="5"/>
  <c r="N841" i="5"/>
  <c r="O841" i="5"/>
  <c r="P841" i="5"/>
  <c r="Q841" i="5"/>
  <c r="R841" i="5"/>
  <c r="S841" i="5"/>
  <c r="T841" i="5"/>
  <c r="U841" i="5"/>
  <c r="V841" i="5"/>
  <c r="W841" i="5"/>
  <c r="X841" i="5"/>
  <c r="B842" i="5"/>
  <c r="C842" i="5"/>
  <c r="D842" i="5"/>
  <c r="E842" i="5"/>
  <c r="F842" i="5"/>
  <c r="G842" i="5"/>
  <c r="H842" i="5"/>
  <c r="I842" i="5"/>
  <c r="J842" i="5"/>
  <c r="K842" i="5"/>
  <c r="L842" i="5"/>
  <c r="M842" i="5"/>
  <c r="N842" i="5"/>
  <c r="O842" i="5"/>
  <c r="P842" i="5"/>
  <c r="Q842" i="5"/>
  <c r="R842" i="5"/>
  <c r="S842" i="5"/>
  <c r="T842" i="5"/>
  <c r="U842" i="5"/>
  <c r="V842" i="5"/>
  <c r="W842" i="5"/>
  <c r="X842" i="5"/>
  <c r="B843" i="5"/>
  <c r="C843" i="5"/>
  <c r="D843" i="5"/>
  <c r="E843" i="5"/>
  <c r="F843" i="5"/>
  <c r="G843" i="5"/>
  <c r="H843" i="5"/>
  <c r="I843" i="5"/>
  <c r="J843" i="5"/>
  <c r="K843" i="5"/>
  <c r="L843" i="5"/>
  <c r="M843" i="5"/>
  <c r="N843" i="5"/>
  <c r="O843" i="5"/>
  <c r="P843" i="5"/>
  <c r="Q843" i="5"/>
  <c r="R843" i="5"/>
  <c r="S843" i="5"/>
  <c r="T843" i="5"/>
  <c r="U843" i="5"/>
  <c r="V843" i="5"/>
  <c r="W843" i="5"/>
  <c r="X843" i="5"/>
  <c r="B844" i="5"/>
  <c r="C844" i="5"/>
  <c r="D844" i="5"/>
  <c r="E844" i="5"/>
  <c r="F844" i="5"/>
  <c r="G844" i="5"/>
  <c r="H844" i="5"/>
  <c r="I844" i="5"/>
  <c r="J844" i="5"/>
  <c r="K844" i="5"/>
  <c r="L844" i="5"/>
  <c r="M844" i="5"/>
  <c r="N844" i="5"/>
  <c r="O844" i="5"/>
  <c r="P844" i="5"/>
  <c r="Q844" i="5"/>
  <c r="R844" i="5"/>
  <c r="S844" i="5"/>
  <c r="T844" i="5"/>
  <c r="U844" i="5"/>
  <c r="V844" i="5"/>
  <c r="W844" i="5"/>
  <c r="X844" i="5"/>
  <c r="B845" i="5"/>
  <c r="C845" i="5"/>
  <c r="D845" i="5"/>
  <c r="E845" i="5"/>
  <c r="F845" i="5"/>
  <c r="G845" i="5"/>
  <c r="H845" i="5"/>
  <c r="I845" i="5"/>
  <c r="J845" i="5"/>
  <c r="K845" i="5"/>
  <c r="L845" i="5"/>
  <c r="M845" i="5"/>
  <c r="N845" i="5"/>
  <c r="AC845" i="5" s="1"/>
  <c r="O845" i="5"/>
  <c r="P845" i="5"/>
  <c r="Q845" i="5"/>
  <c r="R845" i="5"/>
  <c r="S845" i="5"/>
  <c r="T845" i="5"/>
  <c r="U845" i="5"/>
  <c r="V845" i="5"/>
  <c r="W845" i="5"/>
  <c r="X845" i="5"/>
  <c r="B846" i="5"/>
  <c r="AB846" i="5" s="1"/>
  <c r="C846" i="5"/>
  <c r="D846" i="5"/>
  <c r="E846" i="5"/>
  <c r="F846" i="5"/>
  <c r="G846" i="5"/>
  <c r="H846" i="5"/>
  <c r="I846" i="5"/>
  <c r="J846" i="5"/>
  <c r="K846" i="5"/>
  <c r="L846" i="5"/>
  <c r="M846" i="5"/>
  <c r="N846" i="5"/>
  <c r="O846" i="5"/>
  <c r="P846" i="5"/>
  <c r="Q846" i="5"/>
  <c r="R846" i="5"/>
  <c r="S846" i="5"/>
  <c r="T846" i="5"/>
  <c r="U846" i="5"/>
  <c r="V846" i="5"/>
  <c r="W846" i="5"/>
  <c r="X846" i="5"/>
  <c r="AC846" i="5"/>
  <c r="B847" i="5"/>
  <c r="C847" i="5"/>
  <c r="D847" i="5"/>
  <c r="E847" i="5"/>
  <c r="F847" i="5"/>
  <c r="G847" i="5"/>
  <c r="H847" i="5"/>
  <c r="I847" i="5"/>
  <c r="J847" i="5"/>
  <c r="K847" i="5"/>
  <c r="L847" i="5"/>
  <c r="M847" i="5"/>
  <c r="N847" i="5"/>
  <c r="O847" i="5"/>
  <c r="P847" i="5"/>
  <c r="Q847" i="5"/>
  <c r="R847" i="5"/>
  <c r="S847" i="5"/>
  <c r="T847" i="5"/>
  <c r="U847" i="5"/>
  <c r="V847" i="5"/>
  <c r="W847" i="5"/>
  <c r="X847" i="5"/>
  <c r="B848" i="5"/>
  <c r="C848" i="5"/>
  <c r="D848" i="5"/>
  <c r="E848" i="5"/>
  <c r="F848" i="5"/>
  <c r="G848" i="5"/>
  <c r="H848" i="5"/>
  <c r="I848" i="5"/>
  <c r="J848" i="5"/>
  <c r="K848" i="5"/>
  <c r="L848" i="5"/>
  <c r="M848" i="5"/>
  <c r="N848" i="5"/>
  <c r="O848" i="5"/>
  <c r="P848" i="5"/>
  <c r="Q848" i="5"/>
  <c r="R848" i="5"/>
  <c r="S848" i="5"/>
  <c r="T848" i="5"/>
  <c r="U848" i="5"/>
  <c r="V848" i="5"/>
  <c r="W848" i="5"/>
  <c r="X848" i="5"/>
  <c r="B849" i="5"/>
  <c r="C849" i="5"/>
  <c r="D849" i="5"/>
  <c r="E849" i="5"/>
  <c r="F849" i="5"/>
  <c r="G849" i="5"/>
  <c r="AB849" i="5" s="1"/>
  <c r="H849" i="5"/>
  <c r="I849" i="5"/>
  <c r="J849" i="5"/>
  <c r="K849" i="5"/>
  <c r="L849" i="5"/>
  <c r="M849" i="5"/>
  <c r="N849" i="5"/>
  <c r="O849" i="5"/>
  <c r="P849" i="5"/>
  <c r="Q849" i="5"/>
  <c r="R849" i="5"/>
  <c r="S849" i="5"/>
  <c r="T849" i="5"/>
  <c r="U849" i="5"/>
  <c r="V849" i="5"/>
  <c r="W849" i="5"/>
  <c r="X849" i="5"/>
  <c r="B850" i="5"/>
  <c r="C850" i="5"/>
  <c r="D850" i="5"/>
  <c r="E850" i="5"/>
  <c r="F850" i="5"/>
  <c r="G850" i="5"/>
  <c r="H850" i="5"/>
  <c r="I850" i="5"/>
  <c r="J850" i="5"/>
  <c r="K850" i="5"/>
  <c r="L850" i="5"/>
  <c r="M850" i="5"/>
  <c r="N850" i="5"/>
  <c r="O850" i="5"/>
  <c r="P850" i="5"/>
  <c r="Q850" i="5"/>
  <c r="R850" i="5"/>
  <c r="S850" i="5"/>
  <c r="T850" i="5"/>
  <c r="U850" i="5"/>
  <c r="V850" i="5"/>
  <c r="W850" i="5"/>
  <c r="X850" i="5"/>
  <c r="B851" i="5"/>
  <c r="C851" i="5"/>
  <c r="D851" i="5"/>
  <c r="E851" i="5"/>
  <c r="F851" i="5"/>
  <c r="G851" i="5"/>
  <c r="H851" i="5"/>
  <c r="I851" i="5"/>
  <c r="J851" i="5"/>
  <c r="K851" i="5"/>
  <c r="L851" i="5"/>
  <c r="M851" i="5"/>
  <c r="N851" i="5"/>
  <c r="O851" i="5"/>
  <c r="P851" i="5"/>
  <c r="Q851" i="5"/>
  <c r="R851" i="5"/>
  <c r="S851" i="5"/>
  <c r="T851" i="5"/>
  <c r="U851" i="5"/>
  <c r="V851" i="5"/>
  <c r="W851" i="5"/>
  <c r="X851" i="5"/>
  <c r="B852" i="5"/>
  <c r="C852" i="5"/>
  <c r="D852" i="5"/>
  <c r="E852" i="5"/>
  <c r="F852" i="5"/>
  <c r="G852" i="5"/>
  <c r="H852" i="5"/>
  <c r="I852" i="5"/>
  <c r="J852" i="5"/>
  <c r="K852" i="5"/>
  <c r="L852" i="5"/>
  <c r="M852" i="5"/>
  <c r="N852" i="5"/>
  <c r="O852" i="5"/>
  <c r="P852" i="5"/>
  <c r="Q852" i="5"/>
  <c r="R852" i="5"/>
  <c r="S852" i="5"/>
  <c r="T852" i="5"/>
  <c r="U852" i="5"/>
  <c r="V852" i="5"/>
  <c r="W852" i="5"/>
  <c r="X852" i="5"/>
  <c r="B853" i="5"/>
  <c r="C853" i="5"/>
  <c r="D853" i="5"/>
  <c r="E853" i="5"/>
  <c r="F853" i="5"/>
  <c r="G853" i="5"/>
  <c r="H853" i="5"/>
  <c r="I853" i="5"/>
  <c r="J853" i="5"/>
  <c r="K853" i="5"/>
  <c r="L853" i="5"/>
  <c r="M853" i="5"/>
  <c r="N853" i="5"/>
  <c r="O853" i="5"/>
  <c r="AC853" i="5" s="1"/>
  <c r="P853" i="5"/>
  <c r="Q853" i="5"/>
  <c r="R853" i="5"/>
  <c r="S853" i="5"/>
  <c r="T853" i="5"/>
  <c r="U853" i="5"/>
  <c r="V853" i="5"/>
  <c r="W853" i="5"/>
  <c r="X853" i="5"/>
  <c r="B854" i="5"/>
  <c r="C854" i="5"/>
  <c r="D854" i="5"/>
  <c r="E854" i="5"/>
  <c r="F854" i="5"/>
  <c r="G854" i="5"/>
  <c r="H854" i="5"/>
  <c r="I854" i="5"/>
  <c r="J854" i="5"/>
  <c r="K854" i="5"/>
  <c r="L854" i="5"/>
  <c r="M854" i="5"/>
  <c r="N854" i="5"/>
  <c r="O854" i="5"/>
  <c r="AC854" i="5" s="1"/>
  <c r="P854" i="5"/>
  <c r="Q854" i="5"/>
  <c r="R854" i="5"/>
  <c r="S854" i="5"/>
  <c r="T854" i="5"/>
  <c r="U854" i="5"/>
  <c r="V854" i="5"/>
  <c r="W854" i="5"/>
  <c r="X854" i="5"/>
  <c r="B855" i="5"/>
  <c r="C855" i="5"/>
  <c r="AB855" i="5" s="1"/>
  <c r="D855" i="5"/>
  <c r="E855" i="5"/>
  <c r="F855" i="5"/>
  <c r="G855" i="5"/>
  <c r="H855" i="5"/>
  <c r="I855" i="5"/>
  <c r="J855" i="5"/>
  <c r="K855" i="5"/>
  <c r="L855" i="5"/>
  <c r="M855" i="5"/>
  <c r="N855" i="5"/>
  <c r="O855" i="5"/>
  <c r="P855" i="5"/>
  <c r="Q855" i="5"/>
  <c r="R855" i="5"/>
  <c r="S855" i="5"/>
  <c r="T855" i="5"/>
  <c r="U855" i="5"/>
  <c r="V855" i="5"/>
  <c r="W855" i="5"/>
  <c r="X855" i="5"/>
  <c r="B856" i="5"/>
  <c r="C856" i="5"/>
  <c r="D856" i="5"/>
  <c r="E856" i="5"/>
  <c r="F856" i="5"/>
  <c r="G856" i="5"/>
  <c r="H856" i="5"/>
  <c r="I856" i="5"/>
  <c r="J856" i="5"/>
  <c r="K856" i="5"/>
  <c r="L856" i="5"/>
  <c r="M856" i="5"/>
  <c r="N856" i="5"/>
  <c r="O856" i="5"/>
  <c r="AC856" i="5" s="1"/>
  <c r="P856" i="5"/>
  <c r="Q856" i="5"/>
  <c r="R856" i="5"/>
  <c r="S856" i="5"/>
  <c r="T856" i="5"/>
  <c r="U856" i="5"/>
  <c r="V856" i="5"/>
  <c r="W856" i="5"/>
  <c r="X856" i="5"/>
  <c r="B857" i="5"/>
  <c r="C857" i="5"/>
  <c r="AB857" i="5" s="1"/>
  <c r="D857" i="5"/>
  <c r="E857" i="5"/>
  <c r="F857" i="5"/>
  <c r="G857" i="5"/>
  <c r="H857" i="5"/>
  <c r="I857" i="5"/>
  <c r="J857" i="5"/>
  <c r="K857" i="5"/>
  <c r="L857" i="5"/>
  <c r="M857" i="5"/>
  <c r="N857" i="5"/>
  <c r="O857" i="5"/>
  <c r="P857" i="5"/>
  <c r="Q857" i="5"/>
  <c r="R857" i="5"/>
  <c r="S857" i="5"/>
  <c r="T857" i="5"/>
  <c r="U857" i="5"/>
  <c r="V857" i="5"/>
  <c r="W857" i="5"/>
  <c r="X857" i="5"/>
  <c r="B858" i="5"/>
  <c r="C858" i="5"/>
  <c r="D858" i="5"/>
  <c r="E858" i="5"/>
  <c r="F858" i="5"/>
  <c r="G858" i="5"/>
  <c r="H858" i="5"/>
  <c r="I858" i="5"/>
  <c r="J858" i="5"/>
  <c r="K858" i="5"/>
  <c r="L858" i="5"/>
  <c r="M858" i="5"/>
  <c r="N858" i="5"/>
  <c r="O858" i="5"/>
  <c r="P858" i="5"/>
  <c r="Q858" i="5"/>
  <c r="R858" i="5"/>
  <c r="S858" i="5"/>
  <c r="T858" i="5"/>
  <c r="U858" i="5"/>
  <c r="V858" i="5"/>
  <c r="W858" i="5"/>
  <c r="X858" i="5"/>
  <c r="B859" i="5"/>
  <c r="C859" i="5"/>
  <c r="D859" i="5"/>
  <c r="E859" i="5"/>
  <c r="F859" i="5"/>
  <c r="G859" i="5"/>
  <c r="H859" i="5"/>
  <c r="I859" i="5"/>
  <c r="J859" i="5"/>
  <c r="K859" i="5"/>
  <c r="L859" i="5"/>
  <c r="M859" i="5"/>
  <c r="N859" i="5"/>
  <c r="O859" i="5"/>
  <c r="P859" i="5"/>
  <c r="Q859" i="5"/>
  <c r="R859" i="5"/>
  <c r="S859" i="5"/>
  <c r="T859" i="5"/>
  <c r="U859" i="5"/>
  <c r="V859" i="5"/>
  <c r="W859" i="5"/>
  <c r="X859" i="5"/>
  <c r="B860" i="5"/>
  <c r="C860" i="5"/>
  <c r="D860" i="5"/>
  <c r="E860" i="5"/>
  <c r="F860" i="5"/>
  <c r="G860" i="5"/>
  <c r="H860" i="5"/>
  <c r="I860" i="5"/>
  <c r="J860" i="5"/>
  <c r="K860" i="5"/>
  <c r="L860" i="5"/>
  <c r="M860" i="5"/>
  <c r="N860" i="5"/>
  <c r="O860" i="5"/>
  <c r="P860" i="5"/>
  <c r="Q860" i="5"/>
  <c r="R860" i="5"/>
  <c r="S860" i="5"/>
  <c r="T860" i="5"/>
  <c r="U860" i="5"/>
  <c r="V860" i="5"/>
  <c r="W860" i="5"/>
  <c r="X860" i="5"/>
  <c r="B861" i="5"/>
  <c r="C861" i="5"/>
  <c r="D861" i="5"/>
  <c r="E861" i="5"/>
  <c r="F861" i="5"/>
  <c r="G861" i="5"/>
  <c r="H861" i="5"/>
  <c r="I861" i="5"/>
  <c r="J861" i="5"/>
  <c r="K861" i="5"/>
  <c r="L861" i="5"/>
  <c r="M861" i="5"/>
  <c r="N861" i="5"/>
  <c r="AC861" i="5" s="1"/>
  <c r="O861" i="5"/>
  <c r="P861" i="5"/>
  <c r="Q861" i="5"/>
  <c r="R861" i="5"/>
  <c r="S861" i="5"/>
  <c r="T861" i="5"/>
  <c r="U861" i="5"/>
  <c r="V861" i="5"/>
  <c r="W861" i="5"/>
  <c r="X861" i="5"/>
  <c r="B862" i="5"/>
  <c r="C862" i="5"/>
  <c r="D862" i="5"/>
  <c r="E862" i="5"/>
  <c r="F862" i="5"/>
  <c r="G862" i="5"/>
  <c r="H862" i="5"/>
  <c r="I862" i="5"/>
  <c r="J862" i="5"/>
  <c r="K862" i="5"/>
  <c r="L862" i="5"/>
  <c r="M862" i="5"/>
  <c r="N862" i="5"/>
  <c r="AC862" i="5" s="1"/>
  <c r="O862" i="5"/>
  <c r="P862" i="5"/>
  <c r="Q862" i="5"/>
  <c r="R862" i="5"/>
  <c r="S862" i="5"/>
  <c r="T862" i="5"/>
  <c r="U862" i="5"/>
  <c r="V862" i="5"/>
  <c r="W862" i="5"/>
  <c r="X862" i="5"/>
  <c r="B863" i="5"/>
  <c r="AB863" i="5" s="1"/>
  <c r="C863" i="5"/>
  <c r="D863" i="5"/>
  <c r="E863" i="5"/>
  <c r="F863" i="5"/>
  <c r="G863" i="5"/>
  <c r="H863" i="5"/>
  <c r="I863" i="5"/>
  <c r="J863" i="5"/>
  <c r="K863" i="5"/>
  <c r="L863" i="5"/>
  <c r="M863" i="5"/>
  <c r="N863" i="5"/>
  <c r="O863" i="5"/>
  <c r="P863" i="5"/>
  <c r="Q863" i="5"/>
  <c r="R863" i="5"/>
  <c r="S863" i="5"/>
  <c r="T863" i="5"/>
  <c r="U863" i="5"/>
  <c r="V863" i="5"/>
  <c r="W863" i="5"/>
  <c r="X863" i="5"/>
  <c r="B864" i="5"/>
  <c r="C864" i="5"/>
  <c r="D864" i="5"/>
  <c r="E864" i="5"/>
  <c r="F864" i="5"/>
  <c r="G864" i="5"/>
  <c r="H864" i="5"/>
  <c r="I864" i="5"/>
  <c r="J864" i="5"/>
  <c r="K864" i="5"/>
  <c r="L864" i="5"/>
  <c r="M864" i="5"/>
  <c r="N864" i="5"/>
  <c r="O864" i="5"/>
  <c r="P864" i="5"/>
  <c r="Q864" i="5"/>
  <c r="R864" i="5"/>
  <c r="S864" i="5"/>
  <c r="T864" i="5"/>
  <c r="U864" i="5"/>
  <c r="V864" i="5"/>
  <c r="W864" i="5"/>
  <c r="X864" i="5"/>
  <c r="B865" i="5"/>
  <c r="C865" i="5"/>
  <c r="D865" i="5"/>
  <c r="E865" i="5"/>
  <c r="F865" i="5"/>
  <c r="G865" i="5"/>
  <c r="H865" i="5"/>
  <c r="I865" i="5"/>
  <c r="J865" i="5"/>
  <c r="K865" i="5"/>
  <c r="L865" i="5"/>
  <c r="M865" i="5"/>
  <c r="N865" i="5"/>
  <c r="O865" i="5"/>
  <c r="P865" i="5"/>
  <c r="Q865" i="5"/>
  <c r="R865" i="5"/>
  <c r="S865" i="5"/>
  <c r="T865" i="5"/>
  <c r="U865" i="5"/>
  <c r="V865" i="5"/>
  <c r="W865" i="5"/>
  <c r="X865" i="5"/>
  <c r="B866" i="5"/>
  <c r="C866" i="5"/>
  <c r="D866" i="5"/>
  <c r="E866" i="5"/>
  <c r="F866" i="5"/>
  <c r="G866" i="5"/>
  <c r="H866" i="5"/>
  <c r="I866" i="5"/>
  <c r="J866" i="5"/>
  <c r="K866" i="5"/>
  <c r="L866" i="5"/>
  <c r="M866" i="5"/>
  <c r="N866" i="5"/>
  <c r="O866" i="5"/>
  <c r="P866" i="5"/>
  <c r="Q866" i="5"/>
  <c r="R866" i="5"/>
  <c r="S866" i="5"/>
  <c r="T866" i="5"/>
  <c r="U866" i="5"/>
  <c r="V866" i="5"/>
  <c r="W866" i="5"/>
  <c r="X866" i="5"/>
  <c r="B867" i="5"/>
  <c r="C867" i="5"/>
  <c r="D867" i="5"/>
  <c r="E867" i="5"/>
  <c r="F867" i="5"/>
  <c r="G867" i="5"/>
  <c r="H867" i="5"/>
  <c r="I867" i="5"/>
  <c r="J867" i="5"/>
  <c r="K867" i="5"/>
  <c r="L867" i="5"/>
  <c r="M867" i="5"/>
  <c r="N867" i="5"/>
  <c r="O867" i="5"/>
  <c r="P867" i="5"/>
  <c r="Q867" i="5"/>
  <c r="R867" i="5"/>
  <c r="S867" i="5"/>
  <c r="T867" i="5"/>
  <c r="U867" i="5"/>
  <c r="V867" i="5"/>
  <c r="W867" i="5"/>
  <c r="X867" i="5"/>
  <c r="B868" i="5"/>
  <c r="C868" i="5"/>
  <c r="D868" i="5"/>
  <c r="E868" i="5"/>
  <c r="F868" i="5"/>
  <c r="G868" i="5"/>
  <c r="H868" i="5"/>
  <c r="I868" i="5"/>
  <c r="J868" i="5"/>
  <c r="K868" i="5"/>
  <c r="L868" i="5"/>
  <c r="M868" i="5"/>
  <c r="N868" i="5"/>
  <c r="O868" i="5"/>
  <c r="P868" i="5"/>
  <c r="Q868" i="5"/>
  <c r="R868" i="5"/>
  <c r="S868" i="5"/>
  <c r="T868" i="5"/>
  <c r="U868" i="5"/>
  <c r="V868" i="5"/>
  <c r="W868" i="5"/>
  <c r="X868" i="5"/>
  <c r="B869" i="5"/>
  <c r="C869" i="5"/>
  <c r="D869" i="5"/>
  <c r="E869" i="5"/>
  <c r="F869" i="5"/>
  <c r="G869" i="5"/>
  <c r="H869" i="5"/>
  <c r="I869" i="5"/>
  <c r="J869" i="5"/>
  <c r="K869" i="5"/>
  <c r="L869" i="5"/>
  <c r="M869" i="5"/>
  <c r="N869" i="5"/>
  <c r="O869" i="5"/>
  <c r="AC869" i="5" s="1"/>
  <c r="P869" i="5"/>
  <c r="Q869" i="5"/>
  <c r="R869" i="5"/>
  <c r="S869" i="5"/>
  <c r="T869" i="5"/>
  <c r="U869" i="5"/>
  <c r="V869" i="5"/>
  <c r="W869" i="5"/>
  <c r="X869" i="5"/>
  <c r="B870" i="5"/>
  <c r="C870" i="5"/>
  <c r="D870" i="5"/>
  <c r="E870" i="5"/>
  <c r="F870" i="5"/>
  <c r="G870" i="5"/>
  <c r="H870" i="5"/>
  <c r="I870" i="5"/>
  <c r="J870" i="5"/>
  <c r="K870" i="5"/>
  <c r="L870" i="5"/>
  <c r="M870" i="5"/>
  <c r="N870" i="5"/>
  <c r="O870" i="5"/>
  <c r="AC870" i="5" s="1"/>
  <c r="P870" i="5"/>
  <c r="Q870" i="5"/>
  <c r="R870" i="5"/>
  <c r="S870" i="5"/>
  <c r="T870" i="5"/>
  <c r="U870" i="5"/>
  <c r="V870" i="5"/>
  <c r="W870" i="5"/>
  <c r="X870" i="5"/>
  <c r="B871" i="5"/>
  <c r="C871" i="5"/>
  <c r="AB871" i="5" s="1"/>
  <c r="D871" i="5"/>
  <c r="E871" i="5"/>
  <c r="F871" i="5"/>
  <c r="G871" i="5"/>
  <c r="H871" i="5"/>
  <c r="I871" i="5"/>
  <c r="J871" i="5"/>
  <c r="K871" i="5"/>
  <c r="L871" i="5"/>
  <c r="M871" i="5"/>
  <c r="N871" i="5"/>
  <c r="O871" i="5"/>
  <c r="P871" i="5"/>
  <c r="Q871" i="5"/>
  <c r="R871" i="5"/>
  <c r="S871" i="5"/>
  <c r="T871" i="5"/>
  <c r="U871" i="5"/>
  <c r="V871" i="5"/>
  <c r="W871" i="5"/>
  <c r="X871" i="5"/>
  <c r="B872" i="5"/>
  <c r="C872" i="5"/>
  <c r="D872" i="5"/>
  <c r="E872" i="5"/>
  <c r="F872" i="5"/>
  <c r="G872" i="5"/>
  <c r="H872" i="5"/>
  <c r="I872" i="5"/>
  <c r="J872" i="5"/>
  <c r="K872" i="5"/>
  <c r="L872" i="5"/>
  <c r="M872" i="5"/>
  <c r="N872" i="5"/>
  <c r="O872" i="5"/>
  <c r="AC872" i="5" s="1"/>
  <c r="P872" i="5"/>
  <c r="Q872" i="5"/>
  <c r="R872" i="5"/>
  <c r="S872" i="5"/>
  <c r="T872" i="5"/>
  <c r="U872" i="5"/>
  <c r="V872" i="5"/>
  <c r="W872" i="5"/>
  <c r="X872" i="5"/>
  <c r="B873" i="5"/>
  <c r="C873" i="5"/>
  <c r="D873" i="5"/>
  <c r="E873" i="5"/>
  <c r="F873" i="5"/>
  <c r="G873" i="5"/>
  <c r="H873" i="5"/>
  <c r="I873" i="5"/>
  <c r="J873" i="5"/>
  <c r="K873" i="5"/>
  <c r="L873" i="5"/>
  <c r="M873" i="5"/>
  <c r="N873" i="5"/>
  <c r="O873" i="5"/>
  <c r="P873" i="5"/>
  <c r="Q873" i="5"/>
  <c r="R873" i="5"/>
  <c r="S873" i="5"/>
  <c r="T873" i="5"/>
  <c r="U873" i="5"/>
  <c r="V873" i="5"/>
  <c r="W873" i="5"/>
  <c r="X873" i="5"/>
  <c r="AB873" i="5"/>
  <c r="B874" i="5"/>
  <c r="C874" i="5"/>
  <c r="D874" i="5"/>
  <c r="E874" i="5"/>
  <c r="F874" i="5"/>
  <c r="G874" i="5"/>
  <c r="H874" i="5"/>
  <c r="I874" i="5"/>
  <c r="J874" i="5"/>
  <c r="K874" i="5"/>
  <c r="L874" i="5"/>
  <c r="M874" i="5"/>
  <c r="N874" i="5"/>
  <c r="O874" i="5"/>
  <c r="P874" i="5"/>
  <c r="Q874" i="5"/>
  <c r="R874" i="5"/>
  <c r="S874" i="5"/>
  <c r="T874" i="5"/>
  <c r="U874" i="5"/>
  <c r="V874" i="5"/>
  <c r="W874" i="5"/>
  <c r="X874" i="5"/>
  <c r="B875" i="5"/>
  <c r="C875" i="5"/>
  <c r="D875" i="5"/>
  <c r="E875" i="5"/>
  <c r="F875" i="5"/>
  <c r="G875" i="5"/>
  <c r="H875" i="5"/>
  <c r="I875" i="5"/>
  <c r="J875" i="5"/>
  <c r="K875" i="5"/>
  <c r="L875" i="5"/>
  <c r="M875" i="5"/>
  <c r="N875" i="5"/>
  <c r="O875" i="5"/>
  <c r="P875" i="5"/>
  <c r="Q875" i="5"/>
  <c r="R875" i="5"/>
  <c r="S875" i="5"/>
  <c r="T875" i="5"/>
  <c r="U875" i="5"/>
  <c r="V875" i="5"/>
  <c r="W875" i="5"/>
  <c r="X875" i="5"/>
  <c r="B876" i="5"/>
  <c r="C876" i="5"/>
  <c r="D876" i="5"/>
  <c r="E876" i="5"/>
  <c r="F876" i="5"/>
  <c r="G876" i="5"/>
  <c r="H876" i="5"/>
  <c r="I876" i="5"/>
  <c r="J876" i="5"/>
  <c r="K876" i="5"/>
  <c r="L876" i="5"/>
  <c r="M876" i="5"/>
  <c r="N876" i="5"/>
  <c r="O876" i="5"/>
  <c r="P876" i="5"/>
  <c r="Q876" i="5"/>
  <c r="R876" i="5"/>
  <c r="S876" i="5"/>
  <c r="T876" i="5"/>
  <c r="U876" i="5"/>
  <c r="V876" i="5"/>
  <c r="W876" i="5"/>
  <c r="X876" i="5"/>
  <c r="B877" i="5"/>
  <c r="C877" i="5"/>
  <c r="D877" i="5"/>
  <c r="E877" i="5"/>
  <c r="F877" i="5"/>
  <c r="G877" i="5"/>
  <c r="H877" i="5"/>
  <c r="I877" i="5"/>
  <c r="J877" i="5"/>
  <c r="K877" i="5"/>
  <c r="L877" i="5"/>
  <c r="M877" i="5"/>
  <c r="N877" i="5"/>
  <c r="O877" i="5"/>
  <c r="P877" i="5"/>
  <c r="Q877" i="5"/>
  <c r="R877" i="5"/>
  <c r="S877" i="5"/>
  <c r="T877" i="5"/>
  <c r="U877" i="5"/>
  <c r="V877" i="5"/>
  <c r="W877" i="5"/>
  <c r="X877" i="5"/>
  <c r="AC877" i="5"/>
  <c r="B878" i="5"/>
  <c r="C878" i="5"/>
  <c r="D878" i="5"/>
  <c r="E878" i="5"/>
  <c r="F878" i="5"/>
  <c r="G878" i="5"/>
  <c r="H878" i="5"/>
  <c r="I878" i="5"/>
  <c r="J878" i="5"/>
  <c r="K878" i="5"/>
  <c r="L878" i="5"/>
  <c r="M878" i="5"/>
  <c r="N878" i="5"/>
  <c r="O878" i="5"/>
  <c r="P878" i="5"/>
  <c r="Q878" i="5"/>
  <c r="R878" i="5"/>
  <c r="S878" i="5"/>
  <c r="T878" i="5"/>
  <c r="U878" i="5"/>
  <c r="V878" i="5"/>
  <c r="W878" i="5"/>
  <c r="X878" i="5"/>
  <c r="AB878" i="5"/>
  <c r="AC878" i="5"/>
  <c r="B879" i="5"/>
  <c r="C879" i="5"/>
  <c r="D879" i="5"/>
  <c r="E879" i="5"/>
  <c r="F879" i="5"/>
  <c r="G879" i="5"/>
  <c r="H879" i="5"/>
  <c r="AB879" i="5" s="1"/>
  <c r="I879" i="5"/>
  <c r="J879" i="5"/>
  <c r="K879" i="5"/>
  <c r="L879" i="5"/>
  <c r="M879" i="5"/>
  <c r="N879" i="5"/>
  <c r="O879" i="5"/>
  <c r="P879" i="5"/>
  <c r="AC879" i="5" s="1"/>
  <c r="Q879" i="5"/>
  <c r="R879" i="5"/>
  <c r="S879" i="5"/>
  <c r="T879" i="5"/>
  <c r="U879" i="5"/>
  <c r="V879" i="5"/>
  <c r="W879" i="5"/>
  <c r="X879" i="5"/>
  <c r="B880" i="5"/>
  <c r="C880" i="5"/>
  <c r="D880" i="5"/>
  <c r="E880" i="5"/>
  <c r="F880" i="5"/>
  <c r="G880" i="5"/>
  <c r="H880" i="5"/>
  <c r="I880" i="5"/>
  <c r="J880" i="5"/>
  <c r="K880" i="5"/>
  <c r="L880" i="5"/>
  <c r="M880" i="5"/>
  <c r="N880" i="5"/>
  <c r="O880" i="5"/>
  <c r="P880" i="5"/>
  <c r="Q880" i="5"/>
  <c r="R880" i="5"/>
  <c r="S880" i="5"/>
  <c r="T880" i="5"/>
  <c r="U880" i="5"/>
  <c r="V880" i="5"/>
  <c r="W880" i="5"/>
  <c r="X880" i="5"/>
  <c r="B881" i="5"/>
  <c r="C881" i="5"/>
  <c r="D881" i="5"/>
  <c r="E881" i="5"/>
  <c r="F881" i="5"/>
  <c r="G881" i="5"/>
  <c r="H881" i="5"/>
  <c r="I881" i="5"/>
  <c r="J881" i="5"/>
  <c r="K881" i="5"/>
  <c r="L881" i="5"/>
  <c r="M881" i="5"/>
  <c r="N881" i="5"/>
  <c r="O881" i="5"/>
  <c r="P881" i="5"/>
  <c r="Q881" i="5"/>
  <c r="R881" i="5"/>
  <c r="S881" i="5"/>
  <c r="T881" i="5"/>
  <c r="U881" i="5"/>
  <c r="V881" i="5"/>
  <c r="W881" i="5"/>
  <c r="X881" i="5"/>
  <c r="B882" i="5"/>
  <c r="C882" i="5"/>
  <c r="D882" i="5"/>
  <c r="E882" i="5"/>
  <c r="F882" i="5"/>
  <c r="G882" i="5"/>
  <c r="H882" i="5"/>
  <c r="I882" i="5"/>
  <c r="J882" i="5"/>
  <c r="K882" i="5"/>
  <c r="L882" i="5"/>
  <c r="M882" i="5"/>
  <c r="N882" i="5"/>
  <c r="O882" i="5"/>
  <c r="P882" i="5"/>
  <c r="Q882" i="5"/>
  <c r="R882" i="5"/>
  <c r="S882" i="5"/>
  <c r="T882" i="5"/>
  <c r="U882" i="5"/>
  <c r="V882" i="5"/>
  <c r="W882" i="5"/>
  <c r="X882" i="5"/>
  <c r="B883" i="5"/>
  <c r="C883" i="5"/>
  <c r="D883" i="5"/>
  <c r="E883" i="5"/>
  <c r="F883" i="5"/>
  <c r="G883" i="5"/>
  <c r="H883" i="5"/>
  <c r="I883" i="5"/>
  <c r="J883" i="5"/>
  <c r="K883" i="5"/>
  <c r="L883" i="5"/>
  <c r="M883" i="5"/>
  <c r="N883" i="5"/>
  <c r="O883" i="5"/>
  <c r="P883" i="5"/>
  <c r="Q883" i="5"/>
  <c r="R883" i="5"/>
  <c r="S883" i="5"/>
  <c r="T883" i="5"/>
  <c r="U883" i="5"/>
  <c r="V883" i="5"/>
  <c r="W883" i="5"/>
  <c r="X883" i="5"/>
  <c r="B884" i="5"/>
  <c r="C884" i="5"/>
  <c r="D884" i="5"/>
  <c r="E884" i="5"/>
  <c r="F884" i="5"/>
  <c r="G884" i="5"/>
  <c r="H884" i="5"/>
  <c r="I884" i="5"/>
  <c r="J884" i="5"/>
  <c r="K884" i="5"/>
  <c r="L884" i="5"/>
  <c r="M884" i="5"/>
  <c r="N884" i="5"/>
  <c r="O884" i="5"/>
  <c r="P884" i="5"/>
  <c r="Q884" i="5"/>
  <c r="R884" i="5"/>
  <c r="S884" i="5"/>
  <c r="T884" i="5"/>
  <c r="U884" i="5"/>
  <c r="V884" i="5"/>
  <c r="W884" i="5"/>
  <c r="X884" i="5"/>
  <c r="B885" i="5"/>
  <c r="C885" i="5"/>
  <c r="D885" i="5"/>
  <c r="E885" i="5"/>
  <c r="F885" i="5"/>
  <c r="G885" i="5"/>
  <c r="H885" i="5"/>
  <c r="I885" i="5"/>
  <c r="J885" i="5"/>
  <c r="K885" i="5"/>
  <c r="L885" i="5"/>
  <c r="M885" i="5"/>
  <c r="N885" i="5"/>
  <c r="AC885" i="5" s="1"/>
  <c r="O885" i="5"/>
  <c r="P885" i="5"/>
  <c r="Q885" i="5"/>
  <c r="R885" i="5"/>
  <c r="S885" i="5"/>
  <c r="T885" i="5"/>
  <c r="U885" i="5"/>
  <c r="V885" i="5"/>
  <c r="W885" i="5"/>
  <c r="X885" i="5"/>
  <c r="B886" i="5"/>
  <c r="C886" i="5"/>
  <c r="D886" i="5"/>
  <c r="E886" i="5"/>
  <c r="F886" i="5"/>
  <c r="G886" i="5"/>
  <c r="H886" i="5"/>
  <c r="I886" i="5"/>
  <c r="J886" i="5"/>
  <c r="K886" i="5"/>
  <c r="L886" i="5"/>
  <c r="M886" i="5"/>
  <c r="N886" i="5"/>
  <c r="AC886" i="5" s="1"/>
  <c r="O886" i="5"/>
  <c r="P886" i="5"/>
  <c r="Q886" i="5"/>
  <c r="R886" i="5"/>
  <c r="S886" i="5"/>
  <c r="T886" i="5"/>
  <c r="U886" i="5"/>
  <c r="V886" i="5"/>
  <c r="W886" i="5"/>
  <c r="X886" i="5"/>
  <c r="B887" i="5"/>
  <c r="C887" i="5"/>
  <c r="D887" i="5"/>
  <c r="E887" i="5"/>
  <c r="F887" i="5"/>
  <c r="G887" i="5"/>
  <c r="H887" i="5"/>
  <c r="I887" i="5"/>
  <c r="J887" i="5"/>
  <c r="K887" i="5"/>
  <c r="L887" i="5"/>
  <c r="M887" i="5"/>
  <c r="N887" i="5"/>
  <c r="O887" i="5"/>
  <c r="P887" i="5"/>
  <c r="Q887" i="5"/>
  <c r="R887" i="5"/>
  <c r="S887" i="5"/>
  <c r="T887" i="5"/>
  <c r="U887" i="5"/>
  <c r="V887" i="5"/>
  <c r="W887" i="5"/>
  <c r="X887" i="5"/>
  <c r="AB887" i="5"/>
  <c r="B888" i="5"/>
  <c r="C888" i="5"/>
  <c r="D888" i="5"/>
  <c r="E888" i="5"/>
  <c r="F888" i="5"/>
  <c r="G888" i="5"/>
  <c r="H888" i="5"/>
  <c r="I888" i="5"/>
  <c r="J888" i="5"/>
  <c r="K888" i="5"/>
  <c r="L888" i="5"/>
  <c r="M888" i="5"/>
  <c r="N888" i="5"/>
  <c r="O888" i="5"/>
  <c r="P888" i="5"/>
  <c r="Q888" i="5"/>
  <c r="R888" i="5"/>
  <c r="S888" i="5"/>
  <c r="T888" i="5"/>
  <c r="U888" i="5"/>
  <c r="V888" i="5"/>
  <c r="W888" i="5"/>
  <c r="X888" i="5"/>
  <c r="AC888" i="5"/>
  <c r="B889" i="5"/>
  <c r="C889" i="5"/>
  <c r="D889" i="5"/>
  <c r="E889" i="5"/>
  <c r="F889" i="5"/>
  <c r="G889" i="5"/>
  <c r="H889" i="5"/>
  <c r="I889" i="5"/>
  <c r="J889" i="5"/>
  <c r="K889" i="5"/>
  <c r="L889" i="5"/>
  <c r="M889" i="5"/>
  <c r="N889" i="5"/>
  <c r="O889" i="5"/>
  <c r="P889" i="5"/>
  <c r="Q889" i="5"/>
  <c r="R889" i="5"/>
  <c r="S889" i="5"/>
  <c r="T889" i="5"/>
  <c r="U889" i="5"/>
  <c r="V889" i="5"/>
  <c r="W889" i="5"/>
  <c r="X889" i="5"/>
  <c r="AB889" i="5"/>
  <c r="B890" i="5"/>
  <c r="C890" i="5"/>
  <c r="D890" i="5"/>
  <c r="E890" i="5"/>
  <c r="F890" i="5"/>
  <c r="G890" i="5"/>
  <c r="H890" i="5"/>
  <c r="I890" i="5"/>
  <c r="J890" i="5"/>
  <c r="K890" i="5"/>
  <c r="L890" i="5"/>
  <c r="M890" i="5"/>
  <c r="AC890" i="5" s="1"/>
  <c r="N890" i="5"/>
  <c r="O890" i="5"/>
  <c r="P890" i="5"/>
  <c r="Q890" i="5"/>
  <c r="R890" i="5"/>
  <c r="S890" i="5"/>
  <c r="T890" i="5"/>
  <c r="U890" i="5"/>
  <c r="V890" i="5"/>
  <c r="W890" i="5"/>
  <c r="X890" i="5"/>
  <c r="B891" i="5"/>
  <c r="C891" i="5"/>
  <c r="D891" i="5"/>
  <c r="E891" i="5"/>
  <c r="F891" i="5"/>
  <c r="G891" i="5"/>
  <c r="H891" i="5"/>
  <c r="I891" i="5"/>
  <c r="J891" i="5"/>
  <c r="K891" i="5"/>
  <c r="L891" i="5"/>
  <c r="M891" i="5"/>
  <c r="N891" i="5"/>
  <c r="O891" i="5"/>
  <c r="P891" i="5"/>
  <c r="Q891" i="5"/>
  <c r="R891" i="5"/>
  <c r="S891" i="5"/>
  <c r="T891" i="5"/>
  <c r="U891" i="5"/>
  <c r="V891" i="5"/>
  <c r="W891" i="5"/>
  <c r="X891" i="5"/>
  <c r="B892" i="5"/>
  <c r="C892" i="5"/>
  <c r="D892" i="5"/>
  <c r="E892" i="5"/>
  <c r="F892" i="5"/>
  <c r="G892" i="5"/>
  <c r="H892" i="5"/>
  <c r="I892" i="5"/>
  <c r="J892" i="5"/>
  <c r="K892" i="5"/>
  <c r="L892" i="5"/>
  <c r="M892" i="5"/>
  <c r="N892" i="5"/>
  <c r="O892" i="5"/>
  <c r="P892" i="5"/>
  <c r="Q892" i="5"/>
  <c r="R892" i="5"/>
  <c r="S892" i="5"/>
  <c r="T892" i="5"/>
  <c r="U892" i="5"/>
  <c r="V892" i="5"/>
  <c r="W892" i="5"/>
  <c r="X892" i="5"/>
  <c r="B893" i="5"/>
  <c r="C893" i="5"/>
  <c r="D893" i="5"/>
  <c r="E893" i="5"/>
  <c r="F893" i="5"/>
  <c r="G893" i="5"/>
  <c r="H893" i="5"/>
  <c r="I893" i="5"/>
  <c r="J893" i="5"/>
  <c r="K893" i="5"/>
  <c r="L893" i="5"/>
  <c r="M893" i="5"/>
  <c r="N893" i="5"/>
  <c r="O893" i="5"/>
  <c r="P893" i="5"/>
  <c r="AC893" i="5" s="1"/>
  <c r="Q893" i="5"/>
  <c r="R893" i="5"/>
  <c r="S893" i="5"/>
  <c r="T893" i="5"/>
  <c r="U893" i="5"/>
  <c r="V893" i="5"/>
  <c r="W893" i="5"/>
  <c r="X893" i="5"/>
  <c r="B894" i="5"/>
  <c r="C894" i="5"/>
  <c r="D894" i="5"/>
  <c r="E894" i="5"/>
  <c r="F894" i="5"/>
  <c r="G894" i="5"/>
  <c r="H894" i="5"/>
  <c r="I894" i="5"/>
  <c r="J894" i="5"/>
  <c r="K894" i="5"/>
  <c r="L894" i="5"/>
  <c r="M894" i="5"/>
  <c r="N894" i="5"/>
  <c r="O894" i="5"/>
  <c r="P894" i="5"/>
  <c r="AC894" i="5" s="1"/>
  <c r="Q894" i="5"/>
  <c r="R894" i="5"/>
  <c r="S894" i="5"/>
  <c r="T894" i="5"/>
  <c r="U894" i="5"/>
  <c r="V894" i="5"/>
  <c r="W894" i="5"/>
  <c r="X894" i="5"/>
  <c r="B895" i="5"/>
  <c r="C895" i="5"/>
  <c r="D895" i="5"/>
  <c r="E895" i="5"/>
  <c r="F895" i="5"/>
  <c r="G895" i="5"/>
  <c r="H895" i="5"/>
  <c r="AB895" i="5" s="1"/>
  <c r="I895" i="5"/>
  <c r="J895" i="5"/>
  <c r="K895" i="5"/>
  <c r="L895" i="5"/>
  <c r="M895" i="5"/>
  <c r="N895" i="5"/>
  <c r="O895" i="5"/>
  <c r="P895" i="5"/>
  <c r="AC895" i="5" s="1"/>
  <c r="Q895" i="5"/>
  <c r="R895" i="5"/>
  <c r="S895" i="5"/>
  <c r="T895" i="5"/>
  <c r="U895" i="5"/>
  <c r="V895" i="5"/>
  <c r="W895" i="5"/>
  <c r="X895" i="5"/>
  <c r="B896" i="5"/>
  <c r="C896" i="5"/>
  <c r="D896" i="5"/>
  <c r="E896" i="5"/>
  <c r="F896" i="5"/>
  <c r="G896" i="5"/>
  <c r="H896" i="5"/>
  <c r="I896" i="5"/>
  <c r="J896" i="5"/>
  <c r="K896" i="5"/>
  <c r="L896" i="5"/>
  <c r="M896" i="5"/>
  <c r="N896" i="5"/>
  <c r="O896" i="5"/>
  <c r="P896" i="5"/>
  <c r="Q896" i="5"/>
  <c r="R896" i="5"/>
  <c r="S896" i="5"/>
  <c r="T896" i="5"/>
  <c r="U896" i="5"/>
  <c r="V896" i="5"/>
  <c r="W896" i="5"/>
  <c r="X896" i="5"/>
  <c r="B897" i="5"/>
  <c r="C897" i="5"/>
  <c r="D897" i="5"/>
  <c r="E897" i="5"/>
  <c r="F897" i="5"/>
  <c r="G897" i="5"/>
  <c r="H897" i="5"/>
  <c r="I897" i="5"/>
  <c r="J897" i="5"/>
  <c r="K897" i="5"/>
  <c r="L897" i="5"/>
  <c r="M897" i="5"/>
  <c r="N897" i="5"/>
  <c r="O897" i="5"/>
  <c r="P897" i="5"/>
  <c r="Q897" i="5"/>
  <c r="R897" i="5"/>
  <c r="S897" i="5"/>
  <c r="T897" i="5"/>
  <c r="U897" i="5"/>
  <c r="V897" i="5"/>
  <c r="W897" i="5"/>
  <c r="X897" i="5"/>
  <c r="B898" i="5"/>
  <c r="C898" i="5"/>
  <c r="D898" i="5"/>
  <c r="E898" i="5"/>
  <c r="F898" i="5"/>
  <c r="G898" i="5"/>
  <c r="H898" i="5"/>
  <c r="I898" i="5"/>
  <c r="J898" i="5"/>
  <c r="K898" i="5"/>
  <c r="L898" i="5"/>
  <c r="M898" i="5"/>
  <c r="N898" i="5"/>
  <c r="O898" i="5"/>
  <c r="P898" i="5"/>
  <c r="Q898" i="5"/>
  <c r="R898" i="5"/>
  <c r="S898" i="5"/>
  <c r="T898" i="5"/>
  <c r="U898" i="5"/>
  <c r="V898" i="5"/>
  <c r="W898" i="5"/>
  <c r="X898" i="5"/>
  <c r="B899" i="5"/>
  <c r="C899" i="5"/>
  <c r="D899" i="5"/>
  <c r="E899" i="5"/>
  <c r="F899" i="5"/>
  <c r="G899" i="5"/>
  <c r="H899" i="5"/>
  <c r="I899" i="5"/>
  <c r="J899" i="5"/>
  <c r="K899" i="5"/>
  <c r="L899" i="5"/>
  <c r="M899" i="5"/>
  <c r="N899" i="5"/>
  <c r="O899" i="5"/>
  <c r="P899" i="5"/>
  <c r="Q899" i="5"/>
  <c r="R899" i="5"/>
  <c r="S899" i="5"/>
  <c r="T899" i="5"/>
  <c r="U899" i="5"/>
  <c r="V899" i="5"/>
  <c r="W899" i="5"/>
  <c r="X899" i="5"/>
  <c r="B900" i="5"/>
  <c r="C900" i="5"/>
  <c r="D900" i="5"/>
  <c r="E900" i="5"/>
  <c r="F900" i="5"/>
  <c r="G900" i="5"/>
  <c r="H900" i="5"/>
  <c r="I900" i="5"/>
  <c r="J900" i="5"/>
  <c r="K900" i="5"/>
  <c r="L900" i="5"/>
  <c r="M900" i="5"/>
  <c r="N900" i="5"/>
  <c r="O900" i="5"/>
  <c r="P900" i="5"/>
  <c r="Q900" i="5"/>
  <c r="R900" i="5"/>
  <c r="S900" i="5"/>
  <c r="T900" i="5"/>
  <c r="U900" i="5"/>
  <c r="V900" i="5"/>
  <c r="W900" i="5"/>
  <c r="X900" i="5"/>
  <c r="B901" i="5"/>
  <c r="C901" i="5"/>
  <c r="D901" i="5"/>
  <c r="E901" i="5"/>
  <c r="F901" i="5"/>
  <c r="G901" i="5"/>
  <c r="H901" i="5"/>
  <c r="I901" i="5"/>
  <c r="J901" i="5"/>
  <c r="K901" i="5"/>
  <c r="L901" i="5"/>
  <c r="M901" i="5"/>
  <c r="N901" i="5"/>
  <c r="O901" i="5"/>
  <c r="P901" i="5"/>
  <c r="Q901" i="5"/>
  <c r="R901" i="5"/>
  <c r="S901" i="5"/>
  <c r="T901" i="5"/>
  <c r="U901" i="5"/>
  <c r="V901" i="5"/>
  <c r="W901" i="5"/>
  <c r="X901" i="5"/>
  <c r="AC901" i="5"/>
  <c r="B902" i="5"/>
  <c r="C902" i="5"/>
  <c r="D902" i="5"/>
  <c r="E902" i="5"/>
  <c r="F902" i="5"/>
  <c r="G902" i="5"/>
  <c r="H902" i="5"/>
  <c r="I902" i="5"/>
  <c r="J902" i="5"/>
  <c r="K902" i="5"/>
  <c r="L902" i="5"/>
  <c r="M902" i="5"/>
  <c r="AC902" i="5" s="1"/>
  <c r="N902" i="5"/>
  <c r="O902" i="5"/>
  <c r="P902" i="5"/>
  <c r="Q902" i="5"/>
  <c r="R902" i="5"/>
  <c r="S902" i="5"/>
  <c r="T902" i="5"/>
  <c r="U902" i="5"/>
  <c r="V902" i="5"/>
  <c r="W902" i="5"/>
  <c r="X902" i="5"/>
  <c r="AB902" i="5"/>
  <c r="B903" i="5"/>
  <c r="C903" i="5"/>
  <c r="D903" i="5"/>
  <c r="E903" i="5"/>
  <c r="F903" i="5"/>
  <c r="G903" i="5"/>
  <c r="H903" i="5"/>
  <c r="AB903" i="5" s="1"/>
  <c r="I903" i="5"/>
  <c r="J903" i="5"/>
  <c r="K903" i="5"/>
  <c r="L903" i="5"/>
  <c r="M903" i="5"/>
  <c r="N903" i="5"/>
  <c r="O903" i="5"/>
  <c r="P903" i="5"/>
  <c r="AC903" i="5" s="1"/>
  <c r="Q903" i="5"/>
  <c r="R903" i="5"/>
  <c r="S903" i="5"/>
  <c r="T903" i="5"/>
  <c r="U903" i="5"/>
  <c r="V903" i="5"/>
  <c r="W903" i="5"/>
  <c r="X903" i="5"/>
  <c r="B904" i="5"/>
  <c r="C904" i="5"/>
  <c r="D904" i="5"/>
  <c r="E904" i="5"/>
  <c r="F904" i="5"/>
  <c r="G904" i="5"/>
  <c r="H904" i="5"/>
  <c r="I904" i="5"/>
  <c r="J904" i="5"/>
  <c r="K904" i="5"/>
  <c r="L904" i="5"/>
  <c r="M904" i="5"/>
  <c r="N904" i="5"/>
  <c r="O904" i="5"/>
  <c r="P904" i="5"/>
  <c r="Q904" i="5"/>
  <c r="R904" i="5"/>
  <c r="S904" i="5"/>
  <c r="T904" i="5"/>
  <c r="U904" i="5"/>
  <c r="V904" i="5"/>
  <c r="W904" i="5"/>
  <c r="X904" i="5"/>
  <c r="B905" i="5"/>
  <c r="C905" i="5"/>
  <c r="D905" i="5"/>
  <c r="E905" i="5"/>
  <c r="F905" i="5"/>
  <c r="G905" i="5"/>
  <c r="H905" i="5"/>
  <c r="I905" i="5"/>
  <c r="J905" i="5"/>
  <c r="K905" i="5"/>
  <c r="L905" i="5"/>
  <c r="M905" i="5"/>
  <c r="N905" i="5"/>
  <c r="AC905" i="5" s="1"/>
  <c r="O905" i="5"/>
  <c r="P905" i="5"/>
  <c r="Q905" i="5"/>
  <c r="R905" i="5"/>
  <c r="S905" i="5"/>
  <c r="T905" i="5"/>
  <c r="U905" i="5"/>
  <c r="V905" i="5"/>
  <c r="W905" i="5"/>
  <c r="X905" i="5"/>
  <c r="B906" i="5"/>
  <c r="C906" i="5"/>
  <c r="D906" i="5"/>
  <c r="E906" i="5"/>
  <c r="F906" i="5"/>
  <c r="G906" i="5"/>
  <c r="H906" i="5"/>
  <c r="I906" i="5"/>
  <c r="J906" i="5"/>
  <c r="K906" i="5"/>
  <c r="L906" i="5"/>
  <c r="M906" i="5"/>
  <c r="N906" i="5"/>
  <c r="O906" i="5"/>
  <c r="P906" i="5"/>
  <c r="Q906" i="5"/>
  <c r="R906" i="5"/>
  <c r="S906" i="5"/>
  <c r="T906" i="5"/>
  <c r="U906" i="5"/>
  <c r="V906" i="5"/>
  <c r="W906" i="5"/>
  <c r="X906" i="5"/>
  <c r="B907" i="5"/>
  <c r="C907" i="5"/>
  <c r="D907" i="5"/>
  <c r="E907" i="5"/>
  <c r="F907" i="5"/>
  <c r="G907" i="5"/>
  <c r="H907" i="5"/>
  <c r="I907" i="5"/>
  <c r="J907" i="5"/>
  <c r="K907" i="5"/>
  <c r="L907" i="5"/>
  <c r="M907" i="5"/>
  <c r="N907" i="5"/>
  <c r="O907" i="5"/>
  <c r="P907" i="5"/>
  <c r="Q907" i="5"/>
  <c r="R907" i="5"/>
  <c r="S907" i="5"/>
  <c r="T907" i="5"/>
  <c r="U907" i="5"/>
  <c r="V907" i="5"/>
  <c r="W907" i="5"/>
  <c r="X907" i="5"/>
  <c r="B908" i="5"/>
  <c r="C908" i="5"/>
  <c r="D908" i="5"/>
  <c r="E908" i="5"/>
  <c r="F908" i="5"/>
  <c r="G908" i="5"/>
  <c r="H908" i="5"/>
  <c r="I908" i="5"/>
  <c r="J908" i="5"/>
  <c r="K908" i="5"/>
  <c r="L908" i="5"/>
  <c r="M908" i="5"/>
  <c r="N908" i="5"/>
  <c r="O908" i="5"/>
  <c r="P908" i="5"/>
  <c r="Q908" i="5"/>
  <c r="R908" i="5"/>
  <c r="S908" i="5"/>
  <c r="T908" i="5"/>
  <c r="U908" i="5"/>
  <c r="V908" i="5"/>
  <c r="W908" i="5"/>
  <c r="X908" i="5"/>
  <c r="B909" i="5"/>
  <c r="C909" i="5"/>
  <c r="D909" i="5"/>
  <c r="E909" i="5"/>
  <c r="F909" i="5"/>
  <c r="G909" i="5"/>
  <c r="H909" i="5"/>
  <c r="I909" i="5"/>
  <c r="J909" i="5"/>
  <c r="K909" i="5"/>
  <c r="L909" i="5"/>
  <c r="M909" i="5"/>
  <c r="N909" i="5"/>
  <c r="AC909" i="5" s="1"/>
  <c r="O909" i="5"/>
  <c r="P909" i="5"/>
  <c r="Q909" i="5"/>
  <c r="R909" i="5"/>
  <c r="S909" i="5"/>
  <c r="T909" i="5"/>
  <c r="U909" i="5"/>
  <c r="V909" i="5"/>
  <c r="W909" i="5"/>
  <c r="X909" i="5"/>
  <c r="B910" i="5"/>
  <c r="AB910" i="5" s="1"/>
  <c r="C910" i="5"/>
  <c r="D910" i="5"/>
  <c r="E910" i="5"/>
  <c r="F910" i="5"/>
  <c r="G910" i="5"/>
  <c r="H910" i="5"/>
  <c r="I910" i="5"/>
  <c r="J910" i="5"/>
  <c r="K910" i="5"/>
  <c r="L910" i="5"/>
  <c r="M910" i="5"/>
  <c r="N910" i="5"/>
  <c r="O910" i="5"/>
  <c r="P910" i="5"/>
  <c r="Q910" i="5"/>
  <c r="R910" i="5"/>
  <c r="S910" i="5"/>
  <c r="T910" i="5"/>
  <c r="U910" i="5"/>
  <c r="V910" i="5"/>
  <c r="W910" i="5"/>
  <c r="X910" i="5"/>
  <c r="AC910" i="5"/>
  <c r="B911" i="5"/>
  <c r="C911" i="5"/>
  <c r="D911" i="5"/>
  <c r="E911" i="5"/>
  <c r="F911" i="5"/>
  <c r="G911" i="5"/>
  <c r="H911" i="5"/>
  <c r="I911" i="5"/>
  <c r="J911" i="5"/>
  <c r="K911" i="5"/>
  <c r="L911" i="5"/>
  <c r="M911" i="5"/>
  <c r="N911" i="5"/>
  <c r="O911" i="5"/>
  <c r="P911" i="5"/>
  <c r="Q911" i="5"/>
  <c r="R911" i="5"/>
  <c r="S911" i="5"/>
  <c r="T911" i="5"/>
  <c r="U911" i="5"/>
  <c r="V911" i="5"/>
  <c r="W911" i="5"/>
  <c r="X911" i="5"/>
  <c r="B912" i="5"/>
  <c r="C912" i="5"/>
  <c r="D912" i="5"/>
  <c r="E912" i="5"/>
  <c r="F912" i="5"/>
  <c r="G912" i="5"/>
  <c r="H912" i="5"/>
  <c r="I912" i="5"/>
  <c r="J912" i="5"/>
  <c r="K912" i="5"/>
  <c r="L912" i="5"/>
  <c r="M912" i="5"/>
  <c r="N912" i="5"/>
  <c r="O912" i="5"/>
  <c r="P912" i="5"/>
  <c r="Q912" i="5"/>
  <c r="R912" i="5"/>
  <c r="S912" i="5"/>
  <c r="T912" i="5"/>
  <c r="U912" i="5"/>
  <c r="V912" i="5"/>
  <c r="W912" i="5"/>
  <c r="X912" i="5"/>
  <c r="B913" i="5"/>
  <c r="C913" i="5"/>
  <c r="D913" i="5"/>
  <c r="E913" i="5"/>
  <c r="F913" i="5"/>
  <c r="G913" i="5"/>
  <c r="AB913" i="5" s="1"/>
  <c r="H913" i="5"/>
  <c r="I913" i="5"/>
  <c r="J913" i="5"/>
  <c r="K913" i="5"/>
  <c r="L913" i="5"/>
  <c r="M913" i="5"/>
  <c r="N913" i="5"/>
  <c r="O913" i="5"/>
  <c r="P913" i="5"/>
  <c r="Q913" i="5"/>
  <c r="R913" i="5"/>
  <c r="S913" i="5"/>
  <c r="T913" i="5"/>
  <c r="U913" i="5"/>
  <c r="V913" i="5"/>
  <c r="W913" i="5"/>
  <c r="X913" i="5"/>
  <c r="B914" i="5"/>
  <c r="C914" i="5"/>
  <c r="D914" i="5"/>
  <c r="E914" i="5"/>
  <c r="F914" i="5"/>
  <c r="G914" i="5"/>
  <c r="H914" i="5"/>
  <c r="I914" i="5"/>
  <c r="J914" i="5"/>
  <c r="K914" i="5"/>
  <c r="L914" i="5"/>
  <c r="M914" i="5"/>
  <c r="N914" i="5"/>
  <c r="O914" i="5"/>
  <c r="P914" i="5"/>
  <c r="Q914" i="5"/>
  <c r="R914" i="5"/>
  <c r="S914" i="5"/>
  <c r="T914" i="5"/>
  <c r="U914" i="5"/>
  <c r="V914" i="5"/>
  <c r="W914" i="5"/>
  <c r="X914" i="5"/>
  <c r="B915" i="5"/>
  <c r="C915" i="5"/>
  <c r="D915" i="5"/>
  <c r="E915" i="5"/>
  <c r="F915" i="5"/>
  <c r="G915" i="5"/>
  <c r="H915" i="5"/>
  <c r="I915" i="5"/>
  <c r="J915" i="5"/>
  <c r="K915" i="5"/>
  <c r="L915" i="5"/>
  <c r="M915" i="5"/>
  <c r="N915" i="5"/>
  <c r="O915" i="5"/>
  <c r="P915" i="5"/>
  <c r="Q915" i="5"/>
  <c r="R915" i="5"/>
  <c r="S915" i="5"/>
  <c r="T915" i="5"/>
  <c r="U915" i="5"/>
  <c r="V915" i="5"/>
  <c r="W915" i="5"/>
  <c r="X915" i="5"/>
  <c r="B916" i="5"/>
  <c r="C916" i="5"/>
  <c r="D916" i="5"/>
  <c r="E916" i="5"/>
  <c r="F916" i="5"/>
  <c r="G916" i="5"/>
  <c r="H916" i="5"/>
  <c r="I916" i="5"/>
  <c r="J916" i="5"/>
  <c r="K916" i="5"/>
  <c r="L916" i="5"/>
  <c r="M916" i="5"/>
  <c r="N916" i="5"/>
  <c r="O916" i="5"/>
  <c r="P916" i="5"/>
  <c r="Q916" i="5"/>
  <c r="R916" i="5"/>
  <c r="S916" i="5"/>
  <c r="T916" i="5"/>
  <c r="U916" i="5"/>
  <c r="V916" i="5"/>
  <c r="W916" i="5"/>
  <c r="X916" i="5"/>
  <c r="B917" i="5"/>
  <c r="C917" i="5"/>
  <c r="D917" i="5"/>
  <c r="E917" i="5"/>
  <c r="F917" i="5"/>
  <c r="G917" i="5"/>
  <c r="H917" i="5"/>
  <c r="I917" i="5"/>
  <c r="J917" i="5"/>
  <c r="K917" i="5"/>
  <c r="L917" i="5"/>
  <c r="M917" i="5"/>
  <c r="N917" i="5"/>
  <c r="O917" i="5"/>
  <c r="AC917" i="5" s="1"/>
  <c r="P917" i="5"/>
  <c r="Q917" i="5"/>
  <c r="R917" i="5"/>
  <c r="S917" i="5"/>
  <c r="T917" i="5"/>
  <c r="U917" i="5"/>
  <c r="V917" i="5"/>
  <c r="W917" i="5"/>
  <c r="X917" i="5"/>
  <c r="B918" i="5"/>
  <c r="C918" i="5"/>
  <c r="D918" i="5"/>
  <c r="E918" i="5"/>
  <c r="F918" i="5"/>
  <c r="G918" i="5"/>
  <c r="H918" i="5"/>
  <c r="I918" i="5"/>
  <c r="J918" i="5"/>
  <c r="K918" i="5"/>
  <c r="L918" i="5"/>
  <c r="M918" i="5"/>
  <c r="N918" i="5"/>
  <c r="O918" i="5"/>
  <c r="AC918" i="5" s="1"/>
  <c r="P918" i="5"/>
  <c r="Q918" i="5"/>
  <c r="R918" i="5"/>
  <c r="S918" i="5"/>
  <c r="T918" i="5"/>
  <c r="U918" i="5"/>
  <c r="V918" i="5"/>
  <c r="W918" i="5"/>
  <c r="X918" i="5"/>
  <c r="B919" i="5"/>
  <c r="C919" i="5"/>
  <c r="AB919" i="5" s="1"/>
  <c r="D919" i="5"/>
  <c r="E919" i="5"/>
  <c r="F919" i="5"/>
  <c r="G919" i="5"/>
  <c r="H919" i="5"/>
  <c r="I919" i="5"/>
  <c r="J919" i="5"/>
  <c r="K919" i="5"/>
  <c r="L919" i="5"/>
  <c r="M919" i="5"/>
  <c r="N919" i="5"/>
  <c r="O919" i="5"/>
  <c r="P919" i="5"/>
  <c r="Q919" i="5"/>
  <c r="R919" i="5"/>
  <c r="S919" i="5"/>
  <c r="T919" i="5"/>
  <c r="U919" i="5"/>
  <c r="V919" i="5"/>
  <c r="W919" i="5"/>
  <c r="X919" i="5"/>
  <c r="B920" i="5"/>
  <c r="C920" i="5"/>
  <c r="D920" i="5"/>
  <c r="E920" i="5"/>
  <c r="F920" i="5"/>
  <c r="G920" i="5"/>
  <c r="H920" i="5"/>
  <c r="I920" i="5"/>
  <c r="J920" i="5"/>
  <c r="K920" i="5"/>
  <c r="L920" i="5"/>
  <c r="M920" i="5"/>
  <c r="N920" i="5"/>
  <c r="O920" i="5"/>
  <c r="AC920" i="5" s="1"/>
  <c r="P920" i="5"/>
  <c r="Q920" i="5"/>
  <c r="R920" i="5"/>
  <c r="S920" i="5"/>
  <c r="T920" i="5"/>
  <c r="U920" i="5"/>
  <c r="V920" i="5"/>
  <c r="W920" i="5"/>
  <c r="X920" i="5"/>
  <c r="B921" i="5"/>
  <c r="C921" i="5"/>
  <c r="AB921" i="5" s="1"/>
  <c r="D921" i="5"/>
  <c r="E921" i="5"/>
  <c r="F921" i="5"/>
  <c r="G921" i="5"/>
  <c r="H921" i="5"/>
  <c r="I921" i="5"/>
  <c r="J921" i="5"/>
  <c r="K921" i="5"/>
  <c r="L921" i="5"/>
  <c r="M921" i="5"/>
  <c r="N921" i="5"/>
  <c r="O921" i="5"/>
  <c r="P921" i="5"/>
  <c r="Q921" i="5"/>
  <c r="R921" i="5"/>
  <c r="S921" i="5"/>
  <c r="T921" i="5"/>
  <c r="U921" i="5"/>
  <c r="V921" i="5"/>
  <c r="W921" i="5"/>
  <c r="X921" i="5"/>
  <c r="B922" i="5"/>
  <c r="C922" i="5"/>
  <c r="D922" i="5"/>
  <c r="E922" i="5"/>
  <c r="F922" i="5"/>
  <c r="G922" i="5"/>
  <c r="H922" i="5"/>
  <c r="I922" i="5"/>
  <c r="J922" i="5"/>
  <c r="K922" i="5"/>
  <c r="L922" i="5"/>
  <c r="M922" i="5"/>
  <c r="N922" i="5"/>
  <c r="O922" i="5"/>
  <c r="P922" i="5"/>
  <c r="Q922" i="5"/>
  <c r="R922" i="5"/>
  <c r="S922" i="5"/>
  <c r="T922" i="5"/>
  <c r="U922" i="5"/>
  <c r="V922" i="5"/>
  <c r="W922" i="5"/>
  <c r="X922" i="5"/>
  <c r="B923" i="5"/>
  <c r="C923" i="5"/>
  <c r="D923" i="5"/>
  <c r="E923" i="5"/>
  <c r="F923" i="5"/>
  <c r="G923" i="5"/>
  <c r="H923" i="5"/>
  <c r="I923" i="5"/>
  <c r="J923" i="5"/>
  <c r="K923" i="5"/>
  <c r="L923" i="5"/>
  <c r="M923" i="5"/>
  <c r="N923" i="5"/>
  <c r="O923" i="5"/>
  <c r="P923" i="5"/>
  <c r="Q923" i="5"/>
  <c r="R923" i="5"/>
  <c r="S923" i="5"/>
  <c r="T923" i="5"/>
  <c r="U923" i="5"/>
  <c r="V923" i="5"/>
  <c r="W923" i="5"/>
  <c r="X923" i="5"/>
  <c r="B924" i="5"/>
  <c r="C924" i="5"/>
  <c r="D924" i="5"/>
  <c r="E924" i="5"/>
  <c r="F924" i="5"/>
  <c r="G924" i="5"/>
  <c r="H924" i="5"/>
  <c r="I924" i="5"/>
  <c r="J924" i="5"/>
  <c r="K924" i="5"/>
  <c r="L924" i="5"/>
  <c r="M924" i="5"/>
  <c r="N924" i="5"/>
  <c r="O924" i="5"/>
  <c r="P924" i="5"/>
  <c r="Q924" i="5"/>
  <c r="R924" i="5"/>
  <c r="S924" i="5"/>
  <c r="T924" i="5"/>
  <c r="U924" i="5"/>
  <c r="V924" i="5"/>
  <c r="W924" i="5"/>
  <c r="X924" i="5"/>
  <c r="B925" i="5"/>
  <c r="C925" i="5"/>
  <c r="D925" i="5"/>
  <c r="E925" i="5"/>
  <c r="F925" i="5"/>
  <c r="G925" i="5"/>
  <c r="H925" i="5"/>
  <c r="I925" i="5"/>
  <c r="J925" i="5"/>
  <c r="K925" i="5"/>
  <c r="L925" i="5"/>
  <c r="M925" i="5"/>
  <c r="N925" i="5"/>
  <c r="AC925" i="5" s="1"/>
  <c r="O925" i="5"/>
  <c r="P925" i="5"/>
  <c r="Q925" i="5"/>
  <c r="R925" i="5"/>
  <c r="S925" i="5"/>
  <c r="T925" i="5"/>
  <c r="U925" i="5"/>
  <c r="V925" i="5"/>
  <c r="W925" i="5"/>
  <c r="X925" i="5"/>
  <c r="B926" i="5"/>
  <c r="C926" i="5"/>
  <c r="D926" i="5"/>
  <c r="E926" i="5"/>
  <c r="F926" i="5"/>
  <c r="G926" i="5"/>
  <c r="H926" i="5"/>
  <c r="I926" i="5"/>
  <c r="J926" i="5"/>
  <c r="K926" i="5"/>
  <c r="L926" i="5"/>
  <c r="M926" i="5"/>
  <c r="N926" i="5"/>
  <c r="AC926" i="5" s="1"/>
  <c r="O926" i="5"/>
  <c r="P926" i="5"/>
  <c r="Q926" i="5"/>
  <c r="R926" i="5"/>
  <c r="S926" i="5"/>
  <c r="T926" i="5"/>
  <c r="U926" i="5"/>
  <c r="V926" i="5"/>
  <c r="W926" i="5"/>
  <c r="X926" i="5"/>
  <c r="B927" i="5"/>
  <c r="AB927" i="5" s="1"/>
  <c r="C927" i="5"/>
  <c r="D927" i="5"/>
  <c r="E927" i="5"/>
  <c r="F927" i="5"/>
  <c r="G927" i="5"/>
  <c r="H927" i="5"/>
  <c r="I927" i="5"/>
  <c r="J927" i="5"/>
  <c r="K927" i="5"/>
  <c r="L927" i="5"/>
  <c r="M927" i="5"/>
  <c r="N927" i="5"/>
  <c r="O927" i="5"/>
  <c r="P927" i="5"/>
  <c r="Q927" i="5"/>
  <c r="R927" i="5"/>
  <c r="S927" i="5"/>
  <c r="T927" i="5"/>
  <c r="U927" i="5"/>
  <c r="V927" i="5"/>
  <c r="W927" i="5"/>
  <c r="X927" i="5"/>
  <c r="B928" i="5"/>
  <c r="C928" i="5"/>
  <c r="D928" i="5"/>
  <c r="E928" i="5"/>
  <c r="F928" i="5"/>
  <c r="G928" i="5"/>
  <c r="H928" i="5"/>
  <c r="I928" i="5"/>
  <c r="J928" i="5"/>
  <c r="K928" i="5"/>
  <c r="L928" i="5"/>
  <c r="M928" i="5"/>
  <c r="N928" i="5"/>
  <c r="O928" i="5"/>
  <c r="P928" i="5"/>
  <c r="Q928" i="5"/>
  <c r="R928" i="5"/>
  <c r="S928" i="5"/>
  <c r="T928" i="5"/>
  <c r="U928" i="5"/>
  <c r="V928" i="5"/>
  <c r="W928" i="5"/>
  <c r="X928" i="5"/>
  <c r="B929" i="5"/>
  <c r="C929" i="5"/>
  <c r="D929" i="5"/>
  <c r="E929" i="5"/>
  <c r="F929" i="5"/>
  <c r="G929" i="5"/>
  <c r="H929" i="5"/>
  <c r="I929" i="5"/>
  <c r="J929" i="5"/>
  <c r="K929" i="5"/>
  <c r="L929" i="5"/>
  <c r="M929" i="5"/>
  <c r="N929" i="5"/>
  <c r="O929" i="5"/>
  <c r="P929" i="5"/>
  <c r="Q929" i="5"/>
  <c r="R929" i="5"/>
  <c r="S929" i="5"/>
  <c r="T929" i="5"/>
  <c r="U929" i="5"/>
  <c r="V929" i="5"/>
  <c r="W929" i="5"/>
  <c r="X929" i="5"/>
  <c r="B930" i="5"/>
  <c r="C930" i="5"/>
  <c r="D930" i="5"/>
  <c r="E930" i="5"/>
  <c r="F930" i="5"/>
  <c r="G930" i="5"/>
  <c r="H930" i="5"/>
  <c r="I930" i="5"/>
  <c r="J930" i="5"/>
  <c r="K930" i="5"/>
  <c r="L930" i="5"/>
  <c r="M930" i="5"/>
  <c r="N930" i="5"/>
  <c r="O930" i="5"/>
  <c r="P930" i="5"/>
  <c r="Q930" i="5"/>
  <c r="R930" i="5"/>
  <c r="S930" i="5"/>
  <c r="T930" i="5"/>
  <c r="U930" i="5"/>
  <c r="V930" i="5"/>
  <c r="W930" i="5"/>
  <c r="X930" i="5"/>
  <c r="B931" i="5"/>
  <c r="C931" i="5"/>
  <c r="D931" i="5"/>
  <c r="E931" i="5"/>
  <c r="F931" i="5"/>
  <c r="G931" i="5"/>
  <c r="H931" i="5"/>
  <c r="I931" i="5"/>
  <c r="J931" i="5"/>
  <c r="K931" i="5"/>
  <c r="L931" i="5"/>
  <c r="M931" i="5"/>
  <c r="AC931" i="5" s="1"/>
  <c r="N931" i="5"/>
  <c r="O931" i="5"/>
  <c r="P931" i="5"/>
  <c r="Q931" i="5"/>
  <c r="R931" i="5"/>
  <c r="S931" i="5"/>
  <c r="T931" i="5"/>
  <c r="U931" i="5"/>
  <c r="V931" i="5"/>
  <c r="W931" i="5"/>
  <c r="X931" i="5"/>
  <c r="B932" i="5"/>
  <c r="C932" i="5"/>
  <c r="D932" i="5"/>
  <c r="E932" i="5"/>
  <c r="F932" i="5"/>
  <c r="G932" i="5"/>
  <c r="H932" i="5"/>
  <c r="I932" i="5"/>
  <c r="J932" i="5"/>
  <c r="K932" i="5"/>
  <c r="L932" i="5"/>
  <c r="M932" i="5"/>
  <c r="N932" i="5"/>
  <c r="O932" i="5"/>
  <c r="P932" i="5"/>
  <c r="Q932" i="5"/>
  <c r="R932" i="5"/>
  <c r="S932" i="5"/>
  <c r="T932" i="5"/>
  <c r="U932" i="5"/>
  <c r="V932" i="5"/>
  <c r="W932" i="5"/>
  <c r="X932" i="5"/>
  <c r="B933" i="5"/>
  <c r="C933" i="5"/>
  <c r="D933" i="5"/>
  <c r="E933" i="5"/>
  <c r="F933" i="5"/>
  <c r="G933" i="5"/>
  <c r="H933" i="5"/>
  <c r="I933" i="5"/>
  <c r="J933" i="5"/>
  <c r="K933" i="5"/>
  <c r="L933" i="5"/>
  <c r="M933" i="5"/>
  <c r="N933" i="5"/>
  <c r="O933" i="5"/>
  <c r="AC933" i="5" s="1"/>
  <c r="P933" i="5"/>
  <c r="Q933" i="5"/>
  <c r="R933" i="5"/>
  <c r="S933" i="5"/>
  <c r="T933" i="5"/>
  <c r="U933" i="5"/>
  <c r="V933" i="5"/>
  <c r="W933" i="5"/>
  <c r="X933" i="5"/>
  <c r="B934" i="5"/>
  <c r="C934" i="5"/>
  <c r="D934" i="5"/>
  <c r="E934" i="5"/>
  <c r="F934" i="5"/>
  <c r="G934" i="5"/>
  <c r="H934" i="5"/>
  <c r="I934" i="5"/>
  <c r="J934" i="5"/>
  <c r="K934" i="5"/>
  <c r="L934" i="5"/>
  <c r="M934" i="5"/>
  <c r="N934" i="5"/>
  <c r="O934" i="5"/>
  <c r="AC934" i="5" s="1"/>
  <c r="P934" i="5"/>
  <c r="Q934" i="5"/>
  <c r="R934" i="5"/>
  <c r="S934" i="5"/>
  <c r="T934" i="5"/>
  <c r="U934" i="5"/>
  <c r="V934" i="5"/>
  <c r="W934" i="5"/>
  <c r="X934" i="5"/>
  <c r="B935" i="5"/>
  <c r="C935" i="5"/>
  <c r="AB935" i="5" s="1"/>
  <c r="D935" i="5"/>
  <c r="E935" i="5"/>
  <c r="F935" i="5"/>
  <c r="G935" i="5"/>
  <c r="H935" i="5"/>
  <c r="I935" i="5"/>
  <c r="J935" i="5"/>
  <c r="K935" i="5"/>
  <c r="L935" i="5"/>
  <c r="M935" i="5"/>
  <c r="N935" i="5"/>
  <c r="O935" i="5"/>
  <c r="P935" i="5"/>
  <c r="Q935" i="5"/>
  <c r="R935" i="5"/>
  <c r="S935" i="5"/>
  <c r="T935" i="5"/>
  <c r="U935" i="5"/>
  <c r="V935" i="5"/>
  <c r="W935" i="5"/>
  <c r="X935" i="5"/>
  <c r="B936" i="5"/>
  <c r="C936" i="5"/>
  <c r="D936" i="5"/>
  <c r="E936" i="5"/>
  <c r="F936" i="5"/>
  <c r="G936" i="5"/>
  <c r="H936" i="5"/>
  <c r="I936" i="5"/>
  <c r="J936" i="5"/>
  <c r="K936" i="5"/>
  <c r="L936" i="5"/>
  <c r="M936" i="5"/>
  <c r="N936" i="5"/>
  <c r="O936" i="5"/>
  <c r="AC936" i="5" s="1"/>
  <c r="P936" i="5"/>
  <c r="Q936" i="5"/>
  <c r="R936" i="5"/>
  <c r="S936" i="5"/>
  <c r="T936" i="5"/>
  <c r="U936" i="5"/>
  <c r="V936" i="5"/>
  <c r="W936" i="5"/>
  <c r="X936" i="5"/>
  <c r="B937" i="5"/>
  <c r="C937" i="5"/>
  <c r="D937" i="5"/>
  <c r="E937" i="5"/>
  <c r="F937" i="5"/>
  <c r="G937" i="5"/>
  <c r="H937" i="5"/>
  <c r="I937" i="5"/>
  <c r="J937" i="5"/>
  <c r="K937" i="5"/>
  <c r="L937" i="5"/>
  <c r="M937" i="5"/>
  <c r="N937" i="5"/>
  <c r="O937" i="5"/>
  <c r="P937" i="5"/>
  <c r="Q937" i="5"/>
  <c r="R937" i="5"/>
  <c r="S937" i="5"/>
  <c r="T937" i="5"/>
  <c r="U937" i="5"/>
  <c r="V937" i="5"/>
  <c r="W937" i="5"/>
  <c r="X937" i="5"/>
  <c r="B938" i="5"/>
  <c r="C938" i="5"/>
  <c r="D938" i="5"/>
  <c r="E938" i="5"/>
  <c r="F938" i="5"/>
  <c r="G938" i="5"/>
  <c r="H938" i="5"/>
  <c r="I938" i="5"/>
  <c r="J938" i="5"/>
  <c r="K938" i="5"/>
  <c r="L938" i="5"/>
  <c r="M938" i="5"/>
  <c r="N938" i="5"/>
  <c r="O938" i="5"/>
  <c r="P938" i="5"/>
  <c r="Q938" i="5"/>
  <c r="R938" i="5"/>
  <c r="S938" i="5"/>
  <c r="T938" i="5"/>
  <c r="U938" i="5"/>
  <c r="V938" i="5"/>
  <c r="W938" i="5"/>
  <c r="X938" i="5"/>
  <c r="B939" i="5"/>
  <c r="C939" i="5"/>
  <c r="D939" i="5"/>
  <c r="E939" i="5"/>
  <c r="F939" i="5"/>
  <c r="G939" i="5"/>
  <c r="H939" i="5"/>
  <c r="I939" i="5"/>
  <c r="J939" i="5"/>
  <c r="K939" i="5"/>
  <c r="L939" i="5"/>
  <c r="M939" i="5"/>
  <c r="N939" i="5"/>
  <c r="O939" i="5"/>
  <c r="P939" i="5"/>
  <c r="Q939" i="5"/>
  <c r="R939" i="5"/>
  <c r="S939" i="5"/>
  <c r="T939" i="5"/>
  <c r="U939" i="5"/>
  <c r="V939" i="5"/>
  <c r="W939" i="5"/>
  <c r="X939" i="5"/>
  <c r="B940" i="5"/>
  <c r="C940" i="5"/>
  <c r="D940" i="5"/>
  <c r="E940" i="5"/>
  <c r="F940" i="5"/>
  <c r="G940" i="5"/>
  <c r="H940" i="5"/>
  <c r="I940" i="5"/>
  <c r="J940" i="5"/>
  <c r="K940" i="5"/>
  <c r="L940" i="5"/>
  <c r="M940" i="5"/>
  <c r="N940" i="5"/>
  <c r="O940" i="5"/>
  <c r="P940" i="5"/>
  <c r="Q940" i="5"/>
  <c r="R940" i="5"/>
  <c r="S940" i="5"/>
  <c r="T940" i="5"/>
  <c r="U940" i="5"/>
  <c r="V940" i="5"/>
  <c r="W940" i="5"/>
  <c r="X940" i="5"/>
  <c r="B941" i="5"/>
  <c r="C941" i="5"/>
  <c r="D941" i="5"/>
  <c r="E941" i="5"/>
  <c r="F941" i="5"/>
  <c r="G941" i="5"/>
  <c r="H941" i="5"/>
  <c r="I941" i="5"/>
  <c r="J941" i="5"/>
  <c r="K941" i="5"/>
  <c r="L941" i="5"/>
  <c r="M941" i="5"/>
  <c r="N941" i="5"/>
  <c r="O941" i="5"/>
  <c r="AC941" i="5" s="1"/>
  <c r="P941" i="5"/>
  <c r="Q941" i="5"/>
  <c r="R941" i="5"/>
  <c r="S941" i="5"/>
  <c r="T941" i="5"/>
  <c r="U941" i="5"/>
  <c r="V941" i="5"/>
  <c r="W941" i="5"/>
  <c r="X941" i="5"/>
  <c r="B942" i="5"/>
  <c r="C942" i="5"/>
  <c r="AB942" i="5" s="1"/>
  <c r="D942" i="5"/>
  <c r="E942" i="5"/>
  <c r="F942" i="5"/>
  <c r="G942" i="5"/>
  <c r="H942" i="5"/>
  <c r="I942" i="5"/>
  <c r="J942" i="5"/>
  <c r="K942" i="5"/>
  <c r="L942" i="5"/>
  <c r="M942" i="5"/>
  <c r="N942" i="5"/>
  <c r="O942" i="5"/>
  <c r="AC942" i="5" s="1"/>
  <c r="P942" i="5"/>
  <c r="Q942" i="5"/>
  <c r="R942" i="5"/>
  <c r="S942" i="5"/>
  <c r="T942" i="5"/>
  <c r="U942" i="5"/>
  <c r="V942" i="5"/>
  <c r="W942" i="5"/>
  <c r="X942" i="5"/>
  <c r="B943" i="5"/>
  <c r="C943" i="5"/>
  <c r="D943" i="5"/>
  <c r="E943" i="5"/>
  <c r="F943" i="5"/>
  <c r="G943" i="5"/>
  <c r="H943" i="5"/>
  <c r="I943" i="5"/>
  <c r="J943" i="5"/>
  <c r="K943" i="5"/>
  <c r="L943" i="5"/>
  <c r="M943" i="5"/>
  <c r="N943" i="5"/>
  <c r="O943" i="5"/>
  <c r="P943" i="5"/>
  <c r="Q943" i="5"/>
  <c r="R943" i="5"/>
  <c r="S943" i="5"/>
  <c r="T943" i="5"/>
  <c r="U943" i="5"/>
  <c r="V943" i="5"/>
  <c r="W943" i="5"/>
  <c r="X943" i="5"/>
  <c r="B944" i="5"/>
  <c r="C944" i="5"/>
  <c r="D944" i="5"/>
  <c r="E944" i="5"/>
  <c r="F944" i="5"/>
  <c r="G944" i="5"/>
  <c r="H944" i="5"/>
  <c r="I944" i="5"/>
  <c r="J944" i="5"/>
  <c r="K944" i="5"/>
  <c r="L944" i="5"/>
  <c r="M944" i="5"/>
  <c r="N944" i="5"/>
  <c r="O944" i="5"/>
  <c r="P944" i="5"/>
  <c r="Q944" i="5"/>
  <c r="R944" i="5"/>
  <c r="S944" i="5"/>
  <c r="T944" i="5"/>
  <c r="U944" i="5"/>
  <c r="V944" i="5"/>
  <c r="W944" i="5"/>
  <c r="X944" i="5"/>
  <c r="B945" i="5"/>
  <c r="C945" i="5"/>
  <c r="D945" i="5"/>
  <c r="E945" i="5"/>
  <c r="F945" i="5"/>
  <c r="G945" i="5"/>
  <c r="H945" i="5"/>
  <c r="I945" i="5"/>
  <c r="J945" i="5"/>
  <c r="K945" i="5"/>
  <c r="L945" i="5"/>
  <c r="M945" i="5"/>
  <c r="N945" i="5"/>
  <c r="O945" i="5"/>
  <c r="P945" i="5"/>
  <c r="Q945" i="5"/>
  <c r="R945" i="5"/>
  <c r="S945" i="5"/>
  <c r="T945" i="5"/>
  <c r="U945" i="5"/>
  <c r="V945" i="5"/>
  <c r="W945" i="5"/>
  <c r="X945" i="5"/>
  <c r="B946" i="5"/>
  <c r="C946" i="5"/>
  <c r="D946" i="5"/>
  <c r="E946" i="5"/>
  <c r="F946" i="5"/>
  <c r="G946" i="5"/>
  <c r="H946" i="5"/>
  <c r="I946" i="5"/>
  <c r="J946" i="5"/>
  <c r="K946" i="5"/>
  <c r="L946" i="5"/>
  <c r="M946" i="5"/>
  <c r="N946" i="5"/>
  <c r="O946" i="5"/>
  <c r="P946" i="5"/>
  <c r="Q946" i="5"/>
  <c r="R946" i="5"/>
  <c r="S946" i="5"/>
  <c r="T946" i="5"/>
  <c r="U946" i="5"/>
  <c r="V946" i="5"/>
  <c r="W946" i="5"/>
  <c r="X946" i="5"/>
  <c r="B947" i="5"/>
  <c r="C947" i="5"/>
  <c r="D947" i="5"/>
  <c r="E947" i="5"/>
  <c r="F947" i="5"/>
  <c r="G947" i="5"/>
  <c r="H947" i="5"/>
  <c r="I947" i="5"/>
  <c r="J947" i="5"/>
  <c r="K947" i="5"/>
  <c r="L947" i="5"/>
  <c r="M947" i="5"/>
  <c r="N947" i="5"/>
  <c r="O947" i="5"/>
  <c r="P947" i="5"/>
  <c r="Q947" i="5"/>
  <c r="R947" i="5"/>
  <c r="S947" i="5"/>
  <c r="T947" i="5"/>
  <c r="U947" i="5"/>
  <c r="V947" i="5"/>
  <c r="W947" i="5"/>
  <c r="X947" i="5"/>
  <c r="B948" i="5"/>
  <c r="C948" i="5"/>
  <c r="D948" i="5"/>
  <c r="E948" i="5"/>
  <c r="F948" i="5"/>
  <c r="G948" i="5"/>
  <c r="H948" i="5"/>
  <c r="I948" i="5"/>
  <c r="J948" i="5"/>
  <c r="K948" i="5"/>
  <c r="L948" i="5"/>
  <c r="M948" i="5"/>
  <c r="N948" i="5"/>
  <c r="O948" i="5"/>
  <c r="P948" i="5"/>
  <c r="Q948" i="5"/>
  <c r="R948" i="5"/>
  <c r="S948" i="5"/>
  <c r="T948" i="5"/>
  <c r="U948" i="5"/>
  <c r="V948" i="5"/>
  <c r="W948" i="5"/>
  <c r="X948" i="5"/>
  <c r="B949" i="5"/>
  <c r="C949" i="5"/>
  <c r="D949" i="5"/>
  <c r="E949" i="5"/>
  <c r="F949" i="5"/>
  <c r="G949" i="5"/>
  <c r="H949" i="5"/>
  <c r="I949" i="5"/>
  <c r="J949" i="5"/>
  <c r="K949" i="5"/>
  <c r="L949" i="5"/>
  <c r="M949" i="5"/>
  <c r="N949" i="5"/>
  <c r="O949" i="5"/>
  <c r="P949" i="5"/>
  <c r="Q949" i="5"/>
  <c r="R949" i="5"/>
  <c r="S949" i="5"/>
  <c r="T949" i="5"/>
  <c r="U949" i="5"/>
  <c r="V949" i="5"/>
  <c r="W949" i="5"/>
  <c r="X949" i="5"/>
  <c r="AC949" i="5"/>
  <c r="B950" i="5"/>
  <c r="C950" i="5"/>
  <c r="D950" i="5"/>
  <c r="E950" i="5"/>
  <c r="F950" i="5"/>
  <c r="G950" i="5"/>
  <c r="H950" i="5"/>
  <c r="I950" i="5"/>
  <c r="J950" i="5"/>
  <c r="K950" i="5"/>
  <c r="L950" i="5"/>
  <c r="M950" i="5"/>
  <c r="N950" i="5"/>
  <c r="O950" i="5"/>
  <c r="P950" i="5"/>
  <c r="Q950" i="5"/>
  <c r="R950" i="5"/>
  <c r="S950" i="5"/>
  <c r="T950" i="5"/>
  <c r="U950" i="5"/>
  <c r="V950" i="5"/>
  <c r="W950" i="5"/>
  <c r="X950" i="5"/>
  <c r="AC950" i="5"/>
  <c r="B951" i="5"/>
  <c r="C951" i="5"/>
  <c r="D951" i="5"/>
  <c r="E951" i="5"/>
  <c r="F951" i="5"/>
  <c r="G951" i="5"/>
  <c r="H951" i="5"/>
  <c r="I951" i="5"/>
  <c r="J951" i="5"/>
  <c r="K951" i="5"/>
  <c r="L951" i="5"/>
  <c r="M951" i="5"/>
  <c r="N951" i="5"/>
  <c r="O951" i="5"/>
  <c r="P951" i="5"/>
  <c r="Q951" i="5"/>
  <c r="R951" i="5"/>
  <c r="S951" i="5"/>
  <c r="T951" i="5"/>
  <c r="U951" i="5"/>
  <c r="V951" i="5"/>
  <c r="W951" i="5"/>
  <c r="X951" i="5"/>
  <c r="AB951" i="5"/>
  <c r="B952" i="5"/>
  <c r="C952" i="5"/>
  <c r="D952" i="5"/>
  <c r="E952" i="5"/>
  <c r="F952" i="5"/>
  <c r="G952" i="5"/>
  <c r="H952" i="5"/>
  <c r="I952" i="5"/>
  <c r="J952" i="5"/>
  <c r="K952" i="5"/>
  <c r="L952" i="5"/>
  <c r="M952" i="5"/>
  <c r="N952" i="5"/>
  <c r="O952" i="5"/>
  <c r="P952" i="5"/>
  <c r="Q952" i="5"/>
  <c r="R952" i="5"/>
  <c r="S952" i="5"/>
  <c r="T952" i="5"/>
  <c r="U952" i="5"/>
  <c r="V952" i="5"/>
  <c r="W952" i="5"/>
  <c r="X952" i="5"/>
  <c r="AC952" i="5"/>
  <c r="B953" i="5"/>
  <c r="C953" i="5"/>
  <c r="D953" i="5"/>
  <c r="E953" i="5"/>
  <c r="F953" i="5"/>
  <c r="G953" i="5"/>
  <c r="H953" i="5"/>
  <c r="I953" i="5"/>
  <c r="J953" i="5"/>
  <c r="K953" i="5"/>
  <c r="L953" i="5"/>
  <c r="M953" i="5"/>
  <c r="N953" i="5"/>
  <c r="O953" i="5"/>
  <c r="P953" i="5"/>
  <c r="Q953" i="5"/>
  <c r="R953" i="5"/>
  <c r="S953" i="5"/>
  <c r="T953" i="5"/>
  <c r="U953" i="5"/>
  <c r="V953" i="5"/>
  <c r="W953" i="5"/>
  <c r="X953" i="5"/>
  <c r="AB953" i="5"/>
  <c r="B954" i="5"/>
  <c r="C954" i="5"/>
  <c r="D954" i="5"/>
  <c r="E954" i="5"/>
  <c r="F954" i="5"/>
  <c r="G954" i="5"/>
  <c r="H954" i="5"/>
  <c r="I954" i="5"/>
  <c r="J954" i="5"/>
  <c r="K954" i="5"/>
  <c r="L954" i="5"/>
  <c r="M954" i="5"/>
  <c r="AC954" i="5" s="1"/>
  <c r="N954" i="5"/>
  <c r="O954" i="5"/>
  <c r="P954" i="5"/>
  <c r="Q954" i="5"/>
  <c r="R954" i="5"/>
  <c r="S954" i="5"/>
  <c r="T954" i="5"/>
  <c r="U954" i="5"/>
  <c r="V954" i="5"/>
  <c r="W954" i="5"/>
  <c r="X954" i="5"/>
  <c r="B955" i="5"/>
  <c r="C955" i="5"/>
  <c r="D955" i="5"/>
  <c r="E955" i="5"/>
  <c r="F955" i="5"/>
  <c r="G955" i="5"/>
  <c r="H955" i="5"/>
  <c r="I955" i="5"/>
  <c r="J955" i="5"/>
  <c r="K955" i="5"/>
  <c r="L955" i="5"/>
  <c r="M955" i="5"/>
  <c r="N955" i="5"/>
  <c r="O955" i="5"/>
  <c r="P955" i="5"/>
  <c r="Q955" i="5"/>
  <c r="R955" i="5"/>
  <c r="S955" i="5"/>
  <c r="T955" i="5"/>
  <c r="U955" i="5"/>
  <c r="V955" i="5"/>
  <c r="W955" i="5"/>
  <c r="X955" i="5"/>
  <c r="B956" i="5"/>
  <c r="C956" i="5"/>
  <c r="D956" i="5"/>
  <c r="E956" i="5"/>
  <c r="F956" i="5"/>
  <c r="G956" i="5"/>
  <c r="H956" i="5"/>
  <c r="I956" i="5"/>
  <c r="J956" i="5"/>
  <c r="K956" i="5"/>
  <c r="L956" i="5"/>
  <c r="M956" i="5"/>
  <c r="N956" i="5"/>
  <c r="O956" i="5"/>
  <c r="P956" i="5"/>
  <c r="Q956" i="5"/>
  <c r="R956" i="5"/>
  <c r="S956" i="5"/>
  <c r="T956" i="5"/>
  <c r="U956" i="5"/>
  <c r="V956" i="5"/>
  <c r="W956" i="5"/>
  <c r="X956" i="5"/>
  <c r="B957" i="5"/>
  <c r="C957" i="5"/>
  <c r="D957" i="5"/>
  <c r="E957" i="5"/>
  <c r="F957" i="5"/>
  <c r="G957" i="5"/>
  <c r="H957" i="5"/>
  <c r="I957" i="5"/>
  <c r="J957" i="5"/>
  <c r="K957" i="5"/>
  <c r="L957" i="5"/>
  <c r="M957" i="5"/>
  <c r="N957" i="5"/>
  <c r="O957" i="5"/>
  <c r="AC957" i="5" s="1"/>
  <c r="P957" i="5"/>
  <c r="Q957" i="5"/>
  <c r="R957" i="5"/>
  <c r="S957" i="5"/>
  <c r="T957" i="5"/>
  <c r="U957" i="5"/>
  <c r="V957" i="5"/>
  <c r="W957" i="5"/>
  <c r="X957" i="5"/>
  <c r="B958" i="5"/>
  <c r="C958" i="5"/>
  <c r="D958" i="5"/>
  <c r="E958" i="5"/>
  <c r="F958" i="5"/>
  <c r="G958" i="5"/>
  <c r="H958" i="5"/>
  <c r="I958" i="5"/>
  <c r="J958" i="5"/>
  <c r="K958" i="5"/>
  <c r="L958" i="5"/>
  <c r="M958" i="5"/>
  <c r="N958" i="5"/>
  <c r="O958" i="5"/>
  <c r="AC958" i="5" s="1"/>
  <c r="P958" i="5"/>
  <c r="Q958" i="5"/>
  <c r="R958" i="5"/>
  <c r="S958" i="5"/>
  <c r="T958" i="5"/>
  <c r="U958" i="5"/>
  <c r="V958" i="5"/>
  <c r="W958" i="5"/>
  <c r="X958" i="5"/>
  <c r="B959" i="5"/>
  <c r="C959" i="5"/>
  <c r="AB959" i="5" s="1"/>
  <c r="D959" i="5"/>
  <c r="E959" i="5"/>
  <c r="F959" i="5"/>
  <c r="G959" i="5"/>
  <c r="H959" i="5"/>
  <c r="I959" i="5"/>
  <c r="J959" i="5"/>
  <c r="K959" i="5"/>
  <c r="L959" i="5"/>
  <c r="M959" i="5"/>
  <c r="N959" i="5"/>
  <c r="O959" i="5"/>
  <c r="P959" i="5"/>
  <c r="AC959" i="5" s="1"/>
  <c r="Q959" i="5"/>
  <c r="R959" i="5"/>
  <c r="S959" i="5"/>
  <c r="T959" i="5"/>
  <c r="U959" i="5"/>
  <c r="V959" i="5"/>
  <c r="W959" i="5"/>
  <c r="X959" i="5"/>
  <c r="B960" i="5"/>
  <c r="C960" i="5"/>
  <c r="D960" i="5"/>
  <c r="E960" i="5"/>
  <c r="F960" i="5"/>
  <c r="G960" i="5"/>
  <c r="H960" i="5"/>
  <c r="I960" i="5"/>
  <c r="J960" i="5"/>
  <c r="K960" i="5"/>
  <c r="L960" i="5"/>
  <c r="M960" i="5"/>
  <c r="N960" i="5"/>
  <c r="O960" i="5"/>
  <c r="P960" i="5"/>
  <c r="Q960" i="5"/>
  <c r="R960" i="5"/>
  <c r="S960" i="5"/>
  <c r="T960" i="5"/>
  <c r="U960" i="5"/>
  <c r="V960" i="5"/>
  <c r="W960" i="5"/>
  <c r="X960" i="5"/>
  <c r="B961" i="5"/>
  <c r="C961" i="5"/>
  <c r="D961" i="5"/>
  <c r="E961" i="5"/>
  <c r="F961" i="5"/>
  <c r="G961" i="5"/>
  <c r="H961" i="5"/>
  <c r="I961" i="5"/>
  <c r="J961" i="5"/>
  <c r="K961" i="5"/>
  <c r="L961" i="5"/>
  <c r="M961" i="5"/>
  <c r="N961" i="5"/>
  <c r="O961" i="5"/>
  <c r="P961" i="5"/>
  <c r="Q961" i="5"/>
  <c r="R961" i="5"/>
  <c r="S961" i="5"/>
  <c r="T961" i="5"/>
  <c r="U961" i="5"/>
  <c r="V961" i="5"/>
  <c r="W961" i="5"/>
  <c r="X961" i="5"/>
  <c r="B962" i="5"/>
  <c r="C962" i="5"/>
  <c r="D962" i="5"/>
  <c r="E962" i="5"/>
  <c r="F962" i="5"/>
  <c r="G962" i="5"/>
  <c r="H962" i="5"/>
  <c r="I962" i="5"/>
  <c r="J962" i="5"/>
  <c r="K962" i="5"/>
  <c r="L962" i="5"/>
  <c r="M962" i="5"/>
  <c r="N962" i="5"/>
  <c r="O962" i="5"/>
  <c r="P962" i="5"/>
  <c r="Q962" i="5"/>
  <c r="R962" i="5"/>
  <c r="S962" i="5"/>
  <c r="T962" i="5"/>
  <c r="U962" i="5"/>
  <c r="V962" i="5"/>
  <c r="W962" i="5"/>
  <c r="X962" i="5"/>
  <c r="B963" i="5"/>
  <c r="C963" i="5"/>
  <c r="D963" i="5"/>
  <c r="E963" i="5"/>
  <c r="F963" i="5"/>
  <c r="G963" i="5"/>
  <c r="H963" i="5"/>
  <c r="I963" i="5"/>
  <c r="J963" i="5"/>
  <c r="K963" i="5"/>
  <c r="L963" i="5"/>
  <c r="M963" i="5"/>
  <c r="N963" i="5"/>
  <c r="O963" i="5"/>
  <c r="P963" i="5"/>
  <c r="Q963" i="5"/>
  <c r="R963" i="5"/>
  <c r="S963" i="5"/>
  <c r="T963" i="5"/>
  <c r="U963" i="5"/>
  <c r="V963" i="5"/>
  <c r="W963" i="5"/>
  <c r="X963" i="5"/>
  <c r="B964" i="5"/>
  <c r="C964" i="5"/>
  <c r="D964" i="5"/>
  <c r="E964" i="5"/>
  <c r="F964" i="5"/>
  <c r="G964" i="5"/>
  <c r="H964" i="5"/>
  <c r="I964" i="5"/>
  <c r="J964" i="5"/>
  <c r="K964" i="5"/>
  <c r="L964" i="5"/>
  <c r="M964" i="5"/>
  <c r="N964" i="5"/>
  <c r="O964" i="5"/>
  <c r="P964" i="5"/>
  <c r="Q964" i="5"/>
  <c r="R964" i="5"/>
  <c r="S964" i="5"/>
  <c r="T964" i="5"/>
  <c r="U964" i="5"/>
  <c r="V964" i="5"/>
  <c r="W964" i="5"/>
  <c r="X964" i="5"/>
  <c r="B965" i="5"/>
  <c r="C965" i="5"/>
  <c r="D965" i="5"/>
  <c r="E965" i="5"/>
  <c r="F965" i="5"/>
  <c r="G965" i="5"/>
  <c r="H965" i="5"/>
  <c r="I965" i="5"/>
  <c r="J965" i="5"/>
  <c r="K965" i="5"/>
  <c r="L965" i="5"/>
  <c r="M965" i="5"/>
  <c r="N965" i="5"/>
  <c r="O965" i="5"/>
  <c r="P965" i="5"/>
  <c r="Q965" i="5"/>
  <c r="R965" i="5"/>
  <c r="S965" i="5"/>
  <c r="T965" i="5"/>
  <c r="U965" i="5"/>
  <c r="V965" i="5"/>
  <c r="W965" i="5"/>
  <c r="X965" i="5"/>
  <c r="AC965" i="5"/>
  <c r="B966" i="5"/>
  <c r="C966" i="5"/>
  <c r="D966" i="5"/>
  <c r="E966" i="5"/>
  <c r="F966" i="5"/>
  <c r="G966" i="5"/>
  <c r="H966" i="5"/>
  <c r="I966" i="5"/>
  <c r="J966" i="5"/>
  <c r="K966" i="5"/>
  <c r="L966" i="5"/>
  <c r="M966" i="5"/>
  <c r="AC966" i="5" s="1"/>
  <c r="N966" i="5"/>
  <c r="O966" i="5"/>
  <c r="P966" i="5"/>
  <c r="Q966" i="5"/>
  <c r="R966" i="5"/>
  <c r="S966" i="5"/>
  <c r="T966" i="5"/>
  <c r="U966" i="5"/>
  <c r="V966" i="5"/>
  <c r="W966" i="5"/>
  <c r="X966" i="5"/>
  <c r="AB966" i="5"/>
  <c r="B967" i="5"/>
  <c r="C967" i="5"/>
  <c r="D967" i="5"/>
  <c r="E967" i="5"/>
  <c r="F967" i="5"/>
  <c r="G967" i="5"/>
  <c r="H967" i="5"/>
  <c r="AB967" i="5" s="1"/>
  <c r="I967" i="5"/>
  <c r="J967" i="5"/>
  <c r="K967" i="5"/>
  <c r="L967" i="5"/>
  <c r="M967" i="5"/>
  <c r="N967" i="5"/>
  <c r="O967" i="5"/>
  <c r="P967" i="5"/>
  <c r="AC967" i="5" s="1"/>
  <c r="Q967" i="5"/>
  <c r="R967" i="5"/>
  <c r="S967" i="5"/>
  <c r="T967" i="5"/>
  <c r="U967" i="5"/>
  <c r="V967" i="5"/>
  <c r="W967" i="5"/>
  <c r="X967" i="5"/>
  <c r="B968" i="5"/>
  <c r="C968" i="5"/>
  <c r="D968" i="5"/>
  <c r="E968" i="5"/>
  <c r="F968" i="5"/>
  <c r="G968" i="5"/>
  <c r="H968" i="5"/>
  <c r="I968" i="5"/>
  <c r="J968" i="5"/>
  <c r="K968" i="5"/>
  <c r="L968" i="5"/>
  <c r="M968" i="5"/>
  <c r="N968" i="5"/>
  <c r="O968" i="5"/>
  <c r="P968" i="5"/>
  <c r="Q968" i="5"/>
  <c r="R968" i="5"/>
  <c r="S968" i="5"/>
  <c r="T968" i="5"/>
  <c r="U968" i="5"/>
  <c r="V968" i="5"/>
  <c r="W968" i="5"/>
  <c r="X968" i="5"/>
  <c r="B969" i="5"/>
  <c r="C969" i="5"/>
  <c r="D969" i="5"/>
  <c r="E969" i="5"/>
  <c r="F969" i="5"/>
  <c r="G969" i="5"/>
  <c r="H969" i="5"/>
  <c r="I969" i="5"/>
  <c r="J969" i="5"/>
  <c r="K969" i="5"/>
  <c r="L969" i="5"/>
  <c r="M969" i="5"/>
  <c r="N969" i="5"/>
  <c r="AC969" i="5" s="1"/>
  <c r="O969" i="5"/>
  <c r="P969" i="5"/>
  <c r="Q969" i="5"/>
  <c r="R969" i="5"/>
  <c r="S969" i="5"/>
  <c r="T969" i="5"/>
  <c r="U969" i="5"/>
  <c r="V969" i="5"/>
  <c r="W969" i="5"/>
  <c r="X969" i="5"/>
  <c r="B970" i="5"/>
  <c r="C970" i="5"/>
  <c r="D970" i="5"/>
  <c r="E970" i="5"/>
  <c r="F970" i="5"/>
  <c r="G970" i="5"/>
  <c r="H970" i="5"/>
  <c r="I970" i="5"/>
  <c r="J970" i="5"/>
  <c r="K970" i="5"/>
  <c r="L970" i="5"/>
  <c r="M970" i="5"/>
  <c r="N970" i="5"/>
  <c r="O970" i="5"/>
  <c r="P970" i="5"/>
  <c r="Q970" i="5"/>
  <c r="R970" i="5"/>
  <c r="S970" i="5"/>
  <c r="T970" i="5"/>
  <c r="U970" i="5"/>
  <c r="V970" i="5"/>
  <c r="W970" i="5"/>
  <c r="X970" i="5"/>
  <c r="B971" i="5"/>
  <c r="C971" i="5"/>
  <c r="D971" i="5"/>
  <c r="E971" i="5"/>
  <c r="F971" i="5"/>
  <c r="G971" i="5"/>
  <c r="H971" i="5"/>
  <c r="I971" i="5"/>
  <c r="J971" i="5"/>
  <c r="K971" i="5"/>
  <c r="L971" i="5"/>
  <c r="M971" i="5"/>
  <c r="N971" i="5"/>
  <c r="O971" i="5"/>
  <c r="P971" i="5"/>
  <c r="Q971" i="5"/>
  <c r="R971" i="5"/>
  <c r="S971" i="5"/>
  <c r="T971" i="5"/>
  <c r="U971" i="5"/>
  <c r="V971" i="5"/>
  <c r="W971" i="5"/>
  <c r="X971" i="5"/>
  <c r="B972" i="5"/>
  <c r="C972" i="5"/>
  <c r="D972" i="5"/>
  <c r="E972" i="5"/>
  <c r="F972" i="5"/>
  <c r="G972" i="5"/>
  <c r="H972" i="5"/>
  <c r="I972" i="5"/>
  <c r="J972" i="5"/>
  <c r="K972" i="5"/>
  <c r="L972" i="5"/>
  <c r="M972" i="5"/>
  <c r="N972" i="5"/>
  <c r="O972" i="5"/>
  <c r="P972" i="5"/>
  <c r="Q972" i="5"/>
  <c r="R972" i="5"/>
  <c r="S972" i="5"/>
  <c r="T972" i="5"/>
  <c r="U972" i="5"/>
  <c r="V972" i="5"/>
  <c r="W972" i="5"/>
  <c r="X972" i="5"/>
  <c r="B973" i="5"/>
  <c r="C973" i="5"/>
  <c r="D973" i="5"/>
  <c r="E973" i="5"/>
  <c r="F973" i="5"/>
  <c r="G973" i="5"/>
  <c r="H973" i="5"/>
  <c r="I973" i="5"/>
  <c r="J973" i="5"/>
  <c r="K973" i="5"/>
  <c r="L973" i="5"/>
  <c r="M973" i="5"/>
  <c r="N973" i="5"/>
  <c r="AC973" i="5" s="1"/>
  <c r="O973" i="5"/>
  <c r="P973" i="5"/>
  <c r="Q973" i="5"/>
  <c r="R973" i="5"/>
  <c r="S973" i="5"/>
  <c r="T973" i="5"/>
  <c r="U973" i="5"/>
  <c r="V973" i="5"/>
  <c r="W973" i="5"/>
  <c r="X973" i="5"/>
  <c r="B974" i="5"/>
  <c r="AB974" i="5" s="1"/>
  <c r="C974" i="5"/>
  <c r="D974" i="5"/>
  <c r="E974" i="5"/>
  <c r="F974" i="5"/>
  <c r="G974" i="5"/>
  <c r="H974" i="5"/>
  <c r="I974" i="5"/>
  <c r="J974" i="5"/>
  <c r="K974" i="5"/>
  <c r="L974" i="5"/>
  <c r="M974" i="5"/>
  <c r="N974" i="5"/>
  <c r="O974" i="5"/>
  <c r="P974" i="5"/>
  <c r="Q974" i="5"/>
  <c r="R974" i="5"/>
  <c r="S974" i="5"/>
  <c r="T974" i="5"/>
  <c r="U974" i="5"/>
  <c r="V974" i="5"/>
  <c r="W974" i="5"/>
  <c r="X974" i="5"/>
  <c r="AC974" i="5"/>
  <c r="B975" i="5"/>
  <c r="C975" i="5"/>
  <c r="D975" i="5"/>
  <c r="E975" i="5"/>
  <c r="F975" i="5"/>
  <c r="G975" i="5"/>
  <c r="H975" i="5"/>
  <c r="I975" i="5"/>
  <c r="J975" i="5"/>
  <c r="K975" i="5"/>
  <c r="L975" i="5"/>
  <c r="M975" i="5"/>
  <c r="N975" i="5"/>
  <c r="O975" i="5"/>
  <c r="P975" i="5"/>
  <c r="Q975" i="5"/>
  <c r="R975" i="5"/>
  <c r="S975" i="5"/>
  <c r="T975" i="5"/>
  <c r="U975" i="5"/>
  <c r="V975" i="5"/>
  <c r="W975" i="5"/>
  <c r="X975" i="5"/>
  <c r="B976" i="5"/>
  <c r="C976" i="5"/>
  <c r="D976" i="5"/>
  <c r="E976" i="5"/>
  <c r="F976" i="5"/>
  <c r="G976" i="5"/>
  <c r="H976" i="5"/>
  <c r="I976" i="5"/>
  <c r="J976" i="5"/>
  <c r="K976" i="5"/>
  <c r="L976" i="5"/>
  <c r="M976" i="5"/>
  <c r="N976" i="5"/>
  <c r="O976" i="5"/>
  <c r="P976" i="5"/>
  <c r="Q976" i="5"/>
  <c r="R976" i="5"/>
  <c r="S976" i="5"/>
  <c r="T976" i="5"/>
  <c r="U976" i="5"/>
  <c r="V976" i="5"/>
  <c r="W976" i="5"/>
  <c r="X976" i="5"/>
  <c r="B977" i="5"/>
  <c r="C977" i="5"/>
  <c r="D977" i="5"/>
  <c r="E977" i="5"/>
  <c r="F977" i="5"/>
  <c r="G977" i="5"/>
  <c r="AB977" i="5" s="1"/>
  <c r="H977" i="5"/>
  <c r="I977" i="5"/>
  <c r="J977" i="5"/>
  <c r="K977" i="5"/>
  <c r="L977" i="5"/>
  <c r="M977" i="5"/>
  <c r="N977" i="5"/>
  <c r="O977" i="5"/>
  <c r="P977" i="5"/>
  <c r="Q977" i="5"/>
  <c r="R977" i="5"/>
  <c r="S977" i="5"/>
  <c r="T977" i="5"/>
  <c r="U977" i="5"/>
  <c r="V977" i="5"/>
  <c r="W977" i="5"/>
  <c r="X977" i="5"/>
  <c r="B978" i="5"/>
  <c r="C978" i="5"/>
  <c r="D978" i="5"/>
  <c r="E978" i="5"/>
  <c r="F978" i="5"/>
  <c r="G978" i="5"/>
  <c r="H978" i="5"/>
  <c r="I978" i="5"/>
  <c r="J978" i="5"/>
  <c r="K978" i="5"/>
  <c r="L978" i="5"/>
  <c r="M978" i="5"/>
  <c r="N978" i="5"/>
  <c r="O978" i="5"/>
  <c r="P978" i="5"/>
  <c r="Q978" i="5"/>
  <c r="R978" i="5"/>
  <c r="S978" i="5"/>
  <c r="T978" i="5"/>
  <c r="U978" i="5"/>
  <c r="V978" i="5"/>
  <c r="W978" i="5"/>
  <c r="X978" i="5"/>
  <c r="B979" i="5"/>
  <c r="C979" i="5"/>
  <c r="D979" i="5"/>
  <c r="E979" i="5"/>
  <c r="F979" i="5"/>
  <c r="G979" i="5"/>
  <c r="H979" i="5"/>
  <c r="I979" i="5"/>
  <c r="J979" i="5"/>
  <c r="K979" i="5"/>
  <c r="L979" i="5"/>
  <c r="M979" i="5"/>
  <c r="N979" i="5"/>
  <c r="O979" i="5"/>
  <c r="P979" i="5"/>
  <c r="Q979" i="5"/>
  <c r="R979" i="5"/>
  <c r="S979" i="5"/>
  <c r="T979" i="5"/>
  <c r="U979" i="5"/>
  <c r="V979" i="5"/>
  <c r="W979" i="5"/>
  <c r="X979" i="5"/>
  <c r="B980" i="5"/>
  <c r="C980" i="5"/>
  <c r="D980" i="5"/>
  <c r="E980" i="5"/>
  <c r="F980" i="5"/>
  <c r="G980" i="5"/>
  <c r="H980" i="5"/>
  <c r="I980" i="5"/>
  <c r="J980" i="5"/>
  <c r="K980" i="5"/>
  <c r="L980" i="5"/>
  <c r="M980" i="5"/>
  <c r="N980" i="5"/>
  <c r="O980" i="5"/>
  <c r="P980" i="5"/>
  <c r="Q980" i="5"/>
  <c r="R980" i="5"/>
  <c r="S980" i="5"/>
  <c r="T980" i="5"/>
  <c r="U980" i="5"/>
  <c r="V980" i="5"/>
  <c r="W980" i="5"/>
  <c r="X980" i="5"/>
  <c r="B981" i="5"/>
  <c r="C981" i="5"/>
  <c r="D981" i="5"/>
  <c r="E981" i="5"/>
  <c r="F981" i="5"/>
  <c r="G981" i="5"/>
  <c r="H981" i="5"/>
  <c r="I981" i="5"/>
  <c r="J981" i="5"/>
  <c r="K981" i="5"/>
  <c r="L981" i="5"/>
  <c r="M981" i="5"/>
  <c r="N981" i="5"/>
  <c r="O981" i="5"/>
  <c r="AC981" i="5" s="1"/>
  <c r="P981" i="5"/>
  <c r="Q981" i="5"/>
  <c r="R981" i="5"/>
  <c r="S981" i="5"/>
  <c r="T981" i="5"/>
  <c r="U981" i="5"/>
  <c r="V981" i="5"/>
  <c r="W981" i="5"/>
  <c r="X981" i="5"/>
  <c r="B982" i="5"/>
  <c r="C982" i="5"/>
  <c r="D982" i="5"/>
  <c r="E982" i="5"/>
  <c r="F982" i="5"/>
  <c r="G982" i="5"/>
  <c r="H982" i="5"/>
  <c r="I982" i="5"/>
  <c r="J982" i="5"/>
  <c r="K982" i="5"/>
  <c r="L982" i="5"/>
  <c r="M982" i="5"/>
  <c r="N982" i="5"/>
  <c r="O982" i="5"/>
  <c r="AC982" i="5" s="1"/>
  <c r="P982" i="5"/>
  <c r="Q982" i="5"/>
  <c r="R982" i="5"/>
  <c r="S982" i="5"/>
  <c r="T982" i="5"/>
  <c r="U982" i="5"/>
  <c r="V982" i="5"/>
  <c r="W982" i="5"/>
  <c r="X982" i="5"/>
  <c r="B983" i="5"/>
  <c r="C983" i="5"/>
  <c r="AB983" i="5" s="1"/>
  <c r="D983" i="5"/>
  <c r="E983" i="5"/>
  <c r="F983" i="5"/>
  <c r="G983" i="5"/>
  <c r="H983" i="5"/>
  <c r="I983" i="5"/>
  <c r="J983" i="5"/>
  <c r="K983" i="5"/>
  <c r="L983" i="5"/>
  <c r="M983" i="5"/>
  <c r="N983" i="5"/>
  <c r="O983" i="5"/>
  <c r="P983" i="5"/>
  <c r="Q983" i="5"/>
  <c r="R983" i="5"/>
  <c r="S983" i="5"/>
  <c r="T983" i="5"/>
  <c r="U983" i="5"/>
  <c r="V983" i="5"/>
  <c r="W983" i="5"/>
  <c r="X983" i="5"/>
  <c r="B984" i="5"/>
  <c r="C984" i="5"/>
  <c r="D984" i="5"/>
  <c r="E984" i="5"/>
  <c r="F984" i="5"/>
  <c r="G984" i="5"/>
  <c r="H984" i="5"/>
  <c r="I984" i="5"/>
  <c r="J984" i="5"/>
  <c r="K984" i="5"/>
  <c r="L984" i="5"/>
  <c r="M984" i="5"/>
  <c r="N984" i="5"/>
  <c r="O984" i="5"/>
  <c r="P984" i="5"/>
  <c r="Q984" i="5"/>
  <c r="R984" i="5"/>
  <c r="S984" i="5"/>
  <c r="T984" i="5"/>
  <c r="U984" i="5"/>
  <c r="V984" i="5"/>
  <c r="W984" i="5"/>
  <c r="X984" i="5"/>
  <c r="B985" i="5"/>
  <c r="C985" i="5"/>
  <c r="D985" i="5"/>
  <c r="E985" i="5"/>
  <c r="F985" i="5"/>
  <c r="G985" i="5"/>
  <c r="H985" i="5"/>
  <c r="I985" i="5"/>
  <c r="J985" i="5"/>
  <c r="K985" i="5"/>
  <c r="L985" i="5"/>
  <c r="M985" i="5"/>
  <c r="N985" i="5"/>
  <c r="O985" i="5"/>
  <c r="P985" i="5"/>
  <c r="Q985" i="5"/>
  <c r="R985" i="5"/>
  <c r="S985" i="5"/>
  <c r="T985" i="5"/>
  <c r="U985" i="5"/>
  <c r="V985" i="5"/>
  <c r="W985" i="5"/>
  <c r="X985" i="5"/>
  <c r="B986" i="5"/>
  <c r="C986" i="5"/>
  <c r="D986" i="5"/>
  <c r="E986" i="5"/>
  <c r="F986" i="5"/>
  <c r="G986" i="5"/>
  <c r="H986" i="5"/>
  <c r="I986" i="5"/>
  <c r="J986" i="5"/>
  <c r="K986" i="5"/>
  <c r="L986" i="5"/>
  <c r="M986" i="5"/>
  <c r="N986" i="5"/>
  <c r="O986" i="5"/>
  <c r="P986" i="5"/>
  <c r="Q986" i="5"/>
  <c r="R986" i="5"/>
  <c r="S986" i="5"/>
  <c r="T986" i="5"/>
  <c r="U986" i="5"/>
  <c r="V986" i="5"/>
  <c r="W986" i="5"/>
  <c r="X986" i="5"/>
  <c r="B987" i="5"/>
  <c r="C987" i="5"/>
  <c r="D987" i="5"/>
  <c r="E987" i="5"/>
  <c r="F987" i="5"/>
  <c r="G987" i="5"/>
  <c r="H987" i="5"/>
  <c r="I987" i="5"/>
  <c r="J987" i="5"/>
  <c r="K987" i="5"/>
  <c r="L987" i="5"/>
  <c r="M987" i="5"/>
  <c r="N987" i="5"/>
  <c r="O987" i="5"/>
  <c r="P987" i="5"/>
  <c r="Q987" i="5"/>
  <c r="R987" i="5"/>
  <c r="S987" i="5"/>
  <c r="T987" i="5"/>
  <c r="U987" i="5"/>
  <c r="V987" i="5"/>
  <c r="W987" i="5"/>
  <c r="X987" i="5"/>
  <c r="B988" i="5"/>
  <c r="C988" i="5"/>
  <c r="D988" i="5"/>
  <c r="E988" i="5"/>
  <c r="F988" i="5"/>
  <c r="G988" i="5"/>
  <c r="H988" i="5"/>
  <c r="I988" i="5"/>
  <c r="J988" i="5"/>
  <c r="K988" i="5"/>
  <c r="L988" i="5"/>
  <c r="M988" i="5"/>
  <c r="N988" i="5"/>
  <c r="O988" i="5"/>
  <c r="P988" i="5"/>
  <c r="Q988" i="5"/>
  <c r="R988" i="5"/>
  <c r="S988" i="5"/>
  <c r="T988" i="5"/>
  <c r="U988" i="5"/>
  <c r="V988" i="5"/>
  <c r="W988" i="5"/>
  <c r="X988" i="5"/>
  <c r="B989" i="5"/>
  <c r="C989" i="5"/>
  <c r="D989" i="5"/>
  <c r="E989" i="5"/>
  <c r="F989" i="5"/>
  <c r="G989" i="5"/>
  <c r="H989" i="5"/>
  <c r="I989" i="5"/>
  <c r="J989" i="5"/>
  <c r="K989" i="5"/>
  <c r="L989" i="5"/>
  <c r="M989" i="5"/>
  <c r="N989" i="5"/>
  <c r="O989" i="5"/>
  <c r="P989" i="5"/>
  <c r="Q989" i="5"/>
  <c r="R989" i="5"/>
  <c r="S989" i="5"/>
  <c r="T989" i="5"/>
  <c r="U989" i="5"/>
  <c r="V989" i="5"/>
  <c r="W989" i="5"/>
  <c r="X989" i="5"/>
  <c r="B990" i="5"/>
  <c r="C990" i="5"/>
  <c r="D990" i="5"/>
  <c r="E990" i="5"/>
  <c r="F990" i="5"/>
  <c r="G990" i="5"/>
  <c r="H990" i="5"/>
  <c r="I990" i="5"/>
  <c r="J990" i="5"/>
  <c r="K990" i="5"/>
  <c r="L990" i="5"/>
  <c r="M990" i="5"/>
  <c r="AC990" i="5" s="1"/>
  <c r="N990" i="5"/>
  <c r="O990" i="5"/>
  <c r="P990" i="5"/>
  <c r="Q990" i="5"/>
  <c r="R990" i="5"/>
  <c r="S990" i="5"/>
  <c r="T990" i="5"/>
  <c r="U990" i="5"/>
  <c r="V990" i="5"/>
  <c r="W990" i="5"/>
  <c r="X990" i="5"/>
  <c r="B991" i="5"/>
  <c r="C991" i="5"/>
  <c r="D991" i="5"/>
  <c r="E991" i="5"/>
  <c r="F991" i="5"/>
  <c r="G991" i="5"/>
  <c r="H991" i="5"/>
  <c r="I991" i="5"/>
  <c r="J991" i="5"/>
  <c r="K991" i="5"/>
  <c r="L991" i="5"/>
  <c r="M991" i="5"/>
  <c r="N991" i="5"/>
  <c r="AC991" i="5" s="1"/>
  <c r="O991" i="5"/>
  <c r="P991" i="5"/>
  <c r="Q991" i="5"/>
  <c r="R991" i="5"/>
  <c r="S991" i="5"/>
  <c r="T991" i="5"/>
  <c r="U991" i="5"/>
  <c r="V991" i="5"/>
  <c r="W991" i="5"/>
  <c r="X991" i="5"/>
  <c r="B992" i="5"/>
  <c r="C992" i="5"/>
  <c r="D992" i="5"/>
  <c r="E992" i="5"/>
  <c r="F992" i="5"/>
  <c r="G992" i="5"/>
  <c r="H992" i="5"/>
  <c r="I992" i="5"/>
  <c r="J992" i="5"/>
  <c r="K992" i="5"/>
  <c r="L992" i="5"/>
  <c r="M992" i="5"/>
  <c r="N992" i="5"/>
  <c r="O992" i="5"/>
  <c r="P992" i="5"/>
  <c r="Q992" i="5"/>
  <c r="R992" i="5"/>
  <c r="S992" i="5"/>
  <c r="T992" i="5"/>
  <c r="U992" i="5"/>
  <c r="V992" i="5"/>
  <c r="W992" i="5"/>
  <c r="X992" i="5"/>
  <c r="B993" i="5"/>
  <c r="C993" i="5"/>
  <c r="D993" i="5"/>
  <c r="E993" i="5"/>
  <c r="F993" i="5"/>
  <c r="G993" i="5"/>
  <c r="H993" i="5"/>
  <c r="I993" i="5"/>
  <c r="J993" i="5"/>
  <c r="K993" i="5"/>
  <c r="L993" i="5"/>
  <c r="M993" i="5"/>
  <c r="N993" i="5"/>
  <c r="O993" i="5"/>
  <c r="AC993" i="5" s="1"/>
  <c r="P993" i="5"/>
  <c r="Q993" i="5"/>
  <c r="R993" i="5"/>
  <c r="S993" i="5"/>
  <c r="T993" i="5"/>
  <c r="U993" i="5"/>
  <c r="V993" i="5"/>
  <c r="W993" i="5"/>
  <c r="X993" i="5"/>
  <c r="B994" i="5"/>
  <c r="C994" i="5"/>
  <c r="AB994" i="5" s="1"/>
  <c r="D994" i="5"/>
  <c r="E994" i="5"/>
  <c r="F994" i="5"/>
  <c r="G994" i="5"/>
  <c r="H994" i="5"/>
  <c r="I994" i="5"/>
  <c r="J994" i="5"/>
  <c r="K994" i="5"/>
  <c r="L994" i="5"/>
  <c r="M994" i="5"/>
  <c r="N994" i="5"/>
  <c r="O994" i="5"/>
  <c r="P994" i="5"/>
  <c r="Q994" i="5"/>
  <c r="R994" i="5"/>
  <c r="S994" i="5"/>
  <c r="T994" i="5"/>
  <c r="U994" i="5"/>
  <c r="V994" i="5"/>
  <c r="W994" i="5"/>
  <c r="X994" i="5"/>
  <c r="B995" i="5"/>
  <c r="C995" i="5"/>
  <c r="D995" i="5"/>
  <c r="E995" i="5"/>
  <c r="F995" i="5"/>
  <c r="G995" i="5"/>
  <c r="H995" i="5"/>
  <c r="I995" i="5"/>
  <c r="J995" i="5"/>
  <c r="K995" i="5"/>
  <c r="L995" i="5"/>
  <c r="M995" i="5"/>
  <c r="N995" i="5"/>
  <c r="O995" i="5"/>
  <c r="P995" i="5"/>
  <c r="Q995" i="5"/>
  <c r="R995" i="5"/>
  <c r="S995" i="5"/>
  <c r="T995" i="5"/>
  <c r="U995" i="5"/>
  <c r="V995" i="5"/>
  <c r="W995" i="5"/>
  <c r="X995" i="5"/>
  <c r="B996" i="5"/>
  <c r="C996" i="5"/>
  <c r="D996" i="5"/>
  <c r="E996" i="5"/>
  <c r="F996" i="5"/>
  <c r="G996" i="5"/>
  <c r="H996" i="5"/>
  <c r="I996" i="5"/>
  <c r="J996" i="5"/>
  <c r="K996" i="5"/>
  <c r="L996" i="5"/>
  <c r="M996" i="5"/>
  <c r="N996" i="5"/>
  <c r="O996" i="5"/>
  <c r="P996" i="5"/>
  <c r="Q996" i="5"/>
  <c r="R996" i="5"/>
  <c r="S996" i="5"/>
  <c r="T996" i="5"/>
  <c r="U996" i="5"/>
  <c r="V996" i="5"/>
  <c r="W996" i="5"/>
  <c r="X996" i="5"/>
  <c r="B997" i="5"/>
  <c r="C997" i="5"/>
  <c r="D997" i="5"/>
  <c r="E997" i="5"/>
  <c r="F997" i="5"/>
  <c r="G997" i="5"/>
  <c r="H997" i="5"/>
  <c r="I997" i="5"/>
  <c r="J997" i="5"/>
  <c r="K997" i="5"/>
  <c r="L997" i="5"/>
  <c r="M997" i="5"/>
  <c r="N997" i="5"/>
  <c r="O997" i="5"/>
  <c r="P997" i="5"/>
  <c r="Q997" i="5"/>
  <c r="R997" i="5"/>
  <c r="S997" i="5"/>
  <c r="T997" i="5"/>
  <c r="U997" i="5"/>
  <c r="V997" i="5"/>
  <c r="W997" i="5"/>
  <c r="X997" i="5"/>
  <c r="B998" i="5"/>
  <c r="C998" i="5"/>
  <c r="D998" i="5"/>
  <c r="E998" i="5"/>
  <c r="F998" i="5"/>
  <c r="G998" i="5"/>
  <c r="H998" i="5"/>
  <c r="I998" i="5"/>
  <c r="J998" i="5"/>
  <c r="K998" i="5"/>
  <c r="L998" i="5"/>
  <c r="M998" i="5"/>
  <c r="N998" i="5"/>
  <c r="O998" i="5"/>
  <c r="P998" i="5"/>
  <c r="Q998" i="5"/>
  <c r="R998" i="5"/>
  <c r="S998" i="5"/>
  <c r="T998" i="5"/>
  <c r="U998" i="5"/>
  <c r="V998" i="5"/>
  <c r="W998" i="5"/>
  <c r="X998" i="5"/>
  <c r="B999" i="5"/>
  <c r="C999" i="5"/>
  <c r="D999" i="5"/>
  <c r="E999" i="5"/>
  <c r="F999" i="5"/>
  <c r="G999" i="5"/>
  <c r="H999" i="5"/>
  <c r="I999" i="5"/>
  <c r="J999" i="5"/>
  <c r="K999" i="5"/>
  <c r="L999" i="5"/>
  <c r="M999" i="5"/>
  <c r="N999" i="5"/>
  <c r="O999" i="5"/>
  <c r="AC999" i="5" s="1"/>
  <c r="P999" i="5"/>
  <c r="Q999" i="5"/>
  <c r="R999" i="5"/>
  <c r="S999" i="5"/>
  <c r="T999" i="5"/>
  <c r="U999" i="5"/>
  <c r="V999" i="5"/>
  <c r="W999" i="5"/>
  <c r="X999" i="5"/>
  <c r="B1000" i="5"/>
  <c r="C1000" i="5"/>
  <c r="AB1000" i="5" s="1"/>
  <c r="D1000" i="5"/>
  <c r="E1000" i="5"/>
  <c r="F1000" i="5"/>
  <c r="G1000" i="5"/>
  <c r="H1000" i="5"/>
  <c r="I1000" i="5"/>
  <c r="J1000" i="5"/>
  <c r="K1000" i="5"/>
  <c r="L1000" i="5"/>
  <c r="M1000" i="5"/>
  <c r="N1000" i="5"/>
  <c r="O1000" i="5"/>
  <c r="AC1000" i="5" s="1"/>
  <c r="P1000" i="5"/>
  <c r="Q1000" i="5"/>
  <c r="R1000" i="5"/>
  <c r="S1000" i="5"/>
  <c r="T1000" i="5"/>
  <c r="U1000" i="5"/>
  <c r="V1000" i="5"/>
  <c r="W1000" i="5"/>
  <c r="X1000" i="5"/>
  <c r="B1001" i="5"/>
  <c r="C1001" i="5"/>
  <c r="D1001" i="5"/>
  <c r="E1001" i="5"/>
  <c r="F1001" i="5"/>
  <c r="G1001" i="5"/>
  <c r="H1001" i="5"/>
  <c r="I1001" i="5"/>
  <c r="J1001" i="5"/>
  <c r="K1001" i="5"/>
  <c r="L1001" i="5"/>
  <c r="M1001" i="5"/>
  <c r="N1001" i="5"/>
  <c r="O1001" i="5"/>
  <c r="P1001" i="5"/>
  <c r="Q1001" i="5"/>
  <c r="R1001" i="5"/>
  <c r="S1001" i="5"/>
  <c r="T1001" i="5"/>
  <c r="U1001" i="5"/>
  <c r="V1001" i="5"/>
  <c r="W1001" i="5"/>
  <c r="X1001" i="5"/>
  <c r="B1002" i="5"/>
  <c r="C1002" i="5"/>
  <c r="D1002" i="5"/>
  <c r="E1002" i="5"/>
  <c r="F1002" i="5"/>
  <c r="G1002" i="5"/>
  <c r="AB1002" i="5" s="1"/>
  <c r="H1002" i="5"/>
  <c r="I1002" i="5"/>
  <c r="J1002" i="5"/>
  <c r="K1002" i="5"/>
  <c r="L1002" i="5"/>
  <c r="M1002" i="5"/>
  <c r="N1002" i="5"/>
  <c r="O1002" i="5"/>
  <c r="P1002" i="5"/>
  <c r="Q1002" i="5"/>
  <c r="R1002" i="5"/>
  <c r="S1002" i="5"/>
  <c r="T1002" i="5"/>
  <c r="U1002" i="5"/>
  <c r="V1002" i="5"/>
  <c r="W1002" i="5"/>
  <c r="X1002" i="5"/>
  <c r="B1003" i="5"/>
  <c r="C1003" i="5"/>
  <c r="D1003" i="5"/>
  <c r="E1003" i="5"/>
  <c r="F1003" i="5"/>
  <c r="G1003" i="5"/>
  <c r="H1003" i="5"/>
  <c r="I1003" i="5"/>
  <c r="J1003" i="5"/>
  <c r="K1003" i="5"/>
  <c r="L1003" i="5"/>
  <c r="M1003" i="5"/>
  <c r="N1003" i="5"/>
  <c r="O1003" i="5"/>
  <c r="P1003" i="5"/>
  <c r="Q1003" i="5"/>
  <c r="R1003" i="5"/>
  <c r="S1003" i="5"/>
  <c r="T1003" i="5"/>
  <c r="U1003" i="5"/>
  <c r="V1003" i="5"/>
  <c r="W1003" i="5"/>
  <c r="X1003" i="5"/>
  <c r="B1004" i="5"/>
  <c r="C1004" i="5"/>
  <c r="D1004" i="5"/>
  <c r="E1004" i="5"/>
  <c r="F1004" i="5"/>
  <c r="G1004" i="5"/>
  <c r="H1004" i="5"/>
  <c r="I1004" i="5"/>
  <c r="J1004" i="5"/>
  <c r="K1004" i="5"/>
  <c r="L1004" i="5"/>
  <c r="M1004" i="5"/>
  <c r="N1004" i="5"/>
  <c r="O1004" i="5"/>
  <c r="P1004" i="5"/>
  <c r="Q1004" i="5"/>
  <c r="R1004" i="5"/>
  <c r="S1004" i="5"/>
  <c r="T1004" i="5"/>
  <c r="U1004" i="5"/>
  <c r="V1004" i="5"/>
  <c r="W1004" i="5"/>
  <c r="X1004" i="5"/>
  <c r="AC1004" i="5"/>
  <c r="B1005" i="5"/>
  <c r="C1005" i="5"/>
  <c r="D1005" i="5"/>
  <c r="E1005" i="5"/>
  <c r="F1005" i="5"/>
  <c r="G1005" i="5"/>
  <c r="H1005" i="5"/>
  <c r="I1005" i="5"/>
  <c r="J1005" i="5"/>
  <c r="K1005" i="5"/>
  <c r="L1005" i="5"/>
  <c r="M1005" i="5"/>
  <c r="N1005" i="5"/>
  <c r="O1005" i="5"/>
  <c r="P1005" i="5"/>
  <c r="Q1005" i="5"/>
  <c r="R1005" i="5"/>
  <c r="S1005" i="5"/>
  <c r="T1005" i="5"/>
  <c r="U1005" i="5"/>
  <c r="V1005" i="5"/>
  <c r="W1005" i="5"/>
  <c r="X1005" i="5"/>
  <c r="AC1005" i="5"/>
  <c r="B1006" i="5"/>
  <c r="C1006" i="5"/>
  <c r="D1006" i="5"/>
  <c r="E1006" i="5"/>
  <c r="F1006" i="5"/>
  <c r="G1006" i="5"/>
  <c r="H1006" i="5"/>
  <c r="I1006" i="5"/>
  <c r="J1006" i="5"/>
  <c r="K1006" i="5"/>
  <c r="L1006" i="5"/>
  <c r="M1006" i="5"/>
  <c r="N1006" i="5"/>
  <c r="O1006" i="5"/>
  <c r="P1006" i="5"/>
  <c r="Q1006" i="5"/>
  <c r="R1006" i="5"/>
  <c r="S1006" i="5"/>
  <c r="T1006" i="5"/>
  <c r="U1006" i="5"/>
  <c r="V1006" i="5"/>
  <c r="W1006" i="5"/>
  <c r="X1006" i="5"/>
  <c r="AC1006" i="5"/>
  <c r="B1007" i="5"/>
  <c r="C1007" i="5"/>
  <c r="D1007" i="5"/>
  <c r="E1007" i="5"/>
  <c r="F1007" i="5"/>
  <c r="G1007" i="5"/>
  <c r="H1007" i="5"/>
  <c r="I1007" i="5"/>
  <c r="J1007" i="5"/>
  <c r="K1007" i="5"/>
  <c r="L1007" i="5"/>
  <c r="M1007" i="5"/>
  <c r="N1007" i="5"/>
  <c r="O1007" i="5"/>
  <c r="P1007" i="5"/>
  <c r="Q1007" i="5"/>
  <c r="R1007" i="5"/>
  <c r="S1007" i="5"/>
  <c r="T1007" i="5"/>
  <c r="U1007" i="5"/>
  <c r="V1007" i="5"/>
  <c r="W1007" i="5"/>
  <c r="X1007" i="5"/>
  <c r="AB1007" i="5"/>
  <c r="B1008" i="5"/>
  <c r="C1008" i="5"/>
  <c r="D1008" i="5"/>
  <c r="E1008" i="5"/>
  <c r="F1008" i="5"/>
  <c r="G1008" i="5"/>
  <c r="H1008" i="5"/>
  <c r="I1008" i="5"/>
  <c r="J1008" i="5"/>
  <c r="K1008" i="5"/>
  <c r="L1008" i="5"/>
  <c r="M1008" i="5"/>
  <c r="N1008" i="5"/>
  <c r="O1008" i="5"/>
  <c r="P1008" i="5"/>
  <c r="Q1008" i="5"/>
  <c r="R1008" i="5"/>
  <c r="S1008" i="5"/>
  <c r="T1008" i="5"/>
  <c r="U1008" i="5"/>
  <c r="V1008" i="5"/>
  <c r="W1008" i="5"/>
  <c r="X1008" i="5"/>
  <c r="B1009" i="5"/>
  <c r="C1009" i="5"/>
  <c r="D1009" i="5"/>
  <c r="E1009" i="5"/>
  <c r="F1009" i="5"/>
  <c r="G1009" i="5"/>
  <c r="H1009" i="5"/>
  <c r="I1009" i="5"/>
  <c r="J1009" i="5"/>
  <c r="K1009" i="5"/>
  <c r="L1009" i="5"/>
  <c r="M1009" i="5"/>
  <c r="N1009" i="5"/>
  <c r="O1009" i="5"/>
  <c r="P1009" i="5"/>
  <c r="Q1009" i="5"/>
  <c r="R1009" i="5"/>
  <c r="S1009" i="5"/>
  <c r="T1009" i="5"/>
  <c r="U1009" i="5"/>
  <c r="V1009" i="5"/>
  <c r="W1009" i="5"/>
  <c r="X1009" i="5"/>
  <c r="B1010" i="5"/>
  <c r="C1010" i="5"/>
  <c r="D1010" i="5"/>
  <c r="E1010" i="5"/>
  <c r="F1010" i="5"/>
  <c r="G1010" i="5"/>
  <c r="H1010" i="5"/>
  <c r="I1010" i="5"/>
  <c r="J1010" i="5"/>
  <c r="K1010" i="5"/>
  <c r="L1010" i="5"/>
  <c r="M1010" i="5"/>
  <c r="N1010" i="5"/>
  <c r="O1010" i="5"/>
  <c r="P1010" i="5"/>
  <c r="Q1010" i="5"/>
  <c r="R1010" i="5"/>
  <c r="S1010" i="5"/>
  <c r="T1010" i="5"/>
  <c r="U1010" i="5"/>
  <c r="V1010" i="5"/>
  <c r="W1010" i="5"/>
  <c r="X1010" i="5"/>
  <c r="B1011" i="5"/>
  <c r="C1011" i="5"/>
  <c r="D1011" i="5"/>
  <c r="E1011" i="5"/>
  <c r="F1011" i="5"/>
  <c r="G1011" i="5"/>
  <c r="H1011" i="5"/>
  <c r="I1011" i="5"/>
  <c r="J1011" i="5"/>
  <c r="K1011" i="5"/>
  <c r="L1011" i="5"/>
  <c r="M1011" i="5"/>
  <c r="N1011" i="5"/>
  <c r="O1011" i="5"/>
  <c r="P1011" i="5"/>
  <c r="Q1011" i="5"/>
  <c r="R1011" i="5"/>
  <c r="S1011" i="5"/>
  <c r="T1011" i="5"/>
  <c r="U1011" i="5"/>
  <c r="V1011" i="5"/>
  <c r="W1011" i="5"/>
  <c r="X1011" i="5"/>
  <c r="B1012" i="5"/>
  <c r="C1012" i="5"/>
  <c r="D1012" i="5"/>
  <c r="E1012" i="5"/>
  <c r="F1012" i="5"/>
  <c r="G1012" i="5"/>
  <c r="H1012" i="5"/>
  <c r="I1012" i="5"/>
  <c r="J1012" i="5"/>
  <c r="K1012" i="5"/>
  <c r="L1012" i="5"/>
  <c r="M1012" i="5"/>
  <c r="N1012" i="5"/>
  <c r="O1012" i="5"/>
  <c r="P1012" i="5"/>
  <c r="Q1012" i="5"/>
  <c r="R1012" i="5"/>
  <c r="S1012" i="5"/>
  <c r="T1012" i="5"/>
  <c r="U1012" i="5"/>
  <c r="V1012" i="5"/>
  <c r="W1012" i="5"/>
  <c r="X1012" i="5"/>
  <c r="B1013" i="5"/>
  <c r="C1013" i="5"/>
  <c r="D1013" i="5"/>
  <c r="E1013" i="5"/>
  <c r="F1013" i="5"/>
  <c r="G1013" i="5"/>
  <c r="H1013" i="5"/>
  <c r="I1013" i="5"/>
  <c r="J1013" i="5"/>
  <c r="K1013" i="5"/>
  <c r="L1013" i="5"/>
  <c r="M1013" i="5"/>
  <c r="N1013" i="5"/>
  <c r="O1013" i="5"/>
  <c r="P1013" i="5"/>
  <c r="Q1013" i="5"/>
  <c r="R1013" i="5"/>
  <c r="S1013" i="5"/>
  <c r="T1013" i="5"/>
  <c r="U1013" i="5"/>
  <c r="V1013" i="5"/>
  <c r="W1013" i="5"/>
  <c r="X1013" i="5"/>
  <c r="B1014" i="5"/>
  <c r="C1014" i="5"/>
  <c r="D1014" i="5"/>
  <c r="E1014" i="5"/>
  <c r="F1014" i="5"/>
  <c r="G1014" i="5"/>
  <c r="H1014" i="5"/>
  <c r="I1014" i="5"/>
  <c r="J1014" i="5"/>
  <c r="K1014" i="5"/>
  <c r="L1014" i="5"/>
  <c r="M1014" i="5"/>
  <c r="N1014" i="5"/>
  <c r="O1014" i="5"/>
  <c r="P1014" i="5"/>
  <c r="Q1014" i="5"/>
  <c r="R1014" i="5"/>
  <c r="S1014" i="5"/>
  <c r="T1014" i="5"/>
  <c r="U1014" i="5"/>
  <c r="V1014" i="5"/>
  <c r="W1014" i="5"/>
  <c r="X1014" i="5"/>
  <c r="B1015" i="5"/>
  <c r="C1015" i="5"/>
  <c r="D1015" i="5"/>
  <c r="E1015" i="5"/>
  <c r="F1015" i="5"/>
  <c r="G1015" i="5"/>
  <c r="H1015" i="5"/>
  <c r="I1015" i="5"/>
  <c r="J1015" i="5"/>
  <c r="K1015" i="5"/>
  <c r="L1015" i="5"/>
  <c r="M1015" i="5"/>
  <c r="N1015" i="5"/>
  <c r="O1015" i="5"/>
  <c r="P1015" i="5"/>
  <c r="AC1015" i="5" s="1"/>
  <c r="Q1015" i="5"/>
  <c r="R1015" i="5"/>
  <c r="S1015" i="5"/>
  <c r="T1015" i="5"/>
  <c r="U1015" i="5"/>
  <c r="V1015" i="5"/>
  <c r="W1015" i="5"/>
  <c r="X1015" i="5"/>
  <c r="B1016" i="5"/>
  <c r="C1016" i="5"/>
  <c r="D1016" i="5"/>
  <c r="E1016" i="5"/>
  <c r="F1016" i="5"/>
  <c r="G1016" i="5"/>
  <c r="H1016" i="5"/>
  <c r="I1016" i="5"/>
  <c r="J1016" i="5"/>
  <c r="K1016" i="5"/>
  <c r="L1016" i="5"/>
  <c r="M1016" i="5"/>
  <c r="N1016" i="5"/>
  <c r="O1016" i="5"/>
  <c r="P1016" i="5"/>
  <c r="AC1016" i="5" s="1"/>
  <c r="Q1016" i="5"/>
  <c r="R1016" i="5"/>
  <c r="S1016" i="5"/>
  <c r="T1016" i="5"/>
  <c r="U1016" i="5"/>
  <c r="V1016" i="5"/>
  <c r="W1016" i="5"/>
  <c r="X1016" i="5"/>
  <c r="AB1016" i="5"/>
  <c r="B1017" i="5"/>
  <c r="C1017" i="5"/>
  <c r="D1017" i="5"/>
  <c r="E1017" i="5"/>
  <c r="F1017" i="5"/>
  <c r="G1017" i="5"/>
  <c r="H1017" i="5"/>
  <c r="I1017" i="5"/>
  <c r="J1017" i="5"/>
  <c r="K1017" i="5"/>
  <c r="L1017" i="5"/>
  <c r="M1017" i="5"/>
  <c r="N1017" i="5"/>
  <c r="O1017" i="5"/>
  <c r="P1017" i="5"/>
  <c r="Q1017" i="5"/>
  <c r="R1017" i="5"/>
  <c r="S1017" i="5"/>
  <c r="T1017" i="5"/>
  <c r="U1017" i="5"/>
  <c r="V1017" i="5"/>
  <c r="W1017" i="5"/>
  <c r="X1017" i="5"/>
  <c r="B1018" i="5"/>
  <c r="C1018" i="5"/>
  <c r="D1018" i="5"/>
  <c r="E1018" i="5"/>
  <c r="F1018" i="5"/>
  <c r="G1018" i="5"/>
  <c r="H1018" i="5"/>
  <c r="I1018" i="5"/>
  <c r="J1018" i="5"/>
  <c r="K1018" i="5"/>
  <c r="L1018" i="5"/>
  <c r="M1018" i="5"/>
  <c r="N1018" i="5"/>
  <c r="O1018" i="5"/>
  <c r="P1018" i="5"/>
  <c r="Q1018" i="5"/>
  <c r="R1018" i="5"/>
  <c r="S1018" i="5"/>
  <c r="T1018" i="5"/>
  <c r="U1018" i="5"/>
  <c r="V1018" i="5"/>
  <c r="W1018" i="5"/>
  <c r="X1018" i="5"/>
  <c r="B1019" i="5"/>
  <c r="C1019" i="5"/>
  <c r="D1019" i="5"/>
  <c r="E1019" i="5"/>
  <c r="F1019" i="5"/>
  <c r="G1019" i="5"/>
  <c r="H1019" i="5"/>
  <c r="I1019" i="5"/>
  <c r="J1019" i="5"/>
  <c r="K1019" i="5"/>
  <c r="L1019" i="5"/>
  <c r="M1019" i="5"/>
  <c r="N1019" i="5"/>
  <c r="O1019" i="5"/>
  <c r="P1019" i="5"/>
  <c r="Q1019" i="5"/>
  <c r="R1019" i="5"/>
  <c r="S1019" i="5"/>
  <c r="T1019" i="5"/>
  <c r="U1019" i="5"/>
  <c r="V1019" i="5"/>
  <c r="W1019" i="5"/>
  <c r="X1019" i="5"/>
  <c r="B1020" i="5"/>
  <c r="C1020" i="5"/>
  <c r="D1020" i="5"/>
  <c r="E1020" i="5"/>
  <c r="F1020" i="5"/>
  <c r="G1020" i="5"/>
  <c r="H1020" i="5"/>
  <c r="I1020" i="5"/>
  <c r="J1020" i="5"/>
  <c r="K1020" i="5"/>
  <c r="L1020" i="5"/>
  <c r="M1020" i="5"/>
  <c r="N1020" i="5"/>
  <c r="AC1020" i="5" s="1"/>
  <c r="O1020" i="5"/>
  <c r="P1020" i="5"/>
  <c r="Q1020" i="5"/>
  <c r="R1020" i="5"/>
  <c r="S1020" i="5"/>
  <c r="T1020" i="5"/>
  <c r="U1020" i="5"/>
  <c r="V1020" i="5"/>
  <c r="W1020" i="5"/>
  <c r="X1020" i="5"/>
  <c r="B1021" i="5"/>
  <c r="C1021" i="5"/>
  <c r="D1021" i="5"/>
  <c r="E1021" i="5"/>
  <c r="F1021" i="5"/>
  <c r="G1021" i="5"/>
  <c r="H1021" i="5"/>
  <c r="I1021" i="5"/>
  <c r="J1021" i="5"/>
  <c r="K1021" i="5"/>
  <c r="L1021" i="5"/>
  <c r="M1021" i="5"/>
  <c r="N1021" i="5"/>
  <c r="AC1021" i="5" s="1"/>
  <c r="O1021" i="5"/>
  <c r="P1021" i="5"/>
  <c r="Q1021" i="5"/>
  <c r="R1021" i="5"/>
  <c r="S1021" i="5"/>
  <c r="T1021" i="5"/>
  <c r="U1021" i="5"/>
  <c r="V1021" i="5"/>
  <c r="W1021" i="5"/>
  <c r="X1021" i="5"/>
  <c r="B1022" i="5"/>
  <c r="C1022" i="5"/>
  <c r="D1022" i="5"/>
  <c r="E1022" i="5"/>
  <c r="F1022" i="5"/>
  <c r="G1022" i="5"/>
  <c r="H1022" i="5"/>
  <c r="I1022" i="5"/>
  <c r="J1022" i="5"/>
  <c r="K1022" i="5"/>
  <c r="L1022" i="5"/>
  <c r="M1022" i="5"/>
  <c r="N1022" i="5"/>
  <c r="AC1022" i="5" s="1"/>
  <c r="O1022" i="5"/>
  <c r="P1022" i="5"/>
  <c r="Q1022" i="5"/>
  <c r="R1022" i="5"/>
  <c r="S1022" i="5"/>
  <c r="T1022" i="5"/>
  <c r="U1022" i="5"/>
  <c r="V1022" i="5"/>
  <c r="W1022" i="5"/>
  <c r="X1022" i="5"/>
  <c r="B1023" i="5"/>
  <c r="C1023" i="5"/>
  <c r="D1023" i="5"/>
  <c r="E1023" i="5"/>
  <c r="F1023" i="5"/>
  <c r="G1023" i="5"/>
  <c r="AB1023" i="5" s="1"/>
  <c r="H1023" i="5"/>
  <c r="I1023" i="5"/>
  <c r="J1023" i="5"/>
  <c r="K1023" i="5"/>
  <c r="L1023" i="5"/>
  <c r="M1023" i="5"/>
  <c r="N1023" i="5"/>
  <c r="O1023" i="5"/>
  <c r="AC1023" i="5" s="1"/>
  <c r="P1023" i="5"/>
  <c r="Q1023" i="5"/>
  <c r="R1023" i="5"/>
  <c r="S1023" i="5"/>
  <c r="T1023" i="5"/>
  <c r="U1023" i="5"/>
  <c r="V1023" i="5"/>
  <c r="W1023" i="5"/>
  <c r="X1023" i="5"/>
  <c r="B1024" i="5"/>
  <c r="C1024" i="5"/>
  <c r="D1024" i="5"/>
  <c r="E1024" i="5"/>
  <c r="F1024" i="5"/>
  <c r="G1024" i="5"/>
  <c r="H1024" i="5"/>
  <c r="I1024" i="5"/>
  <c r="J1024" i="5"/>
  <c r="K1024" i="5"/>
  <c r="L1024" i="5"/>
  <c r="M1024" i="5"/>
  <c r="N1024" i="5"/>
  <c r="O1024" i="5"/>
  <c r="P1024" i="5"/>
  <c r="Q1024" i="5"/>
  <c r="R1024" i="5"/>
  <c r="S1024" i="5"/>
  <c r="T1024" i="5"/>
  <c r="U1024" i="5"/>
  <c r="V1024" i="5"/>
  <c r="W1024" i="5"/>
  <c r="X1024" i="5"/>
  <c r="B1025" i="5"/>
  <c r="C1025" i="5"/>
  <c r="D1025" i="5"/>
  <c r="E1025" i="5"/>
  <c r="F1025" i="5"/>
  <c r="G1025" i="5"/>
  <c r="H1025" i="5"/>
  <c r="I1025" i="5"/>
  <c r="J1025" i="5"/>
  <c r="K1025" i="5"/>
  <c r="L1025" i="5"/>
  <c r="M1025" i="5"/>
  <c r="N1025" i="5"/>
  <c r="O1025" i="5"/>
  <c r="P1025" i="5"/>
  <c r="Q1025" i="5"/>
  <c r="R1025" i="5"/>
  <c r="S1025" i="5"/>
  <c r="T1025" i="5"/>
  <c r="U1025" i="5"/>
  <c r="V1025" i="5"/>
  <c r="W1025" i="5"/>
  <c r="X1025" i="5"/>
  <c r="B1026" i="5"/>
  <c r="C1026" i="5"/>
  <c r="D1026" i="5"/>
  <c r="E1026" i="5"/>
  <c r="F1026" i="5"/>
  <c r="G1026" i="5"/>
  <c r="H1026" i="5"/>
  <c r="I1026" i="5"/>
  <c r="J1026" i="5"/>
  <c r="K1026" i="5"/>
  <c r="L1026" i="5"/>
  <c r="M1026" i="5"/>
  <c r="N1026" i="5"/>
  <c r="O1026" i="5"/>
  <c r="P1026" i="5"/>
  <c r="Q1026" i="5"/>
  <c r="R1026" i="5"/>
  <c r="S1026" i="5"/>
  <c r="T1026" i="5"/>
  <c r="U1026" i="5"/>
  <c r="V1026" i="5"/>
  <c r="W1026" i="5"/>
  <c r="X1026" i="5"/>
  <c r="B1027" i="5"/>
  <c r="C1027" i="5"/>
  <c r="D1027" i="5"/>
  <c r="E1027" i="5"/>
  <c r="F1027" i="5"/>
  <c r="G1027" i="5"/>
  <c r="H1027" i="5"/>
  <c r="I1027" i="5"/>
  <c r="J1027" i="5"/>
  <c r="K1027" i="5"/>
  <c r="L1027" i="5"/>
  <c r="M1027" i="5"/>
  <c r="N1027" i="5"/>
  <c r="O1027" i="5"/>
  <c r="P1027" i="5"/>
  <c r="Q1027" i="5"/>
  <c r="R1027" i="5"/>
  <c r="S1027" i="5"/>
  <c r="T1027" i="5"/>
  <c r="U1027" i="5"/>
  <c r="V1027" i="5"/>
  <c r="W1027" i="5"/>
  <c r="X1027" i="5"/>
  <c r="B1028" i="5"/>
  <c r="C1028" i="5"/>
  <c r="D1028" i="5"/>
  <c r="E1028" i="5"/>
  <c r="F1028" i="5"/>
  <c r="G1028" i="5"/>
  <c r="H1028" i="5"/>
  <c r="I1028" i="5"/>
  <c r="J1028" i="5"/>
  <c r="K1028" i="5"/>
  <c r="L1028" i="5"/>
  <c r="M1028" i="5"/>
  <c r="N1028" i="5"/>
  <c r="O1028" i="5"/>
  <c r="P1028" i="5"/>
  <c r="Q1028" i="5"/>
  <c r="R1028" i="5"/>
  <c r="S1028" i="5"/>
  <c r="T1028" i="5"/>
  <c r="U1028" i="5"/>
  <c r="V1028" i="5"/>
  <c r="W1028" i="5"/>
  <c r="X1028" i="5"/>
  <c r="B1029" i="5"/>
  <c r="C1029" i="5"/>
  <c r="D1029" i="5"/>
  <c r="E1029" i="5"/>
  <c r="F1029" i="5"/>
  <c r="G1029" i="5"/>
  <c r="H1029" i="5"/>
  <c r="I1029" i="5"/>
  <c r="J1029" i="5"/>
  <c r="K1029" i="5"/>
  <c r="L1029" i="5"/>
  <c r="M1029" i="5"/>
  <c r="AC1029" i="5" s="1"/>
  <c r="N1029" i="5"/>
  <c r="O1029" i="5"/>
  <c r="P1029" i="5"/>
  <c r="Q1029" i="5"/>
  <c r="R1029" i="5"/>
  <c r="S1029" i="5"/>
  <c r="T1029" i="5"/>
  <c r="U1029" i="5"/>
  <c r="V1029" i="5"/>
  <c r="W1029" i="5"/>
  <c r="X1029" i="5"/>
  <c r="B1030" i="5"/>
  <c r="C1030" i="5"/>
  <c r="D1030" i="5"/>
  <c r="E1030" i="5"/>
  <c r="F1030" i="5"/>
  <c r="G1030" i="5"/>
  <c r="H1030" i="5"/>
  <c r="I1030" i="5"/>
  <c r="J1030" i="5"/>
  <c r="K1030" i="5"/>
  <c r="L1030" i="5"/>
  <c r="M1030" i="5"/>
  <c r="N1030" i="5"/>
  <c r="O1030" i="5"/>
  <c r="P1030" i="5"/>
  <c r="Q1030" i="5"/>
  <c r="R1030" i="5"/>
  <c r="S1030" i="5"/>
  <c r="T1030" i="5"/>
  <c r="U1030" i="5"/>
  <c r="V1030" i="5"/>
  <c r="W1030" i="5"/>
  <c r="X1030" i="5"/>
  <c r="B1031" i="5"/>
  <c r="C1031" i="5"/>
  <c r="D1031" i="5"/>
  <c r="E1031" i="5"/>
  <c r="F1031" i="5"/>
  <c r="G1031" i="5"/>
  <c r="H1031" i="5"/>
  <c r="I1031" i="5"/>
  <c r="J1031" i="5"/>
  <c r="K1031" i="5"/>
  <c r="L1031" i="5"/>
  <c r="M1031" i="5"/>
  <c r="N1031" i="5"/>
  <c r="O1031" i="5"/>
  <c r="AC1031" i="5" s="1"/>
  <c r="P1031" i="5"/>
  <c r="Q1031" i="5"/>
  <c r="R1031" i="5"/>
  <c r="S1031" i="5"/>
  <c r="T1031" i="5"/>
  <c r="U1031" i="5"/>
  <c r="V1031" i="5"/>
  <c r="W1031" i="5"/>
  <c r="X1031" i="5"/>
  <c r="B1032" i="5"/>
  <c r="C1032" i="5"/>
  <c r="D1032" i="5"/>
  <c r="E1032" i="5"/>
  <c r="F1032" i="5"/>
  <c r="G1032" i="5"/>
  <c r="H1032" i="5"/>
  <c r="I1032" i="5"/>
  <c r="J1032" i="5"/>
  <c r="K1032" i="5"/>
  <c r="L1032" i="5"/>
  <c r="M1032" i="5"/>
  <c r="N1032" i="5"/>
  <c r="O1032" i="5"/>
  <c r="P1032" i="5"/>
  <c r="Q1032" i="5"/>
  <c r="R1032" i="5"/>
  <c r="S1032" i="5"/>
  <c r="T1032" i="5"/>
  <c r="U1032" i="5"/>
  <c r="V1032" i="5"/>
  <c r="W1032" i="5"/>
  <c r="X1032" i="5"/>
  <c r="B1033" i="5"/>
  <c r="C1033" i="5"/>
  <c r="D1033" i="5"/>
  <c r="E1033" i="5"/>
  <c r="F1033" i="5"/>
  <c r="G1033" i="5"/>
  <c r="H1033" i="5"/>
  <c r="I1033" i="5"/>
  <c r="J1033" i="5"/>
  <c r="K1033" i="5"/>
  <c r="L1033" i="5"/>
  <c r="M1033" i="5"/>
  <c r="N1033" i="5"/>
  <c r="AC1033" i="5" s="1"/>
  <c r="O1033" i="5"/>
  <c r="P1033" i="5"/>
  <c r="Q1033" i="5"/>
  <c r="R1033" i="5"/>
  <c r="S1033" i="5"/>
  <c r="T1033" i="5"/>
  <c r="U1033" i="5"/>
  <c r="V1033" i="5"/>
  <c r="W1033" i="5"/>
  <c r="X1033" i="5"/>
  <c r="B1034" i="5"/>
  <c r="AB1034" i="5" s="1"/>
  <c r="C1034" i="5"/>
  <c r="D1034" i="5"/>
  <c r="E1034" i="5"/>
  <c r="F1034" i="5"/>
  <c r="G1034" i="5"/>
  <c r="H1034" i="5"/>
  <c r="I1034" i="5"/>
  <c r="J1034" i="5"/>
  <c r="K1034" i="5"/>
  <c r="L1034" i="5"/>
  <c r="M1034" i="5"/>
  <c r="N1034" i="5"/>
  <c r="O1034" i="5"/>
  <c r="P1034" i="5"/>
  <c r="Q1034" i="5"/>
  <c r="R1034" i="5"/>
  <c r="S1034" i="5"/>
  <c r="T1034" i="5"/>
  <c r="U1034" i="5"/>
  <c r="V1034" i="5"/>
  <c r="W1034" i="5"/>
  <c r="X1034" i="5"/>
  <c r="B1035" i="5"/>
  <c r="C1035" i="5"/>
  <c r="D1035" i="5"/>
  <c r="E1035" i="5"/>
  <c r="F1035" i="5"/>
  <c r="G1035" i="5"/>
  <c r="H1035" i="5"/>
  <c r="I1035" i="5"/>
  <c r="J1035" i="5"/>
  <c r="K1035" i="5"/>
  <c r="L1035" i="5"/>
  <c r="M1035" i="5"/>
  <c r="N1035" i="5"/>
  <c r="O1035" i="5"/>
  <c r="P1035" i="5"/>
  <c r="Q1035" i="5"/>
  <c r="R1035" i="5"/>
  <c r="S1035" i="5"/>
  <c r="T1035" i="5"/>
  <c r="U1035" i="5"/>
  <c r="V1035" i="5"/>
  <c r="W1035" i="5"/>
  <c r="X1035" i="5"/>
  <c r="B1036" i="5"/>
  <c r="C1036" i="5"/>
  <c r="D1036" i="5"/>
  <c r="E1036" i="5"/>
  <c r="F1036" i="5"/>
  <c r="G1036" i="5"/>
  <c r="H1036" i="5"/>
  <c r="I1036" i="5"/>
  <c r="J1036" i="5"/>
  <c r="K1036" i="5"/>
  <c r="L1036" i="5"/>
  <c r="M1036" i="5"/>
  <c r="AC1036" i="5" s="1"/>
  <c r="N1036" i="5"/>
  <c r="O1036" i="5"/>
  <c r="P1036" i="5"/>
  <c r="Q1036" i="5"/>
  <c r="R1036" i="5"/>
  <c r="S1036" i="5"/>
  <c r="T1036" i="5"/>
  <c r="U1036" i="5"/>
  <c r="V1036" i="5"/>
  <c r="W1036" i="5"/>
  <c r="X1036" i="5"/>
  <c r="B1037" i="5"/>
  <c r="C1037" i="5"/>
  <c r="D1037" i="5"/>
  <c r="E1037" i="5"/>
  <c r="F1037" i="5"/>
  <c r="G1037" i="5"/>
  <c r="H1037" i="5"/>
  <c r="I1037" i="5"/>
  <c r="J1037" i="5"/>
  <c r="K1037" i="5"/>
  <c r="L1037" i="5"/>
  <c r="M1037" i="5"/>
  <c r="N1037" i="5"/>
  <c r="AC1037" i="5" s="1"/>
  <c r="O1037" i="5"/>
  <c r="P1037" i="5"/>
  <c r="Q1037" i="5"/>
  <c r="R1037" i="5"/>
  <c r="S1037" i="5"/>
  <c r="T1037" i="5"/>
  <c r="U1037" i="5"/>
  <c r="V1037" i="5"/>
  <c r="W1037" i="5"/>
  <c r="X1037" i="5"/>
  <c r="B1038" i="5"/>
  <c r="AB1038" i="5" s="1"/>
  <c r="C1038" i="5"/>
  <c r="D1038" i="5"/>
  <c r="E1038" i="5"/>
  <c r="F1038" i="5"/>
  <c r="G1038" i="5"/>
  <c r="H1038" i="5"/>
  <c r="I1038" i="5"/>
  <c r="J1038" i="5"/>
  <c r="K1038" i="5"/>
  <c r="L1038" i="5"/>
  <c r="M1038" i="5"/>
  <c r="N1038" i="5"/>
  <c r="O1038" i="5"/>
  <c r="P1038" i="5"/>
  <c r="Q1038" i="5"/>
  <c r="R1038" i="5"/>
  <c r="S1038" i="5"/>
  <c r="T1038" i="5"/>
  <c r="U1038" i="5"/>
  <c r="V1038" i="5"/>
  <c r="W1038" i="5"/>
  <c r="X1038" i="5"/>
  <c r="B1039" i="5"/>
  <c r="C1039" i="5"/>
  <c r="D1039" i="5"/>
  <c r="E1039" i="5"/>
  <c r="F1039" i="5"/>
  <c r="G1039" i="5"/>
  <c r="H1039" i="5"/>
  <c r="I1039" i="5"/>
  <c r="J1039" i="5"/>
  <c r="K1039" i="5"/>
  <c r="L1039" i="5"/>
  <c r="M1039" i="5"/>
  <c r="N1039" i="5"/>
  <c r="O1039" i="5"/>
  <c r="P1039" i="5"/>
  <c r="Q1039" i="5"/>
  <c r="R1039" i="5"/>
  <c r="S1039" i="5"/>
  <c r="T1039" i="5"/>
  <c r="U1039" i="5"/>
  <c r="V1039" i="5"/>
  <c r="W1039" i="5"/>
  <c r="X1039" i="5"/>
  <c r="B1040" i="5"/>
  <c r="C1040" i="5"/>
  <c r="D1040" i="5"/>
  <c r="E1040" i="5"/>
  <c r="F1040" i="5"/>
  <c r="G1040" i="5"/>
  <c r="H1040" i="5"/>
  <c r="I1040" i="5"/>
  <c r="J1040" i="5"/>
  <c r="K1040" i="5"/>
  <c r="L1040" i="5"/>
  <c r="M1040" i="5"/>
  <c r="N1040" i="5"/>
  <c r="O1040" i="5"/>
  <c r="AC1040" i="5" s="1"/>
  <c r="P1040" i="5"/>
  <c r="Q1040" i="5"/>
  <c r="R1040" i="5"/>
  <c r="S1040" i="5"/>
  <c r="T1040" i="5"/>
  <c r="U1040" i="5"/>
  <c r="V1040" i="5"/>
  <c r="W1040" i="5"/>
  <c r="X1040" i="5"/>
  <c r="B1041" i="5"/>
  <c r="C1041" i="5"/>
  <c r="D1041" i="5"/>
  <c r="E1041" i="5"/>
  <c r="F1041" i="5"/>
  <c r="G1041" i="5"/>
  <c r="H1041" i="5"/>
  <c r="I1041" i="5"/>
  <c r="J1041" i="5"/>
  <c r="K1041" i="5"/>
  <c r="L1041" i="5"/>
  <c r="M1041" i="5"/>
  <c r="N1041" i="5"/>
  <c r="O1041" i="5"/>
  <c r="P1041" i="5"/>
  <c r="Q1041" i="5"/>
  <c r="R1041" i="5"/>
  <c r="S1041" i="5"/>
  <c r="T1041" i="5"/>
  <c r="U1041" i="5"/>
  <c r="V1041" i="5"/>
  <c r="W1041" i="5"/>
  <c r="X1041" i="5"/>
  <c r="B1042" i="5"/>
  <c r="C1042" i="5"/>
  <c r="D1042" i="5"/>
  <c r="E1042" i="5"/>
  <c r="F1042" i="5"/>
  <c r="G1042" i="5"/>
  <c r="H1042" i="5"/>
  <c r="I1042" i="5"/>
  <c r="J1042" i="5"/>
  <c r="K1042" i="5"/>
  <c r="L1042" i="5"/>
  <c r="M1042" i="5"/>
  <c r="N1042" i="5"/>
  <c r="O1042" i="5"/>
  <c r="P1042" i="5"/>
  <c r="Q1042" i="5"/>
  <c r="R1042" i="5"/>
  <c r="S1042" i="5"/>
  <c r="T1042" i="5"/>
  <c r="U1042" i="5"/>
  <c r="V1042" i="5"/>
  <c r="W1042" i="5"/>
  <c r="X1042" i="5"/>
  <c r="AB1042" i="5"/>
  <c r="B1043" i="5"/>
  <c r="C1043" i="5"/>
  <c r="D1043" i="5"/>
  <c r="E1043" i="5"/>
  <c r="F1043" i="5"/>
  <c r="G1043" i="5"/>
  <c r="H1043" i="5"/>
  <c r="I1043" i="5"/>
  <c r="J1043" i="5"/>
  <c r="K1043" i="5"/>
  <c r="L1043" i="5"/>
  <c r="M1043" i="5"/>
  <c r="N1043" i="5"/>
  <c r="O1043" i="5"/>
  <c r="P1043" i="5"/>
  <c r="Q1043" i="5"/>
  <c r="R1043" i="5"/>
  <c r="S1043" i="5"/>
  <c r="T1043" i="5"/>
  <c r="U1043" i="5"/>
  <c r="V1043" i="5"/>
  <c r="W1043" i="5"/>
  <c r="X1043" i="5"/>
  <c r="B1044" i="5"/>
  <c r="C1044" i="5"/>
  <c r="D1044" i="5"/>
  <c r="E1044" i="5"/>
  <c r="F1044" i="5"/>
  <c r="G1044" i="5"/>
  <c r="H1044" i="5"/>
  <c r="I1044" i="5"/>
  <c r="J1044" i="5"/>
  <c r="K1044" i="5"/>
  <c r="L1044" i="5"/>
  <c r="M1044" i="5"/>
  <c r="N1044" i="5"/>
  <c r="O1044" i="5"/>
  <c r="P1044" i="5"/>
  <c r="Q1044" i="5"/>
  <c r="R1044" i="5"/>
  <c r="S1044" i="5"/>
  <c r="T1044" i="5"/>
  <c r="U1044" i="5"/>
  <c r="V1044" i="5"/>
  <c r="W1044" i="5"/>
  <c r="X1044" i="5"/>
  <c r="B1045" i="5"/>
  <c r="C1045" i="5"/>
  <c r="D1045" i="5"/>
  <c r="E1045" i="5"/>
  <c r="F1045" i="5"/>
  <c r="G1045" i="5"/>
  <c r="H1045" i="5"/>
  <c r="I1045" i="5"/>
  <c r="J1045" i="5"/>
  <c r="K1045" i="5"/>
  <c r="L1045" i="5"/>
  <c r="M1045" i="5"/>
  <c r="N1045" i="5"/>
  <c r="O1045" i="5"/>
  <c r="AC1045" i="5" s="1"/>
  <c r="P1045" i="5"/>
  <c r="Q1045" i="5"/>
  <c r="R1045" i="5"/>
  <c r="S1045" i="5"/>
  <c r="T1045" i="5"/>
  <c r="U1045" i="5"/>
  <c r="V1045" i="5"/>
  <c r="W1045" i="5"/>
  <c r="X1045" i="5"/>
  <c r="B1046" i="5"/>
  <c r="C1046" i="5"/>
  <c r="AB1046" i="5" s="1"/>
  <c r="D1046" i="5"/>
  <c r="E1046" i="5"/>
  <c r="F1046" i="5"/>
  <c r="G1046" i="5"/>
  <c r="H1046" i="5"/>
  <c r="I1046" i="5"/>
  <c r="J1046" i="5"/>
  <c r="K1046" i="5"/>
  <c r="L1046" i="5"/>
  <c r="M1046" i="5"/>
  <c r="N1046" i="5"/>
  <c r="O1046" i="5"/>
  <c r="P1046" i="5"/>
  <c r="Q1046" i="5"/>
  <c r="R1046" i="5"/>
  <c r="S1046" i="5"/>
  <c r="T1046" i="5"/>
  <c r="U1046" i="5"/>
  <c r="V1046" i="5"/>
  <c r="W1046" i="5"/>
  <c r="X1046" i="5"/>
  <c r="B1047" i="5"/>
  <c r="C1047" i="5"/>
  <c r="D1047" i="5"/>
  <c r="E1047" i="5"/>
  <c r="F1047" i="5"/>
  <c r="G1047" i="5"/>
  <c r="H1047" i="5"/>
  <c r="I1047" i="5"/>
  <c r="J1047" i="5"/>
  <c r="K1047" i="5"/>
  <c r="L1047" i="5"/>
  <c r="M1047" i="5"/>
  <c r="N1047" i="5"/>
  <c r="O1047" i="5"/>
  <c r="AC1047" i="5" s="1"/>
  <c r="P1047" i="5"/>
  <c r="Q1047" i="5"/>
  <c r="R1047" i="5"/>
  <c r="S1047" i="5"/>
  <c r="T1047" i="5"/>
  <c r="U1047" i="5"/>
  <c r="V1047" i="5"/>
  <c r="W1047" i="5"/>
  <c r="X1047" i="5"/>
  <c r="B1048" i="5"/>
  <c r="C1048" i="5"/>
  <c r="D1048" i="5"/>
  <c r="E1048" i="5"/>
  <c r="F1048" i="5"/>
  <c r="G1048" i="5"/>
  <c r="H1048" i="5"/>
  <c r="I1048" i="5"/>
  <c r="J1048" i="5"/>
  <c r="K1048" i="5"/>
  <c r="L1048" i="5"/>
  <c r="M1048" i="5"/>
  <c r="N1048" i="5"/>
  <c r="O1048" i="5"/>
  <c r="P1048" i="5"/>
  <c r="Q1048" i="5"/>
  <c r="R1048" i="5"/>
  <c r="S1048" i="5"/>
  <c r="T1048" i="5"/>
  <c r="U1048" i="5"/>
  <c r="V1048" i="5"/>
  <c r="W1048" i="5"/>
  <c r="X1048" i="5"/>
  <c r="B1049" i="5"/>
  <c r="C1049" i="5"/>
  <c r="D1049" i="5"/>
  <c r="E1049" i="5"/>
  <c r="F1049" i="5"/>
  <c r="G1049" i="5"/>
  <c r="H1049" i="5"/>
  <c r="I1049" i="5"/>
  <c r="J1049" i="5"/>
  <c r="K1049" i="5"/>
  <c r="L1049" i="5"/>
  <c r="M1049" i="5"/>
  <c r="N1049" i="5"/>
  <c r="O1049" i="5"/>
  <c r="P1049" i="5"/>
  <c r="Q1049" i="5"/>
  <c r="R1049" i="5"/>
  <c r="S1049" i="5"/>
  <c r="T1049" i="5"/>
  <c r="U1049" i="5"/>
  <c r="V1049" i="5"/>
  <c r="W1049" i="5"/>
  <c r="X1049" i="5"/>
  <c r="B1050" i="5"/>
  <c r="C1050" i="5"/>
  <c r="D1050" i="5"/>
  <c r="E1050" i="5"/>
  <c r="F1050" i="5"/>
  <c r="G1050" i="5"/>
  <c r="H1050" i="5"/>
  <c r="I1050" i="5"/>
  <c r="J1050" i="5"/>
  <c r="K1050" i="5"/>
  <c r="L1050" i="5"/>
  <c r="M1050" i="5"/>
  <c r="N1050" i="5"/>
  <c r="O1050" i="5"/>
  <c r="P1050" i="5"/>
  <c r="Q1050" i="5"/>
  <c r="R1050" i="5"/>
  <c r="S1050" i="5"/>
  <c r="T1050" i="5"/>
  <c r="U1050" i="5"/>
  <c r="V1050" i="5"/>
  <c r="W1050" i="5"/>
  <c r="X1050" i="5"/>
  <c r="B1051" i="5"/>
  <c r="C1051" i="5"/>
  <c r="D1051" i="5"/>
  <c r="E1051" i="5"/>
  <c r="F1051" i="5"/>
  <c r="G1051" i="5"/>
  <c r="H1051" i="5"/>
  <c r="I1051" i="5"/>
  <c r="J1051" i="5"/>
  <c r="K1051" i="5"/>
  <c r="L1051" i="5"/>
  <c r="M1051" i="5"/>
  <c r="N1051" i="5"/>
  <c r="O1051" i="5"/>
  <c r="P1051" i="5"/>
  <c r="Q1051" i="5"/>
  <c r="R1051" i="5"/>
  <c r="S1051" i="5"/>
  <c r="T1051" i="5"/>
  <c r="U1051" i="5"/>
  <c r="V1051" i="5"/>
  <c r="W1051" i="5"/>
  <c r="X1051" i="5"/>
  <c r="B1052" i="5"/>
  <c r="C1052" i="5"/>
  <c r="D1052" i="5"/>
  <c r="E1052" i="5"/>
  <c r="F1052" i="5"/>
  <c r="G1052" i="5"/>
  <c r="H1052" i="5"/>
  <c r="I1052" i="5"/>
  <c r="J1052" i="5"/>
  <c r="K1052" i="5"/>
  <c r="L1052" i="5"/>
  <c r="M1052" i="5"/>
  <c r="N1052" i="5"/>
  <c r="O1052" i="5"/>
  <c r="P1052" i="5"/>
  <c r="Q1052" i="5"/>
  <c r="R1052" i="5"/>
  <c r="S1052" i="5"/>
  <c r="T1052" i="5"/>
  <c r="U1052" i="5"/>
  <c r="V1052" i="5"/>
  <c r="W1052" i="5"/>
  <c r="X1052" i="5"/>
  <c r="B1053" i="5"/>
  <c r="C1053" i="5"/>
  <c r="D1053" i="5"/>
  <c r="E1053" i="5"/>
  <c r="F1053" i="5"/>
  <c r="G1053" i="5"/>
  <c r="H1053" i="5"/>
  <c r="I1053" i="5"/>
  <c r="J1053" i="5"/>
  <c r="K1053" i="5"/>
  <c r="L1053" i="5"/>
  <c r="M1053" i="5"/>
  <c r="N1053" i="5"/>
  <c r="O1053" i="5"/>
  <c r="P1053" i="5"/>
  <c r="Q1053" i="5"/>
  <c r="R1053" i="5"/>
  <c r="S1053" i="5"/>
  <c r="T1053" i="5"/>
  <c r="U1053" i="5"/>
  <c r="V1053" i="5"/>
  <c r="W1053" i="5"/>
  <c r="X1053" i="5"/>
  <c r="B1054" i="5"/>
  <c r="C1054" i="5"/>
  <c r="D1054" i="5"/>
  <c r="E1054" i="5"/>
  <c r="F1054" i="5"/>
  <c r="G1054" i="5"/>
  <c r="H1054" i="5"/>
  <c r="I1054" i="5"/>
  <c r="J1054" i="5"/>
  <c r="K1054" i="5"/>
  <c r="L1054" i="5"/>
  <c r="M1054" i="5"/>
  <c r="N1054" i="5"/>
  <c r="O1054" i="5"/>
  <c r="P1054" i="5"/>
  <c r="Q1054" i="5"/>
  <c r="R1054" i="5"/>
  <c r="S1054" i="5"/>
  <c r="T1054" i="5"/>
  <c r="U1054" i="5"/>
  <c r="V1054" i="5"/>
  <c r="W1054" i="5"/>
  <c r="X1054" i="5"/>
  <c r="B1055" i="5"/>
  <c r="C1055" i="5"/>
  <c r="D1055" i="5"/>
  <c r="E1055" i="5"/>
  <c r="F1055" i="5"/>
  <c r="G1055" i="5"/>
  <c r="H1055" i="5"/>
  <c r="I1055" i="5"/>
  <c r="J1055" i="5"/>
  <c r="K1055" i="5"/>
  <c r="L1055" i="5"/>
  <c r="M1055" i="5"/>
  <c r="N1055" i="5"/>
  <c r="O1055" i="5"/>
  <c r="AC1055" i="5" s="1"/>
  <c r="P1055" i="5"/>
  <c r="Q1055" i="5"/>
  <c r="R1055" i="5"/>
  <c r="S1055" i="5"/>
  <c r="T1055" i="5"/>
  <c r="U1055" i="5"/>
  <c r="V1055" i="5"/>
  <c r="W1055" i="5"/>
  <c r="X1055" i="5"/>
  <c r="B1056" i="5"/>
  <c r="C1056" i="5"/>
  <c r="D1056" i="5"/>
  <c r="E1056" i="5"/>
  <c r="F1056" i="5"/>
  <c r="G1056" i="5"/>
  <c r="H1056" i="5"/>
  <c r="I1056" i="5"/>
  <c r="J1056" i="5"/>
  <c r="K1056" i="5"/>
  <c r="L1056" i="5"/>
  <c r="M1056" i="5"/>
  <c r="N1056" i="5"/>
  <c r="O1056" i="5"/>
  <c r="P1056" i="5"/>
  <c r="Q1056" i="5"/>
  <c r="R1056" i="5"/>
  <c r="S1056" i="5"/>
  <c r="T1056" i="5"/>
  <c r="U1056" i="5"/>
  <c r="V1056" i="5"/>
  <c r="W1056" i="5"/>
  <c r="X1056" i="5"/>
  <c r="B1058" i="5"/>
  <c r="C1058" i="5"/>
  <c r="D1058" i="5"/>
  <c r="E1058" i="5"/>
  <c r="F1058" i="5"/>
  <c r="G1058" i="5"/>
  <c r="H1058" i="5"/>
  <c r="I1058" i="5"/>
  <c r="J1058" i="5"/>
  <c r="L1058" i="5"/>
  <c r="M1058" i="5"/>
  <c r="N1058" i="5"/>
  <c r="O1058" i="5"/>
  <c r="P1058" i="5"/>
  <c r="Q1058" i="5"/>
  <c r="R1058" i="5"/>
  <c r="S1058" i="5"/>
  <c r="T1058" i="5"/>
  <c r="U1058" i="5"/>
  <c r="V1058" i="5"/>
  <c r="W1058" i="5"/>
  <c r="X1058" i="5"/>
  <c r="Y1058" i="5"/>
  <c r="Z1058" i="5"/>
  <c r="AA1058" i="5"/>
  <c r="B1059" i="5"/>
  <c r="D1059" i="5"/>
  <c r="E1059" i="5"/>
  <c r="F1059" i="5"/>
  <c r="G1059" i="5"/>
  <c r="H1059" i="5"/>
  <c r="J1059" i="5"/>
  <c r="M1059" i="5"/>
  <c r="O1059" i="5"/>
  <c r="P1059" i="5"/>
  <c r="Q1059" i="5"/>
  <c r="S1059" i="5"/>
  <c r="W1059" i="5"/>
  <c r="X1059" i="5"/>
  <c r="Z1059" i="5"/>
  <c r="B1060" i="5"/>
  <c r="C1060" i="5"/>
  <c r="E1060" i="5"/>
  <c r="F1060" i="5"/>
  <c r="I1060" i="5"/>
  <c r="J1060" i="5"/>
  <c r="L1060" i="5"/>
  <c r="N1060" i="5"/>
  <c r="O1060" i="5"/>
  <c r="R1060" i="5"/>
  <c r="S1060" i="5"/>
  <c r="T1060" i="5"/>
  <c r="W1060" i="5"/>
  <c r="B1061" i="5"/>
  <c r="C1061" i="5"/>
  <c r="D1061" i="5"/>
  <c r="E1061" i="5"/>
  <c r="G1061" i="5"/>
  <c r="H1061" i="5"/>
  <c r="I1061" i="5"/>
  <c r="J1061" i="5"/>
  <c r="K1061" i="5"/>
  <c r="M1061" i="5"/>
  <c r="O1061" i="5"/>
  <c r="P1061" i="5"/>
  <c r="Q1061" i="5"/>
  <c r="R1061" i="5"/>
  <c r="S1061" i="5"/>
  <c r="W1061" i="5"/>
  <c r="X1061" i="5"/>
  <c r="B1062" i="5"/>
  <c r="C1062" i="5"/>
  <c r="D1062" i="5"/>
  <c r="E1062" i="5"/>
  <c r="F1062" i="5"/>
  <c r="I1062" i="5"/>
  <c r="J1062" i="5"/>
  <c r="K1062" i="5"/>
  <c r="L1062" i="5"/>
  <c r="M1062" i="5"/>
  <c r="N1062" i="5"/>
  <c r="R1062" i="5"/>
  <c r="S1062" i="5"/>
  <c r="T1062" i="5"/>
  <c r="U1062" i="5"/>
  <c r="V1062" i="5"/>
  <c r="B1063" i="5"/>
  <c r="C1063" i="5"/>
  <c r="D1063" i="5"/>
  <c r="E1063" i="5"/>
  <c r="F1063" i="5"/>
  <c r="H1063" i="5"/>
  <c r="I1063" i="5"/>
  <c r="J1063" i="5"/>
  <c r="K1063" i="5"/>
  <c r="L1063" i="5"/>
  <c r="M1063" i="5"/>
  <c r="N1063" i="5"/>
  <c r="P1063" i="5"/>
  <c r="Q1063" i="5"/>
  <c r="R1063" i="5"/>
  <c r="S1063" i="5"/>
  <c r="T1063" i="5"/>
  <c r="U1063" i="5"/>
  <c r="V1063" i="5"/>
  <c r="X1063" i="5"/>
  <c r="B1064" i="5"/>
  <c r="C1064" i="5"/>
  <c r="D1064" i="5"/>
  <c r="E1064" i="5"/>
  <c r="F1064" i="5"/>
  <c r="G1064" i="5"/>
  <c r="H1064" i="5"/>
  <c r="I1064" i="5"/>
  <c r="J1064" i="5"/>
  <c r="K1064" i="5"/>
  <c r="L1064" i="5"/>
  <c r="M1064" i="5"/>
  <c r="N1064" i="5"/>
  <c r="O1064" i="5"/>
  <c r="P1064" i="5"/>
  <c r="Q1064" i="5"/>
  <c r="R1064" i="5"/>
  <c r="S1064" i="5"/>
  <c r="T1064" i="5"/>
  <c r="U1064" i="5"/>
  <c r="V1064" i="5"/>
  <c r="W1064" i="5"/>
  <c r="X1064" i="5"/>
  <c r="C1065" i="5"/>
  <c r="D1065" i="5"/>
  <c r="E1065" i="5"/>
  <c r="F1065" i="5"/>
  <c r="I1065" i="5"/>
  <c r="K1065" i="5"/>
  <c r="L1065" i="5"/>
  <c r="M1065" i="5"/>
  <c r="N1065" i="5"/>
  <c r="Q1065" i="5"/>
  <c r="S1065" i="5"/>
  <c r="T1065" i="5"/>
  <c r="U1065" i="5"/>
  <c r="V1065" i="5"/>
  <c r="C1066" i="5"/>
  <c r="D1066" i="5"/>
  <c r="E1066" i="5"/>
  <c r="F1066" i="5"/>
  <c r="G1066" i="5"/>
  <c r="K1066" i="5"/>
  <c r="L1066" i="5"/>
  <c r="M1066" i="5"/>
  <c r="N1066" i="5"/>
  <c r="O1066" i="5"/>
  <c r="S1066" i="5"/>
  <c r="T1066" i="5"/>
  <c r="U1066" i="5"/>
  <c r="V1066" i="5"/>
  <c r="W1066" i="5"/>
  <c r="C1067" i="5"/>
  <c r="D1067" i="5"/>
  <c r="E1067" i="5"/>
  <c r="F1067" i="5"/>
  <c r="K1067" i="5"/>
  <c r="L1067" i="5"/>
  <c r="M1067" i="5"/>
  <c r="N1067" i="5"/>
  <c r="S1067" i="5"/>
  <c r="T1067" i="5"/>
  <c r="U1067" i="5"/>
  <c r="V1067" i="5"/>
  <c r="C1068" i="5"/>
  <c r="D1068" i="5"/>
  <c r="E1068" i="5"/>
  <c r="F1068" i="5"/>
  <c r="K1068" i="5"/>
  <c r="L1068" i="5"/>
  <c r="M1068" i="5"/>
  <c r="N1068" i="5"/>
  <c r="S1068" i="5"/>
  <c r="T1068" i="5"/>
  <c r="U1068" i="5"/>
  <c r="V1068" i="5"/>
  <c r="B1069" i="5"/>
  <c r="C1069" i="5"/>
  <c r="D1069" i="5"/>
  <c r="E1069" i="5"/>
  <c r="F1069" i="5"/>
  <c r="I1069" i="5"/>
  <c r="J1069" i="5"/>
  <c r="K1069" i="5"/>
  <c r="L1069" i="5"/>
  <c r="M1069" i="5"/>
  <c r="N1069" i="5"/>
  <c r="P1069" i="5"/>
  <c r="Q1069" i="5"/>
  <c r="R1069" i="5"/>
  <c r="S1069" i="5"/>
  <c r="T1069" i="5"/>
  <c r="U1069" i="5"/>
  <c r="V1069" i="5"/>
  <c r="C1070" i="5"/>
  <c r="D1070" i="5"/>
  <c r="E1070" i="5"/>
  <c r="F1070" i="5"/>
  <c r="K1070" i="5"/>
  <c r="L1070" i="5"/>
  <c r="M1070" i="5"/>
  <c r="N1070" i="5"/>
  <c r="P1070" i="5"/>
  <c r="S1070" i="5"/>
  <c r="T1070" i="5"/>
  <c r="U1070" i="5"/>
  <c r="V1070" i="5"/>
  <c r="B1071" i="5"/>
  <c r="C1071" i="5"/>
  <c r="D1071" i="5"/>
  <c r="E1071" i="5"/>
  <c r="F1071" i="5"/>
  <c r="G1071" i="5"/>
  <c r="J1071" i="5"/>
  <c r="K1071" i="5"/>
  <c r="L1071" i="5"/>
  <c r="M1071" i="5"/>
  <c r="N1071" i="5"/>
  <c r="O1071" i="5"/>
  <c r="P1071" i="5"/>
  <c r="R1071" i="5"/>
  <c r="S1071" i="5"/>
  <c r="T1071" i="5"/>
  <c r="U1071" i="5"/>
  <c r="V1071" i="5"/>
  <c r="W1071" i="5"/>
  <c r="X1071" i="5"/>
  <c r="B1072" i="5"/>
  <c r="C1072" i="5"/>
  <c r="D1072" i="5"/>
  <c r="E1072" i="5"/>
  <c r="F1072" i="5"/>
  <c r="G1072" i="5"/>
  <c r="H1072" i="5"/>
  <c r="I1072" i="5"/>
  <c r="J1072" i="5"/>
  <c r="K1072" i="5"/>
  <c r="L1072" i="5"/>
  <c r="M1072" i="5"/>
  <c r="N1072" i="5"/>
  <c r="O1072" i="5"/>
  <c r="P1072" i="5"/>
  <c r="Q1072" i="5"/>
  <c r="R1072" i="5"/>
  <c r="S1072" i="5"/>
  <c r="T1072" i="5"/>
  <c r="U1072" i="5"/>
  <c r="V1072" i="5"/>
  <c r="W1072" i="5"/>
  <c r="X1072" i="5"/>
  <c r="C1073" i="5"/>
  <c r="D1073" i="5"/>
  <c r="E1073" i="5"/>
  <c r="F1073" i="5"/>
  <c r="I1073" i="5"/>
  <c r="K1073" i="5"/>
  <c r="L1073" i="5"/>
  <c r="M1073" i="5"/>
  <c r="N1073" i="5"/>
  <c r="P1073" i="5"/>
  <c r="S1073" i="5"/>
  <c r="T1073" i="5"/>
  <c r="U1073" i="5"/>
  <c r="V1073" i="5"/>
  <c r="X1073" i="5"/>
  <c r="C1074" i="5"/>
  <c r="D1074" i="5"/>
  <c r="E1074" i="5"/>
  <c r="F1074" i="5"/>
  <c r="G1074" i="5"/>
  <c r="K1074" i="5"/>
  <c r="L1074" i="5"/>
  <c r="M1074" i="5"/>
  <c r="N1074" i="5"/>
  <c r="O1074" i="5"/>
  <c r="S1074" i="5"/>
  <c r="T1074" i="5"/>
  <c r="U1074" i="5"/>
  <c r="V1074" i="5"/>
  <c r="W1074" i="5"/>
  <c r="B1075" i="5"/>
  <c r="C1075" i="5"/>
  <c r="D1075" i="5"/>
  <c r="E1075" i="5"/>
  <c r="F1075" i="5"/>
  <c r="G1075" i="5"/>
  <c r="K1075" i="5"/>
  <c r="L1075" i="5"/>
  <c r="M1075" i="5"/>
  <c r="N1075" i="5"/>
  <c r="R1075" i="5"/>
  <c r="S1075" i="5"/>
  <c r="T1075" i="5"/>
  <c r="U1075" i="5"/>
  <c r="V1075" i="5"/>
  <c r="C1076" i="5"/>
  <c r="D1076" i="5"/>
  <c r="E1076" i="5"/>
  <c r="F1076" i="5"/>
  <c r="I1076" i="5"/>
  <c r="K1076" i="5"/>
  <c r="L1076" i="5"/>
  <c r="M1076" i="5"/>
  <c r="N1076" i="5"/>
  <c r="S1076" i="5"/>
  <c r="T1076" i="5"/>
  <c r="U1076" i="5"/>
  <c r="V1076" i="5"/>
  <c r="B1077" i="5"/>
  <c r="C1077" i="5"/>
  <c r="D1077" i="5"/>
  <c r="E1077" i="5"/>
  <c r="F1077" i="5"/>
  <c r="I1077" i="5"/>
  <c r="J1077" i="5"/>
  <c r="K1077" i="5"/>
  <c r="L1077" i="5"/>
  <c r="M1077" i="5"/>
  <c r="N1077" i="5"/>
  <c r="P1077" i="5"/>
  <c r="Q1077" i="5"/>
  <c r="R1077" i="5"/>
  <c r="S1077" i="5"/>
  <c r="T1077" i="5"/>
  <c r="U1077" i="5"/>
  <c r="V1077" i="5"/>
  <c r="X1077" i="5"/>
  <c r="C1078" i="5"/>
  <c r="D1078" i="5"/>
  <c r="E1078" i="5"/>
  <c r="F1078" i="5"/>
  <c r="G1078" i="5"/>
  <c r="H1078" i="5"/>
  <c r="K1078" i="5"/>
  <c r="L1078" i="5"/>
  <c r="M1078" i="5"/>
  <c r="N1078" i="5"/>
  <c r="O1078" i="5"/>
  <c r="P1078" i="5"/>
  <c r="S1078" i="5"/>
  <c r="T1078" i="5"/>
  <c r="U1078" i="5"/>
  <c r="V1078" i="5"/>
  <c r="W1078" i="5"/>
  <c r="X1078" i="5"/>
  <c r="C1079" i="5"/>
  <c r="D1079" i="5"/>
  <c r="E1079" i="5"/>
  <c r="F1079" i="5"/>
  <c r="G1079" i="5"/>
  <c r="H1079" i="5"/>
  <c r="K1079" i="5"/>
  <c r="L1079" i="5"/>
  <c r="M1079" i="5"/>
  <c r="N1079" i="5"/>
  <c r="O1079" i="5"/>
  <c r="P1079" i="5"/>
  <c r="S1079" i="5"/>
  <c r="T1079" i="5"/>
  <c r="U1079" i="5"/>
  <c r="V1079" i="5"/>
  <c r="W1079" i="5"/>
  <c r="X1079" i="5"/>
  <c r="B1080" i="5"/>
  <c r="C1080" i="5"/>
  <c r="D1080" i="5"/>
  <c r="E1080" i="5"/>
  <c r="F1080" i="5"/>
  <c r="G1080" i="5"/>
  <c r="H1080" i="5"/>
  <c r="I1080" i="5"/>
  <c r="J1080" i="5"/>
  <c r="K1080" i="5"/>
  <c r="L1080" i="5"/>
  <c r="M1080" i="5"/>
  <c r="N1080" i="5"/>
  <c r="O1080" i="5"/>
  <c r="P1080" i="5"/>
  <c r="Q1080" i="5"/>
  <c r="R1080" i="5"/>
  <c r="S1080" i="5"/>
  <c r="T1080" i="5"/>
  <c r="U1080" i="5"/>
  <c r="V1080" i="5"/>
  <c r="W1080" i="5"/>
  <c r="X1080" i="5"/>
  <c r="C1081" i="5"/>
  <c r="D1081" i="5"/>
  <c r="E1081" i="5"/>
  <c r="F1081" i="5"/>
  <c r="G1081" i="5"/>
  <c r="H1081" i="5"/>
  <c r="K1081" i="5"/>
  <c r="L1081" i="5"/>
  <c r="M1081" i="5"/>
  <c r="N1081" i="5"/>
  <c r="P1081" i="5"/>
  <c r="Q1081" i="5"/>
  <c r="S1081" i="5"/>
  <c r="T1081" i="5"/>
  <c r="U1081" i="5"/>
  <c r="V1081" i="5"/>
  <c r="W1081" i="5"/>
  <c r="A1082" i="5"/>
  <c r="B1082" i="5"/>
  <c r="C1082" i="5"/>
  <c r="D1082" i="5"/>
  <c r="E1082" i="5"/>
  <c r="F1082" i="5"/>
  <c r="G1082" i="5"/>
  <c r="J1082" i="5"/>
  <c r="K1082" i="5"/>
  <c r="L1082" i="5"/>
  <c r="M1082" i="5"/>
  <c r="N1082" i="5"/>
  <c r="O1082" i="5"/>
  <c r="R1082" i="5"/>
  <c r="S1082" i="5"/>
  <c r="T1082" i="5"/>
  <c r="U1082" i="5"/>
  <c r="V1082" i="5"/>
  <c r="W1082" i="5"/>
  <c r="A1083" i="5"/>
  <c r="A1084" i="5" s="1"/>
  <c r="B1083" i="5"/>
  <c r="C1083" i="5"/>
  <c r="D1083" i="5"/>
  <c r="E1083" i="5"/>
  <c r="F1083" i="5"/>
  <c r="I1083" i="5"/>
  <c r="J1083" i="5"/>
  <c r="K1083" i="5"/>
  <c r="L1083" i="5"/>
  <c r="M1083" i="5"/>
  <c r="N1083" i="5"/>
  <c r="P1083" i="5"/>
  <c r="Q1083" i="5"/>
  <c r="R1083" i="5"/>
  <c r="S1083" i="5"/>
  <c r="T1083" i="5"/>
  <c r="U1083" i="5"/>
  <c r="V1083" i="5"/>
  <c r="X1083" i="5"/>
  <c r="C1084" i="5"/>
  <c r="D1084" i="5"/>
  <c r="E1084" i="5"/>
  <c r="F1084" i="5"/>
  <c r="G1084" i="5"/>
  <c r="K1084" i="5"/>
  <c r="L1084" i="5"/>
  <c r="M1084" i="5"/>
  <c r="N1084" i="5"/>
  <c r="O1084" i="5"/>
  <c r="Q1084" i="5"/>
  <c r="R1084" i="5"/>
  <c r="S1084" i="5"/>
  <c r="T1084" i="5"/>
  <c r="U1084" i="5"/>
  <c r="V1084" i="5"/>
  <c r="W1084" i="5"/>
  <c r="A1085" i="5"/>
  <c r="A1086" i="5" s="1"/>
  <c r="A1087" i="5" s="1"/>
  <c r="C1085" i="5"/>
  <c r="D1085" i="5"/>
  <c r="E1085" i="5"/>
  <c r="F1085" i="5"/>
  <c r="G1085" i="5"/>
  <c r="H1085" i="5"/>
  <c r="I1085" i="5"/>
  <c r="K1085" i="5"/>
  <c r="L1085" i="5"/>
  <c r="M1085" i="5"/>
  <c r="N1085" i="5"/>
  <c r="O1085" i="5"/>
  <c r="Q1085" i="5"/>
  <c r="S1085" i="5"/>
  <c r="T1085" i="5"/>
  <c r="U1085" i="5"/>
  <c r="V1085" i="5"/>
  <c r="W1085" i="5"/>
  <c r="X1085" i="5"/>
  <c r="C1086" i="5"/>
  <c r="D1086" i="5"/>
  <c r="E1086" i="5"/>
  <c r="F1086" i="5"/>
  <c r="G1086" i="5"/>
  <c r="K1086" i="5"/>
  <c r="L1086" i="5"/>
  <c r="M1086" i="5"/>
  <c r="N1086" i="5"/>
  <c r="O1086" i="5"/>
  <c r="R1086" i="5"/>
  <c r="S1086" i="5"/>
  <c r="T1086" i="5"/>
  <c r="U1086" i="5"/>
  <c r="V1086" i="5"/>
  <c r="W1086" i="5"/>
  <c r="B1087" i="5"/>
  <c r="C1087" i="5"/>
  <c r="D1087" i="5"/>
  <c r="E1087" i="5"/>
  <c r="F1087" i="5"/>
  <c r="J1087" i="5"/>
  <c r="K1087" i="5"/>
  <c r="L1087" i="5"/>
  <c r="M1087" i="5"/>
  <c r="N1087" i="5"/>
  <c r="S1087" i="5"/>
  <c r="T1087" i="5"/>
  <c r="U1087" i="5"/>
  <c r="V1087" i="5"/>
  <c r="A1088" i="5"/>
  <c r="B1088" i="5"/>
  <c r="C1088" i="5"/>
  <c r="D1088" i="5"/>
  <c r="E1088" i="5"/>
  <c r="F1088" i="5"/>
  <c r="G1088" i="5"/>
  <c r="H1088" i="5"/>
  <c r="I1088" i="5"/>
  <c r="J1088" i="5"/>
  <c r="K1088" i="5"/>
  <c r="L1088" i="5"/>
  <c r="M1088" i="5"/>
  <c r="N1088" i="5"/>
  <c r="O1088" i="5"/>
  <c r="P1088" i="5"/>
  <c r="Q1088" i="5"/>
  <c r="R1088" i="5"/>
  <c r="S1088" i="5"/>
  <c r="T1088" i="5"/>
  <c r="U1088" i="5"/>
  <c r="V1088" i="5"/>
  <c r="W1088" i="5"/>
  <c r="X1088" i="5"/>
  <c r="A1089" i="5"/>
  <c r="A1090" i="5" s="1"/>
  <c r="A1091" i="5" s="1"/>
  <c r="A1092" i="5" s="1"/>
  <c r="A1093" i="5" s="1"/>
  <c r="A1094" i="5" s="1"/>
  <c r="A1095" i="5" s="1"/>
  <c r="A1096" i="5" s="1"/>
  <c r="A1097" i="5" s="1"/>
  <c r="A1098" i="5" s="1"/>
  <c r="A1099" i="5" s="1"/>
  <c r="A1100" i="5" s="1"/>
  <c r="A1101" i="5" s="1"/>
  <c r="A1102" i="5" s="1"/>
  <c r="A1103" i="5" s="1"/>
  <c r="A1104" i="5" s="1"/>
  <c r="A1105" i="5" s="1"/>
  <c r="A1106" i="5" s="1"/>
  <c r="C1089" i="5"/>
  <c r="D1089" i="5"/>
  <c r="E1089" i="5"/>
  <c r="F1089" i="5"/>
  <c r="K1089" i="5"/>
  <c r="L1089" i="5"/>
  <c r="M1089" i="5"/>
  <c r="N1089" i="5"/>
  <c r="Q1089" i="5"/>
  <c r="S1089" i="5"/>
  <c r="T1089" i="5"/>
  <c r="U1089" i="5"/>
  <c r="V1089" i="5"/>
  <c r="B1090" i="5"/>
  <c r="C1090" i="5"/>
  <c r="E1090" i="5"/>
  <c r="F1090" i="5"/>
  <c r="G1090" i="5"/>
  <c r="J1090" i="5"/>
  <c r="K1090" i="5"/>
  <c r="L1090" i="5"/>
  <c r="M1090" i="5"/>
  <c r="N1090" i="5"/>
  <c r="O1090" i="5"/>
  <c r="R1090" i="5"/>
  <c r="S1090" i="5"/>
  <c r="V1090" i="5"/>
  <c r="W1090" i="5"/>
  <c r="C1091" i="5"/>
  <c r="D1091" i="5"/>
  <c r="F1091" i="5"/>
  <c r="I1091" i="5"/>
  <c r="J1091" i="5"/>
  <c r="K1091" i="5"/>
  <c r="N1091" i="5"/>
  <c r="Q1091" i="5"/>
  <c r="S1091" i="5"/>
  <c r="T1091" i="5"/>
  <c r="V1091" i="5"/>
  <c r="B1092" i="5"/>
  <c r="C1092" i="5"/>
  <c r="F1092" i="5"/>
  <c r="G1092" i="5"/>
  <c r="K1092" i="5"/>
  <c r="N1092" i="5"/>
  <c r="O1092" i="5"/>
  <c r="Q1092" i="5"/>
  <c r="R1092" i="5"/>
  <c r="S1092" i="5"/>
  <c r="V1092" i="5"/>
  <c r="W1092" i="5"/>
  <c r="X1092" i="5"/>
  <c r="C1093" i="5"/>
  <c r="D1093" i="5"/>
  <c r="F1093" i="5"/>
  <c r="G1093" i="5"/>
  <c r="H1093" i="5"/>
  <c r="I1093" i="5"/>
  <c r="K1093" i="5"/>
  <c r="L1093" i="5"/>
  <c r="M1093" i="5"/>
  <c r="N1093" i="5"/>
  <c r="O1093" i="5"/>
  <c r="P1093" i="5"/>
  <c r="Q1093" i="5"/>
  <c r="S1093" i="5"/>
  <c r="U1093" i="5"/>
  <c r="V1093" i="5"/>
  <c r="W1093" i="5"/>
  <c r="X1093" i="5"/>
  <c r="B1094" i="5"/>
  <c r="D1094" i="5"/>
  <c r="E1094" i="5"/>
  <c r="F1094" i="5"/>
  <c r="G1094" i="5"/>
  <c r="K1094" i="5"/>
  <c r="M1094" i="5"/>
  <c r="N1094" i="5"/>
  <c r="R1094" i="5"/>
  <c r="S1094" i="5"/>
  <c r="U1094" i="5"/>
  <c r="V1094" i="5"/>
  <c r="C1095" i="5"/>
  <c r="D1095" i="5"/>
  <c r="K1095" i="5"/>
  <c r="L1095" i="5"/>
  <c r="P1095" i="5"/>
  <c r="Q1095" i="5"/>
  <c r="X1095" i="5"/>
  <c r="B1096" i="5"/>
  <c r="G1096" i="5"/>
  <c r="H1096" i="5"/>
  <c r="I1096" i="5"/>
  <c r="N1096" i="5"/>
  <c r="O1096" i="5"/>
  <c r="P1096" i="5"/>
  <c r="S1096" i="5"/>
  <c r="V1096" i="5"/>
  <c r="W1096" i="5"/>
  <c r="X1096" i="5"/>
  <c r="F1097" i="5"/>
  <c r="G1097" i="5"/>
  <c r="H1097" i="5"/>
  <c r="I1097" i="5"/>
  <c r="L1097" i="5"/>
  <c r="P1097" i="5"/>
  <c r="Q1097" i="5"/>
  <c r="W1097" i="5"/>
  <c r="X1097" i="5"/>
  <c r="B1098" i="5"/>
  <c r="C1098" i="5"/>
  <c r="D1098" i="5"/>
  <c r="J1098" i="5"/>
  <c r="K1098" i="5"/>
  <c r="N1098" i="5"/>
  <c r="R1098" i="5"/>
  <c r="S1098" i="5"/>
  <c r="T1098" i="5"/>
  <c r="U1098" i="5"/>
  <c r="B1099" i="5"/>
  <c r="C1099" i="5"/>
  <c r="D1099" i="5"/>
  <c r="E1099" i="5"/>
  <c r="I1099" i="5"/>
  <c r="J1099" i="5"/>
  <c r="K1099" i="5"/>
  <c r="L1099" i="5"/>
  <c r="M1099" i="5"/>
  <c r="Q1099" i="5"/>
  <c r="R1099" i="5"/>
  <c r="S1099" i="5"/>
  <c r="T1099" i="5"/>
  <c r="C1100" i="5"/>
  <c r="K1100" i="5"/>
  <c r="O1100" i="5"/>
  <c r="P1100" i="5"/>
  <c r="S1100" i="5"/>
  <c r="W1100" i="5"/>
  <c r="X1100" i="5"/>
  <c r="D1101" i="5"/>
  <c r="L1101" i="5"/>
  <c r="N1101" i="5"/>
  <c r="O1101" i="5"/>
  <c r="T1101" i="5"/>
  <c r="U1101" i="5"/>
  <c r="V1101" i="5"/>
  <c r="C1102" i="5"/>
  <c r="D1102" i="5"/>
  <c r="K1102" i="5"/>
  <c r="L1102" i="5"/>
  <c r="M1102" i="5"/>
  <c r="S1102" i="5"/>
  <c r="T1102" i="5"/>
  <c r="B1103" i="5"/>
  <c r="C1103" i="5"/>
  <c r="D1103" i="5"/>
  <c r="J1103" i="5"/>
  <c r="K1103" i="5"/>
  <c r="L1103" i="5"/>
  <c r="R1103" i="5"/>
  <c r="S1103" i="5"/>
  <c r="T1103" i="5"/>
  <c r="C1104" i="5"/>
  <c r="F1104" i="5"/>
  <c r="G1104" i="5"/>
  <c r="H1104" i="5"/>
  <c r="K1104" i="5"/>
  <c r="N1104" i="5"/>
  <c r="O1104" i="5"/>
  <c r="P1104" i="5"/>
  <c r="Q1104" i="5"/>
  <c r="S1104" i="5"/>
  <c r="X1104" i="5"/>
  <c r="D1105" i="5"/>
  <c r="I1105" i="5"/>
  <c r="L1105" i="5"/>
  <c r="T1105" i="5"/>
  <c r="V1105" i="5"/>
  <c r="C9" i="4"/>
  <c r="E9" i="4"/>
  <c r="B15" i="4"/>
  <c r="C15" i="4"/>
  <c r="D15" i="4"/>
  <c r="E15" i="4"/>
  <c r="F15" i="4"/>
  <c r="G15" i="4"/>
  <c r="H15" i="4"/>
  <c r="I15" i="4"/>
  <c r="J15" i="4"/>
  <c r="K15" i="4"/>
  <c r="L15" i="4"/>
  <c r="M15" i="4"/>
  <c r="N15" i="4"/>
  <c r="O15" i="4"/>
  <c r="B16" i="4"/>
  <c r="C16" i="4"/>
  <c r="D16" i="4"/>
  <c r="E16" i="4"/>
  <c r="F16" i="4"/>
  <c r="G16" i="4"/>
  <c r="H16" i="4"/>
  <c r="I16" i="4"/>
  <c r="J16" i="4"/>
  <c r="K16" i="4"/>
  <c r="L16" i="4"/>
  <c r="M16" i="4"/>
  <c r="N16" i="4"/>
  <c r="O16" i="4"/>
  <c r="B17" i="4"/>
  <c r="C17" i="4"/>
  <c r="D17" i="4"/>
  <c r="E17" i="4"/>
  <c r="F17" i="4"/>
  <c r="G17" i="4"/>
  <c r="H17" i="4"/>
  <c r="I17" i="4"/>
  <c r="J17" i="4"/>
  <c r="K17" i="4"/>
  <c r="L17" i="4"/>
  <c r="M17" i="4"/>
  <c r="N17" i="4"/>
  <c r="O17" i="4"/>
  <c r="B18" i="4"/>
  <c r="C18" i="4"/>
  <c r="D18" i="4"/>
  <c r="E18" i="4"/>
  <c r="F18" i="4"/>
  <c r="G18" i="4"/>
  <c r="H18" i="4"/>
  <c r="I18" i="4"/>
  <c r="J18" i="4"/>
  <c r="K18" i="4"/>
  <c r="L18" i="4"/>
  <c r="M18" i="4"/>
  <c r="N18" i="4"/>
  <c r="O18" i="4"/>
  <c r="B19" i="4"/>
  <c r="C19" i="4"/>
  <c r="D19" i="4"/>
  <c r="E19" i="4"/>
  <c r="F19" i="4"/>
  <c r="G19" i="4"/>
  <c r="H19" i="4"/>
  <c r="I19" i="4"/>
  <c r="J19" i="4"/>
  <c r="K19" i="4"/>
  <c r="L19" i="4"/>
  <c r="M19" i="4"/>
  <c r="N19" i="4"/>
  <c r="O19" i="4"/>
  <c r="B20" i="4"/>
  <c r="C20" i="4"/>
  <c r="D20" i="4"/>
  <c r="E20" i="4"/>
  <c r="F20" i="4"/>
  <c r="G20" i="4"/>
  <c r="H20" i="4"/>
  <c r="I20" i="4"/>
  <c r="J20" i="4"/>
  <c r="K20" i="4"/>
  <c r="L20" i="4"/>
  <c r="M20" i="4"/>
  <c r="N20" i="4"/>
  <c r="O20" i="4"/>
  <c r="B21" i="4"/>
  <c r="C21" i="4"/>
  <c r="D21" i="4"/>
  <c r="E21" i="4"/>
  <c r="F21" i="4"/>
  <c r="G21" i="4"/>
  <c r="H21" i="4"/>
  <c r="I21" i="4"/>
  <c r="J21" i="4"/>
  <c r="K21" i="4"/>
  <c r="L21" i="4"/>
  <c r="M21" i="4"/>
  <c r="N21" i="4"/>
  <c r="O21" i="4"/>
  <c r="B22" i="4"/>
  <c r="C22" i="4"/>
  <c r="D22" i="4"/>
  <c r="E22" i="4"/>
  <c r="F22" i="4"/>
  <c r="G22" i="4"/>
  <c r="H22" i="4"/>
  <c r="I22" i="4"/>
  <c r="J22" i="4"/>
  <c r="K22" i="4"/>
  <c r="L22" i="4"/>
  <c r="M22" i="4"/>
  <c r="N22" i="4"/>
  <c r="O22" i="4"/>
  <c r="B23" i="4"/>
  <c r="C23" i="4"/>
  <c r="D23" i="4"/>
  <c r="E23" i="4"/>
  <c r="F23" i="4"/>
  <c r="G23" i="4"/>
  <c r="H23" i="4"/>
  <c r="I23" i="4"/>
  <c r="J23" i="4"/>
  <c r="K23" i="4"/>
  <c r="L23" i="4"/>
  <c r="M23" i="4"/>
  <c r="N23" i="4"/>
  <c r="O23" i="4"/>
  <c r="B24" i="4"/>
  <c r="C24" i="4"/>
  <c r="D24" i="4"/>
  <c r="E24" i="4"/>
  <c r="F24" i="4"/>
  <c r="G24" i="4"/>
  <c r="H24" i="4"/>
  <c r="I24" i="4"/>
  <c r="J24" i="4"/>
  <c r="K24" i="4"/>
  <c r="L24" i="4"/>
  <c r="M24" i="4"/>
  <c r="N24" i="4"/>
  <c r="O24" i="4"/>
  <c r="B25" i="4"/>
  <c r="C25" i="4"/>
  <c r="D25" i="4"/>
  <c r="E25" i="4"/>
  <c r="F25" i="4"/>
  <c r="G25" i="4"/>
  <c r="H25" i="4"/>
  <c r="I25" i="4"/>
  <c r="J25" i="4"/>
  <c r="K25" i="4"/>
  <c r="L25" i="4"/>
  <c r="M25" i="4"/>
  <c r="N25" i="4"/>
  <c r="O25" i="4"/>
  <c r="B26" i="4"/>
  <c r="C26" i="4"/>
  <c r="D26" i="4"/>
  <c r="E26" i="4"/>
  <c r="F26" i="4"/>
  <c r="G26" i="4"/>
  <c r="H26" i="4"/>
  <c r="I26" i="4"/>
  <c r="J26" i="4"/>
  <c r="K26" i="4"/>
  <c r="L26" i="4"/>
  <c r="M26" i="4"/>
  <c r="N26" i="4"/>
  <c r="O26" i="4"/>
  <c r="B27" i="4"/>
  <c r="C27" i="4"/>
  <c r="D27" i="4"/>
  <c r="E27" i="4"/>
  <c r="F27" i="4"/>
  <c r="G27" i="4"/>
  <c r="H27" i="4"/>
  <c r="I27" i="4"/>
  <c r="J27" i="4"/>
  <c r="K27" i="4"/>
  <c r="L27" i="4"/>
  <c r="M27" i="4"/>
  <c r="N27" i="4"/>
  <c r="O27" i="4"/>
  <c r="B28" i="4"/>
  <c r="C28" i="4"/>
  <c r="D28" i="4"/>
  <c r="E28" i="4"/>
  <c r="F28" i="4"/>
  <c r="G28" i="4"/>
  <c r="H28" i="4"/>
  <c r="I28" i="4"/>
  <c r="J28" i="4"/>
  <c r="K28" i="4"/>
  <c r="L28" i="4"/>
  <c r="M28" i="4"/>
  <c r="N28" i="4"/>
  <c r="O28" i="4"/>
  <c r="B29" i="4"/>
  <c r="C29" i="4"/>
  <c r="D29" i="4"/>
  <c r="E29" i="4"/>
  <c r="F29" i="4"/>
  <c r="G29" i="4"/>
  <c r="H29" i="4"/>
  <c r="I29" i="4"/>
  <c r="J29" i="4"/>
  <c r="K29" i="4"/>
  <c r="L29" i="4"/>
  <c r="M29" i="4"/>
  <c r="N29" i="4"/>
  <c r="O29" i="4"/>
  <c r="B30" i="4"/>
  <c r="C30" i="4"/>
  <c r="D30" i="4"/>
  <c r="E30" i="4"/>
  <c r="F30" i="4"/>
  <c r="G30" i="4"/>
  <c r="H30" i="4"/>
  <c r="I30" i="4"/>
  <c r="J30" i="4"/>
  <c r="K30" i="4"/>
  <c r="L30" i="4"/>
  <c r="M30" i="4"/>
  <c r="N30" i="4"/>
  <c r="O30" i="4"/>
  <c r="B31" i="4"/>
  <c r="C31" i="4"/>
  <c r="D31" i="4"/>
  <c r="E31" i="4"/>
  <c r="F31" i="4"/>
  <c r="G31" i="4"/>
  <c r="H31" i="4"/>
  <c r="I31" i="4"/>
  <c r="J31" i="4"/>
  <c r="K31" i="4"/>
  <c r="L31" i="4"/>
  <c r="M31" i="4"/>
  <c r="N31" i="4"/>
  <c r="O31" i="4"/>
  <c r="B32" i="4"/>
  <c r="C32" i="4"/>
  <c r="D32" i="4"/>
  <c r="E32" i="4"/>
  <c r="F32" i="4"/>
  <c r="G32" i="4"/>
  <c r="H32" i="4"/>
  <c r="I32" i="4"/>
  <c r="J32" i="4"/>
  <c r="K32" i="4"/>
  <c r="L32" i="4"/>
  <c r="M32" i="4"/>
  <c r="N32" i="4"/>
  <c r="O32" i="4"/>
  <c r="B33" i="4"/>
  <c r="C33" i="4"/>
  <c r="D33" i="4"/>
  <c r="E33" i="4"/>
  <c r="F33" i="4"/>
  <c r="G33" i="4"/>
  <c r="H33" i="4"/>
  <c r="I33" i="4"/>
  <c r="J33" i="4"/>
  <c r="K33" i="4"/>
  <c r="L33" i="4"/>
  <c r="M33" i="4"/>
  <c r="N33" i="4"/>
  <c r="O33" i="4"/>
  <c r="B34" i="4"/>
  <c r="C34" i="4"/>
  <c r="D34" i="4"/>
  <c r="E34" i="4"/>
  <c r="F34" i="4"/>
  <c r="G34" i="4"/>
  <c r="H34" i="4"/>
  <c r="I34" i="4"/>
  <c r="J34" i="4"/>
  <c r="K34" i="4"/>
  <c r="L34" i="4"/>
  <c r="M34" i="4"/>
  <c r="N34" i="4"/>
  <c r="O34" i="4"/>
  <c r="B35" i="4"/>
  <c r="C35" i="4"/>
  <c r="D35" i="4"/>
  <c r="E35" i="4"/>
  <c r="F35" i="4"/>
  <c r="G35" i="4"/>
  <c r="H35" i="4"/>
  <c r="I35" i="4"/>
  <c r="J35" i="4"/>
  <c r="K35" i="4"/>
  <c r="L35" i="4"/>
  <c r="M35" i="4"/>
  <c r="N35" i="4"/>
  <c r="O35" i="4"/>
  <c r="B36" i="4"/>
  <c r="C36" i="4"/>
  <c r="D36" i="4"/>
  <c r="E36" i="4"/>
  <c r="F36" i="4"/>
  <c r="G36" i="4"/>
  <c r="H36" i="4"/>
  <c r="I36" i="4"/>
  <c r="J36" i="4"/>
  <c r="K36" i="4"/>
  <c r="L36" i="4"/>
  <c r="M36" i="4"/>
  <c r="N36" i="4"/>
  <c r="O36" i="4"/>
  <c r="B37" i="4"/>
  <c r="C37" i="4"/>
  <c r="D37" i="4"/>
  <c r="E37" i="4"/>
  <c r="F37" i="4"/>
  <c r="G37" i="4"/>
  <c r="H37" i="4"/>
  <c r="I37" i="4"/>
  <c r="J37" i="4"/>
  <c r="K37" i="4"/>
  <c r="L37" i="4"/>
  <c r="M37" i="4"/>
  <c r="N37" i="4"/>
  <c r="O37" i="4"/>
  <c r="B38" i="4"/>
  <c r="C38" i="4"/>
  <c r="D38" i="4"/>
  <c r="E38" i="4"/>
  <c r="F38" i="4"/>
  <c r="G38" i="4"/>
  <c r="H38" i="4"/>
  <c r="I38" i="4"/>
  <c r="J38" i="4"/>
  <c r="K38" i="4"/>
  <c r="L38" i="4"/>
  <c r="M38" i="4"/>
  <c r="N38" i="4"/>
  <c r="O38" i="4"/>
  <c r="B39" i="4"/>
  <c r="C39" i="4"/>
  <c r="D39" i="4"/>
  <c r="E39" i="4"/>
  <c r="F39" i="4"/>
  <c r="G39" i="4"/>
  <c r="H39" i="4"/>
  <c r="I39" i="4"/>
  <c r="J39" i="4"/>
  <c r="K39" i="4"/>
  <c r="L39" i="4"/>
  <c r="M39" i="4"/>
  <c r="N39" i="4"/>
  <c r="O39" i="4"/>
  <c r="B40" i="4"/>
  <c r="C40" i="4"/>
  <c r="D40" i="4"/>
  <c r="E40" i="4"/>
  <c r="F40" i="4"/>
  <c r="G40" i="4"/>
  <c r="H40" i="4"/>
  <c r="I40" i="4"/>
  <c r="J40" i="4"/>
  <c r="K40" i="4"/>
  <c r="L40" i="4"/>
  <c r="M40" i="4"/>
  <c r="N40" i="4"/>
  <c r="O40" i="4"/>
  <c r="B41" i="4"/>
  <c r="C41" i="4"/>
  <c r="D41" i="4"/>
  <c r="E41" i="4"/>
  <c r="F41" i="4"/>
  <c r="G41" i="4"/>
  <c r="H41" i="4"/>
  <c r="I41" i="4"/>
  <c r="J41" i="4"/>
  <c r="K41" i="4"/>
  <c r="L41" i="4"/>
  <c r="M41" i="4"/>
  <c r="N41" i="4"/>
  <c r="O41" i="4"/>
  <c r="B42" i="4"/>
  <c r="C42" i="4"/>
  <c r="D42" i="4"/>
  <c r="E42" i="4"/>
  <c r="F42" i="4"/>
  <c r="G42" i="4"/>
  <c r="H42" i="4"/>
  <c r="I42" i="4"/>
  <c r="J42" i="4"/>
  <c r="K42" i="4"/>
  <c r="L42" i="4"/>
  <c r="M42" i="4"/>
  <c r="N42" i="4"/>
  <c r="O42" i="4"/>
  <c r="B43" i="4"/>
  <c r="C43" i="4"/>
  <c r="D43" i="4"/>
  <c r="E43" i="4"/>
  <c r="F43" i="4"/>
  <c r="G43" i="4"/>
  <c r="H43" i="4"/>
  <c r="I43" i="4"/>
  <c r="J43" i="4"/>
  <c r="K43" i="4"/>
  <c r="L43" i="4"/>
  <c r="M43" i="4"/>
  <c r="N43" i="4"/>
  <c r="O43" i="4"/>
  <c r="B44" i="4"/>
  <c r="C44" i="4"/>
  <c r="D44" i="4"/>
  <c r="E44" i="4"/>
  <c r="F44" i="4"/>
  <c r="G44" i="4"/>
  <c r="H44" i="4"/>
  <c r="I44" i="4"/>
  <c r="J44" i="4"/>
  <c r="K44" i="4"/>
  <c r="L44" i="4"/>
  <c r="M44" i="4"/>
  <c r="N44" i="4"/>
  <c r="O44" i="4"/>
  <c r="B45" i="4"/>
  <c r="C45" i="4"/>
  <c r="D45" i="4"/>
  <c r="E45" i="4"/>
  <c r="F45" i="4"/>
  <c r="G45" i="4"/>
  <c r="H45" i="4"/>
  <c r="I45" i="4"/>
  <c r="J45" i="4"/>
  <c r="K45" i="4"/>
  <c r="L45" i="4"/>
  <c r="M45" i="4"/>
  <c r="N45" i="4"/>
  <c r="O45" i="4"/>
  <c r="B46" i="4"/>
  <c r="C46" i="4"/>
  <c r="D46" i="4"/>
  <c r="E46" i="4"/>
  <c r="F46" i="4"/>
  <c r="G46" i="4"/>
  <c r="H46" i="4"/>
  <c r="I46" i="4"/>
  <c r="J46" i="4"/>
  <c r="K46" i="4"/>
  <c r="L46" i="4"/>
  <c r="M46" i="4"/>
  <c r="N46" i="4"/>
  <c r="O46" i="4"/>
  <c r="B47" i="4"/>
  <c r="C47" i="4"/>
  <c r="D47" i="4"/>
  <c r="E47" i="4"/>
  <c r="F47" i="4"/>
  <c r="G47" i="4"/>
  <c r="H47" i="4"/>
  <c r="I47" i="4"/>
  <c r="J47" i="4"/>
  <c r="K47" i="4"/>
  <c r="L47" i="4"/>
  <c r="M47" i="4"/>
  <c r="N47" i="4"/>
  <c r="O47" i="4"/>
  <c r="B48" i="4"/>
  <c r="C48" i="4"/>
  <c r="D48" i="4"/>
  <c r="E48" i="4"/>
  <c r="F48" i="4"/>
  <c r="G48" i="4"/>
  <c r="H48" i="4"/>
  <c r="I48" i="4"/>
  <c r="J48" i="4"/>
  <c r="K48" i="4"/>
  <c r="L48" i="4"/>
  <c r="M48" i="4"/>
  <c r="N48" i="4"/>
  <c r="O48" i="4"/>
  <c r="B49" i="4"/>
  <c r="C49" i="4"/>
  <c r="D49" i="4"/>
  <c r="E49" i="4"/>
  <c r="F49" i="4"/>
  <c r="G49" i="4"/>
  <c r="H49" i="4"/>
  <c r="I49" i="4"/>
  <c r="J49" i="4"/>
  <c r="K49" i="4"/>
  <c r="L49" i="4"/>
  <c r="M49" i="4"/>
  <c r="N49" i="4"/>
  <c r="O49" i="4"/>
  <c r="B50" i="4"/>
  <c r="C50" i="4"/>
  <c r="D50" i="4"/>
  <c r="E50" i="4"/>
  <c r="F50" i="4"/>
  <c r="G50" i="4"/>
  <c r="H50" i="4"/>
  <c r="I50" i="4"/>
  <c r="J50" i="4"/>
  <c r="K50" i="4"/>
  <c r="L50" i="4"/>
  <c r="M50" i="4"/>
  <c r="N50" i="4"/>
  <c r="O50" i="4"/>
  <c r="B51" i="4"/>
  <c r="C51" i="4"/>
  <c r="D51" i="4"/>
  <c r="E51" i="4"/>
  <c r="F51" i="4"/>
  <c r="G51" i="4"/>
  <c r="H51" i="4"/>
  <c r="I51" i="4"/>
  <c r="J51" i="4"/>
  <c r="K51" i="4"/>
  <c r="L51" i="4"/>
  <c r="M51" i="4"/>
  <c r="N51" i="4"/>
  <c r="O51" i="4"/>
  <c r="B52" i="4"/>
  <c r="C52" i="4"/>
  <c r="D52" i="4"/>
  <c r="E52" i="4"/>
  <c r="F52" i="4"/>
  <c r="G52" i="4"/>
  <c r="H52" i="4"/>
  <c r="I52" i="4"/>
  <c r="J52" i="4"/>
  <c r="K52" i="4"/>
  <c r="L52" i="4"/>
  <c r="M52" i="4"/>
  <c r="N52" i="4"/>
  <c r="O52" i="4"/>
  <c r="B53" i="4"/>
  <c r="C53" i="4"/>
  <c r="D53" i="4"/>
  <c r="E53" i="4"/>
  <c r="F53" i="4"/>
  <c r="G53" i="4"/>
  <c r="H53" i="4"/>
  <c r="I53" i="4"/>
  <c r="J53" i="4"/>
  <c r="K53" i="4"/>
  <c r="L53" i="4"/>
  <c r="M53" i="4"/>
  <c r="N53" i="4"/>
  <c r="O53" i="4"/>
  <c r="B54" i="4"/>
  <c r="C54" i="4"/>
  <c r="D54" i="4"/>
  <c r="E54" i="4"/>
  <c r="F54" i="4"/>
  <c r="G54" i="4"/>
  <c r="H54" i="4"/>
  <c r="I54" i="4"/>
  <c r="J54" i="4"/>
  <c r="K54" i="4"/>
  <c r="L54" i="4"/>
  <c r="M54" i="4"/>
  <c r="N54" i="4"/>
  <c r="O54" i="4"/>
  <c r="B55" i="4"/>
  <c r="C55" i="4"/>
  <c r="D55" i="4"/>
  <c r="E55" i="4"/>
  <c r="F55" i="4"/>
  <c r="G55" i="4"/>
  <c r="H55" i="4"/>
  <c r="I55" i="4"/>
  <c r="J55" i="4"/>
  <c r="K55" i="4"/>
  <c r="L55" i="4"/>
  <c r="M55" i="4"/>
  <c r="N55" i="4"/>
  <c r="O55" i="4"/>
  <c r="B56" i="4"/>
  <c r="C56" i="4"/>
  <c r="D56" i="4"/>
  <c r="E56" i="4"/>
  <c r="F56" i="4"/>
  <c r="G56" i="4"/>
  <c r="H56" i="4"/>
  <c r="I56" i="4"/>
  <c r="J56" i="4"/>
  <c r="K56" i="4"/>
  <c r="L56" i="4"/>
  <c r="M56" i="4"/>
  <c r="N56" i="4"/>
  <c r="O56" i="4"/>
  <c r="B57" i="4"/>
  <c r="C57" i="4"/>
  <c r="D57" i="4"/>
  <c r="E57" i="4"/>
  <c r="F57" i="4"/>
  <c r="G57" i="4"/>
  <c r="H57" i="4"/>
  <c r="I57" i="4"/>
  <c r="J57" i="4"/>
  <c r="K57" i="4"/>
  <c r="L57" i="4"/>
  <c r="M57" i="4"/>
  <c r="N57" i="4"/>
  <c r="O57" i="4"/>
  <c r="B58" i="4"/>
  <c r="C58" i="4"/>
  <c r="D58" i="4"/>
  <c r="E58" i="4"/>
  <c r="F58" i="4"/>
  <c r="G58" i="4"/>
  <c r="H58" i="4"/>
  <c r="I58" i="4"/>
  <c r="J58" i="4"/>
  <c r="K58" i="4"/>
  <c r="L58" i="4"/>
  <c r="M58" i="4"/>
  <c r="N58" i="4"/>
  <c r="O58" i="4"/>
  <c r="B59" i="4"/>
  <c r="C59" i="4"/>
  <c r="D59" i="4"/>
  <c r="E59" i="4"/>
  <c r="F59" i="4"/>
  <c r="G59" i="4"/>
  <c r="H59" i="4"/>
  <c r="I59" i="4"/>
  <c r="J59" i="4"/>
  <c r="K59" i="4"/>
  <c r="L59" i="4"/>
  <c r="M59" i="4"/>
  <c r="N59" i="4"/>
  <c r="O59" i="4"/>
  <c r="B60" i="4"/>
  <c r="C60" i="4"/>
  <c r="D60" i="4"/>
  <c r="E60" i="4"/>
  <c r="F60" i="4"/>
  <c r="G60" i="4"/>
  <c r="H60" i="4"/>
  <c r="I60" i="4"/>
  <c r="J60" i="4"/>
  <c r="K60" i="4"/>
  <c r="L60" i="4"/>
  <c r="M60" i="4"/>
  <c r="N60" i="4"/>
  <c r="O60" i="4"/>
  <c r="B61" i="4"/>
  <c r="C61" i="4"/>
  <c r="D61" i="4"/>
  <c r="E61" i="4"/>
  <c r="F61" i="4"/>
  <c r="G61" i="4"/>
  <c r="H61" i="4"/>
  <c r="I61" i="4"/>
  <c r="J61" i="4"/>
  <c r="K61" i="4"/>
  <c r="L61" i="4"/>
  <c r="M61" i="4"/>
  <c r="N61" i="4"/>
  <c r="O61" i="4"/>
  <c r="B62" i="4"/>
  <c r="C62" i="4"/>
  <c r="D62" i="4"/>
  <c r="E62" i="4"/>
  <c r="F62" i="4"/>
  <c r="G62" i="4"/>
  <c r="H62" i="4"/>
  <c r="I62" i="4"/>
  <c r="J62" i="4"/>
  <c r="K62" i="4"/>
  <c r="L62" i="4"/>
  <c r="M62" i="4"/>
  <c r="N62" i="4"/>
  <c r="O62" i="4"/>
  <c r="B63" i="4"/>
  <c r="C63" i="4"/>
  <c r="D63" i="4"/>
  <c r="E63" i="4"/>
  <c r="F63" i="4"/>
  <c r="G63" i="4"/>
  <c r="H63" i="4"/>
  <c r="I63" i="4"/>
  <c r="J63" i="4"/>
  <c r="K63" i="4"/>
  <c r="L63" i="4"/>
  <c r="M63" i="4"/>
  <c r="N63" i="4"/>
  <c r="O63" i="4"/>
  <c r="B64" i="4"/>
  <c r="C64" i="4"/>
  <c r="D64" i="4"/>
  <c r="E64" i="4"/>
  <c r="F64" i="4"/>
  <c r="G64" i="4"/>
  <c r="H64" i="4"/>
  <c r="I64" i="4"/>
  <c r="J64" i="4"/>
  <c r="K64" i="4"/>
  <c r="L64" i="4"/>
  <c r="M64" i="4"/>
  <c r="N64" i="4"/>
  <c r="O64" i="4"/>
  <c r="B65" i="4"/>
  <c r="C65" i="4"/>
  <c r="D65" i="4"/>
  <c r="E65" i="4"/>
  <c r="F65" i="4"/>
  <c r="G65" i="4"/>
  <c r="H65" i="4"/>
  <c r="I65" i="4"/>
  <c r="J65" i="4"/>
  <c r="K65" i="4"/>
  <c r="L65" i="4"/>
  <c r="M65" i="4"/>
  <c r="N65" i="4"/>
  <c r="O65" i="4"/>
  <c r="B66" i="4"/>
  <c r="C66" i="4"/>
  <c r="D66" i="4"/>
  <c r="E66" i="4"/>
  <c r="F66" i="4"/>
  <c r="G66" i="4"/>
  <c r="H66" i="4"/>
  <c r="I66" i="4"/>
  <c r="J66" i="4"/>
  <c r="K66" i="4"/>
  <c r="L66" i="4"/>
  <c r="M66" i="4"/>
  <c r="N66" i="4"/>
  <c r="O66" i="4"/>
  <c r="B67" i="4"/>
  <c r="C67" i="4"/>
  <c r="D67" i="4"/>
  <c r="E67" i="4"/>
  <c r="F67" i="4"/>
  <c r="G67" i="4"/>
  <c r="H67" i="4"/>
  <c r="I67" i="4"/>
  <c r="J67" i="4"/>
  <c r="K67" i="4"/>
  <c r="L67" i="4"/>
  <c r="M67" i="4"/>
  <c r="N67" i="4"/>
  <c r="O67" i="4"/>
  <c r="B68" i="4"/>
  <c r="C68" i="4"/>
  <c r="D68" i="4"/>
  <c r="E68" i="4"/>
  <c r="F68" i="4"/>
  <c r="G68" i="4"/>
  <c r="H68" i="4"/>
  <c r="I68" i="4"/>
  <c r="J68" i="4"/>
  <c r="K68" i="4"/>
  <c r="L68" i="4"/>
  <c r="M68" i="4"/>
  <c r="N68" i="4"/>
  <c r="O68" i="4"/>
  <c r="B69" i="4"/>
  <c r="C69" i="4"/>
  <c r="D69" i="4"/>
  <c r="E69" i="4"/>
  <c r="F69" i="4"/>
  <c r="G69" i="4"/>
  <c r="H69" i="4"/>
  <c r="I69" i="4"/>
  <c r="J69" i="4"/>
  <c r="K69" i="4"/>
  <c r="L69" i="4"/>
  <c r="M69" i="4"/>
  <c r="N69" i="4"/>
  <c r="O69" i="4"/>
  <c r="B70" i="4"/>
  <c r="C70" i="4"/>
  <c r="D70" i="4"/>
  <c r="E70" i="4"/>
  <c r="F70" i="4"/>
  <c r="G70" i="4"/>
  <c r="H70" i="4"/>
  <c r="I70" i="4"/>
  <c r="J70" i="4"/>
  <c r="K70" i="4"/>
  <c r="L70" i="4"/>
  <c r="M70" i="4"/>
  <c r="N70" i="4"/>
  <c r="O70" i="4"/>
  <c r="B71" i="4"/>
  <c r="C71" i="4"/>
  <c r="D71" i="4"/>
  <c r="E71" i="4"/>
  <c r="F71" i="4"/>
  <c r="G71" i="4"/>
  <c r="H71" i="4"/>
  <c r="I71" i="4"/>
  <c r="J71" i="4"/>
  <c r="K71" i="4"/>
  <c r="L71" i="4"/>
  <c r="M71" i="4"/>
  <c r="N71" i="4"/>
  <c r="O71" i="4"/>
  <c r="B72" i="4"/>
  <c r="C72" i="4"/>
  <c r="D72" i="4"/>
  <c r="E72" i="4"/>
  <c r="F72" i="4"/>
  <c r="G72" i="4"/>
  <c r="H72" i="4"/>
  <c r="I72" i="4"/>
  <c r="J72" i="4"/>
  <c r="K72" i="4"/>
  <c r="L72" i="4"/>
  <c r="M72" i="4"/>
  <c r="N72" i="4"/>
  <c r="O72" i="4"/>
  <c r="B73" i="4"/>
  <c r="C73" i="4"/>
  <c r="D73" i="4"/>
  <c r="E73" i="4"/>
  <c r="F73" i="4"/>
  <c r="G73" i="4"/>
  <c r="H73" i="4"/>
  <c r="I73" i="4"/>
  <c r="J73" i="4"/>
  <c r="K73" i="4"/>
  <c r="L73" i="4"/>
  <c r="M73" i="4"/>
  <c r="N73" i="4"/>
  <c r="O73" i="4"/>
  <c r="B74" i="4"/>
  <c r="C74" i="4"/>
  <c r="D74" i="4"/>
  <c r="E74" i="4"/>
  <c r="F74" i="4"/>
  <c r="G74" i="4"/>
  <c r="H74" i="4"/>
  <c r="I74" i="4"/>
  <c r="J74" i="4"/>
  <c r="K74" i="4"/>
  <c r="L74" i="4"/>
  <c r="M74" i="4"/>
  <c r="N74" i="4"/>
  <c r="O74" i="4"/>
  <c r="B75" i="4"/>
  <c r="C75" i="4"/>
  <c r="D75" i="4"/>
  <c r="E75" i="4"/>
  <c r="F75" i="4"/>
  <c r="G75" i="4"/>
  <c r="H75" i="4"/>
  <c r="I75" i="4"/>
  <c r="J75" i="4"/>
  <c r="K75" i="4"/>
  <c r="L75" i="4"/>
  <c r="M75" i="4"/>
  <c r="N75" i="4"/>
  <c r="O75" i="4"/>
  <c r="B76" i="4"/>
  <c r="C76" i="4"/>
  <c r="D76" i="4"/>
  <c r="E76" i="4"/>
  <c r="F76" i="4"/>
  <c r="G76" i="4"/>
  <c r="H76" i="4"/>
  <c r="I76" i="4"/>
  <c r="J76" i="4"/>
  <c r="K76" i="4"/>
  <c r="L76" i="4"/>
  <c r="M76" i="4"/>
  <c r="N76" i="4"/>
  <c r="O76" i="4"/>
  <c r="B77" i="4"/>
  <c r="C77" i="4"/>
  <c r="D77" i="4"/>
  <c r="E77" i="4"/>
  <c r="F77" i="4"/>
  <c r="G77" i="4"/>
  <c r="H77" i="4"/>
  <c r="I77" i="4"/>
  <c r="J77" i="4"/>
  <c r="K77" i="4"/>
  <c r="L77" i="4"/>
  <c r="M77" i="4"/>
  <c r="N77" i="4"/>
  <c r="O77" i="4"/>
  <c r="B78" i="4"/>
  <c r="C78" i="4"/>
  <c r="D78" i="4"/>
  <c r="E78" i="4"/>
  <c r="F78" i="4"/>
  <c r="G78" i="4"/>
  <c r="H78" i="4"/>
  <c r="I78" i="4"/>
  <c r="J78" i="4"/>
  <c r="K78" i="4"/>
  <c r="L78" i="4"/>
  <c r="M78" i="4"/>
  <c r="N78" i="4"/>
  <c r="O78" i="4"/>
  <c r="B79" i="4"/>
  <c r="C79" i="4"/>
  <c r="D79" i="4"/>
  <c r="E79" i="4"/>
  <c r="F79" i="4"/>
  <c r="G79" i="4"/>
  <c r="H79" i="4"/>
  <c r="I79" i="4"/>
  <c r="J79" i="4"/>
  <c r="K79" i="4"/>
  <c r="L79" i="4"/>
  <c r="M79" i="4"/>
  <c r="N79" i="4"/>
  <c r="O79" i="4"/>
  <c r="B80" i="4"/>
  <c r="C80" i="4"/>
  <c r="D80" i="4"/>
  <c r="E80" i="4"/>
  <c r="F80" i="4"/>
  <c r="G80" i="4"/>
  <c r="H80" i="4"/>
  <c r="I80" i="4"/>
  <c r="J80" i="4"/>
  <c r="K80" i="4"/>
  <c r="L80" i="4"/>
  <c r="M80" i="4"/>
  <c r="N80" i="4"/>
  <c r="O80" i="4"/>
  <c r="B81" i="4"/>
  <c r="C81" i="4"/>
  <c r="D81" i="4"/>
  <c r="E81" i="4"/>
  <c r="F81" i="4"/>
  <c r="G81" i="4"/>
  <c r="H81" i="4"/>
  <c r="I81" i="4"/>
  <c r="J81" i="4"/>
  <c r="K81" i="4"/>
  <c r="L81" i="4"/>
  <c r="M81" i="4"/>
  <c r="N81" i="4"/>
  <c r="O81" i="4"/>
  <c r="B82" i="4"/>
  <c r="C82" i="4"/>
  <c r="D82" i="4"/>
  <c r="E82" i="4"/>
  <c r="F82" i="4"/>
  <c r="G82" i="4"/>
  <c r="H82" i="4"/>
  <c r="I82" i="4"/>
  <c r="J82" i="4"/>
  <c r="K82" i="4"/>
  <c r="L82" i="4"/>
  <c r="M82" i="4"/>
  <c r="N82" i="4"/>
  <c r="O82" i="4"/>
  <c r="B83" i="4"/>
  <c r="C83" i="4"/>
  <c r="D83" i="4"/>
  <c r="E83" i="4"/>
  <c r="F83" i="4"/>
  <c r="G83" i="4"/>
  <c r="H83" i="4"/>
  <c r="I83" i="4"/>
  <c r="J83" i="4"/>
  <c r="K83" i="4"/>
  <c r="L83" i="4"/>
  <c r="M83" i="4"/>
  <c r="N83" i="4"/>
  <c r="O83" i="4"/>
  <c r="B84" i="4"/>
  <c r="C84" i="4"/>
  <c r="D84" i="4"/>
  <c r="E84" i="4"/>
  <c r="F84" i="4"/>
  <c r="G84" i="4"/>
  <c r="H84" i="4"/>
  <c r="I84" i="4"/>
  <c r="J84" i="4"/>
  <c r="K84" i="4"/>
  <c r="L84" i="4"/>
  <c r="M84" i="4"/>
  <c r="N84" i="4"/>
  <c r="O84" i="4"/>
  <c r="B85" i="4"/>
  <c r="C85" i="4"/>
  <c r="D85" i="4"/>
  <c r="E85" i="4"/>
  <c r="F85" i="4"/>
  <c r="G85" i="4"/>
  <c r="H85" i="4"/>
  <c r="I85" i="4"/>
  <c r="J85" i="4"/>
  <c r="K85" i="4"/>
  <c r="L85" i="4"/>
  <c r="M85" i="4"/>
  <c r="N85" i="4"/>
  <c r="O85" i="4"/>
  <c r="B86" i="4"/>
  <c r="C86" i="4"/>
  <c r="D86" i="4"/>
  <c r="E86" i="4"/>
  <c r="F86" i="4"/>
  <c r="G86" i="4"/>
  <c r="H86" i="4"/>
  <c r="I86" i="4"/>
  <c r="J86" i="4"/>
  <c r="K86" i="4"/>
  <c r="L86" i="4"/>
  <c r="M86" i="4"/>
  <c r="N86" i="4"/>
  <c r="O86" i="4"/>
  <c r="B87" i="4"/>
  <c r="C87" i="4"/>
  <c r="D87" i="4"/>
  <c r="E87" i="4"/>
  <c r="F87" i="4"/>
  <c r="G87" i="4"/>
  <c r="H87" i="4"/>
  <c r="I87" i="4"/>
  <c r="J87" i="4"/>
  <c r="K87" i="4"/>
  <c r="L87" i="4"/>
  <c r="M87" i="4"/>
  <c r="N87" i="4"/>
  <c r="O87" i="4"/>
  <c r="B88" i="4"/>
  <c r="C88" i="4"/>
  <c r="D88" i="4"/>
  <c r="E88" i="4"/>
  <c r="F88" i="4"/>
  <c r="G88" i="4"/>
  <c r="H88" i="4"/>
  <c r="I88" i="4"/>
  <c r="J88" i="4"/>
  <c r="K88" i="4"/>
  <c r="L88" i="4"/>
  <c r="M88" i="4"/>
  <c r="N88" i="4"/>
  <c r="O88" i="4"/>
  <c r="B89" i="4"/>
  <c r="C89" i="4"/>
  <c r="D89" i="4"/>
  <c r="E89" i="4"/>
  <c r="F89" i="4"/>
  <c r="G89" i="4"/>
  <c r="H89" i="4"/>
  <c r="I89" i="4"/>
  <c r="J89" i="4"/>
  <c r="K89" i="4"/>
  <c r="L89" i="4"/>
  <c r="M89" i="4"/>
  <c r="N89" i="4"/>
  <c r="O89" i="4"/>
  <c r="B90" i="4"/>
  <c r="C90" i="4"/>
  <c r="D90" i="4"/>
  <c r="E90" i="4"/>
  <c r="F90" i="4"/>
  <c r="G90" i="4"/>
  <c r="H90" i="4"/>
  <c r="I90" i="4"/>
  <c r="J90" i="4"/>
  <c r="K90" i="4"/>
  <c r="L90" i="4"/>
  <c r="M90" i="4"/>
  <c r="N90" i="4"/>
  <c r="O90" i="4"/>
  <c r="B91" i="4"/>
  <c r="C91" i="4"/>
  <c r="D91" i="4"/>
  <c r="E91" i="4"/>
  <c r="F91" i="4"/>
  <c r="G91" i="4"/>
  <c r="H91" i="4"/>
  <c r="I91" i="4"/>
  <c r="J91" i="4"/>
  <c r="K91" i="4"/>
  <c r="L91" i="4"/>
  <c r="M91" i="4"/>
  <c r="N91" i="4"/>
  <c r="O91" i="4"/>
  <c r="B92" i="4"/>
  <c r="C92" i="4"/>
  <c r="D92" i="4"/>
  <c r="E92" i="4"/>
  <c r="F92" i="4"/>
  <c r="G92" i="4"/>
  <c r="H92" i="4"/>
  <c r="I92" i="4"/>
  <c r="J92" i="4"/>
  <c r="K92" i="4"/>
  <c r="L92" i="4"/>
  <c r="M92" i="4"/>
  <c r="N92" i="4"/>
  <c r="O92" i="4"/>
  <c r="B93" i="4"/>
  <c r="C93" i="4"/>
  <c r="D93" i="4"/>
  <c r="E93" i="4"/>
  <c r="F93" i="4"/>
  <c r="G93" i="4"/>
  <c r="H93" i="4"/>
  <c r="I93" i="4"/>
  <c r="J93" i="4"/>
  <c r="K93" i="4"/>
  <c r="L93" i="4"/>
  <c r="M93" i="4"/>
  <c r="N93" i="4"/>
  <c r="O93" i="4"/>
  <c r="B94" i="4"/>
  <c r="C94" i="4"/>
  <c r="D94" i="4"/>
  <c r="E94" i="4"/>
  <c r="F94" i="4"/>
  <c r="G94" i="4"/>
  <c r="H94" i="4"/>
  <c r="I94" i="4"/>
  <c r="J94" i="4"/>
  <c r="K94" i="4"/>
  <c r="L94" i="4"/>
  <c r="M94" i="4"/>
  <c r="N94" i="4"/>
  <c r="O94" i="4"/>
  <c r="B95" i="4"/>
  <c r="C95" i="4"/>
  <c r="D95" i="4"/>
  <c r="E95" i="4"/>
  <c r="F95" i="4"/>
  <c r="G95" i="4"/>
  <c r="H95" i="4"/>
  <c r="I95" i="4"/>
  <c r="J95" i="4"/>
  <c r="K95" i="4"/>
  <c r="L95" i="4"/>
  <c r="M95" i="4"/>
  <c r="N95" i="4"/>
  <c r="O95" i="4"/>
  <c r="B96" i="4"/>
  <c r="C96" i="4"/>
  <c r="D96" i="4"/>
  <c r="E96" i="4"/>
  <c r="F96" i="4"/>
  <c r="G96" i="4"/>
  <c r="H96" i="4"/>
  <c r="I96" i="4"/>
  <c r="J96" i="4"/>
  <c r="K96" i="4"/>
  <c r="L96" i="4"/>
  <c r="M96" i="4"/>
  <c r="N96" i="4"/>
  <c r="O96" i="4"/>
  <c r="B97" i="4"/>
  <c r="C97" i="4"/>
  <c r="D97" i="4"/>
  <c r="E97" i="4"/>
  <c r="F97" i="4"/>
  <c r="G97" i="4"/>
  <c r="H97" i="4"/>
  <c r="I97" i="4"/>
  <c r="J97" i="4"/>
  <c r="K97" i="4"/>
  <c r="L97" i="4"/>
  <c r="M97" i="4"/>
  <c r="N97" i="4"/>
  <c r="O97" i="4"/>
  <c r="B98" i="4"/>
  <c r="C98" i="4"/>
  <c r="D98" i="4"/>
  <c r="E98" i="4"/>
  <c r="F98" i="4"/>
  <c r="G98" i="4"/>
  <c r="H98" i="4"/>
  <c r="I98" i="4"/>
  <c r="J98" i="4"/>
  <c r="K98" i="4"/>
  <c r="L98" i="4"/>
  <c r="M98" i="4"/>
  <c r="N98" i="4"/>
  <c r="O98" i="4"/>
  <c r="B99" i="4"/>
  <c r="C99" i="4"/>
  <c r="D99" i="4"/>
  <c r="E99" i="4"/>
  <c r="F99" i="4"/>
  <c r="G99" i="4"/>
  <c r="H99" i="4"/>
  <c r="I99" i="4"/>
  <c r="J99" i="4"/>
  <c r="K99" i="4"/>
  <c r="L99" i="4"/>
  <c r="M99" i="4"/>
  <c r="N99" i="4"/>
  <c r="O99" i="4"/>
  <c r="B100" i="4"/>
  <c r="C100" i="4"/>
  <c r="D100" i="4"/>
  <c r="E100" i="4"/>
  <c r="F100" i="4"/>
  <c r="G100" i="4"/>
  <c r="H100" i="4"/>
  <c r="I100" i="4"/>
  <c r="J100" i="4"/>
  <c r="K100" i="4"/>
  <c r="L100" i="4"/>
  <c r="M100" i="4"/>
  <c r="N100" i="4"/>
  <c r="O100" i="4"/>
  <c r="B101" i="4"/>
  <c r="C101" i="4"/>
  <c r="D101" i="4"/>
  <c r="E101" i="4"/>
  <c r="F101" i="4"/>
  <c r="G101" i="4"/>
  <c r="H101" i="4"/>
  <c r="I101" i="4"/>
  <c r="J101" i="4"/>
  <c r="K101" i="4"/>
  <c r="L101" i="4"/>
  <c r="M101" i="4"/>
  <c r="N101" i="4"/>
  <c r="O101" i="4"/>
  <c r="B102" i="4"/>
  <c r="C102" i="4"/>
  <c r="D102" i="4"/>
  <c r="E102" i="4"/>
  <c r="F102" i="4"/>
  <c r="G102" i="4"/>
  <c r="H102" i="4"/>
  <c r="I102" i="4"/>
  <c r="J102" i="4"/>
  <c r="K102" i="4"/>
  <c r="L102" i="4"/>
  <c r="M102" i="4"/>
  <c r="N102" i="4"/>
  <c r="O102" i="4"/>
  <c r="B103" i="4"/>
  <c r="C103" i="4"/>
  <c r="D103" i="4"/>
  <c r="E103" i="4"/>
  <c r="F103" i="4"/>
  <c r="G103" i="4"/>
  <c r="H103" i="4"/>
  <c r="I103" i="4"/>
  <c r="J103" i="4"/>
  <c r="K103" i="4"/>
  <c r="L103" i="4"/>
  <c r="M103" i="4"/>
  <c r="N103" i="4"/>
  <c r="O103" i="4"/>
  <c r="B104" i="4"/>
  <c r="C104" i="4"/>
  <c r="D104" i="4"/>
  <c r="E104" i="4"/>
  <c r="F104" i="4"/>
  <c r="G104" i="4"/>
  <c r="H104" i="4"/>
  <c r="I104" i="4"/>
  <c r="J104" i="4"/>
  <c r="K104" i="4"/>
  <c r="L104" i="4"/>
  <c r="M104" i="4"/>
  <c r="N104" i="4"/>
  <c r="O104" i="4"/>
  <c r="B105" i="4"/>
  <c r="C105" i="4"/>
  <c r="D105" i="4"/>
  <c r="E105" i="4"/>
  <c r="F105" i="4"/>
  <c r="G105" i="4"/>
  <c r="H105" i="4"/>
  <c r="I105" i="4"/>
  <c r="J105" i="4"/>
  <c r="K105" i="4"/>
  <c r="L105" i="4"/>
  <c r="M105" i="4"/>
  <c r="N105" i="4"/>
  <c r="O105" i="4"/>
  <c r="B106" i="4"/>
  <c r="C106" i="4"/>
  <c r="D106" i="4"/>
  <c r="E106" i="4"/>
  <c r="F106" i="4"/>
  <c r="G106" i="4"/>
  <c r="H106" i="4"/>
  <c r="I106" i="4"/>
  <c r="J106" i="4"/>
  <c r="K106" i="4"/>
  <c r="L106" i="4"/>
  <c r="M106" i="4"/>
  <c r="N106" i="4"/>
  <c r="O106" i="4"/>
  <c r="B107" i="4"/>
  <c r="C107" i="4"/>
  <c r="D107" i="4"/>
  <c r="E107" i="4"/>
  <c r="F107" i="4"/>
  <c r="G107" i="4"/>
  <c r="H107" i="4"/>
  <c r="I107" i="4"/>
  <c r="J107" i="4"/>
  <c r="K107" i="4"/>
  <c r="L107" i="4"/>
  <c r="M107" i="4"/>
  <c r="N107" i="4"/>
  <c r="O107" i="4"/>
  <c r="B108" i="4"/>
  <c r="C108" i="4"/>
  <c r="D108" i="4"/>
  <c r="E108" i="4"/>
  <c r="F108" i="4"/>
  <c r="G108" i="4"/>
  <c r="H108" i="4"/>
  <c r="I108" i="4"/>
  <c r="J108" i="4"/>
  <c r="K108" i="4"/>
  <c r="L108" i="4"/>
  <c r="M108" i="4"/>
  <c r="N108" i="4"/>
  <c r="O108" i="4"/>
  <c r="B109" i="4"/>
  <c r="C109" i="4"/>
  <c r="D109" i="4"/>
  <c r="E109" i="4"/>
  <c r="F109" i="4"/>
  <c r="G109" i="4"/>
  <c r="H109" i="4"/>
  <c r="I109" i="4"/>
  <c r="J109" i="4"/>
  <c r="K109" i="4"/>
  <c r="L109" i="4"/>
  <c r="M109" i="4"/>
  <c r="N109" i="4"/>
  <c r="O109" i="4"/>
  <c r="B110" i="4"/>
  <c r="C110" i="4"/>
  <c r="D110" i="4"/>
  <c r="E110" i="4"/>
  <c r="F110" i="4"/>
  <c r="G110" i="4"/>
  <c r="H110" i="4"/>
  <c r="I110" i="4"/>
  <c r="J110" i="4"/>
  <c r="K110" i="4"/>
  <c r="L110" i="4"/>
  <c r="M110" i="4"/>
  <c r="N110" i="4"/>
  <c r="O110" i="4"/>
  <c r="B111" i="4"/>
  <c r="C111" i="4"/>
  <c r="D111" i="4"/>
  <c r="E111" i="4"/>
  <c r="F111" i="4"/>
  <c r="G111" i="4"/>
  <c r="H111" i="4"/>
  <c r="I111" i="4"/>
  <c r="J111" i="4"/>
  <c r="K111" i="4"/>
  <c r="L111" i="4"/>
  <c r="M111" i="4"/>
  <c r="N111" i="4"/>
  <c r="O111" i="4"/>
  <c r="B112" i="4"/>
  <c r="C112" i="4"/>
  <c r="D112" i="4"/>
  <c r="E112" i="4"/>
  <c r="F112" i="4"/>
  <c r="G112" i="4"/>
  <c r="H112" i="4"/>
  <c r="I112" i="4"/>
  <c r="J112" i="4"/>
  <c r="K112" i="4"/>
  <c r="L112" i="4"/>
  <c r="M112" i="4"/>
  <c r="N112" i="4"/>
  <c r="O112" i="4"/>
  <c r="B113" i="4"/>
  <c r="C113" i="4"/>
  <c r="D113" i="4"/>
  <c r="E113" i="4"/>
  <c r="F113" i="4"/>
  <c r="G113" i="4"/>
  <c r="H113" i="4"/>
  <c r="I113" i="4"/>
  <c r="J113" i="4"/>
  <c r="K113" i="4"/>
  <c r="L113" i="4"/>
  <c r="M113" i="4"/>
  <c r="N113" i="4"/>
  <c r="O113" i="4"/>
  <c r="B114" i="4"/>
  <c r="C114" i="4"/>
  <c r="D114" i="4"/>
  <c r="E114" i="4"/>
  <c r="F114" i="4"/>
  <c r="G114" i="4"/>
  <c r="H114" i="4"/>
  <c r="I114" i="4"/>
  <c r="J114" i="4"/>
  <c r="K114" i="4"/>
  <c r="L114" i="4"/>
  <c r="M114" i="4"/>
  <c r="N114" i="4"/>
  <c r="O114" i="4"/>
  <c r="B115" i="4"/>
  <c r="C115" i="4"/>
  <c r="D115" i="4"/>
  <c r="E115" i="4"/>
  <c r="F115" i="4"/>
  <c r="G115" i="4"/>
  <c r="H115" i="4"/>
  <c r="I115" i="4"/>
  <c r="J115" i="4"/>
  <c r="K115" i="4"/>
  <c r="L115" i="4"/>
  <c r="M115" i="4"/>
  <c r="N115" i="4"/>
  <c r="O115" i="4"/>
  <c r="B116" i="4"/>
  <c r="C116" i="4"/>
  <c r="D116" i="4"/>
  <c r="E116" i="4"/>
  <c r="F116" i="4"/>
  <c r="G116" i="4"/>
  <c r="H116" i="4"/>
  <c r="I116" i="4"/>
  <c r="J116" i="4"/>
  <c r="K116" i="4"/>
  <c r="L116" i="4"/>
  <c r="M116" i="4"/>
  <c r="N116" i="4"/>
  <c r="O116" i="4"/>
  <c r="B117" i="4"/>
  <c r="C117" i="4"/>
  <c r="D117" i="4"/>
  <c r="E117" i="4"/>
  <c r="F117" i="4"/>
  <c r="G117" i="4"/>
  <c r="H117" i="4"/>
  <c r="I117" i="4"/>
  <c r="J117" i="4"/>
  <c r="K117" i="4"/>
  <c r="L117" i="4"/>
  <c r="M117" i="4"/>
  <c r="N117" i="4"/>
  <c r="O117" i="4"/>
  <c r="B118" i="4"/>
  <c r="C118" i="4"/>
  <c r="D118" i="4"/>
  <c r="E118" i="4"/>
  <c r="F118" i="4"/>
  <c r="G118" i="4"/>
  <c r="H118" i="4"/>
  <c r="I118" i="4"/>
  <c r="J118" i="4"/>
  <c r="K118" i="4"/>
  <c r="L118" i="4"/>
  <c r="M118" i="4"/>
  <c r="N118" i="4"/>
  <c r="O118" i="4"/>
  <c r="B119" i="4"/>
  <c r="C119" i="4"/>
  <c r="D119" i="4"/>
  <c r="E119" i="4"/>
  <c r="F119" i="4"/>
  <c r="G119" i="4"/>
  <c r="H119" i="4"/>
  <c r="I119" i="4"/>
  <c r="J119" i="4"/>
  <c r="K119" i="4"/>
  <c r="L119" i="4"/>
  <c r="M119" i="4"/>
  <c r="N119" i="4"/>
  <c r="O119" i="4"/>
  <c r="B120" i="4"/>
  <c r="C120" i="4"/>
  <c r="D120" i="4"/>
  <c r="E120" i="4"/>
  <c r="F120" i="4"/>
  <c r="G120" i="4"/>
  <c r="H120" i="4"/>
  <c r="I120" i="4"/>
  <c r="J120" i="4"/>
  <c r="K120" i="4"/>
  <c r="L120" i="4"/>
  <c r="M120" i="4"/>
  <c r="N120" i="4"/>
  <c r="O120" i="4"/>
  <c r="B121" i="4"/>
  <c r="C121" i="4"/>
  <c r="D121" i="4"/>
  <c r="E121" i="4"/>
  <c r="F121" i="4"/>
  <c r="G121" i="4"/>
  <c r="H121" i="4"/>
  <c r="I121" i="4"/>
  <c r="J121" i="4"/>
  <c r="K121" i="4"/>
  <c r="L121" i="4"/>
  <c r="M121" i="4"/>
  <c r="N121" i="4"/>
  <c r="O121" i="4"/>
  <c r="B122" i="4"/>
  <c r="C122" i="4"/>
  <c r="D122" i="4"/>
  <c r="E122" i="4"/>
  <c r="F122" i="4"/>
  <c r="G122" i="4"/>
  <c r="H122" i="4"/>
  <c r="I122" i="4"/>
  <c r="J122" i="4"/>
  <c r="K122" i="4"/>
  <c r="L122" i="4"/>
  <c r="M122" i="4"/>
  <c r="N122" i="4"/>
  <c r="O122" i="4"/>
  <c r="B123" i="4"/>
  <c r="C123" i="4"/>
  <c r="D123" i="4"/>
  <c r="E123" i="4"/>
  <c r="F123" i="4"/>
  <c r="G123" i="4"/>
  <c r="H123" i="4"/>
  <c r="I123" i="4"/>
  <c r="J123" i="4"/>
  <c r="K123" i="4"/>
  <c r="L123" i="4"/>
  <c r="M123" i="4"/>
  <c r="N123" i="4"/>
  <c r="O123" i="4"/>
  <c r="B124" i="4"/>
  <c r="C124" i="4"/>
  <c r="D124" i="4"/>
  <c r="E124" i="4"/>
  <c r="F124" i="4"/>
  <c r="G124" i="4"/>
  <c r="H124" i="4"/>
  <c r="I124" i="4"/>
  <c r="J124" i="4"/>
  <c r="K124" i="4"/>
  <c r="L124" i="4"/>
  <c r="M124" i="4"/>
  <c r="N124" i="4"/>
  <c r="O124" i="4"/>
  <c r="B125" i="4"/>
  <c r="C125" i="4"/>
  <c r="D125" i="4"/>
  <c r="E125" i="4"/>
  <c r="F125" i="4"/>
  <c r="G125" i="4"/>
  <c r="H125" i="4"/>
  <c r="I125" i="4"/>
  <c r="J125" i="4"/>
  <c r="K125" i="4"/>
  <c r="L125" i="4"/>
  <c r="M125" i="4"/>
  <c r="N125" i="4"/>
  <c r="O125" i="4"/>
  <c r="B126" i="4"/>
  <c r="C126" i="4"/>
  <c r="D126" i="4"/>
  <c r="E126" i="4"/>
  <c r="F126" i="4"/>
  <c r="G126" i="4"/>
  <c r="H126" i="4"/>
  <c r="I126" i="4"/>
  <c r="J126" i="4"/>
  <c r="K126" i="4"/>
  <c r="L126" i="4"/>
  <c r="M126" i="4"/>
  <c r="N126" i="4"/>
  <c r="O126" i="4"/>
  <c r="B127" i="4"/>
  <c r="C127" i="4"/>
  <c r="D127" i="4"/>
  <c r="E127" i="4"/>
  <c r="F127" i="4"/>
  <c r="G127" i="4"/>
  <c r="H127" i="4"/>
  <c r="I127" i="4"/>
  <c r="J127" i="4"/>
  <c r="K127" i="4"/>
  <c r="L127" i="4"/>
  <c r="M127" i="4"/>
  <c r="N127" i="4"/>
  <c r="O127" i="4"/>
  <c r="B128" i="4"/>
  <c r="C128" i="4"/>
  <c r="D128" i="4"/>
  <c r="E128" i="4"/>
  <c r="F128" i="4"/>
  <c r="G128" i="4"/>
  <c r="H128" i="4"/>
  <c r="I128" i="4"/>
  <c r="J128" i="4"/>
  <c r="K128" i="4"/>
  <c r="L128" i="4"/>
  <c r="M128" i="4"/>
  <c r="N128" i="4"/>
  <c r="O128" i="4"/>
  <c r="B129" i="4"/>
  <c r="C129" i="4"/>
  <c r="D129" i="4"/>
  <c r="E129" i="4"/>
  <c r="F129" i="4"/>
  <c r="G129" i="4"/>
  <c r="H129" i="4"/>
  <c r="I129" i="4"/>
  <c r="J129" i="4"/>
  <c r="K129" i="4"/>
  <c r="L129" i="4"/>
  <c r="M129" i="4"/>
  <c r="N129" i="4"/>
  <c r="O129" i="4"/>
  <c r="B130" i="4"/>
  <c r="C130" i="4"/>
  <c r="D130" i="4"/>
  <c r="E130" i="4"/>
  <c r="F130" i="4"/>
  <c r="G130" i="4"/>
  <c r="H130" i="4"/>
  <c r="I130" i="4"/>
  <c r="J130" i="4"/>
  <c r="K130" i="4"/>
  <c r="L130" i="4"/>
  <c r="M130" i="4"/>
  <c r="N130" i="4"/>
  <c r="O130" i="4"/>
  <c r="B131" i="4"/>
  <c r="C131" i="4"/>
  <c r="D131" i="4"/>
  <c r="E131" i="4"/>
  <c r="F131" i="4"/>
  <c r="G131" i="4"/>
  <c r="H131" i="4"/>
  <c r="I131" i="4"/>
  <c r="J131" i="4"/>
  <c r="K131" i="4"/>
  <c r="L131" i="4"/>
  <c r="M131" i="4"/>
  <c r="N131" i="4"/>
  <c r="O131" i="4"/>
  <c r="B132" i="4"/>
  <c r="C132" i="4"/>
  <c r="D132" i="4"/>
  <c r="E132" i="4"/>
  <c r="F132" i="4"/>
  <c r="G132" i="4"/>
  <c r="H132" i="4"/>
  <c r="I132" i="4"/>
  <c r="J132" i="4"/>
  <c r="K132" i="4"/>
  <c r="L132" i="4"/>
  <c r="M132" i="4"/>
  <c r="N132" i="4"/>
  <c r="O132" i="4"/>
  <c r="B133" i="4"/>
  <c r="C133" i="4"/>
  <c r="D133" i="4"/>
  <c r="E133" i="4"/>
  <c r="F133" i="4"/>
  <c r="G133" i="4"/>
  <c r="H133" i="4"/>
  <c r="I133" i="4"/>
  <c r="J133" i="4"/>
  <c r="K133" i="4"/>
  <c r="L133" i="4"/>
  <c r="M133" i="4"/>
  <c r="N133" i="4"/>
  <c r="O133" i="4"/>
  <c r="B134" i="4"/>
  <c r="C134" i="4"/>
  <c r="D134" i="4"/>
  <c r="E134" i="4"/>
  <c r="F134" i="4"/>
  <c r="G134" i="4"/>
  <c r="H134" i="4"/>
  <c r="I134" i="4"/>
  <c r="J134" i="4"/>
  <c r="K134" i="4"/>
  <c r="L134" i="4"/>
  <c r="M134" i="4"/>
  <c r="N134" i="4"/>
  <c r="O134" i="4"/>
  <c r="B135" i="4"/>
  <c r="C135" i="4"/>
  <c r="D135" i="4"/>
  <c r="E135" i="4"/>
  <c r="F135" i="4"/>
  <c r="G135" i="4"/>
  <c r="H135" i="4"/>
  <c r="I135" i="4"/>
  <c r="J135" i="4"/>
  <c r="K135" i="4"/>
  <c r="L135" i="4"/>
  <c r="M135" i="4"/>
  <c r="N135" i="4"/>
  <c r="O135" i="4"/>
  <c r="B136" i="4"/>
  <c r="C136" i="4"/>
  <c r="D136" i="4"/>
  <c r="E136" i="4"/>
  <c r="F136" i="4"/>
  <c r="G136" i="4"/>
  <c r="H136" i="4"/>
  <c r="I136" i="4"/>
  <c r="J136" i="4"/>
  <c r="K136" i="4"/>
  <c r="L136" i="4"/>
  <c r="M136" i="4"/>
  <c r="N136" i="4"/>
  <c r="O136" i="4"/>
  <c r="B137" i="4"/>
  <c r="C137" i="4"/>
  <c r="D137" i="4"/>
  <c r="E137" i="4"/>
  <c r="F137" i="4"/>
  <c r="G137" i="4"/>
  <c r="H137" i="4"/>
  <c r="I137" i="4"/>
  <c r="J137" i="4"/>
  <c r="K137" i="4"/>
  <c r="L137" i="4"/>
  <c r="M137" i="4"/>
  <c r="N137" i="4"/>
  <c r="O137" i="4"/>
  <c r="B138" i="4"/>
  <c r="C138" i="4"/>
  <c r="D138" i="4"/>
  <c r="E138" i="4"/>
  <c r="F138" i="4"/>
  <c r="G138" i="4"/>
  <c r="H138" i="4"/>
  <c r="I138" i="4"/>
  <c r="J138" i="4"/>
  <c r="K138" i="4"/>
  <c r="L138" i="4"/>
  <c r="M138" i="4"/>
  <c r="N138" i="4"/>
  <c r="O138" i="4"/>
  <c r="B139" i="4"/>
  <c r="C139" i="4"/>
  <c r="D139" i="4"/>
  <c r="E139" i="4"/>
  <c r="F139" i="4"/>
  <c r="G139" i="4"/>
  <c r="H139" i="4"/>
  <c r="I139" i="4"/>
  <c r="J139" i="4"/>
  <c r="K139" i="4"/>
  <c r="L139" i="4"/>
  <c r="M139" i="4"/>
  <c r="N139" i="4"/>
  <c r="O139" i="4"/>
  <c r="B140" i="4"/>
  <c r="C140" i="4"/>
  <c r="D140" i="4"/>
  <c r="E140" i="4"/>
  <c r="F140" i="4"/>
  <c r="G140" i="4"/>
  <c r="H140" i="4"/>
  <c r="I140" i="4"/>
  <c r="J140" i="4"/>
  <c r="K140" i="4"/>
  <c r="L140" i="4"/>
  <c r="M140" i="4"/>
  <c r="N140" i="4"/>
  <c r="O140" i="4"/>
  <c r="B141" i="4"/>
  <c r="C141" i="4"/>
  <c r="D141" i="4"/>
  <c r="E141" i="4"/>
  <c r="F141" i="4"/>
  <c r="G141" i="4"/>
  <c r="H141" i="4"/>
  <c r="I141" i="4"/>
  <c r="J141" i="4"/>
  <c r="K141" i="4"/>
  <c r="L141" i="4"/>
  <c r="M141" i="4"/>
  <c r="N141" i="4"/>
  <c r="O141" i="4"/>
  <c r="B142" i="4"/>
  <c r="C142" i="4"/>
  <c r="D142" i="4"/>
  <c r="E142" i="4"/>
  <c r="F142" i="4"/>
  <c r="G142" i="4"/>
  <c r="H142" i="4"/>
  <c r="I142" i="4"/>
  <c r="J142" i="4"/>
  <c r="K142" i="4"/>
  <c r="L142" i="4"/>
  <c r="M142" i="4"/>
  <c r="N142" i="4"/>
  <c r="O142" i="4"/>
  <c r="B143" i="4"/>
  <c r="C143" i="4"/>
  <c r="D143" i="4"/>
  <c r="E143" i="4"/>
  <c r="F143" i="4"/>
  <c r="G143" i="4"/>
  <c r="H143" i="4"/>
  <c r="I143" i="4"/>
  <c r="J143" i="4"/>
  <c r="K143" i="4"/>
  <c r="L143" i="4"/>
  <c r="M143" i="4"/>
  <c r="N143" i="4"/>
  <c r="O143" i="4"/>
  <c r="B144" i="4"/>
  <c r="C144" i="4"/>
  <c r="D144" i="4"/>
  <c r="E144" i="4"/>
  <c r="F144" i="4"/>
  <c r="G144" i="4"/>
  <c r="H144" i="4"/>
  <c r="I144" i="4"/>
  <c r="J144" i="4"/>
  <c r="K144" i="4"/>
  <c r="L144" i="4"/>
  <c r="M144" i="4"/>
  <c r="N144" i="4"/>
  <c r="O144" i="4"/>
  <c r="B145" i="4"/>
  <c r="C145" i="4"/>
  <c r="D145" i="4"/>
  <c r="E145" i="4"/>
  <c r="F145" i="4"/>
  <c r="G145" i="4"/>
  <c r="H145" i="4"/>
  <c r="I145" i="4"/>
  <c r="J145" i="4"/>
  <c r="K145" i="4"/>
  <c r="L145" i="4"/>
  <c r="M145" i="4"/>
  <c r="N145" i="4"/>
  <c r="O145" i="4"/>
  <c r="B146" i="4"/>
  <c r="C146" i="4"/>
  <c r="D146" i="4"/>
  <c r="E146" i="4"/>
  <c r="F146" i="4"/>
  <c r="G146" i="4"/>
  <c r="H146" i="4"/>
  <c r="I146" i="4"/>
  <c r="J146" i="4"/>
  <c r="K146" i="4"/>
  <c r="L146" i="4"/>
  <c r="M146" i="4"/>
  <c r="N146" i="4"/>
  <c r="O146" i="4"/>
  <c r="B147" i="4"/>
  <c r="C147" i="4"/>
  <c r="D147" i="4"/>
  <c r="E147" i="4"/>
  <c r="F147" i="4"/>
  <c r="G147" i="4"/>
  <c r="H147" i="4"/>
  <c r="I147" i="4"/>
  <c r="J147" i="4"/>
  <c r="K147" i="4"/>
  <c r="L147" i="4"/>
  <c r="M147" i="4"/>
  <c r="N147" i="4"/>
  <c r="O147" i="4"/>
  <c r="B148" i="4"/>
  <c r="C148" i="4"/>
  <c r="D148" i="4"/>
  <c r="E148" i="4"/>
  <c r="F148" i="4"/>
  <c r="G148" i="4"/>
  <c r="H148" i="4"/>
  <c r="I148" i="4"/>
  <c r="J148" i="4"/>
  <c r="K148" i="4"/>
  <c r="L148" i="4"/>
  <c r="M148" i="4"/>
  <c r="N148" i="4"/>
  <c r="O148" i="4"/>
  <c r="B149" i="4"/>
  <c r="C149" i="4"/>
  <c r="D149" i="4"/>
  <c r="E149" i="4"/>
  <c r="F149" i="4"/>
  <c r="G149" i="4"/>
  <c r="H149" i="4"/>
  <c r="I149" i="4"/>
  <c r="J149" i="4"/>
  <c r="K149" i="4"/>
  <c r="L149" i="4"/>
  <c r="M149" i="4"/>
  <c r="N149" i="4"/>
  <c r="O149" i="4"/>
  <c r="B150" i="4"/>
  <c r="C150" i="4"/>
  <c r="D150" i="4"/>
  <c r="E150" i="4"/>
  <c r="F150" i="4"/>
  <c r="G150" i="4"/>
  <c r="H150" i="4"/>
  <c r="I150" i="4"/>
  <c r="J150" i="4"/>
  <c r="K150" i="4"/>
  <c r="L150" i="4"/>
  <c r="M150" i="4"/>
  <c r="N150" i="4"/>
  <c r="O150" i="4"/>
  <c r="B151" i="4"/>
  <c r="C151" i="4"/>
  <c r="D151" i="4"/>
  <c r="E151" i="4"/>
  <c r="F151" i="4"/>
  <c r="G151" i="4"/>
  <c r="H151" i="4"/>
  <c r="I151" i="4"/>
  <c r="J151" i="4"/>
  <c r="K151" i="4"/>
  <c r="L151" i="4"/>
  <c r="M151" i="4"/>
  <c r="N151" i="4"/>
  <c r="O151" i="4"/>
  <c r="B152" i="4"/>
  <c r="C152" i="4"/>
  <c r="D152" i="4"/>
  <c r="E152" i="4"/>
  <c r="F152" i="4"/>
  <c r="G152" i="4"/>
  <c r="H152" i="4"/>
  <c r="I152" i="4"/>
  <c r="J152" i="4"/>
  <c r="K152" i="4"/>
  <c r="L152" i="4"/>
  <c r="M152" i="4"/>
  <c r="N152" i="4"/>
  <c r="O152" i="4"/>
  <c r="B153" i="4"/>
  <c r="C153" i="4"/>
  <c r="D153" i="4"/>
  <c r="E153" i="4"/>
  <c r="F153" i="4"/>
  <c r="G153" i="4"/>
  <c r="H153" i="4"/>
  <c r="I153" i="4"/>
  <c r="J153" i="4"/>
  <c r="K153" i="4"/>
  <c r="L153" i="4"/>
  <c r="M153" i="4"/>
  <c r="N153" i="4"/>
  <c r="O153" i="4"/>
  <c r="B154" i="4"/>
  <c r="C154" i="4"/>
  <c r="D154" i="4"/>
  <c r="E154" i="4"/>
  <c r="F154" i="4"/>
  <c r="G154" i="4"/>
  <c r="H154" i="4"/>
  <c r="I154" i="4"/>
  <c r="J154" i="4"/>
  <c r="K154" i="4"/>
  <c r="L154" i="4"/>
  <c r="M154" i="4"/>
  <c r="N154" i="4"/>
  <c r="O154" i="4"/>
  <c r="B155" i="4"/>
  <c r="C155" i="4"/>
  <c r="D155" i="4"/>
  <c r="E155" i="4"/>
  <c r="F155" i="4"/>
  <c r="G155" i="4"/>
  <c r="H155" i="4"/>
  <c r="I155" i="4"/>
  <c r="J155" i="4"/>
  <c r="K155" i="4"/>
  <c r="L155" i="4"/>
  <c r="M155" i="4"/>
  <c r="N155" i="4"/>
  <c r="O155" i="4"/>
  <c r="B156" i="4"/>
  <c r="C156" i="4"/>
  <c r="D156" i="4"/>
  <c r="E156" i="4"/>
  <c r="F156" i="4"/>
  <c r="G156" i="4"/>
  <c r="H156" i="4"/>
  <c r="I156" i="4"/>
  <c r="J156" i="4"/>
  <c r="K156" i="4"/>
  <c r="L156" i="4"/>
  <c r="M156" i="4"/>
  <c r="N156" i="4"/>
  <c r="O156" i="4"/>
  <c r="B157" i="4"/>
  <c r="C157" i="4"/>
  <c r="D157" i="4"/>
  <c r="E157" i="4"/>
  <c r="F157" i="4"/>
  <c r="G157" i="4"/>
  <c r="H157" i="4"/>
  <c r="I157" i="4"/>
  <c r="J157" i="4"/>
  <c r="K157" i="4"/>
  <c r="L157" i="4"/>
  <c r="M157" i="4"/>
  <c r="N157" i="4"/>
  <c r="O157" i="4"/>
  <c r="B158" i="4"/>
  <c r="C158" i="4"/>
  <c r="D158" i="4"/>
  <c r="E158" i="4"/>
  <c r="F158" i="4"/>
  <c r="G158" i="4"/>
  <c r="H158" i="4"/>
  <c r="I158" i="4"/>
  <c r="J158" i="4"/>
  <c r="K158" i="4"/>
  <c r="L158" i="4"/>
  <c r="M158" i="4"/>
  <c r="N158" i="4"/>
  <c r="O158" i="4"/>
  <c r="B159" i="4"/>
  <c r="C159" i="4"/>
  <c r="D159" i="4"/>
  <c r="E159" i="4"/>
  <c r="F159" i="4"/>
  <c r="G159" i="4"/>
  <c r="H159" i="4"/>
  <c r="I159" i="4"/>
  <c r="J159" i="4"/>
  <c r="K159" i="4"/>
  <c r="L159" i="4"/>
  <c r="M159" i="4"/>
  <c r="N159" i="4"/>
  <c r="O159" i="4"/>
  <c r="B160" i="4"/>
  <c r="C160" i="4"/>
  <c r="D160" i="4"/>
  <c r="E160" i="4"/>
  <c r="F160" i="4"/>
  <c r="G160" i="4"/>
  <c r="H160" i="4"/>
  <c r="I160" i="4"/>
  <c r="J160" i="4"/>
  <c r="K160" i="4"/>
  <c r="L160" i="4"/>
  <c r="M160" i="4"/>
  <c r="N160" i="4"/>
  <c r="O160" i="4"/>
  <c r="B161" i="4"/>
  <c r="C161" i="4"/>
  <c r="D161" i="4"/>
  <c r="E161" i="4"/>
  <c r="F161" i="4"/>
  <c r="G161" i="4"/>
  <c r="H161" i="4"/>
  <c r="I161" i="4"/>
  <c r="J161" i="4"/>
  <c r="K161" i="4"/>
  <c r="L161" i="4"/>
  <c r="M161" i="4"/>
  <c r="N161" i="4"/>
  <c r="O161" i="4"/>
  <c r="B162" i="4"/>
  <c r="C162" i="4"/>
  <c r="D162" i="4"/>
  <c r="E162" i="4"/>
  <c r="F162" i="4"/>
  <c r="G162" i="4"/>
  <c r="H162" i="4"/>
  <c r="I162" i="4"/>
  <c r="J162" i="4"/>
  <c r="K162" i="4"/>
  <c r="L162" i="4"/>
  <c r="M162" i="4"/>
  <c r="N162" i="4"/>
  <c r="O162" i="4"/>
  <c r="B163" i="4"/>
  <c r="C163" i="4"/>
  <c r="D163" i="4"/>
  <c r="E163" i="4"/>
  <c r="F163" i="4"/>
  <c r="G163" i="4"/>
  <c r="H163" i="4"/>
  <c r="I163" i="4"/>
  <c r="J163" i="4"/>
  <c r="K163" i="4"/>
  <c r="L163" i="4"/>
  <c r="M163" i="4"/>
  <c r="N163" i="4"/>
  <c r="O163" i="4"/>
  <c r="B164" i="4"/>
  <c r="C164" i="4"/>
  <c r="D164" i="4"/>
  <c r="E164" i="4"/>
  <c r="F164" i="4"/>
  <c r="G164" i="4"/>
  <c r="H164" i="4"/>
  <c r="I164" i="4"/>
  <c r="J164" i="4"/>
  <c r="K164" i="4"/>
  <c r="L164" i="4"/>
  <c r="M164" i="4"/>
  <c r="N164" i="4"/>
  <c r="O164" i="4"/>
  <c r="B165" i="4"/>
  <c r="C165" i="4"/>
  <c r="D165" i="4"/>
  <c r="E165" i="4"/>
  <c r="F165" i="4"/>
  <c r="G165" i="4"/>
  <c r="H165" i="4"/>
  <c r="I165" i="4"/>
  <c r="J165" i="4"/>
  <c r="K165" i="4"/>
  <c r="L165" i="4"/>
  <c r="M165" i="4"/>
  <c r="N165" i="4"/>
  <c r="O165" i="4"/>
  <c r="B166" i="4"/>
  <c r="C166" i="4"/>
  <c r="D166" i="4"/>
  <c r="E166" i="4"/>
  <c r="F166" i="4"/>
  <c r="G166" i="4"/>
  <c r="H166" i="4"/>
  <c r="I166" i="4"/>
  <c r="J166" i="4"/>
  <c r="K166" i="4"/>
  <c r="L166" i="4"/>
  <c r="M166" i="4"/>
  <c r="N166" i="4"/>
  <c r="O166" i="4"/>
  <c r="B167" i="4"/>
  <c r="C167" i="4"/>
  <c r="D167" i="4"/>
  <c r="E167" i="4"/>
  <c r="F167" i="4"/>
  <c r="G167" i="4"/>
  <c r="H167" i="4"/>
  <c r="I167" i="4"/>
  <c r="J167" i="4"/>
  <c r="K167" i="4"/>
  <c r="L167" i="4"/>
  <c r="M167" i="4"/>
  <c r="N167" i="4"/>
  <c r="O167" i="4"/>
  <c r="B168" i="4"/>
  <c r="C168" i="4"/>
  <c r="D168" i="4"/>
  <c r="E168" i="4"/>
  <c r="F168" i="4"/>
  <c r="G168" i="4"/>
  <c r="H168" i="4"/>
  <c r="I168" i="4"/>
  <c r="J168" i="4"/>
  <c r="K168" i="4"/>
  <c r="L168" i="4"/>
  <c r="M168" i="4"/>
  <c r="N168" i="4"/>
  <c r="O168" i="4"/>
  <c r="B169" i="4"/>
  <c r="C169" i="4"/>
  <c r="D169" i="4"/>
  <c r="E169" i="4"/>
  <c r="F169" i="4"/>
  <c r="G169" i="4"/>
  <c r="H169" i="4"/>
  <c r="I169" i="4"/>
  <c r="J169" i="4"/>
  <c r="K169" i="4"/>
  <c r="L169" i="4"/>
  <c r="M169" i="4"/>
  <c r="N169" i="4"/>
  <c r="O169" i="4"/>
  <c r="B170" i="4"/>
  <c r="C170" i="4"/>
  <c r="D170" i="4"/>
  <c r="E170" i="4"/>
  <c r="F170" i="4"/>
  <c r="G170" i="4"/>
  <c r="H170" i="4"/>
  <c r="I170" i="4"/>
  <c r="J170" i="4"/>
  <c r="K170" i="4"/>
  <c r="L170" i="4"/>
  <c r="M170" i="4"/>
  <c r="N170" i="4"/>
  <c r="O170" i="4"/>
  <c r="B171" i="4"/>
  <c r="C171" i="4"/>
  <c r="D171" i="4"/>
  <c r="E171" i="4"/>
  <c r="F171" i="4"/>
  <c r="G171" i="4"/>
  <c r="H171" i="4"/>
  <c r="I171" i="4"/>
  <c r="J171" i="4"/>
  <c r="K171" i="4"/>
  <c r="L171" i="4"/>
  <c r="M171" i="4"/>
  <c r="N171" i="4"/>
  <c r="O171" i="4"/>
  <c r="B172" i="4"/>
  <c r="C172" i="4"/>
  <c r="D172" i="4"/>
  <c r="E172" i="4"/>
  <c r="F172" i="4"/>
  <c r="G172" i="4"/>
  <c r="H172" i="4"/>
  <c r="I172" i="4"/>
  <c r="J172" i="4"/>
  <c r="K172" i="4"/>
  <c r="L172" i="4"/>
  <c r="M172" i="4"/>
  <c r="N172" i="4"/>
  <c r="O172" i="4"/>
  <c r="B173" i="4"/>
  <c r="C173" i="4"/>
  <c r="D173" i="4"/>
  <c r="E173" i="4"/>
  <c r="F173" i="4"/>
  <c r="G173" i="4"/>
  <c r="H173" i="4"/>
  <c r="I173" i="4"/>
  <c r="J173" i="4"/>
  <c r="K173" i="4"/>
  <c r="L173" i="4"/>
  <c r="M173" i="4"/>
  <c r="N173" i="4"/>
  <c r="O173" i="4"/>
  <c r="B174" i="4"/>
  <c r="C174" i="4"/>
  <c r="D174" i="4"/>
  <c r="E174" i="4"/>
  <c r="F174" i="4"/>
  <c r="G174" i="4"/>
  <c r="H174" i="4"/>
  <c r="I174" i="4"/>
  <c r="J174" i="4"/>
  <c r="K174" i="4"/>
  <c r="L174" i="4"/>
  <c r="M174" i="4"/>
  <c r="N174" i="4"/>
  <c r="O174" i="4"/>
  <c r="B175" i="4"/>
  <c r="C175" i="4"/>
  <c r="D175" i="4"/>
  <c r="E175" i="4"/>
  <c r="F175" i="4"/>
  <c r="G175" i="4"/>
  <c r="H175" i="4"/>
  <c r="I175" i="4"/>
  <c r="J175" i="4"/>
  <c r="K175" i="4"/>
  <c r="L175" i="4"/>
  <c r="M175" i="4"/>
  <c r="N175" i="4"/>
  <c r="O175" i="4"/>
  <c r="B176" i="4"/>
  <c r="C176" i="4"/>
  <c r="D176" i="4"/>
  <c r="E176" i="4"/>
  <c r="F176" i="4"/>
  <c r="G176" i="4"/>
  <c r="H176" i="4"/>
  <c r="I176" i="4"/>
  <c r="J176" i="4"/>
  <c r="K176" i="4"/>
  <c r="L176" i="4"/>
  <c r="M176" i="4"/>
  <c r="N176" i="4"/>
  <c r="O176" i="4"/>
  <c r="B177" i="4"/>
  <c r="C177" i="4"/>
  <c r="D177" i="4"/>
  <c r="E177" i="4"/>
  <c r="F177" i="4"/>
  <c r="G177" i="4"/>
  <c r="H177" i="4"/>
  <c r="I177" i="4"/>
  <c r="J177" i="4"/>
  <c r="K177" i="4"/>
  <c r="L177" i="4"/>
  <c r="M177" i="4"/>
  <c r="N177" i="4"/>
  <c r="O177" i="4"/>
  <c r="B178" i="4"/>
  <c r="C178" i="4"/>
  <c r="D178" i="4"/>
  <c r="E178" i="4"/>
  <c r="F178" i="4"/>
  <c r="G178" i="4"/>
  <c r="H178" i="4"/>
  <c r="I178" i="4"/>
  <c r="J178" i="4"/>
  <c r="K178" i="4"/>
  <c r="L178" i="4"/>
  <c r="M178" i="4"/>
  <c r="N178" i="4"/>
  <c r="O178" i="4"/>
  <c r="B179" i="4"/>
  <c r="C179" i="4"/>
  <c r="D179" i="4"/>
  <c r="E179" i="4"/>
  <c r="F179" i="4"/>
  <c r="G179" i="4"/>
  <c r="H179" i="4"/>
  <c r="I179" i="4"/>
  <c r="J179" i="4"/>
  <c r="K179" i="4"/>
  <c r="L179" i="4"/>
  <c r="M179" i="4"/>
  <c r="N179" i="4"/>
  <c r="O179" i="4"/>
  <c r="B180" i="4"/>
  <c r="C180" i="4"/>
  <c r="D180" i="4"/>
  <c r="E180" i="4"/>
  <c r="F180" i="4"/>
  <c r="G180" i="4"/>
  <c r="H180" i="4"/>
  <c r="I180" i="4"/>
  <c r="J180" i="4"/>
  <c r="K180" i="4"/>
  <c r="L180" i="4"/>
  <c r="M180" i="4"/>
  <c r="N180" i="4"/>
  <c r="O180" i="4"/>
  <c r="B181" i="4"/>
  <c r="C181" i="4"/>
  <c r="D181" i="4"/>
  <c r="E181" i="4"/>
  <c r="F181" i="4"/>
  <c r="G181" i="4"/>
  <c r="H181" i="4"/>
  <c r="I181" i="4"/>
  <c r="J181" i="4"/>
  <c r="K181" i="4"/>
  <c r="L181" i="4"/>
  <c r="M181" i="4"/>
  <c r="N181" i="4"/>
  <c r="O181" i="4"/>
  <c r="B182" i="4"/>
  <c r="C182" i="4"/>
  <c r="D182" i="4"/>
  <c r="E182" i="4"/>
  <c r="F182" i="4"/>
  <c r="G182" i="4"/>
  <c r="H182" i="4"/>
  <c r="I182" i="4"/>
  <c r="J182" i="4"/>
  <c r="K182" i="4"/>
  <c r="L182" i="4"/>
  <c r="M182" i="4"/>
  <c r="N182" i="4"/>
  <c r="O182" i="4"/>
  <c r="B183" i="4"/>
  <c r="C183" i="4"/>
  <c r="D183" i="4"/>
  <c r="E183" i="4"/>
  <c r="F183" i="4"/>
  <c r="G183" i="4"/>
  <c r="H183" i="4"/>
  <c r="I183" i="4"/>
  <c r="J183" i="4"/>
  <c r="K183" i="4"/>
  <c r="L183" i="4"/>
  <c r="M183" i="4"/>
  <c r="N183" i="4"/>
  <c r="O183" i="4"/>
  <c r="B184" i="4"/>
  <c r="C184" i="4"/>
  <c r="D184" i="4"/>
  <c r="E184" i="4"/>
  <c r="F184" i="4"/>
  <c r="G184" i="4"/>
  <c r="H184" i="4"/>
  <c r="I184" i="4"/>
  <c r="J184" i="4"/>
  <c r="K184" i="4"/>
  <c r="L184" i="4"/>
  <c r="M184" i="4"/>
  <c r="N184" i="4"/>
  <c r="O184" i="4"/>
  <c r="B185" i="4"/>
  <c r="C185" i="4"/>
  <c r="D185" i="4"/>
  <c r="E185" i="4"/>
  <c r="F185" i="4"/>
  <c r="G185" i="4"/>
  <c r="H185" i="4"/>
  <c r="I185" i="4"/>
  <c r="J185" i="4"/>
  <c r="K185" i="4"/>
  <c r="L185" i="4"/>
  <c r="M185" i="4"/>
  <c r="N185" i="4"/>
  <c r="O185" i="4"/>
  <c r="B186" i="4"/>
  <c r="C186" i="4"/>
  <c r="D186" i="4"/>
  <c r="E186" i="4"/>
  <c r="F186" i="4"/>
  <c r="G186" i="4"/>
  <c r="H186" i="4"/>
  <c r="I186" i="4"/>
  <c r="J186" i="4"/>
  <c r="K186" i="4"/>
  <c r="L186" i="4"/>
  <c r="M186" i="4"/>
  <c r="N186" i="4"/>
  <c r="O186" i="4"/>
  <c r="B187" i="4"/>
  <c r="C187" i="4"/>
  <c r="D187" i="4"/>
  <c r="E187" i="4"/>
  <c r="F187" i="4"/>
  <c r="G187" i="4"/>
  <c r="H187" i="4"/>
  <c r="I187" i="4"/>
  <c r="J187" i="4"/>
  <c r="K187" i="4"/>
  <c r="L187" i="4"/>
  <c r="M187" i="4"/>
  <c r="N187" i="4"/>
  <c r="O187" i="4"/>
  <c r="B188" i="4"/>
  <c r="C188" i="4"/>
  <c r="D188" i="4"/>
  <c r="E188" i="4"/>
  <c r="F188" i="4"/>
  <c r="G188" i="4"/>
  <c r="H188" i="4"/>
  <c r="I188" i="4"/>
  <c r="J188" i="4"/>
  <c r="K188" i="4"/>
  <c r="L188" i="4"/>
  <c r="M188" i="4"/>
  <c r="N188" i="4"/>
  <c r="O188" i="4"/>
  <c r="B189" i="4"/>
  <c r="C189" i="4"/>
  <c r="D189" i="4"/>
  <c r="E189" i="4"/>
  <c r="F189" i="4"/>
  <c r="G189" i="4"/>
  <c r="H189" i="4"/>
  <c r="I189" i="4"/>
  <c r="J189" i="4"/>
  <c r="K189" i="4"/>
  <c r="L189" i="4"/>
  <c r="M189" i="4"/>
  <c r="N189" i="4"/>
  <c r="O189" i="4"/>
  <c r="B190" i="4"/>
  <c r="C190" i="4"/>
  <c r="D190" i="4"/>
  <c r="E190" i="4"/>
  <c r="F190" i="4"/>
  <c r="G190" i="4"/>
  <c r="H190" i="4"/>
  <c r="I190" i="4"/>
  <c r="J190" i="4"/>
  <c r="K190" i="4"/>
  <c r="L190" i="4"/>
  <c r="M190" i="4"/>
  <c r="N190" i="4"/>
  <c r="O190" i="4"/>
  <c r="B191" i="4"/>
  <c r="C191" i="4"/>
  <c r="D191" i="4"/>
  <c r="E191" i="4"/>
  <c r="F191" i="4"/>
  <c r="G191" i="4"/>
  <c r="H191" i="4"/>
  <c r="I191" i="4"/>
  <c r="J191" i="4"/>
  <c r="K191" i="4"/>
  <c r="L191" i="4"/>
  <c r="M191" i="4"/>
  <c r="N191" i="4"/>
  <c r="O191" i="4"/>
  <c r="B192" i="4"/>
  <c r="C192" i="4"/>
  <c r="D192" i="4"/>
  <c r="E192" i="4"/>
  <c r="F192" i="4"/>
  <c r="G192" i="4"/>
  <c r="H192" i="4"/>
  <c r="I192" i="4"/>
  <c r="J192" i="4"/>
  <c r="K192" i="4"/>
  <c r="L192" i="4"/>
  <c r="M192" i="4"/>
  <c r="N192" i="4"/>
  <c r="O192" i="4"/>
  <c r="B193" i="4"/>
  <c r="C193" i="4"/>
  <c r="D193" i="4"/>
  <c r="E193" i="4"/>
  <c r="F193" i="4"/>
  <c r="G193" i="4"/>
  <c r="H193" i="4"/>
  <c r="I193" i="4"/>
  <c r="J193" i="4"/>
  <c r="K193" i="4"/>
  <c r="L193" i="4"/>
  <c r="M193" i="4"/>
  <c r="N193" i="4"/>
  <c r="O193" i="4"/>
  <c r="B194" i="4"/>
  <c r="C194" i="4"/>
  <c r="D194" i="4"/>
  <c r="E194" i="4"/>
  <c r="F194" i="4"/>
  <c r="G194" i="4"/>
  <c r="H194" i="4"/>
  <c r="I194" i="4"/>
  <c r="J194" i="4"/>
  <c r="K194" i="4"/>
  <c r="L194" i="4"/>
  <c r="M194" i="4"/>
  <c r="N194" i="4"/>
  <c r="O194" i="4"/>
  <c r="B195" i="4"/>
  <c r="C195" i="4"/>
  <c r="D195" i="4"/>
  <c r="E195" i="4"/>
  <c r="F195" i="4"/>
  <c r="G195" i="4"/>
  <c r="H195" i="4"/>
  <c r="I195" i="4"/>
  <c r="J195" i="4"/>
  <c r="K195" i="4"/>
  <c r="L195" i="4"/>
  <c r="M195" i="4"/>
  <c r="N195" i="4"/>
  <c r="O195" i="4"/>
  <c r="B196" i="4"/>
  <c r="C196" i="4"/>
  <c r="D196" i="4"/>
  <c r="E196" i="4"/>
  <c r="F196" i="4"/>
  <c r="G196" i="4"/>
  <c r="H196" i="4"/>
  <c r="I196" i="4"/>
  <c r="J196" i="4"/>
  <c r="K196" i="4"/>
  <c r="L196" i="4"/>
  <c r="M196" i="4"/>
  <c r="N196" i="4"/>
  <c r="O196" i="4"/>
  <c r="B197" i="4"/>
  <c r="C197" i="4"/>
  <c r="D197" i="4"/>
  <c r="E197" i="4"/>
  <c r="F197" i="4"/>
  <c r="G197" i="4"/>
  <c r="H197" i="4"/>
  <c r="I197" i="4"/>
  <c r="J197" i="4"/>
  <c r="K197" i="4"/>
  <c r="L197" i="4"/>
  <c r="M197" i="4"/>
  <c r="N197" i="4"/>
  <c r="O197" i="4"/>
  <c r="B198" i="4"/>
  <c r="C198" i="4"/>
  <c r="D198" i="4"/>
  <c r="E198" i="4"/>
  <c r="F198" i="4"/>
  <c r="G198" i="4"/>
  <c r="H198" i="4"/>
  <c r="I198" i="4"/>
  <c r="J198" i="4"/>
  <c r="K198" i="4"/>
  <c r="L198" i="4"/>
  <c r="M198" i="4"/>
  <c r="N198" i="4"/>
  <c r="O198" i="4"/>
  <c r="B199" i="4"/>
  <c r="C199" i="4"/>
  <c r="D199" i="4"/>
  <c r="E199" i="4"/>
  <c r="F199" i="4"/>
  <c r="G199" i="4"/>
  <c r="H199" i="4"/>
  <c r="I199" i="4"/>
  <c r="J199" i="4"/>
  <c r="K199" i="4"/>
  <c r="L199" i="4"/>
  <c r="M199" i="4"/>
  <c r="N199" i="4"/>
  <c r="O199" i="4"/>
  <c r="B200" i="4"/>
  <c r="C200" i="4"/>
  <c r="D200" i="4"/>
  <c r="E200" i="4"/>
  <c r="F200" i="4"/>
  <c r="G200" i="4"/>
  <c r="H200" i="4"/>
  <c r="I200" i="4"/>
  <c r="J200" i="4"/>
  <c r="K200" i="4"/>
  <c r="L200" i="4"/>
  <c r="M200" i="4"/>
  <c r="N200" i="4"/>
  <c r="O200" i="4"/>
  <c r="B201" i="4"/>
  <c r="C201" i="4"/>
  <c r="D201" i="4"/>
  <c r="E201" i="4"/>
  <c r="F201" i="4"/>
  <c r="G201" i="4"/>
  <c r="H201" i="4"/>
  <c r="I201" i="4"/>
  <c r="J201" i="4"/>
  <c r="K201" i="4"/>
  <c r="L201" i="4"/>
  <c r="M201" i="4"/>
  <c r="N201" i="4"/>
  <c r="O201" i="4"/>
  <c r="B202" i="4"/>
  <c r="C202" i="4"/>
  <c r="D202" i="4"/>
  <c r="E202" i="4"/>
  <c r="F202" i="4"/>
  <c r="G202" i="4"/>
  <c r="H202" i="4"/>
  <c r="I202" i="4"/>
  <c r="J202" i="4"/>
  <c r="K202" i="4"/>
  <c r="L202" i="4"/>
  <c r="M202" i="4"/>
  <c r="N202" i="4"/>
  <c r="O202" i="4"/>
  <c r="B203" i="4"/>
  <c r="C203" i="4"/>
  <c r="D203" i="4"/>
  <c r="E203" i="4"/>
  <c r="F203" i="4"/>
  <c r="G203" i="4"/>
  <c r="H203" i="4"/>
  <c r="I203" i="4"/>
  <c r="J203" i="4"/>
  <c r="K203" i="4"/>
  <c r="L203" i="4"/>
  <c r="M203" i="4"/>
  <c r="N203" i="4"/>
  <c r="O203" i="4"/>
  <c r="B204" i="4"/>
  <c r="C204" i="4"/>
  <c r="D204" i="4"/>
  <c r="E204" i="4"/>
  <c r="F204" i="4"/>
  <c r="G204" i="4"/>
  <c r="H204" i="4"/>
  <c r="I204" i="4"/>
  <c r="J204" i="4"/>
  <c r="K204" i="4"/>
  <c r="L204" i="4"/>
  <c r="M204" i="4"/>
  <c r="N204" i="4"/>
  <c r="O204" i="4"/>
  <c r="B205" i="4"/>
  <c r="C205" i="4"/>
  <c r="D205" i="4"/>
  <c r="E205" i="4"/>
  <c r="F205" i="4"/>
  <c r="G205" i="4"/>
  <c r="H205" i="4"/>
  <c r="I205" i="4"/>
  <c r="J205" i="4"/>
  <c r="K205" i="4"/>
  <c r="L205" i="4"/>
  <c r="M205" i="4"/>
  <c r="N205" i="4"/>
  <c r="O205" i="4"/>
  <c r="B206" i="4"/>
  <c r="C206" i="4"/>
  <c r="D206" i="4"/>
  <c r="E206" i="4"/>
  <c r="F206" i="4"/>
  <c r="G206" i="4"/>
  <c r="H206" i="4"/>
  <c r="I206" i="4"/>
  <c r="J206" i="4"/>
  <c r="K206" i="4"/>
  <c r="L206" i="4"/>
  <c r="M206" i="4"/>
  <c r="N206" i="4"/>
  <c r="O206" i="4"/>
  <c r="B207" i="4"/>
  <c r="C207" i="4"/>
  <c r="D207" i="4"/>
  <c r="E207" i="4"/>
  <c r="F207" i="4"/>
  <c r="G207" i="4"/>
  <c r="H207" i="4"/>
  <c r="I207" i="4"/>
  <c r="J207" i="4"/>
  <c r="K207" i="4"/>
  <c r="L207" i="4"/>
  <c r="M207" i="4"/>
  <c r="N207" i="4"/>
  <c r="O207" i="4"/>
  <c r="B208" i="4"/>
  <c r="C208" i="4"/>
  <c r="D208" i="4"/>
  <c r="E208" i="4"/>
  <c r="F208" i="4"/>
  <c r="G208" i="4"/>
  <c r="H208" i="4"/>
  <c r="I208" i="4"/>
  <c r="J208" i="4"/>
  <c r="K208" i="4"/>
  <c r="L208" i="4"/>
  <c r="M208" i="4"/>
  <c r="N208" i="4"/>
  <c r="O208" i="4"/>
  <c r="B209" i="4"/>
  <c r="C209" i="4"/>
  <c r="D209" i="4"/>
  <c r="E209" i="4"/>
  <c r="F209" i="4"/>
  <c r="G209" i="4"/>
  <c r="H209" i="4"/>
  <c r="I209" i="4"/>
  <c r="J209" i="4"/>
  <c r="K209" i="4"/>
  <c r="L209" i="4"/>
  <c r="M209" i="4"/>
  <c r="N209" i="4"/>
  <c r="O209" i="4"/>
  <c r="B210" i="4"/>
  <c r="C210" i="4"/>
  <c r="D210" i="4"/>
  <c r="E210" i="4"/>
  <c r="F210" i="4"/>
  <c r="G210" i="4"/>
  <c r="H210" i="4"/>
  <c r="I210" i="4"/>
  <c r="J210" i="4"/>
  <c r="K210" i="4"/>
  <c r="L210" i="4"/>
  <c r="M210" i="4"/>
  <c r="N210" i="4"/>
  <c r="O210" i="4"/>
  <c r="B211" i="4"/>
  <c r="C211" i="4"/>
  <c r="D211" i="4"/>
  <c r="E211" i="4"/>
  <c r="F211" i="4"/>
  <c r="G211" i="4"/>
  <c r="H211" i="4"/>
  <c r="I211" i="4"/>
  <c r="J211" i="4"/>
  <c r="K211" i="4"/>
  <c r="L211" i="4"/>
  <c r="M211" i="4"/>
  <c r="N211" i="4"/>
  <c r="O211" i="4"/>
  <c r="B212" i="4"/>
  <c r="C212" i="4"/>
  <c r="D212" i="4"/>
  <c r="E212" i="4"/>
  <c r="F212" i="4"/>
  <c r="G212" i="4"/>
  <c r="H212" i="4"/>
  <c r="I212" i="4"/>
  <c r="J212" i="4"/>
  <c r="K212" i="4"/>
  <c r="L212" i="4"/>
  <c r="M212" i="4"/>
  <c r="N212" i="4"/>
  <c r="O212" i="4"/>
  <c r="B213" i="4"/>
  <c r="C213" i="4"/>
  <c r="D213" i="4"/>
  <c r="E213" i="4"/>
  <c r="F213" i="4"/>
  <c r="G213" i="4"/>
  <c r="H213" i="4"/>
  <c r="I213" i="4"/>
  <c r="J213" i="4"/>
  <c r="K213" i="4"/>
  <c r="L213" i="4"/>
  <c r="M213" i="4"/>
  <c r="N213" i="4"/>
  <c r="O213" i="4"/>
  <c r="B214" i="4"/>
  <c r="C214" i="4"/>
  <c r="D214" i="4"/>
  <c r="E214" i="4"/>
  <c r="F214" i="4"/>
  <c r="G214" i="4"/>
  <c r="H214" i="4"/>
  <c r="I214" i="4"/>
  <c r="J214" i="4"/>
  <c r="K214" i="4"/>
  <c r="L214" i="4"/>
  <c r="M214" i="4"/>
  <c r="N214" i="4"/>
  <c r="O214" i="4"/>
  <c r="B215" i="4"/>
  <c r="C215" i="4"/>
  <c r="D215" i="4"/>
  <c r="E215" i="4"/>
  <c r="F215" i="4"/>
  <c r="G215" i="4"/>
  <c r="H215" i="4"/>
  <c r="I215" i="4"/>
  <c r="J215" i="4"/>
  <c r="K215" i="4"/>
  <c r="L215" i="4"/>
  <c r="M215" i="4"/>
  <c r="N215" i="4"/>
  <c r="O215" i="4"/>
  <c r="B216" i="4"/>
  <c r="C216" i="4"/>
  <c r="D216" i="4"/>
  <c r="E216" i="4"/>
  <c r="F216" i="4"/>
  <c r="G216" i="4"/>
  <c r="H216" i="4"/>
  <c r="I216" i="4"/>
  <c r="J216" i="4"/>
  <c r="K216" i="4"/>
  <c r="L216" i="4"/>
  <c r="M216" i="4"/>
  <c r="N216" i="4"/>
  <c r="O216" i="4"/>
  <c r="B217" i="4"/>
  <c r="C217" i="4"/>
  <c r="D217" i="4"/>
  <c r="E217" i="4"/>
  <c r="F217" i="4"/>
  <c r="G217" i="4"/>
  <c r="H217" i="4"/>
  <c r="I217" i="4"/>
  <c r="J217" i="4"/>
  <c r="K217" i="4"/>
  <c r="L217" i="4"/>
  <c r="M217" i="4"/>
  <c r="N217" i="4"/>
  <c r="O217" i="4"/>
  <c r="B218" i="4"/>
  <c r="C218" i="4"/>
  <c r="D218" i="4"/>
  <c r="E218" i="4"/>
  <c r="F218" i="4"/>
  <c r="G218" i="4"/>
  <c r="H218" i="4"/>
  <c r="I218" i="4"/>
  <c r="J218" i="4"/>
  <c r="K218" i="4"/>
  <c r="L218" i="4"/>
  <c r="M218" i="4"/>
  <c r="N218" i="4"/>
  <c r="O218" i="4"/>
  <c r="B219" i="4"/>
  <c r="C219" i="4"/>
  <c r="D219" i="4"/>
  <c r="E219" i="4"/>
  <c r="F219" i="4"/>
  <c r="G219" i="4"/>
  <c r="H219" i="4"/>
  <c r="I219" i="4"/>
  <c r="J219" i="4"/>
  <c r="K219" i="4"/>
  <c r="L219" i="4"/>
  <c r="M219" i="4"/>
  <c r="N219" i="4"/>
  <c r="O219" i="4"/>
  <c r="B220" i="4"/>
  <c r="C220" i="4"/>
  <c r="D220" i="4"/>
  <c r="E220" i="4"/>
  <c r="F220" i="4"/>
  <c r="G220" i="4"/>
  <c r="H220" i="4"/>
  <c r="I220" i="4"/>
  <c r="J220" i="4"/>
  <c r="K220" i="4"/>
  <c r="L220" i="4"/>
  <c r="M220" i="4"/>
  <c r="N220" i="4"/>
  <c r="O220" i="4"/>
  <c r="B221" i="4"/>
  <c r="C221" i="4"/>
  <c r="D221" i="4"/>
  <c r="E221" i="4"/>
  <c r="F221" i="4"/>
  <c r="G221" i="4"/>
  <c r="H221" i="4"/>
  <c r="I221" i="4"/>
  <c r="J221" i="4"/>
  <c r="K221" i="4"/>
  <c r="L221" i="4"/>
  <c r="M221" i="4"/>
  <c r="N221" i="4"/>
  <c r="O221" i="4"/>
  <c r="B222" i="4"/>
  <c r="C222" i="4"/>
  <c r="D222" i="4"/>
  <c r="E222" i="4"/>
  <c r="F222" i="4"/>
  <c r="G222" i="4"/>
  <c r="H222" i="4"/>
  <c r="I222" i="4"/>
  <c r="J222" i="4"/>
  <c r="K222" i="4"/>
  <c r="L222" i="4"/>
  <c r="M222" i="4"/>
  <c r="N222" i="4"/>
  <c r="O222" i="4"/>
  <c r="B223" i="4"/>
  <c r="C223" i="4"/>
  <c r="D223" i="4"/>
  <c r="E223" i="4"/>
  <c r="F223" i="4"/>
  <c r="G223" i="4"/>
  <c r="H223" i="4"/>
  <c r="I223" i="4"/>
  <c r="J223" i="4"/>
  <c r="K223" i="4"/>
  <c r="L223" i="4"/>
  <c r="M223" i="4"/>
  <c r="N223" i="4"/>
  <c r="O223" i="4"/>
  <c r="B224" i="4"/>
  <c r="C224" i="4"/>
  <c r="D224" i="4"/>
  <c r="E224" i="4"/>
  <c r="F224" i="4"/>
  <c r="G224" i="4"/>
  <c r="H224" i="4"/>
  <c r="I224" i="4"/>
  <c r="J224" i="4"/>
  <c r="K224" i="4"/>
  <c r="L224" i="4"/>
  <c r="M224" i="4"/>
  <c r="N224" i="4"/>
  <c r="O224" i="4"/>
  <c r="B225" i="4"/>
  <c r="C225" i="4"/>
  <c r="D225" i="4"/>
  <c r="E225" i="4"/>
  <c r="F225" i="4"/>
  <c r="G225" i="4"/>
  <c r="H225" i="4"/>
  <c r="I225" i="4"/>
  <c r="J225" i="4"/>
  <c r="K225" i="4"/>
  <c r="L225" i="4"/>
  <c r="M225" i="4"/>
  <c r="N225" i="4"/>
  <c r="O225" i="4"/>
  <c r="B226" i="4"/>
  <c r="C226" i="4"/>
  <c r="D226" i="4"/>
  <c r="E226" i="4"/>
  <c r="F226" i="4"/>
  <c r="G226" i="4"/>
  <c r="H226" i="4"/>
  <c r="I226" i="4"/>
  <c r="J226" i="4"/>
  <c r="K226" i="4"/>
  <c r="L226" i="4"/>
  <c r="M226" i="4"/>
  <c r="N226" i="4"/>
  <c r="O226" i="4"/>
  <c r="B227" i="4"/>
  <c r="C227" i="4"/>
  <c r="D227" i="4"/>
  <c r="E227" i="4"/>
  <c r="F227" i="4"/>
  <c r="G227" i="4"/>
  <c r="H227" i="4"/>
  <c r="I227" i="4"/>
  <c r="J227" i="4"/>
  <c r="K227" i="4"/>
  <c r="L227" i="4"/>
  <c r="M227" i="4"/>
  <c r="N227" i="4"/>
  <c r="O227" i="4"/>
  <c r="B228" i="4"/>
  <c r="C228" i="4"/>
  <c r="D228" i="4"/>
  <c r="E228" i="4"/>
  <c r="F228" i="4"/>
  <c r="G228" i="4"/>
  <c r="H228" i="4"/>
  <c r="I228" i="4"/>
  <c r="J228" i="4"/>
  <c r="K228" i="4"/>
  <c r="L228" i="4"/>
  <c r="M228" i="4"/>
  <c r="N228" i="4"/>
  <c r="O228" i="4"/>
  <c r="B229" i="4"/>
  <c r="C229" i="4"/>
  <c r="D229" i="4"/>
  <c r="E229" i="4"/>
  <c r="F229" i="4"/>
  <c r="G229" i="4"/>
  <c r="H229" i="4"/>
  <c r="I229" i="4"/>
  <c r="J229" i="4"/>
  <c r="K229" i="4"/>
  <c r="L229" i="4"/>
  <c r="M229" i="4"/>
  <c r="N229" i="4"/>
  <c r="O229" i="4"/>
  <c r="B230" i="4"/>
  <c r="C230" i="4"/>
  <c r="D230" i="4"/>
  <c r="E230" i="4"/>
  <c r="F230" i="4"/>
  <c r="G230" i="4"/>
  <c r="H230" i="4"/>
  <c r="I230" i="4"/>
  <c r="J230" i="4"/>
  <c r="K230" i="4"/>
  <c r="L230" i="4"/>
  <c r="M230" i="4"/>
  <c r="N230" i="4"/>
  <c r="O230" i="4"/>
  <c r="B231" i="4"/>
  <c r="C231" i="4"/>
  <c r="D231" i="4"/>
  <c r="E231" i="4"/>
  <c r="F231" i="4"/>
  <c r="G231" i="4"/>
  <c r="H231" i="4"/>
  <c r="I231" i="4"/>
  <c r="J231" i="4"/>
  <c r="K231" i="4"/>
  <c r="L231" i="4"/>
  <c r="M231" i="4"/>
  <c r="N231" i="4"/>
  <c r="O231" i="4"/>
  <c r="B232" i="4"/>
  <c r="C232" i="4"/>
  <c r="D232" i="4"/>
  <c r="E232" i="4"/>
  <c r="F232" i="4"/>
  <c r="G232" i="4"/>
  <c r="H232" i="4"/>
  <c r="I232" i="4"/>
  <c r="J232" i="4"/>
  <c r="K232" i="4"/>
  <c r="L232" i="4"/>
  <c r="M232" i="4"/>
  <c r="N232" i="4"/>
  <c r="O232" i="4"/>
  <c r="B233" i="4"/>
  <c r="C233" i="4"/>
  <c r="D233" i="4"/>
  <c r="E233" i="4"/>
  <c r="F233" i="4"/>
  <c r="G233" i="4"/>
  <c r="H233" i="4"/>
  <c r="I233" i="4"/>
  <c r="J233" i="4"/>
  <c r="K233" i="4"/>
  <c r="L233" i="4"/>
  <c r="M233" i="4"/>
  <c r="N233" i="4"/>
  <c r="O233" i="4"/>
  <c r="B234" i="4"/>
  <c r="C234" i="4"/>
  <c r="D234" i="4"/>
  <c r="E234" i="4"/>
  <c r="F234" i="4"/>
  <c r="G234" i="4"/>
  <c r="H234" i="4"/>
  <c r="I234" i="4"/>
  <c r="J234" i="4"/>
  <c r="K234" i="4"/>
  <c r="L234" i="4"/>
  <c r="M234" i="4"/>
  <c r="N234" i="4"/>
  <c r="O234" i="4"/>
  <c r="B235" i="4"/>
  <c r="C235" i="4"/>
  <c r="D235" i="4"/>
  <c r="E235" i="4"/>
  <c r="F235" i="4"/>
  <c r="G235" i="4"/>
  <c r="H235" i="4"/>
  <c r="I235" i="4"/>
  <c r="J235" i="4"/>
  <c r="K235" i="4"/>
  <c r="L235" i="4"/>
  <c r="M235" i="4"/>
  <c r="N235" i="4"/>
  <c r="O235" i="4"/>
  <c r="B236" i="4"/>
  <c r="C236" i="4"/>
  <c r="D236" i="4"/>
  <c r="E236" i="4"/>
  <c r="F236" i="4"/>
  <c r="G236" i="4"/>
  <c r="H236" i="4"/>
  <c r="I236" i="4"/>
  <c r="J236" i="4"/>
  <c r="K236" i="4"/>
  <c r="L236" i="4"/>
  <c r="M236" i="4"/>
  <c r="N236" i="4"/>
  <c r="O236" i="4"/>
  <c r="B237" i="4"/>
  <c r="C237" i="4"/>
  <c r="D237" i="4"/>
  <c r="E237" i="4"/>
  <c r="F237" i="4"/>
  <c r="G237" i="4"/>
  <c r="H237" i="4"/>
  <c r="I237" i="4"/>
  <c r="J237" i="4"/>
  <c r="K237" i="4"/>
  <c r="L237" i="4"/>
  <c r="M237" i="4"/>
  <c r="N237" i="4"/>
  <c r="O237" i="4"/>
  <c r="B238" i="4"/>
  <c r="C238" i="4"/>
  <c r="D238" i="4"/>
  <c r="E238" i="4"/>
  <c r="F238" i="4"/>
  <c r="G238" i="4"/>
  <c r="H238" i="4"/>
  <c r="I238" i="4"/>
  <c r="J238" i="4"/>
  <c r="K238" i="4"/>
  <c r="L238" i="4"/>
  <c r="M238" i="4"/>
  <c r="N238" i="4"/>
  <c r="O238" i="4"/>
  <c r="B239" i="4"/>
  <c r="C239" i="4"/>
  <c r="D239" i="4"/>
  <c r="E239" i="4"/>
  <c r="F239" i="4"/>
  <c r="G239" i="4"/>
  <c r="H239" i="4"/>
  <c r="I239" i="4"/>
  <c r="J239" i="4"/>
  <c r="K239" i="4"/>
  <c r="L239" i="4"/>
  <c r="M239" i="4"/>
  <c r="N239" i="4"/>
  <c r="O239" i="4"/>
  <c r="B240" i="4"/>
  <c r="C240" i="4"/>
  <c r="D240" i="4"/>
  <c r="E240" i="4"/>
  <c r="F240" i="4"/>
  <c r="G240" i="4"/>
  <c r="H240" i="4"/>
  <c r="I240" i="4"/>
  <c r="J240" i="4"/>
  <c r="K240" i="4"/>
  <c r="L240" i="4"/>
  <c r="M240" i="4"/>
  <c r="N240" i="4"/>
  <c r="O240" i="4"/>
  <c r="B241" i="4"/>
  <c r="C241" i="4"/>
  <c r="D241" i="4"/>
  <c r="E241" i="4"/>
  <c r="F241" i="4"/>
  <c r="G241" i="4"/>
  <c r="H241" i="4"/>
  <c r="I241" i="4"/>
  <c r="J241" i="4"/>
  <c r="K241" i="4"/>
  <c r="L241" i="4"/>
  <c r="M241" i="4"/>
  <c r="N241" i="4"/>
  <c r="O241" i="4"/>
  <c r="B242" i="4"/>
  <c r="C242" i="4"/>
  <c r="D242" i="4"/>
  <c r="E242" i="4"/>
  <c r="F242" i="4"/>
  <c r="G242" i="4"/>
  <c r="H242" i="4"/>
  <c r="I242" i="4"/>
  <c r="J242" i="4"/>
  <c r="K242" i="4"/>
  <c r="L242" i="4"/>
  <c r="M242" i="4"/>
  <c r="N242" i="4"/>
  <c r="O242" i="4"/>
  <c r="B243" i="4"/>
  <c r="C243" i="4"/>
  <c r="D243" i="4"/>
  <c r="E243" i="4"/>
  <c r="F243" i="4"/>
  <c r="G243" i="4"/>
  <c r="H243" i="4"/>
  <c r="I243" i="4"/>
  <c r="J243" i="4"/>
  <c r="K243" i="4"/>
  <c r="L243" i="4"/>
  <c r="M243" i="4"/>
  <c r="N243" i="4"/>
  <c r="O243" i="4"/>
  <c r="B244" i="4"/>
  <c r="C244" i="4"/>
  <c r="D244" i="4"/>
  <c r="E244" i="4"/>
  <c r="F244" i="4"/>
  <c r="G244" i="4"/>
  <c r="H244" i="4"/>
  <c r="I244" i="4"/>
  <c r="J244" i="4"/>
  <c r="K244" i="4"/>
  <c r="L244" i="4"/>
  <c r="M244" i="4"/>
  <c r="N244" i="4"/>
  <c r="O244" i="4"/>
  <c r="B245" i="4"/>
  <c r="C245" i="4"/>
  <c r="D245" i="4"/>
  <c r="E245" i="4"/>
  <c r="F245" i="4"/>
  <c r="G245" i="4"/>
  <c r="H245" i="4"/>
  <c r="I245" i="4"/>
  <c r="J245" i="4"/>
  <c r="K245" i="4"/>
  <c r="L245" i="4"/>
  <c r="M245" i="4"/>
  <c r="N245" i="4"/>
  <c r="O245" i="4"/>
  <c r="B246" i="4"/>
  <c r="C246" i="4"/>
  <c r="D246" i="4"/>
  <c r="E246" i="4"/>
  <c r="F246" i="4"/>
  <c r="G246" i="4"/>
  <c r="H246" i="4"/>
  <c r="I246" i="4"/>
  <c r="J246" i="4"/>
  <c r="K246" i="4"/>
  <c r="L246" i="4"/>
  <c r="M246" i="4"/>
  <c r="N246" i="4"/>
  <c r="O246" i="4"/>
  <c r="B247" i="4"/>
  <c r="C247" i="4"/>
  <c r="D247" i="4"/>
  <c r="E247" i="4"/>
  <c r="F247" i="4"/>
  <c r="G247" i="4"/>
  <c r="H247" i="4"/>
  <c r="I247" i="4"/>
  <c r="J247" i="4"/>
  <c r="K247" i="4"/>
  <c r="L247" i="4"/>
  <c r="M247" i="4"/>
  <c r="N247" i="4"/>
  <c r="O247" i="4"/>
  <c r="B248" i="4"/>
  <c r="C248" i="4"/>
  <c r="D248" i="4"/>
  <c r="E248" i="4"/>
  <c r="F248" i="4"/>
  <c r="G248" i="4"/>
  <c r="H248" i="4"/>
  <c r="I248" i="4"/>
  <c r="J248" i="4"/>
  <c r="K248" i="4"/>
  <c r="L248" i="4"/>
  <c r="M248" i="4"/>
  <c r="N248" i="4"/>
  <c r="O248" i="4"/>
  <c r="B249" i="4"/>
  <c r="C249" i="4"/>
  <c r="D249" i="4"/>
  <c r="E249" i="4"/>
  <c r="F249" i="4"/>
  <c r="G249" i="4"/>
  <c r="H249" i="4"/>
  <c r="I249" i="4"/>
  <c r="J249" i="4"/>
  <c r="K249" i="4"/>
  <c r="L249" i="4"/>
  <c r="M249" i="4"/>
  <c r="N249" i="4"/>
  <c r="O249" i="4"/>
  <c r="B250" i="4"/>
  <c r="C250" i="4"/>
  <c r="D250" i="4"/>
  <c r="E250" i="4"/>
  <c r="F250" i="4"/>
  <c r="G250" i="4"/>
  <c r="H250" i="4"/>
  <c r="I250" i="4"/>
  <c r="J250" i="4"/>
  <c r="K250" i="4"/>
  <c r="L250" i="4"/>
  <c r="M250" i="4"/>
  <c r="N250" i="4"/>
  <c r="O250" i="4"/>
  <c r="B251" i="4"/>
  <c r="C251" i="4"/>
  <c r="D251" i="4"/>
  <c r="E251" i="4"/>
  <c r="F251" i="4"/>
  <c r="G251" i="4"/>
  <c r="H251" i="4"/>
  <c r="I251" i="4"/>
  <c r="J251" i="4"/>
  <c r="K251" i="4"/>
  <c r="L251" i="4"/>
  <c r="M251" i="4"/>
  <c r="N251" i="4"/>
  <c r="O251" i="4"/>
  <c r="B252" i="4"/>
  <c r="C252" i="4"/>
  <c r="D252" i="4"/>
  <c r="E252" i="4"/>
  <c r="F252" i="4"/>
  <c r="G252" i="4"/>
  <c r="H252" i="4"/>
  <c r="I252" i="4"/>
  <c r="J252" i="4"/>
  <c r="K252" i="4"/>
  <c r="L252" i="4"/>
  <c r="M252" i="4"/>
  <c r="N252" i="4"/>
  <c r="O252" i="4"/>
  <c r="B253" i="4"/>
  <c r="C253" i="4"/>
  <c r="D253" i="4"/>
  <c r="E253" i="4"/>
  <c r="F253" i="4"/>
  <c r="G253" i="4"/>
  <c r="H253" i="4"/>
  <c r="I253" i="4"/>
  <c r="J253" i="4"/>
  <c r="K253" i="4"/>
  <c r="L253" i="4"/>
  <c r="M253" i="4"/>
  <c r="N253" i="4"/>
  <c r="O253" i="4"/>
  <c r="B254" i="4"/>
  <c r="C254" i="4"/>
  <c r="D254" i="4"/>
  <c r="E254" i="4"/>
  <c r="F254" i="4"/>
  <c r="G254" i="4"/>
  <c r="H254" i="4"/>
  <c r="I254" i="4"/>
  <c r="J254" i="4"/>
  <c r="K254" i="4"/>
  <c r="L254" i="4"/>
  <c r="M254" i="4"/>
  <c r="N254" i="4"/>
  <c r="O254" i="4"/>
  <c r="B255" i="4"/>
  <c r="C255" i="4"/>
  <c r="D255" i="4"/>
  <c r="E255" i="4"/>
  <c r="F255" i="4"/>
  <c r="G255" i="4"/>
  <c r="H255" i="4"/>
  <c r="I255" i="4"/>
  <c r="J255" i="4"/>
  <c r="K255" i="4"/>
  <c r="L255" i="4"/>
  <c r="M255" i="4"/>
  <c r="N255" i="4"/>
  <c r="O255" i="4"/>
  <c r="B256" i="4"/>
  <c r="C256" i="4"/>
  <c r="D256" i="4"/>
  <c r="E256" i="4"/>
  <c r="F256" i="4"/>
  <c r="G256" i="4"/>
  <c r="H256" i="4"/>
  <c r="I256" i="4"/>
  <c r="J256" i="4"/>
  <c r="K256" i="4"/>
  <c r="L256" i="4"/>
  <c r="M256" i="4"/>
  <c r="N256" i="4"/>
  <c r="O256" i="4"/>
  <c r="B257" i="4"/>
  <c r="C257" i="4"/>
  <c r="D257" i="4"/>
  <c r="E257" i="4"/>
  <c r="F257" i="4"/>
  <c r="G257" i="4"/>
  <c r="H257" i="4"/>
  <c r="I257" i="4"/>
  <c r="J257" i="4"/>
  <c r="K257" i="4"/>
  <c r="L257" i="4"/>
  <c r="M257" i="4"/>
  <c r="N257" i="4"/>
  <c r="O257" i="4"/>
  <c r="B258" i="4"/>
  <c r="C258" i="4"/>
  <c r="D258" i="4"/>
  <c r="E258" i="4"/>
  <c r="F258" i="4"/>
  <c r="G258" i="4"/>
  <c r="H258" i="4"/>
  <c r="I258" i="4"/>
  <c r="J258" i="4"/>
  <c r="K258" i="4"/>
  <c r="L258" i="4"/>
  <c r="M258" i="4"/>
  <c r="N258" i="4"/>
  <c r="O258" i="4"/>
  <c r="B259" i="4"/>
  <c r="C259" i="4"/>
  <c r="D259" i="4"/>
  <c r="E259" i="4"/>
  <c r="F259" i="4"/>
  <c r="G259" i="4"/>
  <c r="H259" i="4"/>
  <c r="I259" i="4"/>
  <c r="J259" i="4"/>
  <c r="K259" i="4"/>
  <c r="L259" i="4"/>
  <c r="M259" i="4"/>
  <c r="N259" i="4"/>
  <c r="O259" i="4"/>
  <c r="B260" i="4"/>
  <c r="C260" i="4"/>
  <c r="D260" i="4"/>
  <c r="E260" i="4"/>
  <c r="F260" i="4"/>
  <c r="G260" i="4"/>
  <c r="H260" i="4"/>
  <c r="I260" i="4"/>
  <c r="J260" i="4"/>
  <c r="K260" i="4"/>
  <c r="L260" i="4"/>
  <c r="M260" i="4"/>
  <c r="N260" i="4"/>
  <c r="O260" i="4"/>
  <c r="B261" i="4"/>
  <c r="C261" i="4"/>
  <c r="D261" i="4"/>
  <c r="E261" i="4"/>
  <c r="F261" i="4"/>
  <c r="G261" i="4"/>
  <c r="H261" i="4"/>
  <c r="I261" i="4"/>
  <c r="J261" i="4"/>
  <c r="K261" i="4"/>
  <c r="L261" i="4"/>
  <c r="M261" i="4"/>
  <c r="N261" i="4"/>
  <c r="O261" i="4"/>
  <c r="B262" i="4"/>
  <c r="C262" i="4"/>
  <c r="D262" i="4"/>
  <c r="E262" i="4"/>
  <c r="F262" i="4"/>
  <c r="G262" i="4"/>
  <c r="H262" i="4"/>
  <c r="I262" i="4"/>
  <c r="J262" i="4"/>
  <c r="K262" i="4"/>
  <c r="L262" i="4"/>
  <c r="M262" i="4"/>
  <c r="N262" i="4"/>
  <c r="O262" i="4"/>
  <c r="B263" i="4"/>
  <c r="C263" i="4"/>
  <c r="D263" i="4"/>
  <c r="E263" i="4"/>
  <c r="F263" i="4"/>
  <c r="G263" i="4"/>
  <c r="H263" i="4"/>
  <c r="I263" i="4"/>
  <c r="J263" i="4"/>
  <c r="K263" i="4"/>
  <c r="L263" i="4"/>
  <c r="M263" i="4"/>
  <c r="N263" i="4"/>
  <c r="O263" i="4"/>
  <c r="B264" i="4"/>
  <c r="C264" i="4"/>
  <c r="D264" i="4"/>
  <c r="E264" i="4"/>
  <c r="F264" i="4"/>
  <c r="G264" i="4"/>
  <c r="H264" i="4"/>
  <c r="I264" i="4"/>
  <c r="J264" i="4"/>
  <c r="K264" i="4"/>
  <c r="L264" i="4"/>
  <c r="M264" i="4"/>
  <c r="N264" i="4"/>
  <c r="O264" i="4"/>
  <c r="B265" i="4"/>
  <c r="C265" i="4"/>
  <c r="D265" i="4"/>
  <c r="E265" i="4"/>
  <c r="F265" i="4"/>
  <c r="G265" i="4"/>
  <c r="H265" i="4"/>
  <c r="I265" i="4"/>
  <c r="J265" i="4"/>
  <c r="K265" i="4"/>
  <c r="L265" i="4"/>
  <c r="M265" i="4"/>
  <c r="N265" i="4"/>
  <c r="O265" i="4"/>
  <c r="B266" i="4"/>
  <c r="C266" i="4"/>
  <c r="D266" i="4"/>
  <c r="E266" i="4"/>
  <c r="F266" i="4"/>
  <c r="G266" i="4"/>
  <c r="H266" i="4"/>
  <c r="I266" i="4"/>
  <c r="J266" i="4"/>
  <c r="K266" i="4"/>
  <c r="L266" i="4"/>
  <c r="M266" i="4"/>
  <c r="N266" i="4"/>
  <c r="O266" i="4"/>
  <c r="B267" i="4"/>
  <c r="C267" i="4"/>
  <c r="D267" i="4"/>
  <c r="E267" i="4"/>
  <c r="F267" i="4"/>
  <c r="G267" i="4"/>
  <c r="H267" i="4"/>
  <c r="I267" i="4"/>
  <c r="J267" i="4"/>
  <c r="K267" i="4"/>
  <c r="L267" i="4"/>
  <c r="M267" i="4"/>
  <c r="N267" i="4"/>
  <c r="O267" i="4"/>
  <c r="B268" i="4"/>
  <c r="C268" i="4"/>
  <c r="D268" i="4"/>
  <c r="E268" i="4"/>
  <c r="F268" i="4"/>
  <c r="G268" i="4"/>
  <c r="H268" i="4"/>
  <c r="I268" i="4"/>
  <c r="J268" i="4"/>
  <c r="K268" i="4"/>
  <c r="L268" i="4"/>
  <c r="M268" i="4"/>
  <c r="N268" i="4"/>
  <c r="O268" i="4"/>
  <c r="B269" i="4"/>
  <c r="C269" i="4"/>
  <c r="D269" i="4"/>
  <c r="E269" i="4"/>
  <c r="F269" i="4"/>
  <c r="G269" i="4"/>
  <c r="H269" i="4"/>
  <c r="I269" i="4"/>
  <c r="J269" i="4"/>
  <c r="K269" i="4"/>
  <c r="L269" i="4"/>
  <c r="M269" i="4"/>
  <c r="N269" i="4"/>
  <c r="O269" i="4"/>
  <c r="B270" i="4"/>
  <c r="C270" i="4"/>
  <c r="D270" i="4"/>
  <c r="E270" i="4"/>
  <c r="F270" i="4"/>
  <c r="G270" i="4"/>
  <c r="H270" i="4"/>
  <c r="I270" i="4"/>
  <c r="J270" i="4"/>
  <c r="K270" i="4"/>
  <c r="L270" i="4"/>
  <c r="M270" i="4"/>
  <c r="N270" i="4"/>
  <c r="O270" i="4"/>
  <c r="B271" i="4"/>
  <c r="C271" i="4"/>
  <c r="D271" i="4"/>
  <c r="E271" i="4"/>
  <c r="F271" i="4"/>
  <c r="G271" i="4"/>
  <c r="H271" i="4"/>
  <c r="I271" i="4"/>
  <c r="J271" i="4"/>
  <c r="K271" i="4"/>
  <c r="L271" i="4"/>
  <c r="M271" i="4"/>
  <c r="N271" i="4"/>
  <c r="O271" i="4"/>
  <c r="B272" i="4"/>
  <c r="C272" i="4"/>
  <c r="D272" i="4"/>
  <c r="E272" i="4"/>
  <c r="F272" i="4"/>
  <c r="G272" i="4"/>
  <c r="H272" i="4"/>
  <c r="I272" i="4"/>
  <c r="J272" i="4"/>
  <c r="K272" i="4"/>
  <c r="L272" i="4"/>
  <c r="M272" i="4"/>
  <c r="N272" i="4"/>
  <c r="O272" i="4"/>
  <c r="B273" i="4"/>
  <c r="C273" i="4"/>
  <c r="D273" i="4"/>
  <c r="E273" i="4"/>
  <c r="F273" i="4"/>
  <c r="G273" i="4"/>
  <c r="H273" i="4"/>
  <c r="I273" i="4"/>
  <c r="J273" i="4"/>
  <c r="K273" i="4"/>
  <c r="L273" i="4"/>
  <c r="M273" i="4"/>
  <c r="N273" i="4"/>
  <c r="O273" i="4"/>
  <c r="B274" i="4"/>
  <c r="C274" i="4"/>
  <c r="D274" i="4"/>
  <c r="E274" i="4"/>
  <c r="F274" i="4"/>
  <c r="G274" i="4"/>
  <c r="H274" i="4"/>
  <c r="I274" i="4"/>
  <c r="J274" i="4"/>
  <c r="K274" i="4"/>
  <c r="L274" i="4"/>
  <c r="M274" i="4"/>
  <c r="N274" i="4"/>
  <c r="O274" i="4"/>
  <c r="B275" i="4"/>
  <c r="C275" i="4"/>
  <c r="D275" i="4"/>
  <c r="E275" i="4"/>
  <c r="F275" i="4"/>
  <c r="G275" i="4"/>
  <c r="H275" i="4"/>
  <c r="I275" i="4"/>
  <c r="J275" i="4"/>
  <c r="K275" i="4"/>
  <c r="L275" i="4"/>
  <c r="M275" i="4"/>
  <c r="N275" i="4"/>
  <c r="O275" i="4"/>
  <c r="B276" i="4"/>
  <c r="C276" i="4"/>
  <c r="D276" i="4"/>
  <c r="E276" i="4"/>
  <c r="F276" i="4"/>
  <c r="G276" i="4"/>
  <c r="H276" i="4"/>
  <c r="I276" i="4"/>
  <c r="J276" i="4"/>
  <c r="K276" i="4"/>
  <c r="L276" i="4"/>
  <c r="M276" i="4"/>
  <c r="N276" i="4"/>
  <c r="O276" i="4"/>
  <c r="B277" i="4"/>
  <c r="C277" i="4"/>
  <c r="D277" i="4"/>
  <c r="E277" i="4"/>
  <c r="F277" i="4"/>
  <c r="G277" i="4"/>
  <c r="H277" i="4"/>
  <c r="I277" i="4"/>
  <c r="J277" i="4"/>
  <c r="K277" i="4"/>
  <c r="L277" i="4"/>
  <c r="M277" i="4"/>
  <c r="N277" i="4"/>
  <c r="O277" i="4"/>
  <c r="B278" i="4"/>
  <c r="C278" i="4"/>
  <c r="D278" i="4"/>
  <c r="E278" i="4"/>
  <c r="F278" i="4"/>
  <c r="G278" i="4"/>
  <c r="H278" i="4"/>
  <c r="I278" i="4"/>
  <c r="J278" i="4"/>
  <c r="K278" i="4"/>
  <c r="L278" i="4"/>
  <c r="M278" i="4"/>
  <c r="N278" i="4"/>
  <c r="O278" i="4"/>
  <c r="B279" i="4"/>
  <c r="C279" i="4"/>
  <c r="D279" i="4"/>
  <c r="E279" i="4"/>
  <c r="F279" i="4"/>
  <c r="G279" i="4"/>
  <c r="H279" i="4"/>
  <c r="I279" i="4"/>
  <c r="J279" i="4"/>
  <c r="K279" i="4"/>
  <c r="L279" i="4"/>
  <c r="M279" i="4"/>
  <c r="N279" i="4"/>
  <c r="O279" i="4"/>
  <c r="B280" i="4"/>
  <c r="C280" i="4"/>
  <c r="D280" i="4"/>
  <c r="E280" i="4"/>
  <c r="F280" i="4"/>
  <c r="G280" i="4"/>
  <c r="H280" i="4"/>
  <c r="I280" i="4"/>
  <c r="J280" i="4"/>
  <c r="K280" i="4"/>
  <c r="L280" i="4"/>
  <c r="M280" i="4"/>
  <c r="N280" i="4"/>
  <c r="O280" i="4"/>
  <c r="B281" i="4"/>
  <c r="C281" i="4"/>
  <c r="D281" i="4"/>
  <c r="E281" i="4"/>
  <c r="F281" i="4"/>
  <c r="G281" i="4"/>
  <c r="H281" i="4"/>
  <c r="I281" i="4"/>
  <c r="J281" i="4"/>
  <c r="K281" i="4"/>
  <c r="L281" i="4"/>
  <c r="M281" i="4"/>
  <c r="N281" i="4"/>
  <c r="O281" i="4"/>
  <c r="B282" i="4"/>
  <c r="C282" i="4"/>
  <c r="D282" i="4"/>
  <c r="E282" i="4"/>
  <c r="F282" i="4"/>
  <c r="G282" i="4"/>
  <c r="H282" i="4"/>
  <c r="I282" i="4"/>
  <c r="J282" i="4"/>
  <c r="K282" i="4"/>
  <c r="L282" i="4"/>
  <c r="M282" i="4"/>
  <c r="N282" i="4"/>
  <c r="O282" i="4"/>
  <c r="B283" i="4"/>
  <c r="C283" i="4"/>
  <c r="D283" i="4"/>
  <c r="E283" i="4"/>
  <c r="F283" i="4"/>
  <c r="G283" i="4"/>
  <c r="H283" i="4"/>
  <c r="I283" i="4"/>
  <c r="J283" i="4"/>
  <c r="K283" i="4"/>
  <c r="L283" i="4"/>
  <c r="M283" i="4"/>
  <c r="N283" i="4"/>
  <c r="O283" i="4"/>
  <c r="B284" i="4"/>
  <c r="C284" i="4"/>
  <c r="D284" i="4"/>
  <c r="E284" i="4"/>
  <c r="F284" i="4"/>
  <c r="G284" i="4"/>
  <c r="H284" i="4"/>
  <c r="I284" i="4"/>
  <c r="J284" i="4"/>
  <c r="K284" i="4"/>
  <c r="L284" i="4"/>
  <c r="M284" i="4"/>
  <c r="N284" i="4"/>
  <c r="O284" i="4"/>
  <c r="B285" i="4"/>
  <c r="C285" i="4"/>
  <c r="D285" i="4"/>
  <c r="E285" i="4"/>
  <c r="F285" i="4"/>
  <c r="G285" i="4"/>
  <c r="H285" i="4"/>
  <c r="I285" i="4"/>
  <c r="J285" i="4"/>
  <c r="K285" i="4"/>
  <c r="L285" i="4"/>
  <c r="M285" i="4"/>
  <c r="N285" i="4"/>
  <c r="O285" i="4"/>
  <c r="B286" i="4"/>
  <c r="C286" i="4"/>
  <c r="D286" i="4"/>
  <c r="E286" i="4"/>
  <c r="F286" i="4"/>
  <c r="G286" i="4"/>
  <c r="H286" i="4"/>
  <c r="I286" i="4"/>
  <c r="J286" i="4"/>
  <c r="K286" i="4"/>
  <c r="L286" i="4"/>
  <c r="M286" i="4"/>
  <c r="N286" i="4"/>
  <c r="O286" i="4"/>
  <c r="B287" i="4"/>
  <c r="C287" i="4"/>
  <c r="D287" i="4"/>
  <c r="E287" i="4"/>
  <c r="F287" i="4"/>
  <c r="G287" i="4"/>
  <c r="H287" i="4"/>
  <c r="I287" i="4"/>
  <c r="J287" i="4"/>
  <c r="K287" i="4"/>
  <c r="L287" i="4"/>
  <c r="M287" i="4"/>
  <c r="N287" i="4"/>
  <c r="O287" i="4"/>
  <c r="B288" i="4"/>
  <c r="C288" i="4"/>
  <c r="D288" i="4"/>
  <c r="E288" i="4"/>
  <c r="F288" i="4"/>
  <c r="G288" i="4"/>
  <c r="H288" i="4"/>
  <c r="I288" i="4"/>
  <c r="J288" i="4"/>
  <c r="K288" i="4"/>
  <c r="L288" i="4"/>
  <c r="M288" i="4"/>
  <c r="N288" i="4"/>
  <c r="O288" i="4"/>
  <c r="B289" i="4"/>
  <c r="C289" i="4"/>
  <c r="D289" i="4"/>
  <c r="E289" i="4"/>
  <c r="F289" i="4"/>
  <c r="G289" i="4"/>
  <c r="H289" i="4"/>
  <c r="I289" i="4"/>
  <c r="J289" i="4"/>
  <c r="K289" i="4"/>
  <c r="L289" i="4"/>
  <c r="M289" i="4"/>
  <c r="N289" i="4"/>
  <c r="O289" i="4"/>
  <c r="B290" i="4"/>
  <c r="C290" i="4"/>
  <c r="D290" i="4"/>
  <c r="E290" i="4"/>
  <c r="F290" i="4"/>
  <c r="G290" i="4"/>
  <c r="H290" i="4"/>
  <c r="I290" i="4"/>
  <c r="J290" i="4"/>
  <c r="K290" i="4"/>
  <c r="L290" i="4"/>
  <c r="M290" i="4"/>
  <c r="N290" i="4"/>
  <c r="O290" i="4"/>
  <c r="B291" i="4"/>
  <c r="C291" i="4"/>
  <c r="D291" i="4"/>
  <c r="E291" i="4"/>
  <c r="F291" i="4"/>
  <c r="G291" i="4"/>
  <c r="H291" i="4"/>
  <c r="I291" i="4"/>
  <c r="J291" i="4"/>
  <c r="K291" i="4"/>
  <c r="L291" i="4"/>
  <c r="M291" i="4"/>
  <c r="N291" i="4"/>
  <c r="O291" i="4"/>
  <c r="B292" i="4"/>
  <c r="C292" i="4"/>
  <c r="D292" i="4"/>
  <c r="E292" i="4"/>
  <c r="F292" i="4"/>
  <c r="G292" i="4"/>
  <c r="H292" i="4"/>
  <c r="I292" i="4"/>
  <c r="J292" i="4"/>
  <c r="K292" i="4"/>
  <c r="L292" i="4"/>
  <c r="M292" i="4"/>
  <c r="N292" i="4"/>
  <c r="O292" i="4"/>
  <c r="B293" i="4"/>
  <c r="C293" i="4"/>
  <c r="D293" i="4"/>
  <c r="E293" i="4"/>
  <c r="F293" i="4"/>
  <c r="G293" i="4"/>
  <c r="H293" i="4"/>
  <c r="I293" i="4"/>
  <c r="J293" i="4"/>
  <c r="K293" i="4"/>
  <c r="L293" i="4"/>
  <c r="M293" i="4"/>
  <c r="N293" i="4"/>
  <c r="O293" i="4"/>
  <c r="B294" i="4"/>
  <c r="C294" i="4"/>
  <c r="D294" i="4"/>
  <c r="E294" i="4"/>
  <c r="F294" i="4"/>
  <c r="G294" i="4"/>
  <c r="H294" i="4"/>
  <c r="I294" i="4"/>
  <c r="J294" i="4"/>
  <c r="K294" i="4"/>
  <c r="L294" i="4"/>
  <c r="M294" i="4"/>
  <c r="N294" i="4"/>
  <c r="O294" i="4"/>
  <c r="B295" i="4"/>
  <c r="C295" i="4"/>
  <c r="D295" i="4"/>
  <c r="E295" i="4"/>
  <c r="F295" i="4"/>
  <c r="G295" i="4"/>
  <c r="H295" i="4"/>
  <c r="I295" i="4"/>
  <c r="J295" i="4"/>
  <c r="K295" i="4"/>
  <c r="L295" i="4"/>
  <c r="M295" i="4"/>
  <c r="N295" i="4"/>
  <c r="O295" i="4"/>
  <c r="B296" i="4"/>
  <c r="C296" i="4"/>
  <c r="D296" i="4"/>
  <c r="E296" i="4"/>
  <c r="F296" i="4"/>
  <c r="G296" i="4"/>
  <c r="H296" i="4"/>
  <c r="I296" i="4"/>
  <c r="J296" i="4"/>
  <c r="K296" i="4"/>
  <c r="L296" i="4"/>
  <c r="M296" i="4"/>
  <c r="N296" i="4"/>
  <c r="O296" i="4"/>
  <c r="B297" i="4"/>
  <c r="C297" i="4"/>
  <c r="D297" i="4"/>
  <c r="E297" i="4"/>
  <c r="F297" i="4"/>
  <c r="G297" i="4"/>
  <c r="H297" i="4"/>
  <c r="I297" i="4"/>
  <c r="J297" i="4"/>
  <c r="K297" i="4"/>
  <c r="L297" i="4"/>
  <c r="M297" i="4"/>
  <c r="N297" i="4"/>
  <c r="O297" i="4"/>
  <c r="B298" i="4"/>
  <c r="C298" i="4"/>
  <c r="D298" i="4"/>
  <c r="E298" i="4"/>
  <c r="F298" i="4"/>
  <c r="G298" i="4"/>
  <c r="H298" i="4"/>
  <c r="I298" i="4"/>
  <c r="J298" i="4"/>
  <c r="K298" i="4"/>
  <c r="L298" i="4"/>
  <c r="M298" i="4"/>
  <c r="N298" i="4"/>
  <c r="O298" i="4"/>
  <c r="B299" i="4"/>
  <c r="C299" i="4"/>
  <c r="D299" i="4"/>
  <c r="E299" i="4"/>
  <c r="F299" i="4"/>
  <c r="G299" i="4"/>
  <c r="H299" i="4"/>
  <c r="I299" i="4"/>
  <c r="J299" i="4"/>
  <c r="K299" i="4"/>
  <c r="L299" i="4"/>
  <c r="M299" i="4"/>
  <c r="N299" i="4"/>
  <c r="O299" i="4"/>
  <c r="B300" i="4"/>
  <c r="C300" i="4"/>
  <c r="D300" i="4"/>
  <c r="E300" i="4"/>
  <c r="F300" i="4"/>
  <c r="G300" i="4"/>
  <c r="H300" i="4"/>
  <c r="I300" i="4"/>
  <c r="J300" i="4"/>
  <c r="K300" i="4"/>
  <c r="L300" i="4"/>
  <c r="M300" i="4"/>
  <c r="N300" i="4"/>
  <c r="O300" i="4"/>
  <c r="B301" i="4"/>
  <c r="C301" i="4"/>
  <c r="D301" i="4"/>
  <c r="E301" i="4"/>
  <c r="F301" i="4"/>
  <c r="G301" i="4"/>
  <c r="H301" i="4"/>
  <c r="I301" i="4"/>
  <c r="J301" i="4"/>
  <c r="K301" i="4"/>
  <c r="L301" i="4"/>
  <c r="M301" i="4"/>
  <c r="N301" i="4"/>
  <c r="O301" i="4"/>
  <c r="B302" i="4"/>
  <c r="C302" i="4"/>
  <c r="D302" i="4"/>
  <c r="E302" i="4"/>
  <c r="F302" i="4"/>
  <c r="G302" i="4"/>
  <c r="H302" i="4"/>
  <c r="I302" i="4"/>
  <c r="J302" i="4"/>
  <c r="K302" i="4"/>
  <c r="L302" i="4"/>
  <c r="M302" i="4"/>
  <c r="N302" i="4"/>
  <c r="O302" i="4"/>
  <c r="B303" i="4"/>
  <c r="C303" i="4"/>
  <c r="D303" i="4"/>
  <c r="E303" i="4"/>
  <c r="F303" i="4"/>
  <c r="G303" i="4"/>
  <c r="H303" i="4"/>
  <c r="I303" i="4"/>
  <c r="J303" i="4"/>
  <c r="K303" i="4"/>
  <c r="L303" i="4"/>
  <c r="M303" i="4"/>
  <c r="N303" i="4"/>
  <c r="O303" i="4"/>
  <c r="B304" i="4"/>
  <c r="C304" i="4"/>
  <c r="D304" i="4"/>
  <c r="E304" i="4"/>
  <c r="F304" i="4"/>
  <c r="G304" i="4"/>
  <c r="H304" i="4"/>
  <c r="I304" i="4"/>
  <c r="J304" i="4"/>
  <c r="K304" i="4"/>
  <c r="L304" i="4"/>
  <c r="M304" i="4"/>
  <c r="N304" i="4"/>
  <c r="O304" i="4"/>
  <c r="B305" i="4"/>
  <c r="C305" i="4"/>
  <c r="D305" i="4"/>
  <c r="E305" i="4"/>
  <c r="F305" i="4"/>
  <c r="G305" i="4"/>
  <c r="H305" i="4"/>
  <c r="I305" i="4"/>
  <c r="J305" i="4"/>
  <c r="K305" i="4"/>
  <c r="L305" i="4"/>
  <c r="M305" i="4"/>
  <c r="N305" i="4"/>
  <c r="O305" i="4"/>
  <c r="B306" i="4"/>
  <c r="C306" i="4"/>
  <c r="D306" i="4"/>
  <c r="E306" i="4"/>
  <c r="F306" i="4"/>
  <c r="G306" i="4"/>
  <c r="H306" i="4"/>
  <c r="I306" i="4"/>
  <c r="J306" i="4"/>
  <c r="K306" i="4"/>
  <c r="L306" i="4"/>
  <c r="M306" i="4"/>
  <c r="N306" i="4"/>
  <c r="O306" i="4"/>
  <c r="B307" i="4"/>
  <c r="C307" i="4"/>
  <c r="D307" i="4"/>
  <c r="E307" i="4"/>
  <c r="F307" i="4"/>
  <c r="G307" i="4"/>
  <c r="H307" i="4"/>
  <c r="I307" i="4"/>
  <c r="J307" i="4"/>
  <c r="K307" i="4"/>
  <c r="L307" i="4"/>
  <c r="M307" i="4"/>
  <c r="N307" i="4"/>
  <c r="O307" i="4"/>
  <c r="B308" i="4"/>
  <c r="C308" i="4"/>
  <c r="D308" i="4"/>
  <c r="E308" i="4"/>
  <c r="F308" i="4"/>
  <c r="G308" i="4"/>
  <c r="H308" i="4"/>
  <c r="I308" i="4"/>
  <c r="J308" i="4"/>
  <c r="K308" i="4"/>
  <c r="L308" i="4"/>
  <c r="M308" i="4"/>
  <c r="N308" i="4"/>
  <c r="O308" i="4"/>
  <c r="B309" i="4"/>
  <c r="C309" i="4"/>
  <c r="D309" i="4"/>
  <c r="E309" i="4"/>
  <c r="F309" i="4"/>
  <c r="G309" i="4"/>
  <c r="H309" i="4"/>
  <c r="I309" i="4"/>
  <c r="J309" i="4"/>
  <c r="K309" i="4"/>
  <c r="L309" i="4"/>
  <c r="M309" i="4"/>
  <c r="N309" i="4"/>
  <c r="O309" i="4"/>
  <c r="B310" i="4"/>
  <c r="C310" i="4"/>
  <c r="D310" i="4"/>
  <c r="E310" i="4"/>
  <c r="F310" i="4"/>
  <c r="G310" i="4"/>
  <c r="H310" i="4"/>
  <c r="I310" i="4"/>
  <c r="J310" i="4"/>
  <c r="K310" i="4"/>
  <c r="L310" i="4"/>
  <c r="M310" i="4"/>
  <c r="N310" i="4"/>
  <c r="O310" i="4"/>
  <c r="B311" i="4"/>
  <c r="C311" i="4"/>
  <c r="D311" i="4"/>
  <c r="E311" i="4"/>
  <c r="F311" i="4"/>
  <c r="G311" i="4"/>
  <c r="H311" i="4"/>
  <c r="I311" i="4"/>
  <c r="J311" i="4"/>
  <c r="K311" i="4"/>
  <c r="L311" i="4"/>
  <c r="M311" i="4"/>
  <c r="N311" i="4"/>
  <c r="O311" i="4"/>
  <c r="B312" i="4"/>
  <c r="C312" i="4"/>
  <c r="D312" i="4"/>
  <c r="E312" i="4"/>
  <c r="F312" i="4"/>
  <c r="G312" i="4"/>
  <c r="H312" i="4"/>
  <c r="I312" i="4"/>
  <c r="J312" i="4"/>
  <c r="K312" i="4"/>
  <c r="L312" i="4"/>
  <c r="M312" i="4"/>
  <c r="N312" i="4"/>
  <c r="O312" i="4"/>
  <c r="B313" i="4"/>
  <c r="C313" i="4"/>
  <c r="D313" i="4"/>
  <c r="E313" i="4"/>
  <c r="F313" i="4"/>
  <c r="G313" i="4"/>
  <c r="H313" i="4"/>
  <c r="I313" i="4"/>
  <c r="J313" i="4"/>
  <c r="K313" i="4"/>
  <c r="L313" i="4"/>
  <c r="M313" i="4"/>
  <c r="N313" i="4"/>
  <c r="O313" i="4"/>
  <c r="B314" i="4"/>
  <c r="C314" i="4"/>
  <c r="D314" i="4"/>
  <c r="E314" i="4"/>
  <c r="F314" i="4"/>
  <c r="G314" i="4"/>
  <c r="H314" i="4"/>
  <c r="I314" i="4"/>
  <c r="J314" i="4"/>
  <c r="K314" i="4"/>
  <c r="L314" i="4"/>
  <c r="M314" i="4"/>
  <c r="N314" i="4"/>
  <c r="O314" i="4"/>
  <c r="B315" i="4"/>
  <c r="C315" i="4"/>
  <c r="D315" i="4"/>
  <c r="E315" i="4"/>
  <c r="F315" i="4"/>
  <c r="G315" i="4"/>
  <c r="H315" i="4"/>
  <c r="I315" i="4"/>
  <c r="J315" i="4"/>
  <c r="K315" i="4"/>
  <c r="L315" i="4"/>
  <c r="M315" i="4"/>
  <c r="N315" i="4"/>
  <c r="O315" i="4"/>
  <c r="B316" i="4"/>
  <c r="C316" i="4"/>
  <c r="D316" i="4"/>
  <c r="E316" i="4"/>
  <c r="F316" i="4"/>
  <c r="G316" i="4"/>
  <c r="H316" i="4"/>
  <c r="I316" i="4"/>
  <c r="J316" i="4"/>
  <c r="K316" i="4"/>
  <c r="L316" i="4"/>
  <c r="M316" i="4"/>
  <c r="N316" i="4"/>
  <c r="O316" i="4"/>
  <c r="B317" i="4"/>
  <c r="C317" i="4"/>
  <c r="D317" i="4"/>
  <c r="E317" i="4"/>
  <c r="F317" i="4"/>
  <c r="G317" i="4"/>
  <c r="H317" i="4"/>
  <c r="I317" i="4"/>
  <c r="J317" i="4"/>
  <c r="K317" i="4"/>
  <c r="L317" i="4"/>
  <c r="M317" i="4"/>
  <c r="N317" i="4"/>
  <c r="O317" i="4"/>
  <c r="B318" i="4"/>
  <c r="C318" i="4"/>
  <c r="D318" i="4"/>
  <c r="E318" i="4"/>
  <c r="F318" i="4"/>
  <c r="G318" i="4"/>
  <c r="H318" i="4"/>
  <c r="I318" i="4"/>
  <c r="J318" i="4"/>
  <c r="K318" i="4"/>
  <c r="L318" i="4"/>
  <c r="M318" i="4"/>
  <c r="N318" i="4"/>
  <c r="O318" i="4"/>
  <c r="B319" i="4"/>
  <c r="C319" i="4"/>
  <c r="D319" i="4"/>
  <c r="E319" i="4"/>
  <c r="F319" i="4"/>
  <c r="G319" i="4"/>
  <c r="H319" i="4"/>
  <c r="I319" i="4"/>
  <c r="J319" i="4"/>
  <c r="K319" i="4"/>
  <c r="L319" i="4"/>
  <c r="M319" i="4"/>
  <c r="N319" i="4"/>
  <c r="O319" i="4"/>
  <c r="B320" i="4"/>
  <c r="C320" i="4"/>
  <c r="D320" i="4"/>
  <c r="E320" i="4"/>
  <c r="F320" i="4"/>
  <c r="G320" i="4"/>
  <c r="H320" i="4"/>
  <c r="I320" i="4"/>
  <c r="J320" i="4"/>
  <c r="K320" i="4"/>
  <c r="L320" i="4"/>
  <c r="M320" i="4"/>
  <c r="N320" i="4"/>
  <c r="O320" i="4"/>
  <c r="B321" i="4"/>
  <c r="C321" i="4"/>
  <c r="D321" i="4"/>
  <c r="E321" i="4"/>
  <c r="F321" i="4"/>
  <c r="G321" i="4"/>
  <c r="H321" i="4"/>
  <c r="I321" i="4"/>
  <c r="J321" i="4"/>
  <c r="K321" i="4"/>
  <c r="L321" i="4"/>
  <c r="M321" i="4"/>
  <c r="N321" i="4"/>
  <c r="O321" i="4"/>
  <c r="B322" i="4"/>
  <c r="C322" i="4"/>
  <c r="D322" i="4"/>
  <c r="E322" i="4"/>
  <c r="F322" i="4"/>
  <c r="G322" i="4"/>
  <c r="H322" i="4"/>
  <c r="I322" i="4"/>
  <c r="J322" i="4"/>
  <c r="K322" i="4"/>
  <c r="L322" i="4"/>
  <c r="M322" i="4"/>
  <c r="N322" i="4"/>
  <c r="O322" i="4"/>
  <c r="B323" i="4"/>
  <c r="C323" i="4"/>
  <c r="D323" i="4"/>
  <c r="E323" i="4"/>
  <c r="F323" i="4"/>
  <c r="G323" i="4"/>
  <c r="H323" i="4"/>
  <c r="I323" i="4"/>
  <c r="J323" i="4"/>
  <c r="K323" i="4"/>
  <c r="L323" i="4"/>
  <c r="M323" i="4"/>
  <c r="N323" i="4"/>
  <c r="O323" i="4"/>
  <c r="B324" i="4"/>
  <c r="C324" i="4"/>
  <c r="D324" i="4"/>
  <c r="E324" i="4"/>
  <c r="F324" i="4"/>
  <c r="G324" i="4"/>
  <c r="H324" i="4"/>
  <c r="I324" i="4"/>
  <c r="J324" i="4"/>
  <c r="K324" i="4"/>
  <c r="L324" i="4"/>
  <c r="M324" i="4"/>
  <c r="N324" i="4"/>
  <c r="O324" i="4"/>
  <c r="B325" i="4"/>
  <c r="C325" i="4"/>
  <c r="D325" i="4"/>
  <c r="E325" i="4"/>
  <c r="F325" i="4"/>
  <c r="G325" i="4"/>
  <c r="H325" i="4"/>
  <c r="I325" i="4"/>
  <c r="J325" i="4"/>
  <c r="K325" i="4"/>
  <c r="L325" i="4"/>
  <c r="M325" i="4"/>
  <c r="N325" i="4"/>
  <c r="O325" i="4"/>
  <c r="B326" i="4"/>
  <c r="C326" i="4"/>
  <c r="D326" i="4"/>
  <c r="E326" i="4"/>
  <c r="F326" i="4"/>
  <c r="G326" i="4"/>
  <c r="H326" i="4"/>
  <c r="I326" i="4"/>
  <c r="J326" i="4"/>
  <c r="K326" i="4"/>
  <c r="L326" i="4"/>
  <c r="M326" i="4"/>
  <c r="N326" i="4"/>
  <c r="O326" i="4"/>
  <c r="B327" i="4"/>
  <c r="C327" i="4"/>
  <c r="D327" i="4"/>
  <c r="E327" i="4"/>
  <c r="F327" i="4"/>
  <c r="G327" i="4"/>
  <c r="H327" i="4"/>
  <c r="I327" i="4"/>
  <c r="J327" i="4"/>
  <c r="K327" i="4"/>
  <c r="L327" i="4"/>
  <c r="M327" i="4"/>
  <c r="N327" i="4"/>
  <c r="O327" i="4"/>
  <c r="B328" i="4"/>
  <c r="C328" i="4"/>
  <c r="D328" i="4"/>
  <c r="E328" i="4"/>
  <c r="F328" i="4"/>
  <c r="G328" i="4"/>
  <c r="H328" i="4"/>
  <c r="I328" i="4"/>
  <c r="J328" i="4"/>
  <c r="K328" i="4"/>
  <c r="L328" i="4"/>
  <c r="M328" i="4"/>
  <c r="N328" i="4"/>
  <c r="O328" i="4"/>
  <c r="B329" i="4"/>
  <c r="C329" i="4"/>
  <c r="D329" i="4"/>
  <c r="E329" i="4"/>
  <c r="F329" i="4"/>
  <c r="G329" i="4"/>
  <c r="H329" i="4"/>
  <c r="I329" i="4"/>
  <c r="J329" i="4"/>
  <c r="K329" i="4"/>
  <c r="L329" i="4"/>
  <c r="M329" i="4"/>
  <c r="N329" i="4"/>
  <c r="O329" i="4"/>
  <c r="B330" i="4"/>
  <c r="C330" i="4"/>
  <c r="D330" i="4"/>
  <c r="E330" i="4"/>
  <c r="F330" i="4"/>
  <c r="G330" i="4"/>
  <c r="H330" i="4"/>
  <c r="I330" i="4"/>
  <c r="J330" i="4"/>
  <c r="K330" i="4"/>
  <c r="L330" i="4"/>
  <c r="M330" i="4"/>
  <c r="N330" i="4"/>
  <c r="O330" i="4"/>
  <c r="B331" i="4"/>
  <c r="C331" i="4"/>
  <c r="D331" i="4"/>
  <c r="E331" i="4"/>
  <c r="F331" i="4"/>
  <c r="G331" i="4"/>
  <c r="H331" i="4"/>
  <c r="I331" i="4"/>
  <c r="J331" i="4"/>
  <c r="K331" i="4"/>
  <c r="L331" i="4"/>
  <c r="M331" i="4"/>
  <c r="N331" i="4"/>
  <c r="O331" i="4"/>
  <c r="B332" i="4"/>
  <c r="C332" i="4"/>
  <c r="D332" i="4"/>
  <c r="E332" i="4"/>
  <c r="F332" i="4"/>
  <c r="G332" i="4"/>
  <c r="H332" i="4"/>
  <c r="I332" i="4"/>
  <c r="J332" i="4"/>
  <c r="K332" i="4"/>
  <c r="L332" i="4"/>
  <c r="M332" i="4"/>
  <c r="N332" i="4"/>
  <c r="O332" i="4"/>
  <c r="B333" i="4"/>
  <c r="C333" i="4"/>
  <c r="D333" i="4"/>
  <c r="E333" i="4"/>
  <c r="F333" i="4"/>
  <c r="G333" i="4"/>
  <c r="H333" i="4"/>
  <c r="I333" i="4"/>
  <c r="J333" i="4"/>
  <c r="K333" i="4"/>
  <c r="L333" i="4"/>
  <c r="M333" i="4"/>
  <c r="N333" i="4"/>
  <c r="O333" i="4"/>
  <c r="B334" i="4"/>
  <c r="C334" i="4"/>
  <c r="D334" i="4"/>
  <c r="E334" i="4"/>
  <c r="F334" i="4"/>
  <c r="G334" i="4"/>
  <c r="H334" i="4"/>
  <c r="I334" i="4"/>
  <c r="J334" i="4"/>
  <c r="K334" i="4"/>
  <c r="L334" i="4"/>
  <c r="M334" i="4"/>
  <c r="N334" i="4"/>
  <c r="O334" i="4"/>
  <c r="B335" i="4"/>
  <c r="C335" i="4"/>
  <c r="D335" i="4"/>
  <c r="E335" i="4"/>
  <c r="F335" i="4"/>
  <c r="G335" i="4"/>
  <c r="H335" i="4"/>
  <c r="I335" i="4"/>
  <c r="J335" i="4"/>
  <c r="K335" i="4"/>
  <c r="L335" i="4"/>
  <c r="M335" i="4"/>
  <c r="N335" i="4"/>
  <c r="O335" i="4"/>
  <c r="B336" i="4"/>
  <c r="C336" i="4"/>
  <c r="D336" i="4"/>
  <c r="E336" i="4"/>
  <c r="F336" i="4"/>
  <c r="G336" i="4"/>
  <c r="H336" i="4"/>
  <c r="I336" i="4"/>
  <c r="J336" i="4"/>
  <c r="K336" i="4"/>
  <c r="L336" i="4"/>
  <c r="M336" i="4"/>
  <c r="N336" i="4"/>
  <c r="O336" i="4"/>
  <c r="B337" i="4"/>
  <c r="C337" i="4"/>
  <c r="D337" i="4"/>
  <c r="E337" i="4"/>
  <c r="F337" i="4"/>
  <c r="G337" i="4"/>
  <c r="H337" i="4"/>
  <c r="I337" i="4"/>
  <c r="J337" i="4"/>
  <c r="K337" i="4"/>
  <c r="L337" i="4"/>
  <c r="M337" i="4"/>
  <c r="N337" i="4"/>
  <c r="O337" i="4"/>
  <c r="B338" i="4"/>
  <c r="C338" i="4"/>
  <c r="D338" i="4"/>
  <c r="E338" i="4"/>
  <c r="F338" i="4"/>
  <c r="G338" i="4"/>
  <c r="H338" i="4"/>
  <c r="I338" i="4"/>
  <c r="J338" i="4"/>
  <c r="K338" i="4"/>
  <c r="L338" i="4"/>
  <c r="M338" i="4"/>
  <c r="N338" i="4"/>
  <c r="O338" i="4"/>
  <c r="B339" i="4"/>
  <c r="C339" i="4"/>
  <c r="D339" i="4"/>
  <c r="E339" i="4"/>
  <c r="F339" i="4"/>
  <c r="G339" i="4"/>
  <c r="H339" i="4"/>
  <c r="I339" i="4"/>
  <c r="J339" i="4"/>
  <c r="K339" i="4"/>
  <c r="L339" i="4"/>
  <c r="M339" i="4"/>
  <c r="N339" i="4"/>
  <c r="O339" i="4"/>
  <c r="B340" i="4"/>
  <c r="C340" i="4"/>
  <c r="D340" i="4"/>
  <c r="E340" i="4"/>
  <c r="F340" i="4"/>
  <c r="G340" i="4"/>
  <c r="H340" i="4"/>
  <c r="I340" i="4"/>
  <c r="J340" i="4"/>
  <c r="K340" i="4"/>
  <c r="L340" i="4"/>
  <c r="M340" i="4"/>
  <c r="N340" i="4"/>
  <c r="O340" i="4"/>
  <c r="B341" i="4"/>
  <c r="C341" i="4"/>
  <c r="D341" i="4"/>
  <c r="E341" i="4"/>
  <c r="F341" i="4"/>
  <c r="G341" i="4"/>
  <c r="H341" i="4"/>
  <c r="I341" i="4"/>
  <c r="J341" i="4"/>
  <c r="K341" i="4"/>
  <c r="L341" i="4"/>
  <c r="M341" i="4"/>
  <c r="N341" i="4"/>
  <c r="O341" i="4"/>
  <c r="B342" i="4"/>
  <c r="C342" i="4"/>
  <c r="D342" i="4"/>
  <c r="E342" i="4"/>
  <c r="F342" i="4"/>
  <c r="G342" i="4"/>
  <c r="H342" i="4"/>
  <c r="I342" i="4"/>
  <c r="J342" i="4"/>
  <c r="K342" i="4"/>
  <c r="L342" i="4"/>
  <c r="M342" i="4"/>
  <c r="N342" i="4"/>
  <c r="O342" i="4"/>
  <c r="B343" i="4"/>
  <c r="C343" i="4"/>
  <c r="D343" i="4"/>
  <c r="E343" i="4"/>
  <c r="F343" i="4"/>
  <c r="G343" i="4"/>
  <c r="H343" i="4"/>
  <c r="I343" i="4"/>
  <c r="J343" i="4"/>
  <c r="K343" i="4"/>
  <c r="L343" i="4"/>
  <c r="M343" i="4"/>
  <c r="N343" i="4"/>
  <c r="O343" i="4"/>
  <c r="B344" i="4"/>
  <c r="C344" i="4"/>
  <c r="D344" i="4"/>
  <c r="E344" i="4"/>
  <c r="F344" i="4"/>
  <c r="G344" i="4"/>
  <c r="H344" i="4"/>
  <c r="I344" i="4"/>
  <c r="J344" i="4"/>
  <c r="K344" i="4"/>
  <c r="L344" i="4"/>
  <c r="M344" i="4"/>
  <c r="N344" i="4"/>
  <c r="O344" i="4"/>
  <c r="B345" i="4"/>
  <c r="C345" i="4"/>
  <c r="D345" i="4"/>
  <c r="E345" i="4"/>
  <c r="F345" i="4"/>
  <c r="G345" i="4"/>
  <c r="H345" i="4"/>
  <c r="I345" i="4"/>
  <c r="J345" i="4"/>
  <c r="K345" i="4"/>
  <c r="L345" i="4"/>
  <c r="M345" i="4"/>
  <c r="N345" i="4"/>
  <c r="O345" i="4"/>
  <c r="B346" i="4"/>
  <c r="C346" i="4"/>
  <c r="D346" i="4"/>
  <c r="E346" i="4"/>
  <c r="F346" i="4"/>
  <c r="G346" i="4"/>
  <c r="H346" i="4"/>
  <c r="I346" i="4"/>
  <c r="J346" i="4"/>
  <c r="K346" i="4"/>
  <c r="L346" i="4"/>
  <c r="M346" i="4"/>
  <c r="N346" i="4"/>
  <c r="O346" i="4"/>
  <c r="B347" i="4"/>
  <c r="C347" i="4"/>
  <c r="D347" i="4"/>
  <c r="E347" i="4"/>
  <c r="F347" i="4"/>
  <c r="G347" i="4"/>
  <c r="H347" i="4"/>
  <c r="I347" i="4"/>
  <c r="J347" i="4"/>
  <c r="K347" i="4"/>
  <c r="L347" i="4"/>
  <c r="M347" i="4"/>
  <c r="N347" i="4"/>
  <c r="O347" i="4"/>
  <c r="B348" i="4"/>
  <c r="C348" i="4"/>
  <c r="D348" i="4"/>
  <c r="E348" i="4"/>
  <c r="F348" i="4"/>
  <c r="G348" i="4"/>
  <c r="H348" i="4"/>
  <c r="I348" i="4"/>
  <c r="J348" i="4"/>
  <c r="K348" i="4"/>
  <c r="L348" i="4"/>
  <c r="M348" i="4"/>
  <c r="N348" i="4"/>
  <c r="O348" i="4"/>
  <c r="B349" i="4"/>
  <c r="C349" i="4"/>
  <c r="D349" i="4"/>
  <c r="E349" i="4"/>
  <c r="F349" i="4"/>
  <c r="G349" i="4"/>
  <c r="H349" i="4"/>
  <c r="I349" i="4"/>
  <c r="J349" i="4"/>
  <c r="K349" i="4"/>
  <c r="L349" i="4"/>
  <c r="M349" i="4"/>
  <c r="N349" i="4"/>
  <c r="O349" i="4"/>
  <c r="B350" i="4"/>
  <c r="C350" i="4"/>
  <c r="D350" i="4"/>
  <c r="E350" i="4"/>
  <c r="F350" i="4"/>
  <c r="G350" i="4"/>
  <c r="H350" i="4"/>
  <c r="I350" i="4"/>
  <c r="J350" i="4"/>
  <c r="K350" i="4"/>
  <c r="L350" i="4"/>
  <c r="M350" i="4"/>
  <c r="N350" i="4"/>
  <c r="O350" i="4"/>
  <c r="B351" i="4"/>
  <c r="C351" i="4"/>
  <c r="D351" i="4"/>
  <c r="E351" i="4"/>
  <c r="F351" i="4"/>
  <c r="G351" i="4"/>
  <c r="H351" i="4"/>
  <c r="I351" i="4"/>
  <c r="J351" i="4"/>
  <c r="K351" i="4"/>
  <c r="L351" i="4"/>
  <c r="M351" i="4"/>
  <c r="N351" i="4"/>
  <c r="O351" i="4"/>
  <c r="B352" i="4"/>
  <c r="C352" i="4"/>
  <c r="D352" i="4"/>
  <c r="E352" i="4"/>
  <c r="F352" i="4"/>
  <c r="G352" i="4"/>
  <c r="H352" i="4"/>
  <c r="I352" i="4"/>
  <c r="J352" i="4"/>
  <c r="K352" i="4"/>
  <c r="L352" i="4"/>
  <c r="M352" i="4"/>
  <c r="N352" i="4"/>
  <c r="O352" i="4"/>
  <c r="B353" i="4"/>
  <c r="C353" i="4"/>
  <c r="D353" i="4"/>
  <c r="E353" i="4"/>
  <c r="F353" i="4"/>
  <c r="G353" i="4"/>
  <c r="H353" i="4"/>
  <c r="I353" i="4"/>
  <c r="J353" i="4"/>
  <c r="K353" i="4"/>
  <c r="L353" i="4"/>
  <c r="M353" i="4"/>
  <c r="N353" i="4"/>
  <c r="O353" i="4"/>
  <c r="B354" i="4"/>
  <c r="C354" i="4"/>
  <c r="D354" i="4"/>
  <c r="E354" i="4"/>
  <c r="F354" i="4"/>
  <c r="G354" i="4"/>
  <c r="H354" i="4"/>
  <c r="I354" i="4"/>
  <c r="J354" i="4"/>
  <c r="K354" i="4"/>
  <c r="L354" i="4"/>
  <c r="M354" i="4"/>
  <c r="N354" i="4"/>
  <c r="O354" i="4"/>
  <c r="B355" i="4"/>
  <c r="C355" i="4"/>
  <c r="D355" i="4"/>
  <c r="E355" i="4"/>
  <c r="F355" i="4"/>
  <c r="G355" i="4"/>
  <c r="H355" i="4"/>
  <c r="I355" i="4"/>
  <c r="J355" i="4"/>
  <c r="K355" i="4"/>
  <c r="L355" i="4"/>
  <c r="M355" i="4"/>
  <c r="N355" i="4"/>
  <c r="O355" i="4"/>
  <c r="B356" i="4"/>
  <c r="C356" i="4"/>
  <c r="D356" i="4"/>
  <c r="E356" i="4"/>
  <c r="F356" i="4"/>
  <c r="G356" i="4"/>
  <c r="H356" i="4"/>
  <c r="I356" i="4"/>
  <c r="J356" i="4"/>
  <c r="K356" i="4"/>
  <c r="L356" i="4"/>
  <c r="M356" i="4"/>
  <c r="N356" i="4"/>
  <c r="O356" i="4"/>
  <c r="B357" i="4"/>
  <c r="C357" i="4"/>
  <c r="D357" i="4"/>
  <c r="E357" i="4"/>
  <c r="F357" i="4"/>
  <c r="G357" i="4"/>
  <c r="H357" i="4"/>
  <c r="I357" i="4"/>
  <c r="J357" i="4"/>
  <c r="K357" i="4"/>
  <c r="L357" i="4"/>
  <c r="M357" i="4"/>
  <c r="N357" i="4"/>
  <c r="O357" i="4"/>
  <c r="B358" i="4"/>
  <c r="C358" i="4"/>
  <c r="D358" i="4"/>
  <c r="E358" i="4"/>
  <c r="F358" i="4"/>
  <c r="G358" i="4"/>
  <c r="H358" i="4"/>
  <c r="I358" i="4"/>
  <c r="J358" i="4"/>
  <c r="K358" i="4"/>
  <c r="L358" i="4"/>
  <c r="M358" i="4"/>
  <c r="N358" i="4"/>
  <c r="O358" i="4"/>
  <c r="B359" i="4"/>
  <c r="C359" i="4"/>
  <c r="D359" i="4"/>
  <c r="E359" i="4"/>
  <c r="F359" i="4"/>
  <c r="G359" i="4"/>
  <c r="H359" i="4"/>
  <c r="I359" i="4"/>
  <c r="J359" i="4"/>
  <c r="K359" i="4"/>
  <c r="L359" i="4"/>
  <c r="M359" i="4"/>
  <c r="N359" i="4"/>
  <c r="O359" i="4"/>
  <c r="B360" i="4"/>
  <c r="C360" i="4"/>
  <c r="D360" i="4"/>
  <c r="E360" i="4"/>
  <c r="F360" i="4"/>
  <c r="G360" i="4"/>
  <c r="H360" i="4"/>
  <c r="I360" i="4"/>
  <c r="J360" i="4"/>
  <c r="K360" i="4"/>
  <c r="L360" i="4"/>
  <c r="M360" i="4"/>
  <c r="N360" i="4"/>
  <c r="O360" i="4"/>
  <c r="B361" i="4"/>
  <c r="C361" i="4"/>
  <c r="D361" i="4"/>
  <c r="E361" i="4"/>
  <c r="F361" i="4"/>
  <c r="G361" i="4"/>
  <c r="H361" i="4"/>
  <c r="I361" i="4"/>
  <c r="J361" i="4"/>
  <c r="K361" i="4"/>
  <c r="L361" i="4"/>
  <c r="M361" i="4"/>
  <c r="N361" i="4"/>
  <c r="O361" i="4"/>
  <c r="B362" i="4"/>
  <c r="C362" i="4"/>
  <c r="D362" i="4"/>
  <c r="E362" i="4"/>
  <c r="F362" i="4"/>
  <c r="G362" i="4"/>
  <c r="H362" i="4"/>
  <c r="I362" i="4"/>
  <c r="J362" i="4"/>
  <c r="K362" i="4"/>
  <c r="L362" i="4"/>
  <c r="M362" i="4"/>
  <c r="N362" i="4"/>
  <c r="O362" i="4"/>
  <c r="B363" i="4"/>
  <c r="C363" i="4"/>
  <c r="D363" i="4"/>
  <c r="E363" i="4"/>
  <c r="F363" i="4"/>
  <c r="G363" i="4"/>
  <c r="H363" i="4"/>
  <c r="I363" i="4"/>
  <c r="J363" i="4"/>
  <c r="K363" i="4"/>
  <c r="L363" i="4"/>
  <c r="M363" i="4"/>
  <c r="N363" i="4"/>
  <c r="O363" i="4"/>
  <c r="B364" i="4"/>
  <c r="C364" i="4"/>
  <c r="D364" i="4"/>
  <c r="E364" i="4"/>
  <c r="F364" i="4"/>
  <c r="G364" i="4"/>
  <c r="H364" i="4"/>
  <c r="I364" i="4"/>
  <c r="J364" i="4"/>
  <c r="K364" i="4"/>
  <c r="L364" i="4"/>
  <c r="M364" i="4"/>
  <c r="N364" i="4"/>
  <c r="O364" i="4"/>
  <c r="B365" i="4"/>
  <c r="C365" i="4"/>
  <c r="D365" i="4"/>
  <c r="E365" i="4"/>
  <c r="F365" i="4"/>
  <c r="G365" i="4"/>
  <c r="H365" i="4"/>
  <c r="I365" i="4"/>
  <c r="J365" i="4"/>
  <c r="K365" i="4"/>
  <c r="L365" i="4"/>
  <c r="M365" i="4"/>
  <c r="N365" i="4"/>
  <c r="O365" i="4"/>
  <c r="B366" i="4"/>
  <c r="C366" i="4"/>
  <c r="D366" i="4"/>
  <c r="E366" i="4"/>
  <c r="F366" i="4"/>
  <c r="G366" i="4"/>
  <c r="H366" i="4"/>
  <c r="I366" i="4"/>
  <c r="J366" i="4"/>
  <c r="K366" i="4"/>
  <c r="L366" i="4"/>
  <c r="M366" i="4"/>
  <c r="N366" i="4"/>
  <c r="O366" i="4"/>
  <c r="B367" i="4"/>
  <c r="C367" i="4"/>
  <c r="D367" i="4"/>
  <c r="E367" i="4"/>
  <c r="F367" i="4"/>
  <c r="G367" i="4"/>
  <c r="H367" i="4"/>
  <c r="I367" i="4"/>
  <c r="J367" i="4"/>
  <c r="K367" i="4"/>
  <c r="L367" i="4"/>
  <c r="M367" i="4"/>
  <c r="N367" i="4"/>
  <c r="O367" i="4"/>
  <c r="B368" i="4"/>
  <c r="C368" i="4"/>
  <c r="D368" i="4"/>
  <c r="E368" i="4"/>
  <c r="F368" i="4"/>
  <c r="G368" i="4"/>
  <c r="H368" i="4"/>
  <c r="I368" i="4"/>
  <c r="J368" i="4"/>
  <c r="K368" i="4"/>
  <c r="L368" i="4"/>
  <c r="M368" i="4"/>
  <c r="N368" i="4"/>
  <c r="O368" i="4"/>
  <c r="B369" i="4"/>
  <c r="C369" i="4"/>
  <c r="D369" i="4"/>
  <c r="E369" i="4"/>
  <c r="F369" i="4"/>
  <c r="G369" i="4"/>
  <c r="H369" i="4"/>
  <c r="I369" i="4"/>
  <c r="J369" i="4"/>
  <c r="K369" i="4"/>
  <c r="L369" i="4"/>
  <c r="M369" i="4"/>
  <c r="N369" i="4"/>
  <c r="O369" i="4"/>
  <c r="B370" i="4"/>
  <c r="C370" i="4"/>
  <c r="D370" i="4"/>
  <c r="E370" i="4"/>
  <c r="F370" i="4"/>
  <c r="G370" i="4"/>
  <c r="H370" i="4"/>
  <c r="I370" i="4"/>
  <c r="J370" i="4"/>
  <c r="K370" i="4"/>
  <c r="L370" i="4"/>
  <c r="M370" i="4"/>
  <c r="N370" i="4"/>
  <c r="O370" i="4"/>
  <c r="B371" i="4"/>
  <c r="C371" i="4"/>
  <c r="D371" i="4"/>
  <c r="E371" i="4"/>
  <c r="F371" i="4"/>
  <c r="G371" i="4"/>
  <c r="H371" i="4"/>
  <c r="I371" i="4"/>
  <c r="J371" i="4"/>
  <c r="K371" i="4"/>
  <c r="L371" i="4"/>
  <c r="M371" i="4"/>
  <c r="N371" i="4"/>
  <c r="O371" i="4"/>
  <c r="B372" i="4"/>
  <c r="C372" i="4"/>
  <c r="D372" i="4"/>
  <c r="E372" i="4"/>
  <c r="F372" i="4"/>
  <c r="G372" i="4"/>
  <c r="H372" i="4"/>
  <c r="I372" i="4"/>
  <c r="J372" i="4"/>
  <c r="K372" i="4"/>
  <c r="L372" i="4"/>
  <c r="M372" i="4"/>
  <c r="N372" i="4"/>
  <c r="O372" i="4"/>
  <c r="B373" i="4"/>
  <c r="C373" i="4"/>
  <c r="D373" i="4"/>
  <c r="E373" i="4"/>
  <c r="F373" i="4"/>
  <c r="G373" i="4"/>
  <c r="H373" i="4"/>
  <c r="I373" i="4"/>
  <c r="J373" i="4"/>
  <c r="K373" i="4"/>
  <c r="L373" i="4"/>
  <c r="M373" i="4"/>
  <c r="N373" i="4"/>
  <c r="O373" i="4"/>
  <c r="B374" i="4"/>
  <c r="C374" i="4"/>
  <c r="D374" i="4"/>
  <c r="E374" i="4"/>
  <c r="F374" i="4"/>
  <c r="G374" i="4"/>
  <c r="H374" i="4"/>
  <c r="I374" i="4"/>
  <c r="J374" i="4"/>
  <c r="K374" i="4"/>
  <c r="L374" i="4"/>
  <c r="M374" i="4"/>
  <c r="N374" i="4"/>
  <c r="O374" i="4"/>
  <c r="B375" i="4"/>
  <c r="C375" i="4"/>
  <c r="D375" i="4"/>
  <c r="E375" i="4"/>
  <c r="F375" i="4"/>
  <c r="G375" i="4"/>
  <c r="H375" i="4"/>
  <c r="I375" i="4"/>
  <c r="J375" i="4"/>
  <c r="K375" i="4"/>
  <c r="L375" i="4"/>
  <c r="M375" i="4"/>
  <c r="N375" i="4"/>
  <c r="O375" i="4"/>
  <c r="B376" i="4"/>
  <c r="C376" i="4"/>
  <c r="D376" i="4"/>
  <c r="E376" i="4"/>
  <c r="F376" i="4"/>
  <c r="G376" i="4"/>
  <c r="H376" i="4"/>
  <c r="I376" i="4"/>
  <c r="J376" i="4"/>
  <c r="K376" i="4"/>
  <c r="L376" i="4"/>
  <c r="M376" i="4"/>
  <c r="N376" i="4"/>
  <c r="O376" i="4"/>
  <c r="B377" i="4"/>
  <c r="C377" i="4"/>
  <c r="D377" i="4"/>
  <c r="E377" i="4"/>
  <c r="F377" i="4"/>
  <c r="G377" i="4"/>
  <c r="H377" i="4"/>
  <c r="I377" i="4"/>
  <c r="J377" i="4"/>
  <c r="K377" i="4"/>
  <c r="L377" i="4"/>
  <c r="M377" i="4"/>
  <c r="N377" i="4"/>
  <c r="O377" i="4"/>
  <c r="B378" i="4"/>
  <c r="C378" i="4"/>
  <c r="D378" i="4"/>
  <c r="E378" i="4"/>
  <c r="F378" i="4"/>
  <c r="G378" i="4"/>
  <c r="H378" i="4"/>
  <c r="I378" i="4"/>
  <c r="J378" i="4"/>
  <c r="K378" i="4"/>
  <c r="L378" i="4"/>
  <c r="M378" i="4"/>
  <c r="N378" i="4"/>
  <c r="O378" i="4"/>
  <c r="B379" i="4"/>
  <c r="C379" i="4"/>
  <c r="D379" i="4"/>
  <c r="E379" i="4"/>
  <c r="F379" i="4"/>
  <c r="G379" i="4"/>
  <c r="H379" i="4"/>
  <c r="I379" i="4"/>
  <c r="J379" i="4"/>
  <c r="K379" i="4"/>
  <c r="L379" i="4"/>
  <c r="M379" i="4"/>
  <c r="N379" i="4"/>
  <c r="O379" i="4"/>
  <c r="B380" i="4"/>
  <c r="C380" i="4"/>
  <c r="D380" i="4"/>
  <c r="E380" i="4"/>
  <c r="F380" i="4"/>
  <c r="G380" i="4"/>
  <c r="H380" i="4"/>
  <c r="I380" i="4"/>
  <c r="J380" i="4"/>
  <c r="K380" i="4"/>
  <c r="L380" i="4"/>
  <c r="M380" i="4"/>
  <c r="N380" i="4"/>
  <c r="O380" i="4"/>
  <c r="B381" i="4"/>
  <c r="C381" i="4"/>
  <c r="D381" i="4"/>
  <c r="E381" i="4"/>
  <c r="F381" i="4"/>
  <c r="G381" i="4"/>
  <c r="H381" i="4"/>
  <c r="I381" i="4"/>
  <c r="J381" i="4"/>
  <c r="K381" i="4"/>
  <c r="L381" i="4"/>
  <c r="M381" i="4"/>
  <c r="N381" i="4"/>
  <c r="O381" i="4"/>
  <c r="B382" i="4"/>
  <c r="C382" i="4"/>
  <c r="D382" i="4"/>
  <c r="E382" i="4"/>
  <c r="F382" i="4"/>
  <c r="G382" i="4"/>
  <c r="H382" i="4"/>
  <c r="I382" i="4"/>
  <c r="J382" i="4"/>
  <c r="K382" i="4"/>
  <c r="L382" i="4"/>
  <c r="M382" i="4"/>
  <c r="N382" i="4"/>
  <c r="O382" i="4"/>
  <c r="B383" i="4"/>
  <c r="C383" i="4"/>
  <c r="D383" i="4"/>
  <c r="E383" i="4"/>
  <c r="F383" i="4"/>
  <c r="G383" i="4"/>
  <c r="H383" i="4"/>
  <c r="I383" i="4"/>
  <c r="J383" i="4"/>
  <c r="K383" i="4"/>
  <c r="L383" i="4"/>
  <c r="M383" i="4"/>
  <c r="N383" i="4"/>
  <c r="O383" i="4"/>
  <c r="B384" i="4"/>
  <c r="C384" i="4"/>
  <c r="D384" i="4"/>
  <c r="E384" i="4"/>
  <c r="F384" i="4"/>
  <c r="G384" i="4"/>
  <c r="H384" i="4"/>
  <c r="I384" i="4"/>
  <c r="J384" i="4"/>
  <c r="K384" i="4"/>
  <c r="L384" i="4"/>
  <c r="M384" i="4"/>
  <c r="N384" i="4"/>
  <c r="O384" i="4"/>
  <c r="B385" i="4"/>
  <c r="C385" i="4"/>
  <c r="D385" i="4"/>
  <c r="E385" i="4"/>
  <c r="F385" i="4"/>
  <c r="G385" i="4"/>
  <c r="H385" i="4"/>
  <c r="I385" i="4"/>
  <c r="J385" i="4"/>
  <c r="K385" i="4"/>
  <c r="L385" i="4"/>
  <c r="M385" i="4"/>
  <c r="N385" i="4"/>
  <c r="O385" i="4"/>
  <c r="B386" i="4"/>
  <c r="C386" i="4"/>
  <c r="D386" i="4"/>
  <c r="E386" i="4"/>
  <c r="F386" i="4"/>
  <c r="G386" i="4"/>
  <c r="H386" i="4"/>
  <c r="I386" i="4"/>
  <c r="J386" i="4"/>
  <c r="K386" i="4"/>
  <c r="L386" i="4"/>
  <c r="M386" i="4"/>
  <c r="N386" i="4"/>
  <c r="O386" i="4"/>
  <c r="B387" i="4"/>
  <c r="C387" i="4"/>
  <c r="D387" i="4"/>
  <c r="E387" i="4"/>
  <c r="F387" i="4"/>
  <c r="G387" i="4"/>
  <c r="H387" i="4"/>
  <c r="I387" i="4"/>
  <c r="J387" i="4"/>
  <c r="K387" i="4"/>
  <c r="L387" i="4"/>
  <c r="M387" i="4"/>
  <c r="N387" i="4"/>
  <c r="O387" i="4"/>
  <c r="B388" i="4"/>
  <c r="C388" i="4"/>
  <c r="D388" i="4"/>
  <c r="E388" i="4"/>
  <c r="F388" i="4"/>
  <c r="G388" i="4"/>
  <c r="H388" i="4"/>
  <c r="I388" i="4"/>
  <c r="J388" i="4"/>
  <c r="K388" i="4"/>
  <c r="L388" i="4"/>
  <c r="M388" i="4"/>
  <c r="N388" i="4"/>
  <c r="O388" i="4"/>
  <c r="B389" i="4"/>
  <c r="C389" i="4"/>
  <c r="D389" i="4"/>
  <c r="E389" i="4"/>
  <c r="F389" i="4"/>
  <c r="G389" i="4"/>
  <c r="H389" i="4"/>
  <c r="I389" i="4"/>
  <c r="J389" i="4"/>
  <c r="K389" i="4"/>
  <c r="L389" i="4"/>
  <c r="M389" i="4"/>
  <c r="N389" i="4"/>
  <c r="O389" i="4"/>
  <c r="B390" i="4"/>
  <c r="C390" i="4"/>
  <c r="D390" i="4"/>
  <c r="E390" i="4"/>
  <c r="F390" i="4"/>
  <c r="G390" i="4"/>
  <c r="H390" i="4"/>
  <c r="I390" i="4"/>
  <c r="J390" i="4"/>
  <c r="K390" i="4"/>
  <c r="L390" i="4"/>
  <c r="M390" i="4"/>
  <c r="N390" i="4"/>
  <c r="O390" i="4"/>
  <c r="B391" i="4"/>
  <c r="C391" i="4"/>
  <c r="D391" i="4"/>
  <c r="E391" i="4"/>
  <c r="F391" i="4"/>
  <c r="G391" i="4"/>
  <c r="H391" i="4"/>
  <c r="I391" i="4"/>
  <c r="J391" i="4"/>
  <c r="K391" i="4"/>
  <c r="L391" i="4"/>
  <c r="M391" i="4"/>
  <c r="N391" i="4"/>
  <c r="O391" i="4"/>
  <c r="B392" i="4"/>
  <c r="C392" i="4"/>
  <c r="D392" i="4"/>
  <c r="E392" i="4"/>
  <c r="F392" i="4"/>
  <c r="G392" i="4"/>
  <c r="H392" i="4"/>
  <c r="I392" i="4"/>
  <c r="J392" i="4"/>
  <c r="K392" i="4"/>
  <c r="L392" i="4"/>
  <c r="M392" i="4"/>
  <c r="N392" i="4"/>
  <c r="O392" i="4"/>
  <c r="B393" i="4"/>
  <c r="C393" i="4"/>
  <c r="D393" i="4"/>
  <c r="E393" i="4"/>
  <c r="F393" i="4"/>
  <c r="G393" i="4"/>
  <c r="H393" i="4"/>
  <c r="I393" i="4"/>
  <c r="J393" i="4"/>
  <c r="K393" i="4"/>
  <c r="L393" i="4"/>
  <c r="M393" i="4"/>
  <c r="N393" i="4"/>
  <c r="O393" i="4"/>
  <c r="B394" i="4"/>
  <c r="C394" i="4"/>
  <c r="D394" i="4"/>
  <c r="E394" i="4"/>
  <c r="F394" i="4"/>
  <c r="G394" i="4"/>
  <c r="H394" i="4"/>
  <c r="I394" i="4"/>
  <c r="J394" i="4"/>
  <c r="K394" i="4"/>
  <c r="L394" i="4"/>
  <c r="M394" i="4"/>
  <c r="N394" i="4"/>
  <c r="O394" i="4"/>
  <c r="B395" i="4"/>
  <c r="C395" i="4"/>
  <c r="D395" i="4"/>
  <c r="E395" i="4"/>
  <c r="F395" i="4"/>
  <c r="G395" i="4"/>
  <c r="H395" i="4"/>
  <c r="I395" i="4"/>
  <c r="J395" i="4"/>
  <c r="K395" i="4"/>
  <c r="L395" i="4"/>
  <c r="M395" i="4"/>
  <c r="N395" i="4"/>
  <c r="O395" i="4"/>
  <c r="B396" i="4"/>
  <c r="C396" i="4"/>
  <c r="D396" i="4"/>
  <c r="E396" i="4"/>
  <c r="F396" i="4"/>
  <c r="G396" i="4"/>
  <c r="H396" i="4"/>
  <c r="I396" i="4"/>
  <c r="J396" i="4"/>
  <c r="K396" i="4"/>
  <c r="L396" i="4"/>
  <c r="M396" i="4"/>
  <c r="N396" i="4"/>
  <c r="O396" i="4"/>
  <c r="B397" i="4"/>
  <c r="C397" i="4"/>
  <c r="D397" i="4"/>
  <c r="E397" i="4"/>
  <c r="F397" i="4"/>
  <c r="G397" i="4"/>
  <c r="H397" i="4"/>
  <c r="I397" i="4"/>
  <c r="J397" i="4"/>
  <c r="K397" i="4"/>
  <c r="L397" i="4"/>
  <c r="M397" i="4"/>
  <c r="N397" i="4"/>
  <c r="O397" i="4"/>
  <c r="B398" i="4"/>
  <c r="C398" i="4"/>
  <c r="D398" i="4"/>
  <c r="E398" i="4"/>
  <c r="F398" i="4"/>
  <c r="G398" i="4"/>
  <c r="H398" i="4"/>
  <c r="I398" i="4"/>
  <c r="J398" i="4"/>
  <c r="K398" i="4"/>
  <c r="L398" i="4"/>
  <c r="M398" i="4"/>
  <c r="N398" i="4"/>
  <c r="O398" i="4"/>
  <c r="B399" i="4"/>
  <c r="C399" i="4"/>
  <c r="D399" i="4"/>
  <c r="E399" i="4"/>
  <c r="F399" i="4"/>
  <c r="G399" i="4"/>
  <c r="H399" i="4"/>
  <c r="I399" i="4"/>
  <c r="J399" i="4"/>
  <c r="K399" i="4"/>
  <c r="L399" i="4"/>
  <c r="M399" i="4"/>
  <c r="N399" i="4"/>
  <c r="O399" i="4"/>
  <c r="B400" i="4"/>
  <c r="C400" i="4"/>
  <c r="D400" i="4"/>
  <c r="E400" i="4"/>
  <c r="F400" i="4"/>
  <c r="G400" i="4"/>
  <c r="H400" i="4"/>
  <c r="I400" i="4"/>
  <c r="J400" i="4"/>
  <c r="K400" i="4"/>
  <c r="L400" i="4"/>
  <c r="M400" i="4"/>
  <c r="N400" i="4"/>
  <c r="O400" i="4"/>
  <c r="B401" i="4"/>
  <c r="C401" i="4"/>
  <c r="D401" i="4"/>
  <c r="E401" i="4"/>
  <c r="F401" i="4"/>
  <c r="G401" i="4"/>
  <c r="H401" i="4"/>
  <c r="I401" i="4"/>
  <c r="J401" i="4"/>
  <c r="K401" i="4"/>
  <c r="L401" i="4"/>
  <c r="M401" i="4"/>
  <c r="N401" i="4"/>
  <c r="O401" i="4"/>
  <c r="B402" i="4"/>
  <c r="C402" i="4"/>
  <c r="D402" i="4"/>
  <c r="E402" i="4"/>
  <c r="F402" i="4"/>
  <c r="G402" i="4"/>
  <c r="H402" i="4"/>
  <c r="I402" i="4"/>
  <c r="J402" i="4"/>
  <c r="K402" i="4"/>
  <c r="L402" i="4"/>
  <c r="M402" i="4"/>
  <c r="N402" i="4"/>
  <c r="O402" i="4"/>
  <c r="B403" i="4"/>
  <c r="C403" i="4"/>
  <c r="D403" i="4"/>
  <c r="E403" i="4"/>
  <c r="F403" i="4"/>
  <c r="G403" i="4"/>
  <c r="H403" i="4"/>
  <c r="I403" i="4"/>
  <c r="J403" i="4"/>
  <c r="K403" i="4"/>
  <c r="L403" i="4"/>
  <c r="M403" i="4"/>
  <c r="N403" i="4"/>
  <c r="O403" i="4"/>
  <c r="B404" i="4"/>
  <c r="C404" i="4"/>
  <c r="D404" i="4"/>
  <c r="E404" i="4"/>
  <c r="F404" i="4"/>
  <c r="G404" i="4"/>
  <c r="H404" i="4"/>
  <c r="I404" i="4"/>
  <c r="J404" i="4"/>
  <c r="K404" i="4"/>
  <c r="L404" i="4"/>
  <c r="M404" i="4"/>
  <c r="N404" i="4"/>
  <c r="O404" i="4"/>
  <c r="B405" i="4"/>
  <c r="C405" i="4"/>
  <c r="D405" i="4"/>
  <c r="E405" i="4"/>
  <c r="F405" i="4"/>
  <c r="G405" i="4"/>
  <c r="H405" i="4"/>
  <c r="I405" i="4"/>
  <c r="J405" i="4"/>
  <c r="K405" i="4"/>
  <c r="L405" i="4"/>
  <c r="M405" i="4"/>
  <c r="N405" i="4"/>
  <c r="O405" i="4"/>
  <c r="B406" i="4"/>
  <c r="C406" i="4"/>
  <c r="D406" i="4"/>
  <c r="E406" i="4"/>
  <c r="F406" i="4"/>
  <c r="G406" i="4"/>
  <c r="H406" i="4"/>
  <c r="I406" i="4"/>
  <c r="J406" i="4"/>
  <c r="K406" i="4"/>
  <c r="L406" i="4"/>
  <c r="M406" i="4"/>
  <c r="N406" i="4"/>
  <c r="O406" i="4"/>
  <c r="B407" i="4"/>
  <c r="C407" i="4"/>
  <c r="D407" i="4"/>
  <c r="E407" i="4"/>
  <c r="F407" i="4"/>
  <c r="G407" i="4"/>
  <c r="H407" i="4"/>
  <c r="I407" i="4"/>
  <c r="J407" i="4"/>
  <c r="K407" i="4"/>
  <c r="L407" i="4"/>
  <c r="M407" i="4"/>
  <c r="N407" i="4"/>
  <c r="O407" i="4"/>
  <c r="B408" i="4"/>
  <c r="C408" i="4"/>
  <c r="D408" i="4"/>
  <c r="E408" i="4"/>
  <c r="F408" i="4"/>
  <c r="G408" i="4"/>
  <c r="H408" i="4"/>
  <c r="I408" i="4"/>
  <c r="J408" i="4"/>
  <c r="K408" i="4"/>
  <c r="L408" i="4"/>
  <c r="M408" i="4"/>
  <c r="N408" i="4"/>
  <c r="O408" i="4"/>
  <c r="B409" i="4"/>
  <c r="C409" i="4"/>
  <c r="D409" i="4"/>
  <c r="E409" i="4"/>
  <c r="F409" i="4"/>
  <c r="G409" i="4"/>
  <c r="H409" i="4"/>
  <c r="I409" i="4"/>
  <c r="J409" i="4"/>
  <c r="K409" i="4"/>
  <c r="L409" i="4"/>
  <c r="M409" i="4"/>
  <c r="N409" i="4"/>
  <c r="O409" i="4"/>
  <c r="B410" i="4"/>
  <c r="C410" i="4"/>
  <c r="D410" i="4"/>
  <c r="E410" i="4"/>
  <c r="F410" i="4"/>
  <c r="G410" i="4"/>
  <c r="H410" i="4"/>
  <c r="I410" i="4"/>
  <c r="J410" i="4"/>
  <c r="K410" i="4"/>
  <c r="L410" i="4"/>
  <c r="M410" i="4"/>
  <c r="N410" i="4"/>
  <c r="O410" i="4"/>
  <c r="B411" i="4"/>
  <c r="C411" i="4"/>
  <c r="D411" i="4"/>
  <c r="E411" i="4"/>
  <c r="F411" i="4"/>
  <c r="G411" i="4"/>
  <c r="H411" i="4"/>
  <c r="I411" i="4"/>
  <c r="J411" i="4"/>
  <c r="K411" i="4"/>
  <c r="L411" i="4"/>
  <c r="M411" i="4"/>
  <c r="N411" i="4"/>
  <c r="O411" i="4"/>
  <c r="B412" i="4"/>
  <c r="C412" i="4"/>
  <c r="D412" i="4"/>
  <c r="E412" i="4"/>
  <c r="F412" i="4"/>
  <c r="G412" i="4"/>
  <c r="H412" i="4"/>
  <c r="I412" i="4"/>
  <c r="J412" i="4"/>
  <c r="K412" i="4"/>
  <c r="L412" i="4"/>
  <c r="M412" i="4"/>
  <c r="N412" i="4"/>
  <c r="O412" i="4"/>
  <c r="B413" i="4"/>
  <c r="C413" i="4"/>
  <c r="D413" i="4"/>
  <c r="E413" i="4"/>
  <c r="F413" i="4"/>
  <c r="G413" i="4"/>
  <c r="H413" i="4"/>
  <c r="I413" i="4"/>
  <c r="J413" i="4"/>
  <c r="K413" i="4"/>
  <c r="L413" i="4"/>
  <c r="M413" i="4"/>
  <c r="N413" i="4"/>
  <c r="O413" i="4"/>
  <c r="B414" i="4"/>
  <c r="C414" i="4"/>
  <c r="D414" i="4"/>
  <c r="E414" i="4"/>
  <c r="F414" i="4"/>
  <c r="G414" i="4"/>
  <c r="H414" i="4"/>
  <c r="I414" i="4"/>
  <c r="J414" i="4"/>
  <c r="K414" i="4"/>
  <c r="L414" i="4"/>
  <c r="M414" i="4"/>
  <c r="N414" i="4"/>
  <c r="O414" i="4"/>
  <c r="B415" i="4"/>
  <c r="C415" i="4"/>
  <c r="D415" i="4"/>
  <c r="E415" i="4"/>
  <c r="F415" i="4"/>
  <c r="G415" i="4"/>
  <c r="H415" i="4"/>
  <c r="I415" i="4"/>
  <c r="J415" i="4"/>
  <c r="K415" i="4"/>
  <c r="L415" i="4"/>
  <c r="M415" i="4"/>
  <c r="N415" i="4"/>
  <c r="O415" i="4"/>
  <c r="B416" i="4"/>
  <c r="C416" i="4"/>
  <c r="D416" i="4"/>
  <c r="E416" i="4"/>
  <c r="F416" i="4"/>
  <c r="G416" i="4"/>
  <c r="H416" i="4"/>
  <c r="I416" i="4"/>
  <c r="J416" i="4"/>
  <c r="K416" i="4"/>
  <c r="L416" i="4"/>
  <c r="M416" i="4"/>
  <c r="N416" i="4"/>
  <c r="O416" i="4"/>
  <c r="B417" i="4"/>
  <c r="C417" i="4"/>
  <c r="D417" i="4"/>
  <c r="E417" i="4"/>
  <c r="F417" i="4"/>
  <c r="G417" i="4"/>
  <c r="H417" i="4"/>
  <c r="I417" i="4"/>
  <c r="J417" i="4"/>
  <c r="K417" i="4"/>
  <c r="L417" i="4"/>
  <c r="M417" i="4"/>
  <c r="N417" i="4"/>
  <c r="O417" i="4"/>
  <c r="B418" i="4"/>
  <c r="C418" i="4"/>
  <c r="D418" i="4"/>
  <c r="E418" i="4"/>
  <c r="F418" i="4"/>
  <c r="G418" i="4"/>
  <c r="H418" i="4"/>
  <c r="I418" i="4"/>
  <c r="J418" i="4"/>
  <c r="K418" i="4"/>
  <c r="L418" i="4"/>
  <c r="M418" i="4"/>
  <c r="N418" i="4"/>
  <c r="O418" i="4"/>
  <c r="B419" i="4"/>
  <c r="C419" i="4"/>
  <c r="D419" i="4"/>
  <c r="E419" i="4"/>
  <c r="F419" i="4"/>
  <c r="G419" i="4"/>
  <c r="H419" i="4"/>
  <c r="I419" i="4"/>
  <c r="J419" i="4"/>
  <c r="K419" i="4"/>
  <c r="L419" i="4"/>
  <c r="M419" i="4"/>
  <c r="N419" i="4"/>
  <c r="O419" i="4"/>
  <c r="B420" i="4"/>
  <c r="C420" i="4"/>
  <c r="D420" i="4"/>
  <c r="E420" i="4"/>
  <c r="F420" i="4"/>
  <c r="G420" i="4"/>
  <c r="H420" i="4"/>
  <c r="I420" i="4"/>
  <c r="J420" i="4"/>
  <c r="K420" i="4"/>
  <c r="L420" i="4"/>
  <c r="M420" i="4"/>
  <c r="N420" i="4"/>
  <c r="O420" i="4"/>
  <c r="B421" i="4"/>
  <c r="C421" i="4"/>
  <c r="D421" i="4"/>
  <c r="E421" i="4"/>
  <c r="F421" i="4"/>
  <c r="G421" i="4"/>
  <c r="H421" i="4"/>
  <c r="I421" i="4"/>
  <c r="J421" i="4"/>
  <c r="K421" i="4"/>
  <c r="L421" i="4"/>
  <c r="M421" i="4"/>
  <c r="N421" i="4"/>
  <c r="O421" i="4"/>
  <c r="B422" i="4"/>
  <c r="C422" i="4"/>
  <c r="D422" i="4"/>
  <c r="E422" i="4"/>
  <c r="F422" i="4"/>
  <c r="G422" i="4"/>
  <c r="H422" i="4"/>
  <c r="I422" i="4"/>
  <c r="J422" i="4"/>
  <c r="K422" i="4"/>
  <c r="L422" i="4"/>
  <c r="M422" i="4"/>
  <c r="N422" i="4"/>
  <c r="O422" i="4"/>
  <c r="B423" i="4"/>
  <c r="C423" i="4"/>
  <c r="D423" i="4"/>
  <c r="E423" i="4"/>
  <c r="F423" i="4"/>
  <c r="G423" i="4"/>
  <c r="H423" i="4"/>
  <c r="I423" i="4"/>
  <c r="J423" i="4"/>
  <c r="K423" i="4"/>
  <c r="L423" i="4"/>
  <c r="M423" i="4"/>
  <c r="N423" i="4"/>
  <c r="O423" i="4"/>
  <c r="B424" i="4"/>
  <c r="C424" i="4"/>
  <c r="D424" i="4"/>
  <c r="E424" i="4"/>
  <c r="F424" i="4"/>
  <c r="G424" i="4"/>
  <c r="H424" i="4"/>
  <c r="I424" i="4"/>
  <c r="J424" i="4"/>
  <c r="K424" i="4"/>
  <c r="L424" i="4"/>
  <c r="M424" i="4"/>
  <c r="N424" i="4"/>
  <c r="O424" i="4"/>
  <c r="B425" i="4"/>
  <c r="C425" i="4"/>
  <c r="D425" i="4"/>
  <c r="E425" i="4"/>
  <c r="F425" i="4"/>
  <c r="G425" i="4"/>
  <c r="H425" i="4"/>
  <c r="I425" i="4"/>
  <c r="J425" i="4"/>
  <c r="K425" i="4"/>
  <c r="L425" i="4"/>
  <c r="M425" i="4"/>
  <c r="N425" i="4"/>
  <c r="O425" i="4"/>
  <c r="B426" i="4"/>
  <c r="C426" i="4"/>
  <c r="D426" i="4"/>
  <c r="E426" i="4"/>
  <c r="F426" i="4"/>
  <c r="G426" i="4"/>
  <c r="H426" i="4"/>
  <c r="I426" i="4"/>
  <c r="J426" i="4"/>
  <c r="K426" i="4"/>
  <c r="L426" i="4"/>
  <c r="M426" i="4"/>
  <c r="N426" i="4"/>
  <c r="O426" i="4"/>
  <c r="B427" i="4"/>
  <c r="C427" i="4"/>
  <c r="D427" i="4"/>
  <c r="E427" i="4"/>
  <c r="F427" i="4"/>
  <c r="G427" i="4"/>
  <c r="H427" i="4"/>
  <c r="I427" i="4"/>
  <c r="J427" i="4"/>
  <c r="K427" i="4"/>
  <c r="L427" i="4"/>
  <c r="M427" i="4"/>
  <c r="N427" i="4"/>
  <c r="O427" i="4"/>
  <c r="B428" i="4"/>
  <c r="C428" i="4"/>
  <c r="D428" i="4"/>
  <c r="E428" i="4"/>
  <c r="F428" i="4"/>
  <c r="G428" i="4"/>
  <c r="H428" i="4"/>
  <c r="I428" i="4"/>
  <c r="J428" i="4"/>
  <c r="K428" i="4"/>
  <c r="L428" i="4"/>
  <c r="M428" i="4"/>
  <c r="N428" i="4"/>
  <c r="O428" i="4"/>
  <c r="B429" i="4"/>
  <c r="C429" i="4"/>
  <c r="D429" i="4"/>
  <c r="E429" i="4"/>
  <c r="F429" i="4"/>
  <c r="G429" i="4"/>
  <c r="H429" i="4"/>
  <c r="I429" i="4"/>
  <c r="J429" i="4"/>
  <c r="K429" i="4"/>
  <c r="L429" i="4"/>
  <c r="M429" i="4"/>
  <c r="N429" i="4"/>
  <c r="O429" i="4"/>
  <c r="B430" i="4"/>
  <c r="C430" i="4"/>
  <c r="D430" i="4"/>
  <c r="E430" i="4"/>
  <c r="F430" i="4"/>
  <c r="G430" i="4"/>
  <c r="H430" i="4"/>
  <c r="I430" i="4"/>
  <c r="J430" i="4"/>
  <c r="K430" i="4"/>
  <c r="L430" i="4"/>
  <c r="M430" i="4"/>
  <c r="N430" i="4"/>
  <c r="O430" i="4"/>
  <c r="B431" i="4"/>
  <c r="C431" i="4"/>
  <c r="D431" i="4"/>
  <c r="E431" i="4"/>
  <c r="F431" i="4"/>
  <c r="G431" i="4"/>
  <c r="H431" i="4"/>
  <c r="I431" i="4"/>
  <c r="J431" i="4"/>
  <c r="K431" i="4"/>
  <c r="L431" i="4"/>
  <c r="M431" i="4"/>
  <c r="N431" i="4"/>
  <c r="O431" i="4"/>
  <c r="B432" i="4"/>
  <c r="C432" i="4"/>
  <c r="D432" i="4"/>
  <c r="E432" i="4"/>
  <c r="F432" i="4"/>
  <c r="G432" i="4"/>
  <c r="H432" i="4"/>
  <c r="I432" i="4"/>
  <c r="J432" i="4"/>
  <c r="K432" i="4"/>
  <c r="L432" i="4"/>
  <c r="M432" i="4"/>
  <c r="N432" i="4"/>
  <c r="O432" i="4"/>
  <c r="B433" i="4"/>
  <c r="C433" i="4"/>
  <c r="D433" i="4"/>
  <c r="E433" i="4"/>
  <c r="F433" i="4"/>
  <c r="G433" i="4"/>
  <c r="H433" i="4"/>
  <c r="I433" i="4"/>
  <c r="J433" i="4"/>
  <c r="K433" i="4"/>
  <c r="L433" i="4"/>
  <c r="M433" i="4"/>
  <c r="N433" i="4"/>
  <c r="O433" i="4"/>
  <c r="B434" i="4"/>
  <c r="C434" i="4"/>
  <c r="D434" i="4"/>
  <c r="E434" i="4"/>
  <c r="F434" i="4"/>
  <c r="G434" i="4"/>
  <c r="H434" i="4"/>
  <c r="I434" i="4"/>
  <c r="J434" i="4"/>
  <c r="K434" i="4"/>
  <c r="L434" i="4"/>
  <c r="M434" i="4"/>
  <c r="N434" i="4"/>
  <c r="O434" i="4"/>
  <c r="B435" i="4"/>
  <c r="C435" i="4"/>
  <c r="D435" i="4"/>
  <c r="E435" i="4"/>
  <c r="F435" i="4"/>
  <c r="G435" i="4"/>
  <c r="H435" i="4"/>
  <c r="I435" i="4"/>
  <c r="J435" i="4"/>
  <c r="K435" i="4"/>
  <c r="L435" i="4"/>
  <c r="M435" i="4"/>
  <c r="N435" i="4"/>
  <c r="O435" i="4"/>
  <c r="B436" i="4"/>
  <c r="C436" i="4"/>
  <c r="D436" i="4"/>
  <c r="E436" i="4"/>
  <c r="F436" i="4"/>
  <c r="G436" i="4"/>
  <c r="H436" i="4"/>
  <c r="I436" i="4"/>
  <c r="J436" i="4"/>
  <c r="K436" i="4"/>
  <c r="L436" i="4"/>
  <c r="M436" i="4"/>
  <c r="N436" i="4"/>
  <c r="O436" i="4"/>
  <c r="B437" i="4"/>
  <c r="C437" i="4"/>
  <c r="D437" i="4"/>
  <c r="E437" i="4"/>
  <c r="F437" i="4"/>
  <c r="G437" i="4"/>
  <c r="H437" i="4"/>
  <c r="I437" i="4"/>
  <c r="J437" i="4"/>
  <c r="K437" i="4"/>
  <c r="L437" i="4"/>
  <c r="M437" i="4"/>
  <c r="N437" i="4"/>
  <c r="O437" i="4"/>
  <c r="B438" i="4"/>
  <c r="C438" i="4"/>
  <c r="D438" i="4"/>
  <c r="E438" i="4"/>
  <c r="F438" i="4"/>
  <c r="G438" i="4"/>
  <c r="H438" i="4"/>
  <c r="I438" i="4"/>
  <c r="J438" i="4"/>
  <c r="K438" i="4"/>
  <c r="L438" i="4"/>
  <c r="M438" i="4"/>
  <c r="N438" i="4"/>
  <c r="O438" i="4"/>
  <c r="B439" i="4"/>
  <c r="C439" i="4"/>
  <c r="D439" i="4"/>
  <c r="E439" i="4"/>
  <c r="F439" i="4"/>
  <c r="G439" i="4"/>
  <c r="H439" i="4"/>
  <c r="I439" i="4"/>
  <c r="J439" i="4"/>
  <c r="K439" i="4"/>
  <c r="L439" i="4"/>
  <c r="M439" i="4"/>
  <c r="N439" i="4"/>
  <c r="O439" i="4"/>
  <c r="B440" i="4"/>
  <c r="C440" i="4"/>
  <c r="D440" i="4"/>
  <c r="E440" i="4"/>
  <c r="F440" i="4"/>
  <c r="G440" i="4"/>
  <c r="H440" i="4"/>
  <c r="I440" i="4"/>
  <c r="J440" i="4"/>
  <c r="K440" i="4"/>
  <c r="L440" i="4"/>
  <c r="M440" i="4"/>
  <c r="N440" i="4"/>
  <c r="O440" i="4"/>
  <c r="B441" i="4"/>
  <c r="C441" i="4"/>
  <c r="D441" i="4"/>
  <c r="E441" i="4"/>
  <c r="F441" i="4"/>
  <c r="G441" i="4"/>
  <c r="H441" i="4"/>
  <c r="I441" i="4"/>
  <c r="J441" i="4"/>
  <c r="K441" i="4"/>
  <c r="L441" i="4"/>
  <c r="M441" i="4"/>
  <c r="N441" i="4"/>
  <c r="O441" i="4"/>
  <c r="B442" i="4"/>
  <c r="C442" i="4"/>
  <c r="D442" i="4"/>
  <c r="E442" i="4"/>
  <c r="F442" i="4"/>
  <c r="G442" i="4"/>
  <c r="H442" i="4"/>
  <c r="I442" i="4"/>
  <c r="J442" i="4"/>
  <c r="K442" i="4"/>
  <c r="L442" i="4"/>
  <c r="M442" i="4"/>
  <c r="N442" i="4"/>
  <c r="O442" i="4"/>
  <c r="B443" i="4"/>
  <c r="C443" i="4"/>
  <c r="D443" i="4"/>
  <c r="E443" i="4"/>
  <c r="F443" i="4"/>
  <c r="G443" i="4"/>
  <c r="H443" i="4"/>
  <c r="I443" i="4"/>
  <c r="J443" i="4"/>
  <c r="K443" i="4"/>
  <c r="L443" i="4"/>
  <c r="M443" i="4"/>
  <c r="N443" i="4"/>
  <c r="O443" i="4"/>
  <c r="B444" i="4"/>
  <c r="C444" i="4"/>
  <c r="D444" i="4"/>
  <c r="E444" i="4"/>
  <c r="F444" i="4"/>
  <c r="G444" i="4"/>
  <c r="H444" i="4"/>
  <c r="I444" i="4"/>
  <c r="J444" i="4"/>
  <c r="K444" i="4"/>
  <c r="L444" i="4"/>
  <c r="M444" i="4"/>
  <c r="N444" i="4"/>
  <c r="O444" i="4"/>
  <c r="B445" i="4"/>
  <c r="C445" i="4"/>
  <c r="D445" i="4"/>
  <c r="E445" i="4"/>
  <c r="F445" i="4"/>
  <c r="G445" i="4"/>
  <c r="H445" i="4"/>
  <c r="I445" i="4"/>
  <c r="J445" i="4"/>
  <c r="K445" i="4"/>
  <c r="L445" i="4"/>
  <c r="M445" i="4"/>
  <c r="N445" i="4"/>
  <c r="O445" i="4"/>
  <c r="B446" i="4"/>
  <c r="C446" i="4"/>
  <c r="D446" i="4"/>
  <c r="E446" i="4"/>
  <c r="F446" i="4"/>
  <c r="G446" i="4"/>
  <c r="H446" i="4"/>
  <c r="I446" i="4"/>
  <c r="J446" i="4"/>
  <c r="K446" i="4"/>
  <c r="L446" i="4"/>
  <c r="M446" i="4"/>
  <c r="N446" i="4"/>
  <c r="O446" i="4"/>
  <c r="B447" i="4"/>
  <c r="C447" i="4"/>
  <c r="D447" i="4"/>
  <c r="E447" i="4"/>
  <c r="F447" i="4"/>
  <c r="G447" i="4"/>
  <c r="H447" i="4"/>
  <c r="I447" i="4"/>
  <c r="J447" i="4"/>
  <c r="K447" i="4"/>
  <c r="L447" i="4"/>
  <c r="M447" i="4"/>
  <c r="N447" i="4"/>
  <c r="O447" i="4"/>
  <c r="B448" i="4"/>
  <c r="C448" i="4"/>
  <c r="D448" i="4"/>
  <c r="E448" i="4"/>
  <c r="F448" i="4"/>
  <c r="G448" i="4"/>
  <c r="H448" i="4"/>
  <c r="I448" i="4"/>
  <c r="J448" i="4"/>
  <c r="K448" i="4"/>
  <c r="L448" i="4"/>
  <c r="M448" i="4"/>
  <c r="N448" i="4"/>
  <c r="O448" i="4"/>
  <c r="B449" i="4"/>
  <c r="C449" i="4"/>
  <c r="D449" i="4"/>
  <c r="E449" i="4"/>
  <c r="F449" i="4"/>
  <c r="G449" i="4"/>
  <c r="H449" i="4"/>
  <c r="I449" i="4"/>
  <c r="J449" i="4"/>
  <c r="K449" i="4"/>
  <c r="L449" i="4"/>
  <c r="M449" i="4"/>
  <c r="N449" i="4"/>
  <c r="O449" i="4"/>
  <c r="B450" i="4"/>
  <c r="C450" i="4"/>
  <c r="D450" i="4"/>
  <c r="E450" i="4"/>
  <c r="F450" i="4"/>
  <c r="G450" i="4"/>
  <c r="H450" i="4"/>
  <c r="I450" i="4"/>
  <c r="J450" i="4"/>
  <c r="K450" i="4"/>
  <c r="L450" i="4"/>
  <c r="M450" i="4"/>
  <c r="N450" i="4"/>
  <c r="O450" i="4"/>
  <c r="B451" i="4"/>
  <c r="C451" i="4"/>
  <c r="D451" i="4"/>
  <c r="E451" i="4"/>
  <c r="F451" i="4"/>
  <c r="G451" i="4"/>
  <c r="H451" i="4"/>
  <c r="I451" i="4"/>
  <c r="J451" i="4"/>
  <c r="K451" i="4"/>
  <c r="L451" i="4"/>
  <c r="M451" i="4"/>
  <c r="N451" i="4"/>
  <c r="O451" i="4"/>
  <c r="B452" i="4"/>
  <c r="C452" i="4"/>
  <c r="D452" i="4"/>
  <c r="E452" i="4"/>
  <c r="F452" i="4"/>
  <c r="G452" i="4"/>
  <c r="H452" i="4"/>
  <c r="I452" i="4"/>
  <c r="J452" i="4"/>
  <c r="K452" i="4"/>
  <c r="L452" i="4"/>
  <c r="M452" i="4"/>
  <c r="N452" i="4"/>
  <c r="O452" i="4"/>
  <c r="B453" i="4"/>
  <c r="C453" i="4"/>
  <c r="D453" i="4"/>
  <c r="E453" i="4"/>
  <c r="F453" i="4"/>
  <c r="G453" i="4"/>
  <c r="H453" i="4"/>
  <c r="I453" i="4"/>
  <c r="J453" i="4"/>
  <c r="K453" i="4"/>
  <c r="L453" i="4"/>
  <c r="M453" i="4"/>
  <c r="N453" i="4"/>
  <c r="O453" i="4"/>
  <c r="B454" i="4"/>
  <c r="C454" i="4"/>
  <c r="D454" i="4"/>
  <c r="E454" i="4"/>
  <c r="F454" i="4"/>
  <c r="G454" i="4"/>
  <c r="H454" i="4"/>
  <c r="I454" i="4"/>
  <c r="J454" i="4"/>
  <c r="K454" i="4"/>
  <c r="L454" i="4"/>
  <c r="M454" i="4"/>
  <c r="N454" i="4"/>
  <c r="O454" i="4"/>
  <c r="B455" i="4"/>
  <c r="C455" i="4"/>
  <c r="D455" i="4"/>
  <c r="E455" i="4"/>
  <c r="F455" i="4"/>
  <c r="G455" i="4"/>
  <c r="H455" i="4"/>
  <c r="I455" i="4"/>
  <c r="J455" i="4"/>
  <c r="K455" i="4"/>
  <c r="L455" i="4"/>
  <c r="M455" i="4"/>
  <c r="N455" i="4"/>
  <c r="O455" i="4"/>
  <c r="B456" i="4"/>
  <c r="C456" i="4"/>
  <c r="D456" i="4"/>
  <c r="E456" i="4"/>
  <c r="F456" i="4"/>
  <c r="G456" i="4"/>
  <c r="H456" i="4"/>
  <c r="I456" i="4"/>
  <c r="J456" i="4"/>
  <c r="K456" i="4"/>
  <c r="L456" i="4"/>
  <c r="M456" i="4"/>
  <c r="N456" i="4"/>
  <c r="O456" i="4"/>
  <c r="B457" i="4"/>
  <c r="C457" i="4"/>
  <c r="D457" i="4"/>
  <c r="E457" i="4"/>
  <c r="F457" i="4"/>
  <c r="G457" i="4"/>
  <c r="H457" i="4"/>
  <c r="I457" i="4"/>
  <c r="J457" i="4"/>
  <c r="K457" i="4"/>
  <c r="L457" i="4"/>
  <c r="M457" i="4"/>
  <c r="N457" i="4"/>
  <c r="O457" i="4"/>
  <c r="B458" i="4"/>
  <c r="C458" i="4"/>
  <c r="D458" i="4"/>
  <c r="E458" i="4"/>
  <c r="F458" i="4"/>
  <c r="G458" i="4"/>
  <c r="H458" i="4"/>
  <c r="I458" i="4"/>
  <c r="J458" i="4"/>
  <c r="K458" i="4"/>
  <c r="L458" i="4"/>
  <c r="M458" i="4"/>
  <c r="N458" i="4"/>
  <c r="O458" i="4"/>
  <c r="B459" i="4"/>
  <c r="C459" i="4"/>
  <c r="D459" i="4"/>
  <c r="E459" i="4"/>
  <c r="F459" i="4"/>
  <c r="G459" i="4"/>
  <c r="H459" i="4"/>
  <c r="I459" i="4"/>
  <c r="J459" i="4"/>
  <c r="K459" i="4"/>
  <c r="L459" i="4"/>
  <c r="M459" i="4"/>
  <c r="N459" i="4"/>
  <c r="O459" i="4"/>
  <c r="B460" i="4"/>
  <c r="C460" i="4"/>
  <c r="D460" i="4"/>
  <c r="E460" i="4"/>
  <c r="F460" i="4"/>
  <c r="G460" i="4"/>
  <c r="H460" i="4"/>
  <c r="I460" i="4"/>
  <c r="J460" i="4"/>
  <c r="K460" i="4"/>
  <c r="L460" i="4"/>
  <c r="M460" i="4"/>
  <c r="N460" i="4"/>
  <c r="O460" i="4"/>
  <c r="B461" i="4"/>
  <c r="C461" i="4"/>
  <c r="D461" i="4"/>
  <c r="E461" i="4"/>
  <c r="F461" i="4"/>
  <c r="G461" i="4"/>
  <c r="H461" i="4"/>
  <c r="I461" i="4"/>
  <c r="J461" i="4"/>
  <c r="K461" i="4"/>
  <c r="L461" i="4"/>
  <c r="M461" i="4"/>
  <c r="N461" i="4"/>
  <c r="O461" i="4"/>
  <c r="B462" i="4"/>
  <c r="C462" i="4"/>
  <c r="D462" i="4"/>
  <c r="E462" i="4"/>
  <c r="F462" i="4"/>
  <c r="G462" i="4"/>
  <c r="H462" i="4"/>
  <c r="I462" i="4"/>
  <c r="J462" i="4"/>
  <c r="K462" i="4"/>
  <c r="L462" i="4"/>
  <c r="M462" i="4"/>
  <c r="N462" i="4"/>
  <c r="O462" i="4"/>
  <c r="B463" i="4"/>
  <c r="C463" i="4"/>
  <c r="D463" i="4"/>
  <c r="E463" i="4"/>
  <c r="F463" i="4"/>
  <c r="G463" i="4"/>
  <c r="H463" i="4"/>
  <c r="I463" i="4"/>
  <c r="J463" i="4"/>
  <c r="K463" i="4"/>
  <c r="L463" i="4"/>
  <c r="M463" i="4"/>
  <c r="N463" i="4"/>
  <c r="O463" i="4"/>
  <c r="B464" i="4"/>
  <c r="C464" i="4"/>
  <c r="D464" i="4"/>
  <c r="E464" i="4"/>
  <c r="F464" i="4"/>
  <c r="G464" i="4"/>
  <c r="H464" i="4"/>
  <c r="I464" i="4"/>
  <c r="J464" i="4"/>
  <c r="K464" i="4"/>
  <c r="L464" i="4"/>
  <c r="M464" i="4"/>
  <c r="N464" i="4"/>
  <c r="O464" i="4"/>
  <c r="B465" i="4"/>
  <c r="C465" i="4"/>
  <c r="D465" i="4"/>
  <c r="E465" i="4"/>
  <c r="F465" i="4"/>
  <c r="G465" i="4"/>
  <c r="H465" i="4"/>
  <c r="I465" i="4"/>
  <c r="J465" i="4"/>
  <c r="K465" i="4"/>
  <c r="L465" i="4"/>
  <c r="M465" i="4"/>
  <c r="N465" i="4"/>
  <c r="O465" i="4"/>
  <c r="B466" i="4"/>
  <c r="C466" i="4"/>
  <c r="D466" i="4"/>
  <c r="E466" i="4"/>
  <c r="F466" i="4"/>
  <c r="G466" i="4"/>
  <c r="H466" i="4"/>
  <c r="I466" i="4"/>
  <c r="J466" i="4"/>
  <c r="K466" i="4"/>
  <c r="L466" i="4"/>
  <c r="M466" i="4"/>
  <c r="N466" i="4"/>
  <c r="O466" i="4"/>
  <c r="B467" i="4"/>
  <c r="C467" i="4"/>
  <c r="D467" i="4"/>
  <c r="E467" i="4"/>
  <c r="F467" i="4"/>
  <c r="G467" i="4"/>
  <c r="H467" i="4"/>
  <c r="I467" i="4"/>
  <c r="J467" i="4"/>
  <c r="K467" i="4"/>
  <c r="L467" i="4"/>
  <c r="M467" i="4"/>
  <c r="N467" i="4"/>
  <c r="O467" i="4"/>
  <c r="B468" i="4"/>
  <c r="C468" i="4"/>
  <c r="D468" i="4"/>
  <c r="E468" i="4"/>
  <c r="F468" i="4"/>
  <c r="G468" i="4"/>
  <c r="H468" i="4"/>
  <c r="I468" i="4"/>
  <c r="J468" i="4"/>
  <c r="K468" i="4"/>
  <c r="L468" i="4"/>
  <c r="M468" i="4"/>
  <c r="N468" i="4"/>
  <c r="O468" i="4"/>
  <c r="B469" i="4"/>
  <c r="C469" i="4"/>
  <c r="D469" i="4"/>
  <c r="E469" i="4"/>
  <c r="F469" i="4"/>
  <c r="G469" i="4"/>
  <c r="H469" i="4"/>
  <c r="I469" i="4"/>
  <c r="J469" i="4"/>
  <c r="K469" i="4"/>
  <c r="L469" i="4"/>
  <c r="M469" i="4"/>
  <c r="N469" i="4"/>
  <c r="O469" i="4"/>
  <c r="B470" i="4"/>
  <c r="C470" i="4"/>
  <c r="D470" i="4"/>
  <c r="E470" i="4"/>
  <c r="F470" i="4"/>
  <c r="G470" i="4"/>
  <c r="H470" i="4"/>
  <c r="I470" i="4"/>
  <c r="J470" i="4"/>
  <c r="K470" i="4"/>
  <c r="L470" i="4"/>
  <c r="M470" i="4"/>
  <c r="N470" i="4"/>
  <c r="O470" i="4"/>
  <c r="B471" i="4"/>
  <c r="C471" i="4"/>
  <c r="D471" i="4"/>
  <c r="E471" i="4"/>
  <c r="F471" i="4"/>
  <c r="G471" i="4"/>
  <c r="H471" i="4"/>
  <c r="I471" i="4"/>
  <c r="J471" i="4"/>
  <c r="K471" i="4"/>
  <c r="L471" i="4"/>
  <c r="M471" i="4"/>
  <c r="N471" i="4"/>
  <c r="O471" i="4"/>
  <c r="B472" i="4"/>
  <c r="C472" i="4"/>
  <c r="D472" i="4"/>
  <c r="E472" i="4"/>
  <c r="F472" i="4"/>
  <c r="G472" i="4"/>
  <c r="H472" i="4"/>
  <c r="I472" i="4"/>
  <c r="J472" i="4"/>
  <c r="K472" i="4"/>
  <c r="L472" i="4"/>
  <c r="M472" i="4"/>
  <c r="N472" i="4"/>
  <c r="O472" i="4"/>
  <c r="B473" i="4"/>
  <c r="C473" i="4"/>
  <c r="D473" i="4"/>
  <c r="E473" i="4"/>
  <c r="F473" i="4"/>
  <c r="G473" i="4"/>
  <c r="H473" i="4"/>
  <c r="I473" i="4"/>
  <c r="J473" i="4"/>
  <c r="K473" i="4"/>
  <c r="L473" i="4"/>
  <c r="M473" i="4"/>
  <c r="N473" i="4"/>
  <c r="O473" i="4"/>
  <c r="B474" i="4"/>
  <c r="C474" i="4"/>
  <c r="D474" i="4"/>
  <c r="E474" i="4"/>
  <c r="F474" i="4"/>
  <c r="G474" i="4"/>
  <c r="H474" i="4"/>
  <c r="I474" i="4"/>
  <c r="J474" i="4"/>
  <c r="K474" i="4"/>
  <c r="L474" i="4"/>
  <c r="M474" i="4"/>
  <c r="N474" i="4"/>
  <c r="O474" i="4"/>
  <c r="B475" i="4"/>
  <c r="C475" i="4"/>
  <c r="D475" i="4"/>
  <c r="E475" i="4"/>
  <c r="F475" i="4"/>
  <c r="G475" i="4"/>
  <c r="H475" i="4"/>
  <c r="I475" i="4"/>
  <c r="J475" i="4"/>
  <c r="K475" i="4"/>
  <c r="L475" i="4"/>
  <c r="M475" i="4"/>
  <c r="N475" i="4"/>
  <c r="O475" i="4"/>
  <c r="B476" i="4"/>
  <c r="C476" i="4"/>
  <c r="D476" i="4"/>
  <c r="E476" i="4"/>
  <c r="F476" i="4"/>
  <c r="G476" i="4"/>
  <c r="H476" i="4"/>
  <c r="I476" i="4"/>
  <c r="J476" i="4"/>
  <c r="K476" i="4"/>
  <c r="L476" i="4"/>
  <c r="M476" i="4"/>
  <c r="N476" i="4"/>
  <c r="O476" i="4"/>
  <c r="B477" i="4"/>
  <c r="C477" i="4"/>
  <c r="D477" i="4"/>
  <c r="E477" i="4"/>
  <c r="F477" i="4"/>
  <c r="G477" i="4"/>
  <c r="H477" i="4"/>
  <c r="I477" i="4"/>
  <c r="J477" i="4"/>
  <c r="K477" i="4"/>
  <c r="L477" i="4"/>
  <c r="M477" i="4"/>
  <c r="N477" i="4"/>
  <c r="O477" i="4"/>
  <c r="B478" i="4"/>
  <c r="C478" i="4"/>
  <c r="D478" i="4"/>
  <c r="E478" i="4"/>
  <c r="F478" i="4"/>
  <c r="G478" i="4"/>
  <c r="H478" i="4"/>
  <c r="I478" i="4"/>
  <c r="J478" i="4"/>
  <c r="K478" i="4"/>
  <c r="L478" i="4"/>
  <c r="M478" i="4"/>
  <c r="N478" i="4"/>
  <c r="O478" i="4"/>
  <c r="B479" i="4"/>
  <c r="C479" i="4"/>
  <c r="D479" i="4"/>
  <c r="E479" i="4"/>
  <c r="F479" i="4"/>
  <c r="G479" i="4"/>
  <c r="H479" i="4"/>
  <c r="I479" i="4"/>
  <c r="J479" i="4"/>
  <c r="K479" i="4"/>
  <c r="L479" i="4"/>
  <c r="M479" i="4"/>
  <c r="N479" i="4"/>
  <c r="O479" i="4"/>
  <c r="B480" i="4"/>
  <c r="C480" i="4"/>
  <c r="D480" i="4"/>
  <c r="E480" i="4"/>
  <c r="F480" i="4"/>
  <c r="G480" i="4"/>
  <c r="H480" i="4"/>
  <c r="I480" i="4"/>
  <c r="J480" i="4"/>
  <c r="K480" i="4"/>
  <c r="L480" i="4"/>
  <c r="M480" i="4"/>
  <c r="N480" i="4"/>
  <c r="O480" i="4"/>
  <c r="B481" i="4"/>
  <c r="C481" i="4"/>
  <c r="D481" i="4"/>
  <c r="E481" i="4"/>
  <c r="F481" i="4"/>
  <c r="G481" i="4"/>
  <c r="H481" i="4"/>
  <c r="I481" i="4"/>
  <c r="J481" i="4"/>
  <c r="K481" i="4"/>
  <c r="L481" i="4"/>
  <c r="M481" i="4"/>
  <c r="N481" i="4"/>
  <c r="O481" i="4"/>
  <c r="B482" i="4"/>
  <c r="C482" i="4"/>
  <c r="D482" i="4"/>
  <c r="E482" i="4"/>
  <c r="F482" i="4"/>
  <c r="G482" i="4"/>
  <c r="H482" i="4"/>
  <c r="I482" i="4"/>
  <c r="J482" i="4"/>
  <c r="K482" i="4"/>
  <c r="L482" i="4"/>
  <c r="M482" i="4"/>
  <c r="N482" i="4"/>
  <c r="O482" i="4"/>
  <c r="B483" i="4"/>
  <c r="C483" i="4"/>
  <c r="D483" i="4"/>
  <c r="E483" i="4"/>
  <c r="F483" i="4"/>
  <c r="G483" i="4"/>
  <c r="H483" i="4"/>
  <c r="I483" i="4"/>
  <c r="J483" i="4"/>
  <c r="K483" i="4"/>
  <c r="L483" i="4"/>
  <c r="M483" i="4"/>
  <c r="N483" i="4"/>
  <c r="O483" i="4"/>
  <c r="B484" i="4"/>
  <c r="C484" i="4"/>
  <c r="D484" i="4"/>
  <c r="E484" i="4"/>
  <c r="F484" i="4"/>
  <c r="G484" i="4"/>
  <c r="H484" i="4"/>
  <c r="I484" i="4"/>
  <c r="J484" i="4"/>
  <c r="K484" i="4"/>
  <c r="L484" i="4"/>
  <c r="M484" i="4"/>
  <c r="N484" i="4"/>
  <c r="O484" i="4"/>
  <c r="B485" i="4"/>
  <c r="C485" i="4"/>
  <c r="D485" i="4"/>
  <c r="E485" i="4"/>
  <c r="F485" i="4"/>
  <c r="G485" i="4"/>
  <c r="H485" i="4"/>
  <c r="I485" i="4"/>
  <c r="J485" i="4"/>
  <c r="K485" i="4"/>
  <c r="L485" i="4"/>
  <c r="M485" i="4"/>
  <c r="N485" i="4"/>
  <c r="O485" i="4"/>
  <c r="B486" i="4"/>
  <c r="C486" i="4"/>
  <c r="D486" i="4"/>
  <c r="E486" i="4"/>
  <c r="F486" i="4"/>
  <c r="G486" i="4"/>
  <c r="H486" i="4"/>
  <c r="I486" i="4"/>
  <c r="J486" i="4"/>
  <c r="K486" i="4"/>
  <c r="L486" i="4"/>
  <c r="M486" i="4"/>
  <c r="N486" i="4"/>
  <c r="O486" i="4"/>
  <c r="B487" i="4"/>
  <c r="C487" i="4"/>
  <c r="D487" i="4"/>
  <c r="E487" i="4"/>
  <c r="F487" i="4"/>
  <c r="G487" i="4"/>
  <c r="H487" i="4"/>
  <c r="I487" i="4"/>
  <c r="J487" i="4"/>
  <c r="K487" i="4"/>
  <c r="L487" i="4"/>
  <c r="M487" i="4"/>
  <c r="N487" i="4"/>
  <c r="O487" i="4"/>
  <c r="B488" i="4"/>
  <c r="C488" i="4"/>
  <c r="D488" i="4"/>
  <c r="E488" i="4"/>
  <c r="F488" i="4"/>
  <c r="G488" i="4"/>
  <c r="H488" i="4"/>
  <c r="I488" i="4"/>
  <c r="J488" i="4"/>
  <c r="K488" i="4"/>
  <c r="L488" i="4"/>
  <c r="M488" i="4"/>
  <c r="N488" i="4"/>
  <c r="O488" i="4"/>
  <c r="B489" i="4"/>
  <c r="C489" i="4"/>
  <c r="D489" i="4"/>
  <c r="E489" i="4"/>
  <c r="F489" i="4"/>
  <c r="G489" i="4"/>
  <c r="H489" i="4"/>
  <c r="I489" i="4"/>
  <c r="J489" i="4"/>
  <c r="K489" i="4"/>
  <c r="L489" i="4"/>
  <c r="M489" i="4"/>
  <c r="N489" i="4"/>
  <c r="O489" i="4"/>
  <c r="B490" i="4"/>
  <c r="C490" i="4"/>
  <c r="D490" i="4"/>
  <c r="E490" i="4"/>
  <c r="F490" i="4"/>
  <c r="G490" i="4"/>
  <c r="H490" i="4"/>
  <c r="I490" i="4"/>
  <c r="J490" i="4"/>
  <c r="K490" i="4"/>
  <c r="L490" i="4"/>
  <c r="M490" i="4"/>
  <c r="N490" i="4"/>
  <c r="O490" i="4"/>
  <c r="B491" i="4"/>
  <c r="C491" i="4"/>
  <c r="D491" i="4"/>
  <c r="E491" i="4"/>
  <c r="F491" i="4"/>
  <c r="G491" i="4"/>
  <c r="H491" i="4"/>
  <c r="I491" i="4"/>
  <c r="J491" i="4"/>
  <c r="K491" i="4"/>
  <c r="L491" i="4"/>
  <c r="M491" i="4"/>
  <c r="N491" i="4"/>
  <c r="O491" i="4"/>
  <c r="B492" i="4"/>
  <c r="C492" i="4"/>
  <c r="D492" i="4"/>
  <c r="E492" i="4"/>
  <c r="F492" i="4"/>
  <c r="G492" i="4"/>
  <c r="H492" i="4"/>
  <c r="I492" i="4"/>
  <c r="J492" i="4"/>
  <c r="K492" i="4"/>
  <c r="L492" i="4"/>
  <c r="M492" i="4"/>
  <c r="N492" i="4"/>
  <c r="O492" i="4"/>
  <c r="B493" i="4"/>
  <c r="C493" i="4"/>
  <c r="D493" i="4"/>
  <c r="E493" i="4"/>
  <c r="F493" i="4"/>
  <c r="G493" i="4"/>
  <c r="H493" i="4"/>
  <c r="I493" i="4"/>
  <c r="J493" i="4"/>
  <c r="K493" i="4"/>
  <c r="L493" i="4"/>
  <c r="M493" i="4"/>
  <c r="N493" i="4"/>
  <c r="O493" i="4"/>
  <c r="B494" i="4"/>
  <c r="C494" i="4"/>
  <c r="D494" i="4"/>
  <c r="E494" i="4"/>
  <c r="F494" i="4"/>
  <c r="G494" i="4"/>
  <c r="H494" i="4"/>
  <c r="I494" i="4"/>
  <c r="J494" i="4"/>
  <c r="K494" i="4"/>
  <c r="L494" i="4"/>
  <c r="M494" i="4"/>
  <c r="N494" i="4"/>
  <c r="O494" i="4"/>
  <c r="B495" i="4"/>
  <c r="C495" i="4"/>
  <c r="D495" i="4"/>
  <c r="E495" i="4"/>
  <c r="F495" i="4"/>
  <c r="G495" i="4"/>
  <c r="H495" i="4"/>
  <c r="I495" i="4"/>
  <c r="J495" i="4"/>
  <c r="K495" i="4"/>
  <c r="L495" i="4"/>
  <c r="M495" i="4"/>
  <c r="N495" i="4"/>
  <c r="O495" i="4"/>
  <c r="B496" i="4"/>
  <c r="C496" i="4"/>
  <c r="D496" i="4"/>
  <c r="E496" i="4"/>
  <c r="F496" i="4"/>
  <c r="G496" i="4"/>
  <c r="H496" i="4"/>
  <c r="I496" i="4"/>
  <c r="J496" i="4"/>
  <c r="K496" i="4"/>
  <c r="L496" i="4"/>
  <c r="M496" i="4"/>
  <c r="N496" i="4"/>
  <c r="O496" i="4"/>
  <c r="B497" i="4"/>
  <c r="C497" i="4"/>
  <c r="D497" i="4"/>
  <c r="E497" i="4"/>
  <c r="F497" i="4"/>
  <c r="G497" i="4"/>
  <c r="H497" i="4"/>
  <c r="I497" i="4"/>
  <c r="J497" i="4"/>
  <c r="K497" i="4"/>
  <c r="L497" i="4"/>
  <c r="M497" i="4"/>
  <c r="N497" i="4"/>
  <c r="O497" i="4"/>
  <c r="B498" i="4"/>
  <c r="C498" i="4"/>
  <c r="D498" i="4"/>
  <c r="E498" i="4"/>
  <c r="F498" i="4"/>
  <c r="G498" i="4"/>
  <c r="H498" i="4"/>
  <c r="I498" i="4"/>
  <c r="J498" i="4"/>
  <c r="K498" i="4"/>
  <c r="L498" i="4"/>
  <c r="M498" i="4"/>
  <c r="N498" i="4"/>
  <c r="O498" i="4"/>
  <c r="B499" i="4"/>
  <c r="C499" i="4"/>
  <c r="D499" i="4"/>
  <c r="E499" i="4"/>
  <c r="F499" i="4"/>
  <c r="G499" i="4"/>
  <c r="H499" i="4"/>
  <c r="I499" i="4"/>
  <c r="J499" i="4"/>
  <c r="K499" i="4"/>
  <c r="L499" i="4"/>
  <c r="M499" i="4"/>
  <c r="N499" i="4"/>
  <c r="O499" i="4"/>
  <c r="B500" i="4"/>
  <c r="C500" i="4"/>
  <c r="D500" i="4"/>
  <c r="E500" i="4"/>
  <c r="F500" i="4"/>
  <c r="G500" i="4"/>
  <c r="H500" i="4"/>
  <c r="I500" i="4"/>
  <c r="J500" i="4"/>
  <c r="K500" i="4"/>
  <c r="L500" i="4"/>
  <c r="M500" i="4"/>
  <c r="N500" i="4"/>
  <c r="O500" i="4"/>
  <c r="B501" i="4"/>
  <c r="C501" i="4"/>
  <c r="D501" i="4"/>
  <c r="E501" i="4"/>
  <c r="F501" i="4"/>
  <c r="G501" i="4"/>
  <c r="H501" i="4"/>
  <c r="I501" i="4"/>
  <c r="J501" i="4"/>
  <c r="K501" i="4"/>
  <c r="L501" i="4"/>
  <c r="M501" i="4"/>
  <c r="N501" i="4"/>
  <c r="O501" i="4"/>
  <c r="B502" i="4"/>
  <c r="C502" i="4"/>
  <c r="D502" i="4"/>
  <c r="E502" i="4"/>
  <c r="F502" i="4"/>
  <c r="G502" i="4"/>
  <c r="H502" i="4"/>
  <c r="I502" i="4"/>
  <c r="J502" i="4"/>
  <c r="K502" i="4"/>
  <c r="L502" i="4"/>
  <c r="M502" i="4"/>
  <c r="N502" i="4"/>
  <c r="O502" i="4"/>
  <c r="B503" i="4"/>
  <c r="C503" i="4"/>
  <c r="D503" i="4"/>
  <c r="E503" i="4"/>
  <c r="F503" i="4"/>
  <c r="G503" i="4"/>
  <c r="H503" i="4"/>
  <c r="I503" i="4"/>
  <c r="J503" i="4"/>
  <c r="K503" i="4"/>
  <c r="L503" i="4"/>
  <c r="M503" i="4"/>
  <c r="N503" i="4"/>
  <c r="O503" i="4"/>
  <c r="B504" i="4"/>
  <c r="C504" i="4"/>
  <c r="D504" i="4"/>
  <c r="E504" i="4"/>
  <c r="F504" i="4"/>
  <c r="G504" i="4"/>
  <c r="H504" i="4"/>
  <c r="I504" i="4"/>
  <c r="J504" i="4"/>
  <c r="K504" i="4"/>
  <c r="L504" i="4"/>
  <c r="M504" i="4"/>
  <c r="N504" i="4"/>
  <c r="O504" i="4"/>
  <c r="B505" i="4"/>
  <c r="C505" i="4"/>
  <c r="D505" i="4"/>
  <c r="E505" i="4"/>
  <c r="F505" i="4"/>
  <c r="G505" i="4"/>
  <c r="H505" i="4"/>
  <c r="I505" i="4"/>
  <c r="J505" i="4"/>
  <c r="K505" i="4"/>
  <c r="L505" i="4"/>
  <c r="M505" i="4"/>
  <c r="N505" i="4"/>
  <c r="O505" i="4"/>
  <c r="B506" i="4"/>
  <c r="C506" i="4"/>
  <c r="D506" i="4"/>
  <c r="E506" i="4"/>
  <c r="F506" i="4"/>
  <c r="G506" i="4"/>
  <c r="H506" i="4"/>
  <c r="I506" i="4"/>
  <c r="J506" i="4"/>
  <c r="K506" i="4"/>
  <c r="L506" i="4"/>
  <c r="M506" i="4"/>
  <c r="N506" i="4"/>
  <c r="O506" i="4"/>
  <c r="B507" i="4"/>
  <c r="C507" i="4"/>
  <c r="D507" i="4"/>
  <c r="E507" i="4"/>
  <c r="F507" i="4"/>
  <c r="G507" i="4"/>
  <c r="H507" i="4"/>
  <c r="I507" i="4"/>
  <c r="J507" i="4"/>
  <c r="K507" i="4"/>
  <c r="L507" i="4"/>
  <c r="M507" i="4"/>
  <c r="N507" i="4"/>
  <c r="O507" i="4"/>
  <c r="B508" i="4"/>
  <c r="C508" i="4"/>
  <c r="D508" i="4"/>
  <c r="E508" i="4"/>
  <c r="F508" i="4"/>
  <c r="G508" i="4"/>
  <c r="H508" i="4"/>
  <c r="I508" i="4"/>
  <c r="J508" i="4"/>
  <c r="K508" i="4"/>
  <c r="L508" i="4"/>
  <c r="M508" i="4"/>
  <c r="N508" i="4"/>
  <c r="O508" i="4"/>
  <c r="B509" i="4"/>
  <c r="C509" i="4"/>
  <c r="D509" i="4"/>
  <c r="E509" i="4"/>
  <c r="F509" i="4"/>
  <c r="G509" i="4"/>
  <c r="H509" i="4"/>
  <c r="I509" i="4"/>
  <c r="J509" i="4"/>
  <c r="K509" i="4"/>
  <c r="L509" i="4"/>
  <c r="M509" i="4"/>
  <c r="N509" i="4"/>
  <c r="O509" i="4"/>
  <c r="B510" i="4"/>
  <c r="C510" i="4"/>
  <c r="D510" i="4"/>
  <c r="E510" i="4"/>
  <c r="F510" i="4"/>
  <c r="G510" i="4"/>
  <c r="H510" i="4"/>
  <c r="I510" i="4"/>
  <c r="J510" i="4"/>
  <c r="K510" i="4"/>
  <c r="L510" i="4"/>
  <c r="M510" i="4"/>
  <c r="N510" i="4"/>
  <c r="O510" i="4"/>
  <c r="B511" i="4"/>
  <c r="C511" i="4"/>
  <c r="D511" i="4"/>
  <c r="E511" i="4"/>
  <c r="F511" i="4"/>
  <c r="G511" i="4"/>
  <c r="H511" i="4"/>
  <c r="I511" i="4"/>
  <c r="J511" i="4"/>
  <c r="K511" i="4"/>
  <c r="L511" i="4"/>
  <c r="M511" i="4"/>
  <c r="N511" i="4"/>
  <c r="O511" i="4"/>
  <c r="B512" i="4"/>
  <c r="C512" i="4"/>
  <c r="D512" i="4"/>
  <c r="E512" i="4"/>
  <c r="F512" i="4"/>
  <c r="G512" i="4"/>
  <c r="H512" i="4"/>
  <c r="I512" i="4"/>
  <c r="J512" i="4"/>
  <c r="K512" i="4"/>
  <c r="L512" i="4"/>
  <c r="M512" i="4"/>
  <c r="N512" i="4"/>
  <c r="O512" i="4"/>
  <c r="B513" i="4"/>
  <c r="C513" i="4"/>
  <c r="D513" i="4"/>
  <c r="E513" i="4"/>
  <c r="F513" i="4"/>
  <c r="G513" i="4"/>
  <c r="H513" i="4"/>
  <c r="I513" i="4"/>
  <c r="J513" i="4"/>
  <c r="K513" i="4"/>
  <c r="L513" i="4"/>
  <c r="M513" i="4"/>
  <c r="N513" i="4"/>
  <c r="O513" i="4"/>
  <c r="B514" i="4"/>
  <c r="C514" i="4"/>
  <c r="D514" i="4"/>
  <c r="E514" i="4"/>
  <c r="F514" i="4"/>
  <c r="G514" i="4"/>
  <c r="H514" i="4"/>
  <c r="I514" i="4"/>
  <c r="J514" i="4"/>
  <c r="K514" i="4"/>
  <c r="L514" i="4"/>
  <c r="M514" i="4"/>
  <c r="N514" i="4"/>
  <c r="O514" i="4"/>
  <c r="B515" i="4"/>
  <c r="C515" i="4"/>
  <c r="D515" i="4"/>
  <c r="E515" i="4"/>
  <c r="F515" i="4"/>
  <c r="G515" i="4"/>
  <c r="H515" i="4"/>
  <c r="I515" i="4"/>
  <c r="J515" i="4"/>
  <c r="K515" i="4"/>
  <c r="L515" i="4"/>
  <c r="M515" i="4"/>
  <c r="N515" i="4"/>
  <c r="O515" i="4"/>
  <c r="B516" i="4"/>
  <c r="C516" i="4"/>
  <c r="D516" i="4"/>
  <c r="E516" i="4"/>
  <c r="F516" i="4"/>
  <c r="G516" i="4"/>
  <c r="H516" i="4"/>
  <c r="I516" i="4"/>
  <c r="J516" i="4"/>
  <c r="K516" i="4"/>
  <c r="L516" i="4"/>
  <c r="M516" i="4"/>
  <c r="N516" i="4"/>
  <c r="O516" i="4"/>
  <c r="B517" i="4"/>
  <c r="C517" i="4"/>
  <c r="D517" i="4"/>
  <c r="E517" i="4"/>
  <c r="F517" i="4"/>
  <c r="G517" i="4"/>
  <c r="H517" i="4"/>
  <c r="I517" i="4"/>
  <c r="J517" i="4"/>
  <c r="K517" i="4"/>
  <c r="L517" i="4"/>
  <c r="M517" i="4"/>
  <c r="N517" i="4"/>
  <c r="O517" i="4"/>
  <c r="B518" i="4"/>
  <c r="C518" i="4"/>
  <c r="D518" i="4"/>
  <c r="E518" i="4"/>
  <c r="F518" i="4"/>
  <c r="G518" i="4"/>
  <c r="H518" i="4"/>
  <c r="I518" i="4"/>
  <c r="J518" i="4"/>
  <c r="K518" i="4"/>
  <c r="L518" i="4"/>
  <c r="M518" i="4"/>
  <c r="N518" i="4"/>
  <c r="O518" i="4"/>
  <c r="B519" i="4"/>
  <c r="C519" i="4"/>
  <c r="D519" i="4"/>
  <c r="E519" i="4"/>
  <c r="F519" i="4"/>
  <c r="G519" i="4"/>
  <c r="H519" i="4"/>
  <c r="I519" i="4"/>
  <c r="J519" i="4"/>
  <c r="K519" i="4"/>
  <c r="L519" i="4"/>
  <c r="M519" i="4"/>
  <c r="N519" i="4"/>
  <c r="O519" i="4"/>
  <c r="B520" i="4"/>
  <c r="C520" i="4"/>
  <c r="D520" i="4"/>
  <c r="E520" i="4"/>
  <c r="F520" i="4"/>
  <c r="G520" i="4"/>
  <c r="H520" i="4"/>
  <c r="I520" i="4"/>
  <c r="J520" i="4"/>
  <c r="K520" i="4"/>
  <c r="L520" i="4"/>
  <c r="M520" i="4"/>
  <c r="N520" i="4"/>
  <c r="O520" i="4"/>
  <c r="B521" i="4"/>
  <c r="C521" i="4"/>
  <c r="D521" i="4"/>
  <c r="E521" i="4"/>
  <c r="F521" i="4"/>
  <c r="G521" i="4"/>
  <c r="H521" i="4"/>
  <c r="I521" i="4"/>
  <c r="J521" i="4"/>
  <c r="K521" i="4"/>
  <c r="L521" i="4"/>
  <c r="M521" i="4"/>
  <c r="N521" i="4"/>
  <c r="O521" i="4"/>
  <c r="B522" i="4"/>
  <c r="C522" i="4"/>
  <c r="D522" i="4"/>
  <c r="E522" i="4"/>
  <c r="F522" i="4"/>
  <c r="G522" i="4"/>
  <c r="H522" i="4"/>
  <c r="I522" i="4"/>
  <c r="J522" i="4"/>
  <c r="K522" i="4"/>
  <c r="L522" i="4"/>
  <c r="M522" i="4"/>
  <c r="N522" i="4"/>
  <c r="O522" i="4"/>
  <c r="B523" i="4"/>
  <c r="C523" i="4"/>
  <c r="D523" i="4"/>
  <c r="E523" i="4"/>
  <c r="F523" i="4"/>
  <c r="G523" i="4"/>
  <c r="H523" i="4"/>
  <c r="I523" i="4"/>
  <c r="J523" i="4"/>
  <c r="K523" i="4"/>
  <c r="L523" i="4"/>
  <c r="M523" i="4"/>
  <c r="N523" i="4"/>
  <c r="O523" i="4"/>
  <c r="B524" i="4"/>
  <c r="C524" i="4"/>
  <c r="D524" i="4"/>
  <c r="E524" i="4"/>
  <c r="F524" i="4"/>
  <c r="G524" i="4"/>
  <c r="H524" i="4"/>
  <c r="I524" i="4"/>
  <c r="J524" i="4"/>
  <c r="K524" i="4"/>
  <c r="L524" i="4"/>
  <c r="M524" i="4"/>
  <c r="N524" i="4"/>
  <c r="O524" i="4"/>
  <c r="B525" i="4"/>
  <c r="C525" i="4"/>
  <c r="D525" i="4"/>
  <c r="E525" i="4"/>
  <c r="F525" i="4"/>
  <c r="G525" i="4"/>
  <c r="H525" i="4"/>
  <c r="I525" i="4"/>
  <c r="J525" i="4"/>
  <c r="K525" i="4"/>
  <c r="L525" i="4"/>
  <c r="M525" i="4"/>
  <c r="N525" i="4"/>
  <c r="O525" i="4"/>
  <c r="B526" i="4"/>
  <c r="C526" i="4"/>
  <c r="D526" i="4"/>
  <c r="E526" i="4"/>
  <c r="F526" i="4"/>
  <c r="G526" i="4"/>
  <c r="H526" i="4"/>
  <c r="I526" i="4"/>
  <c r="J526" i="4"/>
  <c r="K526" i="4"/>
  <c r="L526" i="4"/>
  <c r="M526" i="4"/>
  <c r="N526" i="4"/>
  <c r="O526" i="4"/>
  <c r="B527" i="4"/>
  <c r="C527" i="4"/>
  <c r="D527" i="4"/>
  <c r="E527" i="4"/>
  <c r="F527" i="4"/>
  <c r="G527" i="4"/>
  <c r="H527" i="4"/>
  <c r="I527" i="4"/>
  <c r="J527" i="4"/>
  <c r="K527" i="4"/>
  <c r="L527" i="4"/>
  <c r="M527" i="4"/>
  <c r="N527" i="4"/>
  <c r="O527" i="4"/>
  <c r="B528" i="4"/>
  <c r="C528" i="4"/>
  <c r="D528" i="4"/>
  <c r="E528" i="4"/>
  <c r="F528" i="4"/>
  <c r="G528" i="4"/>
  <c r="H528" i="4"/>
  <c r="I528" i="4"/>
  <c r="J528" i="4"/>
  <c r="K528" i="4"/>
  <c r="L528" i="4"/>
  <c r="M528" i="4"/>
  <c r="N528" i="4"/>
  <c r="O528" i="4"/>
  <c r="B529" i="4"/>
  <c r="C529" i="4"/>
  <c r="D529" i="4"/>
  <c r="E529" i="4"/>
  <c r="F529" i="4"/>
  <c r="G529" i="4"/>
  <c r="H529" i="4"/>
  <c r="I529" i="4"/>
  <c r="J529" i="4"/>
  <c r="K529" i="4"/>
  <c r="L529" i="4"/>
  <c r="M529" i="4"/>
  <c r="N529" i="4"/>
  <c r="O529" i="4"/>
  <c r="B530" i="4"/>
  <c r="C530" i="4"/>
  <c r="D530" i="4"/>
  <c r="E530" i="4"/>
  <c r="F530" i="4"/>
  <c r="G530" i="4"/>
  <c r="H530" i="4"/>
  <c r="I530" i="4"/>
  <c r="J530" i="4"/>
  <c r="K530" i="4"/>
  <c r="L530" i="4"/>
  <c r="M530" i="4"/>
  <c r="N530" i="4"/>
  <c r="O530" i="4"/>
  <c r="B531" i="4"/>
  <c r="C531" i="4"/>
  <c r="D531" i="4"/>
  <c r="E531" i="4"/>
  <c r="F531" i="4"/>
  <c r="G531" i="4"/>
  <c r="H531" i="4"/>
  <c r="I531" i="4"/>
  <c r="J531" i="4"/>
  <c r="K531" i="4"/>
  <c r="L531" i="4"/>
  <c r="M531" i="4"/>
  <c r="N531" i="4"/>
  <c r="O531" i="4"/>
  <c r="B532" i="4"/>
  <c r="C532" i="4"/>
  <c r="D532" i="4"/>
  <c r="E532" i="4"/>
  <c r="F532" i="4"/>
  <c r="G532" i="4"/>
  <c r="H532" i="4"/>
  <c r="I532" i="4"/>
  <c r="J532" i="4"/>
  <c r="K532" i="4"/>
  <c r="L532" i="4"/>
  <c r="M532" i="4"/>
  <c r="N532" i="4"/>
  <c r="O532" i="4"/>
  <c r="B533" i="4"/>
  <c r="C533" i="4"/>
  <c r="D533" i="4"/>
  <c r="E533" i="4"/>
  <c r="F533" i="4"/>
  <c r="G533" i="4"/>
  <c r="H533" i="4"/>
  <c r="I533" i="4"/>
  <c r="J533" i="4"/>
  <c r="K533" i="4"/>
  <c r="L533" i="4"/>
  <c r="M533" i="4"/>
  <c r="N533" i="4"/>
  <c r="O533" i="4"/>
  <c r="B534" i="4"/>
  <c r="C534" i="4"/>
  <c r="D534" i="4"/>
  <c r="E534" i="4"/>
  <c r="F534" i="4"/>
  <c r="G534" i="4"/>
  <c r="H534" i="4"/>
  <c r="I534" i="4"/>
  <c r="J534" i="4"/>
  <c r="K534" i="4"/>
  <c r="L534" i="4"/>
  <c r="M534" i="4"/>
  <c r="N534" i="4"/>
  <c r="O534" i="4"/>
  <c r="B535" i="4"/>
  <c r="C535" i="4"/>
  <c r="D535" i="4"/>
  <c r="E535" i="4"/>
  <c r="F535" i="4"/>
  <c r="G535" i="4"/>
  <c r="H535" i="4"/>
  <c r="I535" i="4"/>
  <c r="J535" i="4"/>
  <c r="K535" i="4"/>
  <c r="L535" i="4"/>
  <c r="M535" i="4"/>
  <c r="N535" i="4"/>
  <c r="O535" i="4"/>
  <c r="B536" i="4"/>
  <c r="C536" i="4"/>
  <c r="D536" i="4"/>
  <c r="E536" i="4"/>
  <c r="F536" i="4"/>
  <c r="G536" i="4"/>
  <c r="H536" i="4"/>
  <c r="I536" i="4"/>
  <c r="J536" i="4"/>
  <c r="K536" i="4"/>
  <c r="L536" i="4"/>
  <c r="M536" i="4"/>
  <c r="N536" i="4"/>
  <c r="O536" i="4"/>
  <c r="B537" i="4"/>
  <c r="C537" i="4"/>
  <c r="D537" i="4"/>
  <c r="E537" i="4"/>
  <c r="F537" i="4"/>
  <c r="G537" i="4"/>
  <c r="H537" i="4"/>
  <c r="I537" i="4"/>
  <c r="J537" i="4"/>
  <c r="K537" i="4"/>
  <c r="L537" i="4"/>
  <c r="M537" i="4"/>
  <c r="N537" i="4"/>
  <c r="O537" i="4"/>
  <c r="B538" i="4"/>
  <c r="C538" i="4"/>
  <c r="D538" i="4"/>
  <c r="E538" i="4"/>
  <c r="F538" i="4"/>
  <c r="G538" i="4"/>
  <c r="H538" i="4"/>
  <c r="I538" i="4"/>
  <c r="J538" i="4"/>
  <c r="K538" i="4"/>
  <c r="L538" i="4"/>
  <c r="M538" i="4"/>
  <c r="N538" i="4"/>
  <c r="O538" i="4"/>
  <c r="B539" i="4"/>
  <c r="C539" i="4"/>
  <c r="D539" i="4"/>
  <c r="E539" i="4"/>
  <c r="F539" i="4"/>
  <c r="G539" i="4"/>
  <c r="H539" i="4"/>
  <c r="I539" i="4"/>
  <c r="J539" i="4"/>
  <c r="K539" i="4"/>
  <c r="L539" i="4"/>
  <c r="M539" i="4"/>
  <c r="N539" i="4"/>
  <c r="O539" i="4"/>
  <c r="B540" i="4"/>
  <c r="C540" i="4"/>
  <c r="D540" i="4"/>
  <c r="E540" i="4"/>
  <c r="F540" i="4"/>
  <c r="G540" i="4"/>
  <c r="H540" i="4"/>
  <c r="I540" i="4"/>
  <c r="J540" i="4"/>
  <c r="K540" i="4"/>
  <c r="L540" i="4"/>
  <c r="M540" i="4"/>
  <c r="N540" i="4"/>
  <c r="O540" i="4"/>
  <c r="B541" i="4"/>
  <c r="C541" i="4"/>
  <c r="D541" i="4"/>
  <c r="E541" i="4"/>
  <c r="F541" i="4"/>
  <c r="G541" i="4"/>
  <c r="H541" i="4"/>
  <c r="I541" i="4"/>
  <c r="J541" i="4"/>
  <c r="K541" i="4"/>
  <c r="L541" i="4"/>
  <c r="M541" i="4"/>
  <c r="N541" i="4"/>
  <c r="O541" i="4"/>
  <c r="B542" i="4"/>
  <c r="C542" i="4"/>
  <c r="D542" i="4"/>
  <c r="E542" i="4"/>
  <c r="F542" i="4"/>
  <c r="G542" i="4"/>
  <c r="H542" i="4"/>
  <c r="I542" i="4"/>
  <c r="J542" i="4"/>
  <c r="K542" i="4"/>
  <c r="L542" i="4"/>
  <c r="M542" i="4"/>
  <c r="N542" i="4"/>
  <c r="O542" i="4"/>
  <c r="B543" i="4"/>
  <c r="C543" i="4"/>
  <c r="D543" i="4"/>
  <c r="E543" i="4"/>
  <c r="F543" i="4"/>
  <c r="G543" i="4"/>
  <c r="H543" i="4"/>
  <c r="I543" i="4"/>
  <c r="J543" i="4"/>
  <c r="K543" i="4"/>
  <c r="L543" i="4"/>
  <c r="M543" i="4"/>
  <c r="N543" i="4"/>
  <c r="O543" i="4"/>
  <c r="B544" i="4"/>
  <c r="C544" i="4"/>
  <c r="D544" i="4"/>
  <c r="E544" i="4"/>
  <c r="F544" i="4"/>
  <c r="G544" i="4"/>
  <c r="H544" i="4"/>
  <c r="I544" i="4"/>
  <c r="J544" i="4"/>
  <c r="K544" i="4"/>
  <c r="L544" i="4"/>
  <c r="M544" i="4"/>
  <c r="N544" i="4"/>
  <c r="O544" i="4"/>
  <c r="B545" i="4"/>
  <c r="C545" i="4"/>
  <c r="D545" i="4"/>
  <c r="E545" i="4"/>
  <c r="F545" i="4"/>
  <c r="G545" i="4"/>
  <c r="H545" i="4"/>
  <c r="I545" i="4"/>
  <c r="J545" i="4"/>
  <c r="K545" i="4"/>
  <c r="L545" i="4"/>
  <c r="M545" i="4"/>
  <c r="N545" i="4"/>
  <c r="O545" i="4"/>
  <c r="B546" i="4"/>
  <c r="C546" i="4"/>
  <c r="D546" i="4"/>
  <c r="E546" i="4"/>
  <c r="F546" i="4"/>
  <c r="G546" i="4"/>
  <c r="H546" i="4"/>
  <c r="I546" i="4"/>
  <c r="J546" i="4"/>
  <c r="K546" i="4"/>
  <c r="L546" i="4"/>
  <c r="M546" i="4"/>
  <c r="N546" i="4"/>
  <c r="O546" i="4"/>
  <c r="B547" i="4"/>
  <c r="C547" i="4"/>
  <c r="D547" i="4"/>
  <c r="E547" i="4"/>
  <c r="F547" i="4"/>
  <c r="G547" i="4"/>
  <c r="H547" i="4"/>
  <c r="I547" i="4"/>
  <c r="J547" i="4"/>
  <c r="K547" i="4"/>
  <c r="L547" i="4"/>
  <c r="M547" i="4"/>
  <c r="N547" i="4"/>
  <c r="O547" i="4"/>
  <c r="B548" i="4"/>
  <c r="C548" i="4"/>
  <c r="D548" i="4"/>
  <c r="E548" i="4"/>
  <c r="F548" i="4"/>
  <c r="G548" i="4"/>
  <c r="H548" i="4"/>
  <c r="I548" i="4"/>
  <c r="J548" i="4"/>
  <c r="K548" i="4"/>
  <c r="L548" i="4"/>
  <c r="M548" i="4"/>
  <c r="N548" i="4"/>
  <c r="O548" i="4"/>
  <c r="B549" i="4"/>
  <c r="C549" i="4"/>
  <c r="D549" i="4"/>
  <c r="E549" i="4"/>
  <c r="F549" i="4"/>
  <c r="G549" i="4"/>
  <c r="H549" i="4"/>
  <c r="I549" i="4"/>
  <c r="J549" i="4"/>
  <c r="K549" i="4"/>
  <c r="L549" i="4"/>
  <c r="M549" i="4"/>
  <c r="N549" i="4"/>
  <c r="O549" i="4"/>
  <c r="B550" i="4"/>
  <c r="C550" i="4"/>
  <c r="D550" i="4"/>
  <c r="E550" i="4"/>
  <c r="F550" i="4"/>
  <c r="G550" i="4"/>
  <c r="H550" i="4"/>
  <c r="I550" i="4"/>
  <c r="J550" i="4"/>
  <c r="K550" i="4"/>
  <c r="L550" i="4"/>
  <c r="M550" i="4"/>
  <c r="N550" i="4"/>
  <c r="O550" i="4"/>
  <c r="B551" i="4"/>
  <c r="C551" i="4"/>
  <c r="D551" i="4"/>
  <c r="E551" i="4"/>
  <c r="F551" i="4"/>
  <c r="G551" i="4"/>
  <c r="H551" i="4"/>
  <c r="I551" i="4"/>
  <c r="J551" i="4"/>
  <c r="K551" i="4"/>
  <c r="L551" i="4"/>
  <c r="M551" i="4"/>
  <c r="N551" i="4"/>
  <c r="O551" i="4"/>
  <c r="B552" i="4"/>
  <c r="C552" i="4"/>
  <c r="D552" i="4"/>
  <c r="E552" i="4"/>
  <c r="F552" i="4"/>
  <c r="G552" i="4"/>
  <c r="H552" i="4"/>
  <c r="I552" i="4"/>
  <c r="J552" i="4"/>
  <c r="K552" i="4"/>
  <c r="L552" i="4"/>
  <c r="M552" i="4"/>
  <c r="N552" i="4"/>
  <c r="O552" i="4"/>
  <c r="B553" i="4"/>
  <c r="C553" i="4"/>
  <c r="D553" i="4"/>
  <c r="E553" i="4"/>
  <c r="F553" i="4"/>
  <c r="G553" i="4"/>
  <c r="H553" i="4"/>
  <c r="I553" i="4"/>
  <c r="J553" i="4"/>
  <c r="K553" i="4"/>
  <c r="L553" i="4"/>
  <c r="M553" i="4"/>
  <c r="N553" i="4"/>
  <c r="O553" i="4"/>
  <c r="B554" i="4"/>
  <c r="C554" i="4"/>
  <c r="D554" i="4"/>
  <c r="E554" i="4"/>
  <c r="F554" i="4"/>
  <c r="G554" i="4"/>
  <c r="H554" i="4"/>
  <c r="I554" i="4"/>
  <c r="J554" i="4"/>
  <c r="K554" i="4"/>
  <c r="L554" i="4"/>
  <c r="M554" i="4"/>
  <c r="N554" i="4"/>
  <c r="O554" i="4"/>
  <c r="B555" i="4"/>
  <c r="C555" i="4"/>
  <c r="D555" i="4"/>
  <c r="E555" i="4"/>
  <c r="F555" i="4"/>
  <c r="G555" i="4"/>
  <c r="H555" i="4"/>
  <c r="I555" i="4"/>
  <c r="J555" i="4"/>
  <c r="K555" i="4"/>
  <c r="L555" i="4"/>
  <c r="M555" i="4"/>
  <c r="N555" i="4"/>
  <c r="O555" i="4"/>
  <c r="B556" i="4"/>
  <c r="C556" i="4"/>
  <c r="D556" i="4"/>
  <c r="E556" i="4"/>
  <c r="F556" i="4"/>
  <c r="G556" i="4"/>
  <c r="H556" i="4"/>
  <c r="I556" i="4"/>
  <c r="J556" i="4"/>
  <c r="K556" i="4"/>
  <c r="L556" i="4"/>
  <c r="M556" i="4"/>
  <c r="N556" i="4"/>
  <c r="O556" i="4"/>
  <c r="B557" i="4"/>
  <c r="C557" i="4"/>
  <c r="D557" i="4"/>
  <c r="E557" i="4"/>
  <c r="F557" i="4"/>
  <c r="G557" i="4"/>
  <c r="H557" i="4"/>
  <c r="I557" i="4"/>
  <c r="J557" i="4"/>
  <c r="K557" i="4"/>
  <c r="L557" i="4"/>
  <c r="M557" i="4"/>
  <c r="N557" i="4"/>
  <c r="O557" i="4"/>
  <c r="B558" i="4"/>
  <c r="C558" i="4"/>
  <c r="D558" i="4"/>
  <c r="E558" i="4"/>
  <c r="F558" i="4"/>
  <c r="G558" i="4"/>
  <c r="H558" i="4"/>
  <c r="I558" i="4"/>
  <c r="J558" i="4"/>
  <c r="K558" i="4"/>
  <c r="L558" i="4"/>
  <c r="M558" i="4"/>
  <c r="N558" i="4"/>
  <c r="O558" i="4"/>
  <c r="B559" i="4"/>
  <c r="C559" i="4"/>
  <c r="D559" i="4"/>
  <c r="E559" i="4"/>
  <c r="F559" i="4"/>
  <c r="G559" i="4"/>
  <c r="H559" i="4"/>
  <c r="I559" i="4"/>
  <c r="J559" i="4"/>
  <c r="K559" i="4"/>
  <c r="L559" i="4"/>
  <c r="M559" i="4"/>
  <c r="N559" i="4"/>
  <c r="O559" i="4"/>
  <c r="B560" i="4"/>
  <c r="C560" i="4"/>
  <c r="D560" i="4"/>
  <c r="E560" i="4"/>
  <c r="F560" i="4"/>
  <c r="G560" i="4"/>
  <c r="H560" i="4"/>
  <c r="I560" i="4"/>
  <c r="J560" i="4"/>
  <c r="K560" i="4"/>
  <c r="L560" i="4"/>
  <c r="M560" i="4"/>
  <c r="N560" i="4"/>
  <c r="O560" i="4"/>
  <c r="B561" i="4"/>
  <c r="C561" i="4"/>
  <c r="D561" i="4"/>
  <c r="E561" i="4"/>
  <c r="F561" i="4"/>
  <c r="G561" i="4"/>
  <c r="H561" i="4"/>
  <c r="I561" i="4"/>
  <c r="J561" i="4"/>
  <c r="K561" i="4"/>
  <c r="L561" i="4"/>
  <c r="M561" i="4"/>
  <c r="N561" i="4"/>
  <c r="O561" i="4"/>
  <c r="B562" i="4"/>
  <c r="C562" i="4"/>
  <c r="D562" i="4"/>
  <c r="E562" i="4"/>
  <c r="F562" i="4"/>
  <c r="G562" i="4"/>
  <c r="H562" i="4"/>
  <c r="I562" i="4"/>
  <c r="J562" i="4"/>
  <c r="K562" i="4"/>
  <c r="L562" i="4"/>
  <c r="M562" i="4"/>
  <c r="N562" i="4"/>
  <c r="O562" i="4"/>
  <c r="B563" i="4"/>
  <c r="C563" i="4"/>
  <c r="D563" i="4"/>
  <c r="E563" i="4"/>
  <c r="F563" i="4"/>
  <c r="G563" i="4"/>
  <c r="H563" i="4"/>
  <c r="I563" i="4"/>
  <c r="J563" i="4"/>
  <c r="K563" i="4"/>
  <c r="L563" i="4"/>
  <c r="M563" i="4"/>
  <c r="N563" i="4"/>
  <c r="O563" i="4"/>
  <c r="B564" i="4"/>
  <c r="C564" i="4"/>
  <c r="D564" i="4"/>
  <c r="E564" i="4"/>
  <c r="F564" i="4"/>
  <c r="G564" i="4"/>
  <c r="H564" i="4"/>
  <c r="I564" i="4"/>
  <c r="J564" i="4"/>
  <c r="K564" i="4"/>
  <c r="L564" i="4"/>
  <c r="M564" i="4"/>
  <c r="N564" i="4"/>
  <c r="O564" i="4"/>
  <c r="B565" i="4"/>
  <c r="C565" i="4"/>
  <c r="D565" i="4"/>
  <c r="E565" i="4"/>
  <c r="F565" i="4"/>
  <c r="G565" i="4"/>
  <c r="H565" i="4"/>
  <c r="I565" i="4"/>
  <c r="J565" i="4"/>
  <c r="K565" i="4"/>
  <c r="L565" i="4"/>
  <c r="M565" i="4"/>
  <c r="N565" i="4"/>
  <c r="O565" i="4"/>
  <c r="B566" i="4"/>
  <c r="C566" i="4"/>
  <c r="D566" i="4"/>
  <c r="E566" i="4"/>
  <c r="F566" i="4"/>
  <c r="G566" i="4"/>
  <c r="H566" i="4"/>
  <c r="I566" i="4"/>
  <c r="J566" i="4"/>
  <c r="K566" i="4"/>
  <c r="L566" i="4"/>
  <c r="M566" i="4"/>
  <c r="N566" i="4"/>
  <c r="O566" i="4"/>
  <c r="B567" i="4"/>
  <c r="C567" i="4"/>
  <c r="D567" i="4"/>
  <c r="E567" i="4"/>
  <c r="F567" i="4"/>
  <c r="G567" i="4"/>
  <c r="H567" i="4"/>
  <c r="I567" i="4"/>
  <c r="J567" i="4"/>
  <c r="K567" i="4"/>
  <c r="L567" i="4"/>
  <c r="M567" i="4"/>
  <c r="N567" i="4"/>
  <c r="O567" i="4"/>
  <c r="B568" i="4"/>
  <c r="C568" i="4"/>
  <c r="D568" i="4"/>
  <c r="E568" i="4"/>
  <c r="F568" i="4"/>
  <c r="G568" i="4"/>
  <c r="H568" i="4"/>
  <c r="I568" i="4"/>
  <c r="J568" i="4"/>
  <c r="K568" i="4"/>
  <c r="L568" i="4"/>
  <c r="M568" i="4"/>
  <c r="N568" i="4"/>
  <c r="O568" i="4"/>
  <c r="B569" i="4"/>
  <c r="C569" i="4"/>
  <c r="D569" i="4"/>
  <c r="E569" i="4"/>
  <c r="F569" i="4"/>
  <c r="G569" i="4"/>
  <c r="H569" i="4"/>
  <c r="I569" i="4"/>
  <c r="J569" i="4"/>
  <c r="K569" i="4"/>
  <c r="L569" i="4"/>
  <c r="M569" i="4"/>
  <c r="N569" i="4"/>
  <c r="O569" i="4"/>
  <c r="B570" i="4"/>
  <c r="C570" i="4"/>
  <c r="D570" i="4"/>
  <c r="E570" i="4"/>
  <c r="F570" i="4"/>
  <c r="G570" i="4"/>
  <c r="H570" i="4"/>
  <c r="I570" i="4"/>
  <c r="J570" i="4"/>
  <c r="K570" i="4"/>
  <c r="L570" i="4"/>
  <c r="M570" i="4"/>
  <c r="N570" i="4"/>
  <c r="O570" i="4"/>
  <c r="B571" i="4"/>
  <c r="C571" i="4"/>
  <c r="D571" i="4"/>
  <c r="E571" i="4"/>
  <c r="F571" i="4"/>
  <c r="G571" i="4"/>
  <c r="H571" i="4"/>
  <c r="I571" i="4"/>
  <c r="J571" i="4"/>
  <c r="K571" i="4"/>
  <c r="L571" i="4"/>
  <c r="M571" i="4"/>
  <c r="N571" i="4"/>
  <c r="O571" i="4"/>
  <c r="B572" i="4"/>
  <c r="C572" i="4"/>
  <c r="D572" i="4"/>
  <c r="E572" i="4"/>
  <c r="F572" i="4"/>
  <c r="G572" i="4"/>
  <c r="H572" i="4"/>
  <c r="I572" i="4"/>
  <c r="J572" i="4"/>
  <c r="K572" i="4"/>
  <c r="L572" i="4"/>
  <c r="M572" i="4"/>
  <c r="N572" i="4"/>
  <c r="O572" i="4"/>
  <c r="B573" i="4"/>
  <c r="C573" i="4"/>
  <c r="D573" i="4"/>
  <c r="E573" i="4"/>
  <c r="F573" i="4"/>
  <c r="G573" i="4"/>
  <c r="H573" i="4"/>
  <c r="I573" i="4"/>
  <c r="J573" i="4"/>
  <c r="K573" i="4"/>
  <c r="L573" i="4"/>
  <c r="M573" i="4"/>
  <c r="N573" i="4"/>
  <c r="O573" i="4"/>
  <c r="B574" i="4"/>
  <c r="C574" i="4"/>
  <c r="D574" i="4"/>
  <c r="E574" i="4"/>
  <c r="F574" i="4"/>
  <c r="G574" i="4"/>
  <c r="H574" i="4"/>
  <c r="I574" i="4"/>
  <c r="J574" i="4"/>
  <c r="K574" i="4"/>
  <c r="L574" i="4"/>
  <c r="M574" i="4"/>
  <c r="N574" i="4"/>
  <c r="O574" i="4"/>
  <c r="B575" i="4"/>
  <c r="C575" i="4"/>
  <c r="D575" i="4"/>
  <c r="E575" i="4"/>
  <c r="F575" i="4"/>
  <c r="G575" i="4"/>
  <c r="H575" i="4"/>
  <c r="I575" i="4"/>
  <c r="J575" i="4"/>
  <c r="K575" i="4"/>
  <c r="L575" i="4"/>
  <c r="M575" i="4"/>
  <c r="N575" i="4"/>
  <c r="O575" i="4"/>
  <c r="B576" i="4"/>
  <c r="C576" i="4"/>
  <c r="D576" i="4"/>
  <c r="E576" i="4"/>
  <c r="F576" i="4"/>
  <c r="G576" i="4"/>
  <c r="H576" i="4"/>
  <c r="I576" i="4"/>
  <c r="J576" i="4"/>
  <c r="K576" i="4"/>
  <c r="L576" i="4"/>
  <c r="M576" i="4"/>
  <c r="N576" i="4"/>
  <c r="O576" i="4"/>
  <c r="B577" i="4"/>
  <c r="C577" i="4"/>
  <c r="D577" i="4"/>
  <c r="E577" i="4"/>
  <c r="F577" i="4"/>
  <c r="G577" i="4"/>
  <c r="H577" i="4"/>
  <c r="I577" i="4"/>
  <c r="J577" i="4"/>
  <c r="K577" i="4"/>
  <c r="L577" i="4"/>
  <c r="M577" i="4"/>
  <c r="N577" i="4"/>
  <c r="O577" i="4"/>
  <c r="B578" i="4"/>
  <c r="C578" i="4"/>
  <c r="D578" i="4"/>
  <c r="E578" i="4"/>
  <c r="F578" i="4"/>
  <c r="G578" i="4"/>
  <c r="H578" i="4"/>
  <c r="I578" i="4"/>
  <c r="J578" i="4"/>
  <c r="K578" i="4"/>
  <c r="L578" i="4"/>
  <c r="M578" i="4"/>
  <c r="N578" i="4"/>
  <c r="O578" i="4"/>
  <c r="B579" i="4"/>
  <c r="C579" i="4"/>
  <c r="D579" i="4"/>
  <c r="E579" i="4"/>
  <c r="F579" i="4"/>
  <c r="G579" i="4"/>
  <c r="H579" i="4"/>
  <c r="I579" i="4"/>
  <c r="J579" i="4"/>
  <c r="K579" i="4"/>
  <c r="L579" i="4"/>
  <c r="M579" i="4"/>
  <c r="N579" i="4"/>
  <c r="O579" i="4"/>
  <c r="B580" i="4"/>
  <c r="C580" i="4"/>
  <c r="D580" i="4"/>
  <c r="E580" i="4"/>
  <c r="F580" i="4"/>
  <c r="G580" i="4"/>
  <c r="H580" i="4"/>
  <c r="I580" i="4"/>
  <c r="J580" i="4"/>
  <c r="K580" i="4"/>
  <c r="L580" i="4"/>
  <c r="M580" i="4"/>
  <c r="N580" i="4"/>
  <c r="O580" i="4"/>
  <c r="B581" i="4"/>
  <c r="C581" i="4"/>
  <c r="D581" i="4"/>
  <c r="E581" i="4"/>
  <c r="F581" i="4"/>
  <c r="G581" i="4"/>
  <c r="H581" i="4"/>
  <c r="I581" i="4"/>
  <c r="J581" i="4"/>
  <c r="K581" i="4"/>
  <c r="L581" i="4"/>
  <c r="M581" i="4"/>
  <c r="N581" i="4"/>
  <c r="O581" i="4"/>
  <c r="B582" i="4"/>
  <c r="C582" i="4"/>
  <c r="D582" i="4"/>
  <c r="E582" i="4"/>
  <c r="F582" i="4"/>
  <c r="G582" i="4"/>
  <c r="H582" i="4"/>
  <c r="I582" i="4"/>
  <c r="J582" i="4"/>
  <c r="K582" i="4"/>
  <c r="L582" i="4"/>
  <c r="M582" i="4"/>
  <c r="N582" i="4"/>
  <c r="O582" i="4"/>
  <c r="B583" i="4"/>
  <c r="C583" i="4"/>
  <c r="D583" i="4"/>
  <c r="E583" i="4"/>
  <c r="F583" i="4"/>
  <c r="G583" i="4"/>
  <c r="H583" i="4"/>
  <c r="I583" i="4"/>
  <c r="J583" i="4"/>
  <c r="K583" i="4"/>
  <c r="L583" i="4"/>
  <c r="M583" i="4"/>
  <c r="N583" i="4"/>
  <c r="O583" i="4"/>
  <c r="B584" i="4"/>
  <c r="C584" i="4"/>
  <c r="D584" i="4"/>
  <c r="E584" i="4"/>
  <c r="F584" i="4"/>
  <c r="G584" i="4"/>
  <c r="H584" i="4"/>
  <c r="I584" i="4"/>
  <c r="J584" i="4"/>
  <c r="K584" i="4"/>
  <c r="L584" i="4"/>
  <c r="M584" i="4"/>
  <c r="N584" i="4"/>
  <c r="O584" i="4"/>
  <c r="B585" i="4"/>
  <c r="C585" i="4"/>
  <c r="D585" i="4"/>
  <c r="E585" i="4"/>
  <c r="F585" i="4"/>
  <c r="G585" i="4"/>
  <c r="H585" i="4"/>
  <c r="I585" i="4"/>
  <c r="J585" i="4"/>
  <c r="K585" i="4"/>
  <c r="L585" i="4"/>
  <c r="M585" i="4"/>
  <c r="N585" i="4"/>
  <c r="O585" i="4"/>
  <c r="B586" i="4"/>
  <c r="C586" i="4"/>
  <c r="D586" i="4"/>
  <c r="E586" i="4"/>
  <c r="F586" i="4"/>
  <c r="G586" i="4"/>
  <c r="H586" i="4"/>
  <c r="I586" i="4"/>
  <c r="J586" i="4"/>
  <c r="K586" i="4"/>
  <c r="L586" i="4"/>
  <c r="M586" i="4"/>
  <c r="N586" i="4"/>
  <c r="O586" i="4"/>
  <c r="B587" i="4"/>
  <c r="C587" i="4"/>
  <c r="D587" i="4"/>
  <c r="E587" i="4"/>
  <c r="F587" i="4"/>
  <c r="G587" i="4"/>
  <c r="H587" i="4"/>
  <c r="I587" i="4"/>
  <c r="J587" i="4"/>
  <c r="K587" i="4"/>
  <c r="L587" i="4"/>
  <c r="M587" i="4"/>
  <c r="N587" i="4"/>
  <c r="O587" i="4"/>
  <c r="B588" i="4"/>
  <c r="C588" i="4"/>
  <c r="D588" i="4"/>
  <c r="E588" i="4"/>
  <c r="F588" i="4"/>
  <c r="G588" i="4"/>
  <c r="H588" i="4"/>
  <c r="I588" i="4"/>
  <c r="J588" i="4"/>
  <c r="K588" i="4"/>
  <c r="L588" i="4"/>
  <c r="M588" i="4"/>
  <c r="N588" i="4"/>
  <c r="O588" i="4"/>
  <c r="B589" i="4"/>
  <c r="C589" i="4"/>
  <c r="D589" i="4"/>
  <c r="E589" i="4"/>
  <c r="F589" i="4"/>
  <c r="G589" i="4"/>
  <c r="H589" i="4"/>
  <c r="I589" i="4"/>
  <c r="J589" i="4"/>
  <c r="K589" i="4"/>
  <c r="L589" i="4"/>
  <c r="M589" i="4"/>
  <c r="N589" i="4"/>
  <c r="O589" i="4"/>
  <c r="B590" i="4"/>
  <c r="C590" i="4"/>
  <c r="D590" i="4"/>
  <c r="E590" i="4"/>
  <c r="F590" i="4"/>
  <c r="G590" i="4"/>
  <c r="H590" i="4"/>
  <c r="I590" i="4"/>
  <c r="J590" i="4"/>
  <c r="K590" i="4"/>
  <c r="L590" i="4"/>
  <c r="M590" i="4"/>
  <c r="N590" i="4"/>
  <c r="O590" i="4"/>
  <c r="B591" i="4"/>
  <c r="C591" i="4"/>
  <c r="D591" i="4"/>
  <c r="E591" i="4"/>
  <c r="F591" i="4"/>
  <c r="G591" i="4"/>
  <c r="H591" i="4"/>
  <c r="I591" i="4"/>
  <c r="J591" i="4"/>
  <c r="K591" i="4"/>
  <c r="L591" i="4"/>
  <c r="M591" i="4"/>
  <c r="N591" i="4"/>
  <c r="O591" i="4"/>
  <c r="B592" i="4"/>
  <c r="C592" i="4"/>
  <c r="D592" i="4"/>
  <c r="E592" i="4"/>
  <c r="F592" i="4"/>
  <c r="G592" i="4"/>
  <c r="H592" i="4"/>
  <c r="I592" i="4"/>
  <c r="J592" i="4"/>
  <c r="K592" i="4"/>
  <c r="L592" i="4"/>
  <c r="M592" i="4"/>
  <c r="N592" i="4"/>
  <c r="O592" i="4"/>
  <c r="B593" i="4"/>
  <c r="C593" i="4"/>
  <c r="D593" i="4"/>
  <c r="E593" i="4"/>
  <c r="F593" i="4"/>
  <c r="G593" i="4"/>
  <c r="H593" i="4"/>
  <c r="I593" i="4"/>
  <c r="J593" i="4"/>
  <c r="K593" i="4"/>
  <c r="L593" i="4"/>
  <c r="M593" i="4"/>
  <c r="N593" i="4"/>
  <c r="O593" i="4"/>
  <c r="B594" i="4"/>
  <c r="C594" i="4"/>
  <c r="D594" i="4"/>
  <c r="E594" i="4"/>
  <c r="F594" i="4"/>
  <c r="G594" i="4"/>
  <c r="H594" i="4"/>
  <c r="I594" i="4"/>
  <c r="J594" i="4"/>
  <c r="K594" i="4"/>
  <c r="L594" i="4"/>
  <c r="M594" i="4"/>
  <c r="N594" i="4"/>
  <c r="O594" i="4"/>
  <c r="B595" i="4"/>
  <c r="C595" i="4"/>
  <c r="D595" i="4"/>
  <c r="E595" i="4"/>
  <c r="F595" i="4"/>
  <c r="G595" i="4"/>
  <c r="H595" i="4"/>
  <c r="I595" i="4"/>
  <c r="J595" i="4"/>
  <c r="K595" i="4"/>
  <c r="L595" i="4"/>
  <c r="M595" i="4"/>
  <c r="N595" i="4"/>
  <c r="O595" i="4"/>
  <c r="B596" i="4"/>
  <c r="C596" i="4"/>
  <c r="D596" i="4"/>
  <c r="E596" i="4"/>
  <c r="F596" i="4"/>
  <c r="G596" i="4"/>
  <c r="H596" i="4"/>
  <c r="I596" i="4"/>
  <c r="J596" i="4"/>
  <c r="K596" i="4"/>
  <c r="L596" i="4"/>
  <c r="M596" i="4"/>
  <c r="N596" i="4"/>
  <c r="O596" i="4"/>
  <c r="B597" i="4"/>
  <c r="C597" i="4"/>
  <c r="D597" i="4"/>
  <c r="E597" i="4"/>
  <c r="F597" i="4"/>
  <c r="G597" i="4"/>
  <c r="H597" i="4"/>
  <c r="I597" i="4"/>
  <c r="J597" i="4"/>
  <c r="K597" i="4"/>
  <c r="L597" i="4"/>
  <c r="M597" i="4"/>
  <c r="N597" i="4"/>
  <c r="O597" i="4"/>
  <c r="B598" i="4"/>
  <c r="C598" i="4"/>
  <c r="D598" i="4"/>
  <c r="E598" i="4"/>
  <c r="F598" i="4"/>
  <c r="G598" i="4"/>
  <c r="H598" i="4"/>
  <c r="I598" i="4"/>
  <c r="J598" i="4"/>
  <c r="K598" i="4"/>
  <c r="L598" i="4"/>
  <c r="M598" i="4"/>
  <c r="N598" i="4"/>
  <c r="O598" i="4"/>
  <c r="B599" i="4"/>
  <c r="C599" i="4"/>
  <c r="D599" i="4"/>
  <c r="E599" i="4"/>
  <c r="F599" i="4"/>
  <c r="G599" i="4"/>
  <c r="H599" i="4"/>
  <c r="I599" i="4"/>
  <c r="J599" i="4"/>
  <c r="K599" i="4"/>
  <c r="L599" i="4"/>
  <c r="M599" i="4"/>
  <c r="N599" i="4"/>
  <c r="O599" i="4"/>
  <c r="B600" i="4"/>
  <c r="C600" i="4"/>
  <c r="D600" i="4"/>
  <c r="E600" i="4"/>
  <c r="F600" i="4"/>
  <c r="G600" i="4"/>
  <c r="H600" i="4"/>
  <c r="I600" i="4"/>
  <c r="J600" i="4"/>
  <c r="K600" i="4"/>
  <c r="L600" i="4"/>
  <c r="M600" i="4"/>
  <c r="N600" i="4"/>
  <c r="O600" i="4"/>
  <c r="B601" i="4"/>
  <c r="C601" i="4"/>
  <c r="D601" i="4"/>
  <c r="E601" i="4"/>
  <c r="F601" i="4"/>
  <c r="G601" i="4"/>
  <c r="H601" i="4"/>
  <c r="I601" i="4"/>
  <c r="J601" i="4"/>
  <c r="K601" i="4"/>
  <c r="L601" i="4"/>
  <c r="M601" i="4"/>
  <c r="N601" i="4"/>
  <c r="O601" i="4"/>
  <c r="B602" i="4"/>
  <c r="C602" i="4"/>
  <c r="D602" i="4"/>
  <c r="E602" i="4"/>
  <c r="F602" i="4"/>
  <c r="G602" i="4"/>
  <c r="H602" i="4"/>
  <c r="I602" i="4"/>
  <c r="J602" i="4"/>
  <c r="K602" i="4"/>
  <c r="L602" i="4"/>
  <c r="M602" i="4"/>
  <c r="N602" i="4"/>
  <c r="O602" i="4"/>
  <c r="B603" i="4"/>
  <c r="C603" i="4"/>
  <c r="D603" i="4"/>
  <c r="E603" i="4"/>
  <c r="F603" i="4"/>
  <c r="G603" i="4"/>
  <c r="H603" i="4"/>
  <c r="I603" i="4"/>
  <c r="J603" i="4"/>
  <c r="K603" i="4"/>
  <c r="L603" i="4"/>
  <c r="M603" i="4"/>
  <c r="N603" i="4"/>
  <c r="O603" i="4"/>
  <c r="B604" i="4"/>
  <c r="C604" i="4"/>
  <c r="D604" i="4"/>
  <c r="E604" i="4"/>
  <c r="F604" i="4"/>
  <c r="G604" i="4"/>
  <c r="H604" i="4"/>
  <c r="I604" i="4"/>
  <c r="J604" i="4"/>
  <c r="K604" i="4"/>
  <c r="L604" i="4"/>
  <c r="M604" i="4"/>
  <c r="N604" i="4"/>
  <c r="O604" i="4"/>
  <c r="B605" i="4"/>
  <c r="C605" i="4"/>
  <c r="D605" i="4"/>
  <c r="E605" i="4"/>
  <c r="F605" i="4"/>
  <c r="G605" i="4"/>
  <c r="H605" i="4"/>
  <c r="I605" i="4"/>
  <c r="J605" i="4"/>
  <c r="K605" i="4"/>
  <c r="L605" i="4"/>
  <c r="M605" i="4"/>
  <c r="N605" i="4"/>
  <c r="O605" i="4"/>
  <c r="B606" i="4"/>
  <c r="C606" i="4"/>
  <c r="D606" i="4"/>
  <c r="E606" i="4"/>
  <c r="F606" i="4"/>
  <c r="G606" i="4"/>
  <c r="H606" i="4"/>
  <c r="I606" i="4"/>
  <c r="J606" i="4"/>
  <c r="K606" i="4"/>
  <c r="L606" i="4"/>
  <c r="M606" i="4"/>
  <c r="N606" i="4"/>
  <c r="O606" i="4"/>
  <c r="B607" i="4"/>
  <c r="C607" i="4"/>
  <c r="D607" i="4"/>
  <c r="E607" i="4"/>
  <c r="F607" i="4"/>
  <c r="G607" i="4"/>
  <c r="H607" i="4"/>
  <c r="I607" i="4"/>
  <c r="J607" i="4"/>
  <c r="K607" i="4"/>
  <c r="L607" i="4"/>
  <c r="M607" i="4"/>
  <c r="N607" i="4"/>
  <c r="O607" i="4"/>
  <c r="B608" i="4"/>
  <c r="C608" i="4"/>
  <c r="D608" i="4"/>
  <c r="E608" i="4"/>
  <c r="F608" i="4"/>
  <c r="G608" i="4"/>
  <c r="H608" i="4"/>
  <c r="I608" i="4"/>
  <c r="J608" i="4"/>
  <c r="K608" i="4"/>
  <c r="L608" i="4"/>
  <c r="M608" i="4"/>
  <c r="N608" i="4"/>
  <c r="O608" i="4"/>
  <c r="B609" i="4"/>
  <c r="C609" i="4"/>
  <c r="D609" i="4"/>
  <c r="E609" i="4"/>
  <c r="F609" i="4"/>
  <c r="G609" i="4"/>
  <c r="H609" i="4"/>
  <c r="I609" i="4"/>
  <c r="J609" i="4"/>
  <c r="K609" i="4"/>
  <c r="L609" i="4"/>
  <c r="M609" i="4"/>
  <c r="N609" i="4"/>
  <c r="O609" i="4"/>
  <c r="B610" i="4"/>
  <c r="C610" i="4"/>
  <c r="D610" i="4"/>
  <c r="E610" i="4"/>
  <c r="F610" i="4"/>
  <c r="G610" i="4"/>
  <c r="H610" i="4"/>
  <c r="I610" i="4"/>
  <c r="J610" i="4"/>
  <c r="K610" i="4"/>
  <c r="L610" i="4"/>
  <c r="M610" i="4"/>
  <c r="N610" i="4"/>
  <c r="O610" i="4"/>
  <c r="B611" i="4"/>
  <c r="C611" i="4"/>
  <c r="D611" i="4"/>
  <c r="E611" i="4"/>
  <c r="F611" i="4"/>
  <c r="G611" i="4"/>
  <c r="H611" i="4"/>
  <c r="I611" i="4"/>
  <c r="J611" i="4"/>
  <c r="K611" i="4"/>
  <c r="L611" i="4"/>
  <c r="M611" i="4"/>
  <c r="N611" i="4"/>
  <c r="O611" i="4"/>
  <c r="B612" i="4"/>
  <c r="C612" i="4"/>
  <c r="D612" i="4"/>
  <c r="E612" i="4"/>
  <c r="F612" i="4"/>
  <c r="G612" i="4"/>
  <c r="H612" i="4"/>
  <c r="I612" i="4"/>
  <c r="J612" i="4"/>
  <c r="K612" i="4"/>
  <c r="L612" i="4"/>
  <c r="M612" i="4"/>
  <c r="N612" i="4"/>
  <c r="O612" i="4"/>
  <c r="B613" i="4"/>
  <c r="C613" i="4"/>
  <c r="D613" i="4"/>
  <c r="E613" i="4"/>
  <c r="F613" i="4"/>
  <c r="G613" i="4"/>
  <c r="H613" i="4"/>
  <c r="I613" i="4"/>
  <c r="J613" i="4"/>
  <c r="K613" i="4"/>
  <c r="L613" i="4"/>
  <c r="M613" i="4"/>
  <c r="N613" i="4"/>
  <c r="O613" i="4"/>
  <c r="B614" i="4"/>
  <c r="C614" i="4"/>
  <c r="D614" i="4"/>
  <c r="E614" i="4"/>
  <c r="F614" i="4"/>
  <c r="G614" i="4"/>
  <c r="H614" i="4"/>
  <c r="I614" i="4"/>
  <c r="J614" i="4"/>
  <c r="K614" i="4"/>
  <c r="L614" i="4"/>
  <c r="M614" i="4"/>
  <c r="N614" i="4"/>
  <c r="O614" i="4"/>
  <c r="B615" i="4"/>
  <c r="C615" i="4"/>
  <c r="D615" i="4"/>
  <c r="E615" i="4"/>
  <c r="F615" i="4"/>
  <c r="G615" i="4"/>
  <c r="H615" i="4"/>
  <c r="I615" i="4"/>
  <c r="J615" i="4"/>
  <c r="K615" i="4"/>
  <c r="L615" i="4"/>
  <c r="M615" i="4"/>
  <c r="N615" i="4"/>
  <c r="O615" i="4"/>
  <c r="B616" i="4"/>
  <c r="C616" i="4"/>
  <c r="D616" i="4"/>
  <c r="E616" i="4"/>
  <c r="F616" i="4"/>
  <c r="G616" i="4"/>
  <c r="H616" i="4"/>
  <c r="I616" i="4"/>
  <c r="J616" i="4"/>
  <c r="K616" i="4"/>
  <c r="L616" i="4"/>
  <c r="M616" i="4"/>
  <c r="N616" i="4"/>
  <c r="O616" i="4"/>
  <c r="B617" i="4"/>
  <c r="C617" i="4"/>
  <c r="D617" i="4"/>
  <c r="E617" i="4"/>
  <c r="F617" i="4"/>
  <c r="G617" i="4"/>
  <c r="H617" i="4"/>
  <c r="I617" i="4"/>
  <c r="J617" i="4"/>
  <c r="K617" i="4"/>
  <c r="L617" i="4"/>
  <c r="M617" i="4"/>
  <c r="N617" i="4"/>
  <c r="O617" i="4"/>
  <c r="B618" i="4"/>
  <c r="C618" i="4"/>
  <c r="D618" i="4"/>
  <c r="E618" i="4"/>
  <c r="F618" i="4"/>
  <c r="G618" i="4"/>
  <c r="H618" i="4"/>
  <c r="I618" i="4"/>
  <c r="J618" i="4"/>
  <c r="K618" i="4"/>
  <c r="L618" i="4"/>
  <c r="M618" i="4"/>
  <c r="N618" i="4"/>
  <c r="O618" i="4"/>
  <c r="B619" i="4"/>
  <c r="C619" i="4"/>
  <c r="D619" i="4"/>
  <c r="E619" i="4"/>
  <c r="F619" i="4"/>
  <c r="G619" i="4"/>
  <c r="H619" i="4"/>
  <c r="I619" i="4"/>
  <c r="J619" i="4"/>
  <c r="K619" i="4"/>
  <c r="L619" i="4"/>
  <c r="M619" i="4"/>
  <c r="N619" i="4"/>
  <c r="O619" i="4"/>
  <c r="B620" i="4"/>
  <c r="C620" i="4"/>
  <c r="D620" i="4"/>
  <c r="E620" i="4"/>
  <c r="F620" i="4"/>
  <c r="G620" i="4"/>
  <c r="H620" i="4"/>
  <c r="I620" i="4"/>
  <c r="J620" i="4"/>
  <c r="K620" i="4"/>
  <c r="L620" i="4"/>
  <c r="M620" i="4"/>
  <c r="N620" i="4"/>
  <c r="O620" i="4"/>
  <c r="B621" i="4"/>
  <c r="C621" i="4"/>
  <c r="D621" i="4"/>
  <c r="E621" i="4"/>
  <c r="F621" i="4"/>
  <c r="G621" i="4"/>
  <c r="H621" i="4"/>
  <c r="I621" i="4"/>
  <c r="J621" i="4"/>
  <c r="K621" i="4"/>
  <c r="L621" i="4"/>
  <c r="M621" i="4"/>
  <c r="N621" i="4"/>
  <c r="O621" i="4"/>
  <c r="B622" i="4"/>
  <c r="C622" i="4"/>
  <c r="D622" i="4"/>
  <c r="E622" i="4"/>
  <c r="F622" i="4"/>
  <c r="G622" i="4"/>
  <c r="H622" i="4"/>
  <c r="I622" i="4"/>
  <c r="J622" i="4"/>
  <c r="K622" i="4"/>
  <c r="L622" i="4"/>
  <c r="M622" i="4"/>
  <c r="N622" i="4"/>
  <c r="O622" i="4"/>
  <c r="B623" i="4"/>
  <c r="C623" i="4"/>
  <c r="D623" i="4"/>
  <c r="E623" i="4"/>
  <c r="F623" i="4"/>
  <c r="G623" i="4"/>
  <c r="H623" i="4"/>
  <c r="I623" i="4"/>
  <c r="J623" i="4"/>
  <c r="K623" i="4"/>
  <c r="L623" i="4"/>
  <c r="M623" i="4"/>
  <c r="N623" i="4"/>
  <c r="O623" i="4"/>
  <c r="B624" i="4"/>
  <c r="C624" i="4"/>
  <c r="D624" i="4"/>
  <c r="E624" i="4"/>
  <c r="F624" i="4"/>
  <c r="G624" i="4"/>
  <c r="H624" i="4"/>
  <c r="I624" i="4"/>
  <c r="J624" i="4"/>
  <c r="K624" i="4"/>
  <c r="L624" i="4"/>
  <c r="M624" i="4"/>
  <c r="N624" i="4"/>
  <c r="O624" i="4"/>
  <c r="B625" i="4"/>
  <c r="C625" i="4"/>
  <c r="D625" i="4"/>
  <c r="E625" i="4"/>
  <c r="F625" i="4"/>
  <c r="G625" i="4"/>
  <c r="H625" i="4"/>
  <c r="I625" i="4"/>
  <c r="J625" i="4"/>
  <c r="K625" i="4"/>
  <c r="L625" i="4"/>
  <c r="M625" i="4"/>
  <c r="N625" i="4"/>
  <c r="O625" i="4"/>
  <c r="B626" i="4"/>
  <c r="C626" i="4"/>
  <c r="D626" i="4"/>
  <c r="E626" i="4"/>
  <c r="F626" i="4"/>
  <c r="G626" i="4"/>
  <c r="H626" i="4"/>
  <c r="I626" i="4"/>
  <c r="J626" i="4"/>
  <c r="K626" i="4"/>
  <c r="L626" i="4"/>
  <c r="M626" i="4"/>
  <c r="N626" i="4"/>
  <c r="O626" i="4"/>
  <c r="B627" i="4"/>
  <c r="C627" i="4"/>
  <c r="D627" i="4"/>
  <c r="E627" i="4"/>
  <c r="F627" i="4"/>
  <c r="G627" i="4"/>
  <c r="H627" i="4"/>
  <c r="I627" i="4"/>
  <c r="J627" i="4"/>
  <c r="K627" i="4"/>
  <c r="L627" i="4"/>
  <c r="M627" i="4"/>
  <c r="N627" i="4"/>
  <c r="O627" i="4"/>
  <c r="B628" i="4"/>
  <c r="C628" i="4"/>
  <c r="D628" i="4"/>
  <c r="E628" i="4"/>
  <c r="F628" i="4"/>
  <c r="G628" i="4"/>
  <c r="H628" i="4"/>
  <c r="I628" i="4"/>
  <c r="J628" i="4"/>
  <c r="K628" i="4"/>
  <c r="L628" i="4"/>
  <c r="M628" i="4"/>
  <c r="N628" i="4"/>
  <c r="O628" i="4"/>
  <c r="B629" i="4"/>
  <c r="C629" i="4"/>
  <c r="D629" i="4"/>
  <c r="E629" i="4"/>
  <c r="F629" i="4"/>
  <c r="G629" i="4"/>
  <c r="H629" i="4"/>
  <c r="I629" i="4"/>
  <c r="J629" i="4"/>
  <c r="K629" i="4"/>
  <c r="L629" i="4"/>
  <c r="M629" i="4"/>
  <c r="N629" i="4"/>
  <c r="O629" i="4"/>
  <c r="B630" i="4"/>
  <c r="C630" i="4"/>
  <c r="D630" i="4"/>
  <c r="E630" i="4"/>
  <c r="F630" i="4"/>
  <c r="G630" i="4"/>
  <c r="H630" i="4"/>
  <c r="I630" i="4"/>
  <c r="J630" i="4"/>
  <c r="K630" i="4"/>
  <c r="L630" i="4"/>
  <c r="M630" i="4"/>
  <c r="N630" i="4"/>
  <c r="O630" i="4"/>
  <c r="B631" i="4"/>
  <c r="C631" i="4"/>
  <c r="D631" i="4"/>
  <c r="E631" i="4"/>
  <c r="F631" i="4"/>
  <c r="G631" i="4"/>
  <c r="H631" i="4"/>
  <c r="I631" i="4"/>
  <c r="J631" i="4"/>
  <c r="K631" i="4"/>
  <c r="L631" i="4"/>
  <c r="M631" i="4"/>
  <c r="N631" i="4"/>
  <c r="O631" i="4"/>
  <c r="B632" i="4"/>
  <c r="C632" i="4"/>
  <c r="D632" i="4"/>
  <c r="E632" i="4"/>
  <c r="F632" i="4"/>
  <c r="G632" i="4"/>
  <c r="H632" i="4"/>
  <c r="I632" i="4"/>
  <c r="J632" i="4"/>
  <c r="K632" i="4"/>
  <c r="L632" i="4"/>
  <c r="M632" i="4"/>
  <c r="N632" i="4"/>
  <c r="O632" i="4"/>
  <c r="B633" i="4"/>
  <c r="C633" i="4"/>
  <c r="D633" i="4"/>
  <c r="E633" i="4"/>
  <c r="F633" i="4"/>
  <c r="G633" i="4"/>
  <c r="H633" i="4"/>
  <c r="I633" i="4"/>
  <c r="J633" i="4"/>
  <c r="K633" i="4"/>
  <c r="L633" i="4"/>
  <c r="M633" i="4"/>
  <c r="N633" i="4"/>
  <c r="O633" i="4"/>
  <c r="B634" i="4"/>
  <c r="C634" i="4"/>
  <c r="D634" i="4"/>
  <c r="E634" i="4"/>
  <c r="F634" i="4"/>
  <c r="G634" i="4"/>
  <c r="H634" i="4"/>
  <c r="I634" i="4"/>
  <c r="J634" i="4"/>
  <c r="K634" i="4"/>
  <c r="L634" i="4"/>
  <c r="M634" i="4"/>
  <c r="N634" i="4"/>
  <c r="O634" i="4"/>
  <c r="B635" i="4"/>
  <c r="C635" i="4"/>
  <c r="D635" i="4"/>
  <c r="E635" i="4"/>
  <c r="F635" i="4"/>
  <c r="G635" i="4"/>
  <c r="H635" i="4"/>
  <c r="I635" i="4"/>
  <c r="J635" i="4"/>
  <c r="K635" i="4"/>
  <c r="L635" i="4"/>
  <c r="M635" i="4"/>
  <c r="N635" i="4"/>
  <c r="O635" i="4"/>
  <c r="B636" i="4"/>
  <c r="C636" i="4"/>
  <c r="D636" i="4"/>
  <c r="E636" i="4"/>
  <c r="F636" i="4"/>
  <c r="G636" i="4"/>
  <c r="H636" i="4"/>
  <c r="I636" i="4"/>
  <c r="J636" i="4"/>
  <c r="K636" i="4"/>
  <c r="L636" i="4"/>
  <c r="M636" i="4"/>
  <c r="N636" i="4"/>
  <c r="O636" i="4"/>
  <c r="B637" i="4"/>
  <c r="C637" i="4"/>
  <c r="D637" i="4"/>
  <c r="E637" i="4"/>
  <c r="F637" i="4"/>
  <c r="G637" i="4"/>
  <c r="H637" i="4"/>
  <c r="I637" i="4"/>
  <c r="J637" i="4"/>
  <c r="K637" i="4"/>
  <c r="L637" i="4"/>
  <c r="M637" i="4"/>
  <c r="N637" i="4"/>
  <c r="O637" i="4"/>
  <c r="B638" i="4"/>
  <c r="C638" i="4"/>
  <c r="D638" i="4"/>
  <c r="E638" i="4"/>
  <c r="F638" i="4"/>
  <c r="G638" i="4"/>
  <c r="H638" i="4"/>
  <c r="I638" i="4"/>
  <c r="J638" i="4"/>
  <c r="K638" i="4"/>
  <c r="L638" i="4"/>
  <c r="M638" i="4"/>
  <c r="N638" i="4"/>
  <c r="O638" i="4"/>
  <c r="B639" i="4"/>
  <c r="C639" i="4"/>
  <c r="D639" i="4"/>
  <c r="E639" i="4"/>
  <c r="F639" i="4"/>
  <c r="G639" i="4"/>
  <c r="H639" i="4"/>
  <c r="I639" i="4"/>
  <c r="J639" i="4"/>
  <c r="K639" i="4"/>
  <c r="L639" i="4"/>
  <c r="M639" i="4"/>
  <c r="N639" i="4"/>
  <c r="O639" i="4"/>
  <c r="B640" i="4"/>
  <c r="C640" i="4"/>
  <c r="D640" i="4"/>
  <c r="E640" i="4"/>
  <c r="F640" i="4"/>
  <c r="G640" i="4"/>
  <c r="H640" i="4"/>
  <c r="I640" i="4"/>
  <c r="J640" i="4"/>
  <c r="K640" i="4"/>
  <c r="L640" i="4"/>
  <c r="M640" i="4"/>
  <c r="N640" i="4"/>
  <c r="O640" i="4"/>
  <c r="B641" i="4"/>
  <c r="C641" i="4"/>
  <c r="D641" i="4"/>
  <c r="E641" i="4"/>
  <c r="F641" i="4"/>
  <c r="G641" i="4"/>
  <c r="H641" i="4"/>
  <c r="I641" i="4"/>
  <c r="J641" i="4"/>
  <c r="K641" i="4"/>
  <c r="L641" i="4"/>
  <c r="M641" i="4"/>
  <c r="N641" i="4"/>
  <c r="O641" i="4"/>
  <c r="B642" i="4"/>
  <c r="C642" i="4"/>
  <c r="D642" i="4"/>
  <c r="E642" i="4"/>
  <c r="F642" i="4"/>
  <c r="G642" i="4"/>
  <c r="H642" i="4"/>
  <c r="I642" i="4"/>
  <c r="J642" i="4"/>
  <c r="K642" i="4"/>
  <c r="L642" i="4"/>
  <c r="M642" i="4"/>
  <c r="N642" i="4"/>
  <c r="O642" i="4"/>
  <c r="B643" i="4"/>
  <c r="C643" i="4"/>
  <c r="D643" i="4"/>
  <c r="E643" i="4"/>
  <c r="F643" i="4"/>
  <c r="G643" i="4"/>
  <c r="H643" i="4"/>
  <c r="I643" i="4"/>
  <c r="J643" i="4"/>
  <c r="K643" i="4"/>
  <c r="L643" i="4"/>
  <c r="M643" i="4"/>
  <c r="N643" i="4"/>
  <c r="O643" i="4"/>
  <c r="B644" i="4"/>
  <c r="C644" i="4"/>
  <c r="D644" i="4"/>
  <c r="E644" i="4"/>
  <c r="F644" i="4"/>
  <c r="G644" i="4"/>
  <c r="H644" i="4"/>
  <c r="I644" i="4"/>
  <c r="J644" i="4"/>
  <c r="K644" i="4"/>
  <c r="L644" i="4"/>
  <c r="M644" i="4"/>
  <c r="N644" i="4"/>
  <c r="O644" i="4"/>
  <c r="B645" i="4"/>
  <c r="C645" i="4"/>
  <c r="D645" i="4"/>
  <c r="E645" i="4"/>
  <c r="F645" i="4"/>
  <c r="G645" i="4"/>
  <c r="H645" i="4"/>
  <c r="I645" i="4"/>
  <c r="J645" i="4"/>
  <c r="K645" i="4"/>
  <c r="L645" i="4"/>
  <c r="M645" i="4"/>
  <c r="N645" i="4"/>
  <c r="O645" i="4"/>
  <c r="B646" i="4"/>
  <c r="C646" i="4"/>
  <c r="D646" i="4"/>
  <c r="E646" i="4"/>
  <c r="F646" i="4"/>
  <c r="G646" i="4"/>
  <c r="H646" i="4"/>
  <c r="I646" i="4"/>
  <c r="J646" i="4"/>
  <c r="K646" i="4"/>
  <c r="L646" i="4"/>
  <c r="M646" i="4"/>
  <c r="N646" i="4"/>
  <c r="O646" i="4"/>
  <c r="B647" i="4"/>
  <c r="C647" i="4"/>
  <c r="D647" i="4"/>
  <c r="E647" i="4"/>
  <c r="F647" i="4"/>
  <c r="G647" i="4"/>
  <c r="H647" i="4"/>
  <c r="I647" i="4"/>
  <c r="J647" i="4"/>
  <c r="K647" i="4"/>
  <c r="L647" i="4"/>
  <c r="M647" i="4"/>
  <c r="N647" i="4"/>
  <c r="O647" i="4"/>
  <c r="B648" i="4"/>
  <c r="C648" i="4"/>
  <c r="D648" i="4"/>
  <c r="E648" i="4"/>
  <c r="F648" i="4"/>
  <c r="G648" i="4"/>
  <c r="H648" i="4"/>
  <c r="I648" i="4"/>
  <c r="J648" i="4"/>
  <c r="K648" i="4"/>
  <c r="L648" i="4"/>
  <c r="M648" i="4"/>
  <c r="N648" i="4"/>
  <c r="O648" i="4"/>
  <c r="B649" i="4"/>
  <c r="C649" i="4"/>
  <c r="D649" i="4"/>
  <c r="E649" i="4"/>
  <c r="F649" i="4"/>
  <c r="G649" i="4"/>
  <c r="H649" i="4"/>
  <c r="I649" i="4"/>
  <c r="J649" i="4"/>
  <c r="K649" i="4"/>
  <c r="L649" i="4"/>
  <c r="M649" i="4"/>
  <c r="N649" i="4"/>
  <c r="O649" i="4"/>
  <c r="B650" i="4"/>
  <c r="C650" i="4"/>
  <c r="D650" i="4"/>
  <c r="E650" i="4"/>
  <c r="F650" i="4"/>
  <c r="G650" i="4"/>
  <c r="H650" i="4"/>
  <c r="I650" i="4"/>
  <c r="J650" i="4"/>
  <c r="K650" i="4"/>
  <c r="L650" i="4"/>
  <c r="M650" i="4"/>
  <c r="N650" i="4"/>
  <c r="O650" i="4"/>
  <c r="B651" i="4"/>
  <c r="C651" i="4"/>
  <c r="D651" i="4"/>
  <c r="E651" i="4"/>
  <c r="F651" i="4"/>
  <c r="G651" i="4"/>
  <c r="H651" i="4"/>
  <c r="I651" i="4"/>
  <c r="J651" i="4"/>
  <c r="K651" i="4"/>
  <c r="L651" i="4"/>
  <c r="M651" i="4"/>
  <c r="N651" i="4"/>
  <c r="O651" i="4"/>
  <c r="B652" i="4"/>
  <c r="C652" i="4"/>
  <c r="D652" i="4"/>
  <c r="E652" i="4"/>
  <c r="F652" i="4"/>
  <c r="G652" i="4"/>
  <c r="H652" i="4"/>
  <c r="I652" i="4"/>
  <c r="J652" i="4"/>
  <c r="K652" i="4"/>
  <c r="L652" i="4"/>
  <c r="M652" i="4"/>
  <c r="N652" i="4"/>
  <c r="O652" i="4"/>
  <c r="B653" i="4"/>
  <c r="C653" i="4"/>
  <c r="D653" i="4"/>
  <c r="E653" i="4"/>
  <c r="F653" i="4"/>
  <c r="G653" i="4"/>
  <c r="H653" i="4"/>
  <c r="I653" i="4"/>
  <c r="J653" i="4"/>
  <c r="K653" i="4"/>
  <c r="L653" i="4"/>
  <c r="M653" i="4"/>
  <c r="N653" i="4"/>
  <c r="O653" i="4"/>
  <c r="B654" i="4"/>
  <c r="C654" i="4"/>
  <c r="D654" i="4"/>
  <c r="E654" i="4"/>
  <c r="F654" i="4"/>
  <c r="G654" i="4"/>
  <c r="H654" i="4"/>
  <c r="I654" i="4"/>
  <c r="J654" i="4"/>
  <c r="K654" i="4"/>
  <c r="L654" i="4"/>
  <c r="M654" i="4"/>
  <c r="N654" i="4"/>
  <c r="O654" i="4"/>
  <c r="B655" i="4"/>
  <c r="C655" i="4"/>
  <c r="D655" i="4"/>
  <c r="E655" i="4"/>
  <c r="F655" i="4"/>
  <c r="G655" i="4"/>
  <c r="H655" i="4"/>
  <c r="I655" i="4"/>
  <c r="J655" i="4"/>
  <c r="K655" i="4"/>
  <c r="L655" i="4"/>
  <c r="M655" i="4"/>
  <c r="N655" i="4"/>
  <c r="O655" i="4"/>
  <c r="B656" i="4"/>
  <c r="C656" i="4"/>
  <c r="D656" i="4"/>
  <c r="E656" i="4"/>
  <c r="F656" i="4"/>
  <c r="G656" i="4"/>
  <c r="H656" i="4"/>
  <c r="I656" i="4"/>
  <c r="J656" i="4"/>
  <c r="K656" i="4"/>
  <c r="L656" i="4"/>
  <c r="M656" i="4"/>
  <c r="N656" i="4"/>
  <c r="O656" i="4"/>
  <c r="B657" i="4"/>
  <c r="C657" i="4"/>
  <c r="D657" i="4"/>
  <c r="E657" i="4"/>
  <c r="F657" i="4"/>
  <c r="G657" i="4"/>
  <c r="H657" i="4"/>
  <c r="I657" i="4"/>
  <c r="J657" i="4"/>
  <c r="K657" i="4"/>
  <c r="L657" i="4"/>
  <c r="M657" i="4"/>
  <c r="N657" i="4"/>
  <c r="O657" i="4"/>
  <c r="B658" i="4"/>
  <c r="C658" i="4"/>
  <c r="D658" i="4"/>
  <c r="E658" i="4"/>
  <c r="F658" i="4"/>
  <c r="G658" i="4"/>
  <c r="H658" i="4"/>
  <c r="I658" i="4"/>
  <c r="J658" i="4"/>
  <c r="K658" i="4"/>
  <c r="L658" i="4"/>
  <c r="M658" i="4"/>
  <c r="N658" i="4"/>
  <c r="O658" i="4"/>
  <c r="B659" i="4"/>
  <c r="C659" i="4"/>
  <c r="D659" i="4"/>
  <c r="E659" i="4"/>
  <c r="F659" i="4"/>
  <c r="G659" i="4"/>
  <c r="H659" i="4"/>
  <c r="I659" i="4"/>
  <c r="J659" i="4"/>
  <c r="K659" i="4"/>
  <c r="L659" i="4"/>
  <c r="M659" i="4"/>
  <c r="N659" i="4"/>
  <c r="O659" i="4"/>
  <c r="B660" i="4"/>
  <c r="C660" i="4"/>
  <c r="D660" i="4"/>
  <c r="E660" i="4"/>
  <c r="F660" i="4"/>
  <c r="G660" i="4"/>
  <c r="H660" i="4"/>
  <c r="I660" i="4"/>
  <c r="J660" i="4"/>
  <c r="K660" i="4"/>
  <c r="L660" i="4"/>
  <c r="M660" i="4"/>
  <c r="N660" i="4"/>
  <c r="O660" i="4"/>
  <c r="B661" i="4"/>
  <c r="C661" i="4"/>
  <c r="D661" i="4"/>
  <c r="E661" i="4"/>
  <c r="F661" i="4"/>
  <c r="G661" i="4"/>
  <c r="H661" i="4"/>
  <c r="I661" i="4"/>
  <c r="J661" i="4"/>
  <c r="K661" i="4"/>
  <c r="L661" i="4"/>
  <c r="M661" i="4"/>
  <c r="N661" i="4"/>
  <c r="O661" i="4"/>
  <c r="B662" i="4"/>
  <c r="C662" i="4"/>
  <c r="D662" i="4"/>
  <c r="E662" i="4"/>
  <c r="F662" i="4"/>
  <c r="G662" i="4"/>
  <c r="H662" i="4"/>
  <c r="I662" i="4"/>
  <c r="J662" i="4"/>
  <c r="K662" i="4"/>
  <c r="L662" i="4"/>
  <c r="M662" i="4"/>
  <c r="N662" i="4"/>
  <c r="O662" i="4"/>
  <c r="B663" i="4"/>
  <c r="C663" i="4"/>
  <c r="D663" i="4"/>
  <c r="E663" i="4"/>
  <c r="F663" i="4"/>
  <c r="G663" i="4"/>
  <c r="H663" i="4"/>
  <c r="I663" i="4"/>
  <c r="J663" i="4"/>
  <c r="K663" i="4"/>
  <c r="L663" i="4"/>
  <c r="M663" i="4"/>
  <c r="N663" i="4"/>
  <c r="O663" i="4"/>
  <c r="B664" i="4"/>
  <c r="C664" i="4"/>
  <c r="D664" i="4"/>
  <c r="E664" i="4"/>
  <c r="F664" i="4"/>
  <c r="G664" i="4"/>
  <c r="H664" i="4"/>
  <c r="I664" i="4"/>
  <c r="J664" i="4"/>
  <c r="K664" i="4"/>
  <c r="L664" i="4"/>
  <c r="M664" i="4"/>
  <c r="N664" i="4"/>
  <c r="O664" i="4"/>
  <c r="B665" i="4"/>
  <c r="C665" i="4"/>
  <c r="D665" i="4"/>
  <c r="E665" i="4"/>
  <c r="F665" i="4"/>
  <c r="G665" i="4"/>
  <c r="H665" i="4"/>
  <c r="I665" i="4"/>
  <c r="J665" i="4"/>
  <c r="K665" i="4"/>
  <c r="L665" i="4"/>
  <c r="M665" i="4"/>
  <c r="N665" i="4"/>
  <c r="O665" i="4"/>
  <c r="B666" i="4"/>
  <c r="C666" i="4"/>
  <c r="D666" i="4"/>
  <c r="E666" i="4"/>
  <c r="F666" i="4"/>
  <c r="G666" i="4"/>
  <c r="H666" i="4"/>
  <c r="I666" i="4"/>
  <c r="J666" i="4"/>
  <c r="K666" i="4"/>
  <c r="L666" i="4"/>
  <c r="M666" i="4"/>
  <c r="N666" i="4"/>
  <c r="O666" i="4"/>
  <c r="B667" i="4"/>
  <c r="C667" i="4"/>
  <c r="D667" i="4"/>
  <c r="E667" i="4"/>
  <c r="F667" i="4"/>
  <c r="G667" i="4"/>
  <c r="H667" i="4"/>
  <c r="I667" i="4"/>
  <c r="J667" i="4"/>
  <c r="K667" i="4"/>
  <c r="L667" i="4"/>
  <c r="M667" i="4"/>
  <c r="N667" i="4"/>
  <c r="O667" i="4"/>
  <c r="B668" i="4"/>
  <c r="C668" i="4"/>
  <c r="D668" i="4"/>
  <c r="E668" i="4"/>
  <c r="F668" i="4"/>
  <c r="G668" i="4"/>
  <c r="H668" i="4"/>
  <c r="I668" i="4"/>
  <c r="J668" i="4"/>
  <c r="K668" i="4"/>
  <c r="L668" i="4"/>
  <c r="M668" i="4"/>
  <c r="N668" i="4"/>
  <c r="O668" i="4"/>
  <c r="B669" i="4"/>
  <c r="C669" i="4"/>
  <c r="D669" i="4"/>
  <c r="E669" i="4"/>
  <c r="F669" i="4"/>
  <c r="G669" i="4"/>
  <c r="H669" i="4"/>
  <c r="I669" i="4"/>
  <c r="J669" i="4"/>
  <c r="K669" i="4"/>
  <c r="L669" i="4"/>
  <c r="M669" i="4"/>
  <c r="N669" i="4"/>
  <c r="O669" i="4"/>
  <c r="B670" i="4"/>
  <c r="C670" i="4"/>
  <c r="D670" i="4"/>
  <c r="E670" i="4"/>
  <c r="F670" i="4"/>
  <c r="G670" i="4"/>
  <c r="H670" i="4"/>
  <c r="I670" i="4"/>
  <c r="J670" i="4"/>
  <c r="K670" i="4"/>
  <c r="L670" i="4"/>
  <c r="M670" i="4"/>
  <c r="N670" i="4"/>
  <c r="O670" i="4"/>
  <c r="B671" i="4"/>
  <c r="C671" i="4"/>
  <c r="D671" i="4"/>
  <c r="E671" i="4"/>
  <c r="F671" i="4"/>
  <c r="G671" i="4"/>
  <c r="H671" i="4"/>
  <c r="I671" i="4"/>
  <c r="J671" i="4"/>
  <c r="K671" i="4"/>
  <c r="L671" i="4"/>
  <c r="M671" i="4"/>
  <c r="N671" i="4"/>
  <c r="O671" i="4"/>
  <c r="B672" i="4"/>
  <c r="C672" i="4"/>
  <c r="D672" i="4"/>
  <c r="E672" i="4"/>
  <c r="F672" i="4"/>
  <c r="G672" i="4"/>
  <c r="H672" i="4"/>
  <c r="I672" i="4"/>
  <c r="J672" i="4"/>
  <c r="K672" i="4"/>
  <c r="L672" i="4"/>
  <c r="M672" i="4"/>
  <c r="N672" i="4"/>
  <c r="O672" i="4"/>
  <c r="B673" i="4"/>
  <c r="C673" i="4"/>
  <c r="D673" i="4"/>
  <c r="E673" i="4"/>
  <c r="F673" i="4"/>
  <c r="G673" i="4"/>
  <c r="H673" i="4"/>
  <c r="I673" i="4"/>
  <c r="J673" i="4"/>
  <c r="K673" i="4"/>
  <c r="L673" i="4"/>
  <c r="M673" i="4"/>
  <c r="N673" i="4"/>
  <c r="O673" i="4"/>
  <c r="B674" i="4"/>
  <c r="C674" i="4"/>
  <c r="D674" i="4"/>
  <c r="E674" i="4"/>
  <c r="F674" i="4"/>
  <c r="G674" i="4"/>
  <c r="H674" i="4"/>
  <c r="I674" i="4"/>
  <c r="J674" i="4"/>
  <c r="K674" i="4"/>
  <c r="L674" i="4"/>
  <c r="M674" i="4"/>
  <c r="N674" i="4"/>
  <c r="O674" i="4"/>
  <c r="B675" i="4"/>
  <c r="C675" i="4"/>
  <c r="D675" i="4"/>
  <c r="E675" i="4"/>
  <c r="F675" i="4"/>
  <c r="G675" i="4"/>
  <c r="H675" i="4"/>
  <c r="I675" i="4"/>
  <c r="J675" i="4"/>
  <c r="K675" i="4"/>
  <c r="L675" i="4"/>
  <c r="M675" i="4"/>
  <c r="N675" i="4"/>
  <c r="O675" i="4"/>
  <c r="B676" i="4"/>
  <c r="C676" i="4"/>
  <c r="D676" i="4"/>
  <c r="E676" i="4"/>
  <c r="F676" i="4"/>
  <c r="G676" i="4"/>
  <c r="H676" i="4"/>
  <c r="I676" i="4"/>
  <c r="J676" i="4"/>
  <c r="K676" i="4"/>
  <c r="L676" i="4"/>
  <c r="M676" i="4"/>
  <c r="N676" i="4"/>
  <c r="O676" i="4"/>
  <c r="B677" i="4"/>
  <c r="C677" i="4"/>
  <c r="D677" i="4"/>
  <c r="E677" i="4"/>
  <c r="F677" i="4"/>
  <c r="G677" i="4"/>
  <c r="H677" i="4"/>
  <c r="I677" i="4"/>
  <c r="J677" i="4"/>
  <c r="K677" i="4"/>
  <c r="L677" i="4"/>
  <c r="M677" i="4"/>
  <c r="N677" i="4"/>
  <c r="O677" i="4"/>
  <c r="B678" i="4"/>
  <c r="C678" i="4"/>
  <c r="D678" i="4"/>
  <c r="E678" i="4"/>
  <c r="F678" i="4"/>
  <c r="G678" i="4"/>
  <c r="H678" i="4"/>
  <c r="I678" i="4"/>
  <c r="J678" i="4"/>
  <c r="K678" i="4"/>
  <c r="L678" i="4"/>
  <c r="M678" i="4"/>
  <c r="N678" i="4"/>
  <c r="O678" i="4"/>
  <c r="B679" i="4"/>
  <c r="C679" i="4"/>
  <c r="D679" i="4"/>
  <c r="E679" i="4"/>
  <c r="F679" i="4"/>
  <c r="G679" i="4"/>
  <c r="H679" i="4"/>
  <c r="I679" i="4"/>
  <c r="J679" i="4"/>
  <c r="K679" i="4"/>
  <c r="L679" i="4"/>
  <c r="M679" i="4"/>
  <c r="N679" i="4"/>
  <c r="O679" i="4"/>
  <c r="B680" i="4"/>
  <c r="C680" i="4"/>
  <c r="D680" i="4"/>
  <c r="E680" i="4"/>
  <c r="F680" i="4"/>
  <c r="G680" i="4"/>
  <c r="H680" i="4"/>
  <c r="I680" i="4"/>
  <c r="J680" i="4"/>
  <c r="K680" i="4"/>
  <c r="L680" i="4"/>
  <c r="M680" i="4"/>
  <c r="N680" i="4"/>
  <c r="O680" i="4"/>
  <c r="B681" i="4"/>
  <c r="C681" i="4"/>
  <c r="D681" i="4"/>
  <c r="E681" i="4"/>
  <c r="F681" i="4"/>
  <c r="G681" i="4"/>
  <c r="H681" i="4"/>
  <c r="I681" i="4"/>
  <c r="J681" i="4"/>
  <c r="K681" i="4"/>
  <c r="L681" i="4"/>
  <c r="M681" i="4"/>
  <c r="N681" i="4"/>
  <c r="O681" i="4"/>
  <c r="B682" i="4"/>
  <c r="C682" i="4"/>
  <c r="D682" i="4"/>
  <c r="E682" i="4"/>
  <c r="F682" i="4"/>
  <c r="G682" i="4"/>
  <c r="H682" i="4"/>
  <c r="I682" i="4"/>
  <c r="J682" i="4"/>
  <c r="K682" i="4"/>
  <c r="L682" i="4"/>
  <c r="M682" i="4"/>
  <c r="N682" i="4"/>
  <c r="O682" i="4"/>
  <c r="B683" i="4"/>
  <c r="C683" i="4"/>
  <c r="D683" i="4"/>
  <c r="E683" i="4"/>
  <c r="F683" i="4"/>
  <c r="G683" i="4"/>
  <c r="H683" i="4"/>
  <c r="I683" i="4"/>
  <c r="J683" i="4"/>
  <c r="K683" i="4"/>
  <c r="L683" i="4"/>
  <c r="M683" i="4"/>
  <c r="N683" i="4"/>
  <c r="O683" i="4"/>
  <c r="B684" i="4"/>
  <c r="C684" i="4"/>
  <c r="D684" i="4"/>
  <c r="E684" i="4"/>
  <c r="F684" i="4"/>
  <c r="G684" i="4"/>
  <c r="H684" i="4"/>
  <c r="I684" i="4"/>
  <c r="J684" i="4"/>
  <c r="K684" i="4"/>
  <c r="L684" i="4"/>
  <c r="M684" i="4"/>
  <c r="N684" i="4"/>
  <c r="O684" i="4"/>
  <c r="B685" i="4"/>
  <c r="C685" i="4"/>
  <c r="D685" i="4"/>
  <c r="E685" i="4"/>
  <c r="F685" i="4"/>
  <c r="G685" i="4"/>
  <c r="H685" i="4"/>
  <c r="I685" i="4"/>
  <c r="J685" i="4"/>
  <c r="K685" i="4"/>
  <c r="L685" i="4"/>
  <c r="M685" i="4"/>
  <c r="N685" i="4"/>
  <c r="O685" i="4"/>
  <c r="B686" i="4"/>
  <c r="C686" i="4"/>
  <c r="D686" i="4"/>
  <c r="E686" i="4"/>
  <c r="F686" i="4"/>
  <c r="G686" i="4"/>
  <c r="H686" i="4"/>
  <c r="I686" i="4"/>
  <c r="J686" i="4"/>
  <c r="K686" i="4"/>
  <c r="L686" i="4"/>
  <c r="M686" i="4"/>
  <c r="N686" i="4"/>
  <c r="O686" i="4"/>
  <c r="B687" i="4"/>
  <c r="C687" i="4"/>
  <c r="D687" i="4"/>
  <c r="E687" i="4"/>
  <c r="F687" i="4"/>
  <c r="G687" i="4"/>
  <c r="H687" i="4"/>
  <c r="I687" i="4"/>
  <c r="J687" i="4"/>
  <c r="K687" i="4"/>
  <c r="L687" i="4"/>
  <c r="M687" i="4"/>
  <c r="N687" i="4"/>
  <c r="O687" i="4"/>
  <c r="B688" i="4"/>
  <c r="C688" i="4"/>
  <c r="D688" i="4"/>
  <c r="E688" i="4"/>
  <c r="F688" i="4"/>
  <c r="G688" i="4"/>
  <c r="H688" i="4"/>
  <c r="I688" i="4"/>
  <c r="J688" i="4"/>
  <c r="K688" i="4"/>
  <c r="L688" i="4"/>
  <c r="M688" i="4"/>
  <c r="N688" i="4"/>
  <c r="O688" i="4"/>
  <c r="B689" i="4"/>
  <c r="C689" i="4"/>
  <c r="D689" i="4"/>
  <c r="E689" i="4"/>
  <c r="F689" i="4"/>
  <c r="G689" i="4"/>
  <c r="H689" i="4"/>
  <c r="I689" i="4"/>
  <c r="J689" i="4"/>
  <c r="K689" i="4"/>
  <c r="L689" i="4"/>
  <c r="M689" i="4"/>
  <c r="N689" i="4"/>
  <c r="O689" i="4"/>
  <c r="B690" i="4"/>
  <c r="C690" i="4"/>
  <c r="D690" i="4"/>
  <c r="E690" i="4"/>
  <c r="F690" i="4"/>
  <c r="G690" i="4"/>
  <c r="H690" i="4"/>
  <c r="I690" i="4"/>
  <c r="J690" i="4"/>
  <c r="K690" i="4"/>
  <c r="L690" i="4"/>
  <c r="M690" i="4"/>
  <c r="N690" i="4"/>
  <c r="O690" i="4"/>
  <c r="B691" i="4"/>
  <c r="C691" i="4"/>
  <c r="D691" i="4"/>
  <c r="E691" i="4"/>
  <c r="F691" i="4"/>
  <c r="G691" i="4"/>
  <c r="H691" i="4"/>
  <c r="I691" i="4"/>
  <c r="J691" i="4"/>
  <c r="K691" i="4"/>
  <c r="L691" i="4"/>
  <c r="M691" i="4"/>
  <c r="N691" i="4"/>
  <c r="O691" i="4"/>
  <c r="B692" i="4"/>
  <c r="C692" i="4"/>
  <c r="D692" i="4"/>
  <c r="E692" i="4"/>
  <c r="F692" i="4"/>
  <c r="G692" i="4"/>
  <c r="H692" i="4"/>
  <c r="I692" i="4"/>
  <c r="J692" i="4"/>
  <c r="K692" i="4"/>
  <c r="L692" i="4"/>
  <c r="M692" i="4"/>
  <c r="N692" i="4"/>
  <c r="N1115" i="4" s="1"/>
  <c r="O692" i="4"/>
  <c r="B693" i="4"/>
  <c r="C693" i="4"/>
  <c r="D693" i="4"/>
  <c r="E693" i="4"/>
  <c r="F693" i="4"/>
  <c r="G693" i="4"/>
  <c r="H693" i="4"/>
  <c r="I693" i="4"/>
  <c r="J693" i="4"/>
  <c r="K693" i="4"/>
  <c r="L693" i="4"/>
  <c r="M693" i="4"/>
  <c r="N693" i="4"/>
  <c r="O693" i="4"/>
  <c r="B694" i="4"/>
  <c r="C694" i="4"/>
  <c r="D694" i="4"/>
  <c r="E694" i="4"/>
  <c r="F694" i="4"/>
  <c r="G694" i="4"/>
  <c r="H694" i="4"/>
  <c r="I694" i="4"/>
  <c r="J694" i="4"/>
  <c r="K694" i="4"/>
  <c r="L694" i="4"/>
  <c r="M694" i="4"/>
  <c r="N694" i="4"/>
  <c r="O694" i="4"/>
  <c r="B695" i="4"/>
  <c r="C695" i="4"/>
  <c r="D695" i="4"/>
  <c r="E695" i="4"/>
  <c r="F695" i="4"/>
  <c r="G695" i="4"/>
  <c r="H695" i="4"/>
  <c r="I695" i="4"/>
  <c r="J695" i="4"/>
  <c r="K695" i="4"/>
  <c r="L695" i="4"/>
  <c r="M695" i="4"/>
  <c r="N695" i="4"/>
  <c r="O695" i="4"/>
  <c r="B696" i="4"/>
  <c r="C696" i="4"/>
  <c r="D696" i="4"/>
  <c r="E696" i="4"/>
  <c r="F696" i="4"/>
  <c r="G696" i="4"/>
  <c r="H696" i="4"/>
  <c r="I696" i="4"/>
  <c r="J696" i="4"/>
  <c r="K696" i="4"/>
  <c r="L696" i="4"/>
  <c r="M696" i="4"/>
  <c r="N696" i="4"/>
  <c r="O696" i="4"/>
  <c r="B697" i="4"/>
  <c r="C697" i="4"/>
  <c r="D697" i="4"/>
  <c r="E697" i="4"/>
  <c r="F697" i="4"/>
  <c r="G697" i="4"/>
  <c r="H697" i="4"/>
  <c r="I697" i="4"/>
  <c r="J697" i="4"/>
  <c r="K697" i="4"/>
  <c r="L697" i="4"/>
  <c r="M697" i="4"/>
  <c r="N697" i="4"/>
  <c r="O697" i="4"/>
  <c r="B698" i="4"/>
  <c r="C698" i="4"/>
  <c r="D698" i="4"/>
  <c r="E698" i="4"/>
  <c r="F698" i="4"/>
  <c r="G698" i="4"/>
  <c r="H698" i="4"/>
  <c r="I698" i="4"/>
  <c r="J698" i="4"/>
  <c r="K698" i="4"/>
  <c r="L698" i="4"/>
  <c r="M698" i="4"/>
  <c r="N698" i="4"/>
  <c r="O698" i="4"/>
  <c r="B699" i="4"/>
  <c r="C699" i="4"/>
  <c r="D699" i="4"/>
  <c r="E699" i="4"/>
  <c r="F699" i="4"/>
  <c r="G699" i="4"/>
  <c r="H699" i="4"/>
  <c r="I699" i="4"/>
  <c r="J699" i="4"/>
  <c r="K699" i="4"/>
  <c r="L699" i="4"/>
  <c r="M699" i="4"/>
  <c r="N699" i="4"/>
  <c r="O699" i="4"/>
  <c r="B700" i="4"/>
  <c r="C700" i="4"/>
  <c r="D700" i="4"/>
  <c r="E700" i="4"/>
  <c r="F700" i="4"/>
  <c r="G700" i="4"/>
  <c r="H700" i="4"/>
  <c r="I700" i="4"/>
  <c r="J700" i="4"/>
  <c r="K700" i="4"/>
  <c r="L700" i="4"/>
  <c r="M700" i="4"/>
  <c r="N700" i="4"/>
  <c r="O700" i="4"/>
  <c r="B701" i="4"/>
  <c r="C701" i="4"/>
  <c r="D701" i="4"/>
  <c r="E701" i="4"/>
  <c r="F701" i="4"/>
  <c r="G701" i="4"/>
  <c r="H701" i="4"/>
  <c r="I701" i="4"/>
  <c r="J701" i="4"/>
  <c r="K701" i="4"/>
  <c r="L701" i="4"/>
  <c r="M701" i="4"/>
  <c r="N701" i="4"/>
  <c r="O701" i="4"/>
  <c r="B702" i="4"/>
  <c r="C702" i="4"/>
  <c r="D702" i="4"/>
  <c r="E702" i="4"/>
  <c r="F702" i="4"/>
  <c r="G702" i="4"/>
  <c r="H702" i="4"/>
  <c r="I702" i="4"/>
  <c r="J702" i="4"/>
  <c r="K702" i="4"/>
  <c r="L702" i="4"/>
  <c r="M702" i="4"/>
  <c r="N702" i="4"/>
  <c r="O702" i="4"/>
  <c r="B703" i="4"/>
  <c r="C703" i="4"/>
  <c r="D703" i="4"/>
  <c r="E703" i="4"/>
  <c r="F703" i="4"/>
  <c r="G703" i="4"/>
  <c r="H703" i="4"/>
  <c r="I703" i="4"/>
  <c r="J703" i="4"/>
  <c r="K703" i="4"/>
  <c r="L703" i="4"/>
  <c r="M703" i="4"/>
  <c r="N703" i="4"/>
  <c r="O703" i="4"/>
  <c r="B704" i="4"/>
  <c r="C704" i="4"/>
  <c r="D704" i="4"/>
  <c r="E704" i="4"/>
  <c r="F704" i="4"/>
  <c r="G704" i="4"/>
  <c r="H704" i="4"/>
  <c r="I704" i="4"/>
  <c r="J704" i="4"/>
  <c r="K704" i="4"/>
  <c r="L704" i="4"/>
  <c r="M704" i="4"/>
  <c r="N704" i="4"/>
  <c r="O704" i="4"/>
  <c r="B705" i="4"/>
  <c r="C705" i="4"/>
  <c r="D705" i="4"/>
  <c r="E705" i="4"/>
  <c r="F705" i="4"/>
  <c r="G705" i="4"/>
  <c r="H705" i="4"/>
  <c r="I705" i="4"/>
  <c r="J705" i="4"/>
  <c r="K705" i="4"/>
  <c r="L705" i="4"/>
  <c r="M705" i="4"/>
  <c r="N705" i="4"/>
  <c r="O705" i="4"/>
  <c r="B706" i="4"/>
  <c r="C706" i="4"/>
  <c r="D706" i="4"/>
  <c r="E706" i="4"/>
  <c r="F706" i="4"/>
  <c r="G706" i="4"/>
  <c r="H706" i="4"/>
  <c r="I706" i="4"/>
  <c r="J706" i="4"/>
  <c r="K706" i="4"/>
  <c r="L706" i="4"/>
  <c r="M706" i="4"/>
  <c r="N706" i="4"/>
  <c r="O706" i="4"/>
  <c r="B707" i="4"/>
  <c r="C707" i="4"/>
  <c r="D707" i="4"/>
  <c r="E707" i="4"/>
  <c r="F707" i="4"/>
  <c r="G707" i="4"/>
  <c r="H707" i="4"/>
  <c r="I707" i="4"/>
  <c r="J707" i="4"/>
  <c r="K707" i="4"/>
  <c r="L707" i="4"/>
  <c r="M707" i="4"/>
  <c r="N707" i="4"/>
  <c r="O707" i="4"/>
  <c r="B708" i="4"/>
  <c r="C708" i="4"/>
  <c r="D708" i="4"/>
  <c r="E708" i="4"/>
  <c r="F708" i="4"/>
  <c r="G708" i="4"/>
  <c r="H708" i="4"/>
  <c r="I708" i="4"/>
  <c r="J708" i="4"/>
  <c r="K708" i="4"/>
  <c r="L708" i="4"/>
  <c r="M708" i="4"/>
  <c r="N708" i="4"/>
  <c r="O708" i="4"/>
  <c r="B709" i="4"/>
  <c r="C709" i="4"/>
  <c r="D709" i="4"/>
  <c r="E709" i="4"/>
  <c r="F709" i="4"/>
  <c r="G709" i="4"/>
  <c r="H709" i="4"/>
  <c r="I709" i="4"/>
  <c r="J709" i="4"/>
  <c r="K709" i="4"/>
  <c r="L709" i="4"/>
  <c r="M709" i="4"/>
  <c r="N709" i="4"/>
  <c r="O709" i="4"/>
  <c r="B710" i="4"/>
  <c r="C710" i="4"/>
  <c r="D710" i="4"/>
  <c r="E710" i="4"/>
  <c r="F710" i="4"/>
  <c r="G710" i="4"/>
  <c r="H710" i="4"/>
  <c r="I710" i="4"/>
  <c r="J710" i="4"/>
  <c r="K710" i="4"/>
  <c r="L710" i="4"/>
  <c r="M710" i="4"/>
  <c r="N710" i="4"/>
  <c r="O710" i="4"/>
  <c r="B711" i="4"/>
  <c r="C711" i="4"/>
  <c r="D711" i="4"/>
  <c r="E711" i="4"/>
  <c r="F711" i="4"/>
  <c r="G711" i="4"/>
  <c r="H711" i="4"/>
  <c r="I711" i="4"/>
  <c r="J711" i="4"/>
  <c r="K711" i="4"/>
  <c r="L711" i="4"/>
  <c r="M711" i="4"/>
  <c r="N711" i="4"/>
  <c r="O711" i="4"/>
  <c r="B712" i="4"/>
  <c r="C712" i="4"/>
  <c r="D712" i="4"/>
  <c r="E712" i="4"/>
  <c r="F712" i="4"/>
  <c r="G712" i="4"/>
  <c r="H712" i="4"/>
  <c r="I712" i="4"/>
  <c r="J712" i="4"/>
  <c r="K712" i="4"/>
  <c r="L712" i="4"/>
  <c r="M712" i="4"/>
  <c r="N712" i="4"/>
  <c r="O712" i="4"/>
  <c r="B713" i="4"/>
  <c r="C713" i="4"/>
  <c r="D713" i="4"/>
  <c r="E713" i="4"/>
  <c r="F713" i="4"/>
  <c r="G713" i="4"/>
  <c r="H713" i="4"/>
  <c r="I713" i="4"/>
  <c r="J713" i="4"/>
  <c r="K713" i="4"/>
  <c r="L713" i="4"/>
  <c r="M713" i="4"/>
  <c r="N713" i="4"/>
  <c r="O713" i="4"/>
  <c r="B714" i="4"/>
  <c r="C714" i="4"/>
  <c r="D714" i="4"/>
  <c r="E714" i="4"/>
  <c r="F714" i="4"/>
  <c r="G714" i="4"/>
  <c r="H714" i="4"/>
  <c r="I714" i="4"/>
  <c r="J714" i="4"/>
  <c r="K714" i="4"/>
  <c r="L714" i="4"/>
  <c r="M714" i="4"/>
  <c r="N714" i="4"/>
  <c r="O714" i="4"/>
  <c r="B715" i="4"/>
  <c r="C715" i="4"/>
  <c r="D715" i="4"/>
  <c r="E715" i="4"/>
  <c r="F715" i="4"/>
  <c r="G715" i="4"/>
  <c r="H715" i="4"/>
  <c r="I715" i="4"/>
  <c r="J715" i="4"/>
  <c r="K715" i="4"/>
  <c r="L715" i="4"/>
  <c r="M715" i="4"/>
  <c r="N715" i="4"/>
  <c r="O715" i="4"/>
  <c r="B716" i="4"/>
  <c r="C716" i="4"/>
  <c r="D716" i="4"/>
  <c r="E716" i="4"/>
  <c r="F716" i="4"/>
  <c r="G716" i="4"/>
  <c r="H716" i="4"/>
  <c r="I716" i="4"/>
  <c r="J716" i="4"/>
  <c r="K716" i="4"/>
  <c r="L716" i="4"/>
  <c r="M716" i="4"/>
  <c r="N716" i="4"/>
  <c r="O716" i="4"/>
  <c r="B717" i="4"/>
  <c r="C717" i="4"/>
  <c r="D717" i="4"/>
  <c r="E717" i="4"/>
  <c r="F717" i="4"/>
  <c r="G717" i="4"/>
  <c r="H717" i="4"/>
  <c r="I717" i="4"/>
  <c r="J717" i="4"/>
  <c r="K717" i="4"/>
  <c r="L717" i="4"/>
  <c r="M717" i="4"/>
  <c r="N717" i="4"/>
  <c r="O717" i="4"/>
  <c r="B718" i="4"/>
  <c r="C718" i="4"/>
  <c r="D718" i="4"/>
  <c r="E718" i="4"/>
  <c r="F718" i="4"/>
  <c r="G718" i="4"/>
  <c r="H718" i="4"/>
  <c r="I718" i="4"/>
  <c r="J718" i="4"/>
  <c r="K718" i="4"/>
  <c r="L718" i="4"/>
  <c r="M718" i="4"/>
  <c r="N718" i="4"/>
  <c r="O718" i="4"/>
  <c r="B719" i="4"/>
  <c r="C719" i="4"/>
  <c r="D719" i="4"/>
  <c r="E719" i="4"/>
  <c r="F719" i="4"/>
  <c r="G719" i="4"/>
  <c r="H719" i="4"/>
  <c r="I719" i="4"/>
  <c r="J719" i="4"/>
  <c r="K719" i="4"/>
  <c r="L719" i="4"/>
  <c r="M719" i="4"/>
  <c r="N719" i="4"/>
  <c r="O719" i="4"/>
  <c r="B720" i="4"/>
  <c r="C720" i="4"/>
  <c r="D720" i="4"/>
  <c r="E720" i="4"/>
  <c r="F720" i="4"/>
  <c r="G720" i="4"/>
  <c r="H720" i="4"/>
  <c r="I720" i="4"/>
  <c r="J720" i="4"/>
  <c r="K720" i="4"/>
  <c r="L720" i="4"/>
  <c r="M720" i="4"/>
  <c r="N720" i="4"/>
  <c r="O720" i="4"/>
  <c r="B721" i="4"/>
  <c r="C721" i="4"/>
  <c r="D721" i="4"/>
  <c r="E721" i="4"/>
  <c r="F721" i="4"/>
  <c r="G721" i="4"/>
  <c r="H721" i="4"/>
  <c r="I721" i="4"/>
  <c r="J721" i="4"/>
  <c r="K721" i="4"/>
  <c r="L721" i="4"/>
  <c r="M721" i="4"/>
  <c r="N721" i="4"/>
  <c r="O721" i="4"/>
  <c r="B722" i="4"/>
  <c r="C722" i="4"/>
  <c r="D722" i="4"/>
  <c r="E722" i="4"/>
  <c r="F722" i="4"/>
  <c r="G722" i="4"/>
  <c r="H722" i="4"/>
  <c r="I722" i="4"/>
  <c r="J722" i="4"/>
  <c r="K722" i="4"/>
  <c r="L722" i="4"/>
  <c r="M722" i="4"/>
  <c r="N722" i="4"/>
  <c r="O722" i="4"/>
  <c r="B723" i="4"/>
  <c r="C723" i="4"/>
  <c r="D723" i="4"/>
  <c r="E723" i="4"/>
  <c r="F723" i="4"/>
  <c r="G723" i="4"/>
  <c r="H723" i="4"/>
  <c r="I723" i="4"/>
  <c r="J723" i="4"/>
  <c r="K723" i="4"/>
  <c r="L723" i="4"/>
  <c r="M723" i="4"/>
  <c r="N723" i="4"/>
  <c r="O723" i="4"/>
  <c r="B724" i="4"/>
  <c r="C724" i="4"/>
  <c r="D724" i="4"/>
  <c r="E724" i="4"/>
  <c r="F724" i="4"/>
  <c r="G724" i="4"/>
  <c r="H724" i="4"/>
  <c r="I724" i="4"/>
  <c r="J724" i="4"/>
  <c r="K724" i="4"/>
  <c r="L724" i="4"/>
  <c r="M724" i="4"/>
  <c r="N724" i="4"/>
  <c r="O724" i="4"/>
  <c r="B725" i="4"/>
  <c r="C725" i="4"/>
  <c r="D725" i="4"/>
  <c r="E725" i="4"/>
  <c r="F725" i="4"/>
  <c r="G725" i="4"/>
  <c r="H725" i="4"/>
  <c r="I725" i="4"/>
  <c r="J725" i="4"/>
  <c r="K725" i="4"/>
  <c r="L725" i="4"/>
  <c r="M725" i="4"/>
  <c r="N725" i="4"/>
  <c r="O725" i="4"/>
  <c r="B726" i="4"/>
  <c r="C726" i="4"/>
  <c r="D726" i="4"/>
  <c r="E726" i="4"/>
  <c r="F726" i="4"/>
  <c r="G726" i="4"/>
  <c r="H726" i="4"/>
  <c r="I726" i="4"/>
  <c r="J726" i="4"/>
  <c r="K726" i="4"/>
  <c r="L726" i="4"/>
  <c r="M726" i="4"/>
  <c r="N726" i="4"/>
  <c r="O726" i="4"/>
  <c r="B727" i="4"/>
  <c r="C727" i="4"/>
  <c r="D727" i="4"/>
  <c r="E727" i="4"/>
  <c r="F727" i="4"/>
  <c r="G727" i="4"/>
  <c r="H727" i="4"/>
  <c r="I727" i="4"/>
  <c r="J727" i="4"/>
  <c r="K727" i="4"/>
  <c r="L727" i="4"/>
  <c r="M727" i="4"/>
  <c r="N727" i="4"/>
  <c r="O727" i="4"/>
  <c r="B728" i="4"/>
  <c r="C728" i="4"/>
  <c r="D728" i="4"/>
  <c r="E728" i="4"/>
  <c r="F728" i="4"/>
  <c r="G728" i="4"/>
  <c r="H728" i="4"/>
  <c r="I728" i="4"/>
  <c r="J728" i="4"/>
  <c r="K728" i="4"/>
  <c r="L728" i="4"/>
  <c r="M728" i="4"/>
  <c r="N728" i="4"/>
  <c r="O728" i="4"/>
  <c r="B729" i="4"/>
  <c r="C729" i="4"/>
  <c r="D729" i="4"/>
  <c r="E729" i="4"/>
  <c r="F729" i="4"/>
  <c r="G729" i="4"/>
  <c r="H729" i="4"/>
  <c r="I729" i="4"/>
  <c r="J729" i="4"/>
  <c r="K729" i="4"/>
  <c r="L729" i="4"/>
  <c r="M729" i="4"/>
  <c r="N729" i="4"/>
  <c r="O729" i="4"/>
  <c r="B730" i="4"/>
  <c r="C730" i="4"/>
  <c r="D730" i="4"/>
  <c r="E730" i="4"/>
  <c r="F730" i="4"/>
  <c r="G730" i="4"/>
  <c r="H730" i="4"/>
  <c r="I730" i="4"/>
  <c r="J730" i="4"/>
  <c r="K730" i="4"/>
  <c r="L730" i="4"/>
  <c r="M730" i="4"/>
  <c r="N730" i="4"/>
  <c r="O730" i="4"/>
  <c r="B731" i="4"/>
  <c r="C731" i="4"/>
  <c r="D731" i="4"/>
  <c r="E731" i="4"/>
  <c r="F731" i="4"/>
  <c r="G731" i="4"/>
  <c r="H731" i="4"/>
  <c r="I731" i="4"/>
  <c r="J731" i="4"/>
  <c r="K731" i="4"/>
  <c r="L731" i="4"/>
  <c r="M731" i="4"/>
  <c r="N731" i="4"/>
  <c r="O731" i="4"/>
  <c r="B732" i="4"/>
  <c r="C732" i="4"/>
  <c r="D732" i="4"/>
  <c r="E732" i="4"/>
  <c r="F732" i="4"/>
  <c r="G732" i="4"/>
  <c r="H732" i="4"/>
  <c r="I732" i="4"/>
  <c r="J732" i="4"/>
  <c r="K732" i="4"/>
  <c r="L732" i="4"/>
  <c r="M732" i="4"/>
  <c r="N732" i="4"/>
  <c r="O732" i="4"/>
  <c r="B733" i="4"/>
  <c r="C733" i="4"/>
  <c r="D733" i="4"/>
  <c r="E733" i="4"/>
  <c r="F733" i="4"/>
  <c r="G733" i="4"/>
  <c r="H733" i="4"/>
  <c r="I733" i="4"/>
  <c r="J733" i="4"/>
  <c r="K733" i="4"/>
  <c r="L733" i="4"/>
  <c r="M733" i="4"/>
  <c r="N733" i="4"/>
  <c r="O733" i="4"/>
  <c r="B734" i="4"/>
  <c r="C734" i="4"/>
  <c r="D734" i="4"/>
  <c r="E734" i="4"/>
  <c r="F734" i="4"/>
  <c r="G734" i="4"/>
  <c r="H734" i="4"/>
  <c r="I734" i="4"/>
  <c r="J734" i="4"/>
  <c r="K734" i="4"/>
  <c r="L734" i="4"/>
  <c r="M734" i="4"/>
  <c r="N734" i="4"/>
  <c r="O734" i="4"/>
  <c r="B735" i="4"/>
  <c r="C735" i="4"/>
  <c r="D735" i="4"/>
  <c r="E735" i="4"/>
  <c r="F735" i="4"/>
  <c r="G735" i="4"/>
  <c r="H735" i="4"/>
  <c r="I735" i="4"/>
  <c r="J735" i="4"/>
  <c r="K735" i="4"/>
  <c r="L735" i="4"/>
  <c r="M735" i="4"/>
  <c r="N735" i="4"/>
  <c r="O735" i="4"/>
  <c r="B736" i="4"/>
  <c r="C736" i="4"/>
  <c r="D736" i="4"/>
  <c r="E736" i="4"/>
  <c r="F736" i="4"/>
  <c r="G736" i="4"/>
  <c r="H736" i="4"/>
  <c r="I736" i="4"/>
  <c r="J736" i="4"/>
  <c r="K736" i="4"/>
  <c r="L736" i="4"/>
  <c r="M736" i="4"/>
  <c r="N736" i="4"/>
  <c r="O736" i="4"/>
  <c r="B737" i="4"/>
  <c r="C737" i="4"/>
  <c r="D737" i="4"/>
  <c r="E737" i="4"/>
  <c r="F737" i="4"/>
  <c r="G737" i="4"/>
  <c r="H737" i="4"/>
  <c r="I737" i="4"/>
  <c r="J737" i="4"/>
  <c r="K737" i="4"/>
  <c r="L737" i="4"/>
  <c r="M737" i="4"/>
  <c r="N737" i="4"/>
  <c r="O737" i="4"/>
  <c r="B738" i="4"/>
  <c r="C738" i="4"/>
  <c r="D738" i="4"/>
  <c r="E738" i="4"/>
  <c r="F738" i="4"/>
  <c r="G738" i="4"/>
  <c r="H738" i="4"/>
  <c r="I738" i="4"/>
  <c r="J738" i="4"/>
  <c r="K738" i="4"/>
  <c r="L738" i="4"/>
  <c r="M738" i="4"/>
  <c r="N738" i="4"/>
  <c r="O738" i="4"/>
  <c r="B739" i="4"/>
  <c r="C739" i="4"/>
  <c r="D739" i="4"/>
  <c r="E739" i="4"/>
  <c r="F739" i="4"/>
  <c r="G739" i="4"/>
  <c r="H739" i="4"/>
  <c r="I739" i="4"/>
  <c r="J739" i="4"/>
  <c r="K739" i="4"/>
  <c r="L739" i="4"/>
  <c r="M739" i="4"/>
  <c r="N739" i="4"/>
  <c r="O739" i="4"/>
  <c r="B740" i="4"/>
  <c r="C740" i="4"/>
  <c r="D740" i="4"/>
  <c r="E740" i="4"/>
  <c r="F740" i="4"/>
  <c r="G740" i="4"/>
  <c r="H740" i="4"/>
  <c r="I740" i="4"/>
  <c r="J740" i="4"/>
  <c r="K740" i="4"/>
  <c r="L740" i="4"/>
  <c r="M740" i="4"/>
  <c r="N740" i="4"/>
  <c r="O740" i="4"/>
  <c r="B741" i="4"/>
  <c r="C741" i="4"/>
  <c r="D741" i="4"/>
  <c r="E741" i="4"/>
  <c r="F741" i="4"/>
  <c r="G741" i="4"/>
  <c r="H741" i="4"/>
  <c r="I741" i="4"/>
  <c r="J741" i="4"/>
  <c r="K741" i="4"/>
  <c r="L741" i="4"/>
  <c r="M741" i="4"/>
  <c r="N741" i="4"/>
  <c r="O741" i="4"/>
  <c r="B742" i="4"/>
  <c r="C742" i="4"/>
  <c r="D742" i="4"/>
  <c r="E742" i="4"/>
  <c r="F742" i="4"/>
  <c r="G742" i="4"/>
  <c r="H742" i="4"/>
  <c r="I742" i="4"/>
  <c r="J742" i="4"/>
  <c r="K742" i="4"/>
  <c r="L742" i="4"/>
  <c r="M742" i="4"/>
  <c r="N742" i="4"/>
  <c r="O742" i="4"/>
  <c r="B743" i="4"/>
  <c r="C743" i="4"/>
  <c r="D743" i="4"/>
  <c r="E743" i="4"/>
  <c r="F743" i="4"/>
  <c r="G743" i="4"/>
  <c r="H743" i="4"/>
  <c r="I743" i="4"/>
  <c r="J743" i="4"/>
  <c r="K743" i="4"/>
  <c r="L743" i="4"/>
  <c r="M743" i="4"/>
  <c r="N743" i="4"/>
  <c r="O743" i="4"/>
  <c r="B744" i="4"/>
  <c r="C744" i="4"/>
  <c r="D744" i="4"/>
  <c r="E744" i="4"/>
  <c r="F744" i="4"/>
  <c r="G744" i="4"/>
  <c r="H744" i="4"/>
  <c r="I744" i="4"/>
  <c r="J744" i="4"/>
  <c r="K744" i="4"/>
  <c r="L744" i="4"/>
  <c r="M744" i="4"/>
  <c r="N744" i="4"/>
  <c r="O744" i="4"/>
  <c r="B745" i="4"/>
  <c r="C745" i="4"/>
  <c r="D745" i="4"/>
  <c r="E745" i="4"/>
  <c r="F745" i="4"/>
  <c r="G745" i="4"/>
  <c r="H745" i="4"/>
  <c r="I745" i="4"/>
  <c r="J745" i="4"/>
  <c r="K745" i="4"/>
  <c r="L745" i="4"/>
  <c r="M745" i="4"/>
  <c r="N745" i="4"/>
  <c r="O745" i="4"/>
  <c r="B746" i="4"/>
  <c r="C746" i="4"/>
  <c r="D746" i="4"/>
  <c r="E746" i="4"/>
  <c r="F746" i="4"/>
  <c r="G746" i="4"/>
  <c r="H746" i="4"/>
  <c r="I746" i="4"/>
  <c r="J746" i="4"/>
  <c r="K746" i="4"/>
  <c r="L746" i="4"/>
  <c r="M746" i="4"/>
  <c r="N746" i="4"/>
  <c r="O746" i="4"/>
  <c r="B747" i="4"/>
  <c r="C747" i="4"/>
  <c r="D747" i="4"/>
  <c r="E747" i="4"/>
  <c r="F747" i="4"/>
  <c r="G747" i="4"/>
  <c r="H747" i="4"/>
  <c r="I747" i="4"/>
  <c r="J747" i="4"/>
  <c r="K747" i="4"/>
  <c r="L747" i="4"/>
  <c r="M747" i="4"/>
  <c r="N747" i="4"/>
  <c r="O747" i="4"/>
  <c r="B748" i="4"/>
  <c r="C748" i="4"/>
  <c r="D748" i="4"/>
  <c r="E748" i="4"/>
  <c r="F748" i="4"/>
  <c r="G748" i="4"/>
  <c r="H748" i="4"/>
  <c r="I748" i="4"/>
  <c r="J748" i="4"/>
  <c r="K748" i="4"/>
  <c r="L748" i="4"/>
  <c r="M748" i="4"/>
  <c r="N748" i="4"/>
  <c r="O748" i="4"/>
  <c r="B749" i="4"/>
  <c r="C749" i="4"/>
  <c r="D749" i="4"/>
  <c r="E749" i="4"/>
  <c r="F749" i="4"/>
  <c r="G749" i="4"/>
  <c r="H749" i="4"/>
  <c r="I749" i="4"/>
  <c r="J749" i="4"/>
  <c r="K749" i="4"/>
  <c r="L749" i="4"/>
  <c r="M749" i="4"/>
  <c r="N749" i="4"/>
  <c r="O749" i="4"/>
  <c r="B750" i="4"/>
  <c r="C750" i="4"/>
  <c r="D750" i="4"/>
  <c r="E750" i="4"/>
  <c r="F750" i="4"/>
  <c r="G750" i="4"/>
  <c r="H750" i="4"/>
  <c r="I750" i="4"/>
  <c r="J750" i="4"/>
  <c r="K750" i="4"/>
  <c r="L750" i="4"/>
  <c r="M750" i="4"/>
  <c r="N750" i="4"/>
  <c r="O750" i="4"/>
  <c r="B751" i="4"/>
  <c r="C751" i="4"/>
  <c r="D751" i="4"/>
  <c r="E751" i="4"/>
  <c r="F751" i="4"/>
  <c r="G751" i="4"/>
  <c r="H751" i="4"/>
  <c r="I751" i="4"/>
  <c r="J751" i="4"/>
  <c r="K751" i="4"/>
  <c r="L751" i="4"/>
  <c r="M751" i="4"/>
  <c r="N751" i="4"/>
  <c r="O751" i="4"/>
  <c r="B752" i="4"/>
  <c r="C752" i="4"/>
  <c r="D752" i="4"/>
  <c r="E752" i="4"/>
  <c r="F752" i="4"/>
  <c r="G752" i="4"/>
  <c r="H752" i="4"/>
  <c r="I752" i="4"/>
  <c r="J752" i="4"/>
  <c r="K752" i="4"/>
  <c r="L752" i="4"/>
  <c r="M752" i="4"/>
  <c r="N752" i="4"/>
  <c r="O752" i="4"/>
  <c r="B753" i="4"/>
  <c r="C753" i="4"/>
  <c r="D753" i="4"/>
  <c r="E753" i="4"/>
  <c r="F753" i="4"/>
  <c r="G753" i="4"/>
  <c r="H753" i="4"/>
  <c r="I753" i="4"/>
  <c r="J753" i="4"/>
  <c r="K753" i="4"/>
  <c r="L753" i="4"/>
  <c r="M753" i="4"/>
  <c r="N753" i="4"/>
  <c r="O753" i="4"/>
  <c r="B754" i="4"/>
  <c r="C754" i="4"/>
  <c r="D754" i="4"/>
  <c r="E754" i="4"/>
  <c r="F754" i="4"/>
  <c r="G754" i="4"/>
  <c r="H754" i="4"/>
  <c r="I754" i="4"/>
  <c r="J754" i="4"/>
  <c r="K754" i="4"/>
  <c r="L754" i="4"/>
  <c r="M754" i="4"/>
  <c r="N754" i="4"/>
  <c r="O754" i="4"/>
  <c r="B755" i="4"/>
  <c r="C755" i="4"/>
  <c r="D755" i="4"/>
  <c r="E755" i="4"/>
  <c r="F755" i="4"/>
  <c r="G755" i="4"/>
  <c r="H755" i="4"/>
  <c r="I755" i="4"/>
  <c r="J755" i="4"/>
  <c r="K755" i="4"/>
  <c r="L755" i="4"/>
  <c r="M755" i="4"/>
  <c r="N755" i="4"/>
  <c r="O755" i="4"/>
  <c r="B756" i="4"/>
  <c r="C756" i="4"/>
  <c r="D756" i="4"/>
  <c r="E756" i="4"/>
  <c r="F756" i="4"/>
  <c r="G756" i="4"/>
  <c r="H756" i="4"/>
  <c r="I756" i="4"/>
  <c r="J756" i="4"/>
  <c r="K756" i="4"/>
  <c r="L756" i="4"/>
  <c r="M756" i="4"/>
  <c r="N756" i="4"/>
  <c r="O756" i="4"/>
  <c r="B757" i="4"/>
  <c r="C757" i="4"/>
  <c r="D757" i="4"/>
  <c r="E757" i="4"/>
  <c r="F757" i="4"/>
  <c r="G757" i="4"/>
  <c r="H757" i="4"/>
  <c r="H1120" i="4" s="1"/>
  <c r="I757" i="4"/>
  <c r="J757" i="4"/>
  <c r="K757" i="4"/>
  <c r="L757" i="4"/>
  <c r="M757" i="4"/>
  <c r="N757" i="4"/>
  <c r="O757" i="4"/>
  <c r="B758" i="4"/>
  <c r="C758" i="4"/>
  <c r="D758" i="4"/>
  <c r="E758" i="4"/>
  <c r="F758" i="4"/>
  <c r="G758" i="4"/>
  <c r="H758" i="4"/>
  <c r="I758" i="4"/>
  <c r="J758" i="4"/>
  <c r="J1121" i="4" s="1"/>
  <c r="K758" i="4"/>
  <c r="L758" i="4"/>
  <c r="M758" i="4"/>
  <c r="N758" i="4"/>
  <c r="O758" i="4"/>
  <c r="B759" i="4"/>
  <c r="C759" i="4"/>
  <c r="D759" i="4"/>
  <c r="E759" i="4"/>
  <c r="F759" i="4"/>
  <c r="G759" i="4"/>
  <c r="H759" i="4"/>
  <c r="I759" i="4"/>
  <c r="J759" i="4"/>
  <c r="K759" i="4"/>
  <c r="L759" i="4"/>
  <c r="M759" i="4"/>
  <c r="N759" i="4"/>
  <c r="O759" i="4"/>
  <c r="B760" i="4"/>
  <c r="C760" i="4"/>
  <c r="D760" i="4"/>
  <c r="E760" i="4"/>
  <c r="F760" i="4"/>
  <c r="G760" i="4"/>
  <c r="H760" i="4"/>
  <c r="I760" i="4"/>
  <c r="J760" i="4"/>
  <c r="K760" i="4"/>
  <c r="L760" i="4"/>
  <c r="M760" i="4"/>
  <c r="N760" i="4"/>
  <c r="O760" i="4"/>
  <c r="B761" i="4"/>
  <c r="C761" i="4"/>
  <c r="D761" i="4"/>
  <c r="E761" i="4"/>
  <c r="F761" i="4"/>
  <c r="G761" i="4"/>
  <c r="H761" i="4"/>
  <c r="I761" i="4"/>
  <c r="J761" i="4"/>
  <c r="K761" i="4"/>
  <c r="L761" i="4"/>
  <c r="M761" i="4"/>
  <c r="N761" i="4"/>
  <c r="O761" i="4"/>
  <c r="B762" i="4"/>
  <c r="C762" i="4"/>
  <c r="D762" i="4"/>
  <c r="E762" i="4"/>
  <c r="F762" i="4"/>
  <c r="G762" i="4"/>
  <c r="H762" i="4"/>
  <c r="I762" i="4"/>
  <c r="J762" i="4"/>
  <c r="K762" i="4"/>
  <c r="L762" i="4"/>
  <c r="M762" i="4"/>
  <c r="N762" i="4"/>
  <c r="O762" i="4"/>
  <c r="B763" i="4"/>
  <c r="C763" i="4"/>
  <c r="D763" i="4"/>
  <c r="E763" i="4"/>
  <c r="F763" i="4"/>
  <c r="G763" i="4"/>
  <c r="H763" i="4"/>
  <c r="I763" i="4"/>
  <c r="J763" i="4"/>
  <c r="K763" i="4"/>
  <c r="L763" i="4"/>
  <c r="M763" i="4"/>
  <c r="N763" i="4"/>
  <c r="O763" i="4"/>
  <c r="B764" i="4"/>
  <c r="C764" i="4"/>
  <c r="D764" i="4"/>
  <c r="E764" i="4"/>
  <c r="F764" i="4"/>
  <c r="G764" i="4"/>
  <c r="H764" i="4"/>
  <c r="I764" i="4"/>
  <c r="J764" i="4"/>
  <c r="K764" i="4"/>
  <c r="L764" i="4"/>
  <c r="M764" i="4"/>
  <c r="N764" i="4"/>
  <c r="O764" i="4"/>
  <c r="B765" i="4"/>
  <c r="C765" i="4"/>
  <c r="D765" i="4"/>
  <c r="E765" i="4"/>
  <c r="F765" i="4"/>
  <c r="G765" i="4"/>
  <c r="H765" i="4"/>
  <c r="I765" i="4"/>
  <c r="J765" i="4"/>
  <c r="K765" i="4"/>
  <c r="L765" i="4"/>
  <c r="M765" i="4"/>
  <c r="N765" i="4"/>
  <c r="O765" i="4"/>
  <c r="B766" i="4"/>
  <c r="C766" i="4"/>
  <c r="D766" i="4"/>
  <c r="E766" i="4"/>
  <c r="F766" i="4"/>
  <c r="G766" i="4"/>
  <c r="H766" i="4"/>
  <c r="I766" i="4"/>
  <c r="J766" i="4"/>
  <c r="K766" i="4"/>
  <c r="L766" i="4"/>
  <c r="M766" i="4"/>
  <c r="N766" i="4"/>
  <c r="O766" i="4"/>
  <c r="B767" i="4"/>
  <c r="C767" i="4"/>
  <c r="D767" i="4"/>
  <c r="E767" i="4"/>
  <c r="F767" i="4"/>
  <c r="G767" i="4"/>
  <c r="H767" i="4"/>
  <c r="I767" i="4"/>
  <c r="J767" i="4"/>
  <c r="K767" i="4"/>
  <c r="L767" i="4"/>
  <c r="M767" i="4"/>
  <c r="N767" i="4"/>
  <c r="O767" i="4"/>
  <c r="B768" i="4"/>
  <c r="C768" i="4"/>
  <c r="D768" i="4"/>
  <c r="E768" i="4"/>
  <c r="F768" i="4"/>
  <c r="G768" i="4"/>
  <c r="H768" i="4"/>
  <c r="I768" i="4"/>
  <c r="J768" i="4"/>
  <c r="K768" i="4"/>
  <c r="L768" i="4"/>
  <c r="M768" i="4"/>
  <c r="N768" i="4"/>
  <c r="O768" i="4"/>
  <c r="B769" i="4"/>
  <c r="C769" i="4"/>
  <c r="D769" i="4"/>
  <c r="E769" i="4"/>
  <c r="F769" i="4"/>
  <c r="G769" i="4"/>
  <c r="H769" i="4"/>
  <c r="I769" i="4"/>
  <c r="J769" i="4"/>
  <c r="K769" i="4"/>
  <c r="L769" i="4"/>
  <c r="M769" i="4"/>
  <c r="N769" i="4"/>
  <c r="O769" i="4"/>
  <c r="B770" i="4"/>
  <c r="C770" i="4"/>
  <c r="D770" i="4"/>
  <c r="E770" i="4"/>
  <c r="F770" i="4"/>
  <c r="G770" i="4"/>
  <c r="H770" i="4"/>
  <c r="I770" i="4"/>
  <c r="J770" i="4"/>
  <c r="K770" i="4"/>
  <c r="L770" i="4"/>
  <c r="M770" i="4"/>
  <c r="N770" i="4"/>
  <c r="O770" i="4"/>
  <c r="B771" i="4"/>
  <c r="C771" i="4"/>
  <c r="D771" i="4"/>
  <c r="E771" i="4"/>
  <c r="F771" i="4"/>
  <c r="G771" i="4"/>
  <c r="H771" i="4"/>
  <c r="I771" i="4"/>
  <c r="J771" i="4"/>
  <c r="K771" i="4"/>
  <c r="L771" i="4"/>
  <c r="L1122" i="4" s="1"/>
  <c r="M771" i="4"/>
  <c r="N771" i="4"/>
  <c r="O771" i="4"/>
  <c r="B772" i="4"/>
  <c r="C772" i="4"/>
  <c r="D772" i="4"/>
  <c r="E772" i="4"/>
  <c r="F772" i="4"/>
  <c r="G772" i="4"/>
  <c r="H772" i="4"/>
  <c r="I772" i="4"/>
  <c r="J772" i="4"/>
  <c r="K772" i="4"/>
  <c r="L772" i="4"/>
  <c r="M772" i="4"/>
  <c r="N772" i="4"/>
  <c r="O772" i="4"/>
  <c r="B773" i="4"/>
  <c r="C773" i="4"/>
  <c r="D773" i="4"/>
  <c r="E773" i="4"/>
  <c r="F773" i="4"/>
  <c r="G773" i="4"/>
  <c r="H773" i="4"/>
  <c r="I773" i="4"/>
  <c r="J773" i="4"/>
  <c r="K773" i="4"/>
  <c r="L773" i="4"/>
  <c r="M773" i="4"/>
  <c r="N773" i="4"/>
  <c r="O773" i="4"/>
  <c r="B774" i="4"/>
  <c r="C774" i="4"/>
  <c r="D774" i="4"/>
  <c r="E774" i="4"/>
  <c r="F774" i="4"/>
  <c r="G774" i="4"/>
  <c r="H774" i="4"/>
  <c r="I774" i="4"/>
  <c r="J774" i="4"/>
  <c r="K774" i="4"/>
  <c r="L774" i="4"/>
  <c r="M774" i="4"/>
  <c r="N774" i="4"/>
  <c r="O774" i="4"/>
  <c r="B775" i="4"/>
  <c r="C775" i="4"/>
  <c r="D775" i="4"/>
  <c r="E775" i="4"/>
  <c r="F775" i="4"/>
  <c r="G775" i="4"/>
  <c r="H775" i="4"/>
  <c r="I775" i="4"/>
  <c r="J775" i="4"/>
  <c r="K775" i="4"/>
  <c r="L775" i="4"/>
  <c r="M775" i="4"/>
  <c r="N775" i="4"/>
  <c r="O775" i="4"/>
  <c r="B776" i="4"/>
  <c r="C776" i="4"/>
  <c r="D776" i="4"/>
  <c r="E776" i="4"/>
  <c r="F776" i="4"/>
  <c r="G776" i="4"/>
  <c r="H776" i="4"/>
  <c r="I776" i="4"/>
  <c r="J776" i="4"/>
  <c r="K776" i="4"/>
  <c r="L776" i="4"/>
  <c r="M776" i="4"/>
  <c r="N776" i="4"/>
  <c r="O776" i="4"/>
  <c r="B777" i="4"/>
  <c r="C777" i="4"/>
  <c r="D777" i="4"/>
  <c r="E777" i="4"/>
  <c r="F777" i="4"/>
  <c r="G777" i="4"/>
  <c r="H777" i="4"/>
  <c r="I777" i="4"/>
  <c r="J777" i="4"/>
  <c r="K777" i="4"/>
  <c r="L777" i="4"/>
  <c r="M777" i="4"/>
  <c r="N777" i="4"/>
  <c r="O777" i="4"/>
  <c r="B778" i="4"/>
  <c r="C778" i="4"/>
  <c r="D778" i="4"/>
  <c r="E778" i="4"/>
  <c r="F778" i="4"/>
  <c r="G778" i="4"/>
  <c r="H778" i="4"/>
  <c r="I778" i="4"/>
  <c r="J778" i="4"/>
  <c r="K778" i="4"/>
  <c r="L778" i="4"/>
  <c r="M778" i="4"/>
  <c r="N778" i="4"/>
  <c r="O778" i="4"/>
  <c r="B779" i="4"/>
  <c r="C779" i="4"/>
  <c r="D779" i="4"/>
  <c r="E779" i="4"/>
  <c r="F779" i="4"/>
  <c r="G779" i="4"/>
  <c r="H779" i="4"/>
  <c r="I779" i="4"/>
  <c r="J779" i="4"/>
  <c r="K779" i="4"/>
  <c r="L779" i="4"/>
  <c r="M779" i="4"/>
  <c r="N779" i="4"/>
  <c r="O779" i="4"/>
  <c r="B780" i="4"/>
  <c r="C780" i="4"/>
  <c r="D780" i="4"/>
  <c r="E780" i="4"/>
  <c r="F780" i="4"/>
  <c r="G780" i="4"/>
  <c r="H780" i="4"/>
  <c r="I780" i="4"/>
  <c r="J780" i="4"/>
  <c r="K780" i="4"/>
  <c r="L780" i="4"/>
  <c r="M780" i="4"/>
  <c r="N780" i="4"/>
  <c r="O780" i="4"/>
  <c r="B781" i="4"/>
  <c r="C781" i="4"/>
  <c r="D781" i="4"/>
  <c r="E781" i="4"/>
  <c r="F781" i="4"/>
  <c r="G781" i="4"/>
  <c r="H781" i="4"/>
  <c r="I781" i="4"/>
  <c r="J781" i="4"/>
  <c r="K781" i="4"/>
  <c r="L781" i="4"/>
  <c r="M781" i="4"/>
  <c r="N781" i="4"/>
  <c r="O781" i="4"/>
  <c r="B782" i="4"/>
  <c r="C782" i="4"/>
  <c r="D782" i="4"/>
  <c r="E782" i="4"/>
  <c r="F782" i="4"/>
  <c r="G782" i="4"/>
  <c r="H782" i="4"/>
  <c r="I782" i="4"/>
  <c r="J782" i="4"/>
  <c r="K782" i="4"/>
  <c r="L782" i="4"/>
  <c r="M782" i="4"/>
  <c r="N782" i="4"/>
  <c r="N1123" i="4" s="1"/>
  <c r="O782" i="4"/>
  <c r="B783" i="4"/>
  <c r="C783" i="4"/>
  <c r="D783" i="4"/>
  <c r="E783" i="4"/>
  <c r="F783" i="4"/>
  <c r="G783" i="4"/>
  <c r="H783" i="4"/>
  <c r="I783" i="4"/>
  <c r="J783" i="4"/>
  <c r="K783" i="4"/>
  <c r="L783" i="4"/>
  <c r="M783" i="4"/>
  <c r="N783" i="4"/>
  <c r="O783" i="4"/>
  <c r="B784" i="4"/>
  <c r="C784" i="4"/>
  <c r="D784" i="4"/>
  <c r="E784" i="4"/>
  <c r="F784" i="4"/>
  <c r="G784" i="4"/>
  <c r="H784" i="4"/>
  <c r="I784" i="4"/>
  <c r="J784" i="4"/>
  <c r="K784" i="4"/>
  <c r="L784" i="4"/>
  <c r="M784" i="4"/>
  <c r="N784" i="4"/>
  <c r="O784" i="4"/>
  <c r="B785" i="4"/>
  <c r="C785" i="4"/>
  <c r="D785" i="4"/>
  <c r="E785" i="4"/>
  <c r="F785" i="4"/>
  <c r="G785" i="4"/>
  <c r="H785" i="4"/>
  <c r="I785" i="4"/>
  <c r="J785" i="4"/>
  <c r="K785" i="4"/>
  <c r="L785" i="4"/>
  <c r="M785" i="4"/>
  <c r="N785" i="4"/>
  <c r="O785" i="4"/>
  <c r="B786" i="4"/>
  <c r="C786" i="4"/>
  <c r="D786" i="4"/>
  <c r="E786" i="4"/>
  <c r="F786" i="4"/>
  <c r="G786" i="4"/>
  <c r="H786" i="4"/>
  <c r="I786" i="4"/>
  <c r="J786" i="4"/>
  <c r="K786" i="4"/>
  <c r="L786" i="4"/>
  <c r="M786" i="4"/>
  <c r="N786" i="4"/>
  <c r="O786" i="4"/>
  <c r="B787" i="4"/>
  <c r="C787" i="4"/>
  <c r="D787" i="4"/>
  <c r="E787" i="4"/>
  <c r="F787" i="4"/>
  <c r="G787" i="4"/>
  <c r="H787" i="4"/>
  <c r="I787" i="4"/>
  <c r="J787" i="4"/>
  <c r="K787" i="4"/>
  <c r="L787" i="4"/>
  <c r="M787" i="4"/>
  <c r="N787" i="4"/>
  <c r="O787" i="4"/>
  <c r="B788" i="4"/>
  <c r="C788" i="4"/>
  <c r="D788" i="4"/>
  <c r="E788" i="4"/>
  <c r="F788" i="4"/>
  <c r="G788" i="4"/>
  <c r="H788" i="4"/>
  <c r="I788" i="4"/>
  <c r="J788" i="4"/>
  <c r="K788" i="4"/>
  <c r="L788" i="4"/>
  <c r="M788" i="4"/>
  <c r="N788" i="4"/>
  <c r="O788" i="4"/>
  <c r="B789" i="4"/>
  <c r="C789" i="4"/>
  <c r="D789" i="4"/>
  <c r="E789" i="4"/>
  <c r="F789" i="4"/>
  <c r="G789" i="4"/>
  <c r="H789" i="4"/>
  <c r="I789" i="4"/>
  <c r="J789" i="4"/>
  <c r="K789" i="4"/>
  <c r="L789" i="4"/>
  <c r="M789" i="4"/>
  <c r="N789" i="4"/>
  <c r="O789" i="4"/>
  <c r="B790" i="4"/>
  <c r="C790" i="4"/>
  <c r="D790" i="4"/>
  <c r="E790" i="4"/>
  <c r="F790" i="4"/>
  <c r="G790" i="4"/>
  <c r="H790" i="4"/>
  <c r="I790" i="4"/>
  <c r="J790" i="4"/>
  <c r="K790" i="4"/>
  <c r="L790" i="4"/>
  <c r="M790" i="4"/>
  <c r="N790" i="4"/>
  <c r="O790" i="4"/>
  <c r="B791" i="4"/>
  <c r="C791" i="4"/>
  <c r="D791" i="4"/>
  <c r="E791" i="4"/>
  <c r="F791" i="4"/>
  <c r="G791" i="4"/>
  <c r="H791" i="4"/>
  <c r="I791" i="4"/>
  <c r="J791" i="4"/>
  <c r="K791" i="4"/>
  <c r="L791" i="4"/>
  <c r="M791" i="4"/>
  <c r="N791" i="4"/>
  <c r="O791" i="4"/>
  <c r="B792" i="4"/>
  <c r="C792" i="4"/>
  <c r="D792" i="4"/>
  <c r="E792" i="4"/>
  <c r="F792" i="4"/>
  <c r="G792" i="4"/>
  <c r="H792" i="4"/>
  <c r="I792" i="4"/>
  <c r="J792" i="4"/>
  <c r="K792" i="4"/>
  <c r="L792" i="4"/>
  <c r="M792" i="4"/>
  <c r="N792" i="4"/>
  <c r="O792" i="4"/>
  <c r="B793" i="4"/>
  <c r="C793" i="4"/>
  <c r="D793" i="4"/>
  <c r="E793" i="4"/>
  <c r="F793" i="4"/>
  <c r="G793" i="4"/>
  <c r="H793" i="4"/>
  <c r="I793" i="4"/>
  <c r="J793" i="4"/>
  <c r="K793" i="4"/>
  <c r="L793" i="4"/>
  <c r="M793" i="4"/>
  <c r="N793" i="4"/>
  <c r="O793" i="4"/>
  <c r="B794" i="4"/>
  <c r="C794" i="4"/>
  <c r="D794" i="4"/>
  <c r="E794" i="4"/>
  <c r="F794" i="4"/>
  <c r="G794" i="4"/>
  <c r="H794" i="4"/>
  <c r="I794" i="4"/>
  <c r="J794" i="4"/>
  <c r="K794" i="4"/>
  <c r="L794" i="4"/>
  <c r="M794" i="4"/>
  <c r="N794" i="4"/>
  <c r="O794" i="4"/>
  <c r="B795" i="4"/>
  <c r="C795" i="4"/>
  <c r="D795" i="4"/>
  <c r="E795" i="4"/>
  <c r="F795" i="4"/>
  <c r="G795" i="4"/>
  <c r="H795" i="4"/>
  <c r="I795" i="4"/>
  <c r="J795" i="4"/>
  <c r="K795" i="4"/>
  <c r="L795" i="4"/>
  <c r="M795" i="4"/>
  <c r="N795" i="4"/>
  <c r="O795" i="4"/>
  <c r="B796" i="4"/>
  <c r="C796" i="4"/>
  <c r="D796" i="4"/>
  <c r="E796" i="4"/>
  <c r="F796" i="4"/>
  <c r="G796" i="4"/>
  <c r="H796" i="4"/>
  <c r="I796" i="4"/>
  <c r="J796" i="4"/>
  <c r="K796" i="4"/>
  <c r="L796" i="4"/>
  <c r="M796" i="4"/>
  <c r="N796" i="4"/>
  <c r="O796" i="4"/>
  <c r="B797" i="4"/>
  <c r="C797" i="4"/>
  <c r="D797" i="4"/>
  <c r="E797" i="4"/>
  <c r="F797" i="4"/>
  <c r="G797" i="4"/>
  <c r="H797" i="4"/>
  <c r="I797" i="4"/>
  <c r="J797" i="4"/>
  <c r="K797" i="4"/>
  <c r="L797" i="4"/>
  <c r="M797" i="4"/>
  <c r="N797" i="4"/>
  <c r="O797" i="4"/>
  <c r="B798" i="4"/>
  <c r="C798" i="4"/>
  <c r="D798" i="4"/>
  <c r="E798" i="4"/>
  <c r="F798" i="4"/>
  <c r="G798" i="4"/>
  <c r="H798" i="4"/>
  <c r="I798" i="4"/>
  <c r="J798" i="4"/>
  <c r="K798" i="4"/>
  <c r="L798" i="4"/>
  <c r="M798" i="4"/>
  <c r="N798" i="4"/>
  <c r="O798" i="4"/>
  <c r="B799" i="4"/>
  <c r="C799" i="4"/>
  <c r="D799" i="4"/>
  <c r="E799" i="4"/>
  <c r="F799" i="4"/>
  <c r="G799" i="4"/>
  <c r="H799" i="4"/>
  <c r="I799" i="4"/>
  <c r="J799" i="4"/>
  <c r="K799" i="4"/>
  <c r="L799" i="4"/>
  <c r="M799" i="4"/>
  <c r="N799" i="4"/>
  <c r="O799" i="4"/>
  <c r="B800" i="4"/>
  <c r="C800" i="4"/>
  <c r="D800" i="4"/>
  <c r="E800" i="4"/>
  <c r="F800" i="4"/>
  <c r="G800" i="4"/>
  <c r="H800" i="4"/>
  <c r="I800" i="4"/>
  <c r="J800" i="4"/>
  <c r="K800" i="4"/>
  <c r="L800" i="4"/>
  <c r="M800" i="4"/>
  <c r="N800" i="4"/>
  <c r="O800" i="4"/>
  <c r="B801" i="4"/>
  <c r="C801" i="4"/>
  <c r="D801" i="4"/>
  <c r="E801" i="4"/>
  <c r="F801" i="4"/>
  <c r="G801" i="4"/>
  <c r="H801" i="4"/>
  <c r="I801" i="4"/>
  <c r="J801" i="4"/>
  <c r="K801" i="4"/>
  <c r="L801" i="4"/>
  <c r="M801" i="4"/>
  <c r="N801" i="4"/>
  <c r="O801" i="4"/>
  <c r="B802" i="4"/>
  <c r="C802" i="4"/>
  <c r="D802" i="4"/>
  <c r="E802" i="4"/>
  <c r="F802" i="4"/>
  <c r="G802" i="4"/>
  <c r="H802" i="4"/>
  <c r="I802" i="4"/>
  <c r="J802" i="4"/>
  <c r="K802" i="4"/>
  <c r="L802" i="4"/>
  <c r="M802" i="4"/>
  <c r="N802" i="4"/>
  <c r="O802" i="4"/>
  <c r="B803" i="4"/>
  <c r="C803" i="4"/>
  <c r="D803" i="4"/>
  <c r="E803" i="4"/>
  <c r="F803" i="4"/>
  <c r="G803" i="4"/>
  <c r="H803" i="4"/>
  <c r="I803" i="4"/>
  <c r="J803" i="4"/>
  <c r="K803" i="4"/>
  <c r="L803" i="4"/>
  <c r="M803" i="4"/>
  <c r="N803" i="4"/>
  <c r="O803" i="4"/>
  <c r="B804" i="4"/>
  <c r="C804" i="4"/>
  <c r="D804" i="4"/>
  <c r="E804" i="4"/>
  <c r="F804" i="4"/>
  <c r="G804" i="4"/>
  <c r="H804" i="4"/>
  <c r="I804" i="4"/>
  <c r="J804" i="4"/>
  <c r="K804" i="4"/>
  <c r="L804" i="4"/>
  <c r="M804" i="4"/>
  <c r="N804" i="4"/>
  <c r="O804" i="4"/>
  <c r="B805" i="4"/>
  <c r="C805" i="4"/>
  <c r="D805" i="4"/>
  <c r="E805" i="4"/>
  <c r="F805" i="4"/>
  <c r="G805" i="4"/>
  <c r="H805" i="4"/>
  <c r="I805" i="4"/>
  <c r="J805" i="4"/>
  <c r="K805" i="4"/>
  <c r="L805" i="4"/>
  <c r="M805" i="4"/>
  <c r="N805" i="4"/>
  <c r="O805" i="4"/>
  <c r="B806" i="4"/>
  <c r="B1125" i="4" s="1"/>
  <c r="C806" i="4"/>
  <c r="D806" i="4"/>
  <c r="E806" i="4"/>
  <c r="F806" i="4"/>
  <c r="G806" i="4"/>
  <c r="H806" i="4"/>
  <c r="I806" i="4"/>
  <c r="J806" i="4"/>
  <c r="K806" i="4"/>
  <c r="L806" i="4"/>
  <c r="M806" i="4"/>
  <c r="N806" i="4"/>
  <c r="O806" i="4"/>
  <c r="B807" i="4"/>
  <c r="C807" i="4"/>
  <c r="D807" i="4"/>
  <c r="E807" i="4"/>
  <c r="F807" i="4"/>
  <c r="G807" i="4"/>
  <c r="H807" i="4"/>
  <c r="I807" i="4"/>
  <c r="J807" i="4"/>
  <c r="K807" i="4"/>
  <c r="L807" i="4"/>
  <c r="M807" i="4"/>
  <c r="N807" i="4"/>
  <c r="O807" i="4"/>
  <c r="B808" i="4"/>
  <c r="C808" i="4"/>
  <c r="D808" i="4"/>
  <c r="E808" i="4"/>
  <c r="F808" i="4"/>
  <c r="G808" i="4"/>
  <c r="H808" i="4"/>
  <c r="I808" i="4"/>
  <c r="J808" i="4"/>
  <c r="K808" i="4"/>
  <c r="L808" i="4"/>
  <c r="M808" i="4"/>
  <c r="N808" i="4"/>
  <c r="O808" i="4"/>
  <c r="B809" i="4"/>
  <c r="C809" i="4"/>
  <c r="D809" i="4"/>
  <c r="E809" i="4"/>
  <c r="F809" i="4"/>
  <c r="G809" i="4"/>
  <c r="H809" i="4"/>
  <c r="I809" i="4"/>
  <c r="J809" i="4"/>
  <c r="K809" i="4"/>
  <c r="L809" i="4"/>
  <c r="M809" i="4"/>
  <c r="N809" i="4"/>
  <c r="O809" i="4"/>
  <c r="B810" i="4"/>
  <c r="C810" i="4"/>
  <c r="D810" i="4"/>
  <c r="E810" i="4"/>
  <c r="F810" i="4"/>
  <c r="G810" i="4"/>
  <c r="H810" i="4"/>
  <c r="I810" i="4"/>
  <c r="J810" i="4"/>
  <c r="K810" i="4"/>
  <c r="L810" i="4"/>
  <c r="M810" i="4"/>
  <c r="N810" i="4"/>
  <c r="O810" i="4"/>
  <c r="B811" i="4"/>
  <c r="C811" i="4"/>
  <c r="D811" i="4"/>
  <c r="E811" i="4"/>
  <c r="F811" i="4"/>
  <c r="G811" i="4"/>
  <c r="H811" i="4"/>
  <c r="I811" i="4"/>
  <c r="J811" i="4"/>
  <c r="K811" i="4"/>
  <c r="L811" i="4"/>
  <c r="M811" i="4"/>
  <c r="N811" i="4"/>
  <c r="O811" i="4"/>
  <c r="B812" i="4"/>
  <c r="C812" i="4"/>
  <c r="D812" i="4"/>
  <c r="E812" i="4"/>
  <c r="F812" i="4"/>
  <c r="G812" i="4"/>
  <c r="H812" i="4"/>
  <c r="I812" i="4"/>
  <c r="J812" i="4"/>
  <c r="K812" i="4"/>
  <c r="L812" i="4"/>
  <c r="M812" i="4"/>
  <c r="N812" i="4"/>
  <c r="O812" i="4"/>
  <c r="B813" i="4"/>
  <c r="C813" i="4"/>
  <c r="D813" i="4"/>
  <c r="E813" i="4"/>
  <c r="F813" i="4"/>
  <c r="G813" i="4"/>
  <c r="H813" i="4"/>
  <c r="I813" i="4"/>
  <c r="J813" i="4"/>
  <c r="K813" i="4"/>
  <c r="L813" i="4"/>
  <c r="M813" i="4"/>
  <c r="N813" i="4"/>
  <c r="O813" i="4"/>
  <c r="B814" i="4"/>
  <c r="C814" i="4"/>
  <c r="D814" i="4"/>
  <c r="E814" i="4"/>
  <c r="F814" i="4"/>
  <c r="G814" i="4"/>
  <c r="H814" i="4"/>
  <c r="I814" i="4"/>
  <c r="J814" i="4"/>
  <c r="K814" i="4"/>
  <c r="L814" i="4"/>
  <c r="M814" i="4"/>
  <c r="N814" i="4"/>
  <c r="O814" i="4"/>
  <c r="B815" i="4"/>
  <c r="C815" i="4"/>
  <c r="D815" i="4"/>
  <c r="E815" i="4"/>
  <c r="F815" i="4"/>
  <c r="G815" i="4"/>
  <c r="H815" i="4"/>
  <c r="I815" i="4"/>
  <c r="J815" i="4"/>
  <c r="K815" i="4"/>
  <c r="L815" i="4"/>
  <c r="M815" i="4"/>
  <c r="N815" i="4"/>
  <c r="O815" i="4"/>
  <c r="B816" i="4"/>
  <c r="C816" i="4"/>
  <c r="D816" i="4"/>
  <c r="E816" i="4"/>
  <c r="F816" i="4"/>
  <c r="G816" i="4"/>
  <c r="H816" i="4"/>
  <c r="I816" i="4"/>
  <c r="J816" i="4"/>
  <c r="K816" i="4"/>
  <c r="L816" i="4"/>
  <c r="M816" i="4"/>
  <c r="N816" i="4"/>
  <c r="O816" i="4"/>
  <c r="B817" i="4"/>
  <c r="C817" i="4"/>
  <c r="D817" i="4"/>
  <c r="E817" i="4"/>
  <c r="F817" i="4"/>
  <c r="G817" i="4"/>
  <c r="H817" i="4"/>
  <c r="I817" i="4"/>
  <c r="J817" i="4"/>
  <c r="K817" i="4"/>
  <c r="L817" i="4"/>
  <c r="M817" i="4"/>
  <c r="N817" i="4"/>
  <c r="O817" i="4"/>
  <c r="B818" i="4"/>
  <c r="C818" i="4"/>
  <c r="D818" i="4"/>
  <c r="E818" i="4"/>
  <c r="F818" i="4"/>
  <c r="G818" i="4"/>
  <c r="H818" i="4"/>
  <c r="I818" i="4"/>
  <c r="J818" i="4"/>
  <c r="K818" i="4"/>
  <c r="L818" i="4"/>
  <c r="M818" i="4"/>
  <c r="N818" i="4"/>
  <c r="O818" i="4"/>
  <c r="B819" i="4"/>
  <c r="C819" i="4"/>
  <c r="D819" i="4"/>
  <c r="E819" i="4"/>
  <c r="F819" i="4"/>
  <c r="G819" i="4"/>
  <c r="H819" i="4"/>
  <c r="I819" i="4"/>
  <c r="J819" i="4"/>
  <c r="K819" i="4"/>
  <c r="L819" i="4"/>
  <c r="M819" i="4"/>
  <c r="N819" i="4"/>
  <c r="O819" i="4"/>
  <c r="B820" i="4"/>
  <c r="C820" i="4"/>
  <c r="D820" i="4"/>
  <c r="E820" i="4"/>
  <c r="F820" i="4"/>
  <c r="G820" i="4"/>
  <c r="H820" i="4"/>
  <c r="I820" i="4"/>
  <c r="J820" i="4"/>
  <c r="K820" i="4"/>
  <c r="L820" i="4"/>
  <c r="M820" i="4"/>
  <c r="N820" i="4"/>
  <c r="O820" i="4"/>
  <c r="B821" i="4"/>
  <c r="C821" i="4"/>
  <c r="D821" i="4"/>
  <c r="E821" i="4"/>
  <c r="F821" i="4"/>
  <c r="G821" i="4"/>
  <c r="H821" i="4"/>
  <c r="I821" i="4"/>
  <c r="J821" i="4"/>
  <c r="K821" i="4"/>
  <c r="L821" i="4"/>
  <c r="M821" i="4"/>
  <c r="N821" i="4"/>
  <c r="O821" i="4"/>
  <c r="B822" i="4"/>
  <c r="C822" i="4"/>
  <c r="D822" i="4"/>
  <c r="E822" i="4"/>
  <c r="F822" i="4"/>
  <c r="G822" i="4"/>
  <c r="H822" i="4"/>
  <c r="I822" i="4"/>
  <c r="J822" i="4"/>
  <c r="K822" i="4"/>
  <c r="L822" i="4"/>
  <c r="M822" i="4"/>
  <c r="N822" i="4"/>
  <c r="O822" i="4"/>
  <c r="B823" i="4"/>
  <c r="C823" i="4"/>
  <c r="D823" i="4"/>
  <c r="E823" i="4"/>
  <c r="F823" i="4"/>
  <c r="G823" i="4"/>
  <c r="H823" i="4"/>
  <c r="I823" i="4"/>
  <c r="J823" i="4"/>
  <c r="K823" i="4"/>
  <c r="L823" i="4"/>
  <c r="M823" i="4"/>
  <c r="N823" i="4"/>
  <c r="O823" i="4"/>
  <c r="B824" i="4"/>
  <c r="C824" i="4"/>
  <c r="D824" i="4"/>
  <c r="E824" i="4"/>
  <c r="F824" i="4"/>
  <c r="G824" i="4"/>
  <c r="H824" i="4"/>
  <c r="I824" i="4"/>
  <c r="J824" i="4"/>
  <c r="K824" i="4"/>
  <c r="L824" i="4"/>
  <c r="M824" i="4"/>
  <c r="N824" i="4"/>
  <c r="O824" i="4"/>
  <c r="B825" i="4"/>
  <c r="C825" i="4"/>
  <c r="D825" i="4"/>
  <c r="E825" i="4"/>
  <c r="F825" i="4"/>
  <c r="G825" i="4"/>
  <c r="H825" i="4"/>
  <c r="I825" i="4"/>
  <c r="J825" i="4"/>
  <c r="K825" i="4"/>
  <c r="L825" i="4"/>
  <c r="M825" i="4"/>
  <c r="N825" i="4"/>
  <c r="O825" i="4"/>
  <c r="B826" i="4"/>
  <c r="C826" i="4"/>
  <c r="D826" i="4"/>
  <c r="E826" i="4"/>
  <c r="F826" i="4"/>
  <c r="G826" i="4"/>
  <c r="H826" i="4"/>
  <c r="I826" i="4"/>
  <c r="J826" i="4"/>
  <c r="K826" i="4"/>
  <c r="L826" i="4"/>
  <c r="M826" i="4"/>
  <c r="N826" i="4"/>
  <c r="O826" i="4"/>
  <c r="B827" i="4"/>
  <c r="C827" i="4"/>
  <c r="D827" i="4"/>
  <c r="E827" i="4"/>
  <c r="F827" i="4"/>
  <c r="G827" i="4"/>
  <c r="H827" i="4"/>
  <c r="I827" i="4"/>
  <c r="J827" i="4"/>
  <c r="K827" i="4"/>
  <c r="L827" i="4"/>
  <c r="M827" i="4"/>
  <c r="N827" i="4"/>
  <c r="O827" i="4"/>
  <c r="B828" i="4"/>
  <c r="C828" i="4"/>
  <c r="D828" i="4"/>
  <c r="E828" i="4"/>
  <c r="F828" i="4"/>
  <c r="G828" i="4"/>
  <c r="H828" i="4"/>
  <c r="I828" i="4"/>
  <c r="J828" i="4"/>
  <c r="K828" i="4"/>
  <c r="L828" i="4"/>
  <c r="M828" i="4"/>
  <c r="N828" i="4"/>
  <c r="O828" i="4"/>
  <c r="B829" i="4"/>
  <c r="C829" i="4"/>
  <c r="D829" i="4"/>
  <c r="E829" i="4"/>
  <c r="F829" i="4"/>
  <c r="G829" i="4"/>
  <c r="H829" i="4"/>
  <c r="I829" i="4"/>
  <c r="J829" i="4"/>
  <c r="K829" i="4"/>
  <c r="L829" i="4"/>
  <c r="M829" i="4"/>
  <c r="N829" i="4"/>
  <c r="O829" i="4"/>
  <c r="B830" i="4"/>
  <c r="C830" i="4"/>
  <c r="D830" i="4"/>
  <c r="E830" i="4"/>
  <c r="F830" i="4"/>
  <c r="G830" i="4"/>
  <c r="H830" i="4"/>
  <c r="I830" i="4"/>
  <c r="J830" i="4"/>
  <c r="K830" i="4"/>
  <c r="L830" i="4"/>
  <c r="M830" i="4"/>
  <c r="N830" i="4"/>
  <c r="O830" i="4"/>
  <c r="B831" i="4"/>
  <c r="C831" i="4"/>
  <c r="D831" i="4"/>
  <c r="E831" i="4"/>
  <c r="F831" i="4"/>
  <c r="G831" i="4"/>
  <c r="H831" i="4"/>
  <c r="I831" i="4"/>
  <c r="J831" i="4"/>
  <c r="K831" i="4"/>
  <c r="L831" i="4"/>
  <c r="M831" i="4"/>
  <c r="N831" i="4"/>
  <c r="O831" i="4"/>
  <c r="B832" i="4"/>
  <c r="C832" i="4"/>
  <c r="D832" i="4"/>
  <c r="E832" i="4"/>
  <c r="F832" i="4"/>
  <c r="G832" i="4"/>
  <c r="H832" i="4"/>
  <c r="I832" i="4"/>
  <c r="J832" i="4"/>
  <c r="K832" i="4"/>
  <c r="L832" i="4"/>
  <c r="M832" i="4"/>
  <c r="N832" i="4"/>
  <c r="O832" i="4"/>
  <c r="B833" i="4"/>
  <c r="C833" i="4"/>
  <c r="D833" i="4"/>
  <c r="E833" i="4"/>
  <c r="F833" i="4"/>
  <c r="G833" i="4"/>
  <c r="H833" i="4"/>
  <c r="I833" i="4"/>
  <c r="J833" i="4"/>
  <c r="K833" i="4"/>
  <c r="L833" i="4"/>
  <c r="M833" i="4"/>
  <c r="N833" i="4"/>
  <c r="O833" i="4"/>
  <c r="B834" i="4"/>
  <c r="C834" i="4"/>
  <c r="D834" i="4"/>
  <c r="E834" i="4"/>
  <c r="F834" i="4"/>
  <c r="G834" i="4"/>
  <c r="H834" i="4"/>
  <c r="I834" i="4"/>
  <c r="J834" i="4"/>
  <c r="K834" i="4"/>
  <c r="L834" i="4"/>
  <c r="M834" i="4"/>
  <c r="N834" i="4"/>
  <c r="O834" i="4"/>
  <c r="B835" i="4"/>
  <c r="C835" i="4"/>
  <c r="D835" i="4"/>
  <c r="E835" i="4"/>
  <c r="F835" i="4"/>
  <c r="G835" i="4"/>
  <c r="H835" i="4"/>
  <c r="I835" i="4"/>
  <c r="J835" i="4"/>
  <c r="K835" i="4"/>
  <c r="L835" i="4"/>
  <c r="M835" i="4"/>
  <c r="N835" i="4"/>
  <c r="O835" i="4"/>
  <c r="B836" i="4"/>
  <c r="C836" i="4"/>
  <c r="D836" i="4"/>
  <c r="E836" i="4"/>
  <c r="F836" i="4"/>
  <c r="G836" i="4"/>
  <c r="H836" i="4"/>
  <c r="I836" i="4"/>
  <c r="J836" i="4"/>
  <c r="K836" i="4"/>
  <c r="L836" i="4"/>
  <c r="M836" i="4"/>
  <c r="N836" i="4"/>
  <c r="O836" i="4"/>
  <c r="B837" i="4"/>
  <c r="C837" i="4"/>
  <c r="D837" i="4"/>
  <c r="E837" i="4"/>
  <c r="F837" i="4"/>
  <c r="G837" i="4"/>
  <c r="H837" i="4"/>
  <c r="I837" i="4"/>
  <c r="J837" i="4"/>
  <c r="K837" i="4"/>
  <c r="L837" i="4"/>
  <c r="M837" i="4"/>
  <c r="N837" i="4"/>
  <c r="O837" i="4"/>
  <c r="B838" i="4"/>
  <c r="C838" i="4"/>
  <c r="D838" i="4"/>
  <c r="E838" i="4"/>
  <c r="F838" i="4"/>
  <c r="G838" i="4"/>
  <c r="H838" i="4"/>
  <c r="I838" i="4"/>
  <c r="J838" i="4"/>
  <c r="K838" i="4"/>
  <c r="L838" i="4"/>
  <c r="M838" i="4"/>
  <c r="N838" i="4"/>
  <c r="O838" i="4"/>
  <c r="B839" i="4"/>
  <c r="C839" i="4"/>
  <c r="D839" i="4"/>
  <c r="E839" i="4"/>
  <c r="F839" i="4"/>
  <c r="G839" i="4"/>
  <c r="H839" i="4"/>
  <c r="I839" i="4"/>
  <c r="J839" i="4"/>
  <c r="K839" i="4"/>
  <c r="L839" i="4"/>
  <c r="M839" i="4"/>
  <c r="N839" i="4"/>
  <c r="O839" i="4"/>
  <c r="B840" i="4"/>
  <c r="C840" i="4"/>
  <c r="D840" i="4"/>
  <c r="E840" i="4"/>
  <c r="F840" i="4"/>
  <c r="G840" i="4"/>
  <c r="H840" i="4"/>
  <c r="I840" i="4"/>
  <c r="J840" i="4"/>
  <c r="K840" i="4"/>
  <c r="L840" i="4"/>
  <c r="M840" i="4"/>
  <c r="N840" i="4"/>
  <c r="O840" i="4"/>
  <c r="B841" i="4"/>
  <c r="C841" i="4"/>
  <c r="D841" i="4"/>
  <c r="E841" i="4"/>
  <c r="F841" i="4"/>
  <c r="G841" i="4"/>
  <c r="H841" i="4"/>
  <c r="I841" i="4"/>
  <c r="J841" i="4"/>
  <c r="K841" i="4"/>
  <c r="L841" i="4"/>
  <c r="M841" i="4"/>
  <c r="N841" i="4"/>
  <c r="O841" i="4"/>
  <c r="B842" i="4"/>
  <c r="C842" i="4"/>
  <c r="D842" i="4"/>
  <c r="E842" i="4"/>
  <c r="F842" i="4"/>
  <c r="G842" i="4"/>
  <c r="H842" i="4"/>
  <c r="I842" i="4"/>
  <c r="J842" i="4"/>
  <c r="K842" i="4"/>
  <c r="L842" i="4"/>
  <c r="M842" i="4"/>
  <c r="N842" i="4"/>
  <c r="O842" i="4"/>
  <c r="B843" i="4"/>
  <c r="C843" i="4"/>
  <c r="D843" i="4"/>
  <c r="E843" i="4"/>
  <c r="F843" i="4"/>
  <c r="G843" i="4"/>
  <c r="H843" i="4"/>
  <c r="H1128" i="4" s="1"/>
  <c r="I843" i="4"/>
  <c r="J843" i="4"/>
  <c r="K843" i="4"/>
  <c r="L843" i="4"/>
  <c r="M843" i="4"/>
  <c r="N843" i="4"/>
  <c r="O843" i="4"/>
  <c r="B844" i="4"/>
  <c r="C844" i="4"/>
  <c r="D844" i="4"/>
  <c r="E844" i="4"/>
  <c r="F844" i="4"/>
  <c r="G844" i="4"/>
  <c r="H844" i="4"/>
  <c r="I844" i="4"/>
  <c r="J844" i="4"/>
  <c r="K844" i="4"/>
  <c r="L844" i="4"/>
  <c r="M844" i="4"/>
  <c r="N844" i="4"/>
  <c r="O844" i="4"/>
  <c r="B845" i="4"/>
  <c r="C845" i="4"/>
  <c r="D845" i="4"/>
  <c r="E845" i="4"/>
  <c r="F845" i="4"/>
  <c r="G845" i="4"/>
  <c r="H845" i="4"/>
  <c r="I845" i="4"/>
  <c r="J845" i="4"/>
  <c r="K845" i="4"/>
  <c r="L845" i="4"/>
  <c r="M845" i="4"/>
  <c r="N845" i="4"/>
  <c r="O845" i="4"/>
  <c r="B846" i="4"/>
  <c r="C846" i="4"/>
  <c r="D846" i="4"/>
  <c r="E846" i="4"/>
  <c r="F846" i="4"/>
  <c r="G846" i="4"/>
  <c r="H846" i="4"/>
  <c r="I846" i="4"/>
  <c r="J846" i="4"/>
  <c r="K846" i="4"/>
  <c r="L846" i="4"/>
  <c r="M846" i="4"/>
  <c r="N846" i="4"/>
  <c r="O846" i="4"/>
  <c r="B847" i="4"/>
  <c r="C847" i="4"/>
  <c r="D847" i="4"/>
  <c r="E847" i="4"/>
  <c r="F847" i="4"/>
  <c r="G847" i="4"/>
  <c r="H847" i="4"/>
  <c r="I847" i="4"/>
  <c r="J847" i="4"/>
  <c r="K847" i="4"/>
  <c r="L847" i="4"/>
  <c r="M847" i="4"/>
  <c r="N847" i="4"/>
  <c r="O847" i="4"/>
  <c r="B848" i="4"/>
  <c r="C848" i="4"/>
  <c r="D848" i="4"/>
  <c r="E848" i="4"/>
  <c r="F848" i="4"/>
  <c r="G848" i="4"/>
  <c r="H848" i="4"/>
  <c r="I848" i="4"/>
  <c r="J848" i="4"/>
  <c r="K848" i="4"/>
  <c r="L848" i="4"/>
  <c r="M848" i="4"/>
  <c r="N848" i="4"/>
  <c r="O848" i="4"/>
  <c r="B849" i="4"/>
  <c r="C849" i="4"/>
  <c r="D849" i="4"/>
  <c r="E849" i="4"/>
  <c r="F849" i="4"/>
  <c r="G849" i="4"/>
  <c r="H849" i="4"/>
  <c r="I849" i="4"/>
  <c r="J849" i="4"/>
  <c r="K849" i="4"/>
  <c r="L849" i="4"/>
  <c r="M849" i="4"/>
  <c r="N849" i="4"/>
  <c r="O849" i="4"/>
  <c r="B850" i="4"/>
  <c r="C850" i="4"/>
  <c r="D850" i="4"/>
  <c r="E850" i="4"/>
  <c r="F850" i="4"/>
  <c r="G850" i="4"/>
  <c r="H850" i="4"/>
  <c r="I850" i="4"/>
  <c r="J850" i="4"/>
  <c r="K850" i="4"/>
  <c r="L850" i="4"/>
  <c r="M850" i="4"/>
  <c r="N850" i="4"/>
  <c r="O850" i="4"/>
  <c r="B851" i="4"/>
  <c r="C851" i="4"/>
  <c r="D851" i="4"/>
  <c r="E851" i="4"/>
  <c r="F851" i="4"/>
  <c r="G851" i="4"/>
  <c r="H851" i="4"/>
  <c r="I851" i="4"/>
  <c r="J851" i="4"/>
  <c r="K851" i="4"/>
  <c r="L851" i="4"/>
  <c r="M851" i="4"/>
  <c r="N851" i="4"/>
  <c r="O851" i="4"/>
  <c r="B852" i="4"/>
  <c r="C852" i="4"/>
  <c r="D852" i="4"/>
  <c r="E852" i="4"/>
  <c r="F852" i="4"/>
  <c r="G852" i="4"/>
  <c r="H852" i="4"/>
  <c r="I852" i="4"/>
  <c r="J852" i="4"/>
  <c r="K852" i="4"/>
  <c r="L852" i="4"/>
  <c r="M852" i="4"/>
  <c r="N852" i="4"/>
  <c r="O852" i="4"/>
  <c r="B853" i="4"/>
  <c r="C853" i="4"/>
  <c r="D853" i="4"/>
  <c r="E853" i="4"/>
  <c r="F853" i="4"/>
  <c r="G853" i="4"/>
  <c r="H853" i="4"/>
  <c r="I853" i="4"/>
  <c r="J853" i="4"/>
  <c r="K853" i="4"/>
  <c r="L853" i="4"/>
  <c r="M853" i="4"/>
  <c r="N853" i="4"/>
  <c r="O853" i="4"/>
  <c r="B854" i="4"/>
  <c r="C854" i="4"/>
  <c r="D854" i="4"/>
  <c r="E854" i="4"/>
  <c r="F854" i="4"/>
  <c r="G854" i="4"/>
  <c r="H854" i="4"/>
  <c r="I854" i="4"/>
  <c r="J854" i="4"/>
  <c r="J1129" i="4" s="1"/>
  <c r="K854" i="4"/>
  <c r="L854" i="4"/>
  <c r="M854" i="4"/>
  <c r="N854" i="4"/>
  <c r="O854" i="4"/>
  <c r="B855" i="4"/>
  <c r="C855" i="4"/>
  <c r="D855" i="4"/>
  <c r="E855" i="4"/>
  <c r="F855" i="4"/>
  <c r="G855" i="4"/>
  <c r="H855" i="4"/>
  <c r="I855" i="4"/>
  <c r="J855" i="4"/>
  <c r="K855" i="4"/>
  <c r="L855" i="4"/>
  <c r="M855" i="4"/>
  <c r="N855" i="4"/>
  <c r="O855" i="4"/>
  <c r="B856" i="4"/>
  <c r="C856" i="4"/>
  <c r="D856" i="4"/>
  <c r="E856" i="4"/>
  <c r="F856" i="4"/>
  <c r="G856" i="4"/>
  <c r="H856" i="4"/>
  <c r="I856" i="4"/>
  <c r="J856" i="4"/>
  <c r="K856" i="4"/>
  <c r="L856" i="4"/>
  <c r="M856" i="4"/>
  <c r="N856" i="4"/>
  <c r="O856" i="4"/>
  <c r="B857" i="4"/>
  <c r="C857" i="4"/>
  <c r="D857" i="4"/>
  <c r="E857" i="4"/>
  <c r="F857" i="4"/>
  <c r="G857" i="4"/>
  <c r="H857" i="4"/>
  <c r="I857" i="4"/>
  <c r="J857" i="4"/>
  <c r="K857" i="4"/>
  <c r="L857" i="4"/>
  <c r="M857" i="4"/>
  <c r="N857" i="4"/>
  <c r="O857" i="4"/>
  <c r="B858" i="4"/>
  <c r="C858" i="4"/>
  <c r="D858" i="4"/>
  <c r="E858" i="4"/>
  <c r="F858" i="4"/>
  <c r="G858" i="4"/>
  <c r="H858" i="4"/>
  <c r="I858" i="4"/>
  <c r="J858" i="4"/>
  <c r="K858" i="4"/>
  <c r="L858" i="4"/>
  <c r="M858" i="4"/>
  <c r="N858" i="4"/>
  <c r="O858" i="4"/>
  <c r="B859" i="4"/>
  <c r="C859" i="4"/>
  <c r="D859" i="4"/>
  <c r="E859" i="4"/>
  <c r="F859" i="4"/>
  <c r="G859" i="4"/>
  <c r="H859" i="4"/>
  <c r="I859" i="4"/>
  <c r="J859" i="4"/>
  <c r="K859" i="4"/>
  <c r="L859" i="4"/>
  <c r="M859" i="4"/>
  <c r="N859" i="4"/>
  <c r="O859" i="4"/>
  <c r="B860" i="4"/>
  <c r="C860" i="4"/>
  <c r="D860" i="4"/>
  <c r="E860" i="4"/>
  <c r="F860" i="4"/>
  <c r="G860" i="4"/>
  <c r="H860" i="4"/>
  <c r="I860" i="4"/>
  <c r="J860" i="4"/>
  <c r="K860" i="4"/>
  <c r="L860" i="4"/>
  <c r="M860" i="4"/>
  <c r="N860" i="4"/>
  <c r="O860" i="4"/>
  <c r="B861" i="4"/>
  <c r="C861" i="4"/>
  <c r="D861" i="4"/>
  <c r="E861" i="4"/>
  <c r="F861" i="4"/>
  <c r="G861" i="4"/>
  <c r="H861" i="4"/>
  <c r="I861" i="4"/>
  <c r="J861" i="4"/>
  <c r="K861" i="4"/>
  <c r="L861" i="4"/>
  <c r="M861" i="4"/>
  <c r="N861" i="4"/>
  <c r="O861" i="4"/>
  <c r="B862" i="4"/>
  <c r="C862" i="4"/>
  <c r="D862" i="4"/>
  <c r="E862" i="4"/>
  <c r="F862" i="4"/>
  <c r="G862" i="4"/>
  <c r="H862" i="4"/>
  <c r="I862" i="4"/>
  <c r="J862" i="4"/>
  <c r="K862" i="4"/>
  <c r="L862" i="4"/>
  <c r="M862" i="4"/>
  <c r="N862" i="4"/>
  <c r="O862" i="4"/>
  <c r="B863" i="4"/>
  <c r="C863" i="4"/>
  <c r="D863" i="4"/>
  <c r="E863" i="4"/>
  <c r="F863" i="4"/>
  <c r="G863" i="4"/>
  <c r="H863" i="4"/>
  <c r="I863" i="4"/>
  <c r="J863" i="4"/>
  <c r="K863" i="4"/>
  <c r="L863" i="4"/>
  <c r="M863" i="4"/>
  <c r="N863" i="4"/>
  <c r="O863" i="4"/>
  <c r="B864" i="4"/>
  <c r="C864" i="4"/>
  <c r="D864" i="4"/>
  <c r="E864" i="4"/>
  <c r="F864" i="4"/>
  <c r="G864" i="4"/>
  <c r="H864" i="4"/>
  <c r="I864" i="4"/>
  <c r="J864" i="4"/>
  <c r="K864" i="4"/>
  <c r="L864" i="4"/>
  <c r="M864" i="4"/>
  <c r="N864" i="4"/>
  <c r="O864" i="4"/>
  <c r="B865" i="4"/>
  <c r="C865" i="4"/>
  <c r="D865" i="4"/>
  <c r="E865" i="4"/>
  <c r="F865" i="4"/>
  <c r="G865" i="4"/>
  <c r="H865" i="4"/>
  <c r="I865" i="4"/>
  <c r="J865" i="4"/>
  <c r="K865" i="4"/>
  <c r="L865" i="4"/>
  <c r="M865" i="4"/>
  <c r="N865" i="4"/>
  <c r="O865" i="4"/>
  <c r="B866" i="4"/>
  <c r="C866" i="4"/>
  <c r="D866" i="4"/>
  <c r="E866" i="4"/>
  <c r="F866" i="4"/>
  <c r="G866" i="4"/>
  <c r="H866" i="4"/>
  <c r="I866" i="4"/>
  <c r="J866" i="4"/>
  <c r="K866" i="4"/>
  <c r="L866" i="4"/>
  <c r="M866" i="4"/>
  <c r="N866" i="4"/>
  <c r="O866" i="4"/>
  <c r="B867" i="4"/>
  <c r="C867" i="4"/>
  <c r="D867" i="4"/>
  <c r="E867" i="4"/>
  <c r="F867" i="4"/>
  <c r="G867" i="4"/>
  <c r="H867" i="4"/>
  <c r="I867" i="4"/>
  <c r="J867" i="4"/>
  <c r="K867" i="4"/>
  <c r="L867" i="4"/>
  <c r="L1130" i="4" s="1"/>
  <c r="M867" i="4"/>
  <c r="N867" i="4"/>
  <c r="O867" i="4"/>
  <c r="B868" i="4"/>
  <c r="C868" i="4"/>
  <c r="D868" i="4"/>
  <c r="E868" i="4"/>
  <c r="F868" i="4"/>
  <c r="G868" i="4"/>
  <c r="H868" i="4"/>
  <c r="I868" i="4"/>
  <c r="J868" i="4"/>
  <c r="K868" i="4"/>
  <c r="L868" i="4"/>
  <c r="M868" i="4"/>
  <c r="N868" i="4"/>
  <c r="O868" i="4"/>
  <c r="B869" i="4"/>
  <c r="C869" i="4"/>
  <c r="D869" i="4"/>
  <c r="E869" i="4"/>
  <c r="F869" i="4"/>
  <c r="G869" i="4"/>
  <c r="H869" i="4"/>
  <c r="I869" i="4"/>
  <c r="J869" i="4"/>
  <c r="K869" i="4"/>
  <c r="L869" i="4"/>
  <c r="M869" i="4"/>
  <c r="N869" i="4"/>
  <c r="O869" i="4"/>
  <c r="B870" i="4"/>
  <c r="C870" i="4"/>
  <c r="D870" i="4"/>
  <c r="E870" i="4"/>
  <c r="F870" i="4"/>
  <c r="G870" i="4"/>
  <c r="H870" i="4"/>
  <c r="I870" i="4"/>
  <c r="J870" i="4"/>
  <c r="K870" i="4"/>
  <c r="L870" i="4"/>
  <c r="M870" i="4"/>
  <c r="N870" i="4"/>
  <c r="O870" i="4"/>
  <c r="B871" i="4"/>
  <c r="C871" i="4"/>
  <c r="D871" i="4"/>
  <c r="E871" i="4"/>
  <c r="F871" i="4"/>
  <c r="G871" i="4"/>
  <c r="H871" i="4"/>
  <c r="I871" i="4"/>
  <c r="J871" i="4"/>
  <c r="K871" i="4"/>
  <c r="L871" i="4"/>
  <c r="M871" i="4"/>
  <c r="N871" i="4"/>
  <c r="O871" i="4"/>
  <c r="B872" i="4"/>
  <c r="C872" i="4"/>
  <c r="D872" i="4"/>
  <c r="E872" i="4"/>
  <c r="F872" i="4"/>
  <c r="G872" i="4"/>
  <c r="H872" i="4"/>
  <c r="I872" i="4"/>
  <c r="J872" i="4"/>
  <c r="K872" i="4"/>
  <c r="L872" i="4"/>
  <c r="M872" i="4"/>
  <c r="N872" i="4"/>
  <c r="O872" i="4"/>
  <c r="B873" i="4"/>
  <c r="C873" i="4"/>
  <c r="D873" i="4"/>
  <c r="E873" i="4"/>
  <c r="F873" i="4"/>
  <c r="G873" i="4"/>
  <c r="H873" i="4"/>
  <c r="I873" i="4"/>
  <c r="J873" i="4"/>
  <c r="K873" i="4"/>
  <c r="L873" i="4"/>
  <c r="M873" i="4"/>
  <c r="N873" i="4"/>
  <c r="O873" i="4"/>
  <c r="B874" i="4"/>
  <c r="C874" i="4"/>
  <c r="D874" i="4"/>
  <c r="E874" i="4"/>
  <c r="F874" i="4"/>
  <c r="G874" i="4"/>
  <c r="H874" i="4"/>
  <c r="I874" i="4"/>
  <c r="J874" i="4"/>
  <c r="K874" i="4"/>
  <c r="L874" i="4"/>
  <c r="M874" i="4"/>
  <c r="N874" i="4"/>
  <c r="O874" i="4"/>
  <c r="B875" i="4"/>
  <c r="C875" i="4"/>
  <c r="D875" i="4"/>
  <c r="E875" i="4"/>
  <c r="F875" i="4"/>
  <c r="G875" i="4"/>
  <c r="H875" i="4"/>
  <c r="I875" i="4"/>
  <c r="J875" i="4"/>
  <c r="K875" i="4"/>
  <c r="L875" i="4"/>
  <c r="M875" i="4"/>
  <c r="N875" i="4"/>
  <c r="O875" i="4"/>
  <c r="B876" i="4"/>
  <c r="C876" i="4"/>
  <c r="D876" i="4"/>
  <c r="E876" i="4"/>
  <c r="F876" i="4"/>
  <c r="G876" i="4"/>
  <c r="H876" i="4"/>
  <c r="I876" i="4"/>
  <c r="J876" i="4"/>
  <c r="K876" i="4"/>
  <c r="L876" i="4"/>
  <c r="M876" i="4"/>
  <c r="N876" i="4"/>
  <c r="O876" i="4"/>
  <c r="B877" i="4"/>
  <c r="C877" i="4"/>
  <c r="D877" i="4"/>
  <c r="E877" i="4"/>
  <c r="F877" i="4"/>
  <c r="G877" i="4"/>
  <c r="H877" i="4"/>
  <c r="I877" i="4"/>
  <c r="J877" i="4"/>
  <c r="K877" i="4"/>
  <c r="L877" i="4"/>
  <c r="M877" i="4"/>
  <c r="N877" i="4"/>
  <c r="O877" i="4"/>
  <c r="B878" i="4"/>
  <c r="C878" i="4"/>
  <c r="D878" i="4"/>
  <c r="E878" i="4"/>
  <c r="F878" i="4"/>
  <c r="G878" i="4"/>
  <c r="H878" i="4"/>
  <c r="I878" i="4"/>
  <c r="J878" i="4"/>
  <c r="K878" i="4"/>
  <c r="L878" i="4"/>
  <c r="M878" i="4"/>
  <c r="N878" i="4"/>
  <c r="N1131" i="4" s="1"/>
  <c r="O878" i="4"/>
  <c r="B879" i="4"/>
  <c r="C879" i="4"/>
  <c r="D879" i="4"/>
  <c r="E879" i="4"/>
  <c r="F879" i="4"/>
  <c r="G879" i="4"/>
  <c r="H879" i="4"/>
  <c r="I879" i="4"/>
  <c r="J879" i="4"/>
  <c r="K879" i="4"/>
  <c r="L879" i="4"/>
  <c r="M879" i="4"/>
  <c r="N879" i="4"/>
  <c r="O879" i="4"/>
  <c r="B880" i="4"/>
  <c r="C880" i="4"/>
  <c r="D880" i="4"/>
  <c r="E880" i="4"/>
  <c r="F880" i="4"/>
  <c r="G880" i="4"/>
  <c r="H880" i="4"/>
  <c r="I880" i="4"/>
  <c r="J880" i="4"/>
  <c r="K880" i="4"/>
  <c r="L880" i="4"/>
  <c r="M880" i="4"/>
  <c r="N880" i="4"/>
  <c r="O880" i="4"/>
  <c r="B881" i="4"/>
  <c r="C881" i="4"/>
  <c r="D881" i="4"/>
  <c r="E881" i="4"/>
  <c r="F881" i="4"/>
  <c r="G881" i="4"/>
  <c r="H881" i="4"/>
  <c r="I881" i="4"/>
  <c r="J881" i="4"/>
  <c r="K881" i="4"/>
  <c r="L881" i="4"/>
  <c r="M881" i="4"/>
  <c r="N881" i="4"/>
  <c r="O881" i="4"/>
  <c r="B882" i="4"/>
  <c r="C882" i="4"/>
  <c r="D882" i="4"/>
  <c r="E882" i="4"/>
  <c r="F882" i="4"/>
  <c r="G882" i="4"/>
  <c r="H882" i="4"/>
  <c r="I882" i="4"/>
  <c r="J882" i="4"/>
  <c r="K882" i="4"/>
  <c r="L882" i="4"/>
  <c r="M882" i="4"/>
  <c r="N882" i="4"/>
  <c r="O882" i="4"/>
  <c r="B883" i="4"/>
  <c r="C883" i="4"/>
  <c r="D883" i="4"/>
  <c r="E883" i="4"/>
  <c r="F883" i="4"/>
  <c r="G883" i="4"/>
  <c r="H883" i="4"/>
  <c r="I883" i="4"/>
  <c r="J883" i="4"/>
  <c r="K883" i="4"/>
  <c r="L883" i="4"/>
  <c r="M883" i="4"/>
  <c r="N883" i="4"/>
  <c r="O883" i="4"/>
  <c r="B884" i="4"/>
  <c r="C884" i="4"/>
  <c r="D884" i="4"/>
  <c r="E884" i="4"/>
  <c r="F884" i="4"/>
  <c r="G884" i="4"/>
  <c r="H884" i="4"/>
  <c r="I884" i="4"/>
  <c r="J884" i="4"/>
  <c r="K884" i="4"/>
  <c r="L884" i="4"/>
  <c r="M884" i="4"/>
  <c r="N884" i="4"/>
  <c r="O884" i="4"/>
  <c r="B885" i="4"/>
  <c r="C885" i="4"/>
  <c r="D885" i="4"/>
  <c r="E885" i="4"/>
  <c r="F885" i="4"/>
  <c r="G885" i="4"/>
  <c r="H885" i="4"/>
  <c r="I885" i="4"/>
  <c r="J885" i="4"/>
  <c r="K885" i="4"/>
  <c r="L885" i="4"/>
  <c r="M885" i="4"/>
  <c r="N885" i="4"/>
  <c r="O885" i="4"/>
  <c r="B886" i="4"/>
  <c r="C886" i="4"/>
  <c r="D886" i="4"/>
  <c r="E886" i="4"/>
  <c r="F886" i="4"/>
  <c r="G886" i="4"/>
  <c r="H886" i="4"/>
  <c r="I886" i="4"/>
  <c r="J886" i="4"/>
  <c r="K886" i="4"/>
  <c r="L886" i="4"/>
  <c r="M886" i="4"/>
  <c r="N886" i="4"/>
  <c r="O886" i="4"/>
  <c r="B887" i="4"/>
  <c r="C887" i="4"/>
  <c r="D887" i="4"/>
  <c r="E887" i="4"/>
  <c r="F887" i="4"/>
  <c r="G887" i="4"/>
  <c r="H887" i="4"/>
  <c r="I887" i="4"/>
  <c r="J887" i="4"/>
  <c r="K887" i="4"/>
  <c r="L887" i="4"/>
  <c r="M887" i="4"/>
  <c r="N887" i="4"/>
  <c r="O887" i="4"/>
  <c r="B888" i="4"/>
  <c r="C888" i="4"/>
  <c r="D888" i="4"/>
  <c r="E888" i="4"/>
  <c r="F888" i="4"/>
  <c r="G888" i="4"/>
  <c r="H888" i="4"/>
  <c r="I888" i="4"/>
  <c r="J888" i="4"/>
  <c r="K888" i="4"/>
  <c r="L888" i="4"/>
  <c r="M888" i="4"/>
  <c r="N888" i="4"/>
  <c r="O888" i="4"/>
  <c r="B889" i="4"/>
  <c r="C889" i="4"/>
  <c r="D889" i="4"/>
  <c r="E889" i="4"/>
  <c r="F889" i="4"/>
  <c r="G889" i="4"/>
  <c r="H889" i="4"/>
  <c r="I889" i="4"/>
  <c r="J889" i="4"/>
  <c r="K889" i="4"/>
  <c r="L889" i="4"/>
  <c r="M889" i="4"/>
  <c r="N889" i="4"/>
  <c r="O889" i="4"/>
  <c r="B890" i="4"/>
  <c r="C890" i="4"/>
  <c r="D890" i="4"/>
  <c r="E890" i="4"/>
  <c r="F890" i="4"/>
  <c r="G890" i="4"/>
  <c r="H890" i="4"/>
  <c r="I890" i="4"/>
  <c r="J890" i="4"/>
  <c r="K890" i="4"/>
  <c r="L890" i="4"/>
  <c r="M890" i="4"/>
  <c r="N890" i="4"/>
  <c r="O890" i="4"/>
  <c r="B891" i="4"/>
  <c r="C891" i="4"/>
  <c r="D891" i="4"/>
  <c r="E891" i="4"/>
  <c r="F891" i="4"/>
  <c r="G891" i="4"/>
  <c r="H891" i="4"/>
  <c r="I891" i="4"/>
  <c r="J891" i="4"/>
  <c r="K891" i="4"/>
  <c r="L891" i="4"/>
  <c r="M891" i="4"/>
  <c r="N891" i="4"/>
  <c r="O891" i="4"/>
  <c r="B892" i="4"/>
  <c r="C892" i="4"/>
  <c r="D892" i="4"/>
  <c r="E892" i="4"/>
  <c r="F892" i="4"/>
  <c r="G892" i="4"/>
  <c r="H892" i="4"/>
  <c r="I892" i="4"/>
  <c r="J892" i="4"/>
  <c r="K892" i="4"/>
  <c r="L892" i="4"/>
  <c r="M892" i="4"/>
  <c r="N892" i="4"/>
  <c r="O892" i="4"/>
  <c r="B893" i="4"/>
  <c r="C893" i="4"/>
  <c r="D893" i="4"/>
  <c r="E893" i="4"/>
  <c r="F893" i="4"/>
  <c r="G893" i="4"/>
  <c r="H893" i="4"/>
  <c r="I893" i="4"/>
  <c r="J893" i="4"/>
  <c r="K893" i="4"/>
  <c r="L893" i="4"/>
  <c r="M893" i="4"/>
  <c r="N893" i="4"/>
  <c r="O893" i="4"/>
  <c r="B894" i="4"/>
  <c r="C894" i="4"/>
  <c r="D894" i="4"/>
  <c r="E894" i="4"/>
  <c r="F894" i="4"/>
  <c r="G894" i="4"/>
  <c r="H894" i="4"/>
  <c r="I894" i="4"/>
  <c r="J894" i="4"/>
  <c r="K894" i="4"/>
  <c r="L894" i="4"/>
  <c r="M894" i="4"/>
  <c r="N894" i="4"/>
  <c r="O894" i="4"/>
  <c r="B895" i="4"/>
  <c r="C895" i="4"/>
  <c r="D895" i="4"/>
  <c r="E895" i="4"/>
  <c r="F895" i="4"/>
  <c r="G895" i="4"/>
  <c r="H895" i="4"/>
  <c r="I895" i="4"/>
  <c r="J895" i="4"/>
  <c r="K895" i="4"/>
  <c r="L895" i="4"/>
  <c r="M895" i="4"/>
  <c r="N895" i="4"/>
  <c r="O895" i="4"/>
  <c r="B896" i="4"/>
  <c r="C896" i="4"/>
  <c r="D896" i="4"/>
  <c r="E896" i="4"/>
  <c r="F896" i="4"/>
  <c r="G896" i="4"/>
  <c r="H896" i="4"/>
  <c r="I896" i="4"/>
  <c r="J896" i="4"/>
  <c r="K896" i="4"/>
  <c r="L896" i="4"/>
  <c r="M896" i="4"/>
  <c r="N896" i="4"/>
  <c r="O896" i="4"/>
  <c r="B897" i="4"/>
  <c r="C897" i="4"/>
  <c r="D897" i="4"/>
  <c r="E897" i="4"/>
  <c r="F897" i="4"/>
  <c r="G897" i="4"/>
  <c r="H897" i="4"/>
  <c r="I897" i="4"/>
  <c r="J897" i="4"/>
  <c r="K897" i="4"/>
  <c r="L897" i="4"/>
  <c r="M897" i="4"/>
  <c r="N897" i="4"/>
  <c r="O897" i="4"/>
  <c r="B898" i="4"/>
  <c r="C898" i="4"/>
  <c r="D898" i="4"/>
  <c r="E898" i="4"/>
  <c r="F898" i="4"/>
  <c r="G898" i="4"/>
  <c r="H898" i="4"/>
  <c r="I898" i="4"/>
  <c r="J898" i="4"/>
  <c r="K898" i="4"/>
  <c r="L898" i="4"/>
  <c r="M898" i="4"/>
  <c r="N898" i="4"/>
  <c r="O898" i="4"/>
  <c r="B899" i="4"/>
  <c r="C899" i="4"/>
  <c r="D899" i="4"/>
  <c r="E899" i="4"/>
  <c r="F899" i="4"/>
  <c r="G899" i="4"/>
  <c r="H899" i="4"/>
  <c r="I899" i="4"/>
  <c r="J899" i="4"/>
  <c r="K899" i="4"/>
  <c r="L899" i="4"/>
  <c r="M899" i="4"/>
  <c r="N899" i="4"/>
  <c r="O899" i="4"/>
  <c r="B900" i="4"/>
  <c r="C900" i="4"/>
  <c r="D900" i="4"/>
  <c r="E900" i="4"/>
  <c r="F900" i="4"/>
  <c r="G900" i="4"/>
  <c r="H900" i="4"/>
  <c r="I900" i="4"/>
  <c r="J900" i="4"/>
  <c r="K900" i="4"/>
  <c r="L900" i="4"/>
  <c r="M900" i="4"/>
  <c r="N900" i="4"/>
  <c r="O900" i="4"/>
  <c r="B901" i="4"/>
  <c r="C901" i="4"/>
  <c r="D901" i="4"/>
  <c r="E901" i="4"/>
  <c r="F901" i="4"/>
  <c r="G901" i="4"/>
  <c r="H901" i="4"/>
  <c r="I901" i="4"/>
  <c r="J901" i="4"/>
  <c r="K901" i="4"/>
  <c r="L901" i="4"/>
  <c r="M901" i="4"/>
  <c r="N901" i="4"/>
  <c r="O901" i="4"/>
  <c r="B902" i="4"/>
  <c r="B1133" i="4" s="1"/>
  <c r="C902" i="4"/>
  <c r="D902" i="4"/>
  <c r="E902" i="4"/>
  <c r="F902" i="4"/>
  <c r="G902" i="4"/>
  <c r="H902" i="4"/>
  <c r="I902" i="4"/>
  <c r="J902" i="4"/>
  <c r="K902" i="4"/>
  <c r="L902" i="4"/>
  <c r="M902" i="4"/>
  <c r="N902" i="4"/>
  <c r="O902" i="4"/>
  <c r="B903" i="4"/>
  <c r="C903" i="4"/>
  <c r="D903" i="4"/>
  <c r="E903" i="4"/>
  <c r="F903" i="4"/>
  <c r="G903" i="4"/>
  <c r="H903" i="4"/>
  <c r="I903" i="4"/>
  <c r="J903" i="4"/>
  <c r="K903" i="4"/>
  <c r="L903" i="4"/>
  <c r="M903" i="4"/>
  <c r="N903" i="4"/>
  <c r="O903" i="4"/>
  <c r="B904" i="4"/>
  <c r="C904" i="4"/>
  <c r="D904" i="4"/>
  <c r="E904" i="4"/>
  <c r="F904" i="4"/>
  <c r="G904" i="4"/>
  <c r="H904" i="4"/>
  <c r="I904" i="4"/>
  <c r="J904" i="4"/>
  <c r="K904" i="4"/>
  <c r="L904" i="4"/>
  <c r="M904" i="4"/>
  <c r="N904" i="4"/>
  <c r="O904" i="4"/>
  <c r="B905" i="4"/>
  <c r="C905" i="4"/>
  <c r="D905" i="4"/>
  <c r="E905" i="4"/>
  <c r="F905" i="4"/>
  <c r="G905" i="4"/>
  <c r="H905" i="4"/>
  <c r="I905" i="4"/>
  <c r="J905" i="4"/>
  <c r="K905" i="4"/>
  <c r="L905" i="4"/>
  <c r="M905" i="4"/>
  <c r="N905" i="4"/>
  <c r="O905" i="4"/>
  <c r="B906" i="4"/>
  <c r="C906" i="4"/>
  <c r="D906" i="4"/>
  <c r="E906" i="4"/>
  <c r="F906" i="4"/>
  <c r="G906" i="4"/>
  <c r="H906" i="4"/>
  <c r="I906" i="4"/>
  <c r="J906" i="4"/>
  <c r="K906" i="4"/>
  <c r="L906" i="4"/>
  <c r="M906" i="4"/>
  <c r="N906" i="4"/>
  <c r="O906" i="4"/>
  <c r="B907" i="4"/>
  <c r="C907" i="4"/>
  <c r="D907" i="4"/>
  <c r="E907" i="4"/>
  <c r="F907" i="4"/>
  <c r="G907" i="4"/>
  <c r="H907" i="4"/>
  <c r="I907" i="4"/>
  <c r="J907" i="4"/>
  <c r="K907" i="4"/>
  <c r="L907" i="4"/>
  <c r="M907" i="4"/>
  <c r="N907" i="4"/>
  <c r="O907" i="4"/>
  <c r="B908" i="4"/>
  <c r="C908" i="4"/>
  <c r="D908" i="4"/>
  <c r="E908" i="4"/>
  <c r="F908" i="4"/>
  <c r="G908" i="4"/>
  <c r="H908" i="4"/>
  <c r="I908" i="4"/>
  <c r="J908" i="4"/>
  <c r="K908" i="4"/>
  <c r="L908" i="4"/>
  <c r="M908" i="4"/>
  <c r="N908" i="4"/>
  <c r="O908" i="4"/>
  <c r="B909" i="4"/>
  <c r="C909" i="4"/>
  <c r="D909" i="4"/>
  <c r="E909" i="4"/>
  <c r="F909" i="4"/>
  <c r="G909" i="4"/>
  <c r="H909" i="4"/>
  <c r="I909" i="4"/>
  <c r="J909" i="4"/>
  <c r="K909" i="4"/>
  <c r="L909" i="4"/>
  <c r="M909" i="4"/>
  <c r="N909" i="4"/>
  <c r="O909" i="4"/>
  <c r="B910" i="4"/>
  <c r="C910" i="4"/>
  <c r="D910" i="4"/>
  <c r="E910" i="4"/>
  <c r="F910" i="4"/>
  <c r="G910" i="4"/>
  <c r="H910" i="4"/>
  <c r="I910" i="4"/>
  <c r="J910" i="4"/>
  <c r="K910" i="4"/>
  <c r="L910" i="4"/>
  <c r="M910" i="4"/>
  <c r="N910" i="4"/>
  <c r="O910" i="4"/>
  <c r="B911" i="4"/>
  <c r="C911" i="4"/>
  <c r="D911" i="4"/>
  <c r="E911" i="4"/>
  <c r="F911" i="4"/>
  <c r="G911" i="4"/>
  <c r="H911" i="4"/>
  <c r="I911" i="4"/>
  <c r="J911" i="4"/>
  <c r="K911" i="4"/>
  <c r="L911" i="4"/>
  <c r="M911" i="4"/>
  <c r="N911" i="4"/>
  <c r="O911" i="4"/>
  <c r="B912" i="4"/>
  <c r="C912" i="4"/>
  <c r="D912" i="4"/>
  <c r="E912" i="4"/>
  <c r="F912" i="4"/>
  <c r="G912" i="4"/>
  <c r="H912" i="4"/>
  <c r="I912" i="4"/>
  <c r="J912" i="4"/>
  <c r="K912" i="4"/>
  <c r="L912" i="4"/>
  <c r="M912" i="4"/>
  <c r="N912" i="4"/>
  <c r="O912" i="4"/>
  <c r="B913" i="4"/>
  <c r="C913" i="4"/>
  <c r="D913" i="4"/>
  <c r="E913" i="4"/>
  <c r="F913" i="4"/>
  <c r="G913" i="4"/>
  <c r="H913" i="4"/>
  <c r="I913" i="4"/>
  <c r="J913" i="4"/>
  <c r="K913" i="4"/>
  <c r="L913" i="4"/>
  <c r="M913" i="4"/>
  <c r="N913" i="4"/>
  <c r="O913" i="4"/>
  <c r="B914" i="4"/>
  <c r="C914" i="4"/>
  <c r="D914" i="4"/>
  <c r="E914" i="4"/>
  <c r="F914" i="4"/>
  <c r="G914" i="4"/>
  <c r="H914" i="4"/>
  <c r="I914" i="4"/>
  <c r="J914" i="4"/>
  <c r="K914" i="4"/>
  <c r="L914" i="4"/>
  <c r="M914" i="4"/>
  <c r="N914" i="4"/>
  <c r="O914" i="4"/>
  <c r="B915" i="4"/>
  <c r="C915" i="4"/>
  <c r="D915" i="4"/>
  <c r="D1134" i="4" s="1"/>
  <c r="E915" i="4"/>
  <c r="F915" i="4"/>
  <c r="G915" i="4"/>
  <c r="H915" i="4"/>
  <c r="I915" i="4"/>
  <c r="J915" i="4"/>
  <c r="K915" i="4"/>
  <c r="L915" i="4"/>
  <c r="M915" i="4"/>
  <c r="N915" i="4"/>
  <c r="O915" i="4"/>
  <c r="B916" i="4"/>
  <c r="C916" i="4"/>
  <c r="D916" i="4"/>
  <c r="E916" i="4"/>
  <c r="F916" i="4"/>
  <c r="G916" i="4"/>
  <c r="H916" i="4"/>
  <c r="I916" i="4"/>
  <c r="J916" i="4"/>
  <c r="K916" i="4"/>
  <c r="L916" i="4"/>
  <c r="M916" i="4"/>
  <c r="N916" i="4"/>
  <c r="O916" i="4"/>
  <c r="B917" i="4"/>
  <c r="C917" i="4"/>
  <c r="D917" i="4"/>
  <c r="E917" i="4"/>
  <c r="F917" i="4"/>
  <c r="G917" i="4"/>
  <c r="H917" i="4"/>
  <c r="I917" i="4"/>
  <c r="J917" i="4"/>
  <c r="K917" i="4"/>
  <c r="L917" i="4"/>
  <c r="M917" i="4"/>
  <c r="N917" i="4"/>
  <c r="O917" i="4"/>
  <c r="B918" i="4"/>
  <c r="C918" i="4"/>
  <c r="D918" i="4"/>
  <c r="E918" i="4"/>
  <c r="F918" i="4"/>
  <c r="G918" i="4"/>
  <c r="H918" i="4"/>
  <c r="I918" i="4"/>
  <c r="J918" i="4"/>
  <c r="K918" i="4"/>
  <c r="L918" i="4"/>
  <c r="M918" i="4"/>
  <c r="N918" i="4"/>
  <c r="O918" i="4"/>
  <c r="B919" i="4"/>
  <c r="C919" i="4"/>
  <c r="D919" i="4"/>
  <c r="E919" i="4"/>
  <c r="F919" i="4"/>
  <c r="G919" i="4"/>
  <c r="H919" i="4"/>
  <c r="I919" i="4"/>
  <c r="J919" i="4"/>
  <c r="K919" i="4"/>
  <c r="L919" i="4"/>
  <c r="M919" i="4"/>
  <c r="N919" i="4"/>
  <c r="O919" i="4"/>
  <c r="B920" i="4"/>
  <c r="C920" i="4"/>
  <c r="D920" i="4"/>
  <c r="E920" i="4"/>
  <c r="F920" i="4"/>
  <c r="G920" i="4"/>
  <c r="H920" i="4"/>
  <c r="I920" i="4"/>
  <c r="J920" i="4"/>
  <c r="K920" i="4"/>
  <c r="L920" i="4"/>
  <c r="M920" i="4"/>
  <c r="N920" i="4"/>
  <c r="O920" i="4"/>
  <c r="B921" i="4"/>
  <c r="C921" i="4"/>
  <c r="D921" i="4"/>
  <c r="E921" i="4"/>
  <c r="F921" i="4"/>
  <c r="G921" i="4"/>
  <c r="H921" i="4"/>
  <c r="I921" i="4"/>
  <c r="J921" i="4"/>
  <c r="K921" i="4"/>
  <c r="L921" i="4"/>
  <c r="M921" i="4"/>
  <c r="N921" i="4"/>
  <c r="O921" i="4"/>
  <c r="B922" i="4"/>
  <c r="C922" i="4"/>
  <c r="D922" i="4"/>
  <c r="E922" i="4"/>
  <c r="F922" i="4"/>
  <c r="G922" i="4"/>
  <c r="H922" i="4"/>
  <c r="I922" i="4"/>
  <c r="J922" i="4"/>
  <c r="K922" i="4"/>
  <c r="L922" i="4"/>
  <c r="M922" i="4"/>
  <c r="N922" i="4"/>
  <c r="O922" i="4"/>
  <c r="B923" i="4"/>
  <c r="C923" i="4"/>
  <c r="D923" i="4"/>
  <c r="E923" i="4"/>
  <c r="F923" i="4"/>
  <c r="G923" i="4"/>
  <c r="H923" i="4"/>
  <c r="I923" i="4"/>
  <c r="J923" i="4"/>
  <c r="K923" i="4"/>
  <c r="L923" i="4"/>
  <c r="M923" i="4"/>
  <c r="N923" i="4"/>
  <c r="O923" i="4"/>
  <c r="B924" i="4"/>
  <c r="C924" i="4"/>
  <c r="D924" i="4"/>
  <c r="E924" i="4"/>
  <c r="F924" i="4"/>
  <c r="G924" i="4"/>
  <c r="H924" i="4"/>
  <c r="I924" i="4"/>
  <c r="J924" i="4"/>
  <c r="K924" i="4"/>
  <c r="L924" i="4"/>
  <c r="M924" i="4"/>
  <c r="N924" i="4"/>
  <c r="O924" i="4"/>
  <c r="B925" i="4"/>
  <c r="C925" i="4"/>
  <c r="D925" i="4"/>
  <c r="E925" i="4"/>
  <c r="F925" i="4"/>
  <c r="G925" i="4"/>
  <c r="H925" i="4"/>
  <c r="I925" i="4"/>
  <c r="J925" i="4"/>
  <c r="K925" i="4"/>
  <c r="L925" i="4"/>
  <c r="M925" i="4"/>
  <c r="N925" i="4"/>
  <c r="O925" i="4"/>
  <c r="B926" i="4"/>
  <c r="C926" i="4"/>
  <c r="D926" i="4"/>
  <c r="E926" i="4"/>
  <c r="F926" i="4"/>
  <c r="G926" i="4"/>
  <c r="H926" i="4"/>
  <c r="I926" i="4"/>
  <c r="J926" i="4"/>
  <c r="K926" i="4"/>
  <c r="L926" i="4"/>
  <c r="M926" i="4"/>
  <c r="N926" i="4"/>
  <c r="O926" i="4"/>
  <c r="B927" i="4"/>
  <c r="C927" i="4"/>
  <c r="D927" i="4"/>
  <c r="E927" i="4"/>
  <c r="F927" i="4"/>
  <c r="G927" i="4"/>
  <c r="H927" i="4"/>
  <c r="I927" i="4"/>
  <c r="J927" i="4"/>
  <c r="K927" i="4"/>
  <c r="L927" i="4"/>
  <c r="M927" i="4"/>
  <c r="N927" i="4"/>
  <c r="O927" i="4"/>
  <c r="B928" i="4"/>
  <c r="C928" i="4"/>
  <c r="D928" i="4"/>
  <c r="E928" i="4"/>
  <c r="F928" i="4"/>
  <c r="G928" i="4"/>
  <c r="H928" i="4"/>
  <c r="I928" i="4"/>
  <c r="J928" i="4"/>
  <c r="K928" i="4"/>
  <c r="L928" i="4"/>
  <c r="M928" i="4"/>
  <c r="N928" i="4"/>
  <c r="O928" i="4"/>
  <c r="B929" i="4"/>
  <c r="C929" i="4"/>
  <c r="D929" i="4"/>
  <c r="E929" i="4"/>
  <c r="F929" i="4"/>
  <c r="G929" i="4"/>
  <c r="H929" i="4"/>
  <c r="I929" i="4"/>
  <c r="J929" i="4"/>
  <c r="K929" i="4"/>
  <c r="L929" i="4"/>
  <c r="M929" i="4"/>
  <c r="N929" i="4"/>
  <c r="O929" i="4"/>
  <c r="B930" i="4"/>
  <c r="C930" i="4"/>
  <c r="D930" i="4"/>
  <c r="E930" i="4"/>
  <c r="F930" i="4"/>
  <c r="G930" i="4"/>
  <c r="H930" i="4"/>
  <c r="I930" i="4"/>
  <c r="J930" i="4"/>
  <c r="K930" i="4"/>
  <c r="L930" i="4"/>
  <c r="M930" i="4"/>
  <c r="N930" i="4"/>
  <c r="O930" i="4"/>
  <c r="B931" i="4"/>
  <c r="C931" i="4"/>
  <c r="D931" i="4"/>
  <c r="E931" i="4"/>
  <c r="F931" i="4"/>
  <c r="G931" i="4"/>
  <c r="H931" i="4"/>
  <c r="I931" i="4"/>
  <c r="J931" i="4"/>
  <c r="K931" i="4"/>
  <c r="L931" i="4"/>
  <c r="M931" i="4"/>
  <c r="N931" i="4"/>
  <c r="O931" i="4"/>
  <c r="B932" i="4"/>
  <c r="C932" i="4"/>
  <c r="D932" i="4"/>
  <c r="E932" i="4"/>
  <c r="F932" i="4"/>
  <c r="G932" i="4"/>
  <c r="H932" i="4"/>
  <c r="I932" i="4"/>
  <c r="J932" i="4"/>
  <c r="K932" i="4"/>
  <c r="L932" i="4"/>
  <c r="M932" i="4"/>
  <c r="N932" i="4"/>
  <c r="O932" i="4"/>
  <c r="B933" i="4"/>
  <c r="C933" i="4"/>
  <c r="D933" i="4"/>
  <c r="E933" i="4"/>
  <c r="F933" i="4"/>
  <c r="G933" i="4"/>
  <c r="H933" i="4"/>
  <c r="I933" i="4"/>
  <c r="J933" i="4"/>
  <c r="K933" i="4"/>
  <c r="L933" i="4"/>
  <c r="M933" i="4"/>
  <c r="N933" i="4"/>
  <c r="O933" i="4"/>
  <c r="B934" i="4"/>
  <c r="C934" i="4"/>
  <c r="D934" i="4"/>
  <c r="E934" i="4"/>
  <c r="F934" i="4"/>
  <c r="G934" i="4"/>
  <c r="H934" i="4"/>
  <c r="I934" i="4"/>
  <c r="J934" i="4"/>
  <c r="K934" i="4"/>
  <c r="L934" i="4"/>
  <c r="M934" i="4"/>
  <c r="N934" i="4"/>
  <c r="O934" i="4"/>
  <c r="B935" i="4"/>
  <c r="C935" i="4"/>
  <c r="D935" i="4"/>
  <c r="E935" i="4"/>
  <c r="F935" i="4"/>
  <c r="G935" i="4"/>
  <c r="H935" i="4"/>
  <c r="I935" i="4"/>
  <c r="J935" i="4"/>
  <c r="K935" i="4"/>
  <c r="L935" i="4"/>
  <c r="M935" i="4"/>
  <c r="N935" i="4"/>
  <c r="O935" i="4"/>
  <c r="B936" i="4"/>
  <c r="C936" i="4"/>
  <c r="D936" i="4"/>
  <c r="E936" i="4"/>
  <c r="F936" i="4"/>
  <c r="G936" i="4"/>
  <c r="H936" i="4"/>
  <c r="I936" i="4"/>
  <c r="J936" i="4"/>
  <c r="K936" i="4"/>
  <c r="L936" i="4"/>
  <c r="M936" i="4"/>
  <c r="N936" i="4"/>
  <c r="O936" i="4"/>
  <c r="B937" i="4"/>
  <c r="C937" i="4"/>
  <c r="D937" i="4"/>
  <c r="E937" i="4"/>
  <c r="F937" i="4"/>
  <c r="G937" i="4"/>
  <c r="H937" i="4"/>
  <c r="I937" i="4"/>
  <c r="J937" i="4"/>
  <c r="K937" i="4"/>
  <c r="L937" i="4"/>
  <c r="M937" i="4"/>
  <c r="N937" i="4"/>
  <c r="O937" i="4"/>
  <c r="B938" i="4"/>
  <c r="C938" i="4"/>
  <c r="D938" i="4"/>
  <c r="E938" i="4"/>
  <c r="F938" i="4"/>
  <c r="G938" i="4"/>
  <c r="H938" i="4"/>
  <c r="I938" i="4"/>
  <c r="J938" i="4"/>
  <c r="K938" i="4"/>
  <c r="L938" i="4"/>
  <c r="M938" i="4"/>
  <c r="N938" i="4"/>
  <c r="O938" i="4"/>
  <c r="B939" i="4"/>
  <c r="C939" i="4"/>
  <c r="D939" i="4"/>
  <c r="E939" i="4"/>
  <c r="F939" i="4"/>
  <c r="G939" i="4"/>
  <c r="H939" i="4"/>
  <c r="I939" i="4"/>
  <c r="J939" i="4"/>
  <c r="K939" i="4"/>
  <c r="L939" i="4"/>
  <c r="M939" i="4"/>
  <c r="N939" i="4"/>
  <c r="O939" i="4"/>
  <c r="B940" i="4"/>
  <c r="C940" i="4"/>
  <c r="D940" i="4"/>
  <c r="E940" i="4"/>
  <c r="F940" i="4"/>
  <c r="G940" i="4"/>
  <c r="H940" i="4"/>
  <c r="I940" i="4"/>
  <c r="J940" i="4"/>
  <c r="K940" i="4"/>
  <c r="L940" i="4"/>
  <c r="M940" i="4"/>
  <c r="N940" i="4"/>
  <c r="O940" i="4"/>
  <c r="B941" i="4"/>
  <c r="C941" i="4"/>
  <c r="D941" i="4"/>
  <c r="E941" i="4"/>
  <c r="F941" i="4"/>
  <c r="G941" i="4"/>
  <c r="H941" i="4"/>
  <c r="I941" i="4"/>
  <c r="J941" i="4"/>
  <c r="K941" i="4"/>
  <c r="L941" i="4"/>
  <c r="M941" i="4"/>
  <c r="N941" i="4"/>
  <c r="O941" i="4"/>
  <c r="B942" i="4"/>
  <c r="C942" i="4"/>
  <c r="D942" i="4"/>
  <c r="E942" i="4"/>
  <c r="F942" i="4"/>
  <c r="G942" i="4"/>
  <c r="H942" i="4"/>
  <c r="I942" i="4"/>
  <c r="J942" i="4"/>
  <c r="K942" i="4"/>
  <c r="L942" i="4"/>
  <c r="M942" i="4"/>
  <c r="N942" i="4"/>
  <c r="O942" i="4"/>
  <c r="B943" i="4"/>
  <c r="C943" i="4"/>
  <c r="D943" i="4"/>
  <c r="E943" i="4"/>
  <c r="F943" i="4"/>
  <c r="G943" i="4"/>
  <c r="H943" i="4"/>
  <c r="I943" i="4"/>
  <c r="J943" i="4"/>
  <c r="K943" i="4"/>
  <c r="L943" i="4"/>
  <c r="M943" i="4"/>
  <c r="N943" i="4"/>
  <c r="O943" i="4"/>
  <c r="B944" i="4"/>
  <c r="C944" i="4"/>
  <c r="D944" i="4"/>
  <c r="E944" i="4"/>
  <c r="F944" i="4"/>
  <c r="G944" i="4"/>
  <c r="H944" i="4"/>
  <c r="I944" i="4"/>
  <c r="J944" i="4"/>
  <c r="K944" i="4"/>
  <c r="L944" i="4"/>
  <c r="M944" i="4"/>
  <c r="N944" i="4"/>
  <c r="O944" i="4"/>
  <c r="B945" i="4"/>
  <c r="C945" i="4"/>
  <c r="D945" i="4"/>
  <c r="E945" i="4"/>
  <c r="F945" i="4"/>
  <c r="G945" i="4"/>
  <c r="H945" i="4"/>
  <c r="I945" i="4"/>
  <c r="J945" i="4"/>
  <c r="K945" i="4"/>
  <c r="L945" i="4"/>
  <c r="M945" i="4"/>
  <c r="N945" i="4"/>
  <c r="O945" i="4"/>
  <c r="B946" i="4"/>
  <c r="C946" i="4"/>
  <c r="D946" i="4"/>
  <c r="E946" i="4"/>
  <c r="F946" i="4"/>
  <c r="G946" i="4"/>
  <c r="H946" i="4"/>
  <c r="I946" i="4"/>
  <c r="J946" i="4"/>
  <c r="K946" i="4"/>
  <c r="L946" i="4"/>
  <c r="M946" i="4"/>
  <c r="N946" i="4"/>
  <c r="O946" i="4"/>
  <c r="B947" i="4"/>
  <c r="C947" i="4"/>
  <c r="D947" i="4"/>
  <c r="E947" i="4"/>
  <c r="F947" i="4"/>
  <c r="G947" i="4"/>
  <c r="H947" i="4"/>
  <c r="I947" i="4"/>
  <c r="J947" i="4"/>
  <c r="K947" i="4"/>
  <c r="L947" i="4"/>
  <c r="M947" i="4"/>
  <c r="N947" i="4"/>
  <c r="O947" i="4"/>
  <c r="B948" i="4"/>
  <c r="C948" i="4"/>
  <c r="D948" i="4"/>
  <c r="E948" i="4"/>
  <c r="F948" i="4"/>
  <c r="G948" i="4"/>
  <c r="H948" i="4"/>
  <c r="I948" i="4"/>
  <c r="J948" i="4"/>
  <c r="K948" i="4"/>
  <c r="L948" i="4"/>
  <c r="M948" i="4"/>
  <c r="N948" i="4"/>
  <c r="O948" i="4"/>
  <c r="B949" i="4"/>
  <c r="C949" i="4"/>
  <c r="D949" i="4"/>
  <c r="E949" i="4"/>
  <c r="F949" i="4"/>
  <c r="G949" i="4"/>
  <c r="H949" i="4"/>
  <c r="I949" i="4"/>
  <c r="J949" i="4"/>
  <c r="K949" i="4"/>
  <c r="L949" i="4"/>
  <c r="M949" i="4"/>
  <c r="N949" i="4"/>
  <c r="O949" i="4"/>
  <c r="B950" i="4"/>
  <c r="C950" i="4"/>
  <c r="D950" i="4"/>
  <c r="E950" i="4"/>
  <c r="F950" i="4"/>
  <c r="G950" i="4"/>
  <c r="H950" i="4"/>
  <c r="I950" i="4"/>
  <c r="J950" i="4"/>
  <c r="J1137" i="4" s="1"/>
  <c r="K950" i="4"/>
  <c r="L950" i="4"/>
  <c r="M950" i="4"/>
  <c r="N950" i="4"/>
  <c r="O950" i="4"/>
  <c r="B951" i="4"/>
  <c r="C951" i="4"/>
  <c r="D951" i="4"/>
  <c r="E951" i="4"/>
  <c r="F951" i="4"/>
  <c r="G951" i="4"/>
  <c r="H951" i="4"/>
  <c r="I951" i="4"/>
  <c r="J951" i="4"/>
  <c r="K951" i="4"/>
  <c r="L951" i="4"/>
  <c r="M951" i="4"/>
  <c r="N951" i="4"/>
  <c r="O951" i="4"/>
  <c r="B952" i="4"/>
  <c r="C952" i="4"/>
  <c r="D952" i="4"/>
  <c r="E952" i="4"/>
  <c r="F952" i="4"/>
  <c r="G952" i="4"/>
  <c r="H952" i="4"/>
  <c r="I952" i="4"/>
  <c r="J952" i="4"/>
  <c r="K952" i="4"/>
  <c r="L952" i="4"/>
  <c r="M952" i="4"/>
  <c r="N952" i="4"/>
  <c r="O952" i="4"/>
  <c r="B953" i="4"/>
  <c r="C953" i="4"/>
  <c r="D953" i="4"/>
  <c r="E953" i="4"/>
  <c r="F953" i="4"/>
  <c r="G953" i="4"/>
  <c r="H953" i="4"/>
  <c r="I953" i="4"/>
  <c r="J953" i="4"/>
  <c r="K953" i="4"/>
  <c r="L953" i="4"/>
  <c r="M953" i="4"/>
  <c r="N953" i="4"/>
  <c r="O953" i="4"/>
  <c r="B954" i="4"/>
  <c r="C954" i="4"/>
  <c r="D954" i="4"/>
  <c r="E954" i="4"/>
  <c r="F954" i="4"/>
  <c r="G954" i="4"/>
  <c r="H954" i="4"/>
  <c r="I954" i="4"/>
  <c r="J954" i="4"/>
  <c r="K954" i="4"/>
  <c r="L954" i="4"/>
  <c r="M954" i="4"/>
  <c r="N954" i="4"/>
  <c r="O954" i="4"/>
  <c r="B955" i="4"/>
  <c r="C955" i="4"/>
  <c r="D955" i="4"/>
  <c r="E955" i="4"/>
  <c r="F955" i="4"/>
  <c r="G955" i="4"/>
  <c r="H955" i="4"/>
  <c r="I955" i="4"/>
  <c r="J955" i="4"/>
  <c r="K955" i="4"/>
  <c r="L955" i="4"/>
  <c r="M955" i="4"/>
  <c r="N955" i="4"/>
  <c r="O955" i="4"/>
  <c r="B956" i="4"/>
  <c r="C956" i="4"/>
  <c r="D956" i="4"/>
  <c r="E956" i="4"/>
  <c r="F956" i="4"/>
  <c r="G956" i="4"/>
  <c r="H956" i="4"/>
  <c r="I956" i="4"/>
  <c r="J956" i="4"/>
  <c r="K956" i="4"/>
  <c r="L956" i="4"/>
  <c r="M956" i="4"/>
  <c r="N956" i="4"/>
  <c r="O956" i="4"/>
  <c r="B957" i="4"/>
  <c r="C957" i="4"/>
  <c r="D957" i="4"/>
  <c r="E957" i="4"/>
  <c r="F957" i="4"/>
  <c r="G957" i="4"/>
  <c r="H957" i="4"/>
  <c r="I957" i="4"/>
  <c r="J957" i="4"/>
  <c r="K957" i="4"/>
  <c r="L957" i="4"/>
  <c r="M957" i="4"/>
  <c r="N957" i="4"/>
  <c r="O957" i="4"/>
  <c r="B958" i="4"/>
  <c r="C958" i="4"/>
  <c r="D958" i="4"/>
  <c r="E958" i="4"/>
  <c r="F958" i="4"/>
  <c r="G958" i="4"/>
  <c r="H958" i="4"/>
  <c r="I958" i="4"/>
  <c r="J958" i="4"/>
  <c r="K958" i="4"/>
  <c r="L958" i="4"/>
  <c r="M958" i="4"/>
  <c r="N958" i="4"/>
  <c r="O958" i="4"/>
  <c r="B959" i="4"/>
  <c r="C959" i="4"/>
  <c r="D959" i="4"/>
  <c r="E959" i="4"/>
  <c r="F959" i="4"/>
  <c r="G959" i="4"/>
  <c r="H959" i="4"/>
  <c r="I959" i="4"/>
  <c r="J959" i="4"/>
  <c r="K959" i="4"/>
  <c r="L959" i="4"/>
  <c r="M959" i="4"/>
  <c r="N959" i="4"/>
  <c r="O959" i="4"/>
  <c r="B960" i="4"/>
  <c r="C960" i="4"/>
  <c r="D960" i="4"/>
  <c r="E960" i="4"/>
  <c r="F960" i="4"/>
  <c r="G960" i="4"/>
  <c r="H960" i="4"/>
  <c r="I960" i="4"/>
  <c r="J960" i="4"/>
  <c r="K960" i="4"/>
  <c r="L960" i="4"/>
  <c r="M960" i="4"/>
  <c r="N960" i="4"/>
  <c r="O960" i="4"/>
  <c r="B961" i="4"/>
  <c r="C961" i="4"/>
  <c r="D961" i="4"/>
  <c r="E961" i="4"/>
  <c r="F961" i="4"/>
  <c r="G961" i="4"/>
  <c r="H961" i="4"/>
  <c r="I961" i="4"/>
  <c r="J961" i="4"/>
  <c r="K961" i="4"/>
  <c r="L961" i="4"/>
  <c r="M961" i="4"/>
  <c r="N961" i="4"/>
  <c r="O961" i="4"/>
  <c r="B962" i="4"/>
  <c r="C962" i="4"/>
  <c r="D962" i="4"/>
  <c r="E962" i="4"/>
  <c r="F962" i="4"/>
  <c r="G962" i="4"/>
  <c r="H962" i="4"/>
  <c r="I962" i="4"/>
  <c r="J962" i="4"/>
  <c r="K962" i="4"/>
  <c r="L962" i="4"/>
  <c r="M962" i="4"/>
  <c r="N962" i="4"/>
  <c r="O962" i="4"/>
  <c r="B963" i="4"/>
  <c r="C963" i="4"/>
  <c r="D963" i="4"/>
  <c r="E963" i="4"/>
  <c r="F963" i="4"/>
  <c r="G963" i="4"/>
  <c r="H963" i="4"/>
  <c r="I963" i="4"/>
  <c r="J963" i="4"/>
  <c r="K963" i="4"/>
  <c r="L963" i="4"/>
  <c r="L1138" i="4" s="1"/>
  <c r="M963" i="4"/>
  <c r="N963" i="4"/>
  <c r="O963" i="4"/>
  <c r="B964" i="4"/>
  <c r="C964" i="4"/>
  <c r="D964" i="4"/>
  <c r="E964" i="4"/>
  <c r="F964" i="4"/>
  <c r="G964" i="4"/>
  <c r="H964" i="4"/>
  <c r="I964" i="4"/>
  <c r="J964" i="4"/>
  <c r="K964" i="4"/>
  <c r="L964" i="4"/>
  <c r="M964" i="4"/>
  <c r="N964" i="4"/>
  <c r="O964" i="4"/>
  <c r="B965" i="4"/>
  <c r="C965" i="4"/>
  <c r="D965" i="4"/>
  <c r="E965" i="4"/>
  <c r="F965" i="4"/>
  <c r="G965" i="4"/>
  <c r="H965" i="4"/>
  <c r="I965" i="4"/>
  <c r="J965" i="4"/>
  <c r="K965" i="4"/>
  <c r="L965" i="4"/>
  <c r="M965" i="4"/>
  <c r="N965" i="4"/>
  <c r="O965" i="4"/>
  <c r="B966" i="4"/>
  <c r="C966" i="4"/>
  <c r="D966" i="4"/>
  <c r="E966" i="4"/>
  <c r="F966" i="4"/>
  <c r="G966" i="4"/>
  <c r="H966" i="4"/>
  <c r="I966" i="4"/>
  <c r="J966" i="4"/>
  <c r="K966" i="4"/>
  <c r="L966" i="4"/>
  <c r="M966" i="4"/>
  <c r="N966" i="4"/>
  <c r="O966" i="4"/>
  <c r="B967" i="4"/>
  <c r="C967" i="4"/>
  <c r="D967" i="4"/>
  <c r="E967" i="4"/>
  <c r="F967" i="4"/>
  <c r="G967" i="4"/>
  <c r="H967" i="4"/>
  <c r="I967" i="4"/>
  <c r="J967" i="4"/>
  <c r="K967" i="4"/>
  <c r="L967" i="4"/>
  <c r="M967" i="4"/>
  <c r="N967" i="4"/>
  <c r="O967" i="4"/>
  <c r="B968" i="4"/>
  <c r="C968" i="4"/>
  <c r="D968" i="4"/>
  <c r="E968" i="4"/>
  <c r="F968" i="4"/>
  <c r="G968" i="4"/>
  <c r="H968" i="4"/>
  <c r="I968" i="4"/>
  <c r="J968" i="4"/>
  <c r="K968" i="4"/>
  <c r="L968" i="4"/>
  <c r="M968" i="4"/>
  <c r="N968" i="4"/>
  <c r="O968" i="4"/>
  <c r="B969" i="4"/>
  <c r="C969" i="4"/>
  <c r="D969" i="4"/>
  <c r="E969" i="4"/>
  <c r="F969" i="4"/>
  <c r="G969" i="4"/>
  <c r="H969" i="4"/>
  <c r="I969" i="4"/>
  <c r="J969" i="4"/>
  <c r="K969" i="4"/>
  <c r="L969" i="4"/>
  <c r="M969" i="4"/>
  <c r="N969" i="4"/>
  <c r="O969" i="4"/>
  <c r="B970" i="4"/>
  <c r="C970" i="4"/>
  <c r="D970" i="4"/>
  <c r="E970" i="4"/>
  <c r="F970" i="4"/>
  <c r="G970" i="4"/>
  <c r="H970" i="4"/>
  <c r="I970" i="4"/>
  <c r="J970" i="4"/>
  <c r="K970" i="4"/>
  <c r="L970" i="4"/>
  <c r="M970" i="4"/>
  <c r="N970" i="4"/>
  <c r="O970" i="4"/>
  <c r="B971" i="4"/>
  <c r="C971" i="4"/>
  <c r="D971" i="4"/>
  <c r="E971" i="4"/>
  <c r="F971" i="4"/>
  <c r="G971" i="4"/>
  <c r="H971" i="4"/>
  <c r="I971" i="4"/>
  <c r="J971" i="4"/>
  <c r="K971" i="4"/>
  <c r="L971" i="4"/>
  <c r="M971" i="4"/>
  <c r="N971" i="4"/>
  <c r="O971" i="4"/>
  <c r="B972" i="4"/>
  <c r="C972" i="4"/>
  <c r="D972" i="4"/>
  <c r="E972" i="4"/>
  <c r="F972" i="4"/>
  <c r="G972" i="4"/>
  <c r="H972" i="4"/>
  <c r="I972" i="4"/>
  <c r="J972" i="4"/>
  <c r="K972" i="4"/>
  <c r="L972" i="4"/>
  <c r="M972" i="4"/>
  <c r="N972" i="4"/>
  <c r="O972" i="4"/>
  <c r="B973" i="4"/>
  <c r="C973" i="4"/>
  <c r="D973" i="4"/>
  <c r="E973" i="4"/>
  <c r="F973" i="4"/>
  <c r="G973" i="4"/>
  <c r="H973" i="4"/>
  <c r="I973" i="4"/>
  <c r="J973" i="4"/>
  <c r="K973" i="4"/>
  <c r="L973" i="4"/>
  <c r="M973" i="4"/>
  <c r="N973" i="4"/>
  <c r="O973" i="4"/>
  <c r="B974" i="4"/>
  <c r="C974" i="4"/>
  <c r="D974" i="4"/>
  <c r="E974" i="4"/>
  <c r="F974" i="4"/>
  <c r="G974" i="4"/>
  <c r="H974" i="4"/>
  <c r="I974" i="4"/>
  <c r="J974" i="4"/>
  <c r="K974" i="4"/>
  <c r="L974" i="4"/>
  <c r="M974" i="4"/>
  <c r="N974" i="4"/>
  <c r="N1139" i="4" s="1"/>
  <c r="O974" i="4"/>
  <c r="B975" i="4"/>
  <c r="C975" i="4"/>
  <c r="D975" i="4"/>
  <c r="E975" i="4"/>
  <c r="F975" i="4"/>
  <c r="G975" i="4"/>
  <c r="H975" i="4"/>
  <c r="I975" i="4"/>
  <c r="J975" i="4"/>
  <c r="K975" i="4"/>
  <c r="L975" i="4"/>
  <c r="M975" i="4"/>
  <c r="N975" i="4"/>
  <c r="O975" i="4"/>
  <c r="B976" i="4"/>
  <c r="C976" i="4"/>
  <c r="D976" i="4"/>
  <c r="E976" i="4"/>
  <c r="F976" i="4"/>
  <c r="G976" i="4"/>
  <c r="H976" i="4"/>
  <c r="I976" i="4"/>
  <c r="J976" i="4"/>
  <c r="K976" i="4"/>
  <c r="L976" i="4"/>
  <c r="M976" i="4"/>
  <c r="N976" i="4"/>
  <c r="O976" i="4"/>
  <c r="B977" i="4"/>
  <c r="C977" i="4"/>
  <c r="D977" i="4"/>
  <c r="E977" i="4"/>
  <c r="F977" i="4"/>
  <c r="G977" i="4"/>
  <c r="H977" i="4"/>
  <c r="I977" i="4"/>
  <c r="J977" i="4"/>
  <c r="K977" i="4"/>
  <c r="L977" i="4"/>
  <c r="M977" i="4"/>
  <c r="N977" i="4"/>
  <c r="O977" i="4"/>
  <c r="B978" i="4"/>
  <c r="C978" i="4"/>
  <c r="D978" i="4"/>
  <c r="E978" i="4"/>
  <c r="F978" i="4"/>
  <c r="G978" i="4"/>
  <c r="H978" i="4"/>
  <c r="I978" i="4"/>
  <c r="J978" i="4"/>
  <c r="K978" i="4"/>
  <c r="L978" i="4"/>
  <c r="M978" i="4"/>
  <c r="N978" i="4"/>
  <c r="O978" i="4"/>
  <c r="B979" i="4"/>
  <c r="C979" i="4"/>
  <c r="D979" i="4"/>
  <c r="E979" i="4"/>
  <c r="F979" i="4"/>
  <c r="G979" i="4"/>
  <c r="H979" i="4"/>
  <c r="I979" i="4"/>
  <c r="J979" i="4"/>
  <c r="K979" i="4"/>
  <c r="L979" i="4"/>
  <c r="M979" i="4"/>
  <c r="N979" i="4"/>
  <c r="O979" i="4"/>
  <c r="B980" i="4"/>
  <c r="C980" i="4"/>
  <c r="D980" i="4"/>
  <c r="E980" i="4"/>
  <c r="F980" i="4"/>
  <c r="G980" i="4"/>
  <c r="H980" i="4"/>
  <c r="I980" i="4"/>
  <c r="J980" i="4"/>
  <c r="K980" i="4"/>
  <c r="L980" i="4"/>
  <c r="M980" i="4"/>
  <c r="N980" i="4"/>
  <c r="O980" i="4"/>
  <c r="B981" i="4"/>
  <c r="C981" i="4"/>
  <c r="D981" i="4"/>
  <c r="E981" i="4"/>
  <c r="F981" i="4"/>
  <c r="G981" i="4"/>
  <c r="H981" i="4"/>
  <c r="I981" i="4"/>
  <c r="J981" i="4"/>
  <c r="K981" i="4"/>
  <c r="L981" i="4"/>
  <c r="M981" i="4"/>
  <c r="N981" i="4"/>
  <c r="O981" i="4"/>
  <c r="B982" i="4"/>
  <c r="C982" i="4"/>
  <c r="D982" i="4"/>
  <c r="E982" i="4"/>
  <c r="F982" i="4"/>
  <c r="G982" i="4"/>
  <c r="H982" i="4"/>
  <c r="I982" i="4"/>
  <c r="J982" i="4"/>
  <c r="K982" i="4"/>
  <c r="L982" i="4"/>
  <c r="M982" i="4"/>
  <c r="N982" i="4"/>
  <c r="O982" i="4"/>
  <c r="B983" i="4"/>
  <c r="C983" i="4"/>
  <c r="D983" i="4"/>
  <c r="E983" i="4"/>
  <c r="F983" i="4"/>
  <c r="G983" i="4"/>
  <c r="H983" i="4"/>
  <c r="I983" i="4"/>
  <c r="J983" i="4"/>
  <c r="K983" i="4"/>
  <c r="L983" i="4"/>
  <c r="M983" i="4"/>
  <c r="N983" i="4"/>
  <c r="O983" i="4"/>
  <c r="B984" i="4"/>
  <c r="C984" i="4"/>
  <c r="D984" i="4"/>
  <c r="E984" i="4"/>
  <c r="F984" i="4"/>
  <c r="G984" i="4"/>
  <c r="H984" i="4"/>
  <c r="I984" i="4"/>
  <c r="J984" i="4"/>
  <c r="K984" i="4"/>
  <c r="L984" i="4"/>
  <c r="M984" i="4"/>
  <c r="N984" i="4"/>
  <c r="O984" i="4"/>
  <c r="B985" i="4"/>
  <c r="C985" i="4"/>
  <c r="D985" i="4"/>
  <c r="E985" i="4"/>
  <c r="F985" i="4"/>
  <c r="G985" i="4"/>
  <c r="H985" i="4"/>
  <c r="I985" i="4"/>
  <c r="J985" i="4"/>
  <c r="K985" i="4"/>
  <c r="L985" i="4"/>
  <c r="M985" i="4"/>
  <c r="N985" i="4"/>
  <c r="O985" i="4"/>
  <c r="B986" i="4"/>
  <c r="C986" i="4"/>
  <c r="D986" i="4"/>
  <c r="E986" i="4"/>
  <c r="F986" i="4"/>
  <c r="G986" i="4"/>
  <c r="H986" i="4"/>
  <c r="I986" i="4"/>
  <c r="J986" i="4"/>
  <c r="K986" i="4"/>
  <c r="L986" i="4"/>
  <c r="M986" i="4"/>
  <c r="N986" i="4"/>
  <c r="O986" i="4"/>
  <c r="B987" i="4"/>
  <c r="C987" i="4"/>
  <c r="D987" i="4"/>
  <c r="E987" i="4"/>
  <c r="F987" i="4"/>
  <c r="G987" i="4"/>
  <c r="H987" i="4"/>
  <c r="I987" i="4"/>
  <c r="J987" i="4"/>
  <c r="K987" i="4"/>
  <c r="L987" i="4"/>
  <c r="M987" i="4"/>
  <c r="N987" i="4"/>
  <c r="O987" i="4"/>
  <c r="B988" i="4"/>
  <c r="C988" i="4"/>
  <c r="D988" i="4"/>
  <c r="E988" i="4"/>
  <c r="F988" i="4"/>
  <c r="G988" i="4"/>
  <c r="H988" i="4"/>
  <c r="I988" i="4"/>
  <c r="J988" i="4"/>
  <c r="K988" i="4"/>
  <c r="L988" i="4"/>
  <c r="M988" i="4"/>
  <c r="N988" i="4"/>
  <c r="O988" i="4"/>
  <c r="B989" i="4"/>
  <c r="C989" i="4"/>
  <c r="D989" i="4"/>
  <c r="E989" i="4"/>
  <c r="F989" i="4"/>
  <c r="G989" i="4"/>
  <c r="H989" i="4"/>
  <c r="I989" i="4"/>
  <c r="J989" i="4"/>
  <c r="K989" i="4"/>
  <c r="L989" i="4"/>
  <c r="M989" i="4"/>
  <c r="N989" i="4"/>
  <c r="O989" i="4"/>
  <c r="B990" i="4"/>
  <c r="C990" i="4"/>
  <c r="D990" i="4"/>
  <c r="E990" i="4"/>
  <c r="F990" i="4"/>
  <c r="G990" i="4"/>
  <c r="H990" i="4"/>
  <c r="I990" i="4"/>
  <c r="J990" i="4"/>
  <c r="K990" i="4"/>
  <c r="L990" i="4"/>
  <c r="M990" i="4"/>
  <c r="N990" i="4"/>
  <c r="O990" i="4"/>
  <c r="B991" i="4"/>
  <c r="C991" i="4"/>
  <c r="D991" i="4"/>
  <c r="E991" i="4"/>
  <c r="F991" i="4"/>
  <c r="G991" i="4"/>
  <c r="H991" i="4"/>
  <c r="I991" i="4"/>
  <c r="J991" i="4"/>
  <c r="K991" i="4"/>
  <c r="L991" i="4"/>
  <c r="M991" i="4"/>
  <c r="N991" i="4"/>
  <c r="O991" i="4"/>
  <c r="B992" i="4"/>
  <c r="C992" i="4"/>
  <c r="D992" i="4"/>
  <c r="E992" i="4"/>
  <c r="F992" i="4"/>
  <c r="G992" i="4"/>
  <c r="H992" i="4"/>
  <c r="I992" i="4"/>
  <c r="J992" i="4"/>
  <c r="K992" i="4"/>
  <c r="L992" i="4"/>
  <c r="M992" i="4"/>
  <c r="N992" i="4"/>
  <c r="O992" i="4"/>
  <c r="B993" i="4"/>
  <c r="C993" i="4"/>
  <c r="D993" i="4"/>
  <c r="E993" i="4"/>
  <c r="F993" i="4"/>
  <c r="G993" i="4"/>
  <c r="H993" i="4"/>
  <c r="I993" i="4"/>
  <c r="J993" i="4"/>
  <c r="K993" i="4"/>
  <c r="L993" i="4"/>
  <c r="M993" i="4"/>
  <c r="N993" i="4"/>
  <c r="O993" i="4"/>
  <c r="B994" i="4"/>
  <c r="C994" i="4"/>
  <c r="D994" i="4"/>
  <c r="E994" i="4"/>
  <c r="F994" i="4"/>
  <c r="G994" i="4"/>
  <c r="H994" i="4"/>
  <c r="I994" i="4"/>
  <c r="J994" i="4"/>
  <c r="K994" i="4"/>
  <c r="L994" i="4"/>
  <c r="M994" i="4"/>
  <c r="N994" i="4"/>
  <c r="O994" i="4"/>
  <c r="B995" i="4"/>
  <c r="C995" i="4"/>
  <c r="D995" i="4"/>
  <c r="E995" i="4"/>
  <c r="F995" i="4"/>
  <c r="G995" i="4"/>
  <c r="H995" i="4"/>
  <c r="I995" i="4"/>
  <c r="J995" i="4"/>
  <c r="K995" i="4"/>
  <c r="L995" i="4"/>
  <c r="M995" i="4"/>
  <c r="N995" i="4"/>
  <c r="O995" i="4"/>
  <c r="B996" i="4"/>
  <c r="C996" i="4"/>
  <c r="D996" i="4"/>
  <c r="E996" i="4"/>
  <c r="F996" i="4"/>
  <c r="G996" i="4"/>
  <c r="H996" i="4"/>
  <c r="I996" i="4"/>
  <c r="J996" i="4"/>
  <c r="K996" i="4"/>
  <c r="L996" i="4"/>
  <c r="M996" i="4"/>
  <c r="N996" i="4"/>
  <c r="O996" i="4"/>
  <c r="B997" i="4"/>
  <c r="C997" i="4"/>
  <c r="D997" i="4"/>
  <c r="E997" i="4"/>
  <c r="F997" i="4"/>
  <c r="G997" i="4"/>
  <c r="H997" i="4"/>
  <c r="I997" i="4"/>
  <c r="J997" i="4"/>
  <c r="K997" i="4"/>
  <c r="L997" i="4"/>
  <c r="M997" i="4"/>
  <c r="N997" i="4"/>
  <c r="O997" i="4"/>
  <c r="B998" i="4"/>
  <c r="B1141" i="4" s="1"/>
  <c r="C998" i="4"/>
  <c r="D998" i="4"/>
  <c r="E998" i="4"/>
  <c r="F998" i="4"/>
  <c r="G998" i="4"/>
  <c r="H998" i="4"/>
  <c r="I998" i="4"/>
  <c r="J998" i="4"/>
  <c r="K998" i="4"/>
  <c r="L998" i="4"/>
  <c r="M998" i="4"/>
  <c r="N998" i="4"/>
  <c r="O998" i="4"/>
  <c r="B999" i="4"/>
  <c r="C999" i="4"/>
  <c r="D999" i="4"/>
  <c r="E999" i="4"/>
  <c r="F999" i="4"/>
  <c r="G999" i="4"/>
  <c r="H999" i="4"/>
  <c r="I999" i="4"/>
  <c r="J999" i="4"/>
  <c r="K999" i="4"/>
  <c r="L999" i="4"/>
  <c r="M999" i="4"/>
  <c r="N999" i="4"/>
  <c r="O999" i="4"/>
  <c r="B1000" i="4"/>
  <c r="C1000" i="4"/>
  <c r="D1000" i="4"/>
  <c r="E1000" i="4"/>
  <c r="F1000" i="4"/>
  <c r="G1000" i="4"/>
  <c r="H1000" i="4"/>
  <c r="I1000" i="4"/>
  <c r="J1000" i="4"/>
  <c r="K1000" i="4"/>
  <c r="L1000" i="4"/>
  <c r="M1000" i="4"/>
  <c r="N1000" i="4"/>
  <c r="O1000" i="4"/>
  <c r="B1001" i="4"/>
  <c r="C1001" i="4"/>
  <c r="D1001" i="4"/>
  <c r="E1001" i="4"/>
  <c r="F1001" i="4"/>
  <c r="G1001" i="4"/>
  <c r="H1001" i="4"/>
  <c r="I1001" i="4"/>
  <c r="J1001" i="4"/>
  <c r="K1001" i="4"/>
  <c r="L1001" i="4"/>
  <c r="M1001" i="4"/>
  <c r="N1001" i="4"/>
  <c r="O1001" i="4"/>
  <c r="B1002" i="4"/>
  <c r="C1002" i="4"/>
  <c r="D1002" i="4"/>
  <c r="E1002" i="4"/>
  <c r="F1002" i="4"/>
  <c r="G1002" i="4"/>
  <c r="H1002" i="4"/>
  <c r="I1002" i="4"/>
  <c r="J1002" i="4"/>
  <c r="K1002" i="4"/>
  <c r="L1002" i="4"/>
  <c r="M1002" i="4"/>
  <c r="N1002" i="4"/>
  <c r="O1002" i="4"/>
  <c r="B1003" i="4"/>
  <c r="C1003" i="4"/>
  <c r="D1003" i="4"/>
  <c r="E1003" i="4"/>
  <c r="F1003" i="4"/>
  <c r="G1003" i="4"/>
  <c r="H1003" i="4"/>
  <c r="I1003" i="4"/>
  <c r="J1003" i="4"/>
  <c r="K1003" i="4"/>
  <c r="L1003" i="4"/>
  <c r="M1003" i="4"/>
  <c r="N1003" i="4"/>
  <c r="O1003" i="4"/>
  <c r="B1004" i="4"/>
  <c r="C1004" i="4"/>
  <c r="D1004" i="4"/>
  <c r="E1004" i="4"/>
  <c r="F1004" i="4"/>
  <c r="G1004" i="4"/>
  <c r="H1004" i="4"/>
  <c r="I1004" i="4"/>
  <c r="J1004" i="4"/>
  <c r="K1004" i="4"/>
  <c r="L1004" i="4"/>
  <c r="M1004" i="4"/>
  <c r="N1004" i="4"/>
  <c r="O1004" i="4"/>
  <c r="B1005" i="4"/>
  <c r="C1005" i="4"/>
  <c r="D1005" i="4"/>
  <c r="E1005" i="4"/>
  <c r="F1005" i="4"/>
  <c r="G1005" i="4"/>
  <c r="H1005" i="4"/>
  <c r="I1005" i="4"/>
  <c r="J1005" i="4"/>
  <c r="K1005" i="4"/>
  <c r="L1005" i="4"/>
  <c r="M1005" i="4"/>
  <c r="N1005" i="4"/>
  <c r="O1005" i="4"/>
  <c r="B1006" i="4"/>
  <c r="C1006" i="4"/>
  <c r="D1006" i="4"/>
  <c r="E1006" i="4"/>
  <c r="F1006" i="4"/>
  <c r="G1006" i="4"/>
  <c r="H1006" i="4"/>
  <c r="I1006" i="4"/>
  <c r="J1006" i="4"/>
  <c r="K1006" i="4"/>
  <c r="L1006" i="4"/>
  <c r="M1006" i="4"/>
  <c r="N1006" i="4"/>
  <c r="O1006" i="4"/>
  <c r="B1007" i="4"/>
  <c r="C1007" i="4"/>
  <c r="D1007" i="4"/>
  <c r="E1007" i="4"/>
  <c r="F1007" i="4"/>
  <c r="G1007" i="4"/>
  <c r="H1007" i="4"/>
  <c r="I1007" i="4"/>
  <c r="J1007" i="4"/>
  <c r="K1007" i="4"/>
  <c r="L1007" i="4"/>
  <c r="M1007" i="4"/>
  <c r="N1007" i="4"/>
  <c r="O1007" i="4"/>
  <c r="B1008" i="4"/>
  <c r="C1008" i="4"/>
  <c r="D1008" i="4"/>
  <c r="E1008" i="4"/>
  <c r="F1008" i="4"/>
  <c r="G1008" i="4"/>
  <c r="H1008" i="4"/>
  <c r="I1008" i="4"/>
  <c r="J1008" i="4"/>
  <c r="K1008" i="4"/>
  <c r="L1008" i="4"/>
  <c r="M1008" i="4"/>
  <c r="N1008" i="4"/>
  <c r="O1008" i="4"/>
  <c r="B1009" i="4"/>
  <c r="C1009" i="4"/>
  <c r="D1009" i="4"/>
  <c r="E1009" i="4"/>
  <c r="F1009" i="4"/>
  <c r="G1009" i="4"/>
  <c r="H1009" i="4"/>
  <c r="I1009" i="4"/>
  <c r="J1009" i="4"/>
  <c r="K1009" i="4"/>
  <c r="L1009" i="4"/>
  <c r="M1009" i="4"/>
  <c r="N1009" i="4"/>
  <c r="O1009" i="4"/>
  <c r="B1010" i="4"/>
  <c r="C1010" i="4"/>
  <c r="D1010" i="4"/>
  <c r="E1010" i="4"/>
  <c r="F1010" i="4"/>
  <c r="G1010" i="4"/>
  <c r="H1010" i="4"/>
  <c r="I1010" i="4"/>
  <c r="J1010" i="4"/>
  <c r="K1010" i="4"/>
  <c r="L1010" i="4"/>
  <c r="M1010" i="4"/>
  <c r="N1010" i="4"/>
  <c r="O1010" i="4"/>
  <c r="B1011" i="4"/>
  <c r="C1011" i="4"/>
  <c r="D1011" i="4"/>
  <c r="D1142" i="4" s="1"/>
  <c r="E1011" i="4"/>
  <c r="F1011" i="4"/>
  <c r="G1011" i="4"/>
  <c r="H1011" i="4"/>
  <c r="I1011" i="4"/>
  <c r="J1011" i="4"/>
  <c r="K1011" i="4"/>
  <c r="L1011" i="4"/>
  <c r="M1011" i="4"/>
  <c r="N1011" i="4"/>
  <c r="O1011" i="4"/>
  <c r="B1012" i="4"/>
  <c r="C1012" i="4"/>
  <c r="D1012" i="4"/>
  <c r="E1012" i="4"/>
  <c r="F1012" i="4"/>
  <c r="G1012" i="4"/>
  <c r="H1012" i="4"/>
  <c r="I1012" i="4"/>
  <c r="J1012" i="4"/>
  <c r="K1012" i="4"/>
  <c r="L1012" i="4"/>
  <c r="M1012" i="4"/>
  <c r="N1012" i="4"/>
  <c r="O1012" i="4"/>
  <c r="B1013" i="4"/>
  <c r="C1013" i="4"/>
  <c r="D1013" i="4"/>
  <c r="E1013" i="4"/>
  <c r="F1013" i="4"/>
  <c r="G1013" i="4"/>
  <c r="H1013" i="4"/>
  <c r="I1013" i="4"/>
  <c r="J1013" i="4"/>
  <c r="K1013" i="4"/>
  <c r="L1013" i="4"/>
  <c r="M1013" i="4"/>
  <c r="N1013" i="4"/>
  <c r="O1013" i="4"/>
  <c r="B1014" i="4"/>
  <c r="C1014" i="4"/>
  <c r="D1014" i="4"/>
  <c r="E1014" i="4"/>
  <c r="F1014" i="4"/>
  <c r="G1014" i="4"/>
  <c r="H1014" i="4"/>
  <c r="I1014" i="4"/>
  <c r="J1014" i="4"/>
  <c r="K1014" i="4"/>
  <c r="L1014" i="4"/>
  <c r="M1014" i="4"/>
  <c r="N1014" i="4"/>
  <c r="O1014" i="4"/>
  <c r="B1015" i="4"/>
  <c r="C1015" i="4"/>
  <c r="D1015" i="4"/>
  <c r="E1015" i="4"/>
  <c r="F1015" i="4"/>
  <c r="G1015" i="4"/>
  <c r="H1015" i="4"/>
  <c r="I1015" i="4"/>
  <c r="J1015" i="4"/>
  <c r="K1015" i="4"/>
  <c r="L1015" i="4"/>
  <c r="M1015" i="4"/>
  <c r="N1015" i="4"/>
  <c r="O1015" i="4"/>
  <c r="B1016" i="4"/>
  <c r="C1016" i="4"/>
  <c r="D1016" i="4"/>
  <c r="E1016" i="4"/>
  <c r="F1016" i="4"/>
  <c r="G1016" i="4"/>
  <c r="H1016" i="4"/>
  <c r="I1016" i="4"/>
  <c r="J1016" i="4"/>
  <c r="K1016" i="4"/>
  <c r="L1016" i="4"/>
  <c r="M1016" i="4"/>
  <c r="N1016" i="4"/>
  <c r="O1016" i="4"/>
  <c r="B1017" i="4"/>
  <c r="C1017" i="4"/>
  <c r="D1017" i="4"/>
  <c r="E1017" i="4"/>
  <c r="F1017" i="4"/>
  <c r="G1017" i="4"/>
  <c r="H1017" i="4"/>
  <c r="I1017" i="4"/>
  <c r="J1017" i="4"/>
  <c r="K1017" i="4"/>
  <c r="L1017" i="4"/>
  <c r="M1017" i="4"/>
  <c r="N1017" i="4"/>
  <c r="O1017" i="4"/>
  <c r="B1018" i="4"/>
  <c r="C1018" i="4"/>
  <c r="D1018" i="4"/>
  <c r="E1018" i="4"/>
  <c r="F1018" i="4"/>
  <c r="G1018" i="4"/>
  <c r="H1018" i="4"/>
  <c r="I1018" i="4"/>
  <c r="J1018" i="4"/>
  <c r="K1018" i="4"/>
  <c r="L1018" i="4"/>
  <c r="M1018" i="4"/>
  <c r="N1018" i="4"/>
  <c r="O1018" i="4"/>
  <c r="B1019" i="4"/>
  <c r="C1019" i="4"/>
  <c r="D1019" i="4"/>
  <c r="E1019" i="4"/>
  <c r="F1019" i="4"/>
  <c r="G1019" i="4"/>
  <c r="H1019" i="4"/>
  <c r="I1019" i="4"/>
  <c r="J1019" i="4"/>
  <c r="K1019" i="4"/>
  <c r="L1019" i="4"/>
  <c r="M1019" i="4"/>
  <c r="N1019" i="4"/>
  <c r="O1019" i="4"/>
  <c r="B1020" i="4"/>
  <c r="C1020" i="4"/>
  <c r="D1020" i="4"/>
  <c r="E1020" i="4"/>
  <c r="F1020" i="4"/>
  <c r="G1020" i="4"/>
  <c r="H1020" i="4"/>
  <c r="I1020" i="4"/>
  <c r="J1020" i="4"/>
  <c r="K1020" i="4"/>
  <c r="L1020" i="4"/>
  <c r="M1020" i="4"/>
  <c r="N1020" i="4"/>
  <c r="O1020" i="4"/>
  <c r="B1021" i="4"/>
  <c r="C1021" i="4"/>
  <c r="D1021" i="4"/>
  <c r="E1021" i="4"/>
  <c r="F1021" i="4"/>
  <c r="G1021" i="4"/>
  <c r="H1021" i="4"/>
  <c r="I1021" i="4"/>
  <c r="J1021" i="4"/>
  <c r="K1021" i="4"/>
  <c r="L1021" i="4"/>
  <c r="M1021" i="4"/>
  <c r="N1021" i="4"/>
  <c r="O1021" i="4"/>
  <c r="B1022" i="4"/>
  <c r="C1022" i="4"/>
  <c r="D1022" i="4"/>
  <c r="E1022" i="4"/>
  <c r="F1022" i="4"/>
  <c r="F1143" i="4" s="1"/>
  <c r="G1022" i="4"/>
  <c r="H1022" i="4"/>
  <c r="I1022" i="4"/>
  <c r="J1022" i="4"/>
  <c r="K1022" i="4"/>
  <c r="L1022" i="4"/>
  <c r="M1022" i="4"/>
  <c r="N1022" i="4"/>
  <c r="O1022" i="4"/>
  <c r="B1023" i="4"/>
  <c r="C1023" i="4"/>
  <c r="D1023" i="4"/>
  <c r="E1023" i="4"/>
  <c r="F1023" i="4"/>
  <c r="G1023" i="4"/>
  <c r="H1023" i="4"/>
  <c r="I1023" i="4"/>
  <c r="J1023" i="4"/>
  <c r="K1023" i="4"/>
  <c r="L1023" i="4"/>
  <c r="M1023" i="4"/>
  <c r="N1023" i="4"/>
  <c r="O1023" i="4"/>
  <c r="B1024" i="4"/>
  <c r="C1024" i="4"/>
  <c r="D1024" i="4"/>
  <c r="E1024" i="4"/>
  <c r="F1024" i="4"/>
  <c r="G1024" i="4"/>
  <c r="H1024" i="4"/>
  <c r="I1024" i="4"/>
  <c r="J1024" i="4"/>
  <c r="K1024" i="4"/>
  <c r="L1024" i="4"/>
  <c r="M1024" i="4"/>
  <c r="N1024" i="4"/>
  <c r="O1024" i="4"/>
  <c r="B1025" i="4"/>
  <c r="C1025" i="4"/>
  <c r="D1025" i="4"/>
  <c r="E1025" i="4"/>
  <c r="F1025" i="4"/>
  <c r="G1025" i="4"/>
  <c r="H1025" i="4"/>
  <c r="I1025" i="4"/>
  <c r="J1025" i="4"/>
  <c r="K1025" i="4"/>
  <c r="L1025" i="4"/>
  <c r="M1025" i="4"/>
  <c r="N1025" i="4"/>
  <c r="O1025" i="4"/>
  <c r="B1026" i="4"/>
  <c r="C1026" i="4"/>
  <c r="D1026" i="4"/>
  <c r="E1026" i="4"/>
  <c r="F1026" i="4"/>
  <c r="G1026" i="4"/>
  <c r="H1026" i="4"/>
  <c r="I1026" i="4"/>
  <c r="J1026" i="4"/>
  <c r="K1026" i="4"/>
  <c r="L1026" i="4"/>
  <c r="M1026" i="4"/>
  <c r="N1026" i="4"/>
  <c r="O1026" i="4"/>
  <c r="B1027" i="4"/>
  <c r="C1027" i="4"/>
  <c r="D1027" i="4"/>
  <c r="E1027" i="4"/>
  <c r="F1027" i="4"/>
  <c r="G1027" i="4"/>
  <c r="H1027" i="4"/>
  <c r="I1027" i="4"/>
  <c r="J1027" i="4"/>
  <c r="K1027" i="4"/>
  <c r="L1027" i="4"/>
  <c r="M1027" i="4"/>
  <c r="N1027" i="4"/>
  <c r="O1027" i="4"/>
  <c r="B1028" i="4"/>
  <c r="C1028" i="4"/>
  <c r="D1028" i="4"/>
  <c r="E1028" i="4"/>
  <c r="F1028" i="4"/>
  <c r="G1028" i="4"/>
  <c r="H1028" i="4"/>
  <c r="I1028" i="4"/>
  <c r="J1028" i="4"/>
  <c r="K1028" i="4"/>
  <c r="L1028" i="4"/>
  <c r="M1028" i="4"/>
  <c r="N1028" i="4"/>
  <c r="O1028" i="4"/>
  <c r="B1029" i="4"/>
  <c r="C1029" i="4"/>
  <c r="D1029" i="4"/>
  <c r="E1029" i="4"/>
  <c r="F1029" i="4"/>
  <c r="G1029" i="4"/>
  <c r="H1029" i="4"/>
  <c r="I1029" i="4"/>
  <c r="J1029" i="4"/>
  <c r="K1029" i="4"/>
  <c r="L1029" i="4"/>
  <c r="M1029" i="4"/>
  <c r="N1029" i="4"/>
  <c r="O1029" i="4"/>
  <c r="B1030" i="4"/>
  <c r="C1030" i="4"/>
  <c r="D1030" i="4"/>
  <c r="E1030" i="4"/>
  <c r="F1030" i="4"/>
  <c r="G1030" i="4"/>
  <c r="H1030" i="4"/>
  <c r="I1030" i="4"/>
  <c r="J1030" i="4"/>
  <c r="K1030" i="4"/>
  <c r="L1030" i="4"/>
  <c r="M1030" i="4"/>
  <c r="N1030" i="4"/>
  <c r="O1030" i="4"/>
  <c r="B1031" i="4"/>
  <c r="C1031" i="4"/>
  <c r="D1031" i="4"/>
  <c r="E1031" i="4"/>
  <c r="F1031" i="4"/>
  <c r="G1031" i="4"/>
  <c r="H1031" i="4"/>
  <c r="I1031" i="4"/>
  <c r="J1031" i="4"/>
  <c r="K1031" i="4"/>
  <c r="L1031" i="4"/>
  <c r="M1031" i="4"/>
  <c r="N1031" i="4"/>
  <c r="O1031" i="4"/>
  <c r="B1032" i="4"/>
  <c r="C1032" i="4"/>
  <c r="D1032" i="4"/>
  <c r="E1032" i="4"/>
  <c r="F1032" i="4"/>
  <c r="G1032" i="4"/>
  <c r="H1032" i="4"/>
  <c r="I1032" i="4"/>
  <c r="J1032" i="4"/>
  <c r="K1032" i="4"/>
  <c r="L1032" i="4"/>
  <c r="M1032" i="4"/>
  <c r="N1032" i="4"/>
  <c r="O1032" i="4"/>
  <c r="B1033" i="4"/>
  <c r="C1033" i="4"/>
  <c r="D1033" i="4"/>
  <c r="E1033" i="4"/>
  <c r="F1033" i="4"/>
  <c r="G1033" i="4"/>
  <c r="H1033" i="4"/>
  <c r="I1033" i="4"/>
  <c r="J1033" i="4"/>
  <c r="K1033" i="4"/>
  <c r="L1033" i="4"/>
  <c r="M1033" i="4"/>
  <c r="N1033" i="4"/>
  <c r="O1033" i="4"/>
  <c r="B1034" i="4"/>
  <c r="C1034" i="4"/>
  <c r="D1034" i="4"/>
  <c r="E1034" i="4"/>
  <c r="F1034" i="4"/>
  <c r="G1034" i="4"/>
  <c r="H1034" i="4"/>
  <c r="I1034" i="4"/>
  <c r="J1034" i="4"/>
  <c r="K1034" i="4"/>
  <c r="L1034" i="4"/>
  <c r="M1034" i="4"/>
  <c r="N1034" i="4"/>
  <c r="O1034" i="4"/>
  <c r="B1035" i="4"/>
  <c r="C1035" i="4"/>
  <c r="D1035" i="4"/>
  <c r="E1035" i="4"/>
  <c r="F1035" i="4"/>
  <c r="G1035" i="4"/>
  <c r="H1035" i="4"/>
  <c r="I1035" i="4"/>
  <c r="J1035" i="4"/>
  <c r="K1035" i="4"/>
  <c r="L1035" i="4"/>
  <c r="M1035" i="4"/>
  <c r="N1035" i="4"/>
  <c r="O1035" i="4"/>
  <c r="B1036" i="4"/>
  <c r="C1036" i="4"/>
  <c r="D1036" i="4"/>
  <c r="E1036" i="4"/>
  <c r="F1036" i="4"/>
  <c r="G1036" i="4"/>
  <c r="H1036" i="4"/>
  <c r="I1036" i="4"/>
  <c r="J1036" i="4"/>
  <c r="K1036" i="4"/>
  <c r="L1036" i="4"/>
  <c r="M1036" i="4"/>
  <c r="N1036" i="4"/>
  <c r="O1036" i="4"/>
  <c r="B1037" i="4"/>
  <c r="C1037" i="4"/>
  <c r="D1037" i="4"/>
  <c r="E1037" i="4"/>
  <c r="F1037" i="4"/>
  <c r="G1037" i="4"/>
  <c r="H1037" i="4"/>
  <c r="I1037" i="4"/>
  <c r="J1037" i="4"/>
  <c r="K1037" i="4"/>
  <c r="L1037" i="4"/>
  <c r="M1037" i="4"/>
  <c r="N1037" i="4"/>
  <c r="O1037" i="4"/>
  <c r="B1038" i="4"/>
  <c r="C1038" i="4"/>
  <c r="D1038" i="4"/>
  <c r="E1038" i="4"/>
  <c r="F1038" i="4"/>
  <c r="G1038" i="4"/>
  <c r="H1038" i="4"/>
  <c r="I1038" i="4"/>
  <c r="J1038" i="4"/>
  <c r="K1038" i="4"/>
  <c r="L1038" i="4"/>
  <c r="M1038" i="4"/>
  <c r="N1038" i="4"/>
  <c r="O1038" i="4"/>
  <c r="B1039" i="4"/>
  <c r="C1039" i="4"/>
  <c r="D1039" i="4"/>
  <c r="E1039" i="4"/>
  <c r="F1039" i="4"/>
  <c r="G1039" i="4"/>
  <c r="H1039" i="4"/>
  <c r="I1039" i="4"/>
  <c r="J1039" i="4"/>
  <c r="K1039" i="4"/>
  <c r="L1039" i="4"/>
  <c r="M1039" i="4"/>
  <c r="N1039" i="4"/>
  <c r="O1039" i="4"/>
  <c r="B1040" i="4"/>
  <c r="C1040" i="4"/>
  <c r="D1040" i="4"/>
  <c r="E1040" i="4"/>
  <c r="F1040" i="4"/>
  <c r="G1040" i="4"/>
  <c r="H1040" i="4"/>
  <c r="I1040" i="4"/>
  <c r="J1040" i="4"/>
  <c r="K1040" i="4"/>
  <c r="L1040" i="4"/>
  <c r="M1040" i="4"/>
  <c r="N1040" i="4"/>
  <c r="O1040" i="4"/>
  <c r="B1041" i="4"/>
  <c r="C1041" i="4"/>
  <c r="D1041" i="4"/>
  <c r="E1041" i="4"/>
  <c r="F1041" i="4"/>
  <c r="G1041" i="4"/>
  <c r="H1041" i="4"/>
  <c r="I1041" i="4"/>
  <c r="J1041" i="4"/>
  <c r="K1041" i="4"/>
  <c r="L1041" i="4"/>
  <c r="M1041" i="4"/>
  <c r="N1041" i="4"/>
  <c r="O1041" i="4"/>
  <c r="B1042" i="4"/>
  <c r="C1042" i="4"/>
  <c r="D1042" i="4"/>
  <c r="E1042" i="4"/>
  <c r="F1042" i="4"/>
  <c r="G1042" i="4"/>
  <c r="H1042" i="4"/>
  <c r="I1042" i="4"/>
  <c r="J1042" i="4"/>
  <c r="K1042" i="4"/>
  <c r="L1042" i="4"/>
  <c r="M1042" i="4"/>
  <c r="N1042" i="4"/>
  <c r="O1042" i="4"/>
  <c r="B1043" i="4"/>
  <c r="C1043" i="4"/>
  <c r="D1043" i="4"/>
  <c r="E1043" i="4"/>
  <c r="F1043" i="4"/>
  <c r="G1043" i="4"/>
  <c r="H1043" i="4"/>
  <c r="I1043" i="4"/>
  <c r="J1043" i="4"/>
  <c r="K1043" i="4"/>
  <c r="L1043" i="4"/>
  <c r="M1043" i="4"/>
  <c r="N1043" i="4"/>
  <c r="O1043" i="4"/>
  <c r="B1044" i="4"/>
  <c r="C1044" i="4"/>
  <c r="D1044" i="4"/>
  <c r="E1044" i="4"/>
  <c r="F1044" i="4"/>
  <c r="G1044" i="4"/>
  <c r="H1044" i="4"/>
  <c r="I1044" i="4"/>
  <c r="J1044" i="4"/>
  <c r="K1044" i="4"/>
  <c r="L1044" i="4"/>
  <c r="M1044" i="4"/>
  <c r="N1044" i="4"/>
  <c r="O1044" i="4"/>
  <c r="B1045" i="4"/>
  <c r="C1045" i="4"/>
  <c r="D1045" i="4"/>
  <c r="E1045" i="4"/>
  <c r="F1045" i="4"/>
  <c r="G1045" i="4"/>
  <c r="H1045" i="4"/>
  <c r="I1045" i="4"/>
  <c r="J1045" i="4"/>
  <c r="K1045" i="4"/>
  <c r="L1045" i="4"/>
  <c r="M1045" i="4"/>
  <c r="N1045" i="4"/>
  <c r="O1045" i="4"/>
  <c r="B1046" i="4"/>
  <c r="C1046" i="4"/>
  <c r="D1046" i="4"/>
  <c r="E1046" i="4"/>
  <c r="F1046" i="4"/>
  <c r="G1046" i="4"/>
  <c r="G1145" i="4" s="1"/>
  <c r="H1046" i="4"/>
  <c r="I1046" i="4"/>
  <c r="J1046" i="4"/>
  <c r="K1046" i="4"/>
  <c r="L1046" i="4"/>
  <c r="M1046" i="4"/>
  <c r="N1046" i="4"/>
  <c r="O1046" i="4"/>
  <c r="B1047" i="4"/>
  <c r="C1047" i="4"/>
  <c r="D1047" i="4"/>
  <c r="E1047" i="4"/>
  <c r="F1047" i="4"/>
  <c r="G1047" i="4"/>
  <c r="H1047" i="4"/>
  <c r="I1047" i="4"/>
  <c r="J1047" i="4"/>
  <c r="K1047" i="4"/>
  <c r="L1047" i="4"/>
  <c r="M1047" i="4"/>
  <c r="N1047" i="4"/>
  <c r="O1047" i="4"/>
  <c r="B1048" i="4"/>
  <c r="C1048" i="4"/>
  <c r="C1145" i="4" s="1"/>
  <c r="D1048" i="4"/>
  <c r="E1048" i="4"/>
  <c r="F1048" i="4"/>
  <c r="G1048" i="4"/>
  <c r="H1048" i="4"/>
  <c r="I1048" i="4"/>
  <c r="J1048" i="4"/>
  <c r="K1048" i="4"/>
  <c r="L1048" i="4"/>
  <c r="M1048" i="4"/>
  <c r="N1048" i="4"/>
  <c r="O1048" i="4"/>
  <c r="B1049" i="4"/>
  <c r="C1049" i="4"/>
  <c r="D1049" i="4"/>
  <c r="E1049" i="4"/>
  <c r="F1049" i="4"/>
  <c r="G1049" i="4"/>
  <c r="H1049" i="4"/>
  <c r="I1049" i="4"/>
  <c r="J1049" i="4"/>
  <c r="K1049" i="4"/>
  <c r="L1049" i="4"/>
  <c r="M1049" i="4"/>
  <c r="N1049" i="4"/>
  <c r="O1049" i="4"/>
  <c r="B1050" i="4"/>
  <c r="C1050" i="4"/>
  <c r="D1050" i="4"/>
  <c r="E1050" i="4"/>
  <c r="F1050" i="4"/>
  <c r="G1050" i="4"/>
  <c r="H1050" i="4"/>
  <c r="I1050" i="4"/>
  <c r="J1050" i="4"/>
  <c r="K1050" i="4"/>
  <c r="L1050" i="4"/>
  <c r="M1050" i="4"/>
  <c r="N1050" i="4"/>
  <c r="O1050" i="4"/>
  <c r="B1051" i="4"/>
  <c r="C1051" i="4"/>
  <c r="D1051" i="4"/>
  <c r="E1051" i="4"/>
  <c r="F1051" i="4"/>
  <c r="G1051" i="4"/>
  <c r="H1051" i="4"/>
  <c r="I1051" i="4"/>
  <c r="J1051" i="4"/>
  <c r="K1051" i="4"/>
  <c r="L1051" i="4"/>
  <c r="M1051" i="4"/>
  <c r="N1051" i="4"/>
  <c r="O1051" i="4"/>
  <c r="B1052" i="4"/>
  <c r="C1052" i="4"/>
  <c r="D1052" i="4"/>
  <c r="E1052" i="4"/>
  <c r="F1052" i="4"/>
  <c r="G1052" i="4"/>
  <c r="H1052" i="4"/>
  <c r="I1052" i="4"/>
  <c r="J1052" i="4"/>
  <c r="K1052" i="4"/>
  <c r="L1052" i="4"/>
  <c r="M1052" i="4"/>
  <c r="N1052" i="4"/>
  <c r="O1052" i="4"/>
  <c r="B1053" i="4"/>
  <c r="C1053" i="4"/>
  <c r="D1053" i="4"/>
  <c r="E1053" i="4"/>
  <c r="F1053" i="4"/>
  <c r="G1053" i="4"/>
  <c r="H1053" i="4"/>
  <c r="I1053" i="4"/>
  <c r="J1053" i="4"/>
  <c r="K1053" i="4"/>
  <c r="L1053" i="4"/>
  <c r="M1053" i="4"/>
  <c r="N1053" i="4"/>
  <c r="O1053" i="4"/>
  <c r="B1054" i="4"/>
  <c r="C1054" i="4"/>
  <c r="D1054" i="4"/>
  <c r="E1054" i="4"/>
  <c r="F1054" i="4"/>
  <c r="G1054" i="4"/>
  <c r="H1054" i="4"/>
  <c r="I1054" i="4"/>
  <c r="J1054" i="4"/>
  <c r="K1054" i="4"/>
  <c r="L1054" i="4"/>
  <c r="M1054" i="4"/>
  <c r="N1054" i="4"/>
  <c r="O1054" i="4"/>
  <c r="B1055" i="4"/>
  <c r="C1055" i="4"/>
  <c r="D1055" i="4"/>
  <c r="E1055" i="4"/>
  <c r="F1055" i="4"/>
  <c r="G1055" i="4"/>
  <c r="H1055" i="4"/>
  <c r="I1055" i="4"/>
  <c r="J1055" i="4"/>
  <c r="K1055" i="4"/>
  <c r="L1055" i="4"/>
  <c r="M1055" i="4"/>
  <c r="N1055" i="4"/>
  <c r="O1055" i="4"/>
  <c r="B1056" i="4"/>
  <c r="C1056" i="4"/>
  <c r="D1056" i="4"/>
  <c r="E1056" i="4"/>
  <c r="F1056" i="4"/>
  <c r="G1056" i="4"/>
  <c r="H1056" i="4"/>
  <c r="I1056" i="4"/>
  <c r="J1056" i="4"/>
  <c r="K1056" i="4"/>
  <c r="L1056" i="4"/>
  <c r="M1056" i="4"/>
  <c r="N1056" i="4"/>
  <c r="O1056" i="4"/>
  <c r="B1057" i="4"/>
  <c r="C1057" i="4"/>
  <c r="D1057" i="4"/>
  <c r="E1057" i="4"/>
  <c r="F1057" i="4"/>
  <c r="G1057" i="4"/>
  <c r="H1057" i="4"/>
  <c r="I1057" i="4"/>
  <c r="J1057" i="4"/>
  <c r="K1057" i="4"/>
  <c r="L1057" i="4"/>
  <c r="M1057" i="4"/>
  <c r="N1057" i="4"/>
  <c r="O1057" i="4"/>
  <c r="B1059" i="4"/>
  <c r="C1059" i="4"/>
  <c r="N1059" i="4"/>
  <c r="E1060" i="4"/>
  <c r="J1060" i="4"/>
  <c r="K1060" i="4"/>
  <c r="G1061" i="4"/>
  <c r="M1061" i="4"/>
  <c r="C1062" i="4"/>
  <c r="O1062" i="4"/>
  <c r="F1063" i="4"/>
  <c r="J1063" i="4"/>
  <c r="K1063" i="4"/>
  <c r="M1064" i="4"/>
  <c r="D1065" i="4"/>
  <c r="E1065" i="4"/>
  <c r="O1065" i="4"/>
  <c r="F1066" i="4"/>
  <c r="I1066" i="4"/>
  <c r="K1066" i="4"/>
  <c r="N1067" i="4"/>
  <c r="O1067" i="4"/>
  <c r="J1068" i="4"/>
  <c r="O1068" i="4"/>
  <c r="D1069" i="4"/>
  <c r="E1069" i="4"/>
  <c r="E1070" i="4"/>
  <c r="H1070" i="4"/>
  <c r="I1070" i="4"/>
  <c r="E1071" i="4"/>
  <c r="I1071" i="4"/>
  <c r="M1071" i="4"/>
  <c r="I1072" i="4"/>
  <c r="M1072" i="4"/>
  <c r="C1073" i="4"/>
  <c r="M1073" i="4"/>
  <c r="D1074" i="4"/>
  <c r="G1074" i="4"/>
  <c r="K1075" i="4"/>
  <c r="M1075" i="4"/>
  <c r="H1076" i="4"/>
  <c r="L1076" i="4"/>
  <c r="B1077" i="4"/>
  <c r="F1078" i="4"/>
  <c r="G1078" i="4"/>
  <c r="B1079" i="4"/>
  <c r="G1079" i="4"/>
  <c r="J1079" i="4"/>
  <c r="O1080" i="4"/>
  <c r="K1081" i="4"/>
  <c r="O1081" i="4"/>
  <c r="E1082" i="4"/>
  <c r="I1083" i="4"/>
  <c r="E1084" i="4"/>
  <c r="J1084" i="4"/>
  <c r="M1084" i="4"/>
  <c r="D1086" i="4"/>
  <c r="E1086" i="4"/>
  <c r="N1086" i="4"/>
  <c r="E1087" i="4"/>
  <c r="H1087" i="4"/>
  <c r="L1088" i="4"/>
  <c r="M1088" i="4"/>
  <c r="I1089" i="4"/>
  <c r="M1089" i="4"/>
  <c r="C1090" i="4"/>
  <c r="G1091" i="4"/>
  <c r="C1092" i="4"/>
  <c r="H1092" i="4"/>
  <c r="K1092" i="4"/>
  <c r="O1093" i="4"/>
  <c r="C1094" i="4"/>
  <c r="L1094" i="4"/>
  <c r="B1095" i="4"/>
  <c r="F1095" i="4"/>
  <c r="H1096" i="4"/>
  <c r="I1096" i="4"/>
  <c r="C1097" i="4"/>
  <c r="G1097" i="4"/>
  <c r="J1097" i="4"/>
  <c r="L1098" i="4"/>
  <c r="M1098" i="4"/>
  <c r="G1099" i="4"/>
  <c r="K1099" i="4"/>
  <c r="N1099" i="4"/>
  <c r="B1101" i="4"/>
  <c r="C1101" i="4"/>
  <c r="K1101" i="4"/>
  <c r="O1101" i="4"/>
  <c r="D1102" i="4"/>
  <c r="F1103" i="4"/>
  <c r="G1103" i="4"/>
  <c r="O1103" i="4"/>
  <c r="E1104" i="4"/>
  <c r="H1104" i="4"/>
  <c r="J1105" i="4"/>
  <c r="K1105" i="4"/>
  <c r="E1106" i="4"/>
  <c r="I1106" i="4"/>
  <c r="L1106" i="4"/>
  <c r="N1107" i="4"/>
  <c r="O1107" i="4"/>
  <c r="I1108" i="4"/>
  <c r="M1108" i="4"/>
  <c r="B1109" i="4"/>
  <c r="D1110" i="4"/>
  <c r="E1110" i="4"/>
  <c r="M1110" i="4"/>
  <c r="C1111" i="4"/>
  <c r="F1111" i="4"/>
  <c r="H1112" i="4"/>
  <c r="I1112" i="4"/>
  <c r="C1113" i="4"/>
  <c r="G1113" i="4"/>
  <c r="J1113" i="4"/>
  <c r="L1114" i="4"/>
  <c r="M1114" i="4"/>
  <c r="G1115" i="4"/>
  <c r="K1115" i="4"/>
  <c r="B1117" i="4"/>
  <c r="C1117" i="4"/>
  <c r="K1117" i="4"/>
  <c r="O1117" i="4"/>
  <c r="D1118" i="4"/>
  <c r="F1119" i="4"/>
  <c r="G1119" i="4"/>
  <c r="O1119" i="4"/>
  <c r="E1120" i="4"/>
  <c r="K1121" i="4"/>
  <c r="E1122" i="4"/>
  <c r="I1122" i="4"/>
  <c r="O1123" i="4"/>
  <c r="I1124" i="4"/>
  <c r="M1124" i="4"/>
  <c r="D1126" i="4"/>
  <c r="E1126" i="4"/>
  <c r="M1126" i="4"/>
  <c r="C1127" i="4"/>
  <c r="F1127" i="4"/>
  <c r="I1128" i="4"/>
  <c r="C1129" i="4"/>
  <c r="G1129" i="4"/>
  <c r="M1130" i="4"/>
  <c r="G1131" i="4"/>
  <c r="K1131" i="4"/>
  <c r="C1133" i="4"/>
  <c r="K1133" i="4"/>
  <c r="O1133" i="4"/>
  <c r="F1135" i="4"/>
  <c r="G1135" i="4"/>
  <c r="O1135" i="4"/>
  <c r="E1136" i="4"/>
  <c r="H1136" i="4"/>
  <c r="K1137" i="4"/>
  <c r="E1138" i="4"/>
  <c r="I1138" i="4"/>
  <c r="O1139" i="4"/>
  <c r="I1140" i="4"/>
  <c r="M1140" i="4"/>
  <c r="E1142" i="4"/>
  <c r="M1142" i="4"/>
  <c r="C1143" i="4"/>
  <c r="H1144" i="4"/>
  <c r="I1144" i="4"/>
  <c r="J1145" i="4"/>
  <c r="E9" i="3"/>
  <c r="G9" i="3"/>
  <c r="J12" i="3"/>
  <c r="J13" i="3"/>
  <c r="B14" i="3"/>
  <c r="C14" i="3"/>
  <c r="D14" i="3"/>
  <c r="E14" i="3"/>
  <c r="F14" i="3"/>
  <c r="G14" i="3"/>
  <c r="H14" i="3"/>
  <c r="I14" i="3"/>
  <c r="J14" i="3"/>
  <c r="B15" i="3"/>
  <c r="C15" i="3"/>
  <c r="D15" i="3"/>
  <c r="E15" i="3"/>
  <c r="F15" i="3"/>
  <c r="G15" i="3"/>
  <c r="H15" i="3"/>
  <c r="I15" i="3"/>
  <c r="J15" i="3"/>
  <c r="B16" i="3"/>
  <c r="C16" i="3"/>
  <c r="D16" i="3"/>
  <c r="E16" i="3"/>
  <c r="F16" i="3"/>
  <c r="G16" i="3"/>
  <c r="H16" i="3"/>
  <c r="I16" i="3"/>
  <c r="J16" i="3"/>
  <c r="B17" i="3"/>
  <c r="C17" i="3"/>
  <c r="D17" i="3"/>
  <c r="E17" i="3"/>
  <c r="F17" i="3"/>
  <c r="G17" i="3"/>
  <c r="H17" i="3"/>
  <c r="I17" i="3"/>
  <c r="J17" i="3"/>
  <c r="B18" i="3"/>
  <c r="C18" i="3"/>
  <c r="D18" i="3"/>
  <c r="E18" i="3"/>
  <c r="F18" i="3"/>
  <c r="G18" i="3"/>
  <c r="H18" i="3"/>
  <c r="I18" i="3"/>
  <c r="J18" i="3"/>
  <c r="B19" i="3"/>
  <c r="C19" i="3"/>
  <c r="D19" i="3"/>
  <c r="E19" i="3"/>
  <c r="F19" i="3"/>
  <c r="G19" i="3"/>
  <c r="H19" i="3"/>
  <c r="I19" i="3"/>
  <c r="J19" i="3"/>
  <c r="B20" i="3"/>
  <c r="C20" i="3"/>
  <c r="D20" i="3"/>
  <c r="E20" i="3"/>
  <c r="F20" i="3"/>
  <c r="G20" i="3"/>
  <c r="H20" i="3"/>
  <c r="I20" i="3"/>
  <c r="J20" i="3"/>
  <c r="B21" i="3"/>
  <c r="C21" i="3"/>
  <c r="D21" i="3"/>
  <c r="E21" i="3"/>
  <c r="F21" i="3"/>
  <c r="G21" i="3"/>
  <c r="H21" i="3"/>
  <c r="I21" i="3"/>
  <c r="J21" i="3"/>
  <c r="B22" i="3"/>
  <c r="C22" i="3"/>
  <c r="D22" i="3"/>
  <c r="E22" i="3"/>
  <c r="F22" i="3"/>
  <c r="G22" i="3"/>
  <c r="H22" i="3"/>
  <c r="I22" i="3"/>
  <c r="J22" i="3"/>
  <c r="B23" i="3"/>
  <c r="C23" i="3"/>
  <c r="D23" i="3"/>
  <c r="E23" i="3"/>
  <c r="F23" i="3"/>
  <c r="G23" i="3"/>
  <c r="H23" i="3"/>
  <c r="I23" i="3"/>
  <c r="J23" i="3"/>
  <c r="B24" i="3"/>
  <c r="C24" i="3"/>
  <c r="D24" i="3"/>
  <c r="E24" i="3"/>
  <c r="F24" i="3"/>
  <c r="G24" i="3"/>
  <c r="H24" i="3"/>
  <c r="I24" i="3"/>
  <c r="J24" i="3"/>
  <c r="B25" i="3"/>
  <c r="C25" i="3"/>
  <c r="D25" i="3"/>
  <c r="E25" i="3"/>
  <c r="F25" i="3"/>
  <c r="G25" i="3"/>
  <c r="H25" i="3"/>
  <c r="I25" i="3"/>
  <c r="J25" i="3"/>
  <c r="B26" i="3"/>
  <c r="C26" i="3"/>
  <c r="D26" i="3"/>
  <c r="E26" i="3"/>
  <c r="F26" i="3"/>
  <c r="G26" i="3"/>
  <c r="H26" i="3"/>
  <c r="I26" i="3"/>
  <c r="J26" i="3"/>
  <c r="B27" i="3"/>
  <c r="C27" i="3"/>
  <c r="D27" i="3"/>
  <c r="E27" i="3"/>
  <c r="F27" i="3"/>
  <c r="G27" i="3"/>
  <c r="H27" i="3"/>
  <c r="I27" i="3"/>
  <c r="J27" i="3"/>
  <c r="B28" i="3"/>
  <c r="C28" i="3"/>
  <c r="D28" i="3"/>
  <c r="E28" i="3"/>
  <c r="F28" i="3"/>
  <c r="G28" i="3"/>
  <c r="H28" i="3"/>
  <c r="I28" i="3"/>
  <c r="J28" i="3"/>
  <c r="B29" i="3"/>
  <c r="C29" i="3"/>
  <c r="D29" i="3"/>
  <c r="E29" i="3"/>
  <c r="F29" i="3"/>
  <c r="G29" i="3"/>
  <c r="H29" i="3"/>
  <c r="I29" i="3"/>
  <c r="J29" i="3"/>
  <c r="B30" i="3"/>
  <c r="C30" i="3"/>
  <c r="D30" i="3"/>
  <c r="E30" i="3"/>
  <c r="F30" i="3"/>
  <c r="G30" i="3"/>
  <c r="H30" i="3"/>
  <c r="I30" i="3"/>
  <c r="J30" i="3"/>
  <c r="B31" i="3"/>
  <c r="C31" i="3"/>
  <c r="D31" i="3"/>
  <c r="E31" i="3"/>
  <c r="F31" i="3"/>
  <c r="G31" i="3"/>
  <c r="H31" i="3"/>
  <c r="I31" i="3"/>
  <c r="J31" i="3"/>
  <c r="B32" i="3"/>
  <c r="C32" i="3"/>
  <c r="D32" i="3"/>
  <c r="E32" i="3"/>
  <c r="F32" i="3"/>
  <c r="G32" i="3"/>
  <c r="H32" i="3"/>
  <c r="I32" i="3"/>
  <c r="J32" i="3"/>
  <c r="B33" i="3"/>
  <c r="C33" i="3"/>
  <c r="D33" i="3"/>
  <c r="E33" i="3"/>
  <c r="F33" i="3"/>
  <c r="G33" i="3"/>
  <c r="H33" i="3"/>
  <c r="I33" i="3"/>
  <c r="J33" i="3"/>
  <c r="B34" i="3"/>
  <c r="C34" i="3"/>
  <c r="D34" i="3"/>
  <c r="E34" i="3"/>
  <c r="F34" i="3"/>
  <c r="G34" i="3"/>
  <c r="H34" i="3"/>
  <c r="I34" i="3"/>
  <c r="J34" i="3"/>
  <c r="B35" i="3"/>
  <c r="C35" i="3"/>
  <c r="D35" i="3"/>
  <c r="E35" i="3"/>
  <c r="F35" i="3"/>
  <c r="G35" i="3"/>
  <c r="H35" i="3"/>
  <c r="I35" i="3"/>
  <c r="J35" i="3"/>
  <c r="B36" i="3"/>
  <c r="C36" i="3"/>
  <c r="D36" i="3"/>
  <c r="E36" i="3"/>
  <c r="F36" i="3"/>
  <c r="G36" i="3"/>
  <c r="H36" i="3"/>
  <c r="I36" i="3"/>
  <c r="J36" i="3"/>
  <c r="B37" i="3"/>
  <c r="C37" i="3"/>
  <c r="D37" i="3"/>
  <c r="E37" i="3"/>
  <c r="F37" i="3"/>
  <c r="G37" i="3"/>
  <c r="H37" i="3"/>
  <c r="I37" i="3"/>
  <c r="J37" i="3"/>
  <c r="B38" i="3"/>
  <c r="C38" i="3"/>
  <c r="D38" i="3"/>
  <c r="E38" i="3"/>
  <c r="F38" i="3"/>
  <c r="G38" i="3"/>
  <c r="H38" i="3"/>
  <c r="I38" i="3"/>
  <c r="J38" i="3"/>
  <c r="B39" i="3"/>
  <c r="C39" i="3"/>
  <c r="D39" i="3"/>
  <c r="E39" i="3"/>
  <c r="F39" i="3"/>
  <c r="G39" i="3"/>
  <c r="H39" i="3"/>
  <c r="I39" i="3"/>
  <c r="J39" i="3"/>
  <c r="B40" i="3"/>
  <c r="C40" i="3"/>
  <c r="D40" i="3"/>
  <c r="E40" i="3"/>
  <c r="F40" i="3"/>
  <c r="G40" i="3"/>
  <c r="H40" i="3"/>
  <c r="I40" i="3"/>
  <c r="J40" i="3"/>
  <c r="B41" i="3"/>
  <c r="C41" i="3"/>
  <c r="D41" i="3"/>
  <c r="E41" i="3"/>
  <c r="F41" i="3"/>
  <c r="G41" i="3"/>
  <c r="H41" i="3"/>
  <c r="I41" i="3"/>
  <c r="J41" i="3"/>
  <c r="B42" i="3"/>
  <c r="C42" i="3"/>
  <c r="D42" i="3"/>
  <c r="E42" i="3"/>
  <c r="F42" i="3"/>
  <c r="G42" i="3"/>
  <c r="H42" i="3"/>
  <c r="I42" i="3"/>
  <c r="J42" i="3"/>
  <c r="B43" i="3"/>
  <c r="C43" i="3"/>
  <c r="D43" i="3"/>
  <c r="E43" i="3"/>
  <c r="F43" i="3"/>
  <c r="G43" i="3"/>
  <c r="H43" i="3"/>
  <c r="I43" i="3"/>
  <c r="J43" i="3"/>
  <c r="B44" i="3"/>
  <c r="C44" i="3"/>
  <c r="D44" i="3"/>
  <c r="E44" i="3"/>
  <c r="F44" i="3"/>
  <c r="G44" i="3"/>
  <c r="H44" i="3"/>
  <c r="I44" i="3"/>
  <c r="J44" i="3"/>
  <c r="B45" i="3"/>
  <c r="C45" i="3"/>
  <c r="D45" i="3"/>
  <c r="E45" i="3"/>
  <c r="F45" i="3"/>
  <c r="G45" i="3"/>
  <c r="H45" i="3"/>
  <c r="I45" i="3"/>
  <c r="J45" i="3"/>
  <c r="B46" i="3"/>
  <c r="C46" i="3"/>
  <c r="D46" i="3"/>
  <c r="E46" i="3"/>
  <c r="F46" i="3"/>
  <c r="G46" i="3"/>
  <c r="H46" i="3"/>
  <c r="I46" i="3"/>
  <c r="J46" i="3"/>
  <c r="B47" i="3"/>
  <c r="C47" i="3"/>
  <c r="D47" i="3"/>
  <c r="E47" i="3"/>
  <c r="F47" i="3"/>
  <c r="G47" i="3"/>
  <c r="H47" i="3"/>
  <c r="I47" i="3"/>
  <c r="J47" i="3"/>
  <c r="B48" i="3"/>
  <c r="C48" i="3"/>
  <c r="D48" i="3"/>
  <c r="E48" i="3"/>
  <c r="F48" i="3"/>
  <c r="G48" i="3"/>
  <c r="H48" i="3"/>
  <c r="I48" i="3"/>
  <c r="J48" i="3"/>
  <c r="B49" i="3"/>
  <c r="C49" i="3"/>
  <c r="D49" i="3"/>
  <c r="E49" i="3"/>
  <c r="F49" i="3"/>
  <c r="G49" i="3"/>
  <c r="H49" i="3"/>
  <c r="I49" i="3"/>
  <c r="J49" i="3"/>
  <c r="B50" i="3"/>
  <c r="C50" i="3"/>
  <c r="D50" i="3"/>
  <c r="E50" i="3"/>
  <c r="F50" i="3"/>
  <c r="G50" i="3"/>
  <c r="H50" i="3"/>
  <c r="I50" i="3"/>
  <c r="J50" i="3"/>
  <c r="B51" i="3"/>
  <c r="C51" i="3"/>
  <c r="D51" i="3"/>
  <c r="E51" i="3"/>
  <c r="F51" i="3"/>
  <c r="G51" i="3"/>
  <c r="H51" i="3"/>
  <c r="I51" i="3"/>
  <c r="J51" i="3"/>
  <c r="B52" i="3"/>
  <c r="C52" i="3"/>
  <c r="D52" i="3"/>
  <c r="E52" i="3"/>
  <c r="F52" i="3"/>
  <c r="G52" i="3"/>
  <c r="H52" i="3"/>
  <c r="I52" i="3"/>
  <c r="J52" i="3"/>
  <c r="J1060" i="3" s="1"/>
  <c r="B53" i="3"/>
  <c r="C53" i="3"/>
  <c r="D53" i="3"/>
  <c r="E53" i="3"/>
  <c r="F53" i="3"/>
  <c r="G53" i="3"/>
  <c r="H53" i="3"/>
  <c r="I53" i="3"/>
  <c r="J53" i="3"/>
  <c r="B54" i="3"/>
  <c r="C54" i="3"/>
  <c r="D54" i="3"/>
  <c r="E54" i="3"/>
  <c r="F54" i="3"/>
  <c r="G54" i="3"/>
  <c r="H54" i="3"/>
  <c r="I54" i="3"/>
  <c r="J54" i="3"/>
  <c r="B55" i="3"/>
  <c r="C55" i="3"/>
  <c r="D55" i="3"/>
  <c r="E55" i="3"/>
  <c r="F55" i="3"/>
  <c r="G55" i="3"/>
  <c r="H55" i="3"/>
  <c r="I55" i="3"/>
  <c r="J55" i="3"/>
  <c r="B56" i="3"/>
  <c r="C56" i="3"/>
  <c r="D56" i="3"/>
  <c r="E56" i="3"/>
  <c r="F56" i="3"/>
  <c r="G56" i="3"/>
  <c r="H56" i="3"/>
  <c r="I56" i="3"/>
  <c r="J56" i="3"/>
  <c r="B57" i="3"/>
  <c r="C57" i="3"/>
  <c r="D57" i="3"/>
  <c r="E57" i="3"/>
  <c r="F57" i="3"/>
  <c r="G57" i="3"/>
  <c r="H57" i="3"/>
  <c r="I57" i="3"/>
  <c r="J57" i="3"/>
  <c r="B58" i="3"/>
  <c r="C58" i="3"/>
  <c r="D58" i="3"/>
  <c r="E58" i="3"/>
  <c r="F58" i="3"/>
  <c r="G58" i="3"/>
  <c r="H58" i="3"/>
  <c r="I58" i="3"/>
  <c r="J58" i="3"/>
  <c r="B59" i="3"/>
  <c r="C59" i="3"/>
  <c r="D59" i="3"/>
  <c r="E59" i="3"/>
  <c r="F59" i="3"/>
  <c r="G59" i="3"/>
  <c r="H59" i="3"/>
  <c r="I59" i="3"/>
  <c r="J59" i="3"/>
  <c r="B60" i="3"/>
  <c r="C60" i="3"/>
  <c r="D60" i="3"/>
  <c r="E60" i="3"/>
  <c r="F60" i="3"/>
  <c r="G60" i="3"/>
  <c r="H60" i="3"/>
  <c r="I60" i="3"/>
  <c r="J60" i="3"/>
  <c r="B61" i="3"/>
  <c r="C61" i="3"/>
  <c r="D61" i="3"/>
  <c r="E61" i="3"/>
  <c r="F61" i="3"/>
  <c r="G61" i="3"/>
  <c r="H61" i="3"/>
  <c r="I61" i="3"/>
  <c r="J61" i="3"/>
  <c r="B62" i="3"/>
  <c r="C62" i="3"/>
  <c r="D62" i="3"/>
  <c r="E62" i="3"/>
  <c r="F62" i="3"/>
  <c r="G62" i="3"/>
  <c r="H62" i="3"/>
  <c r="I62" i="3"/>
  <c r="J62" i="3"/>
  <c r="B63" i="3"/>
  <c r="C63" i="3"/>
  <c r="D63" i="3"/>
  <c r="E63" i="3"/>
  <c r="F63" i="3"/>
  <c r="G63" i="3"/>
  <c r="H63" i="3"/>
  <c r="I63" i="3"/>
  <c r="J63" i="3"/>
  <c r="B64" i="3"/>
  <c r="C64" i="3"/>
  <c r="D64" i="3"/>
  <c r="E64" i="3"/>
  <c r="F64" i="3"/>
  <c r="G64" i="3"/>
  <c r="H64" i="3"/>
  <c r="I64" i="3"/>
  <c r="J64" i="3"/>
  <c r="B65" i="3"/>
  <c r="C65" i="3"/>
  <c r="D65" i="3"/>
  <c r="E65" i="3"/>
  <c r="F65" i="3"/>
  <c r="G65" i="3"/>
  <c r="H65" i="3"/>
  <c r="I65" i="3"/>
  <c r="J65" i="3"/>
  <c r="B66" i="3"/>
  <c r="C66" i="3"/>
  <c r="D66" i="3"/>
  <c r="E66" i="3"/>
  <c r="F66" i="3"/>
  <c r="G66" i="3"/>
  <c r="H66" i="3"/>
  <c r="I66" i="3"/>
  <c r="J66" i="3"/>
  <c r="B67" i="3"/>
  <c r="C67" i="3"/>
  <c r="D67" i="3"/>
  <c r="E67" i="3"/>
  <c r="F67" i="3"/>
  <c r="G67" i="3"/>
  <c r="H67" i="3"/>
  <c r="I67" i="3"/>
  <c r="J67" i="3"/>
  <c r="B68" i="3"/>
  <c r="C68" i="3"/>
  <c r="D68" i="3"/>
  <c r="E68" i="3"/>
  <c r="F68" i="3"/>
  <c r="G68" i="3"/>
  <c r="H68" i="3"/>
  <c r="I68" i="3"/>
  <c r="J68" i="3"/>
  <c r="B69" i="3"/>
  <c r="C69" i="3"/>
  <c r="D69" i="3"/>
  <c r="E69" i="3"/>
  <c r="F69" i="3"/>
  <c r="G69" i="3"/>
  <c r="H69" i="3"/>
  <c r="I69" i="3"/>
  <c r="J69" i="3"/>
  <c r="B70" i="3"/>
  <c r="C70" i="3"/>
  <c r="D70" i="3"/>
  <c r="E70" i="3"/>
  <c r="F70" i="3"/>
  <c r="G70" i="3"/>
  <c r="H70" i="3"/>
  <c r="I70" i="3"/>
  <c r="J70" i="3"/>
  <c r="B71" i="3"/>
  <c r="C71" i="3"/>
  <c r="D71" i="3"/>
  <c r="E71" i="3"/>
  <c r="F71" i="3"/>
  <c r="G71" i="3"/>
  <c r="H71" i="3"/>
  <c r="I71" i="3"/>
  <c r="J71" i="3"/>
  <c r="B72" i="3"/>
  <c r="C72" i="3"/>
  <c r="D72" i="3"/>
  <c r="E72" i="3"/>
  <c r="F72" i="3"/>
  <c r="G72" i="3"/>
  <c r="H72" i="3"/>
  <c r="I72" i="3"/>
  <c r="J72" i="3"/>
  <c r="B73" i="3"/>
  <c r="C73" i="3"/>
  <c r="D73" i="3"/>
  <c r="E73" i="3"/>
  <c r="F73" i="3"/>
  <c r="G73" i="3"/>
  <c r="H73" i="3"/>
  <c r="I73" i="3"/>
  <c r="J73" i="3"/>
  <c r="B74" i="3"/>
  <c r="C74" i="3"/>
  <c r="D74" i="3"/>
  <c r="E74" i="3"/>
  <c r="F74" i="3"/>
  <c r="G74" i="3"/>
  <c r="H74" i="3"/>
  <c r="I74" i="3"/>
  <c r="J74" i="3"/>
  <c r="B75" i="3"/>
  <c r="C75" i="3"/>
  <c r="D75" i="3"/>
  <c r="E75" i="3"/>
  <c r="F75" i="3"/>
  <c r="G75" i="3"/>
  <c r="H75" i="3"/>
  <c r="I75" i="3"/>
  <c r="J75" i="3"/>
  <c r="B76" i="3"/>
  <c r="C76" i="3"/>
  <c r="D76" i="3"/>
  <c r="E76" i="3"/>
  <c r="F76" i="3"/>
  <c r="G76" i="3"/>
  <c r="H76" i="3"/>
  <c r="I76" i="3"/>
  <c r="J76" i="3"/>
  <c r="B77" i="3"/>
  <c r="C77" i="3"/>
  <c r="D77" i="3"/>
  <c r="E77" i="3"/>
  <c r="F77" i="3"/>
  <c r="G77" i="3"/>
  <c r="H77" i="3"/>
  <c r="I77" i="3"/>
  <c r="J77" i="3"/>
  <c r="B78" i="3"/>
  <c r="C78" i="3"/>
  <c r="D78" i="3"/>
  <c r="E78" i="3"/>
  <c r="F78" i="3"/>
  <c r="G78" i="3"/>
  <c r="H78" i="3"/>
  <c r="I78" i="3"/>
  <c r="J78" i="3"/>
  <c r="B79" i="3"/>
  <c r="C79" i="3"/>
  <c r="D79" i="3"/>
  <c r="E79" i="3"/>
  <c r="F79" i="3"/>
  <c r="G79" i="3"/>
  <c r="H79" i="3"/>
  <c r="I79" i="3"/>
  <c r="J79" i="3"/>
  <c r="B80" i="3"/>
  <c r="C80" i="3"/>
  <c r="D80" i="3"/>
  <c r="E80" i="3"/>
  <c r="F80" i="3"/>
  <c r="G80" i="3"/>
  <c r="H80" i="3"/>
  <c r="I80" i="3"/>
  <c r="J80" i="3"/>
  <c r="B81" i="3"/>
  <c r="C81" i="3"/>
  <c r="D81" i="3"/>
  <c r="E81" i="3"/>
  <c r="F81" i="3"/>
  <c r="G81" i="3"/>
  <c r="H81" i="3"/>
  <c r="I81" i="3"/>
  <c r="J81" i="3"/>
  <c r="B82" i="3"/>
  <c r="C82" i="3"/>
  <c r="D82" i="3"/>
  <c r="E82" i="3"/>
  <c r="F82" i="3"/>
  <c r="G82" i="3"/>
  <c r="H82" i="3"/>
  <c r="I82" i="3"/>
  <c r="J82" i="3"/>
  <c r="B83" i="3"/>
  <c r="C83" i="3"/>
  <c r="D83" i="3"/>
  <c r="E83" i="3"/>
  <c r="F83" i="3"/>
  <c r="G83" i="3"/>
  <c r="H83" i="3"/>
  <c r="I83" i="3"/>
  <c r="J83" i="3"/>
  <c r="B84" i="3"/>
  <c r="C84" i="3"/>
  <c r="D84" i="3"/>
  <c r="E84" i="3"/>
  <c r="F84" i="3"/>
  <c r="G84" i="3"/>
  <c r="H84" i="3"/>
  <c r="I84" i="3"/>
  <c r="J84" i="3"/>
  <c r="B85" i="3"/>
  <c r="C85" i="3"/>
  <c r="D85" i="3"/>
  <c r="E85" i="3"/>
  <c r="F85" i="3"/>
  <c r="G85" i="3"/>
  <c r="H85" i="3"/>
  <c r="I85" i="3"/>
  <c r="J85" i="3"/>
  <c r="B86" i="3"/>
  <c r="C86" i="3"/>
  <c r="D86" i="3"/>
  <c r="E86" i="3"/>
  <c r="F86" i="3"/>
  <c r="G86" i="3"/>
  <c r="H86" i="3"/>
  <c r="I86" i="3"/>
  <c r="J86" i="3"/>
  <c r="B87" i="3"/>
  <c r="C87" i="3"/>
  <c r="D87" i="3"/>
  <c r="E87" i="3"/>
  <c r="F87" i="3"/>
  <c r="G87" i="3"/>
  <c r="H87" i="3"/>
  <c r="I87" i="3"/>
  <c r="J87" i="3"/>
  <c r="B88" i="3"/>
  <c r="C88" i="3"/>
  <c r="D88" i="3"/>
  <c r="E88" i="3"/>
  <c r="F88" i="3"/>
  <c r="G88" i="3"/>
  <c r="H88" i="3"/>
  <c r="I88" i="3"/>
  <c r="J88" i="3"/>
  <c r="B89" i="3"/>
  <c r="C89" i="3"/>
  <c r="D89" i="3"/>
  <c r="E89" i="3"/>
  <c r="F89" i="3"/>
  <c r="G89" i="3"/>
  <c r="H89" i="3"/>
  <c r="I89" i="3"/>
  <c r="J89" i="3"/>
  <c r="B90" i="3"/>
  <c r="C90" i="3"/>
  <c r="D90" i="3"/>
  <c r="E90" i="3"/>
  <c r="F90" i="3"/>
  <c r="G90" i="3"/>
  <c r="H90" i="3"/>
  <c r="I90" i="3"/>
  <c r="J90" i="3"/>
  <c r="B91" i="3"/>
  <c r="C91" i="3"/>
  <c r="D91" i="3"/>
  <c r="E91" i="3"/>
  <c r="F91" i="3"/>
  <c r="G91" i="3"/>
  <c r="H91" i="3"/>
  <c r="I91" i="3"/>
  <c r="J91" i="3"/>
  <c r="B92" i="3"/>
  <c r="C92" i="3"/>
  <c r="D92" i="3"/>
  <c r="E92" i="3"/>
  <c r="F92" i="3"/>
  <c r="G92" i="3"/>
  <c r="H92" i="3"/>
  <c r="I92" i="3"/>
  <c r="J92" i="3"/>
  <c r="B93" i="3"/>
  <c r="C93" i="3"/>
  <c r="D93" i="3"/>
  <c r="E93" i="3"/>
  <c r="F93" i="3"/>
  <c r="G93" i="3"/>
  <c r="H93" i="3"/>
  <c r="I93" i="3"/>
  <c r="J93" i="3"/>
  <c r="B94" i="3"/>
  <c r="C94" i="3"/>
  <c r="D94" i="3"/>
  <c r="E94" i="3"/>
  <c r="F94" i="3"/>
  <c r="G94" i="3"/>
  <c r="H94" i="3"/>
  <c r="I94" i="3"/>
  <c r="J94" i="3"/>
  <c r="B95" i="3"/>
  <c r="C95" i="3"/>
  <c r="D95" i="3"/>
  <c r="E95" i="3"/>
  <c r="F95" i="3"/>
  <c r="G95" i="3"/>
  <c r="H95" i="3"/>
  <c r="I95" i="3"/>
  <c r="J95" i="3"/>
  <c r="B96" i="3"/>
  <c r="C96" i="3"/>
  <c r="D96" i="3"/>
  <c r="E96" i="3"/>
  <c r="F96" i="3"/>
  <c r="G96" i="3"/>
  <c r="H96" i="3"/>
  <c r="I96" i="3"/>
  <c r="J96" i="3"/>
  <c r="B97" i="3"/>
  <c r="C97" i="3"/>
  <c r="D97" i="3"/>
  <c r="E97" i="3"/>
  <c r="F97" i="3"/>
  <c r="G97" i="3"/>
  <c r="H97" i="3"/>
  <c r="I97" i="3"/>
  <c r="J97" i="3"/>
  <c r="B98" i="3"/>
  <c r="C98" i="3"/>
  <c r="D98" i="3"/>
  <c r="E98" i="3"/>
  <c r="F98" i="3"/>
  <c r="G98" i="3"/>
  <c r="H98" i="3"/>
  <c r="I98" i="3"/>
  <c r="J98" i="3"/>
  <c r="B99" i="3"/>
  <c r="C99" i="3"/>
  <c r="D99" i="3"/>
  <c r="E99" i="3"/>
  <c r="F99" i="3"/>
  <c r="G99" i="3"/>
  <c r="H99" i="3"/>
  <c r="I99" i="3"/>
  <c r="J99" i="3"/>
  <c r="B100" i="3"/>
  <c r="C100" i="3"/>
  <c r="D100" i="3"/>
  <c r="E100" i="3"/>
  <c r="F100" i="3"/>
  <c r="G100" i="3"/>
  <c r="H100" i="3"/>
  <c r="I100" i="3"/>
  <c r="J100" i="3"/>
  <c r="J1064" i="3" s="1"/>
  <c r="B101" i="3"/>
  <c r="C101" i="3"/>
  <c r="D101" i="3"/>
  <c r="E101" i="3"/>
  <c r="F101" i="3"/>
  <c r="G101" i="3"/>
  <c r="H101" i="3"/>
  <c r="I101" i="3"/>
  <c r="J101" i="3"/>
  <c r="B102" i="3"/>
  <c r="C102" i="3"/>
  <c r="D102" i="3"/>
  <c r="E102" i="3"/>
  <c r="F102" i="3"/>
  <c r="G102" i="3"/>
  <c r="H102" i="3"/>
  <c r="I102" i="3"/>
  <c r="J102" i="3"/>
  <c r="B103" i="3"/>
  <c r="C103" i="3"/>
  <c r="D103" i="3"/>
  <c r="E103" i="3"/>
  <c r="F103" i="3"/>
  <c r="G103" i="3"/>
  <c r="H103" i="3"/>
  <c r="I103" i="3"/>
  <c r="J103" i="3"/>
  <c r="B104" i="3"/>
  <c r="C104" i="3"/>
  <c r="D104" i="3"/>
  <c r="E104" i="3"/>
  <c r="F104" i="3"/>
  <c r="G104" i="3"/>
  <c r="H104" i="3"/>
  <c r="I104" i="3"/>
  <c r="J104" i="3"/>
  <c r="B105" i="3"/>
  <c r="C105" i="3"/>
  <c r="D105" i="3"/>
  <c r="E105" i="3"/>
  <c r="F105" i="3"/>
  <c r="G105" i="3"/>
  <c r="H105" i="3"/>
  <c r="I105" i="3"/>
  <c r="J105" i="3"/>
  <c r="B106" i="3"/>
  <c r="C106" i="3"/>
  <c r="D106" i="3"/>
  <c r="E106" i="3"/>
  <c r="F106" i="3"/>
  <c r="G106" i="3"/>
  <c r="H106" i="3"/>
  <c r="I106" i="3"/>
  <c r="J106" i="3"/>
  <c r="B107" i="3"/>
  <c r="C107" i="3"/>
  <c r="D107" i="3"/>
  <c r="E107" i="3"/>
  <c r="F107" i="3"/>
  <c r="G107" i="3"/>
  <c r="H107" i="3"/>
  <c r="I107" i="3"/>
  <c r="J107" i="3"/>
  <c r="B108" i="3"/>
  <c r="C108" i="3"/>
  <c r="D108" i="3"/>
  <c r="E108" i="3"/>
  <c r="F108" i="3"/>
  <c r="G108" i="3"/>
  <c r="H108" i="3"/>
  <c r="I108" i="3"/>
  <c r="J108" i="3"/>
  <c r="B109" i="3"/>
  <c r="C109" i="3"/>
  <c r="D109" i="3"/>
  <c r="E109" i="3"/>
  <c r="F109" i="3"/>
  <c r="G109" i="3"/>
  <c r="H109" i="3"/>
  <c r="I109" i="3"/>
  <c r="J109" i="3"/>
  <c r="B110" i="3"/>
  <c r="C110" i="3"/>
  <c r="D110" i="3"/>
  <c r="E110" i="3"/>
  <c r="F110" i="3"/>
  <c r="G110" i="3"/>
  <c r="H110" i="3"/>
  <c r="I110" i="3"/>
  <c r="J110" i="3"/>
  <c r="B111" i="3"/>
  <c r="C111" i="3"/>
  <c r="D111" i="3"/>
  <c r="E111" i="3"/>
  <c r="F111" i="3"/>
  <c r="G111" i="3"/>
  <c r="H111" i="3"/>
  <c r="I111" i="3"/>
  <c r="J111" i="3"/>
  <c r="B112" i="3"/>
  <c r="C112" i="3"/>
  <c r="D112" i="3"/>
  <c r="E112" i="3"/>
  <c r="F112" i="3"/>
  <c r="G112" i="3"/>
  <c r="H112" i="3"/>
  <c r="I112" i="3"/>
  <c r="J112" i="3"/>
  <c r="B113" i="3"/>
  <c r="C113" i="3"/>
  <c r="D113" i="3"/>
  <c r="E113" i="3"/>
  <c r="F113" i="3"/>
  <c r="G113" i="3"/>
  <c r="H113" i="3"/>
  <c r="I113" i="3"/>
  <c r="J113" i="3"/>
  <c r="B114" i="3"/>
  <c r="C114" i="3"/>
  <c r="D114" i="3"/>
  <c r="E114" i="3"/>
  <c r="F114" i="3"/>
  <c r="G114" i="3"/>
  <c r="H114" i="3"/>
  <c r="I114" i="3"/>
  <c r="J114" i="3"/>
  <c r="B115" i="3"/>
  <c r="C115" i="3"/>
  <c r="D115" i="3"/>
  <c r="E115" i="3"/>
  <c r="F115" i="3"/>
  <c r="G115" i="3"/>
  <c r="H115" i="3"/>
  <c r="I115" i="3"/>
  <c r="J115" i="3"/>
  <c r="B116" i="3"/>
  <c r="C116" i="3"/>
  <c r="D116" i="3"/>
  <c r="E116" i="3"/>
  <c r="F116" i="3"/>
  <c r="G116" i="3"/>
  <c r="H116" i="3"/>
  <c r="I116" i="3"/>
  <c r="J116" i="3"/>
  <c r="B117" i="3"/>
  <c r="C117" i="3"/>
  <c r="D117" i="3"/>
  <c r="E117" i="3"/>
  <c r="F117" i="3"/>
  <c r="G117" i="3"/>
  <c r="H117" i="3"/>
  <c r="I117" i="3"/>
  <c r="J117" i="3"/>
  <c r="B118" i="3"/>
  <c r="C118" i="3"/>
  <c r="D118" i="3"/>
  <c r="E118" i="3"/>
  <c r="F118" i="3"/>
  <c r="G118" i="3"/>
  <c r="H118" i="3"/>
  <c r="I118" i="3"/>
  <c r="J118" i="3"/>
  <c r="B119" i="3"/>
  <c r="C119" i="3"/>
  <c r="D119" i="3"/>
  <c r="E119" i="3"/>
  <c r="F119" i="3"/>
  <c r="G119" i="3"/>
  <c r="H119" i="3"/>
  <c r="I119" i="3"/>
  <c r="J119" i="3"/>
  <c r="B120" i="3"/>
  <c r="C120" i="3"/>
  <c r="D120" i="3"/>
  <c r="E120" i="3"/>
  <c r="F120" i="3"/>
  <c r="G120" i="3"/>
  <c r="H120" i="3"/>
  <c r="I120" i="3"/>
  <c r="J120" i="3"/>
  <c r="B121" i="3"/>
  <c r="C121" i="3"/>
  <c r="D121" i="3"/>
  <c r="E121" i="3"/>
  <c r="F121" i="3"/>
  <c r="G121" i="3"/>
  <c r="H121" i="3"/>
  <c r="I121" i="3"/>
  <c r="J121" i="3"/>
  <c r="B122" i="3"/>
  <c r="C122" i="3"/>
  <c r="D122" i="3"/>
  <c r="E122" i="3"/>
  <c r="F122" i="3"/>
  <c r="G122" i="3"/>
  <c r="H122" i="3"/>
  <c r="I122" i="3"/>
  <c r="J122" i="3"/>
  <c r="B123" i="3"/>
  <c r="C123" i="3"/>
  <c r="D123" i="3"/>
  <c r="E123" i="3"/>
  <c r="F123" i="3"/>
  <c r="G123" i="3"/>
  <c r="H123" i="3"/>
  <c r="I123" i="3"/>
  <c r="J123" i="3"/>
  <c r="B124" i="3"/>
  <c r="C124" i="3"/>
  <c r="D124" i="3"/>
  <c r="E124" i="3"/>
  <c r="F124" i="3"/>
  <c r="G124" i="3"/>
  <c r="H124" i="3"/>
  <c r="I124" i="3"/>
  <c r="J124" i="3"/>
  <c r="J1066" i="3" s="1"/>
  <c r="B125" i="3"/>
  <c r="C125" i="3"/>
  <c r="D125" i="3"/>
  <c r="E125" i="3"/>
  <c r="F125" i="3"/>
  <c r="G125" i="3"/>
  <c r="H125" i="3"/>
  <c r="I125" i="3"/>
  <c r="J125" i="3"/>
  <c r="B126" i="3"/>
  <c r="C126" i="3"/>
  <c r="D126" i="3"/>
  <c r="E126" i="3"/>
  <c r="F126" i="3"/>
  <c r="G126" i="3"/>
  <c r="H126" i="3"/>
  <c r="I126" i="3"/>
  <c r="J126" i="3"/>
  <c r="B127" i="3"/>
  <c r="C127" i="3"/>
  <c r="D127" i="3"/>
  <c r="E127" i="3"/>
  <c r="F127" i="3"/>
  <c r="G127" i="3"/>
  <c r="H127" i="3"/>
  <c r="I127" i="3"/>
  <c r="J127" i="3"/>
  <c r="B128" i="3"/>
  <c r="C128" i="3"/>
  <c r="D128" i="3"/>
  <c r="E128" i="3"/>
  <c r="F128" i="3"/>
  <c r="G128" i="3"/>
  <c r="H128" i="3"/>
  <c r="I128" i="3"/>
  <c r="J128" i="3"/>
  <c r="B129" i="3"/>
  <c r="C129" i="3"/>
  <c r="D129" i="3"/>
  <c r="E129" i="3"/>
  <c r="F129" i="3"/>
  <c r="G129" i="3"/>
  <c r="H129" i="3"/>
  <c r="I129" i="3"/>
  <c r="J129" i="3"/>
  <c r="B130" i="3"/>
  <c r="C130" i="3"/>
  <c r="D130" i="3"/>
  <c r="E130" i="3"/>
  <c r="F130" i="3"/>
  <c r="G130" i="3"/>
  <c r="H130" i="3"/>
  <c r="I130" i="3"/>
  <c r="J130" i="3"/>
  <c r="B131" i="3"/>
  <c r="C131" i="3"/>
  <c r="D131" i="3"/>
  <c r="E131" i="3"/>
  <c r="F131" i="3"/>
  <c r="G131" i="3"/>
  <c r="H131" i="3"/>
  <c r="I131" i="3"/>
  <c r="J131" i="3"/>
  <c r="B132" i="3"/>
  <c r="C132" i="3"/>
  <c r="D132" i="3"/>
  <c r="E132" i="3"/>
  <c r="F132" i="3"/>
  <c r="G132" i="3"/>
  <c r="H132" i="3"/>
  <c r="I132" i="3"/>
  <c r="J132" i="3"/>
  <c r="B133" i="3"/>
  <c r="C133" i="3"/>
  <c r="D133" i="3"/>
  <c r="E133" i="3"/>
  <c r="F133" i="3"/>
  <c r="G133" i="3"/>
  <c r="H133" i="3"/>
  <c r="I133" i="3"/>
  <c r="J133" i="3"/>
  <c r="B134" i="3"/>
  <c r="C134" i="3"/>
  <c r="D134" i="3"/>
  <c r="E134" i="3"/>
  <c r="F134" i="3"/>
  <c r="G134" i="3"/>
  <c r="H134" i="3"/>
  <c r="I134" i="3"/>
  <c r="J134" i="3"/>
  <c r="B135" i="3"/>
  <c r="C135" i="3"/>
  <c r="D135" i="3"/>
  <c r="E135" i="3"/>
  <c r="F135" i="3"/>
  <c r="G135" i="3"/>
  <c r="H135" i="3"/>
  <c r="I135" i="3"/>
  <c r="J135" i="3"/>
  <c r="B136" i="3"/>
  <c r="C136" i="3"/>
  <c r="D136" i="3"/>
  <c r="E136" i="3"/>
  <c r="F136" i="3"/>
  <c r="G136" i="3"/>
  <c r="H136" i="3"/>
  <c r="I136" i="3"/>
  <c r="J136" i="3"/>
  <c r="B137" i="3"/>
  <c r="C137" i="3"/>
  <c r="D137" i="3"/>
  <c r="E137" i="3"/>
  <c r="F137" i="3"/>
  <c r="G137" i="3"/>
  <c r="H137" i="3"/>
  <c r="I137" i="3"/>
  <c r="J137" i="3"/>
  <c r="B138" i="3"/>
  <c r="C138" i="3"/>
  <c r="D138" i="3"/>
  <c r="E138" i="3"/>
  <c r="F138" i="3"/>
  <c r="G138" i="3"/>
  <c r="H138" i="3"/>
  <c r="I138" i="3"/>
  <c r="J138" i="3"/>
  <c r="B139" i="3"/>
  <c r="C139" i="3"/>
  <c r="D139" i="3"/>
  <c r="E139" i="3"/>
  <c r="F139" i="3"/>
  <c r="G139" i="3"/>
  <c r="H139" i="3"/>
  <c r="I139" i="3"/>
  <c r="J139" i="3"/>
  <c r="B140" i="3"/>
  <c r="C140" i="3"/>
  <c r="D140" i="3"/>
  <c r="E140" i="3"/>
  <c r="F140" i="3"/>
  <c r="G140" i="3"/>
  <c r="H140" i="3"/>
  <c r="I140" i="3"/>
  <c r="J140" i="3"/>
  <c r="B141" i="3"/>
  <c r="C141" i="3"/>
  <c r="D141" i="3"/>
  <c r="E141" i="3"/>
  <c r="F141" i="3"/>
  <c r="G141" i="3"/>
  <c r="H141" i="3"/>
  <c r="I141" i="3"/>
  <c r="J141" i="3"/>
  <c r="B142" i="3"/>
  <c r="C142" i="3"/>
  <c r="D142" i="3"/>
  <c r="E142" i="3"/>
  <c r="F142" i="3"/>
  <c r="G142" i="3"/>
  <c r="H142" i="3"/>
  <c r="I142" i="3"/>
  <c r="J142" i="3"/>
  <c r="B143" i="3"/>
  <c r="C143" i="3"/>
  <c r="D143" i="3"/>
  <c r="E143" i="3"/>
  <c r="F143" i="3"/>
  <c r="G143" i="3"/>
  <c r="H143" i="3"/>
  <c r="I143" i="3"/>
  <c r="J143" i="3"/>
  <c r="B144" i="3"/>
  <c r="C144" i="3"/>
  <c r="D144" i="3"/>
  <c r="E144" i="3"/>
  <c r="F144" i="3"/>
  <c r="G144" i="3"/>
  <c r="H144" i="3"/>
  <c r="I144" i="3"/>
  <c r="J144" i="3"/>
  <c r="B145" i="3"/>
  <c r="C145" i="3"/>
  <c r="D145" i="3"/>
  <c r="E145" i="3"/>
  <c r="F145" i="3"/>
  <c r="G145" i="3"/>
  <c r="H145" i="3"/>
  <c r="I145" i="3"/>
  <c r="J145" i="3"/>
  <c r="B146" i="3"/>
  <c r="C146" i="3"/>
  <c r="D146" i="3"/>
  <c r="E146" i="3"/>
  <c r="F146" i="3"/>
  <c r="G146" i="3"/>
  <c r="H146" i="3"/>
  <c r="I146" i="3"/>
  <c r="J146" i="3"/>
  <c r="B147" i="3"/>
  <c r="C147" i="3"/>
  <c r="D147" i="3"/>
  <c r="E147" i="3"/>
  <c r="F147" i="3"/>
  <c r="G147" i="3"/>
  <c r="H147" i="3"/>
  <c r="I147" i="3"/>
  <c r="J147" i="3"/>
  <c r="B148" i="3"/>
  <c r="C148" i="3"/>
  <c r="D148" i="3"/>
  <c r="E148" i="3"/>
  <c r="F148" i="3"/>
  <c r="G148" i="3"/>
  <c r="H148" i="3"/>
  <c r="I148" i="3"/>
  <c r="J148" i="3"/>
  <c r="B149" i="3"/>
  <c r="C149" i="3"/>
  <c r="D149" i="3"/>
  <c r="E149" i="3"/>
  <c r="F149" i="3"/>
  <c r="G149" i="3"/>
  <c r="H149" i="3"/>
  <c r="I149" i="3"/>
  <c r="J149" i="3"/>
  <c r="B150" i="3"/>
  <c r="C150" i="3"/>
  <c r="D150" i="3"/>
  <c r="E150" i="3"/>
  <c r="F150" i="3"/>
  <c r="G150" i="3"/>
  <c r="H150" i="3"/>
  <c r="I150" i="3"/>
  <c r="J150" i="3"/>
  <c r="B151" i="3"/>
  <c r="C151" i="3"/>
  <c r="D151" i="3"/>
  <c r="E151" i="3"/>
  <c r="F151" i="3"/>
  <c r="G151" i="3"/>
  <c r="H151" i="3"/>
  <c r="I151" i="3"/>
  <c r="J151" i="3"/>
  <c r="B152" i="3"/>
  <c r="C152" i="3"/>
  <c r="D152" i="3"/>
  <c r="E152" i="3"/>
  <c r="F152" i="3"/>
  <c r="G152" i="3"/>
  <c r="H152" i="3"/>
  <c r="I152" i="3"/>
  <c r="J152" i="3"/>
  <c r="B153" i="3"/>
  <c r="C153" i="3"/>
  <c r="D153" i="3"/>
  <c r="E153" i="3"/>
  <c r="F153" i="3"/>
  <c r="G153" i="3"/>
  <c r="H153" i="3"/>
  <c r="I153" i="3"/>
  <c r="J153" i="3"/>
  <c r="B154" i="3"/>
  <c r="C154" i="3"/>
  <c r="D154" i="3"/>
  <c r="E154" i="3"/>
  <c r="F154" i="3"/>
  <c r="G154" i="3"/>
  <c r="H154" i="3"/>
  <c r="I154" i="3"/>
  <c r="J154" i="3"/>
  <c r="B155" i="3"/>
  <c r="C155" i="3"/>
  <c r="D155" i="3"/>
  <c r="E155" i="3"/>
  <c r="F155" i="3"/>
  <c r="G155" i="3"/>
  <c r="H155" i="3"/>
  <c r="I155" i="3"/>
  <c r="J155" i="3"/>
  <c r="B156" i="3"/>
  <c r="C156" i="3"/>
  <c r="D156" i="3"/>
  <c r="E156" i="3"/>
  <c r="F156" i="3"/>
  <c r="G156" i="3"/>
  <c r="H156" i="3"/>
  <c r="I156" i="3"/>
  <c r="J156" i="3"/>
  <c r="J1069" i="3" s="1"/>
  <c r="B157" i="3"/>
  <c r="C157" i="3"/>
  <c r="D157" i="3"/>
  <c r="E157" i="3"/>
  <c r="F157" i="3"/>
  <c r="G157" i="3"/>
  <c r="H157" i="3"/>
  <c r="I157" i="3"/>
  <c r="J157" i="3"/>
  <c r="B158" i="3"/>
  <c r="C158" i="3"/>
  <c r="D158" i="3"/>
  <c r="E158" i="3"/>
  <c r="F158" i="3"/>
  <c r="G158" i="3"/>
  <c r="H158" i="3"/>
  <c r="I158" i="3"/>
  <c r="J158" i="3"/>
  <c r="B159" i="3"/>
  <c r="C159" i="3"/>
  <c r="D159" i="3"/>
  <c r="E159" i="3"/>
  <c r="F159" i="3"/>
  <c r="G159" i="3"/>
  <c r="H159" i="3"/>
  <c r="I159" i="3"/>
  <c r="J159" i="3"/>
  <c r="B160" i="3"/>
  <c r="C160" i="3"/>
  <c r="D160" i="3"/>
  <c r="E160" i="3"/>
  <c r="F160" i="3"/>
  <c r="G160" i="3"/>
  <c r="H160" i="3"/>
  <c r="I160" i="3"/>
  <c r="J160" i="3"/>
  <c r="B161" i="3"/>
  <c r="C161" i="3"/>
  <c r="D161" i="3"/>
  <c r="E161" i="3"/>
  <c r="F161" i="3"/>
  <c r="G161" i="3"/>
  <c r="H161" i="3"/>
  <c r="I161" i="3"/>
  <c r="J161" i="3"/>
  <c r="B162" i="3"/>
  <c r="C162" i="3"/>
  <c r="D162" i="3"/>
  <c r="E162" i="3"/>
  <c r="F162" i="3"/>
  <c r="G162" i="3"/>
  <c r="H162" i="3"/>
  <c r="I162" i="3"/>
  <c r="J162" i="3"/>
  <c r="B163" i="3"/>
  <c r="C163" i="3"/>
  <c r="D163" i="3"/>
  <c r="E163" i="3"/>
  <c r="F163" i="3"/>
  <c r="G163" i="3"/>
  <c r="H163" i="3"/>
  <c r="I163" i="3"/>
  <c r="J163" i="3"/>
  <c r="B164" i="3"/>
  <c r="C164" i="3"/>
  <c r="D164" i="3"/>
  <c r="E164" i="3"/>
  <c r="F164" i="3"/>
  <c r="G164" i="3"/>
  <c r="H164" i="3"/>
  <c r="I164" i="3"/>
  <c r="J164" i="3"/>
  <c r="B165" i="3"/>
  <c r="C165" i="3"/>
  <c r="D165" i="3"/>
  <c r="E165" i="3"/>
  <c r="F165" i="3"/>
  <c r="G165" i="3"/>
  <c r="H165" i="3"/>
  <c r="I165" i="3"/>
  <c r="J165" i="3"/>
  <c r="B166" i="3"/>
  <c r="C166" i="3"/>
  <c r="D166" i="3"/>
  <c r="E166" i="3"/>
  <c r="F166" i="3"/>
  <c r="G166" i="3"/>
  <c r="H166" i="3"/>
  <c r="I166" i="3"/>
  <c r="J166" i="3"/>
  <c r="B167" i="3"/>
  <c r="C167" i="3"/>
  <c r="D167" i="3"/>
  <c r="E167" i="3"/>
  <c r="F167" i="3"/>
  <c r="G167" i="3"/>
  <c r="H167" i="3"/>
  <c r="I167" i="3"/>
  <c r="J167" i="3"/>
  <c r="B168" i="3"/>
  <c r="C168" i="3"/>
  <c r="D168" i="3"/>
  <c r="E168" i="3"/>
  <c r="F168" i="3"/>
  <c r="G168" i="3"/>
  <c r="H168" i="3"/>
  <c r="I168" i="3"/>
  <c r="J168" i="3"/>
  <c r="B169" i="3"/>
  <c r="C169" i="3"/>
  <c r="D169" i="3"/>
  <c r="E169" i="3"/>
  <c r="F169" i="3"/>
  <c r="G169" i="3"/>
  <c r="H169" i="3"/>
  <c r="I169" i="3"/>
  <c r="J169" i="3"/>
  <c r="B170" i="3"/>
  <c r="C170" i="3"/>
  <c r="D170" i="3"/>
  <c r="E170" i="3"/>
  <c r="F170" i="3"/>
  <c r="G170" i="3"/>
  <c r="H170" i="3"/>
  <c r="I170" i="3"/>
  <c r="J170" i="3"/>
  <c r="B171" i="3"/>
  <c r="C171" i="3"/>
  <c r="D171" i="3"/>
  <c r="E171" i="3"/>
  <c r="F171" i="3"/>
  <c r="G171" i="3"/>
  <c r="H171" i="3"/>
  <c r="I171" i="3"/>
  <c r="J171" i="3"/>
  <c r="B172" i="3"/>
  <c r="C172" i="3"/>
  <c r="D172" i="3"/>
  <c r="E172" i="3"/>
  <c r="F172" i="3"/>
  <c r="G172" i="3"/>
  <c r="H172" i="3"/>
  <c r="I172" i="3"/>
  <c r="J172" i="3"/>
  <c r="B173" i="3"/>
  <c r="C173" i="3"/>
  <c r="D173" i="3"/>
  <c r="E173" i="3"/>
  <c r="F173" i="3"/>
  <c r="G173" i="3"/>
  <c r="H173" i="3"/>
  <c r="I173" i="3"/>
  <c r="J173" i="3"/>
  <c r="B174" i="3"/>
  <c r="C174" i="3"/>
  <c r="D174" i="3"/>
  <c r="E174" i="3"/>
  <c r="F174" i="3"/>
  <c r="G174" i="3"/>
  <c r="H174" i="3"/>
  <c r="I174" i="3"/>
  <c r="J174" i="3"/>
  <c r="B175" i="3"/>
  <c r="C175" i="3"/>
  <c r="D175" i="3"/>
  <c r="E175" i="3"/>
  <c r="F175" i="3"/>
  <c r="G175" i="3"/>
  <c r="H175" i="3"/>
  <c r="I175" i="3"/>
  <c r="J175" i="3"/>
  <c r="B176" i="3"/>
  <c r="C176" i="3"/>
  <c r="D176" i="3"/>
  <c r="E176" i="3"/>
  <c r="F176" i="3"/>
  <c r="G176" i="3"/>
  <c r="H176" i="3"/>
  <c r="I176" i="3"/>
  <c r="J176" i="3"/>
  <c r="B177" i="3"/>
  <c r="C177" i="3"/>
  <c r="D177" i="3"/>
  <c r="E177" i="3"/>
  <c r="F177" i="3"/>
  <c r="G177" i="3"/>
  <c r="H177" i="3"/>
  <c r="I177" i="3"/>
  <c r="J177" i="3"/>
  <c r="B178" i="3"/>
  <c r="C178" i="3"/>
  <c r="D178" i="3"/>
  <c r="E178" i="3"/>
  <c r="F178" i="3"/>
  <c r="G178" i="3"/>
  <c r="H178" i="3"/>
  <c r="I178" i="3"/>
  <c r="J178" i="3"/>
  <c r="B179" i="3"/>
  <c r="C179" i="3"/>
  <c r="D179" i="3"/>
  <c r="E179" i="3"/>
  <c r="F179" i="3"/>
  <c r="G179" i="3"/>
  <c r="H179" i="3"/>
  <c r="I179" i="3"/>
  <c r="J179" i="3"/>
  <c r="B180" i="3"/>
  <c r="C180" i="3"/>
  <c r="D180" i="3"/>
  <c r="E180" i="3"/>
  <c r="F180" i="3"/>
  <c r="G180" i="3"/>
  <c r="H180" i="3"/>
  <c r="I180" i="3"/>
  <c r="J180" i="3"/>
  <c r="B181" i="3"/>
  <c r="C181" i="3"/>
  <c r="D181" i="3"/>
  <c r="E181" i="3"/>
  <c r="F181" i="3"/>
  <c r="G181" i="3"/>
  <c r="H181" i="3"/>
  <c r="I181" i="3"/>
  <c r="J181" i="3"/>
  <c r="B182" i="3"/>
  <c r="C182" i="3"/>
  <c r="D182" i="3"/>
  <c r="E182" i="3"/>
  <c r="F182" i="3"/>
  <c r="G182" i="3"/>
  <c r="H182" i="3"/>
  <c r="I182" i="3"/>
  <c r="J182" i="3"/>
  <c r="B183" i="3"/>
  <c r="C183" i="3"/>
  <c r="D183" i="3"/>
  <c r="E183" i="3"/>
  <c r="F183" i="3"/>
  <c r="G183" i="3"/>
  <c r="H183" i="3"/>
  <c r="I183" i="3"/>
  <c r="J183" i="3"/>
  <c r="B184" i="3"/>
  <c r="C184" i="3"/>
  <c r="D184" i="3"/>
  <c r="E184" i="3"/>
  <c r="F184" i="3"/>
  <c r="G184" i="3"/>
  <c r="H184" i="3"/>
  <c r="I184" i="3"/>
  <c r="J184" i="3"/>
  <c r="B185" i="3"/>
  <c r="C185" i="3"/>
  <c r="D185" i="3"/>
  <c r="E185" i="3"/>
  <c r="F185" i="3"/>
  <c r="G185" i="3"/>
  <c r="H185" i="3"/>
  <c r="I185" i="3"/>
  <c r="J185" i="3"/>
  <c r="B186" i="3"/>
  <c r="C186" i="3"/>
  <c r="D186" i="3"/>
  <c r="E186" i="3"/>
  <c r="F186" i="3"/>
  <c r="G186" i="3"/>
  <c r="H186" i="3"/>
  <c r="I186" i="3"/>
  <c r="J186" i="3"/>
  <c r="B187" i="3"/>
  <c r="C187" i="3"/>
  <c r="D187" i="3"/>
  <c r="E187" i="3"/>
  <c r="F187" i="3"/>
  <c r="G187" i="3"/>
  <c r="H187" i="3"/>
  <c r="I187" i="3"/>
  <c r="J187" i="3"/>
  <c r="B188" i="3"/>
  <c r="C188" i="3"/>
  <c r="D188" i="3"/>
  <c r="E188" i="3"/>
  <c r="F188" i="3"/>
  <c r="G188" i="3"/>
  <c r="H188" i="3"/>
  <c r="I188" i="3"/>
  <c r="J188" i="3"/>
  <c r="B189" i="3"/>
  <c r="C189" i="3"/>
  <c r="D189" i="3"/>
  <c r="E189" i="3"/>
  <c r="F189" i="3"/>
  <c r="G189" i="3"/>
  <c r="H189" i="3"/>
  <c r="I189" i="3"/>
  <c r="J189" i="3"/>
  <c r="B190" i="3"/>
  <c r="C190" i="3"/>
  <c r="D190" i="3"/>
  <c r="E190" i="3"/>
  <c r="F190" i="3"/>
  <c r="G190" i="3"/>
  <c r="H190" i="3"/>
  <c r="I190" i="3"/>
  <c r="J190" i="3"/>
  <c r="B191" i="3"/>
  <c r="C191" i="3"/>
  <c r="D191" i="3"/>
  <c r="E191" i="3"/>
  <c r="F191" i="3"/>
  <c r="G191" i="3"/>
  <c r="H191" i="3"/>
  <c r="I191" i="3"/>
  <c r="J191" i="3"/>
  <c r="B192" i="3"/>
  <c r="C192" i="3"/>
  <c r="D192" i="3"/>
  <c r="E192" i="3"/>
  <c r="F192" i="3"/>
  <c r="G192" i="3"/>
  <c r="H192" i="3"/>
  <c r="I192" i="3"/>
  <c r="J192" i="3"/>
  <c r="B193" i="3"/>
  <c r="C193" i="3"/>
  <c r="D193" i="3"/>
  <c r="E193" i="3"/>
  <c r="F193" i="3"/>
  <c r="G193" i="3"/>
  <c r="H193" i="3"/>
  <c r="I193" i="3"/>
  <c r="J193" i="3"/>
  <c r="B194" i="3"/>
  <c r="C194" i="3"/>
  <c r="D194" i="3"/>
  <c r="E194" i="3"/>
  <c r="F194" i="3"/>
  <c r="G194" i="3"/>
  <c r="H194" i="3"/>
  <c r="I194" i="3"/>
  <c r="J194" i="3"/>
  <c r="B195" i="3"/>
  <c r="C195" i="3"/>
  <c r="D195" i="3"/>
  <c r="E195" i="3"/>
  <c r="F195" i="3"/>
  <c r="G195" i="3"/>
  <c r="H195" i="3"/>
  <c r="I195" i="3"/>
  <c r="J195" i="3"/>
  <c r="B196" i="3"/>
  <c r="C196" i="3"/>
  <c r="D196" i="3"/>
  <c r="E196" i="3"/>
  <c r="F196" i="3"/>
  <c r="G196" i="3"/>
  <c r="H196" i="3"/>
  <c r="I196" i="3"/>
  <c r="J196" i="3"/>
  <c r="J1072" i="3" s="1"/>
  <c r="B197" i="3"/>
  <c r="C197" i="3"/>
  <c r="D197" i="3"/>
  <c r="E197" i="3"/>
  <c r="F197" i="3"/>
  <c r="G197" i="3"/>
  <c r="H197" i="3"/>
  <c r="I197" i="3"/>
  <c r="J197" i="3"/>
  <c r="B198" i="3"/>
  <c r="C198" i="3"/>
  <c r="D198" i="3"/>
  <c r="E198" i="3"/>
  <c r="F198" i="3"/>
  <c r="G198" i="3"/>
  <c r="H198" i="3"/>
  <c r="I198" i="3"/>
  <c r="J198" i="3"/>
  <c r="B199" i="3"/>
  <c r="C199" i="3"/>
  <c r="D199" i="3"/>
  <c r="E199" i="3"/>
  <c r="F199" i="3"/>
  <c r="G199" i="3"/>
  <c r="H199" i="3"/>
  <c r="I199" i="3"/>
  <c r="J199" i="3"/>
  <c r="B200" i="3"/>
  <c r="C200" i="3"/>
  <c r="D200" i="3"/>
  <c r="E200" i="3"/>
  <c r="F200" i="3"/>
  <c r="G200" i="3"/>
  <c r="H200" i="3"/>
  <c r="I200" i="3"/>
  <c r="J200" i="3"/>
  <c r="B201" i="3"/>
  <c r="C201" i="3"/>
  <c r="D201" i="3"/>
  <c r="E201" i="3"/>
  <c r="F201" i="3"/>
  <c r="G201" i="3"/>
  <c r="H201" i="3"/>
  <c r="I201" i="3"/>
  <c r="J201" i="3"/>
  <c r="B202" i="3"/>
  <c r="C202" i="3"/>
  <c r="D202" i="3"/>
  <c r="E202" i="3"/>
  <c r="F202" i="3"/>
  <c r="G202" i="3"/>
  <c r="H202" i="3"/>
  <c r="I202" i="3"/>
  <c r="J202" i="3"/>
  <c r="B203" i="3"/>
  <c r="C203" i="3"/>
  <c r="D203" i="3"/>
  <c r="E203" i="3"/>
  <c r="F203" i="3"/>
  <c r="G203" i="3"/>
  <c r="H203" i="3"/>
  <c r="I203" i="3"/>
  <c r="J203" i="3"/>
  <c r="B204" i="3"/>
  <c r="C204" i="3"/>
  <c r="D204" i="3"/>
  <c r="E204" i="3"/>
  <c r="F204" i="3"/>
  <c r="G204" i="3"/>
  <c r="H204" i="3"/>
  <c r="I204" i="3"/>
  <c r="J204" i="3"/>
  <c r="B205" i="3"/>
  <c r="C205" i="3"/>
  <c r="D205" i="3"/>
  <c r="E205" i="3"/>
  <c r="F205" i="3"/>
  <c r="G205" i="3"/>
  <c r="H205" i="3"/>
  <c r="I205" i="3"/>
  <c r="J205" i="3"/>
  <c r="B206" i="3"/>
  <c r="C206" i="3"/>
  <c r="D206" i="3"/>
  <c r="E206" i="3"/>
  <c r="F206" i="3"/>
  <c r="G206" i="3"/>
  <c r="H206" i="3"/>
  <c r="I206" i="3"/>
  <c r="J206" i="3"/>
  <c r="B207" i="3"/>
  <c r="C207" i="3"/>
  <c r="D207" i="3"/>
  <c r="E207" i="3"/>
  <c r="F207" i="3"/>
  <c r="G207" i="3"/>
  <c r="H207" i="3"/>
  <c r="I207" i="3"/>
  <c r="J207" i="3"/>
  <c r="B208" i="3"/>
  <c r="C208" i="3"/>
  <c r="D208" i="3"/>
  <c r="E208" i="3"/>
  <c r="F208" i="3"/>
  <c r="G208" i="3"/>
  <c r="H208" i="3"/>
  <c r="I208" i="3"/>
  <c r="J208" i="3"/>
  <c r="B209" i="3"/>
  <c r="C209" i="3"/>
  <c r="D209" i="3"/>
  <c r="E209" i="3"/>
  <c r="F209" i="3"/>
  <c r="G209" i="3"/>
  <c r="H209" i="3"/>
  <c r="I209" i="3"/>
  <c r="J209" i="3"/>
  <c r="B210" i="3"/>
  <c r="C210" i="3"/>
  <c r="D210" i="3"/>
  <c r="E210" i="3"/>
  <c r="F210" i="3"/>
  <c r="G210" i="3"/>
  <c r="H210" i="3"/>
  <c r="I210" i="3"/>
  <c r="J210" i="3"/>
  <c r="B211" i="3"/>
  <c r="C211" i="3"/>
  <c r="D211" i="3"/>
  <c r="E211" i="3"/>
  <c r="F211" i="3"/>
  <c r="G211" i="3"/>
  <c r="H211" i="3"/>
  <c r="I211" i="3"/>
  <c r="J211" i="3"/>
  <c r="B212" i="3"/>
  <c r="C212" i="3"/>
  <c r="D212" i="3"/>
  <c r="E212" i="3"/>
  <c r="F212" i="3"/>
  <c r="G212" i="3"/>
  <c r="H212" i="3"/>
  <c r="I212" i="3"/>
  <c r="J212" i="3"/>
  <c r="B213" i="3"/>
  <c r="C213" i="3"/>
  <c r="D213" i="3"/>
  <c r="E213" i="3"/>
  <c r="F213" i="3"/>
  <c r="G213" i="3"/>
  <c r="H213" i="3"/>
  <c r="I213" i="3"/>
  <c r="J213" i="3"/>
  <c r="B214" i="3"/>
  <c r="C214" i="3"/>
  <c r="D214" i="3"/>
  <c r="E214" i="3"/>
  <c r="F214" i="3"/>
  <c r="G214" i="3"/>
  <c r="H214" i="3"/>
  <c r="I214" i="3"/>
  <c r="J214" i="3"/>
  <c r="B215" i="3"/>
  <c r="C215" i="3"/>
  <c r="D215" i="3"/>
  <c r="E215" i="3"/>
  <c r="F215" i="3"/>
  <c r="G215" i="3"/>
  <c r="H215" i="3"/>
  <c r="I215" i="3"/>
  <c r="J215" i="3"/>
  <c r="B216" i="3"/>
  <c r="C216" i="3"/>
  <c r="D216" i="3"/>
  <c r="E216" i="3"/>
  <c r="F216" i="3"/>
  <c r="G216" i="3"/>
  <c r="H216" i="3"/>
  <c r="I216" i="3"/>
  <c r="J216" i="3"/>
  <c r="B217" i="3"/>
  <c r="C217" i="3"/>
  <c r="D217" i="3"/>
  <c r="E217" i="3"/>
  <c r="F217" i="3"/>
  <c r="G217" i="3"/>
  <c r="H217" i="3"/>
  <c r="I217" i="3"/>
  <c r="J217" i="3"/>
  <c r="B218" i="3"/>
  <c r="C218" i="3"/>
  <c r="D218" i="3"/>
  <c r="E218" i="3"/>
  <c r="F218" i="3"/>
  <c r="G218" i="3"/>
  <c r="H218" i="3"/>
  <c r="I218" i="3"/>
  <c r="J218" i="3"/>
  <c r="B219" i="3"/>
  <c r="C219" i="3"/>
  <c r="D219" i="3"/>
  <c r="E219" i="3"/>
  <c r="F219" i="3"/>
  <c r="G219" i="3"/>
  <c r="H219" i="3"/>
  <c r="I219" i="3"/>
  <c r="J219" i="3"/>
  <c r="B220" i="3"/>
  <c r="C220" i="3"/>
  <c r="D220" i="3"/>
  <c r="E220" i="3"/>
  <c r="F220" i="3"/>
  <c r="G220" i="3"/>
  <c r="H220" i="3"/>
  <c r="I220" i="3"/>
  <c r="J220" i="3"/>
  <c r="J1074" i="3" s="1"/>
  <c r="B221" i="3"/>
  <c r="C221" i="3"/>
  <c r="D221" i="3"/>
  <c r="E221" i="3"/>
  <c r="F221" i="3"/>
  <c r="G221" i="3"/>
  <c r="H221" i="3"/>
  <c r="I221" i="3"/>
  <c r="J221" i="3"/>
  <c r="B222" i="3"/>
  <c r="C222" i="3"/>
  <c r="D222" i="3"/>
  <c r="E222" i="3"/>
  <c r="F222" i="3"/>
  <c r="G222" i="3"/>
  <c r="H222" i="3"/>
  <c r="I222" i="3"/>
  <c r="J222" i="3"/>
  <c r="B223" i="3"/>
  <c r="C223" i="3"/>
  <c r="D223" i="3"/>
  <c r="E223" i="3"/>
  <c r="F223" i="3"/>
  <c r="G223" i="3"/>
  <c r="H223" i="3"/>
  <c r="I223" i="3"/>
  <c r="J223" i="3"/>
  <c r="B224" i="3"/>
  <c r="C224" i="3"/>
  <c r="D224" i="3"/>
  <c r="E224" i="3"/>
  <c r="F224" i="3"/>
  <c r="G224" i="3"/>
  <c r="H224" i="3"/>
  <c r="I224" i="3"/>
  <c r="J224" i="3"/>
  <c r="B225" i="3"/>
  <c r="C225" i="3"/>
  <c r="D225" i="3"/>
  <c r="E225" i="3"/>
  <c r="F225" i="3"/>
  <c r="G225" i="3"/>
  <c r="H225" i="3"/>
  <c r="I225" i="3"/>
  <c r="J225" i="3"/>
  <c r="B226" i="3"/>
  <c r="C226" i="3"/>
  <c r="D226" i="3"/>
  <c r="E226" i="3"/>
  <c r="F226" i="3"/>
  <c r="G226" i="3"/>
  <c r="H226" i="3"/>
  <c r="I226" i="3"/>
  <c r="J226" i="3"/>
  <c r="B227" i="3"/>
  <c r="C227" i="3"/>
  <c r="D227" i="3"/>
  <c r="E227" i="3"/>
  <c r="F227" i="3"/>
  <c r="G227" i="3"/>
  <c r="H227" i="3"/>
  <c r="I227" i="3"/>
  <c r="J227" i="3"/>
  <c r="B228" i="3"/>
  <c r="C228" i="3"/>
  <c r="D228" i="3"/>
  <c r="E228" i="3"/>
  <c r="F228" i="3"/>
  <c r="G228" i="3"/>
  <c r="H228" i="3"/>
  <c r="I228" i="3"/>
  <c r="J228" i="3"/>
  <c r="B229" i="3"/>
  <c r="C229" i="3"/>
  <c r="D229" i="3"/>
  <c r="E229" i="3"/>
  <c r="F229" i="3"/>
  <c r="G229" i="3"/>
  <c r="H229" i="3"/>
  <c r="I229" i="3"/>
  <c r="J229" i="3"/>
  <c r="B230" i="3"/>
  <c r="C230" i="3"/>
  <c r="D230" i="3"/>
  <c r="E230" i="3"/>
  <c r="F230" i="3"/>
  <c r="G230" i="3"/>
  <c r="H230" i="3"/>
  <c r="I230" i="3"/>
  <c r="J230" i="3"/>
  <c r="B231" i="3"/>
  <c r="C231" i="3"/>
  <c r="D231" i="3"/>
  <c r="E231" i="3"/>
  <c r="F231" i="3"/>
  <c r="G231" i="3"/>
  <c r="H231" i="3"/>
  <c r="I231" i="3"/>
  <c r="J231" i="3"/>
  <c r="B232" i="3"/>
  <c r="C232" i="3"/>
  <c r="D232" i="3"/>
  <c r="E232" i="3"/>
  <c r="F232" i="3"/>
  <c r="G232" i="3"/>
  <c r="H232" i="3"/>
  <c r="I232" i="3"/>
  <c r="J232" i="3"/>
  <c r="B233" i="3"/>
  <c r="C233" i="3"/>
  <c r="D233" i="3"/>
  <c r="E233" i="3"/>
  <c r="F233" i="3"/>
  <c r="G233" i="3"/>
  <c r="H233" i="3"/>
  <c r="I233" i="3"/>
  <c r="J233" i="3"/>
  <c r="B234" i="3"/>
  <c r="C234" i="3"/>
  <c r="D234" i="3"/>
  <c r="E234" i="3"/>
  <c r="F234" i="3"/>
  <c r="G234" i="3"/>
  <c r="H234" i="3"/>
  <c r="I234" i="3"/>
  <c r="J234" i="3"/>
  <c r="B235" i="3"/>
  <c r="C235" i="3"/>
  <c r="D235" i="3"/>
  <c r="E235" i="3"/>
  <c r="F235" i="3"/>
  <c r="G235" i="3"/>
  <c r="H235" i="3"/>
  <c r="I235" i="3"/>
  <c r="J235" i="3"/>
  <c r="B236" i="3"/>
  <c r="C236" i="3"/>
  <c r="D236" i="3"/>
  <c r="E236" i="3"/>
  <c r="F236" i="3"/>
  <c r="G236" i="3"/>
  <c r="H236" i="3"/>
  <c r="I236" i="3"/>
  <c r="J236" i="3"/>
  <c r="B237" i="3"/>
  <c r="C237" i="3"/>
  <c r="D237" i="3"/>
  <c r="E237" i="3"/>
  <c r="F237" i="3"/>
  <c r="G237" i="3"/>
  <c r="H237" i="3"/>
  <c r="I237" i="3"/>
  <c r="J237" i="3"/>
  <c r="B238" i="3"/>
  <c r="C238" i="3"/>
  <c r="D238" i="3"/>
  <c r="E238" i="3"/>
  <c r="F238" i="3"/>
  <c r="G238" i="3"/>
  <c r="H238" i="3"/>
  <c r="I238" i="3"/>
  <c r="J238" i="3"/>
  <c r="B239" i="3"/>
  <c r="C239" i="3"/>
  <c r="D239" i="3"/>
  <c r="E239" i="3"/>
  <c r="F239" i="3"/>
  <c r="G239" i="3"/>
  <c r="H239" i="3"/>
  <c r="I239" i="3"/>
  <c r="J239" i="3"/>
  <c r="B240" i="3"/>
  <c r="C240" i="3"/>
  <c r="D240" i="3"/>
  <c r="E240" i="3"/>
  <c r="F240" i="3"/>
  <c r="G240" i="3"/>
  <c r="H240" i="3"/>
  <c r="I240" i="3"/>
  <c r="J240" i="3"/>
  <c r="B241" i="3"/>
  <c r="C241" i="3"/>
  <c r="D241" i="3"/>
  <c r="E241" i="3"/>
  <c r="F241" i="3"/>
  <c r="G241" i="3"/>
  <c r="H241" i="3"/>
  <c r="I241" i="3"/>
  <c r="J241" i="3"/>
  <c r="B242" i="3"/>
  <c r="C242" i="3"/>
  <c r="D242" i="3"/>
  <c r="E242" i="3"/>
  <c r="F242" i="3"/>
  <c r="G242" i="3"/>
  <c r="H242" i="3"/>
  <c r="I242" i="3"/>
  <c r="J242" i="3"/>
  <c r="B243" i="3"/>
  <c r="C243" i="3"/>
  <c r="D243" i="3"/>
  <c r="E243" i="3"/>
  <c r="F243" i="3"/>
  <c r="G243" i="3"/>
  <c r="H243" i="3"/>
  <c r="I243" i="3"/>
  <c r="J243" i="3"/>
  <c r="B244" i="3"/>
  <c r="C244" i="3"/>
  <c r="D244" i="3"/>
  <c r="E244" i="3"/>
  <c r="F244" i="3"/>
  <c r="G244" i="3"/>
  <c r="H244" i="3"/>
  <c r="I244" i="3"/>
  <c r="J244" i="3"/>
  <c r="B245" i="3"/>
  <c r="C245" i="3"/>
  <c r="D245" i="3"/>
  <c r="E245" i="3"/>
  <c r="F245" i="3"/>
  <c r="G245" i="3"/>
  <c r="H245" i="3"/>
  <c r="I245" i="3"/>
  <c r="J245" i="3"/>
  <c r="B246" i="3"/>
  <c r="C246" i="3"/>
  <c r="D246" i="3"/>
  <c r="E246" i="3"/>
  <c r="F246" i="3"/>
  <c r="G246" i="3"/>
  <c r="H246" i="3"/>
  <c r="I246" i="3"/>
  <c r="J246" i="3"/>
  <c r="B247" i="3"/>
  <c r="C247" i="3"/>
  <c r="D247" i="3"/>
  <c r="E247" i="3"/>
  <c r="F247" i="3"/>
  <c r="G247" i="3"/>
  <c r="H247" i="3"/>
  <c r="I247" i="3"/>
  <c r="J247" i="3"/>
  <c r="B248" i="3"/>
  <c r="C248" i="3"/>
  <c r="D248" i="3"/>
  <c r="E248" i="3"/>
  <c r="F248" i="3"/>
  <c r="G248" i="3"/>
  <c r="H248" i="3"/>
  <c r="I248" i="3"/>
  <c r="J248" i="3"/>
  <c r="B249" i="3"/>
  <c r="C249" i="3"/>
  <c r="D249" i="3"/>
  <c r="E249" i="3"/>
  <c r="F249" i="3"/>
  <c r="G249" i="3"/>
  <c r="H249" i="3"/>
  <c r="I249" i="3"/>
  <c r="J249" i="3"/>
  <c r="B250" i="3"/>
  <c r="C250" i="3"/>
  <c r="D250" i="3"/>
  <c r="E250" i="3"/>
  <c r="F250" i="3"/>
  <c r="G250" i="3"/>
  <c r="H250" i="3"/>
  <c r="I250" i="3"/>
  <c r="J250" i="3"/>
  <c r="B251" i="3"/>
  <c r="C251" i="3"/>
  <c r="D251" i="3"/>
  <c r="E251" i="3"/>
  <c r="F251" i="3"/>
  <c r="G251" i="3"/>
  <c r="H251" i="3"/>
  <c r="I251" i="3"/>
  <c r="J251" i="3"/>
  <c r="B252" i="3"/>
  <c r="C252" i="3"/>
  <c r="D252" i="3"/>
  <c r="E252" i="3"/>
  <c r="F252" i="3"/>
  <c r="G252" i="3"/>
  <c r="H252" i="3"/>
  <c r="I252" i="3"/>
  <c r="J252" i="3"/>
  <c r="B253" i="3"/>
  <c r="C253" i="3"/>
  <c r="D253" i="3"/>
  <c r="E253" i="3"/>
  <c r="F253" i="3"/>
  <c r="G253" i="3"/>
  <c r="H253" i="3"/>
  <c r="I253" i="3"/>
  <c r="J253" i="3"/>
  <c r="B254" i="3"/>
  <c r="C254" i="3"/>
  <c r="D254" i="3"/>
  <c r="E254" i="3"/>
  <c r="F254" i="3"/>
  <c r="G254" i="3"/>
  <c r="H254" i="3"/>
  <c r="I254" i="3"/>
  <c r="J254" i="3"/>
  <c r="B255" i="3"/>
  <c r="C255" i="3"/>
  <c r="D255" i="3"/>
  <c r="E255" i="3"/>
  <c r="F255" i="3"/>
  <c r="G255" i="3"/>
  <c r="H255" i="3"/>
  <c r="I255" i="3"/>
  <c r="J255" i="3"/>
  <c r="J1077" i="3" s="1"/>
  <c r="B256" i="3"/>
  <c r="C256" i="3"/>
  <c r="D256" i="3"/>
  <c r="E256" i="3"/>
  <c r="F256" i="3"/>
  <c r="G256" i="3"/>
  <c r="H256" i="3"/>
  <c r="I256" i="3"/>
  <c r="J256" i="3"/>
  <c r="B257" i="3"/>
  <c r="C257" i="3"/>
  <c r="D257" i="3"/>
  <c r="E257" i="3"/>
  <c r="F257" i="3"/>
  <c r="G257" i="3"/>
  <c r="H257" i="3"/>
  <c r="I257" i="3"/>
  <c r="J257" i="3"/>
  <c r="B258" i="3"/>
  <c r="C258" i="3"/>
  <c r="D258" i="3"/>
  <c r="E258" i="3"/>
  <c r="F258" i="3"/>
  <c r="G258" i="3"/>
  <c r="H258" i="3"/>
  <c r="I258" i="3"/>
  <c r="J258" i="3"/>
  <c r="B259" i="3"/>
  <c r="C259" i="3"/>
  <c r="D259" i="3"/>
  <c r="E259" i="3"/>
  <c r="F259" i="3"/>
  <c r="G259" i="3"/>
  <c r="H259" i="3"/>
  <c r="I259" i="3"/>
  <c r="J259" i="3"/>
  <c r="B260" i="3"/>
  <c r="C260" i="3"/>
  <c r="D260" i="3"/>
  <c r="E260" i="3"/>
  <c r="F260" i="3"/>
  <c r="G260" i="3"/>
  <c r="H260" i="3"/>
  <c r="I260" i="3"/>
  <c r="J260" i="3"/>
  <c r="B261" i="3"/>
  <c r="C261" i="3"/>
  <c r="D261" i="3"/>
  <c r="E261" i="3"/>
  <c r="F261" i="3"/>
  <c r="G261" i="3"/>
  <c r="H261" i="3"/>
  <c r="I261" i="3"/>
  <c r="J261" i="3"/>
  <c r="B262" i="3"/>
  <c r="C262" i="3"/>
  <c r="D262" i="3"/>
  <c r="E262" i="3"/>
  <c r="F262" i="3"/>
  <c r="G262" i="3"/>
  <c r="H262" i="3"/>
  <c r="I262" i="3"/>
  <c r="J262" i="3"/>
  <c r="B263" i="3"/>
  <c r="C263" i="3"/>
  <c r="D263" i="3"/>
  <c r="E263" i="3"/>
  <c r="F263" i="3"/>
  <c r="G263" i="3"/>
  <c r="H263" i="3"/>
  <c r="I263" i="3"/>
  <c r="J263" i="3"/>
  <c r="B264" i="3"/>
  <c r="C264" i="3"/>
  <c r="D264" i="3"/>
  <c r="E264" i="3"/>
  <c r="F264" i="3"/>
  <c r="G264" i="3"/>
  <c r="H264" i="3"/>
  <c r="I264" i="3"/>
  <c r="J264" i="3"/>
  <c r="B265" i="3"/>
  <c r="C265" i="3"/>
  <c r="D265" i="3"/>
  <c r="E265" i="3"/>
  <c r="F265" i="3"/>
  <c r="G265" i="3"/>
  <c r="H265" i="3"/>
  <c r="I265" i="3"/>
  <c r="J265" i="3"/>
  <c r="B266" i="3"/>
  <c r="C266" i="3"/>
  <c r="D266" i="3"/>
  <c r="E266" i="3"/>
  <c r="F266" i="3"/>
  <c r="G266" i="3"/>
  <c r="H266" i="3"/>
  <c r="I266" i="3"/>
  <c r="J266" i="3"/>
  <c r="B267" i="3"/>
  <c r="C267" i="3"/>
  <c r="D267" i="3"/>
  <c r="E267" i="3"/>
  <c r="F267" i="3"/>
  <c r="G267" i="3"/>
  <c r="H267" i="3"/>
  <c r="I267" i="3"/>
  <c r="J267" i="3"/>
  <c r="B268" i="3"/>
  <c r="C268" i="3"/>
  <c r="D268" i="3"/>
  <c r="E268" i="3"/>
  <c r="F268" i="3"/>
  <c r="G268" i="3"/>
  <c r="H268" i="3"/>
  <c r="I268" i="3"/>
  <c r="J268" i="3"/>
  <c r="J1078" i="3" s="1"/>
  <c r="B269" i="3"/>
  <c r="C269" i="3"/>
  <c r="D269" i="3"/>
  <c r="E269" i="3"/>
  <c r="F269" i="3"/>
  <c r="G269" i="3"/>
  <c r="H269" i="3"/>
  <c r="I269" i="3"/>
  <c r="J269" i="3"/>
  <c r="B270" i="3"/>
  <c r="C270" i="3"/>
  <c r="D270" i="3"/>
  <c r="E270" i="3"/>
  <c r="F270" i="3"/>
  <c r="G270" i="3"/>
  <c r="H270" i="3"/>
  <c r="I270" i="3"/>
  <c r="J270" i="3"/>
  <c r="B271" i="3"/>
  <c r="C271" i="3"/>
  <c r="D271" i="3"/>
  <c r="E271" i="3"/>
  <c r="F271" i="3"/>
  <c r="G271" i="3"/>
  <c r="H271" i="3"/>
  <c r="I271" i="3"/>
  <c r="J271" i="3"/>
  <c r="B272" i="3"/>
  <c r="C272" i="3"/>
  <c r="D272" i="3"/>
  <c r="E272" i="3"/>
  <c r="F272" i="3"/>
  <c r="G272" i="3"/>
  <c r="H272" i="3"/>
  <c r="I272" i="3"/>
  <c r="J272" i="3"/>
  <c r="B273" i="3"/>
  <c r="C273" i="3"/>
  <c r="D273" i="3"/>
  <c r="E273" i="3"/>
  <c r="F273" i="3"/>
  <c r="G273" i="3"/>
  <c r="H273" i="3"/>
  <c r="I273" i="3"/>
  <c r="J273" i="3"/>
  <c r="B274" i="3"/>
  <c r="C274" i="3"/>
  <c r="D274" i="3"/>
  <c r="E274" i="3"/>
  <c r="F274" i="3"/>
  <c r="G274" i="3"/>
  <c r="H274" i="3"/>
  <c r="I274" i="3"/>
  <c r="J274" i="3"/>
  <c r="B275" i="3"/>
  <c r="C275" i="3"/>
  <c r="D275" i="3"/>
  <c r="E275" i="3"/>
  <c r="F275" i="3"/>
  <c r="G275" i="3"/>
  <c r="H275" i="3"/>
  <c r="I275" i="3"/>
  <c r="J275" i="3"/>
  <c r="B276" i="3"/>
  <c r="C276" i="3"/>
  <c r="D276" i="3"/>
  <c r="E276" i="3"/>
  <c r="F276" i="3"/>
  <c r="G276" i="3"/>
  <c r="H276" i="3"/>
  <c r="I276" i="3"/>
  <c r="J276" i="3"/>
  <c r="B277" i="3"/>
  <c r="C277" i="3"/>
  <c r="D277" i="3"/>
  <c r="E277" i="3"/>
  <c r="F277" i="3"/>
  <c r="G277" i="3"/>
  <c r="H277" i="3"/>
  <c r="I277" i="3"/>
  <c r="J277" i="3"/>
  <c r="B278" i="3"/>
  <c r="C278" i="3"/>
  <c r="D278" i="3"/>
  <c r="E278" i="3"/>
  <c r="F278" i="3"/>
  <c r="G278" i="3"/>
  <c r="H278" i="3"/>
  <c r="I278" i="3"/>
  <c r="J278" i="3"/>
  <c r="B279" i="3"/>
  <c r="C279" i="3"/>
  <c r="D279" i="3"/>
  <c r="E279" i="3"/>
  <c r="F279" i="3"/>
  <c r="G279" i="3"/>
  <c r="H279" i="3"/>
  <c r="I279" i="3"/>
  <c r="J279" i="3"/>
  <c r="B280" i="3"/>
  <c r="C280" i="3"/>
  <c r="D280" i="3"/>
  <c r="E280" i="3"/>
  <c r="F280" i="3"/>
  <c r="G280" i="3"/>
  <c r="H280" i="3"/>
  <c r="I280" i="3"/>
  <c r="J280" i="3"/>
  <c r="B281" i="3"/>
  <c r="C281" i="3"/>
  <c r="D281" i="3"/>
  <c r="E281" i="3"/>
  <c r="F281" i="3"/>
  <c r="G281" i="3"/>
  <c r="H281" i="3"/>
  <c r="I281" i="3"/>
  <c r="J281" i="3"/>
  <c r="B282" i="3"/>
  <c r="C282" i="3"/>
  <c r="D282" i="3"/>
  <c r="E282" i="3"/>
  <c r="F282" i="3"/>
  <c r="G282" i="3"/>
  <c r="H282" i="3"/>
  <c r="I282" i="3"/>
  <c r="J282" i="3"/>
  <c r="B283" i="3"/>
  <c r="C283" i="3"/>
  <c r="D283" i="3"/>
  <c r="E283" i="3"/>
  <c r="F283" i="3"/>
  <c r="G283" i="3"/>
  <c r="H283" i="3"/>
  <c r="I283" i="3"/>
  <c r="J283" i="3"/>
  <c r="B284" i="3"/>
  <c r="C284" i="3"/>
  <c r="D284" i="3"/>
  <c r="E284" i="3"/>
  <c r="F284" i="3"/>
  <c r="G284" i="3"/>
  <c r="H284" i="3"/>
  <c r="I284" i="3"/>
  <c r="J284" i="3"/>
  <c r="B285" i="3"/>
  <c r="C285" i="3"/>
  <c r="D285" i="3"/>
  <c r="E285" i="3"/>
  <c r="F285" i="3"/>
  <c r="G285" i="3"/>
  <c r="H285" i="3"/>
  <c r="I285" i="3"/>
  <c r="J285" i="3"/>
  <c r="B286" i="3"/>
  <c r="C286" i="3"/>
  <c r="D286" i="3"/>
  <c r="E286" i="3"/>
  <c r="F286" i="3"/>
  <c r="G286" i="3"/>
  <c r="H286" i="3"/>
  <c r="I286" i="3"/>
  <c r="J286" i="3"/>
  <c r="B287" i="3"/>
  <c r="C287" i="3"/>
  <c r="D287" i="3"/>
  <c r="E287" i="3"/>
  <c r="F287" i="3"/>
  <c r="G287" i="3"/>
  <c r="H287" i="3"/>
  <c r="I287" i="3"/>
  <c r="J287" i="3"/>
  <c r="B288" i="3"/>
  <c r="C288" i="3"/>
  <c r="D288" i="3"/>
  <c r="E288" i="3"/>
  <c r="F288" i="3"/>
  <c r="G288" i="3"/>
  <c r="H288" i="3"/>
  <c r="I288" i="3"/>
  <c r="J288" i="3"/>
  <c r="B289" i="3"/>
  <c r="C289" i="3"/>
  <c r="D289" i="3"/>
  <c r="E289" i="3"/>
  <c r="F289" i="3"/>
  <c r="G289" i="3"/>
  <c r="H289" i="3"/>
  <c r="I289" i="3"/>
  <c r="J289" i="3"/>
  <c r="B290" i="3"/>
  <c r="C290" i="3"/>
  <c r="D290" i="3"/>
  <c r="E290" i="3"/>
  <c r="F290" i="3"/>
  <c r="G290" i="3"/>
  <c r="H290" i="3"/>
  <c r="I290" i="3"/>
  <c r="J290" i="3"/>
  <c r="B291" i="3"/>
  <c r="C291" i="3"/>
  <c r="D291" i="3"/>
  <c r="E291" i="3"/>
  <c r="F291" i="3"/>
  <c r="G291" i="3"/>
  <c r="H291" i="3"/>
  <c r="I291" i="3"/>
  <c r="J291" i="3"/>
  <c r="B292" i="3"/>
  <c r="C292" i="3"/>
  <c r="D292" i="3"/>
  <c r="E292" i="3"/>
  <c r="F292" i="3"/>
  <c r="G292" i="3"/>
  <c r="H292" i="3"/>
  <c r="I292" i="3"/>
  <c r="J292" i="3"/>
  <c r="B293" i="3"/>
  <c r="C293" i="3"/>
  <c r="D293" i="3"/>
  <c r="E293" i="3"/>
  <c r="F293" i="3"/>
  <c r="G293" i="3"/>
  <c r="H293" i="3"/>
  <c r="I293" i="3"/>
  <c r="J293" i="3"/>
  <c r="B294" i="3"/>
  <c r="C294" i="3"/>
  <c r="D294" i="3"/>
  <c r="E294" i="3"/>
  <c r="F294" i="3"/>
  <c r="G294" i="3"/>
  <c r="H294" i="3"/>
  <c r="I294" i="3"/>
  <c r="J294" i="3"/>
  <c r="B295" i="3"/>
  <c r="C295" i="3"/>
  <c r="D295" i="3"/>
  <c r="E295" i="3"/>
  <c r="F295" i="3"/>
  <c r="G295" i="3"/>
  <c r="H295" i="3"/>
  <c r="I295" i="3"/>
  <c r="J295" i="3"/>
  <c r="B296" i="3"/>
  <c r="C296" i="3"/>
  <c r="D296" i="3"/>
  <c r="E296" i="3"/>
  <c r="F296" i="3"/>
  <c r="G296" i="3"/>
  <c r="H296" i="3"/>
  <c r="I296" i="3"/>
  <c r="J296" i="3"/>
  <c r="B297" i="3"/>
  <c r="C297" i="3"/>
  <c r="D297" i="3"/>
  <c r="E297" i="3"/>
  <c r="F297" i="3"/>
  <c r="G297" i="3"/>
  <c r="H297" i="3"/>
  <c r="I297" i="3"/>
  <c r="J297" i="3"/>
  <c r="B298" i="3"/>
  <c r="C298" i="3"/>
  <c r="D298" i="3"/>
  <c r="E298" i="3"/>
  <c r="F298" i="3"/>
  <c r="G298" i="3"/>
  <c r="H298" i="3"/>
  <c r="I298" i="3"/>
  <c r="J298" i="3"/>
  <c r="B299" i="3"/>
  <c r="C299" i="3"/>
  <c r="D299" i="3"/>
  <c r="E299" i="3"/>
  <c r="F299" i="3"/>
  <c r="G299" i="3"/>
  <c r="H299" i="3"/>
  <c r="I299" i="3"/>
  <c r="J299" i="3"/>
  <c r="B300" i="3"/>
  <c r="C300" i="3"/>
  <c r="D300" i="3"/>
  <c r="E300" i="3"/>
  <c r="F300" i="3"/>
  <c r="G300" i="3"/>
  <c r="H300" i="3"/>
  <c r="I300" i="3"/>
  <c r="J300" i="3"/>
  <c r="B301" i="3"/>
  <c r="C301" i="3"/>
  <c r="D301" i="3"/>
  <c r="E301" i="3"/>
  <c r="F301" i="3"/>
  <c r="G301" i="3"/>
  <c r="H301" i="3"/>
  <c r="I301" i="3"/>
  <c r="J301" i="3"/>
  <c r="B302" i="3"/>
  <c r="C302" i="3"/>
  <c r="D302" i="3"/>
  <c r="E302" i="3"/>
  <c r="F302" i="3"/>
  <c r="G302" i="3"/>
  <c r="H302" i="3"/>
  <c r="I302" i="3"/>
  <c r="J302" i="3"/>
  <c r="B303" i="3"/>
  <c r="C303" i="3"/>
  <c r="D303" i="3"/>
  <c r="E303" i="3"/>
  <c r="F303" i="3"/>
  <c r="G303" i="3"/>
  <c r="H303" i="3"/>
  <c r="I303" i="3"/>
  <c r="J303" i="3"/>
  <c r="B304" i="3"/>
  <c r="C304" i="3"/>
  <c r="D304" i="3"/>
  <c r="E304" i="3"/>
  <c r="F304" i="3"/>
  <c r="G304" i="3"/>
  <c r="H304" i="3"/>
  <c r="I304" i="3"/>
  <c r="J304" i="3"/>
  <c r="B305" i="3"/>
  <c r="C305" i="3"/>
  <c r="D305" i="3"/>
  <c r="E305" i="3"/>
  <c r="F305" i="3"/>
  <c r="G305" i="3"/>
  <c r="H305" i="3"/>
  <c r="I305" i="3"/>
  <c r="J305" i="3"/>
  <c r="B306" i="3"/>
  <c r="C306" i="3"/>
  <c r="D306" i="3"/>
  <c r="E306" i="3"/>
  <c r="F306" i="3"/>
  <c r="G306" i="3"/>
  <c r="H306" i="3"/>
  <c r="I306" i="3"/>
  <c r="J306" i="3"/>
  <c r="B307" i="3"/>
  <c r="C307" i="3"/>
  <c r="D307" i="3"/>
  <c r="E307" i="3"/>
  <c r="F307" i="3"/>
  <c r="G307" i="3"/>
  <c r="H307" i="3"/>
  <c r="I307" i="3"/>
  <c r="J307" i="3"/>
  <c r="B308" i="3"/>
  <c r="C308" i="3"/>
  <c r="D308" i="3"/>
  <c r="E308" i="3"/>
  <c r="F308" i="3"/>
  <c r="G308" i="3"/>
  <c r="H308" i="3"/>
  <c r="I308" i="3"/>
  <c r="J308" i="3"/>
  <c r="B309" i="3"/>
  <c r="C309" i="3"/>
  <c r="D309" i="3"/>
  <c r="E309" i="3"/>
  <c r="F309" i="3"/>
  <c r="G309" i="3"/>
  <c r="H309" i="3"/>
  <c r="I309" i="3"/>
  <c r="J309" i="3"/>
  <c r="B310" i="3"/>
  <c r="C310" i="3"/>
  <c r="D310" i="3"/>
  <c r="E310" i="3"/>
  <c r="F310" i="3"/>
  <c r="G310" i="3"/>
  <c r="H310" i="3"/>
  <c r="I310" i="3"/>
  <c r="J310" i="3"/>
  <c r="B311" i="3"/>
  <c r="C311" i="3"/>
  <c r="D311" i="3"/>
  <c r="E311" i="3"/>
  <c r="F311" i="3"/>
  <c r="G311" i="3"/>
  <c r="H311" i="3"/>
  <c r="I311" i="3"/>
  <c r="J311" i="3"/>
  <c r="B312" i="3"/>
  <c r="C312" i="3"/>
  <c r="D312" i="3"/>
  <c r="E312" i="3"/>
  <c r="F312" i="3"/>
  <c r="G312" i="3"/>
  <c r="H312" i="3"/>
  <c r="I312" i="3"/>
  <c r="J312" i="3"/>
  <c r="B313" i="3"/>
  <c r="C313" i="3"/>
  <c r="D313" i="3"/>
  <c r="E313" i="3"/>
  <c r="F313" i="3"/>
  <c r="G313" i="3"/>
  <c r="H313" i="3"/>
  <c r="I313" i="3"/>
  <c r="J313" i="3"/>
  <c r="B314" i="3"/>
  <c r="C314" i="3"/>
  <c r="D314" i="3"/>
  <c r="E314" i="3"/>
  <c r="F314" i="3"/>
  <c r="G314" i="3"/>
  <c r="H314" i="3"/>
  <c r="I314" i="3"/>
  <c r="J314" i="3"/>
  <c r="B315" i="3"/>
  <c r="C315" i="3"/>
  <c r="D315" i="3"/>
  <c r="E315" i="3"/>
  <c r="F315" i="3"/>
  <c r="G315" i="3"/>
  <c r="H315" i="3"/>
  <c r="I315" i="3"/>
  <c r="J315" i="3"/>
  <c r="B316" i="3"/>
  <c r="C316" i="3"/>
  <c r="D316" i="3"/>
  <c r="E316" i="3"/>
  <c r="F316" i="3"/>
  <c r="G316" i="3"/>
  <c r="H316" i="3"/>
  <c r="I316" i="3"/>
  <c r="J316" i="3"/>
  <c r="J1082" i="3" s="1"/>
  <c r="B317" i="3"/>
  <c r="C317" i="3"/>
  <c r="D317" i="3"/>
  <c r="E317" i="3"/>
  <c r="F317" i="3"/>
  <c r="G317" i="3"/>
  <c r="H317" i="3"/>
  <c r="I317" i="3"/>
  <c r="J317" i="3"/>
  <c r="B318" i="3"/>
  <c r="C318" i="3"/>
  <c r="D318" i="3"/>
  <c r="E318" i="3"/>
  <c r="F318" i="3"/>
  <c r="G318" i="3"/>
  <c r="H318" i="3"/>
  <c r="I318" i="3"/>
  <c r="J318" i="3"/>
  <c r="B319" i="3"/>
  <c r="C319" i="3"/>
  <c r="D319" i="3"/>
  <c r="E319" i="3"/>
  <c r="F319" i="3"/>
  <c r="G319" i="3"/>
  <c r="H319" i="3"/>
  <c r="I319" i="3"/>
  <c r="J319" i="3"/>
  <c r="B320" i="3"/>
  <c r="C320" i="3"/>
  <c r="D320" i="3"/>
  <c r="E320" i="3"/>
  <c r="F320" i="3"/>
  <c r="G320" i="3"/>
  <c r="H320" i="3"/>
  <c r="I320" i="3"/>
  <c r="J320" i="3"/>
  <c r="B321" i="3"/>
  <c r="C321" i="3"/>
  <c r="D321" i="3"/>
  <c r="E321" i="3"/>
  <c r="F321" i="3"/>
  <c r="G321" i="3"/>
  <c r="H321" i="3"/>
  <c r="I321" i="3"/>
  <c r="J321" i="3"/>
  <c r="B322" i="3"/>
  <c r="C322" i="3"/>
  <c r="D322" i="3"/>
  <c r="E322" i="3"/>
  <c r="F322" i="3"/>
  <c r="G322" i="3"/>
  <c r="H322" i="3"/>
  <c r="I322" i="3"/>
  <c r="J322" i="3"/>
  <c r="B323" i="3"/>
  <c r="C323" i="3"/>
  <c r="D323" i="3"/>
  <c r="E323" i="3"/>
  <c r="F323" i="3"/>
  <c r="G323" i="3"/>
  <c r="H323" i="3"/>
  <c r="I323" i="3"/>
  <c r="J323" i="3"/>
  <c r="B324" i="3"/>
  <c r="C324" i="3"/>
  <c r="D324" i="3"/>
  <c r="E324" i="3"/>
  <c r="F324" i="3"/>
  <c r="G324" i="3"/>
  <c r="H324" i="3"/>
  <c r="I324" i="3"/>
  <c r="J324" i="3"/>
  <c r="B325" i="3"/>
  <c r="C325" i="3"/>
  <c r="D325" i="3"/>
  <c r="E325" i="3"/>
  <c r="F325" i="3"/>
  <c r="G325" i="3"/>
  <c r="H325" i="3"/>
  <c r="I325" i="3"/>
  <c r="J325" i="3"/>
  <c r="B326" i="3"/>
  <c r="C326" i="3"/>
  <c r="D326" i="3"/>
  <c r="E326" i="3"/>
  <c r="F326" i="3"/>
  <c r="G326" i="3"/>
  <c r="H326" i="3"/>
  <c r="I326" i="3"/>
  <c r="J326" i="3"/>
  <c r="B327" i="3"/>
  <c r="C327" i="3"/>
  <c r="D327" i="3"/>
  <c r="E327" i="3"/>
  <c r="F327" i="3"/>
  <c r="G327" i="3"/>
  <c r="H327" i="3"/>
  <c r="I327" i="3"/>
  <c r="J327" i="3"/>
  <c r="J1083" i="3" s="1"/>
  <c r="B328" i="3"/>
  <c r="C328" i="3"/>
  <c r="D328" i="3"/>
  <c r="E328" i="3"/>
  <c r="F328" i="3"/>
  <c r="G328" i="3"/>
  <c r="H328" i="3"/>
  <c r="I328" i="3"/>
  <c r="J328" i="3"/>
  <c r="B329" i="3"/>
  <c r="C329" i="3"/>
  <c r="D329" i="3"/>
  <c r="E329" i="3"/>
  <c r="F329" i="3"/>
  <c r="G329" i="3"/>
  <c r="H329" i="3"/>
  <c r="I329" i="3"/>
  <c r="J329" i="3"/>
  <c r="B330" i="3"/>
  <c r="C330" i="3"/>
  <c r="D330" i="3"/>
  <c r="E330" i="3"/>
  <c r="F330" i="3"/>
  <c r="G330" i="3"/>
  <c r="H330" i="3"/>
  <c r="I330" i="3"/>
  <c r="J330" i="3"/>
  <c r="B331" i="3"/>
  <c r="C331" i="3"/>
  <c r="D331" i="3"/>
  <c r="E331" i="3"/>
  <c r="F331" i="3"/>
  <c r="G331" i="3"/>
  <c r="H331" i="3"/>
  <c r="I331" i="3"/>
  <c r="J331" i="3"/>
  <c r="B332" i="3"/>
  <c r="C332" i="3"/>
  <c r="D332" i="3"/>
  <c r="E332" i="3"/>
  <c r="F332" i="3"/>
  <c r="G332" i="3"/>
  <c r="H332" i="3"/>
  <c r="I332" i="3"/>
  <c r="J332" i="3"/>
  <c r="B333" i="3"/>
  <c r="C333" i="3"/>
  <c r="D333" i="3"/>
  <c r="E333" i="3"/>
  <c r="F333" i="3"/>
  <c r="G333" i="3"/>
  <c r="H333" i="3"/>
  <c r="I333" i="3"/>
  <c r="J333" i="3"/>
  <c r="B334" i="3"/>
  <c r="C334" i="3"/>
  <c r="D334" i="3"/>
  <c r="E334" i="3"/>
  <c r="F334" i="3"/>
  <c r="G334" i="3"/>
  <c r="H334" i="3"/>
  <c r="I334" i="3"/>
  <c r="J334" i="3"/>
  <c r="B335" i="3"/>
  <c r="C335" i="3"/>
  <c r="D335" i="3"/>
  <c r="E335" i="3"/>
  <c r="F335" i="3"/>
  <c r="G335" i="3"/>
  <c r="H335" i="3"/>
  <c r="I335" i="3"/>
  <c r="J335" i="3"/>
  <c r="B336" i="3"/>
  <c r="C336" i="3"/>
  <c r="D336" i="3"/>
  <c r="E336" i="3"/>
  <c r="F336" i="3"/>
  <c r="G336" i="3"/>
  <c r="H336" i="3"/>
  <c r="I336" i="3"/>
  <c r="J336" i="3"/>
  <c r="B337" i="3"/>
  <c r="C337" i="3"/>
  <c r="D337" i="3"/>
  <c r="E337" i="3"/>
  <c r="F337" i="3"/>
  <c r="G337" i="3"/>
  <c r="H337" i="3"/>
  <c r="I337" i="3"/>
  <c r="J337" i="3"/>
  <c r="B338" i="3"/>
  <c r="C338" i="3"/>
  <c r="D338" i="3"/>
  <c r="E338" i="3"/>
  <c r="F338" i="3"/>
  <c r="G338" i="3"/>
  <c r="H338" i="3"/>
  <c r="I338" i="3"/>
  <c r="J338" i="3"/>
  <c r="B339" i="3"/>
  <c r="C339" i="3"/>
  <c r="D339" i="3"/>
  <c r="E339" i="3"/>
  <c r="F339" i="3"/>
  <c r="G339" i="3"/>
  <c r="H339" i="3"/>
  <c r="I339" i="3"/>
  <c r="J339" i="3"/>
  <c r="B340" i="3"/>
  <c r="C340" i="3"/>
  <c r="D340" i="3"/>
  <c r="E340" i="3"/>
  <c r="F340" i="3"/>
  <c r="G340" i="3"/>
  <c r="H340" i="3"/>
  <c r="I340" i="3"/>
  <c r="J340" i="3"/>
  <c r="B341" i="3"/>
  <c r="C341" i="3"/>
  <c r="D341" i="3"/>
  <c r="E341" i="3"/>
  <c r="F341" i="3"/>
  <c r="G341" i="3"/>
  <c r="H341" i="3"/>
  <c r="I341" i="3"/>
  <c r="J341" i="3"/>
  <c r="B342" i="3"/>
  <c r="C342" i="3"/>
  <c r="D342" i="3"/>
  <c r="E342" i="3"/>
  <c r="F342" i="3"/>
  <c r="G342" i="3"/>
  <c r="H342" i="3"/>
  <c r="I342" i="3"/>
  <c r="J342" i="3"/>
  <c r="B343" i="3"/>
  <c r="C343" i="3"/>
  <c r="D343" i="3"/>
  <c r="E343" i="3"/>
  <c r="F343" i="3"/>
  <c r="G343" i="3"/>
  <c r="H343" i="3"/>
  <c r="I343" i="3"/>
  <c r="J343" i="3"/>
  <c r="B344" i="3"/>
  <c r="C344" i="3"/>
  <c r="D344" i="3"/>
  <c r="E344" i="3"/>
  <c r="F344" i="3"/>
  <c r="G344" i="3"/>
  <c r="H344" i="3"/>
  <c r="I344" i="3"/>
  <c r="J344" i="3"/>
  <c r="B345" i="3"/>
  <c r="C345" i="3"/>
  <c r="D345" i="3"/>
  <c r="E345" i="3"/>
  <c r="F345" i="3"/>
  <c r="G345" i="3"/>
  <c r="H345" i="3"/>
  <c r="I345" i="3"/>
  <c r="J345" i="3"/>
  <c r="B346" i="3"/>
  <c r="C346" i="3"/>
  <c r="D346" i="3"/>
  <c r="E346" i="3"/>
  <c r="F346" i="3"/>
  <c r="G346" i="3"/>
  <c r="H346" i="3"/>
  <c r="I346" i="3"/>
  <c r="J346" i="3"/>
  <c r="B347" i="3"/>
  <c r="C347" i="3"/>
  <c r="D347" i="3"/>
  <c r="E347" i="3"/>
  <c r="F347" i="3"/>
  <c r="G347" i="3"/>
  <c r="H347" i="3"/>
  <c r="I347" i="3"/>
  <c r="J347" i="3"/>
  <c r="B348" i="3"/>
  <c r="C348" i="3"/>
  <c r="D348" i="3"/>
  <c r="E348" i="3"/>
  <c r="F348" i="3"/>
  <c r="G348" i="3"/>
  <c r="H348" i="3"/>
  <c r="I348" i="3"/>
  <c r="J348" i="3"/>
  <c r="B349" i="3"/>
  <c r="C349" i="3"/>
  <c r="D349" i="3"/>
  <c r="E349" i="3"/>
  <c r="F349" i="3"/>
  <c r="G349" i="3"/>
  <c r="H349" i="3"/>
  <c r="I349" i="3"/>
  <c r="J349" i="3"/>
  <c r="B350" i="3"/>
  <c r="C350" i="3"/>
  <c r="D350" i="3"/>
  <c r="E350" i="3"/>
  <c r="F350" i="3"/>
  <c r="G350" i="3"/>
  <c r="H350" i="3"/>
  <c r="I350" i="3"/>
  <c r="J350" i="3"/>
  <c r="B351" i="3"/>
  <c r="C351" i="3"/>
  <c r="D351" i="3"/>
  <c r="E351" i="3"/>
  <c r="F351" i="3"/>
  <c r="G351" i="3"/>
  <c r="H351" i="3"/>
  <c r="I351" i="3"/>
  <c r="J351" i="3"/>
  <c r="J1085" i="3" s="1"/>
  <c r="B352" i="3"/>
  <c r="C352" i="3"/>
  <c r="D352" i="3"/>
  <c r="E352" i="3"/>
  <c r="F352" i="3"/>
  <c r="G352" i="3"/>
  <c r="H352" i="3"/>
  <c r="I352" i="3"/>
  <c r="J352" i="3"/>
  <c r="B353" i="3"/>
  <c r="C353" i="3"/>
  <c r="D353" i="3"/>
  <c r="E353" i="3"/>
  <c r="F353" i="3"/>
  <c r="G353" i="3"/>
  <c r="H353" i="3"/>
  <c r="I353" i="3"/>
  <c r="J353" i="3"/>
  <c r="B354" i="3"/>
  <c r="C354" i="3"/>
  <c r="D354" i="3"/>
  <c r="E354" i="3"/>
  <c r="F354" i="3"/>
  <c r="G354" i="3"/>
  <c r="H354" i="3"/>
  <c r="I354" i="3"/>
  <c r="J354" i="3"/>
  <c r="B355" i="3"/>
  <c r="C355" i="3"/>
  <c r="D355" i="3"/>
  <c r="E355" i="3"/>
  <c r="F355" i="3"/>
  <c r="G355" i="3"/>
  <c r="H355" i="3"/>
  <c r="I355" i="3"/>
  <c r="J355" i="3"/>
  <c r="B356" i="3"/>
  <c r="C356" i="3"/>
  <c r="D356" i="3"/>
  <c r="E356" i="3"/>
  <c r="F356" i="3"/>
  <c r="G356" i="3"/>
  <c r="H356" i="3"/>
  <c r="I356" i="3"/>
  <c r="J356" i="3"/>
  <c r="B357" i="3"/>
  <c r="C357" i="3"/>
  <c r="D357" i="3"/>
  <c r="E357" i="3"/>
  <c r="F357" i="3"/>
  <c r="G357" i="3"/>
  <c r="H357" i="3"/>
  <c r="I357" i="3"/>
  <c r="J357" i="3"/>
  <c r="B358" i="3"/>
  <c r="C358" i="3"/>
  <c r="D358" i="3"/>
  <c r="E358" i="3"/>
  <c r="F358" i="3"/>
  <c r="G358" i="3"/>
  <c r="H358" i="3"/>
  <c r="I358" i="3"/>
  <c r="J358" i="3"/>
  <c r="B359" i="3"/>
  <c r="C359" i="3"/>
  <c r="D359" i="3"/>
  <c r="E359" i="3"/>
  <c r="F359" i="3"/>
  <c r="G359" i="3"/>
  <c r="H359" i="3"/>
  <c r="I359" i="3"/>
  <c r="J359" i="3"/>
  <c r="B360" i="3"/>
  <c r="C360" i="3"/>
  <c r="D360" i="3"/>
  <c r="E360" i="3"/>
  <c r="F360" i="3"/>
  <c r="G360" i="3"/>
  <c r="H360" i="3"/>
  <c r="I360" i="3"/>
  <c r="J360" i="3"/>
  <c r="B361" i="3"/>
  <c r="C361" i="3"/>
  <c r="D361" i="3"/>
  <c r="E361" i="3"/>
  <c r="F361" i="3"/>
  <c r="G361" i="3"/>
  <c r="H361" i="3"/>
  <c r="I361" i="3"/>
  <c r="J361" i="3"/>
  <c r="B362" i="3"/>
  <c r="C362" i="3"/>
  <c r="D362" i="3"/>
  <c r="E362" i="3"/>
  <c r="F362" i="3"/>
  <c r="G362" i="3"/>
  <c r="H362" i="3"/>
  <c r="I362" i="3"/>
  <c r="J362" i="3"/>
  <c r="B363" i="3"/>
  <c r="C363" i="3"/>
  <c r="D363" i="3"/>
  <c r="E363" i="3"/>
  <c r="F363" i="3"/>
  <c r="G363" i="3"/>
  <c r="H363" i="3"/>
  <c r="I363" i="3"/>
  <c r="J363" i="3"/>
  <c r="B364" i="3"/>
  <c r="C364" i="3"/>
  <c r="D364" i="3"/>
  <c r="E364" i="3"/>
  <c r="F364" i="3"/>
  <c r="G364" i="3"/>
  <c r="H364" i="3"/>
  <c r="I364" i="3"/>
  <c r="J364" i="3"/>
  <c r="B365" i="3"/>
  <c r="C365" i="3"/>
  <c r="D365" i="3"/>
  <c r="E365" i="3"/>
  <c r="F365" i="3"/>
  <c r="G365" i="3"/>
  <c r="H365" i="3"/>
  <c r="I365" i="3"/>
  <c r="J365" i="3"/>
  <c r="B366" i="3"/>
  <c r="C366" i="3"/>
  <c r="D366" i="3"/>
  <c r="E366" i="3"/>
  <c r="F366" i="3"/>
  <c r="G366" i="3"/>
  <c r="H366" i="3"/>
  <c r="I366" i="3"/>
  <c r="J366" i="3"/>
  <c r="B367" i="3"/>
  <c r="C367" i="3"/>
  <c r="D367" i="3"/>
  <c r="E367" i="3"/>
  <c r="F367" i="3"/>
  <c r="G367" i="3"/>
  <c r="H367" i="3"/>
  <c r="I367" i="3"/>
  <c r="J367" i="3"/>
  <c r="B368" i="3"/>
  <c r="C368" i="3"/>
  <c r="D368" i="3"/>
  <c r="E368" i="3"/>
  <c r="F368" i="3"/>
  <c r="G368" i="3"/>
  <c r="H368" i="3"/>
  <c r="I368" i="3"/>
  <c r="J368" i="3"/>
  <c r="B369" i="3"/>
  <c r="C369" i="3"/>
  <c r="D369" i="3"/>
  <c r="E369" i="3"/>
  <c r="F369" i="3"/>
  <c r="G369" i="3"/>
  <c r="H369" i="3"/>
  <c r="I369" i="3"/>
  <c r="J369" i="3"/>
  <c r="B370" i="3"/>
  <c r="C370" i="3"/>
  <c r="D370" i="3"/>
  <c r="E370" i="3"/>
  <c r="F370" i="3"/>
  <c r="G370" i="3"/>
  <c r="H370" i="3"/>
  <c r="I370" i="3"/>
  <c r="J370" i="3"/>
  <c r="B371" i="3"/>
  <c r="C371" i="3"/>
  <c r="D371" i="3"/>
  <c r="E371" i="3"/>
  <c r="F371" i="3"/>
  <c r="G371" i="3"/>
  <c r="H371" i="3"/>
  <c r="I371" i="3"/>
  <c r="J371" i="3"/>
  <c r="B372" i="3"/>
  <c r="C372" i="3"/>
  <c r="D372" i="3"/>
  <c r="E372" i="3"/>
  <c r="F372" i="3"/>
  <c r="G372" i="3"/>
  <c r="H372" i="3"/>
  <c r="I372" i="3"/>
  <c r="J372" i="3"/>
  <c r="B373" i="3"/>
  <c r="C373" i="3"/>
  <c r="D373" i="3"/>
  <c r="E373" i="3"/>
  <c r="F373" i="3"/>
  <c r="G373" i="3"/>
  <c r="H373" i="3"/>
  <c r="I373" i="3"/>
  <c r="J373" i="3"/>
  <c r="B374" i="3"/>
  <c r="C374" i="3"/>
  <c r="D374" i="3"/>
  <c r="E374" i="3"/>
  <c r="F374" i="3"/>
  <c r="G374" i="3"/>
  <c r="H374" i="3"/>
  <c r="I374" i="3"/>
  <c r="J374" i="3"/>
  <c r="B375" i="3"/>
  <c r="C375" i="3"/>
  <c r="D375" i="3"/>
  <c r="E375" i="3"/>
  <c r="F375" i="3"/>
  <c r="G375" i="3"/>
  <c r="H375" i="3"/>
  <c r="I375" i="3"/>
  <c r="J375" i="3"/>
  <c r="B376" i="3"/>
  <c r="C376" i="3"/>
  <c r="D376" i="3"/>
  <c r="E376" i="3"/>
  <c r="F376" i="3"/>
  <c r="G376" i="3"/>
  <c r="H376" i="3"/>
  <c r="I376" i="3"/>
  <c r="J376" i="3"/>
  <c r="B377" i="3"/>
  <c r="C377" i="3"/>
  <c r="D377" i="3"/>
  <c r="E377" i="3"/>
  <c r="F377" i="3"/>
  <c r="G377" i="3"/>
  <c r="H377" i="3"/>
  <c r="I377" i="3"/>
  <c r="J377" i="3"/>
  <c r="B378" i="3"/>
  <c r="C378" i="3"/>
  <c r="D378" i="3"/>
  <c r="E378" i="3"/>
  <c r="F378" i="3"/>
  <c r="G378" i="3"/>
  <c r="H378" i="3"/>
  <c r="I378" i="3"/>
  <c r="J378" i="3"/>
  <c r="B379" i="3"/>
  <c r="C379" i="3"/>
  <c r="D379" i="3"/>
  <c r="E379" i="3"/>
  <c r="F379" i="3"/>
  <c r="G379" i="3"/>
  <c r="H379" i="3"/>
  <c r="I379" i="3"/>
  <c r="J379" i="3"/>
  <c r="B380" i="3"/>
  <c r="C380" i="3"/>
  <c r="D380" i="3"/>
  <c r="E380" i="3"/>
  <c r="F380" i="3"/>
  <c r="G380" i="3"/>
  <c r="H380" i="3"/>
  <c r="I380" i="3"/>
  <c r="J380" i="3"/>
  <c r="B381" i="3"/>
  <c r="C381" i="3"/>
  <c r="D381" i="3"/>
  <c r="E381" i="3"/>
  <c r="F381" i="3"/>
  <c r="G381" i="3"/>
  <c r="H381" i="3"/>
  <c r="I381" i="3"/>
  <c r="J381" i="3"/>
  <c r="B382" i="3"/>
  <c r="C382" i="3"/>
  <c r="D382" i="3"/>
  <c r="E382" i="3"/>
  <c r="F382" i="3"/>
  <c r="G382" i="3"/>
  <c r="H382" i="3"/>
  <c r="I382" i="3"/>
  <c r="J382" i="3"/>
  <c r="B383" i="3"/>
  <c r="C383" i="3"/>
  <c r="D383" i="3"/>
  <c r="E383" i="3"/>
  <c r="F383" i="3"/>
  <c r="G383" i="3"/>
  <c r="H383" i="3"/>
  <c r="I383" i="3"/>
  <c r="J383" i="3"/>
  <c r="B384" i="3"/>
  <c r="C384" i="3"/>
  <c r="D384" i="3"/>
  <c r="E384" i="3"/>
  <c r="F384" i="3"/>
  <c r="G384" i="3"/>
  <c r="H384" i="3"/>
  <c r="I384" i="3"/>
  <c r="J384" i="3"/>
  <c r="B385" i="3"/>
  <c r="C385" i="3"/>
  <c r="D385" i="3"/>
  <c r="E385" i="3"/>
  <c r="F385" i="3"/>
  <c r="G385" i="3"/>
  <c r="H385" i="3"/>
  <c r="I385" i="3"/>
  <c r="J385" i="3"/>
  <c r="B386" i="3"/>
  <c r="C386" i="3"/>
  <c r="D386" i="3"/>
  <c r="E386" i="3"/>
  <c r="F386" i="3"/>
  <c r="G386" i="3"/>
  <c r="H386" i="3"/>
  <c r="I386" i="3"/>
  <c r="J386" i="3"/>
  <c r="B387" i="3"/>
  <c r="C387" i="3"/>
  <c r="D387" i="3"/>
  <c r="E387" i="3"/>
  <c r="F387" i="3"/>
  <c r="G387" i="3"/>
  <c r="H387" i="3"/>
  <c r="I387" i="3"/>
  <c r="J387" i="3"/>
  <c r="B388" i="3"/>
  <c r="C388" i="3"/>
  <c r="D388" i="3"/>
  <c r="E388" i="3"/>
  <c r="F388" i="3"/>
  <c r="G388" i="3"/>
  <c r="H388" i="3"/>
  <c r="I388" i="3"/>
  <c r="J388" i="3"/>
  <c r="B389" i="3"/>
  <c r="C389" i="3"/>
  <c r="D389" i="3"/>
  <c r="E389" i="3"/>
  <c r="F389" i="3"/>
  <c r="G389" i="3"/>
  <c r="H389" i="3"/>
  <c r="I389" i="3"/>
  <c r="J389" i="3"/>
  <c r="B390" i="3"/>
  <c r="C390" i="3"/>
  <c r="D390" i="3"/>
  <c r="E390" i="3"/>
  <c r="F390" i="3"/>
  <c r="G390" i="3"/>
  <c r="H390" i="3"/>
  <c r="I390" i="3"/>
  <c r="J390" i="3"/>
  <c r="B391" i="3"/>
  <c r="C391" i="3"/>
  <c r="D391" i="3"/>
  <c r="E391" i="3"/>
  <c r="F391" i="3"/>
  <c r="G391" i="3"/>
  <c r="H391" i="3"/>
  <c r="I391" i="3"/>
  <c r="J391" i="3"/>
  <c r="B392" i="3"/>
  <c r="C392" i="3"/>
  <c r="D392" i="3"/>
  <c r="E392" i="3"/>
  <c r="F392" i="3"/>
  <c r="G392" i="3"/>
  <c r="H392" i="3"/>
  <c r="I392" i="3"/>
  <c r="J392" i="3"/>
  <c r="B393" i="3"/>
  <c r="C393" i="3"/>
  <c r="D393" i="3"/>
  <c r="E393" i="3"/>
  <c r="F393" i="3"/>
  <c r="G393" i="3"/>
  <c r="H393" i="3"/>
  <c r="I393" i="3"/>
  <c r="J393" i="3"/>
  <c r="B394" i="3"/>
  <c r="C394" i="3"/>
  <c r="D394" i="3"/>
  <c r="E394" i="3"/>
  <c r="F394" i="3"/>
  <c r="G394" i="3"/>
  <c r="H394" i="3"/>
  <c r="I394" i="3"/>
  <c r="J394" i="3"/>
  <c r="B395" i="3"/>
  <c r="C395" i="3"/>
  <c r="D395" i="3"/>
  <c r="E395" i="3"/>
  <c r="F395" i="3"/>
  <c r="G395" i="3"/>
  <c r="H395" i="3"/>
  <c r="I395" i="3"/>
  <c r="J395" i="3"/>
  <c r="B396" i="3"/>
  <c r="C396" i="3"/>
  <c r="D396" i="3"/>
  <c r="E396" i="3"/>
  <c r="F396" i="3"/>
  <c r="G396" i="3"/>
  <c r="H396" i="3"/>
  <c r="I396" i="3"/>
  <c r="J396" i="3"/>
  <c r="J1089" i="3" s="1"/>
  <c r="B397" i="3"/>
  <c r="C397" i="3"/>
  <c r="D397" i="3"/>
  <c r="E397" i="3"/>
  <c r="F397" i="3"/>
  <c r="G397" i="3"/>
  <c r="H397" i="3"/>
  <c r="I397" i="3"/>
  <c r="J397" i="3"/>
  <c r="B398" i="3"/>
  <c r="C398" i="3"/>
  <c r="D398" i="3"/>
  <c r="E398" i="3"/>
  <c r="F398" i="3"/>
  <c r="G398" i="3"/>
  <c r="H398" i="3"/>
  <c r="I398" i="3"/>
  <c r="J398" i="3"/>
  <c r="B399" i="3"/>
  <c r="C399" i="3"/>
  <c r="D399" i="3"/>
  <c r="E399" i="3"/>
  <c r="F399" i="3"/>
  <c r="G399" i="3"/>
  <c r="H399" i="3"/>
  <c r="I399" i="3"/>
  <c r="J399" i="3"/>
  <c r="B400" i="3"/>
  <c r="C400" i="3"/>
  <c r="D400" i="3"/>
  <c r="E400" i="3"/>
  <c r="F400" i="3"/>
  <c r="G400" i="3"/>
  <c r="H400" i="3"/>
  <c r="I400" i="3"/>
  <c r="J400" i="3"/>
  <c r="B401" i="3"/>
  <c r="C401" i="3"/>
  <c r="D401" i="3"/>
  <c r="E401" i="3"/>
  <c r="F401" i="3"/>
  <c r="G401" i="3"/>
  <c r="H401" i="3"/>
  <c r="I401" i="3"/>
  <c r="J401" i="3"/>
  <c r="B402" i="3"/>
  <c r="C402" i="3"/>
  <c r="D402" i="3"/>
  <c r="E402" i="3"/>
  <c r="F402" i="3"/>
  <c r="G402" i="3"/>
  <c r="H402" i="3"/>
  <c r="I402" i="3"/>
  <c r="J402" i="3"/>
  <c r="B403" i="3"/>
  <c r="C403" i="3"/>
  <c r="D403" i="3"/>
  <c r="E403" i="3"/>
  <c r="F403" i="3"/>
  <c r="G403" i="3"/>
  <c r="H403" i="3"/>
  <c r="I403" i="3"/>
  <c r="J403" i="3"/>
  <c r="B404" i="3"/>
  <c r="C404" i="3"/>
  <c r="D404" i="3"/>
  <c r="E404" i="3"/>
  <c r="F404" i="3"/>
  <c r="G404" i="3"/>
  <c r="H404" i="3"/>
  <c r="I404" i="3"/>
  <c r="J404" i="3"/>
  <c r="B405" i="3"/>
  <c r="C405" i="3"/>
  <c r="D405" i="3"/>
  <c r="E405" i="3"/>
  <c r="F405" i="3"/>
  <c r="G405" i="3"/>
  <c r="H405" i="3"/>
  <c r="I405" i="3"/>
  <c r="J405" i="3"/>
  <c r="B406" i="3"/>
  <c r="C406" i="3"/>
  <c r="D406" i="3"/>
  <c r="E406" i="3"/>
  <c r="F406" i="3"/>
  <c r="G406" i="3"/>
  <c r="H406" i="3"/>
  <c r="I406" i="3"/>
  <c r="J406" i="3"/>
  <c r="B407" i="3"/>
  <c r="C407" i="3"/>
  <c r="D407" i="3"/>
  <c r="E407" i="3"/>
  <c r="F407" i="3"/>
  <c r="G407" i="3"/>
  <c r="H407" i="3"/>
  <c r="I407" i="3"/>
  <c r="J407" i="3"/>
  <c r="B408" i="3"/>
  <c r="C408" i="3"/>
  <c r="D408" i="3"/>
  <c r="E408" i="3"/>
  <c r="F408" i="3"/>
  <c r="G408" i="3"/>
  <c r="H408" i="3"/>
  <c r="I408" i="3"/>
  <c r="J408" i="3"/>
  <c r="B409" i="3"/>
  <c r="C409" i="3"/>
  <c r="D409" i="3"/>
  <c r="E409" i="3"/>
  <c r="F409" i="3"/>
  <c r="G409" i="3"/>
  <c r="H409" i="3"/>
  <c r="I409" i="3"/>
  <c r="J409" i="3"/>
  <c r="B410" i="3"/>
  <c r="C410" i="3"/>
  <c r="D410" i="3"/>
  <c r="E410" i="3"/>
  <c r="F410" i="3"/>
  <c r="G410" i="3"/>
  <c r="H410" i="3"/>
  <c r="I410" i="3"/>
  <c r="J410" i="3"/>
  <c r="B411" i="3"/>
  <c r="C411" i="3"/>
  <c r="D411" i="3"/>
  <c r="E411" i="3"/>
  <c r="F411" i="3"/>
  <c r="G411" i="3"/>
  <c r="H411" i="3"/>
  <c r="I411" i="3"/>
  <c r="J411" i="3"/>
  <c r="B412" i="3"/>
  <c r="C412" i="3"/>
  <c r="D412" i="3"/>
  <c r="E412" i="3"/>
  <c r="F412" i="3"/>
  <c r="G412" i="3"/>
  <c r="H412" i="3"/>
  <c r="I412" i="3"/>
  <c r="J412" i="3"/>
  <c r="B413" i="3"/>
  <c r="C413" i="3"/>
  <c r="D413" i="3"/>
  <c r="E413" i="3"/>
  <c r="F413" i="3"/>
  <c r="G413" i="3"/>
  <c r="H413" i="3"/>
  <c r="I413" i="3"/>
  <c r="J413" i="3"/>
  <c r="B414" i="3"/>
  <c r="C414" i="3"/>
  <c r="D414" i="3"/>
  <c r="E414" i="3"/>
  <c r="F414" i="3"/>
  <c r="G414" i="3"/>
  <c r="H414" i="3"/>
  <c r="I414" i="3"/>
  <c r="J414" i="3"/>
  <c r="B415" i="3"/>
  <c r="C415" i="3"/>
  <c r="D415" i="3"/>
  <c r="E415" i="3"/>
  <c r="F415" i="3"/>
  <c r="G415" i="3"/>
  <c r="H415" i="3"/>
  <c r="I415" i="3"/>
  <c r="J415" i="3"/>
  <c r="J1090" i="3" s="1"/>
  <c r="B416" i="3"/>
  <c r="C416" i="3"/>
  <c r="D416" i="3"/>
  <c r="E416" i="3"/>
  <c r="F416" i="3"/>
  <c r="G416" i="3"/>
  <c r="H416" i="3"/>
  <c r="I416" i="3"/>
  <c r="J416" i="3"/>
  <c r="B417" i="3"/>
  <c r="C417" i="3"/>
  <c r="D417" i="3"/>
  <c r="E417" i="3"/>
  <c r="F417" i="3"/>
  <c r="G417" i="3"/>
  <c r="H417" i="3"/>
  <c r="I417" i="3"/>
  <c r="J417" i="3"/>
  <c r="B418" i="3"/>
  <c r="C418" i="3"/>
  <c r="D418" i="3"/>
  <c r="E418" i="3"/>
  <c r="F418" i="3"/>
  <c r="G418" i="3"/>
  <c r="H418" i="3"/>
  <c r="I418" i="3"/>
  <c r="J418" i="3"/>
  <c r="B419" i="3"/>
  <c r="C419" i="3"/>
  <c r="D419" i="3"/>
  <c r="E419" i="3"/>
  <c r="F419" i="3"/>
  <c r="G419" i="3"/>
  <c r="H419" i="3"/>
  <c r="I419" i="3"/>
  <c r="J419" i="3"/>
  <c r="B420" i="3"/>
  <c r="C420" i="3"/>
  <c r="D420" i="3"/>
  <c r="E420" i="3"/>
  <c r="F420" i="3"/>
  <c r="G420" i="3"/>
  <c r="H420" i="3"/>
  <c r="I420" i="3"/>
  <c r="J420" i="3"/>
  <c r="J1091" i="3" s="1"/>
  <c r="B421" i="3"/>
  <c r="C421" i="3"/>
  <c r="D421" i="3"/>
  <c r="E421" i="3"/>
  <c r="F421" i="3"/>
  <c r="G421" i="3"/>
  <c r="H421" i="3"/>
  <c r="I421" i="3"/>
  <c r="J421" i="3"/>
  <c r="B422" i="3"/>
  <c r="C422" i="3"/>
  <c r="D422" i="3"/>
  <c r="E422" i="3"/>
  <c r="F422" i="3"/>
  <c r="G422" i="3"/>
  <c r="H422" i="3"/>
  <c r="I422" i="3"/>
  <c r="J422" i="3"/>
  <c r="B423" i="3"/>
  <c r="C423" i="3"/>
  <c r="D423" i="3"/>
  <c r="E423" i="3"/>
  <c r="F423" i="3"/>
  <c r="G423" i="3"/>
  <c r="H423" i="3"/>
  <c r="I423" i="3"/>
  <c r="J423" i="3"/>
  <c r="B424" i="3"/>
  <c r="C424" i="3"/>
  <c r="D424" i="3"/>
  <c r="E424" i="3"/>
  <c r="F424" i="3"/>
  <c r="G424" i="3"/>
  <c r="H424" i="3"/>
  <c r="I424" i="3"/>
  <c r="J424" i="3"/>
  <c r="B425" i="3"/>
  <c r="C425" i="3"/>
  <c r="D425" i="3"/>
  <c r="E425" i="3"/>
  <c r="F425" i="3"/>
  <c r="G425" i="3"/>
  <c r="H425" i="3"/>
  <c r="I425" i="3"/>
  <c r="J425" i="3"/>
  <c r="B426" i="3"/>
  <c r="C426" i="3"/>
  <c r="D426" i="3"/>
  <c r="E426" i="3"/>
  <c r="F426" i="3"/>
  <c r="G426" i="3"/>
  <c r="H426" i="3"/>
  <c r="I426" i="3"/>
  <c r="J426" i="3"/>
  <c r="B427" i="3"/>
  <c r="C427" i="3"/>
  <c r="D427" i="3"/>
  <c r="E427" i="3"/>
  <c r="F427" i="3"/>
  <c r="G427" i="3"/>
  <c r="H427" i="3"/>
  <c r="I427" i="3"/>
  <c r="J427" i="3"/>
  <c r="B428" i="3"/>
  <c r="C428" i="3"/>
  <c r="D428" i="3"/>
  <c r="E428" i="3"/>
  <c r="F428" i="3"/>
  <c r="G428" i="3"/>
  <c r="H428" i="3"/>
  <c r="I428" i="3"/>
  <c r="J428" i="3"/>
  <c r="B429" i="3"/>
  <c r="C429" i="3"/>
  <c r="D429" i="3"/>
  <c r="E429" i="3"/>
  <c r="F429" i="3"/>
  <c r="G429" i="3"/>
  <c r="H429" i="3"/>
  <c r="I429" i="3"/>
  <c r="J429" i="3"/>
  <c r="B430" i="3"/>
  <c r="C430" i="3"/>
  <c r="D430" i="3"/>
  <c r="E430" i="3"/>
  <c r="F430" i="3"/>
  <c r="G430" i="3"/>
  <c r="H430" i="3"/>
  <c r="I430" i="3"/>
  <c r="J430" i="3"/>
  <c r="B431" i="3"/>
  <c r="C431" i="3"/>
  <c r="D431" i="3"/>
  <c r="E431" i="3"/>
  <c r="F431" i="3"/>
  <c r="G431" i="3"/>
  <c r="H431" i="3"/>
  <c r="I431" i="3"/>
  <c r="J431" i="3"/>
  <c r="B432" i="3"/>
  <c r="C432" i="3"/>
  <c r="D432" i="3"/>
  <c r="E432" i="3"/>
  <c r="F432" i="3"/>
  <c r="G432" i="3"/>
  <c r="H432" i="3"/>
  <c r="I432" i="3"/>
  <c r="J432" i="3"/>
  <c r="B433" i="3"/>
  <c r="C433" i="3"/>
  <c r="D433" i="3"/>
  <c r="E433" i="3"/>
  <c r="F433" i="3"/>
  <c r="G433" i="3"/>
  <c r="H433" i="3"/>
  <c r="I433" i="3"/>
  <c r="J433" i="3"/>
  <c r="B434" i="3"/>
  <c r="C434" i="3"/>
  <c r="D434" i="3"/>
  <c r="E434" i="3"/>
  <c r="F434" i="3"/>
  <c r="G434" i="3"/>
  <c r="H434" i="3"/>
  <c r="I434" i="3"/>
  <c r="J434" i="3"/>
  <c r="B435" i="3"/>
  <c r="C435" i="3"/>
  <c r="D435" i="3"/>
  <c r="E435" i="3"/>
  <c r="F435" i="3"/>
  <c r="G435" i="3"/>
  <c r="H435" i="3"/>
  <c r="I435" i="3"/>
  <c r="J435" i="3"/>
  <c r="B436" i="3"/>
  <c r="C436" i="3"/>
  <c r="D436" i="3"/>
  <c r="E436" i="3"/>
  <c r="F436" i="3"/>
  <c r="G436" i="3"/>
  <c r="H436" i="3"/>
  <c r="I436" i="3"/>
  <c r="J436" i="3"/>
  <c r="B437" i="3"/>
  <c r="C437" i="3"/>
  <c r="D437" i="3"/>
  <c r="E437" i="3"/>
  <c r="F437" i="3"/>
  <c r="G437" i="3"/>
  <c r="H437" i="3"/>
  <c r="I437" i="3"/>
  <c r="J437" i="3"/>
  <c r="B438" i="3"/>
  <c r="C438" i="3"/>
  <c r="D438" i="3"/>
  <c r="E438" i="3"/>
  <c r="F438" i="3"/>
  <c r="G438" i="3"/>
  <c r="H438" i="3"/>
  <c r="I438" i="3"/>
  <c r="J438" i="3"/>
  <c r="B439" i="3"/>
  <c r="C439" i="3"/>
  <c r="D439" i="3"/>
  <c r="E439" i="3"/>
  <c r="F439" i="3"/>
  <c r="G439" i="3"/>
  <c r="H439" i="3"/>
  <c r="I439" i="3"/>
  <c r="J439" i="3"/>
  <c r="B440" i="3"/>
  <c r="C440" i="3"/>
  <c r="D440" i="3"/>
  <c r="E440" i="3"/>
  <c r="F440" i="3"/>
  <c r="G440" i="3"/>
  <c r="H440" i="3"/>
  <c r="I440" i="3"/>
  <c r="J440" i="3"/>
  <c r="B441" i="3"/>
  <c r="C441" i="3"/>
  <c r="D441" i="3"/>
  <c r="E441" i="3"/>
  <c r="F441" i="3"/>
  <c r="G441" i="3"/>
  <c r="H441" i="3"/>
  <c r="I441" i="3"/>
  <c r="J441" i="3"/>
  <c r="B442" i="3"/>
  <c r="C442" i="3"/>
  <c r="D442" i="3"/>
  <c r="E442" i="3"/>
  <c r="F442" i="3"/>
  <c r="G442" i="3"/>
  <c r="H442" i="3"/>
  <c r="I442" i="3"/>
  <c r="J442" i="3"/>
  <c r="B443" i="3"/>
  <c r="C443" i="3"/>
  <c r="D443" i="3"/>
  <c r="E443" i="3"/>
  <c r="F443" i="3"/>
  <c r="G443" i="3"/>
  <c r="H443" i="3"/>
  <c r="I443" i="3"/>
  <c r="J443" i="3"/>
  <c r="B444" i="3"/>
  <c r="C444" i="3"/>
  <c r="D444" i="3"/>
  <c r="E444" i="3"/>
  <c r="F444" i="3"/>
  <c r="G444" i="3"/>
  <c r="H444" i="3"/>
  <c r="I444" i="3"/>
  <c r="J444" i="3"/>
  <c r="B445" i="3"/>
  <c r="C445" i="3"/>
  <c r="D445" i="3"/>
  <c r="E445" i="3"/>
  <c r="F445" i="3"/>
  <c r="G445" i="3"/>
  <c r="H445" i="3"/>
  <c r="I445" i="3"/>
  <c r="J445" i="3"/>
  <c r="B446" i="3"/>
  <c r="C446" i="3"/>
  <c r="D446" i="3"/>
  <c r="E446" i="3"/>
  <c r="F446" i="3"/>
  <c r="G446" i="3"/>
  <c r="H446" i="3"/>
  <c r="I446" i="3"/>
  <c r="J446" i="3"/>
  <c r="B447" i="3"/>
  <c r="C447" i="3"/>
  <c r="D447" i="3"/>
  <c r="E447" i="3"/>
  <c r="F447" i="3"/>
  <c r="G447" i="3"/>
  <c r="H447" i="3"/>
  <c r="I447" i="3"/>
  <c r="J447" i="3"/>
  <c r="B448" i="3"/>
  <c r="C448" i="3"/>
  <c r="D448" i="3"/>
  <c r="E448" i="3"/>
  <c r="F448" i="3"/>
  <c r="G448" i="3"/>
  <c r="H448" i="3"/>
  <c r="I448" i="3"/>
  <c r="J448" i="3"/>
  <c r="B449" i="3"/>
  <c r="C449" i="3"/>
  <c r="D449" i="3"/>
  <c r="E449" i="3"/>
  <c r="F449" i="3"/>
  <c r="G449" i="3"/>
  <c r="H449" i="3"/>
  <c r="I449" i="3"/>
  <c r="J449" i="3"/>
  <c r="B450" i="3"/>
  <c r="C450" i="3"/>
  <c r="D450" i="3"/>
  <c r="E450" i="3"/>
  <c r="F450" i="3"/>
  <c r="G450" i="3"/>
  <c r="H450" i="3"/>
  <c r="I450" i="3"/>
  <c r="J450" i="3"/>
  <c r="B451" i="3"/>
  <c r="C451" i="3"/>
  <c r="D451" i="3"/>
  <c r="E451" i="3"/>
  <c r="F451" i="3"/>
  <c r="G451" i="3"/>
  <c r="H451" i="3"/>
  <c r="I451" i="3"/>
  <c r="J451" i="3"/>
  <c r="B452" i="3"/>
  <c r="C452" i="3"/>
  <c r="D452" i="3"/>
  <c r="E452" i="3"/>
  <c r="F452" i="3"/>
  <c r="G452" i="3"/>
  <c r="H452" i="3"/>
  <c r="I452" i="3"/>
  <c r="J452" i="3"/>
  <c r="B453" i="3"/>
  <c r="C453" i="3"/>
  <c r="D453" i="3"/>
  <c r="E453" i="3"/>
  <c r="F453" i="3"/>
  <c r="G453" i="3"/>
  <c r="H453" i="3"/>
  <c r="I453" i="3"/>
  <c r="J453" i="3"/>
  <c r="B454" i="3"/>
  <c r="C454" i="3"/>
  <c r="D454" i="3"/>
  <c r="E454" i="3"/>
  <c r="F454" i="3"/>
  <c r="G454" i="3"/>
  <c r="H454" i="3"/>
  <c r="I454" i="3"/>
  <c r="J454" i="3"/>
  <c r="B455" i="3"/>
  <c r="C455" i="3"/>
  <c r="D455" i="3"/>
  <c r="E455" i="3"/>
  <c r="F455" i="3"/>
  <c r="G455" i="3"/>
  <c r="H455" i="3"/>
  <c r="I455" i="3"/>
  <c r="J455" i="3"/>
  <c r="B456" i="3"/>
  <c r="C456" i="3"/>
  <c r="D456" i="3"/>
  <c r="E456" i="3"/>
  <c r="F456" i="3"/>
  <c r="G456" i="3"/>
  <c r="H456" i="3"/>
  <c r="I456" i="3"/>
  <c r="J456" i="3"/>
  <c r="B457" i="3"/>
  <c r="C457" i="3"/>
  <c r="D457" i="3"/>
  <c r="E457" i="3"/>
  <c r="F457" i="3"/>
  <c r="G457" i="3"/>
  <c r="H457" i="3"/>
  <c r="I457" i="3"/>
  <c r="J457" i="3"/>
  <c r="B458" i="3"/>
  <c r="C458" i="3"/>
  <c r="D458" i="3"/>
  <c r="E458" i="3"/>
  <c r="F458" i="3"/>
  <c r="G458" i="3"/>
  <c r="H458" i="3"/>
  <c r="I458" i="3"/>
  <c r="J458" i="3"/>
  <c r="B459" i="3"/>
  <c r="C459" i="3"/>
  <c r="D459" i="3"/>
  <c r="E459" i="3"/>
  <c r="F459" i="3"/>
  <c r="G459" i="3"/>
  <c r="H459" i="3"/>
  <c r="I459" i="3"/>
  <c r="J459" i="3"/>
  <c r="B460" i="3"/>
  <c r="C460" i="3"/>
  <c r="D460" i="3"/>
  <c r="E460" i="3"/>
  <c r="F460" i="3"/>
  <c r="G460" i="3"/>
  <c r="H460" i="3"/>
  <c r="I460" i="3"/>
  <c r="J460" i="3"/>
  <c r="B461" i="3"/>
  <c r="C461" i="3"/>
  <c r="D461" i="3"/>
  <c r="E461" i="3"/>
  <c r="F461" i="3"/>
  <c r="G461" i="3"/>
  <c r="H461" i="3"/>
  <c r="I461" i="3"/>
  <c r="J461" i="3"/>
  <c r="B462" i="3"/>
  <c r="C462" i="3"/>
  <c r="D462" i="3"/>
  <c r="E462" i="3"/>
  <c r="F462" i="3"/>
  <c r="G462" i="3"/>
  <c r="H462" i="3"/>
  <c r="I462" i="3"/>
  <c r="J462" i="3"/>
  <c r="B463" i="3"/>
  <c r="C463" i="3"/>
  <c r="D463" i="3"/>
  <c r="E463" i="3"/>
  <c r="F463" i="3"/>
  <c r="G463" i="3"/>
  <c r="H463" i="3"/>
  <c r="I463" i="3"/>
  <c r="J463" i="3"/>
  <c r="B464" i="3"/>
  <c r="C464" i="3"/>
  <c r="D464" i="3"/>
  <c r="E464" i="3"/>
  <c r="F464" i="3"/>
  <c r="G464" i="3"/>
  <c r="H464" i="3"/>
  <c r="I464" i="3"/>
  <c r="J464" i="3"/>
  <c r="B465" i="3"/>
  <c r="C465" i="3"/>
  <c r="D465" i="3"/>
  <c r="E465" i="3"/>
  <c r="F465" i="3"/>
  <c r="G465" i="3"/>
  <c r="H465" i="3"/>
  <c r="I465" i="3"/>
  <c r="J465" i="3"/>
  <c r="B466" i="3"/>
  <c r="C466" i="3"/>
  <c r="D466" i="3"/>
  <c r="E466" i="3"/>
  <c r="F466" i="3"/>
  <c r="G466" i="3"/>
  <c r="H466" i="3"/>
  <c r="I466" i="3"/>
  <c r="J466" i="3"/>
  <c r="B467" i="3"/>
  <c r="C467" i="3"/>
  <c r="D467" i="3"/>
  <c r="E467" i="3"/>
  <c r="F467" i="3"/>
  <c r="G467" i="3"/>
  <c r="H467" i="3"/>
  <c r="I467" i="3"/>
  <c r="J467" i="3"/>
  <c r="B468" i="3"/>
  <c r="C468" i="3"/>
  <c r="D468" i="3"/>
  <c r="E468" i="3"/>
  <c r="F468" i="3"/>
  <c r="G468" i="3"/>
  <c r="H468" i="3"/>
  <c r="I468" i="3"/>
  <c r="J468" i="3"/>
  <c r="B469" i="3"/>
  <c r="C469" i="3"/>
  <c r="D469" i="3"/>
  <c r="E469" i="3"/>
  <c r="F469" i="3"/>
  <c r="G469" i="3"/>
  <c r="H469" i="3"/>
  <c r="I469" i="3"/>
  <c r="J469" i="3"/>
  <c r="B470" i="3"/>
  <c r="C470" i="3"/>
  <c r="D470" i="3"/>
  <c r="E470" i="3"/>
  <c r="F470" i="3"/>
  <c r="G470" i="3"/>
  <c r="H470" i="3"/>
  <c r="I470" i="3"/>
  <c r="J470" i="3"/>
  <c r="B471" i="3"/>
  <c r="C471" i="3"/>
  <c r="D471" i="3"/>
  <c r="E471" i="3"/>
  <c r="F471" i="3"/>
  <c r="G471" i="3"/>
  <c r="H471" i="3"/>
  <c r="I471" i="3"/>
  <c r="J471" i="3"/>
  <c r="B472" i="3"/>
  <c r="C472" i="3"/>
  <c r="D472" i="3"/>
  <c r="E472" i="3"/>
  <c r="F472" i="3"/>
  <c r="G472" i="3"/>
  <c r="H472" i="3"/>
  <c r="I472" i="3"/>
  <c r="J472" i="3"/>
  <c r="B473" i="3"/>
  <c r="C473" i="3"/>
  <c r="D473" i="3"/>
  <c r="E473" i="3"/>
  <c r="F473" i="3"/>
  <c r="G473" i="3"/>
  <c r="H473" i="3"/>
  <c r="I473" i="3"/>
  <c r="J473" i="3"/>
  <c r="B474" i="3"/>
  <c r="C474" i="3"/>
  <c r="D474" i="3"/>
  <c r="E474" i="3"/>
  <c r="F474" i="3"/>
  <c r="G474" i="3"/>
  <c r="H474" i="3"/>
  <c r="I474" i="3"/>
  <c r="J474" i="3"/>
  <c r="B475" i="3"/>
  <c r="C475" i="3"/>
  <c r="D475" i="3"/>
  <c r="E475" i="3"/>
  <c r="F475" i="3"/>
  <c r="G475" i="3"/>
  <c r="H475" i="3"/>
  <c r="I475" i="3"/>
  <c r="J475" i="3"/>
  <c r="B476" i="3"/>
  <c r="C476" i="3"/>
  <c r="D476" i="3"/>
  <c r="E476" i="3"/>
  <c r="F476" i="3"/>
  <c r="G476" i="3"/>
  <c r="H476" i="3"/>
  <c r="I476" i="3"/>
  <c r="J476" i="3"/>
  <c r="B477" i="3"/>
  <c r="C477" i="3"/>
  <c r="D477" i="3"/>
  <c r="E477" i="3"/>
  <c r="F477" i="3"/>
  <c r="G477" i="3"/>
  <c r="H477" i="3"/>
  <c r="I477" i="3"/>
  <c r="J477" i="3"/>
  <c r="B478" i="3"/>
  <c r="C478" i="3"/>
  <c r="D478" i="3"/>
  <c r="E478" i="3"/>
  <c r="F478" i="3"/>
  <c r="G478" i="3"/>
  <c r="H478" i="3"/>
  <c r="I478" i="3"/>
  <c r="J478" i="3"/>
  <c r="B479" i="3"/>
  <c r="C479" i="3"/>
  <c r="D479" i="3"/>
  <c r="E479" i="3"/>
  <c r="F479" i="3"/>
  <c r="G479" i="3"/>
  <c r="H479" i="3"/>
  <c r="I479" i="3"/>
  <c r="J479" i="3"/>
  <c r="B480" i="3"/>
  <c r="C480" i="3"/>
  <c r="D480" i="3"/>
  <c r="E480" i="3"/>
  <c r="F480" i="3"/>
  <c r="G480" i="3"/>
  <c r="H480" i="3"/>
  <c r="I480" i="3"/>
  <c r="J480" i="3"/>
  <c r="B481" i="3"/>
  <c r="C481" i="3"/>
  <c r="D481" i="3"/>
  <c r="E481" i="3"/>
  <c r="F481" i="3"/>
  <c r="G481" i="3"/>
  <c r="H481" i="3"/>
  <c r="I481" i="3"/>
  <c r="J481" i="3"/>
  <c r="B482" i="3"/>
  <c r="C482" i="3"/>
  <c r="D482" i="3"/>
  <c r="E482" i="3"/>
  <c r="F482" i="3"/>
  <c r="G482" i="3"/>
  <c r="H482" i="3"/>
  <c r="I482" i="3"/>
  <c r="J482" i="3"/>
  <c r="B483" i="3"/>
  <c r="C483" i="3"/>
  <c r="D483" i="3"/>
  <c r="E483" i="3"/>
  <c r="F483" i="3"/>
  <c r="G483" i="3"/>
  <c r="H483" i="3"/>
  <c r="I483" i="3"/>
  <c r="J483" i="3"/>
  <c r="B484" i="3"/>
  <c r="C484" i="3"/>
  <c r="D484" i="3"/>
  <c r="E484" i="3"/>
  <c r="F484" i="3"/>
  <c r="G484" i="3"/>
  <c r="H484" i="3"/>
  <c r="I484" i="3"/>
  <c r="J484" i="3"/>
  <c r="B485" i="3"/>
  <c r="C485" i="3"/>
  <c r="D485" i="3"/>
  <c r="E485" i="3"/>
  <c r="F485" i="3"/>
  <c r="G485" i="3"/>
  <c r="H485" i="3"/>
  <c r="I485" i="3"/>
  <c r="J485" i="3"/>
  <c r="B486" i="3"/>
  <c r="C486" i="3"/>
  <c r="D486" i="3"/>
  <c r="E486" i="3"/>
  <c r="F486" i="3"/>
  <c r="G486" i="3"/>
  <c r="H486" i="3"/>
  <c r="I486" i="3"/>
  <c r="J486" i="3"/>
  <c r="B487" i="3"/>
  <c r="C487" i="3"/>
  <c r="D487" i="3"/>
  <c r="E487" i="3"/>
  <c r="F487" i="3"/>
  <c r="G487" i="3"/>
  <c r="H487" i="3"/>
  <c r="I487" i="3"/>
  <c r="J487" i="3"/>
  <c r="B488" i="3"/>
  <c r="C488" i="3"/>
  <c r="D488" i="3"/>
  <c r="E488" i="3"/>
  <c r="F488" i="3"/>
  <c r="G488" i="3"/>
  <c r="H488" i="3"/>
  <c r="I488" i="3"/>
  <c r="J488" i="3"/>
  <c r="B489" i="3"/>
  <c r="C489" i="3"/>
  <c r="D489" i="3"/>
  <c r="E489" i="3"/>
  <c r="F489" i="3"/>
  <c r="G489" i="3"/>
  <c r="H489" i="3"/>
  <c r="I489" i="3"/>
  <c r="J489" i="3"/>
  <c r="B490" i="3"/>
  <c r="C490" i="3"/>
  <c r="D490" i="3"/>
  <c r="E490" i="3"/>
  <c r="F490" i="3"/>
  <c r="G490" i="3"/>
  <c r="H490" i="3"/>
  <c r="I490" i="3"/>
  <c r="J490" i="3"/>
  <c r="B491" i="3"/>
  <c r="C491" i="3"/>
  <c r="D491" i="3"/>
  <c r="E491" i="3"/>
  <c r="F491" i="3"/>
  <c r="G491" i="3"/>
  <c r="H491" i="3"/>
  <c r="I491" i="3"/>
  <c r="J491" i="3"/>
  <c r="B492" i="3"/>
  <c r="C492" i="3"/>
  <c r="D492" i="3"/>
  <c r="E492" i="3"/>
  <c r="F492" i="3"/>
  <c r="G492" i="3"/>
  <c r="H492" i="3"/>
  <c r="I492" i="3"/>
  <c r="J492" i="3"/>
  <c r="B493" i="3"/>
  <c r="C493" i="3"/>
  <c r="D493" i="3"/>
  <c r="E493" i="3"/>
  <c r="F493" i="3"/>
  <c r="G493" i="3"/>
  <c r="H493" i="3"/>
  <c r="I493" i="3"/>
  <c r="J493" i="3"/>
  <c r="B494" i="3"/>
  <c r="C494" i="3"/>
  <c r="D494" i="3"/>
  <c r="E494" i="3"/>
  <c r="F494" i="3"/>
  <c r="G494" i="3"/>
  <c r="H494" i="3"/>
  <c r="I494" i="3"/>
  <c r="J494" i="3"/>
  <c r="B495" i="3"/>
  <c r="C495" i="3"/>
  <c r="D495" i="3"/>
  <c r="E495" i="3"/>
  <c r="F495" i="3"/>
  <c r="G495" i="3"/>
  <c r="H495" i="3"/>
  <c r="I495" i="3"/>
  <c r="J495" i="3"/>
  <c r="B496" i="3"/>
  <c r="C496" i="3"/>
  <c r="D496" i="3"/>
  <c r="E496" i="3"/>
  <c r="F496" i="3"/>
  <c r="G496" i="3"/>
  <c r="H496" i="3"/>
  <c r="I496" i="3"/>
  <c r="J496" i="3"/>
  <c r="B497" i="3"/>
  <c r="C497" i="3"/>
  <c r="D497" i="3"/>
  <c r="E497" i="3"/>
  <c r="F497" i="3"/>
  <c r="G497" i="3"/>
  <c r="H497" i="3"/>
  <c r="I497" i="3"/>
  <c r="J497" i="3"/>
  <c r="B498" i="3"/>
  <c r="C498" i="3"/>
  <c r="D498" i="3"/>
  <c r="E498" i="3"/>
  <c r="F498" i="3"/>
  <c r="G498" i="3"/>
  <c r="H498" i="3"/>
  <c r="I498" i="3"/>
  <c r="J498" i="3"/>
  <c r="B499" i="3"/>
  <c r="C499" i="3"/>
  <c r="D499" i="3"/>
  <c r="E499" i="3"/>
  <c r="F499" i="3"/>
  <c r="G499" i="3"/>
  <c r="H499" i="3"/>
  <c r="I499" i="3"/>
  <c r="J499" i="3"/>
  <c r="B500" i="3"/>
  <c r="C500" i="3"/>
  <c r="D500" i="3"/>
  <c r="E500" i="3"/>
  <c r="F500" i="3"/>
  <c r="G500" i="3"/>
  <c r="H500" i="3"/>
  <c r="I500" i="3"/>
  <c r="J500" i="3"/>
  <c r="B501" i="3"/>
  <c r="C501" i="3"/>
  <c r="D501" i="3"/>
  <c r="E501" i="3"/>
  <c r="F501" i="3"/>
  <c r="G501" i="3"/>
  <c r="H501" i="3"/>
  <c r="I501" i="3"/>
  <c r="J501" i="3"/>
  <c r="B502" i="3"/>
  <c r="C502" i="3"/>
  <c r="D502" i="3"/>
  <c r="E502" i="3"/>
  <c r="F502" i="3"/>
  <c r="G502" i="3"/>
  <c r="H502" i="3"/>
  <c r="I502" i="3"/>
  <c r="J502" i="3"/>
  <c r="B503" i="3"/>
  <c r="C503" i="3"/>
  <c r="D503" i="3"/>
  <c r="E503" i="3"/>
  <c r="F503" i="3"/>
  <c r="G503" i="3"/>
  <c r="H503" i="3"/>
  <c r="I503" i="3"/>
  <c r="J503" i="3"/>
  <c r="B504" i="3"/>
  <c r="C504" i="3"/>
  <c r="D504" i="3"/>
  <c r="E504" i="3"/>
  <c r="F504" i="3"/>
  <c r="G504" i="3"/>
  <c r="H504" i="3"/>
  <c r="I504" i="3"/>
  <c r="J504" i="3"/>
  <c r="J1098" i="3" s="1"/>
  <c r="B505" i="3"/>
  <c r="C505" i="3"/>
  <c r="D505" i="3"/>
  <c r="E505" i="3"/>
  <c r="F505" i="3"/>
  <c r="G505" i="3"/>
  <c r="H505" i="3"/>
  <c r="I505" i="3"/>
  <c r="J505" i="3"/>
  <c r="B506" i="3"/>
  <c r="C506" i="3"/>
  <c r="D506" i="3"/>
  <c r="E506" i="3"/>
  <c r="F506" i="3"/>
  <c r="G506" i="3"/>
  <c r="H506" i="3"/>
  <c r="I506" i="3"/>
  <c r="J506" i="3"/>
  <c r="B507" i="3"/>
  <c r="C507" i="3"/>
  <c r="D507" i="3"/>
  <c r="E507" i="3"/>
  <c r="F507" i="3"/>
  <c r="G507" i="3"/>
  <c r="H507" i="3"/>
  <c r="I507" i="3"/>
  <c r="J507" i="3"/>
  <c r="B508" i="3"/>
  <c r="C508" i="3"/>
  <c r="D508" i="3"/>
  <c r="E508" i="3"/>
  <c r="F508" i="3"/>
  <c r="G508" i="3"/>
  <c r="H508" i="3"/>
  <c r="I508" i="3"/>
  <c r="J508" i="3"/>
  <c r="B509" i="3"/>
  <c r="C509" i="3"/>
  <c r="D509" i="3"/>
  <c r="E509" i="3"/>
  <c r="F509" i="3"/>
  <c r="G509" i="3"/>
  <c r="H509" i="3"/>
  <c r="I509" i="3"/>
  <c r="J509" i="3"/>
  <c r="B510" i="3"/>
  <c r="C510" i="3"/>
  <c r="D510" i="3"/>
  <c r="E510" i="3"/>
  <c r="F510" i="3"/>
  <c r="G510" i="3"/>
  <c r="H510" i="3"/>
  <c r="I510" i="3"/>
  <c r="J510" i="3"/>
  <c r="B511" i="3"/>
  <c r="C511" i="3"/>
  <c r="D511" i="3"/>
  <c r="E511" i="3"/>
  <c r="F511" i="3"/>
  <c r="G511" i="3"/>
  <c r="H511" i="3"/>
  <c r="I511" i="3"/>
  <c r="J511" i="3"/>
  <c r="B512" i="3"/>
  <c r="C512" i="3"/>
  <c r="D512" i="3"/>
  <c r="E512" i="3"/>
  <c r="F512" i="3"/>
  <c r="G512" i="3"/>
  <c r="H512" i="3"/>
  <c r="I512" i="3"/>
  <c r="J512" i="3"/>
  <c r="B513" i="3"/>
  <c r="C513" i="3"/>
  <c r="D513" i="3"/>
  <c r="E513" i="3"/>
  <c r="F513" i="3"/>
  <c r="G513" i="3"/>
  <c r="H513" i="3"/>
  <c r="I513" i="3"/>
  <c r="J513" i="3"/>
  <c r="B514" i="3"/>
  <c r="C514" i="3"/>
  <c r="D514" i="3"/>
  <c r="E514" i="3"/>
  <c r="F514" i="3"/>
  <c r="G514" i="3"/>
  <c r="H514" i="3"/>
  <c r="I514" i="3"/>
  <c r="J514" i="3"/>
  <c r="B515" i="3"/>
  <c r="C515" i="3"/>
  <c r="D515" i="3"/>
  <c r="E515" i="3"/>
  <c r="F515" i="3"/>
  <c r="G515" i="3"/>
  <c r="H515" i="3"/>
  <c r="I515" i="3"/>
  <c r="J515" i="3"/>
  <c r="B516" i="3"/>
  <c r="C516" i="3"/>
  <c r="D516" i="3"/>
  <c r="E516" i="3"/>
  <c r="F516" i="3"/>
  <c r="G516" i="3"/>
  <c r="H516" i="3"/>
  <c r="I516" i="3"/>
  <c r="J516" i="3"/>
  <c r="J1099" i="3" s="1"/>
  <c r="B517" i="3"/>
  <c r="C517" i="3"/>
  <c r="D517" i="3"/>
  <c r="E517" i="3"/>
  <c r="F517" i="3"/>
  <c r="G517" i="3"/>
  <c r="H517" i="3"/>
  <c r="I517" i="3"/>
  <c r="J517" i="3"/>
  <c r="B518" i="3"/>
  <c r="C518" i="3"/>
  <c r="D518" i="3"/>
  <c r="E518" i="3"/>
  <c r="F518" i="3"/>
  <c r="G518" i="3"/>
  <c r="H518" i="3"/>
  <c r="I518" i="3"/>
  <c r="J518" i="3"/>
  <c r="B519" i="3"/>
  <c r="C519" i="3"/>
  <c r="D519" i="3"/>
  <c r="E519" i="3"/>
  <c r="F519" i="3"/>
  <c r="G519" i="3"/>
  <c r="H519" i="3"/>
  <c r="I519" i="3"/>
  <c r="J519" i="3"/>
  <c r="B520" i="3"/>
  <c r="C520" i="3"/>
  <c r="D520" i="3"/>
  <c r="E520" i="3"/>
  <c r="F520" i="3"/>
  <c r="G520" i="3"/>
  <c r="H520" i="3"/>
  <c r="I520" i="3"/>
  <c r="J520" i="3"/>
  <c r="B521" i="3"/>
  <c r="C521" i="3"/>
  <c r="D521" i="3"/>
  <c r="E521" i="3"/>
  <c r="F521" i="3"/>
  <c r="G521" i="3"/>
  <c r="H521" i="3"/>
  <c r="I521" i="3"/>
  <c r="J521" i="3"/>
  <c r="B522" i="3"/>
  <c r="C522" i="3"/>
  <c r="D522" i="3"/>
  <c r="E522" i="3"/>
  <c r="F522" i="3"/>
  <c r="G522" i="3"/>
  <c r="H522" i="3"/>
  <c r="I522" i="3"/>
  <c r="J522" i="3"/>
  <c r="B523" i="3"/>
  <c r="C523" i="3"/>
  <c r="D523" i="3"/>
  <c r="E523" i="3"/>
  <c r="F523" i="3"/>
  <c r="G523" i="3"/>
  <c r="H523" i="3"/>
  <c r="I523" i="3"/>
  <c r="J523" i="3"/>
  <c r="B524" i="3"/>
  <c r="C524" i="3"/>
  <c r="D524" i="3"/>
  <c r="E524" i="3"/>
  <c r="F524" i="3"/>
  <c r="G524" i="3"/>
  <c r="H524" i="3"/>
  <c r="I524" i="3"/>
  <c r="J524" i="3"/>
  <c r="B525" i="3"/>
  <c r="C525" i="3"/>
  <c r="D525" i="3"/>
  <c r="E525" i="3"/>
  <c r="F525" i="3"/>
  <c r="G525" i="3"/>
  <c r="H525" i="3"/>
  <c r="I525" i="3"/>
  <c r="J525" i="3"/>
  <c r="B526" i="3"/>
  <c r="C526" i="3"/>
  <c r="D526" i="3"/>
  <c r="E526" i="3"/>
  <c r="F526" i="3"/>
  <c r="G526" i="3"/>
  <c r="H526" i="3"/>
  <c r="I526" i="3"/>
  <c r="J526" i="3"/>
  <c r="B527" i="3"/>
  <c r="C527" i="3"/>
  <c r="D527" i="3"/>
  <c r="E527" i="3"/>
  <c r="F527" i="3"/>
  <c r="G527" i="3"/>
  <c r="H527" i="3"/>
  <c r="I527" i="3"/>
  <c r="J527" i="3"/>
  <c r="B528" i="3"/>
  <c r="C528" i="3"/>
  <c r="D528" i="3"/>
  <c r="E528" i="3"/>
  <c r="F528" i="3"/>
  <c r="G528" i="3"/>
  <c r="H528" i="3"/>
  <c r="I528" i="3"/>
  <c r="J528" i="3"/>
  <c r="J1100" i="3" s="1"/>
  <c r="B529" i="3"/>
  <c r="C529" i="3"/>
  <c r="D529" i="3"/>
  <c r="E529" i="3"/>
  <c r="F529" i="3"/>
  <c r="G529" i="3"/>
  <c r="H529" i="3"/>
  <c r="I529" i="3"/>
  <c r="J529" i="3"/>
  <c r="B530" i="3"/>
  <c r="C530" i="3"/>
  <c r="D530" i="3"/>
  <c r="E530" i="3"/>
  <c r="F530" i="3"/>
  <c r="G530" i="3"/>
  <c r="H530" i="3"/>
  <c r="I530" i="3"/>
  <c r="J530" i="3"/>
  <c r="B531" i="3"/>
  <c r="C531" i="3"/>
  <c r="D531" i="3"/>
  <c r="E531" i="3"/>
  <c r="F531" i="3"/>
  <c r="G531" i="3"/>
  <c r="H531" i="3"/>
  <c r="I531" i="3"/>
  <c r="J531" i="3"/>
  <c r="B532" i="3"/>
  <c r="C532" i="3"/>
  <c r="D532" i="3"/>
  <c r="E532" i="3"/>
  <c r="F532" i="3"/>
  <c r="G532" i="3"/>
  <c r="H532" i="3"/>
  <c r="I532" i="3"/>
  <c r="J532" i="3"/>
  <c r="B533" i="3"/>
  <c r="C533" i="3"/>
  <c r="D533" i="3"/>
  <c r="E533" i="3"/>
  <c r="F533" i="3"/>
  <c r="G533" i="3"/>
  <c r="H533" i="3"/>
  <c r="I533" i="3"/>
  <c r="J533" i="3"/>
  <c r="B534" i="3"/>
  <c r="C534" i="3"/>
  <c r="D534" i="3"/>
  <c r="E534" i="3"/>
  <c r="F534" i="3"/>
  <c r="G534" i="3"/>
  <c r="H534" i="3"/>
  <c r="I534" i="3"/>
  <c r="J534" i="3"/>
  <c r="B535" i="3"/>
  <c r="C535" i="3"/>
  <c r="D535" i="3"/>
  <c r="E535" i="3"/>
  <c r="F535" i="3"/>
  <c r="G535" i="3"/>
  <c r="H535" i="3"/>
  <c r="I535" i="3"/>
  <c r="J535" i="3"/>
  <c r="B536" i="3"/>
  <c r="C536" i="3"/>
  <c r="D536" i="3"/>
  <c r="E536" i="3"/>
  <c r="F536" i="3"/>
  <c r="G536" i="3"/>
  <c r="H536" i="3"/>
  <c r="I536" i="3"/>
  <c r="J536" i="3"/>
  <c r="B537" i="3"/>
  <c r="C537" i="3"/>
  <c r="D537" i="3"/>
  <c r="E537" i="3"/>
  <c r="F537" i="3"/>
  <c r="G537" i="3"/>
  <c r="H537" i="3"/>
  <c r="I537" i="3"/>
  <c r="J537" i="3"/>
  <c r="B538" i="3"/>
  <c r="C538" i="3"/>
  <c r="D538" i="3"/>
  <c r="E538" i="3"/>
  <c r="F538" i="3"/>
  <c r="G538" i="3"/>
  <c r="H538" i="3"/>
  <c r="I538" i="3"/>
  <c r="J538" i="3"/>
  <c r="B539" i="3"/>
  <c r="C539" i="3"/>
  <c r="D539" i="3"/>
  <c r="E539" i="3"/>
  <c r="F539" i="3"/>
  <c r="G539" i="3"/>
  <c r="H539" i="3"/>
  <c r="I539" i="3"/>
  <c r="J539" i="3"/>
  <c r="B540" i="3"/>
  <c r="C540" i="3"/>
  <c r="D540" i="3"/>
  <c r="E540" i="3"/>
  <c r="F540" i="3"/>
  <c r="G540" i="3"/>
  <c r="H540" i="3"/>
  <c r="I540" i="3"/>
  <c r="J540" i="3"/>
  <c r="B541" i="3"/>
  <c r="C541" i="3"/>
  <c r="D541" i="3"/>
  <c r="E541" i="3"/>
  <c r="F541" i="3"/>
  <c r="G541" i="3"/>
  <c r="H541" i="3"/>
  <c r="I541" i="3"/>
  <c r="J541" i="3"/>
  <c r="B542" i="3"/>
  <c r="C542" i="3"/>
  <c r="D542" i="3"/>
  <c r="E542" i="3"/>
  <c r="F542" i="3"/>
  <c r="G542" i="3"/>
  <c r="H542" i="3"/>
  <c r="I542" i="3"/>
  <c r="J542" i="3"/>
  <c r="B543" i="3"/>
  <c r="C543" i="3"/>
  <c r="D543" i="3"/>
  <c r="E543" i="3"/>
  <c r="F543" i="3"/>
  <c r="G543" i="3"/>
  <c r="H543" i="3"/>
  <c r="I543" i="3"/>
  <c r="J543" i="3"/>
  <c r="B544" i="3"/>
  <c r="C544" i="3"/>
  <c r="D544" i="3"/>
  <c r="E544" i="3"/>
  <c r="F544" i="3"/>
  <c r="G544" i="3"/>
  <c r="H544" i="3"/>
  <c r="I544" i="3"/>
  <c r="J544" i="3"/>
  <c r="B545" i="3"/>
  <c r="C545" i="3"/>
  <c r="D545" i="3"/>
  <c r="E545" i="3"/>
  <c r="F545" i="3"/>
  <c r="G545" i="3"/>
  <c r="H545" i="3"/>
  <c r="I545" i="3"/>
  <c r="J545" i="3"/>
  <c r="B546" i="3"/>
  <c r="C546" i="3"/>
  <c r="D546" i="3"/>
  <c r="E546" i="3"/>
  <c r="F546" i="3"/>
  <c r="G546" i="3"/>
  <c r="H546" i="3"/>
  <c r="I546" i="3"/>
  <c r="J546" i="3"/>
  <c r="B547" i="3"/>
  <c r="C547" i="3"/>
  <c r="D547" i="3"/>
  <c r="E547" i="3"/>
  <c r="F547" i="3"/>
  <c r="G547" i="3"/>
  <c r="H547" i="3"/>
  <c r="I547" i="3"/>
  <c r="J547" i="3"/>
  <c r="B548" i="3"/>
  <c r="C548" i="3"/>
  <c r="D548" i="3"/>
  <c r="E548" i="3"/>
  <c r="F548" i="3"/>
  <c r="G548" i="3"/>
  <c r="H548" i="3"/>
  <c r="I548" i="3"/>
  <c r="J548" i="3"/>
  <c r="B549" i="3"/>
  <c r="C549" i="3"/>
  <c r="D549" i="3"/>
  <c r="E549" i="3"/>
  <c r="F549" i="3"/>
  <c r="G549" i="3"/>
  <c r="H549" i="3"/>
  <c r="I549" i="3"/>
  <c r="J549" i="3"/>
  <c r="B550" i="3"/>
  <c r="C550" i="3"/>
  <c r="D550" i="3"/>
  <c r="E550" i="3"/>
  <c r="F550" i="3"/>
  <c r="G550" i="3"/>
  <c r="H550" i="3"/>
  <c r="I550" i="3"/>
  <c r="J550" i="3"/>
  <c r="B551" i="3"/>
  <c r="C551" i="3"/>
  <c r="D551" i="3"/>
  <c r="E551" i="3"/>
  <c r="F551" i="3"/>
  <c r="G551" i="3"/>
  <c r="H551" i="3"/>
  <c r="I551" i="3"/>
  <c r="J551" i="3"/>
  <c r="B552" i="3"/>
  <c r="C552" i="3"/>
  <c r="D552" i="3"/>
  <c r="E552" i="3"/>
  <c r="F552" i="3"/>
  <c r="G552" i="3"/>
  <c r="H552" i="3"/>
  <c r="I552" i="3"/>
  <c r="J552" i="3"/>
  <c r="B553" i="3"/>
  <c r="C553" i="3"/>
  <c r="D553" i="3"/>
  <c r="E553" i="3"/>
  <c r="F553" i="3"/>
  <c r="G553" i="3"/>
  <c r="H553" i="3"/>
  <c r="I553" i="3"/>
  <c r="J553" i="3"/>
  <c r="B554" i="3"/>
  <c r="C554" i="3"/>
  <c r="D554" i="3"/>
  <c r="E554" i="3"/>
  <c r="F554" i="3"/>
  <c r="G554" i="3"/>
  <c r="H554" i="3"/>
  <c r="I554" i="3"/>
  <c r="J554" i="3"/>
  <c r="B555" i="3"/>
  <c r="C555" i="3"/>
  <c r="D555" i="3"/>
  <c r="E555" i="3"/>
  <c r="F555" i="3"/>
  <c r="G555" i="3"/>
  <c r="H555" i="3"/>
  <c r="I555" i="3"/>
  <c r="J555" i="3"/>
  <c r="B556" i="3"/>
  <c r="C556" i="3"/>
  <c r="D556" i="3"/>
  <c r="E556" i="3"/>
  <c r="F556" i="3"/>
  <c r="G556" i="3"/>
  <c r="H556" i="3"/>
  <c r="I556" i="3"/>
  <c r="J556" i="3"/>
  <c r="B557" i="3"/>
  <c r="C557" i="3"/>
  <c r="D557" i="3"/>
  <c r="E557" i="3"/>
  <c r="F557" i="3"/>
  <c r="G557" i="3"/>
  <c r="H557" i="3"/>
  <c r="I557" i="3"/>
  <c r="J557" i="3"/>
  <c r="B558" i="3"/>
  <c r="C558" i="3"/>
  <c r="D558" i="3"/>
  <c r="E558" i="3"/>
  <c r="F558" i="3"/>
  <c r="G558" i="3"/>
  <c r="H558" i="3"/>
  <c r="I558" i="3"/>
  <c r="J558" i="3"/>
  <c r="B559" i="3"/>
  <c r="C559" i="3"/>
  <c r="D559" i="3"/>
  <c r="E559" i="3"/>
  <c r="F559" i="3"/>
  <c r="G559" i="3"/>
  <c r="H559" i="3"/>
  <c r="I559" i="3"/>
  <c r="J559" i="3"/>
  <c r="B560" i="3"/>
  <c r="C560" i="3"/>
  <c r="D560" i="3"/>
  <c r="E560" i="3"/>
  <c r="F560" i="3"/>
  <c r="G560" i="3"/>
  <c r="H560" i="3"/>
  <c r="I560" i="3"/>
  <c r="J560" i="3"/>
  <c r="B561" i="3"/>
  <c r="C561" i="3"/>
  <c r="D561" i="3"/>
  <c r="E561" i="3"/>
  <c r="F561" i="3"/>
  <c r="G561" i="3"/>
  <c r="H561" i="3"/>
  <c r="I561" i="3"/>
  <c r="J561" i="3"/>
  <c r="B562" i="3"/>
  <c r="C562" i="3"/>
  <c r="D562" i="3"/>
  <c r="E562" i="3"/>
  <c r="F562" i="3"/>
  <c r="G562" i="3"/>
  <c r="H562" i="3"/>
  <c r="I562" i="3"/>
  <c r="J562" i="3"/>
  <c r="B563" i="3"/>
  <c r="C563" i="3"/>
  <c r="D563" i="3"/>
  <c r="E563" i="3"/>
  <c r="F563" i="3"/>
  <c r="G563" i="3"/>
  <c r="H563" i="3"/>
  <c r="I563" i="3"/>
  <c r="J563" i="3"/>
  <c r="B564" i="3"/>
  <c r="C564" i="3"/>
  <c r="D564" i="3"/>
  <c r="E564" i="3"/>
  <c r="F564" i="3"/>
  <c r="G564" i="3"/>
  <c r="H564" i="3"/>
  <c r="I564" i="3"/>
  <c r="J564" i="3"/>
  <c r="B565" i="3"/>
  <c r="C565" i="3"/>
  <c r="D565" i="3"/>
  <c r="E565" i="3"/>
  <c r="F565" i="3"/>
  <c r="G565" i="3"/>
  <c r="H565" i="3"/>
  <c r="I565" i="3"/>
  <c r="J565" i="3"/>
  <c r="B566" i="3"/>
  <c r="C566" i="3"/>
  <c r="D566" i="3"/>
  <c r="E566" i="3"/>
  <c r="F566" i="3"/>
  <c r="G566" i="3"/>
  <c r="H566" i="3"/>
  <c r="I566" i="3"/>
  <c r="J566" i="3"/>
  <c r="B567" i="3"/>
  <c r="C567" i="3"/>
  <c r="D567" i="3"/>
  <c r="E567" i="3"/>
  <c r="F567" i="3"/>
  <c r="G567" i="3"/>
  <c r="H567" i="3"/>
  <c r="I567" i="3"/>
  <c r="J567" i="3"/>
  <c r="B568" i="3"/>
  <c r="C568" i="3"/>
  <c r="D568" i="3"/>
  <c r="E568" i="3"/>
  <c r="F568" i="3"/>
  <c r="G568" i="3"/>
  <c r="H568" i="3"/>
  <c r="I568" i="3"/>
  <c r="J568" i="3"/>
  <c r="B569" i="3"/>
  <c r="C569" i="3"/>
  <c r="D569" i="3"/>
  <c r="E569" i="3"/>
  <c r="F569" i="3"/>
  <c r="G569" i="3"/>
  <c r="H569" i="3"/>
  <c r="I569" i="3"/>
  <c r="J569" i="3"/>
  <c r="B570" i="3"/>
  <c r="C570" i="3"/>
  <c r="D570" i="3"/>
  <c r="E570" i="3"/>
  <c r="F570" i="3"/>
  <c r="G570" i="3"/>
  <c r="H570" i="3"/>
  <c r="I570" i="3"/>
  <c r="J570" i="3"/>
  <c r="B571" i="3"/>
  <c r="C571" i="3"/>
  <c r="D571" i="3"/>
  <c r="E571" i="3"/>
  <c r="F571" i="3"/>
  <c r="G571" i="3"/>
  <c r="H571" i="3"/>
  <c r="I571" i="3"/>
  <c r="J571" i="3"/>
  <c r="B572" i="3"/>
  <c r="C572" i="3"/>
  <c r="D572" i="3"/>
  <c r="E572" i="3"/>
  <c r="F572" i="3"/>
  <c r="G572" i="3"/>
  <c r="H572" i="3"/>
  <c r="I572" i="3"/>
  <c r="J572" i="3"/>
  <c r="B573" i="3"/>
  <c r="C573" i="3"/>
  <c r="D573" i="3"/>
  <c r="E573" i="3"/>
  <c r="F573" i="3"/>
  <c r="G573" i="3"/>
  <c r="H573" i="3"/>
  <c r="I573" i="3"/>
  <c r="J573" i="3"/>
  <c r="B574" i="3"/>
  <c r="C574" i="3"/>
  <c r="D574" i="3"/>
  <c r="E574" i="3"/>
  <c r="F574" i="3"/>
  <c r="G574" i="3"/>
  <c r="H574" i="3"/>
  <c r="I574" i="3"/>
  <c r="J574" i="3"/>
  <c r="B575" i="3"/>
  <c r="C575" i="3"/>
  <c r="D575" i="3"/>
  <c r="E575" i="3"/>
  <c r="F575" i="3"/>
  <c r="G575" i="3"/>
  <c r="H575" i="3"/>
  <c r="I575" i="3"/>
  <c r="J575" i="3"/>
  <c r="B576" i="3"/>
  <c r="C576" i="3"/>
  <c r="D576" i="3"/>
  <c r="E576" i="3"/>
  <c r="F576" i="3"/>
  <c r="G576" i="3"/>
  <c r="H576" i="3"/>
  <c r="I576" i="3"/>
  <c r="J576" i="3"/>
  <c r="J1104" i="3" s="1"/>
  <c r="B577" i="3"/>
  <c r="C577" i="3"/>
  <c r="D577" i="3"/>
  <c r="E577" i="3"/>
  <c r="F577" i="3"/>
  <c r="G577" i="3"/>
  <c r="H577" i="3"/>
  <c r="I577" i="3"/>
  <c r="J577" i="3"/>
  <c r="B578" i="3"/>
  <c r="C578" i="3"/>
  <c r="D578" i="3"/>
  <c r="E578" i="3"/>
  <c r="F578" i="3"/>
  <c r="G578" i="3"/>
  <c r="H578" i="3"/>
  <c r="I578" i="3"/>
  <c r="J578" i="3"/>
  <c r="B579" i="3"/>
  <c r="C579" i="3"/>
  <c r="D579" i="3"/>
  <c r="E579" i="3"/>
  <c r="F579" i="3"/>
  <c r="G579" i="3"/>
  <c r="H579" i="3"/>
  <c r="I579" i="3"/>
  <c r="J579" i="3"/>
  <c r="B580" i="3"/>
  <c r="C580" i="3"/>
  <c r="D580" i="3"/>
  <c r="E580" i="3"/>
  <c r="F580" i="3"/>
  <c r="G580" i="3"/>
  <c r="H580" i="3"/>
  <c r="I580" i="3"/>
  <c r="J580" i="3"/>
  <c r="B581" i="3"/>
  <c r="C581" i="3"/>
  <c r="D581" i="3"/>
  <c r="E581" i="3"/>
  <c r="F581" i="3"/>
  <c r="G581" i="3"/>
  <c r="H581" i="3"/>
  <c r="I581" i="3"/>
  <c r="J581" i="3"/>
  <c r="B582" i="3"/>
  <c r="C582" i="3"/>
  <c r="D582" i="3"/>
  <c r="E582" i="3"/>
  <c r="F582" i="3"/>
  <c r="G582" i="3"/>
  <c r="H582" i="3"/>
  <c r="I582" i="3"/>
  <c r="J582" i="3"/>
  <c r="B583" i="3"/>
  <c r="C583" i="3"/>
  <c r="D583" i="3"/>
  <c r="E583" i="3"/>
  <c r="F583" i="3"/>
  <c r="G583" i="3"/>
  <c r="H583" i="3"/>
  <c r="I583" i="3"/>
  <c r="J583" i="3"/>
  <c r="B584" i="3"/>
  <c r="C584" i="3"/>
  <c r="D584" i="3"/>
  <c r="E584" i="3"/>
  <c r="F584" i="3"/>
  <c r="G584" i="3"/>
  <c r="H584" i="3"/>
  <c r="I584" i="3"/>
  <c r="J584" i="3"/>
  <c r="B585" i="3"/>
  <c r="C585" i="3"/>
  <c r="D585" i="3"/>
  <c r="E585" i="3"/>
  <c r="F585" i="3"/>
  <c r="G585" i="3"/>
  <c r="H585" i="3"/>
  <c r="I585" i="3"/>
  <c r="J585" i="3"/>
  <c r="B586" i="3"/>
  <c r="C586" i="3"/>
  <c r="D586" i="3"/>
  <c r="E586" i="3"/>
  <c r="F586" i="3"/>
  <c r="G586" i="3"/>
  <c r="H586" i="3"/>
  <c r="I586" i="3"/>
  <c r="J586" i="3"/>
  <c r="B587" i="3"/>
  <c r="C587" i="3"/>
  <c r="D587" i="3"/>
  <c r="E587" i="3"/>
  <c r="F587" i="3"/>
  <c r="G587" i="3"/>
  <c r="H587" i="3"/>
  <c r="I587" i="3"/>
  <c r="J587" i="3"/>
  <c r="B588" i="3"/>
  <c r="C588" i="3"/>
  <c r="D588" i="3"/>
  <c r="E588" i="3"/>
  <c r="F588" i="3"/>
  <c r="G588" i="3"/>
  <c r="H588" i="3"/>
  <c r="I588" i="3"/>
  <c r="J588" i="3"/>
  <c r="B589" i="3"/>
  <c r="C589" i="3"/>
  <c r="D589" i="3"/>
  <c r="E589" i="3"/>
  <c r="F589" i="3"/>
  <c r="G589" i="3"/>
  <c r="H589" i="3"/>
  <c r="I589" i="3"/>
  <c r="J589" i="3"/>
  <c r="B590" i="3"/>
  <c r="C590" i="3"/>
  <c r="D590" i="3"/>
  <c r="E590" i="3"/>
  <c r="F590" i="3"/>
  <c r="G590" i="3"/>
  <c r="H590" i="3"/>
  <c r="I590" i="3"/>
  <c r="J590" i="3"/>
  <c r="B591" i="3"/>
  <c r="C591" i="3"/>
  <c r="D591" i="3"/>
  <c r="E591" i="3"/>
  <c r="F591" i="3"/>
  <c r="G591" i="3"/>
  <c r="H591" i="3"/>
  <c r="I591" i="3"/>
  <c r="J591" i="3"/>
  <c r="B592" i="3"/>
  <c r="C592" i="3"/>
  <c r="D592" i="3"/>
  <c r="E592" i="3"/>
  <c r="F592" i="3"/>
  <c r="G592" i="3"/>
  <c r="H592" i="3"/>
  <c r="I592" i="3"/>
  <c r="J592" i="3"/>
  <c r="B593" i="3"/>
  <c r="C593" i="3"/>
  <c r="D593" i="3"/>
  <c r="E593" i="3"/>
  <c r="F593" i="3"/>
  <c r="G593" i="3"/>
  <c r="H593" i="3"/>
  <c r="I593" i="3"/>
  <c r="J593" i="3"/>
  <c r="B594" i="3"/>
  <c r="C594" i="3"/>
  <c r="D594" i="3"/>
  <c r="E594" i="3"/>
  <c r="F594" i="3"/>
  <c r="G594" i="3"/>
  <c r="H594" i="3"/>
  <c r="I594" i="3"/>
  <c r="J594" i="3"/>
  <c r="B595" i="3"/>
  <c r="C595" i="3"/>
  <c r="D595" i="3"/>
  <c r="E595" i="3"/>
  <c r="F595" i="3"/>
  <c r="G595" i="3"/>
  <c r="H595" i="3"/>
  <c r="I595" i="3"/>
  <c r="J595" i="3"/>
  <c r="B596" i="3"/>
  <c r="C596" i="3"/>
  <c r="D596" i="3"/>
  <c r="E596" i="3"/>
  <c r="F596" i="3"/>
  <c r="G596" i="3"/>
  <c r="H596" i="3"/>
  <c r="I596" i="3"/>
  <c r="J596" i="3"/>
  <c r="B597" i="3"/>
  <c r="C597" i="3"/>
  <c r="D597" i="3"/>
  <c r="E597" i="3"/>
  <c r="F597" i="3"/>
  <c r="G597" i="3"/>
  <c r="H597" i="3"/>
  <c r="I597" i="3"/>
  <c r="J597" i="3"/>
  <c r="B598" i="3"/>
  <c r="C598" i="3"/>
  <c r="D598" i="3"/>
  <c r="E598" i="3"/>
  <c r="F598" i="3"/>
  <c r="G598" i="3"/>
  <c r="H598" i="3"/>
  <c r="I598" i="3"/>
  <c r="J598" i="3"/>
  <c r="B599" i="3"/>
  <c r="C599" i="3"/>
  <c r="D599" i="3"/>
  <c r="E599" i="3"/>
  <c r="F599" i="3"/>
  <c r="G599" i="3"/>
  <c r="H599" i="3"/>
  <c r="I599" i="3"/>
  <c r="J599" i="3"/>
  <c r="B600" i="3"/>
  <c r="C600" i="3"/>
  <c r="D600" i="3"/>
  <c r="E600" i="3"/>
  <c r="F600" i="3"/>
  <c r="G600" i="3"/>
  <c r="H600" i="3"/>
  <c r="I600" i="3"/>
  <c r="J600" i="3"/>
  <c r="B601" i="3"/>
  <c r="C601" i="3"/>
  <c r="D601" i="3"/>
  <c r="E601" i="3"/>
  <c r="F601" i="3"/>
  <c r="G601" i="3"/>
  <c r="H601" i="3"/>
  <c r="I601" i="3"/>
  <c r="J601" i="3"/>
  <c r="B602" i="3"/>
  <c r="C602" i="3"/>
  <c r="D602" i="3"/>
  <c r="E602" i="3"/>
  <c r="F602" i="3"/>
  <c r="G602" i="3"/>
  <c r="H602" i="3"/>
  <c r="I602" i="3"/>
  <c r="J602" i="3"/>
  <c r="B603" i="3"/>
  <c r="C603" i="3"/>
  <c r="D603" i="3"/>
  <c r="E603" i="3"/>
  <c r="F603" i="3"/>
  <c r="G603" i="3"/>
  <c r="H603" i="3"/>
  <c r="I603" i="3"/>
  <c r="J603" i="3"/>
  <c r="B604" i="3"/>
  <c r="C604" i="3"/>
  <c r="D604" i="3"/>
  <c r="E604" i="3"/>
  <c r="F604" i="3"/>
  <c r="G604" i="3"/>
  <c r="H604" i="3"/>
  <c r="I604" i="3"/>
  <c r="J604" i="3"/>
  <c r="B605" i="3"/>
  <c r="C605" i="3"/>
  <c r="D605" i="3"/>
  <c r="E605" i="3"/>
  <c r="F605" i="3"/>
  <c r="G605" i="3"/>
  <c r="H605" i="3"/>
  <c r="I605" i="3"/>
  <c r="J605" i="3"/>
  <c r="B606" i="3"/>
  <c r="C606" i="3"/>
  <c r="D606" i="3"/>
  <c r="E606" i="3"/>
  <c r="F606" i="3"/>
  <c r="G606" i="3"/>
  <c r="H606" i="3"/>
  <c r="I606" i="3"/>
  <c r="J606" i="3"/>
  <c r="B607" i="3"/>
  <c r="C607" i="3"/>
  <c r="D607" i="3"/>
  <c r="E607" i="3"/>
  <c r="F607" i="3"/>
  <c r="G607" i="3"/>
  <c r="H607" i="3"/>
  <c r="I607" i="3"/>
  <c r="J607" i="3"/>
  <c r="B608" i="3"/>
  <c r="C608" i="3"/>
  <c r="D608" i="3"/>
  <c r="E608" i="3"/>
  <c r="F608" i="3"/>
  <c r="G608" i="3"/>
  <c r="H608" i="3"/>
  <c r="I608" i="3"/>
  <c r="J608" i="3"/>
  <c r="B609" i="3"/>
  <c r="C609" i="3"/>
  <c r="D609" i="3"/>
  <c r="E609" i="3"/>
  <c r="F609" i="3"/>
  <c r="G609" i="3"/>
  <c r="H609" i="3"/>
  <c r="I609" i="3"/>
  <c r="J609" i="3"/>
  <c r="B610" i="3"/>
  <c r="C610" i="3"/>
  <c r="D610" i="3"/>
  <c r="E610" i="3"/>
  <c r="F610" i="3"/>
  <c r="G610" i="3"/>
  <c r="H610" i="3"/>
  <c r="I610" i="3"/>
  <c r="J610" i="3"/>
  <c r="B611" i="3"/>
  <c r="C611" i="3"/>
  <c r="D611" i="3"/>
  <c r="E611" i="3"/>
  <c r="F611" i="3"/>
  <c r="G611" i="3"/>
  <c r="H611" i="3"/>
  <c r="I611" i="3"/>
  <c r="J611" i="3"/>
  <c r="B612" i="3"/>
  <c r="C612" i="3"/>
  <c r="D612" i="3"/>
  <c r="E612" i="3"/>
  <c r="F612" i="3"/>
  <c r="G612" i="3"/>
  <c r="H612" i="3"/>
  <c r="I612" i="3"/>
  <c r="J612" i="3"/>
  <c r="B613" i="3"/>
  <c r="C613" i="3"/>
  <c r="D613" i="3"/>
  <c r="E613" i="3"/>
  <c r="F613" i="3"/>
  <c r="G613" i="3"/>
  <c r="H613" i="3"/>
  <c r="I613" i="3"/>
  <c r="J613" i="3"/>
  <c r="B614" i="3"/>
  <c r="C614" i="3"/>
  <c r="D614" i="3"/>
  <c r="E614" i="3"/>
  <c r="F614" i="3"/>
  <c r="G614" i="3"/>
  <c r="H614" i="3"/>
  <c r="I614" i="3"/>
  <c r="J614" i="3"/>
  <c r="B615" i="3"/>
  <c r="C615" i="3"/>
  <c r="D615" i="3"/>
  <c r="E615" i="3"/>
  <c r="F615" i="3"/>
  <c r="G615" i="3"/>
  <c r="H615" i="3"/>
  <c r="I615" i="3"/>
  <c r="J615" i="3"/>
  <c r="B616" i="3"/>
  <c r="C616" i="3"/>
  <c r="D616" i="3"/>
  <c r="E616" i="3"/>
  <c r="F616" i="3"/>
  <c r="G616" i="3"/>
  <c r="H616" i="3"/>
  <c r="I616" i="3"/>
  <c r="J616" i="3"/>
  <c r="B617" i="3"/>
  <c r="C617" i="3"/>
  <c r="D617" i="3"/>
  <c r="E617" i="3"/>
  <c r="F617" i="3"/>
  <c r="G617" i="3"/>
  <c r="H617" i="3"/>
  <c r="I617" i="3"/>
  <c r="J617" i="3"/>
  <c r="B618" i="3"/>
  <c r="C618" i="3"/>
  <c r="D618" i="3"/>
  <c r="E618" i="3"/>
  <c r="F618" i="3"/>
  <c r="G618" i="3"/>
  <c r="H618" i="3"/>
  <c r="I618" i="3"/>
  <c r="J618" i="3"/>
  <c r="B619" i="3"/>
  <c r="C619" i="3"/>
  <c r="D619" i="3"/>
  <c r="E619" i="3"/>
  <c r="F619" i="3"/>
  <c r="G619" i="3"/>
  <c r="H619" i="3"/>
  <c r="I619" i="3"/>
  <c r="J619" i="3"/>
  <c r="B620" i="3"/>
  <c r="C620" i="3"/>
  <c r="D620" i="3"/>
  <c r="E620" i="3"/>
  <c r="F620" i="3"/>
  <c r="G620" i="3"/>
  <c r="H620" i="3"/>
  <c r="I620" i="3"/>
  <c r="J620" i="3"/>
  <c r="B621" i="3"/>
  <c r="C621" i="3"/>
  <c r="D621" i="3"/>
  <c r="E621" i="3"/>
  <c r="F621" i="3"/>
  <c r="G621" i="3"/>
  <c r="H621" i="3"/>
  <c r="I621" i="3"/>
  <c r="J621" i="3"/>
  <c r="B622" i="3"/>
  <c r="C622" i="3"/>
  <c r="D622" i="3"/>
  <c r="E622" i="3"/>
  <c r="F622" i="3"/>
  <c r="G622" i="3"/>
  <c r="H622" i="3"/>
  <c r="I622" i="3"/>
  <c r="J622" i="3"/>
  <c r="B623" i="3"/>
  <c r="C623" i="3"/>
  <c r="D623" i="3"/>
  <c r="E623" i="3"/>
  <c r="F623" i="3"/>
  <c r="G623" i="3"/>
  <c r="H623" i="3"/>
  <c r="I623" i="3"/>
  <c r="J623" i="3"/>
  <c r="B624" i="3"/>
  <c r="C624" i="3"/>
  <c r="D624" i="3"/>
  <c r="E624" i="3"/>
  <c r="F624" i="3"/>
  <c r="G624" i="3"/>
  <c r="H624" i="3"/>
  <c r="I624" i="3"/>
  <c r="J624" i="3"/>
  <c r="B625" i="3"/>
  <c r="C625" i="3"/>
  <c r="D625" i="3"/>
  <c r="E625" i="3"/>
  <c r="F625" i="3"/>
  <c r="G625" i="3"/>
  <c r="H625" i="3"/>
  <c r="I625" i="3"/>
  <c r="J625" i="3"/>
  <c r="B626" i="3"/>
  <c r="C626" i="3"/>
  <c r="D626" i="3"/>
  <c r="E626" i="3"/>
  <c r="F626" i="3"/>
  <c r="G626" i="3"/>
  <c r="H626" i="3"/>
  <c r="I626" i="3"/>
  <c r="J626" i="3"/>
  <c r="B627" i="3"/>
  <c r="C627" i="3"/>
  <c r="D627" i="3"/>
  <c r="E627" i="3"/>
  <c r="F627" i="3"/>
  <c r="G627" i="3"/>
  <c r="H627" i="3"/>
  <c r="I627" i="3"/>
  <c r="J627" i="3"/>
  <c r="B628" i="3"/>
  <c r="C628" i="3"/>
  <c r="D628" i="3"/>
  <c r="E628" i="3"/>
  <c r="F628" i="3"/>
  <c r="G628" i="3"/>
  <c r="H628" i="3"/>
  <c r="I628" i="3"/>
  <c r="J628" i="3"/>
  <c r="B629" i="3"/>
  <c r="C629" i="3"/>
  <c r="D629" i="3"/>
  <c r="E629" i="3"/>
  <c r="F629" i="3"/>
  <c r="G629" i="3"/>
  <c r="H629" i="3"/>
  <c r="I629" i="3"/>
  <c r="J629" i="3"/>
  <c r="B630" i="3"/>
  <c r="C630" i="3"/>
  <c r="D630" i="3"/>
  <c r="E630" i="3"/>
  <c r="F630" i="3"/>
  <c r="G630" i="3"/>
  <c r="H630" i="3"/>
  <c r="I630" i="3"/>
  <c r="J630" i="3"/>
  <c r="B631" i="3"/>
  <c r="C631" i="3"/>
  <c r="D631" i="3"/>
  <c r="E631" i="3"/>
  <c r="F631" i="3"/>
  <c r="G631" i="3"/>
  <c r="H631" i="3"/>
  <c r="I631" i="3"/>
  <c r="J631" i="3"/>
  <c r="B632" i="3"/>
  <c r="C632" i="3"/>
  <c r="D632" i="3"/>
  <c r="E632" i="3"/>
  <c r="F632" i="3"/>
  <c r="G632" i="3"/>
  <c r="H632" i="3"/>
  <c r="I632" i="3"/>
  <c r="J632" i="3"/>
  <c r="B633" i="3"/>
  <c r="C633" i="3"/>
  <c r="D633" i="3"/>
  <c r="E633" i="3"/>
  <c r="F633" i="3"/>
  <c r="G633" i="3"/>
  <c r="H633" i="3"/>
  <c r="I633" i="3"/>
  <c r="J633" i="3"/>
  <c r="B634" i="3"/>
  <c r="C634" i="3"/>
  <c r="D634" i="3"/>
  <c r="E634" i="3"/>
  <c r="F634" i="3"/>
  <c r="G634" i="3"/>
  <c r="H634" i="3"/>
  <c r="I634" i="3"/>
  <c r="J634" i="3"/>
  <c r="B635" i="3"/>
  <c r="C635" i="3"/>
  <c r="D635" i="3"/>
  <c r="E635" i="3"/>
  <c r="F635" i="3"/>
  <c r="G635" i="3"/>
  <c r="H635" i="3"/>
  <c r="I635" i="3"/>
  <c r="J635" i="3"/>
  <c r="B636" i="3"/>
  <c r="C636" i="3"/>
  <c r="D636" i="3"/>
  <c r="E636" i="3"/>
  <c r="F636" i="3"/>
  <c r="G636" i="3"/>
  <c r="H636" i="3"/>
  <c r="I636" i="3"/>
  <c r="J636" i="3"/>
  <c r="B637" i="3"/>
  <c r="C637" i="3"/>
  <c r="D637" i="3"/>
  <c r="E637" i="3"/>
  <c r="F637" i="3"/>
  <c r="G637" i="3"/>
  <c r="H637" i="3"/>
  <c r="I637" i="3"/>
  <c r="J637" i="3"/>
  <c r="B638" i="3"/>
  <c r="C638" i="3"/>
  <c r="D638" i="3"/>
  <c r="E638" i="3"/>
  <c r="F638" i="3"/>
  <c r="G638" i="3"/>
  <c r="H638" i="3"/>
  <c r="I638" i="3"/>
  <c r="J638" i="3"/>
  <c r="B639" i="3"/>
  <c r="C639" i="3"/>
  <c r="D639" i="3"/>
  <c r="E639" i="3"/>
  <c r="F639" i="3"/>
  <c r="G639" i="3"/>
  <c r="H639" i="3"/>
  <c r="I639" i="3"/>
  <c r="J639" i="3"/>
  <c r="B640" i="3"/>
  <c r="C640" i="3"/>
  <c r="D640" i="3"/>
  <c r="E640" i="3"/>
  <c r="F640" i="3"/>
  <c r="G640" i="3"/>
  <c r="H640" i="3"/>
  <c r="I640" i="3"/>
  <c r="J640" i="3"/>
  <c r="B641" i="3"/>
  <c r="C641" i="3"/>
  <c r="D641" i="3"/>
  <c r="E641" i="3"/>
  <c r="F641" i="3"/>
  <c r="G641" i="3"/>
  <c r="H641" i="3"/>
  <c r="I641" i="3"/>
  <c r="J641" i="3"/>
  <c r="B642" i="3"/>
  <c r="C642" i="3"/>
  <c r="D642" i="3"/>
  <c r="E642" i="3"/>
  <c r="F642" i="3"/>
  <c r="G642" i="3"/>
  <c r="H642" i="3"/>
  <c r="I642" i="3"/>
  <c r="J642" i="3"/>
  <c r="B643" i="3"/>
  <c r="C643" i="3"/>
  <c r="D643" i="3"/>
  <c r="E643" i="3"/>
  <c r="F643" i="3"/>
  <c r="G643" i="3"/>
  <c r="H643" i="3"/>
  <c r="I643" i="3"/>
  <c r="J643" i="3"/>
  <c r="B644" i="3"/>
  <c r="C644" i="3"/>
  <c r="D644" i="3"/>
  <c r="E644" i="3"/>
  <c r="F644" i="3"/>
  <c r="G644" i="3"/>
  <c r="H644" i="3"/>
  <c r="I644" i="3"/>
  <c r="J644" i="3"/>
  <c r="B645" i="3"/>
  <c r="C645" i="3"/>
  <c r="D645" i="3"/>
  <c r="E645" i="3"/>
  <c r="F645" i="3"/>
  <c r="G645" i="3"/>
  <c r="H645" i="3"/>
  <c r="I645" i="3"/>
  <c r="J645" i="3"/>
  <c r="B646" i="3"/>
  <c r="C646" i="3"/>
  <c r="D646" i="3"/>
  <c r="E646" i="3"/>
  <c r="F646" i="3"/>
  <c r="G646" i="3"/>
  <c r="H646" i="3"/>
  <c r="I646" i="3"/>
  <c r="J646" i="3"/>
  <c r="B647" i="3"/>
  <c r="C647" i="3"/>
  <c r="D647" i="3"/>
  <c r="E647" i="3"/>
  <c r="F647" i="3"/>
  <c r="G647" i="3"/>
  <c r="H647" i="3"/>
  <c r="I647" i="3"/>
  <c r="J647" i="3"/>
  <c r="B648" i="3"/>
  <c r="C648" i="3"/>
  <c r="D648" i="3"/>
  <c r="E648" i="3"/>
  <c r="F648" i="3"/>
  <c r="G648" i="3"/>
  <c r="H648" i="3"/>
  <c r="I648" i="3"/>
  <c r="J648" i="3"/>
  <c r="B649" i="3"/>
  <c r="C649" i="3"/>
  <c r="D649" i="3"/>
  <c r="E649" i="3"/>
  <c r="F649" i="3"/>
  <c r="G649" i="3"/>
  <c r="H649" i="3"/>
  <c r="I649" i="3"/>
  <c r="J649" i="3"/>
  <c r="B650" i="3"/>
  <c r="C650" i="3"/>
  <c r="D650" i="3"/>
  <c r="E650" i="3"/>
  <c r="F650" i="3"/>
  <c r="G650" i="3"/>
  <c r="H650" i="3"/>
  <c r="I650" i="3"/>
  <c r="J650" i="3"/>
  <c r="B651" i="3"/>
  <c r="C651" i="3"/>
  <c r="D651" i="3"/>
  <c r="E651" i="3"/>
  <c r="F651" i="3"/>
  <c r="G651" i="3"/>
  <c r="H651" i="3"/>
  <c r="I651" i="3"/>
  <c r="J651" i="3"/>
  <c r="B652" i="3"/>
  <c r="C652" i="3"/>
  <c r="D652" i="3"/>
  <c r="E652" i="3"/>
  <c r="F652" i="3"/>
  <c r="G652" i="3"/>
  <c r="H652" i="3"/>
  <c r="I652" i="3"/>
  <c r="J652" i="3"/>
  <c r="B653" i="3"/>
  <c r="C653" i="3"/>
  <c r="D653" i="3"/>
  <c r="E653" i="3"/>
  <c r="F653" i="3"/>
  <c r="G653" i="3"/>
  <c r="H653" i="3"/>
  <c r="I653" i="3"/>
  <c r="J653" i="3"/>
  <c r="B654" i="3"/>
  <c r="C654" i="3"/>
  <c r="D654" i="3"/>
  <c r="E654" i="3"/>
  <c r="F654" i="3"/>
  <c r="G654" i="3"/>
  <c r="H654" i="3"/>
  <c r="I654" i="3"/>
  <c r="J654" i="3"/>
  <c r="B655" i="3"/>
  <c r="C655" i="3"/>
  <c r="D655" i="3"/>
  <c r="E655" i="3"/>
  <c r="F655" i="3"/>
  <c r="G655" i="3"/>
  <c r="H655" i="3"/>
  <c r="I655" i="3"/>
  <c r="J655" i="3"/>
  <c r="B656" i="3"/>
  <c r="C656" i="3"/>
  <c r="D656" i="3"/>
  <c r="E656" i="3"/>
  <c r="F656" i="3"/>
  <c r="G656" i="3"/>
  <c r="H656" i="3"/>
  <c r="I656" i="3"/>
  <c r="J656" i="3"/>
  <c r="B657" i="3"/>
  <c r="C657" i="3"/>
  <c r="D657" i="3"/>
  <c r="E657" i="3"/>
  <c r="F657" i="3"/>
  <c r="G657" i="3"/>
  <c r="H657" i="3"/>
  <c r="I657" i="3"/>
  <c r="J657" i="3"/>
  <c r="B658" i="3"/>
  <c r="C658" i="3"/>
  <c r="D658" i="3"/>
  <c r="E658" i="3"/>
  <c r="F658" i="3"/>
  <c r="G658" i="3"/>
  <c r="H658" i="3"/>
  <c r="I658" i="3"/>
  <c r="J658" i="3"/>
  <c r="B659" i="3"/>
  <c r="C659" i="3"/>
  <c r="D659" i="3"/>
  <c r="E659" i="3"/>
  <c r="F659" i="3"/>
  <c r="G659" i="3"/>
  <c r="H659" i="3"/>
  <c r="I659" i="3"/>
  <c r="J659" i="3"/>
  <c r="B660" i="3"/>
  <c r="C660" i="3"/>
  <c r="D660" i="3"/>
  <c r="E660" i="3"/>
  <c r="F660" i="3"/>
  <c r="G660" i="3"/>
  <c r="H660" i="3"/>
  <c r="I660" i="3"/>
  <c r="J660" i="3"/>
  <c r="B661" i="3"/>
  <c r="C661" i="3"/>
  <c r="D661" i="3"/>
  <c r="E661" i="3"/>
  <c r="F661" i="3"/>
  <c r="G661" i="3"/>
  <c r="H661" i="3"/>
  <c r="I661" i="3"/>
  <c r="J661" i="3"/>
  <c r="B662" i="3"/>
  <c r="C662" i="3"/>
  <c r="D662" i="3"/>
  <c r="E662" i="3"/>
  <c r="F662" i="3"/>
  <c r="G662" i="3"/>
  <c r="H662" i="3"/>
  <c r="I662" i="3"/>
  <c r="J662" i="3"/>
  <c r="B663" i="3"/>
  <c r="C663" i="3"/>
  <c r="D663" i="3"/>
  <c r="E663" i="3"/>
  <c r="F663" i="3"/>
  <c r="G663" i="3"/>
  <c r="H663" i="3"/>
  <c r="I663" i="3"/>
  <c r="J663" i="3"/>
  <c r="B664" i="3"/>
  <c r="C664" i="3"/>
  <c r="D664" i="3"/>
  <c r="E664" i="3"/>
  <c r="F664" i="3"/>
  <c r="G664" i="3"/>
  <c r="H664" i="3"/>
  <c r="I664" i="3"/>
  <c r="J664" i="3"/>
  <c r="B665" i="3"/>
  <c r="C665" i="3"/>
  <c r="D665" i="3"/>
  <c r="E665" i="3"/>
  <c r="F665" i="3"/>
  <c r="G665" i="3"/>
  <c r="H665" i="3"/>
  <c r="I665" i="3"/>
  <c r="J665" i="3"/>
  <c r="B666" i="3"/>
  <c r="C666" i="3"/>
  <c r="D666" i="3"/>
  <c r="E666" i="3"/>
  <c r="F666" i="3"/>
  <c r="G666" i="3"/>
  <c r="H666" i="3"/>
  <c r="I666" i="3"/>
  <c r="J666" i="3"/>
  <c r="B667" i="3"/>
  <c r="C667" i="3"/>
  <c r="D667" i="3"/>
  <c r="E667" i="3"/>
  <c r="F667" i="3"/>
  <c r="G667" i="3"/>
  <c r="H667" i="3"/>
  <c r="I667" i="3"/>
  <c r="J667" i="3"/>
  <c r="B668" i="3"/>
  <c r="C668" i="3"/>
  <c r="D668" i="3"/>
  <c r="E668" i="3"/>
  <c r="F668" i="3"/>
  <c r="G668" i="3"/>
  <c r="H668" i="3"/>
  <c r="I668" i="3"/>
  <c r="J668" i="3"/>
  <c r="B669" i="3"/>
  <c r="C669" i="3"/>
  <c r="D669" i="3"/>
  <c r="E669" i="3"/>
  <c r="F669" i="3"/>
  <c r="G669" i="3"/>
  <c r="H669" i="3"/>
  <c r="I669" i="3"/>
  <c r="J669" i="3"/>
  <c r="B670" i="3"/>
  <c r="C670" i="3"/>
  <c r="D670" i="3"/>
  <c r="E670" i="3"/>
  <c r="F670" i="3"/>
  <c r="G670" i="3"/>
  <c r="H670" i="3"/>
  <c r="I670" i="3"/>
  <c r="J670" i="3"/>
  <c r="B671" i="3"/>
  <c r="C671" i="3"/>
  <c r="D671" i="3"/>
  <c r="E671" i="3"/>
  <c r="F671" i="3"/>
  <c r="G671" i="3"/>
  <c r="H671" i="3"/>
  <c r="I671" i="3"/>
  <c r="J671" i="3"/>
  <c r="B672" i="3"/>
  <c r="C672" i="3"/>
  <c r="D672" i="3"/>
  <c r="E672" i="3"/>
  <c r="F672" i="3"/>
  <c r="G672" i="3"/>
  <c r="H672" i="3"/>
  <c r="I672" i="3"/>
  <c r="J672" i="3"/>
  <c r="B673" i="3"/>
  <c r="C673" i="3"/>
  <c r="D673" i="3"/>
  <c r="E673" i="3"/>
  <c r="F673" i="3"/>
  <c r="G673" i="3"/>
  <c r="H673" i="3"/>
  <c r="I673" i="3"/>
  <c r="J673" i="3"/>
  <c r="B674" i="3"/>
  <c r="C674" i="3"/>
  <c r="D674" i="3"/>
  <c r="E674" i="3"/>
  <c r="F674" i="3"/>
  <c r="G674" i="3"/>
  <c r="H674" i="3"/>
  <c r="I674" i="3"/>
  <c r="J674" i="3"/>
  <c r="B675" i="3"/>
  <c r="C675" i="3"/>
  <c r="D675" i="3"/>
  <c r="E675" i="3"/>
  <c r="F675" i="3"/>
  <c r="G675" i="3"/>
  <c r="H675" i="3"/>
  <c r="I675" i="3"/>
  <c r="J675" i="3"/>
  <c r="B676" i="3"/>
  <c r="C676" i="3"/>
  <c r="D676" i="3"/>
  <c r="E676" i="3"/>
  <c r="F676" i="3"/>
  <c r="G676" i="3"/>
  <c r="H676" i="3"/>
  <c r="I676" i="3"/>
  <c r="J676" i="3"/>
  <c r="B677" i="3"/>
  <c r="C677" i="3"/>
  <c r="D677" i="3"/>
  <c r="E677" i="3"/>
  <c r="F677" i="3"/>
  <c r="G677" i="3"/>
  <c r="H677" i="3"/>
  <c r="I677" i="3"/>
  <c r="J677" i="3"/>
  <c r="B678" i="3"/>
  <c r="C678" i="3"/>
  <c r="D678" i="3"/>
  <c r="E678" i="3"/>
  <c r="F678" i="3"/>
  <c r="G678" i="3"/>
  <c r="H678" i="3"/>
  <c r="I678" i="3"/>
  <c r="J678" i="3"/>
  <c r="B679" i="3"/>
  <c r="C679" i="3"/>
  <c r="D679" i="3"/>
  <c r="E679" i="3"/>
  <c r="F679" i="3"/>
  <c r="G679" i="3"/>
  <c r="H679" i="3"/>
  <c r="I679" i="3"/>
  <c r="J679" i="3"/>
  <c r="B680" i="3"/>
  <c r="C680" i="3"/>
  <c r="D680" i="3"/>
  <c r="E680" i="3"/>
  <c r="F680" i="3"/>
  <c r="G680" i="3"/>
  <c r="H680" i="3"/>
  <c r="I680" i="3"/>
  <c r="J680" i="3"/>
  <c r="B681" i="3"/>
  <c r="C681" i="3"/>
  <c r="D681" i="3"/>
  <c r="E681" i="3"/>
  <c r="F681" i="3"/>
  <c r="G681" i="3"/>
  <c r="H681" i="3"/>
  <c r="I681" i="3"/>
  <c r="J681" i="3"/>
  <c r="B682" i="3"/>
  <c r="C682" i="3"/>
  <c r="D682" i="3"/>
  <c r="E682" i="3"/>
  <c r="F682" i="3"/>
  <c r="G682" i="3"/>
  <c r="H682" i="3"/>
  <c r="I682" i="3"/>
  <c r="J682" i="3"/>
  <c r="B683" i="3"/>
  <c r="C683" i="3"/>
  <c r="D683" i="3"/>
  <c r="E683" i="3"/>
  <c r="F683" i="3"/>
  <c r="G683" i="3"/>
  <c r="H683" i="3"/>
  <c r="I683" i="3"/>
  <c r="J683" i="3"/>
  <c r="B684" i="3"/>
  <c r="C684" i="3"/>
  <c r="D684" i="3"/>
  <c r="E684" i="3"/>
  <c r="F684" i="3"/>
  <c r="G684" i="3"/>
  <c r="H684" i="3"/>
  <c r="I684" i="3"/>
  <c r="J684" i="3"/>
  <c r="B685" i="3"/>
  <c r="C685" i="3"/>
  <c r="D685" i="3"/>
  <c r="E685" i="3"/>
  <c r="F685" i="3"/>
  <c r="G685" i="3"/>
  <c r="H685" i="3"/>
  <c r="I685" i="3"/>
  <c r="J685" i="3"/>
  <c r="B686" i="3"/>
  <c r="C686" i="3"/>
  <c r="D686" i="3"/>
  <c r="E686" i="3"/>
  <c r="F686" i="3"/>
  <c r="G686" i="3"/>
  <c r="H686" i="3"/>
  <c r="I686" i="3"/>
  <c r="J686" i="3"/>
  <c r="B687" i="3"/>
  <c r="C687" i="3"/>
  <c r="D687" i="3"/>
  <c r="E687" i="3"/>
  <c r="F687" i="3"/>
  <c r="G687" i="3"/>
  <c r="H687" i="3"/>
  <c r="I687" i="3"/>
  <c r="J687" i="3"/>
  <c r="B688" i="3"/>
  <c r="C688" i="3"/>
  <c r="D688" i="3"/>
  <c r="E688" i="3"/>
  <c r="F688" i="3"/>
  <c r="G688" i="3"/>
  <c r="H688" i="3"/>
  <c r="I688" i="3"/>
  <c r="J688" i="3"/>
  <c r="B689" i="3"/>
  <c r="C689" i="3"/>
  <c r="D689" i="3"/>
  <c r="E689" i="3"/>
  <c r="F689" i="3"/>
  <c r="G689" i="3"/>
  <c r="H689" i="3"/>
  <c r="I689" i="3"/>
  <c r="J689" i="3"/>
  <c r="B690" i="3"/>
  <c r="C690" i="3"/>
  <c r="D690" i="3"/>
  <c r="E690" i="3"/>
  <c r="F690" i="3"/>
  <c r="G690" i="3"/>
  <c r="H690" i="3"/>
  <c r="I690" i="3"/>
  <c r="J690" i="3"/>
  <c r="B691" i="3"/>
  <c r="C691" i="3"/>
  <c r="D691" i="3"/>
  <c r="E691" i="3"/>
  <c r="F691" i="3"/>
  <c r="G691" i="3"/>
  <c r="H691" i="3"/>
  <c r="I691" i="3"/>
  <c r="J691" i="3"/>
  <c r="B692" i="3"/>
  <c r="C692" i="3"/>
  <c r="D692" i="3"/>
  <c r="E692" i="3"/>
  <c r="F692" i="3"/>
  <c r="G692" i="3"/>
  <c r="H692" i="3"/>
  <c r="I692" i="3"/>
  <c r="J692" i="3"/>
  <c r="B693" i="3"/>
  <c r="C693" i="3"/>
  <c r="D693" i="3"/>
  <c r="E693" i="3"/>
  <c r="F693" i="3"/>
  <c r="G693" i="3"/>
  <c r="H693" i="3"/>
  <c r="I693" i="3"/>
  <c r="J693" i="3"/>
  <c r="B694" i="3"/>
  <c r="C694" i="3"/>
  <c r="D694" i="3"/>
  <c r="E694" i="3"/>
  <c r="F694" i="3"/>
  <c r="G694" i="3"/>
  <c r="H694" i="3"/>
  <c r="I694" i="3"/>
  <c r="J694" i="3"/>
  <c r="B695" i="3"/>
  <c r="C695" i="3"/>
  <c r="D695" i="3"/>
  <c r="E695" i="3"/>
  <c r="F695" i="3"/>
  <c r="G695" i="3"/>
  <c r="H695" i="3"/>
  <c r="I695" i="3"/>
  <c r="J695" i="3"/>
  <c r="B696" i="3"/>
  <c r="C696" i="3"/>
  <c r="D696" i="3"/>
  <c r="E696" i="3"/>
  <c r="F696" i="3"/>
  <c r="G696" i="3"/>
  <c r="H696" i="3"/>
  <c r="I696" i="3"/>
  <c r="J696" i="3"/>
  <c r="B697" i="3"/>
  <c r="C697" i="3"/>
  <c r="D697" i="3"/>
  <c r="E697" i="3"/>
  <c r="F697" i="3"/>
  <c r="G697" i="3"/>
  <c r="H697" i="3"/>
  <c r="I697" i="3"/>
  <c r="J697" i="3"/>
  <c r="B698" i="3"/>
  <c r="C698" i="3"/>
  <c r="D698" i="3"/>
  <c r="E698" i="3"/>
  <c r="F698" i="3"/>
  <c r="G698" i="3"/>
  <c r="H698" i="3"/>
  <c r="I698" i="3"/>
  <c r="J698" i="3"/>
  <c r="B699" i="3"/>
  <c r="C699" i="3"/>
  <c r="D699" i="3"/>
  <c r="E699" i="3"/>
  <c r="F699" i="3"/>
  <c r="G699" i="3"/>
  <c r="H699" i="3"/>
  <c r="I699" i="3"/>
  <c r="J699" i="3"/>
  <c r="B700" i="3"/>
  <c r="C700" i="3"/>
  <c r="D700" i="3"/>
  <c r="E700" i="3"/>
  <c r="F700" i="3"/>
  <c r="G700" i="3"/>
  <c r="H700" i="3"/>
  <c r="I700" i="3"/>
  <c r="J700" i="3"/>
  <c r="B701" i="3"/>
  <c r="C701" i="3"/>
  <c r="D701" i="3"/>
  <c r="E701" i="3"/>
  <c r="F701" i="3"/>
  <c r="G701" i="3"/>
  <c r="H701" i="3"/>
  <c r="I701" i="3"/>
  <c r="J701" i="3"/>
  <c r="B702" i="3"/>
  <c r="C702" i="3"/>
  <c r="D702" i="3"/>
  <c r="E702" i="3"/>
  <c r="F702" i="3"/>
  <c r="G702" i="3"/>
  <c r="H702" i="3"/>
  <c r="I702" i="3"/>
  <c r="J702" i="3"/>
  <c r="B703" i="3"/>
  <c r="C703" i="3"/>
  <c r="D703" i="3"/>
  <c r="E703" i="3"/>
  <c r="F703" i="3"/>
  <c r="G703" i="3"/>
  <c r="H703" i="3"/>
  <c r="I703" i="3"/>
  <c r="J703" i="3"/>
  <c r="B704" i="3"/>
  <c r="C704" i="3"/>
  <c r="D704" i="3"/>
  <c r="E704" i="3"/>
  <c r="F704" i="3"/>
  <c r="G704" i="3"/>
  <c r="H704" i="3"/>
  <c r="I704" i="3"/>
  <c r="J704" i="3"/>
  <c r="B705" i="3"/>
  <c r="C705" i="3"/>
  <c r="D705" i="3"/>
  <c r="E705" i="3"/>
  <c r="F705" i="3"/>
  <c r="G705" i="3"/>
  <c r="H705" i="3"/>
  <c r="I705" i="3"/>
  <c r="J705" i="3"/>
  <c r="B706" i="3"/>
  <c r="C706" i="3"/>
  <c r="D706" i="3"/>
  <c r="E706" i="3"/>
  <c r="F706" i="3"/>
  <c r="G706" i="3"/>
  <c r="H706" i="3"/>
  <c r="I706" i="3"/>
  <c r="J706" i="3"/>
  <c r="B707" i="3"/>
  <c r="C707" i="3"/>
  <c r="D707" i="3"/>
  <c r="E707" i="3"/>
  <c r="F707" i="3"/>
  <c r="G707" i="3"/>
  <c r="H707" i="3"/>
  <c r="I707" i="3"/>
  <c r="J707" i="3"/>
  <c r="B708" i="3"/>
  <c r="C708" i="3"/>
  <c r="D708" i="3"/>
  <c r="E708" i="3"/>
  <c r="F708" i="3"/>
  <c r="G708" i="3"/>
  <c r="H708" i="3"/>
  <c r="I708" i="3"/>
  <c r="J708" i="3"/>
  <c r="B709" i="3"/>
  <c r="C709" i="3"/>
  <c r="D709" i="3"/>
  <c r="E709" i="3"/>
  <c r="F709" i="3"/>
  <c r="G709" i="3"/>
  <c r="H709" i="3"/>
  <c r="I709" i="3"/>
  <c r="J709" i="3"/>
  <c r="B710" i="3"/>
  <c r="C710" i="3"/>
  <c r="D710" i="3"/>
  <c r="E710" i="3"/>
  <c r="F710" i="3"/>
  <c r="G710" i="3"/>
  <c r="H710" i="3"/>
  <c r="I710" i="3"/>
  <c r="J710" i="3"/>
  <c r="B711" i="3"/>
  <c r="C711" i="3"/>
  <c r="D711" i="3"/>
  <c r="E711" i="3"/>
  <c r="F711" i="3"/>
  <c r="G711" i="3"/>
  <c r="H711" i="3"/>
  <c r="I711" i="3"/>
  <c r="J711" i="3"/>
  <c r="B712" i="3"/>
  <c r="C712" i="3"/>
  <c r="D712" i="3"/>
  <c r="E712" i="3"/>
  <c r="F712" i="3"/>
  <c r="G712" i="3"/>
  <c r="H712" i="3"/>
  <c r="I712" i="3"/>
  <c r="J712" i="3"/>
  <c r="B713" i="3"/>
  <c r="C713" i="3"/>
  <c r="D713" i="3"/>
  <c r="E713" i="3"/>
  <c r="F713" i="3"/>
  <c r="G713" i="3"/>
  <c r="H713" i="3"/>
  <c r="I713" i="3"/>
  <c r="J713" i="3"/>
  <c r="B714" i="3"/>
  <c r="C714" i="3"/>
  <c r="D714" i="3"/>
  <c r="E714" i="3"/>
  <c r="F714" i="3"/>
  <c r="G714" i="3"/>
  <c r="H714" i="3"/>
  <c r="I714" i="3"/>
  <c r="J714" i="3"/>
  <c r="B715" i="3"/>
  <c r="C715" i="3"/>
  <c r="D715" i="3"/>
  <c r="E715" i="3"/>
  <c r="F715" i="3"/>
  <c r="G715" i="3"/>
  <c r="H715" i="3"/>
  <c r="I715" i="3"/>
  <c r="J715" i="3"/>
  <c r="B716" i="3"/>
  <c r="C716" i="3"/>
  <c r="D716" i="3"/>
  <c r="E716" i="3"/>
  <c r="F716" i="3"/>
  <c r="G716" i="3"/>
  <c r="H716" i="3"/>
  <c r="I716" i="3"/>
  <c r="J716" i="3"/>
  <c r="B717" i="3"/>
  <c r="C717" i="3"/>
  <c r="D717" i="3"/>
  <c r="E717" i="3"/>
  <c r="F717" i="3"/>
  <c r="G717" i="3"/>
  <c r="H717" i="3"/>
  <c r="I717" i="3"/>
  <c r="J717" i="3"/>
  <c r="B718" i="3"/>
  <c r="C718" i="3"/>
  <c r="D718" i="3"/>
  <c r="E718" i="3"/>
  <c r="F718" i="3"/>
  <c r="G718" i="3"/>
  <c r="H718" i="3"/>
  <c r="I718" i="3"/>
  <c r="J718" i="3"/>
  <c r="B719" i="3"/>
  <c r="C719" i="3"/>
  <c r="D719" i="3"/>
  <c r="E719" i="3"/>
  <c r="F719" i="3"/>
  <c r="G719" i="3"/>
  <c r="H719" i="3"/>
  <c r="I719" i="3"/>
  <c r="J719" i="3"/>
  <c r="B720" i="3"/>
  <c r="C720" i="3"/>
  <c r="D720" i="3"/>
  <c r="E720" i="3"/>
  <c r="F720" i="3"/>
  <c r="G720" i="3"/>
  <c r="H720" i="3"/>
  <c r="I720" i="3"/>
  <c r="J720" i="3"/>
  <c r="B721" i="3"/>
  <c r="C721" i="3"/>
  <c r="D721" i="3"/>
  <c r="E721" i="3"/>
  <c r="F721" i="3"/>
  <c r="G721" i="3"/>
  <c r="H721" i="3"/>
  <c r="I721" i="3"/>
  <c r="J721" i="3"/>
  <c r="B722" i="3"/>
  <c r="C722" i="3"/>
  <c r="D722" i="3"/>
  <c r="E722" i="3"/>
  <c r="F722" i="3"/>
  <c r="G722" i="3"/>
  <c r="H722" i="3"/>
  <c r="I722" i="3"/>
  <c r="J722" i="3"/>
  <c r="B723" i="3"/>
  <c r="C723" i="3"/>
  <c r="D723" i="3"/>
  <c r="E723" i="3"/>
  <c r="F723" i="3"/>
  <c r="G723" i="3"/>
  <c r="H723" i="3"/>
  <c r="I723" i="3"/>
  <c r="J723" i="3"/>
  <c r="B724" i="3"/>
  <c r="C724" i="3"/>
  <c r="D724" i="3"/>
  <c r="E724" i="3"/>
  <c r="F724" i="3"/>
  <c r="G724" i="3"/>
  <c r="H724" i="3"/>
  <c r="I724" i="3"/>
  <c r="J724" i="3"/>
  <c r="B725" i="3"/>
  <c r="C725" i="3"/>
  <c r="D725" i="3"/>
  <c r="E725" i="3"/>
  <c r="F725" i="3"/>
  <c r="G725" i="3"/>
  <c r="H725" i="3"/>
  <c r="I725" i="3"/>
  <c r="J725" i="3"/>
  <c r="B726" i="3"/>
  <c r="C726" i="3"/>
  <c r="D726" i="3"/>
  <c r="E726" i="3"/>
  <c r="F726" i="3"/>
  <c r="G726" i="3"/>
  <c r="H726" i="3"/>
  <c r="I726" i="3"/>
  <c r="J726" i="3"/>
  <c r="B727" i="3"/>
  <c r="C727" i="3"/>
  <c r="D727" i="3"/>
  <c r="E727" i="3"/>
  <c r="F727" i="3"/>
  <c r="G727" i="3"/>
  <c r="H727" i="3"/>
  <c r="I727" i="3"/>
  <c r="J727" i="3"/>
  <c r="B728" i="3"/>
  <c r="C728" i="3"/>
  <c r="D728" i="3"/>
  <c r="E728" i="3"/>
  <c r="F728" i="3"/>
  <c r="G728" i="3"/>
  <c r="H728" i="3"/>
  <c r="I728" i="3"/>
  <c r="J728" i="3"/>
  <c r="B729" i="3"/>
  <c r="C729" i="3"/>
  <c r="D729" i="3"/>
  <c r="E729" i="3"/>
  <c r="F729" i="3"/>
  <c r="G729" i="3"/>
  <c r="H729" i="3"/>
  <c r="I729" i="3"/>
  <c r="J729" i="3"/>
  <c r="B730" i="3"/>
  <c r="C730" i="3"/>
  <c r="D730" i="3"/>
  <c r="E730" i="3"/>
  <c r="F730" i="3"/>
  <c r="G730" i="3"/>
  <c r="H730" i="3"/>
  <c r="I730" i="3"/>
  <c r="J730" i="3"/>
  <c r="B731" i="3"/>
  <c r="C731" i="3"/>
  <c r="D731" i="3"/>
  <c r="E731" i="3"/>
  <c r="F731" i="3"/>
  <c r="G731" i="3"/>
  <c r="H731" i="3"/>
  <c r="I731" i="3"/>
  <c r="J731" i="3"/>
  <c r="B732" i="3"/>
  <c r="C732" i="3"/>
  <c r="D732" i="3"/>
  <c r="E732" i="3"/>
  <c r="F732" i="3"/>
  <c r="G732" i="3"/>
  <c r="H732" i="3"/>
  <c r="I732" i="3"/>
  <c r="J732" i="3"/>
  <c r="B733" i="3"/>
  <c r="C733" i="3"/>
  <c r="D733" i="3"/>
  <c r="E733" i="3"/>
  <c r="F733" i="3"/>
  <c r="G733" i="3"/>
  <c r="H733" i="3"/>
  <c r="I733" i="3"/>
  <c r="J733" i="3"/>
  <c r="B734" i="3"/>
  <c r="C734" i="3"/>
  <c r="D734" i="3"/>
  <c r="E734" i="3"/>
  <c r="F734" i="3"/>
  <c r="G734" i="3"/>
  <c r="H734" i="3"/>
  <c r="I734" i="3"/>
  <c r="J734" i="3"/>
  <c r="B735" i="3"/>
  <c r="C735" i="3"/>
  <c r="D735" i="3"/>
  <c r="E735" i="3"/>
  <c r="F735" i="3"/>
  <c r="G735" i="3"/>
  <c r="H735" i="3"/>
  <c r="I735" i="3"/>
  <c r="J735" i="3"/>
  <c r="B736" i="3"/>
  <c r="C736" i="3"/>
  <c r="D736" i="3"/>
  <c r="E736" i="3"/>
  <c r="F736" i="3"/>
  <c r="G736" i="3"/>
  <c r="H736" i="3"/>
  <c r="I736" i="3"/>
  <c r="J736" i="3"/>
  <c r="B737" i="3"/>
  <c r="C737" i="3"/>
  <c r="D737" i="3"/>
  <c r="E737" i="3"/>
  <c r="F737" i="3"/>
  <c r="G737" i="3"/>
  <c r="H737" i="3"/>
  <c r="I737" i="3"/>
  <c r="J737" i="3"/>
  <c r="B738" i="3"/>
  <c r="C738" i="3"/>
  <c r="D738" i="3"/>
  <c r="E738" i="3"/>
  <c r="F738" i="3"/>
  <c r="G738" i="3"/>
  <c r="H738" i="3"/>
  <c r="I738" i="3"/>
  <c r="J738" i="3"/>
  <c r="B739" i="3"/>
  <c r="C739" i="3"/>
  <c r="D739" i="3"/>
  <c r="E739" i="3"/>
  <c r="F739" i="3"/>
  <c r="G739" i="3"/>
  <c r="H739" i="3"/>
  <c r="I739" i="3"/>
  <c r="J739" i="3"/>
  <c r="B740" i="3"/>
  <c r="C740" i="3"/>
  <c r="D740" i="3"/>
  <c r="E740" i="3"/>
  <c r="F740" i="3"/>
  <c r="G740" i="3"/>
  <c r="H740" i="3"/>
  <c r="I740" i="3"/>
  <c r="J740" i="3"/>
  <c r="B741" i="3"/>
  <c r="C741" i="3"/>
  <c r="D741" i="3"/>
  <c r="E741" i="3"/>
  <c r="F741" i="3"/>
  <c r="G741" i="3"/>
  <c r="H741" i="3"/>
  <c r="I741" i="3"/>
  <c r="J741" i="3"/>
  <c r="B742" i="3"/>
  <c r="C742" i="3"/>
  <c r="D742" i="3"/>
  <c r="E742" i="3"/>
  <c r="F742" i="3"/>
  <c r="G742" i="3"/>
  <c r="H742" i="3"/>
  <c r="I742" i="3"/>
  <c r="J742" i="3"/>
  <c r="B743" i="3"/>
  <c r="C743" i="3"/>
  <c r="D743" i="3"/>
  <c r="E743" i="3"/>
  <c r="F743" i="3"/>
  <c r="G743" i="3"/>
  <c r="H743" i="3"/>
  <c r="I743" i="3"/>
  <c r="J743" i="3"/>
  <c r="B744" i="3"/>
  <c r="C744" i="3"/>
  <c r="D744" i="3"/>
  <c r="E744" i="3"/>
  <c r="F744" i="3"/>
  <c r="G744" i="3"/>
  <c r="H744" i="3"/>
  <c r="I744" i="3"/>
  <c r="J744" i="3"/>
  <c r="B745" i="3"/>
  <c r="C745" i="3"/>
  <c r="D745" i="3"/>
  <c r="E745" i="3"/>
  <c r="F745" i="3"/>
  <c r="G745" i="3"/>
  <c r="H745" i="3"/>
  <c r="I745" i="3"/>
  <c r="J745" i="3"/>
  <c r="B746" i="3"/>
  <c r="C746" i="3"/>
  <c r="D746" i="3"/>
  <c r="E746" i="3"/>
  <c r="F746" i="3"/>
  <c r="G746" i="3"/>
  <c r="H746" i="3"/>
  <c r="I746" i="3"/>
  <c r="J746" i="3"/>
  <c r="B747" i="3"/>
  <c r="C747" i="3"/>
  <c r="D747" i="3"/>
  <c r="E747" i="3"/>
  <c r="F747" i="3"/>
  <c r="G747" i="3"/>
  <c r="H747" i="3"/>
  <c r="I747" i="3"/>
  <c r="J747" i="3"/>
  <c r="B748" i="3"/>
  <c r="C748" i="3"/>
  <c r="D748" i="3"/>
  <c r="E748" i="3"/>
  <c r="F748" i="3"/>
  <c r="G748" i="3"/>
  <c r="H748" i="3"/>
  <c r="I748" i="3"/>
  <c r="J748" i="3"/>
  <c r="B749" i="3"/>
  <c r="C749" i="3"/>
  <c r="D749" i="3"/>
  <c r="E749" i="3"/>
  <c r="F749" i="3"/>
  <c r="G749" i="3"/>
  <c r="H749" i="3"/>
  <c r="I749" i="3"/>
  <c r="J749" i="3"/>
  <c r="B750" i="3"/>
  <c r="C750" i="3"/>
  <c r="D750" i="3"/>
  <c r="E750" i="3"/>
  <c r="F750" i="3"/>
  <c r="G750" i="3"/>
  <c r="H750" i="3"/>
  <c r="I750" i="3"/>
  <c r="J750" i="3"/>
  <c r="B751" i="3"/>
  <c r="C751" i="3"/>
  <c r="D751" i="3"/>
  <c r="E751" i="3"/>
  <c r="F751" i="3"/>
  <c r="G751" i="3"/>
  <c r="H751" i="3"/>
  <c r="I751" i="3"/>
  <c r="J751" i="3"/>
  <c r="B752" i="3"/>
  <c r="C752" i="3"/>
  <c r="D752" i="3"/>
  <c r="E752" i="3"/>
  <c r="F752" i="3"/>
  <c r="G752" i="3"/>
  <c r="H752" i="3"/>
  <c r="I752" i="3"/>
  <c r="J752" i="3"/>
  <c r="B753" i="3"/>
  <c r="C753" i="3"/>
  <c r="D753" i="3"/>
  <c r="E753" i="3"/>
  <c r="F753" i="3"/>
  <c r="G753" i="3"/>
  <c r="H753" i="3"/>
  <c r="I753" i="3"/>
  <c r="J753" i="3"/>
  <c r="B754" i="3"/>
  <c r="C754" i="3"/>
  <c r="D754" i="3"/>
  <c r="E754" i="3"/>
  <c r="F754" i="3"/>
  <c r="G754" i="3"/>
  <c r="H754" i="3"/>
  <c r="I754" i="3"/>
  <c r="J754" i="3"/>
  <c r="B755" i="3"/>
  <c r="C755" i="3"/>
  <c r="D755" i="3"/>
  <c r="E755" i="3"/>
  <c r="F755" i="3"/>
  <c r="G755" i="3"/>
  <c r="H755" i="3"/>
  <c r="I755" i="3"/>
  <c r="J755" i="3"/>
  <c r="B756" i="3"/>
  <c r="C756" i="3"/>
  <c r="D756" i="3"/>
  <c r="E756" i="3"/>
  <c r="F756" i="3"/>
  <c r="G756" i="3"/>
  <c r="H756" i="3"/>
  <c r="I756" i="3"/>
  <c r="J756" i="3"/>
  <c r="B757" i="3"/>
  <c r="C757" i="3"/>
  <c r="D757" i="3"/>
  <c r="E757" i="3"/>
  <c r="F757" i="3"/>
  <c r="G757" i="3"/>
  <c r="H757" i="3"/>
  <c r="I757" i="3"/>
  <c r="J757" i="3"/>
  <c r="B758" i="3"/>
  <c r="C758" i="3"/>
  <c r="D758" i="3"/>
  <c r="E758" i="3"/>
  <c r="F758" i="3"/>
  <c r="G758" i="3"/>
  <c r="H758" i="3"/>
  <c r="I758" i="3"/>
  <c r="J758" i="3"/>
  <c r="B759" i="3"/>
  <c r="C759" i="3"/>
  <c r="D759" i="3"/>
  <c r="E759" i="3"/>
  <c r="F759" i="3"/>
  <c r="G759" i="3"/>
  <c r="H759" i="3"/>
  <c r="I759" i="3"/>
  <c r="J759" i="3"/>
  <c r="B760" i="3"/>
  <c r="C760" i="3"/>
  <c r="D760" i="3"/>
  <c r="E760" i="3"/>
  <c r="F760" i="3"/>
  <c r="G760" i="3"/>
  <c r="H760" i="3"/>
  <c r="I760" i="3"/>
  <c r="J760" i="3"/>
  <c r="B761" i="3"/>
  <c r="C761" i="3"/>
  <c r="D761" i="3"/>
  <c r="E761" i="3"/>
  <c r="F761" i="3"/>
  <c r="G761" i="3"/>
  <c r="H761" i="3"/>
  <c r="I761" i="3"/>
  <c r="J761" i="3"/>
  <c r="B762" i="3"/>
  <c r="C762" i="3"/>
  <c r="D762" i="3"/>
  <c r="E762" i="3"/>
  <c r="F762" i="3"/>
  <c r="G762" i="3"/>
  <c r="H762" i="3"/>
  <c r="I762" i="3"/>
  <c r="J762" i="3"/>
  <c r="B763" i="3"/>
  <c r="C763" i="3"/>
  <c r="D763" i="3"/>
  <c r="E763" i="3"/>
  <c r="F763" i="3"/>
  <c r="G763" i="3"/>
  <c r="H763" i="3"/>
  <c r="I763" i="3"/>
  <c r="J763" i="3"/>
  <c r="B764" i="3"/>
  <c r="C764" i="3"/>
  <c r="D764" i="3"/>
  <c r="E764" i="3"/>
  <c r="F764" i="3"/>
  <c r="G764" i="3"/>
  <c r="H764" i="3"/>
  <c r="I764" i="3"/>
  <c r="J764" i="3"/>
  <c r="B765" i="3"/>
  <c r="C765" i="3"/>
  <c r="D765" i="3"/>
  <c r="E765" i="3"/>
  <c r="F765" i="3"/>
  <c r="G765" i="3"/>
  <c r="H765" i="3"/>
  <c r="I765" i="3"/>
  <c r="J765" i="3"/>
  <c r="B766" i="3"/>
  <c r="C766" i="3"/>
  <c r="D766" i="3"/>
  <c r="E766" i="3"/>
  <c r="F766" i="3"/>
  <c r="G766" i="3"/>
  <c r="H766" i="3"/>
  <c r="I766" i="3"/>
  <c r="J766" i="3"/>
  <c r="B767" i="3"/>
  <c r="C767" i="3"/>
  <c r="D767" i="3"/>
  <c r="E767" i="3"/>
  <c r="F767" i="3"/>
  <c r="G767" i="3"/>
  <c r="H767" i="3"/>
  <c r="I767" i="3"/>
  <c r="J767" i="3"/>
  <c r="B768" i="3"/>
  <c r="C768" i="3"/>
  <c r="D768" i="3"/>
  <c r="E768" i="3"/>
  <c r="F768" i="3"/>
  <c r="G768" i="3"/>
  <c r="H768" i="3"/>
  <c r="I768" i="3"/>
  <c r="J768" i="3"/>
  <c r="B769" i="3"/>
  <c r="C769" i="3"/>
  <c r="D769" i="3"/>
  <c r="E769" i="3"/>
  <c r="F769" i="3"/>
  <c r="G769" i="3"/>
  <c r="H769" i="3"/>
  <c r="I769" i="3"/>
  <c r="J769" i="3"/>
  <c r="B770" i="3"/>
  <c r="C770" i="3"/>
  <c r="D770" i="3"/>
  <c r="E770" i="3"/>
  <c r="F770" i="3"/>
  <c r="G770" i="3"/>
  <c r="H770" i="3"/>
  <c r="I770" i="3"/>
  <c r="J770" i="3"/>
  <c r="B771" i="3"/>
  <c r="C771" i="3"/>
  <c r="D771" i="3"/>
  <c r="E771" i="3"/>
  <c r="F771" i="3"/>
  <c r="G771" i="3"/>
  <c r="H771" i="3"/>
  <c r="I771" i="3"/>
  <c r="J771" i="3"/>
  <c r="B772" i="3"/>
  <c r="C772" i="3"/>
  <c r="D772" i="3"/>
  <c r="E772" i="3"/>
  <c r="F772" i="3"/>
  <c r="G772" i="3"/>
  <c r="H772" i="3"/>
  <c r="I772" i="3"/>
  <c r="J772" i="3"/>
  <c r="B773" i="3"/>
  <c r="C773" i="3"/>
  <c r="D773" i="3"/>
  <c r="E773" i="3"/>
  <c r="F773" i="3"/>
  <c r="G773" i="3"/>
  <c r="H773" i="3"/>
  <c r="I773" i="3"/>
  <c r="J773" i="3"/>
  <c r="B774" i="3"/>
  <c r="C774" i="3"/>
  <c r="D774" i="3"/>
  <c r="E774" i="3"/>
  <c r="F774" i="3"/>
  <c r="G774" i="3"/>
  <c r="H774" i="3"/>
  <c r="I774" i="3"/>
  <c r="J774" i="3"/>
  <c r="B775" i="3"/>
  <c r="C775" i="3"/>
  <c r="D775" i="3"/>
  <c r="E775" i="3"/>
  <c r="F775" i="3"/>
  <c r="G775" i="3"/>
  <c r="H775" i="3"/>
  <c r="I775" i="3"/>
  <c r="J775" i="3"/>
  <c r="B776" i="3"/>
  <c r="C776" i="3"/>
  <c r="D776" i="3"/>
  <c r="E776" i="3"/>
  <c r="F776" i="3"/>
  <c r="G776" i="3"/>
  <c r="H776" i="3"/>
  <c r="I776" i="3"/>
  <c r="J776" i="3"/>
  <c r="B777" i="3"/>
  <c r="C777" i="3"/>
  <c r="D777" i="3"/>
  <c r="E777" i="3"/>
  <c r="F777" i="3"/>
  <c r="G777" i="3"/>
  <c r="H777" i="3"/>
  <c r="I777" i="3"/>
  <c r="J777" i="3"/>
  <c r="B778" i="3"/>
  <c r="C778" i="3"/>
  <c r="D778" i="3"/>
  <c r="E778" i="3"/>
  <c r="F778" i="3"/>
  <c r="G778" i="3"/>
  <c r="H778" i="3"/>
  <c r="I778" i="3"/>
  <c r="J778" i="3"/>
  <c r="B779" i="3"/>
  <c r="C779" i="3"/>
  <c r="D779" i="3"/>
  <c r="E779" i="3"/>
  <c r="F779" i="3"/>
  <c r="G779" i="3"/>
  <c r="H779" i="3"/>
  <c r="I779" i="3"/>
  <c r="J779" i="3"/>
  <c r="B780" i="3"/>
  <c r="C780" i="3"/>
  <c r="D780" i="3"/>
  <c r="E780" i="3"/>
  <c r="F780" i="3"/>
  <c r="G780" i="3"/>
  <c r="H780" i="3"/>
  <c r="I780" i="3"/>
  <c r="J780" i="3"/>
  <c r="B781" i="3"/>
  <c r="C781" i="3"/>
  <c r="D781" i="3"/>
  <c r="E781" i="3"/>
  <c r="F781" i="3"/>
  <c r="G781" i="3"/>
  <c r="H781" i="3"/>
  <c r="I781" i="3"/>
  <c r="J781" i="3"/>
  <c r="B782" i="3"/>
  <c r="C782" i="3"/>
  <c r="D782" i="3"/>
  <c r="E782" i="3"/>
  <c r="F782" i="3"/>
  <c r="G782" i="3"/>
  <c r="H782" i="3"/>
  <c r="I782" i="3"/>
  <c r="J782" i="3"/>
  <c r="B783" i="3"/>
  <c r="C783" i="3"/>
  <c r="D783" i="3"/>
  <c r="E783" i="3"/>
  <c r="F783" i="3"/>
  <c r="G783" i="3"/>
  <c r="H783" i="3"/>
  <c r="I783" i="3"/>
  <c r="J783" i="3"/>
  <c r="B784" i="3"/>
  <c r="C784" i="3"/>
  <c r="D784" i="3"/>
  <c r="E784" i="3"/>
  <c r="F784" i="3"/>
  <c r="G784" i="3"/>
  <c r="H784" i="3"/>
  <c r="I784" i="3"/>
  <c r="J784" i="3"/>
  <c r="B785" i="3"/>
  <c r="C785" i="3"/>
  <c r="D785" i="3"/>
  <c r="E785" i="3"/>
  <c r="F785" i="3"/>
  <c r="G785" i="3"/>
  <c r="H785" i="3"/>
  <c r="I785" i="3"/>
  <c r="J785" i="3"/>
  <c r="B786" i="3"/>
  <c r="C786" i="3"/>
  <c r="D786" i="3"/>
  <c r="E786" i="3"/>
  <c r="F786" i="3"/>
  <c r="G786" i="3"/>
  <c r="H786" i="3"/>
  <c r="I786" i="3"/>
  <c r="J786" i="3"/>
  <c r="B787" i="3"/>
  <c r="C787" i="3"/>
  <c r="D787" i="3"/>
  <c r="E787" i="3"/>
  <c r="F787" i="3"/>
  <c r="G787" i="3"/>
  <c r="H787" i="3"/>
  <c r="I787" i="3"/>
  <c r="J787" i="3"/>
  <c r="B788" i="3"/>
  <c r="C788" i="3"/>
  <c r="D788" i="3"/>
  <c r="E788" i="3"/>
  <c r="F788" i="3"/>
  <c r="G788" i="3"/>
  <c r="H788" i="3"/>
  <c r="I788" i="3"/>
  <c r="J788" i="3"/>
  <c r="B789" i="3"/>
  <c r="C789" i="3"/>
  <c r="D789" i="3"/>
  <c r="E789" i="3"/>
  <c r="F789" i="3"/>
  <c r="G789" i="3"/>
  <c r="H789" i="3"/>
  <c r="I789" i="3"/>
  <c r="J789" i="3"/>
  <c r="B790" i="3"/>
  <c r="C790" i="3"/>
  <c r="D790" i="3"/>
  <c r="E790" i="3"/>
  <c r="F790" i="3"/>
  <c r="G790" i="3"/>
  <c r="H790" i="3"/>
  <c r="I790" i="3"/>
  <c r="J790" i="3"/>
  <c r="B791" i="3"/>
  <c r="C791" i="3"/>
  <c r="D791" i="3"/>
  <c r="E791" i="3"/>
  <c r="F791" i="3"/>
  <c r="G791" i="3"/>
  <c r="H791" i="3"/>
  <c r="I791" i="3"/>
  <c r="J791" i="3"/>
  <c r="B792" i="3"/>
  <c r="C792" i="3"/>
  <c r="D792" i="3"/>
  <c r="E792" i="3"/>
  <c r="F792" i="3"/>
  <c r="G792" i="3"/>
  <c r="H792" i="3"/>
  <c r="I792" i="3"/>
  <c r="J792" i="3"/>
  <c r="B793" i="3"/>
  <c r="C793" i="3"/>
  <c r="D793" i="3"/>
  <c r="E793" i="3"/>
  <c r="F793" i="3"/>
  <c r="G793" i="3"/>
  <c r="H793" i="3"/>
  <c r="I793" i="3"/>
  <c r="J793" i="3"/>
  <c r="B794" i="3"/>
  <c r="C794" i="3"/>
  <c r="D794" i="3"/>
  <c r="E794" i="3"/>
  <c r="F794" i="3"/>
  <c r="G794" i="3"/>
  <c r="H794" i="3"/>
  <c r="I794" i="3"/>
  <c r="J794" i="3"/>
  <c r="B795" i="3"/>
  <c r="C795" i="3"/>
  <c r="D795" i="3"/>
  <c r="E795" i="3"/>
  <c r="F795" i="3"/>
  <c r="G795" i="3"/>
  <c r="H795" i="3"/>
  <c r="I795" i="3"/>
  <c r="J795" i="3"/>
  <c r="B796" i="3"/>
  <c r="C796" i="3"/>
  <c r="D796" i="3"/>
  <c r="E796" i="3"/>
  <c r="F796" i="3"/>
  <c r="G796" i="3"/>
  <c r="H796" i="3"/>
  <c r="I796" i="3"/>
  <c r="J796" i="3"/>
  <c r="B797" i="3"/>
  <c r="C797" i="3"/>
  <c r="D797" i="3"/>
  <c r="E797" i="3"/>
  <c r="F797" i="3"/>
  <c r="G797" i="3"/>
  <c r="H797" i="3"/>
  <c r="I797" i="3"/>
  <c r="J797" i="3"/>
  <c r="B798" i="3"/>
  <c r="C798" i="3"/>
  <c r="D798" i="3"/>
  <c r="E798" i="3"/>
  <c r="F798" i="3"/>
  <c r="G798" i="3"/>
  <c r="H798" i="3"/>
  <c r="I798" i="3"/>
  <c r="J798" i="3"/>
  <c r="B799" i="3"/>
  <c r="C799" i="3"/>
  <c r="D799" i="3"/>
  <c r="E799" i="3"/>
  <c r="F799" i="3"/>
  <c r="G799" i="3"/>
  <c r="H799" i="3"/>
  <c r="I799" i="3"/>
  <c r="J799" i="3"/>
  <c r="B800" i="3"/>
  <c r="C800" i="3"/>
  <c r="D800" i="3"/>
  <c r="E800" i="3"/>
  <c r="F800" i="3"/>
  <c r="G800" i="3"/>
  <c r="H800" i="3"/>
  <c r="I800" i="3"/>
  <c r="J800" i="3"/>
  <c r="B801" i="3"/>
  <c r="C801" i="3"/>
  <c r="D801" i="3"/>
  <c r="E801" i="3"/>
  <c r="F801" i="3"/>
  <c r="G801" i="3"/>
  <c r="H801" i="3"/>
  <c r="I801" i="3"/>
  <c r="J801" i="3"/>
  <c r="B802" i="3"/>
  <c r="C802" i="3"/>
  <c r="D802" i="3"/>
  <c r="E802" i="3"/>
  <c r="F802" i="3"/>
  <c r="G802" i="3"/>
  <c r="H802" i="3"/>
  <c r="I802" i="3"/>
  <c r="J802" i="3"/>
  <c r="B803" i="3"/>
  <c r="C803" i="3"/>
  <c r="D803" i="3"/>
  <c r="E803" i="3"/>
  <c r="F803" i="3"/>
  <c r="G803" i="3"/>
  <c r="H803" i="3"/>
  <c r="I803" i="3"/>
  <c r="J803" i="3"/>
  <c r="B804" i="3"/>
  <c r="C804" i="3"/>
  <c r="D804" i="3"/>
  <c r="E804" i="3"/>
  <c r="F804" i="3"/>
  <c r="G804" i="3"/>
  <c r="H804" i="3"/>
  <c r="I804" i="3"/>
  <c r="J804" i="3"/>
  <c r="B805" i="3"/>
  <c r="C805" i="3"/>
  <c r="D805" i="3"/>
  <c r="E805" i="3"/>
  <c r="F805" i="3"/>
  <c r="G805" i="3"/>
  <c r="H805" i="3"/>
  <c r="I805" i="3"/>
  <c r="J805" i="3"/>
  <c r="B806" i="3"/>
  <c r="C806" i="3"/>
  <c r="D806" i="3"/>
  <c r="E806" i="3"/>
  <c r="F806" i="3"/>
  <c r="G806" i="3"/>
  <c r="H806" i="3"/>
  <c r="I806" i="3"/>
  <c r="J806" i="3"/>
  <c r="B807" i="3"/>
  <c r="C807" i="3"/>
  <c r="D807" i="3"/>
  <c r="E807" i="3"/>
  <c r="F807" i="3"/>
  <c r="G807" i="3"/>
  <c r="H807" i="3"/>
  <c r="I807" i="3"/>
  <c r="J807" i="3"/>
  <c r="B808" i="3"/>
  <c r="C808" i="3"/>
  <c r="D808" i="3"/>
  <c r="E808" i="3"/>
  <c r="F808" i="3"/>
  <c r="G808" i="3"/>
  <c r="H808" i="3"/>
  <c r="I808" i="3"/>
  <c r="J808" i="3"/>
  <c r="B809" i="3"/>
  <c r="C809" i="3"/>
  <c r="D809" i="3"/>
  <c r="E809" i="3"/>
  <c r="F809" i="3"/>
  <c r="G809" i="3"/>
  <c r="H809" i="3"/>
  <c r="I809" i="3"/>
  <c r="J809" i="3"/>
  <c r="B810" i="3"/>
  <c r="C810" i="3"/>
  <c r="D810" i="3"/>
  <c r="E810" i="3"/>
  <c r="F810" i="3"/>
  <c r="G810" i="3"/>
  <c r="H810" i="3"/>
  <c r="I810" i="3"/>
  <c r="J810" i="3"/>
  <c r="B811" i="3"/>
  <c r="C811" i="3"/>
  <c r="D811" i="3"/>
  <c r="E811" i="3"/>
  <c r="F811" i="3"/>
  <c r="G811" i="3"/>
  <c r="H811" i="3"/>
  <c r="I811" i="3"/>
  <c r="J811" i="3"/>
  <c r="B812" i="3"/>
  <c r="C812" i="3"/>
  <c r="D812" i="3"/>
  <c r="E812" i="3"/>
  <c r="F812" i="3"/>
  <c r="G812" i="3"/>
  <c r="H812" i="3"/>
  <c r="I812" i="3"/>
  <c r="J812" i="3"/>
  <c r="B813" i="3"/>
  <c r="C813" i="3"/>
  <c r="D813" i="3"/>
  <c r="E813" i="3"/>
  <c r="F813" i="3"/>
  <c r="G813" i="3"/>
  <c r="H813" i="3"/>
  <c r="I813" i="3"/>
  <c r="J813" i="3"/>
  <c r="B814" i="3"/>
  <c r="C814" i="3"/>
  <c r="D814" i="3"/>
  <c r="E814" i="3"/>
  <c r="F814" i="3"/>
  <c r="G814" i="3"/>
  <c r="H814" i="3"/>
  <c r="I814" i="3"/>
  <c r="J814" i="3"/>
  <c r="B815" i="3"/>
  <c r="C815" i="3"/>
  <c r="D815" i="3"/>
  <c r="E815" i="3"/>
  <c r="F815" i="3"/>
  <c r="G815" i="3"/>
  <c r="H815" i="3"/>
  <c r="I815" i="3"/>
  <c r="J815" i="3"/>
  <c r="B816" i="3"/>
  <c r="C816" i="3"/>
  <c r="D816" i="3"/>
  <c r="E816" i="3"/>
  <c r="F816" i="3"/>
  <c r="G816" i="3"/>
  <c r="H816" i="3"/>
  <c r="I816" i="3"/>
  <c r="J816" i="3"/>
  <c r="B817" i="3"/>
  <c r="C817" i="3"/>
  <c r="D817" i="3"/>
  <c r="E817" i="3"/>
  <c r="F817" i="3"/>
  <c r="G817" i="3"/>
  <c r="H817" i="3"/>
  <c r="I817" i="3"/>
  <c r="J817" i="3"/>
  <c r="B818" i="3"/>
  <c r="C818" i="3"/>
  <c r="D818" i="3"/>
  <c r="E818" i="3"/>
  <c r="F818" i="3"/>
  <c r="G818" i="3"/>
  <c r="H818" i="3"/>
  <c r="I818" i="3"/>
  <c r="J818" i="3"/>
  <c r="B819" i="3"/>
  <c r="C819" i="3"/>
  <c r="D819" i="3"/>
  <c r="E819" i="3"/>
  <c r="F819" i="3"/>
  <c r="G819" i="3"/>
  <c r="H819" i="3"/>
  <c r="I819" i="3"/>
  <c r="J819" i="3"/>
  <c r="B820" i="3"/>
  <c r="C820" i="3"/>
  <c r="D820" i="3"/>
  <c r="E820" i="3"/>
  <c r="F820" i="3"/>
  <c r="G820" i="3"/>
  <c r="H820" i="3"/>
  <c r="I820" i="3"/>
  <c r="J820" i="3"/>
  <c r="B821" i="3"/>
  <c r="C821" i="3"/>
  <c r="D821" i="3"/>
  <c r="E821" i="3"/>
  <c r="F821" i="3"/>
  <c r="G821" i="3"/>
  <c r="H821" i="3"/>
  <c r="I821" i="3"/>
  <c r="J821" i="3"/>
  <c r="B822" i="3"/>
  <c r="C822" i="3"/>
  <c r="D822" i="3"/>
  <c r="E822" i="3"/>
  <c r="F822" i="3"/>
  <c r="G822" i="3"/>
  <c r="H822" i="3"/>
  <c r="I822" i="3"/>
  <c r="J822" i="3"/>
  <c r="B823" i="3"/>
  <c r="C823" i="3"/>
  <c r="D823" i="3"/>
  <c r="E823" i="3"/>
  <c r="F823" i="3"/>
  <c r="G823" i="3"/>
  <c r="H823" i="3"/>
  <c r="I823" i="3"/>
  <c r="J823" i="3"/>
  <c r="B824" i="3"/>
  <c r="C824" i="3"/>
  <c r="D824" i="3"/>
  <c r="E824" i="3"/>
  <c r="F824" i="3"/>
  <c r="G824" i="3"/>
  <c r="H824" i="3"/>
  <c r="I824" i="3"/>
  <c r="J824" i="3"/>
  <c r="B825" i="3"/>
  <c r="C825" i="3"/>
  <c r="D825" i="3"/>
  <c r="E825" i="3"/>
  <c r="F825" i="3"/>
  <c r="G825" i="3"/>
  <c r="H825" i="3"/>
  <c r="I825" i="3"/>
  <c r="J825" i="3"/>
  <c r="B826" i="3"/>
  <c r="C826" i="3"/>
  <c r="D826" i="3"/>
  <c r="E826" i="3"/>
  <c r="F826" i="3"/>
  <c r="G826" i="3"/>
  <c r="H826" i="3"/>
  <c r="I826" i="3"/>
  <c r="J826" i="3"/>
  <c r="B827" i="3"/>
  <c r="C827" i="3"/>
  <c r="D827" i="3"/>
  <c r="E827" i="3"/>
  <c r="F827" i="3"/>
  <c r="G827" i="3"/>
  <c r="H827" i="3"/>
  <c r="I827" i="3"/>
  <c r="J827" i="3"/>
  <c r="B828" i="3"/>
  <c r="C828" i="3"/>
  <c r="D828" i="3"/>
  <c r="E828" i="3"/>
  <c r="F828" i="3"/>
  <c r="G828" i="3"/>
  <c r="H828" i="3"/>
  <c r="I828" i="3"/>
  <c r="J828" i="3"/>
  <c r="B829" i="3"/>
  <c r="C829" i="3"/>
  <c r="D829" i="3"/>
  <c r="E829" i="3"/>
  <c r="F829" i="3"/>
  <c r="G829" i="3"/>
  <c r="H829" i="3"/>
  <c r="I829" i="3"/>
  <c r="J829" i="3"/>
  <c r="B830" i="3"/>
  <c r="C830" i="3"/>
  <c r="D830" i="3"/>
  <c r="E830" i="3"/>
  <c r="F830" i="3"/>
  <c r="G830" i="3"/>
  <c r="H830" i="3"/>
  <c r="I830" i="3"/>
  <c r="J830" i="3"/>
  <c r="B831" i="3"/>
  <c r="C831" i="3"/>
  <c r="D831" i="3"/>
  <c r="E831" i="3"/>
  <c r="F831" i="3"/>
  <c r="G831" i="3"/>
  <c r="H831" i="3"/>
  <c r="I831" i="3"/>
  <c r="J831" i="3"/>
  <c r="B832" i="3"/>
  <c r="C832" i="3"/>
  <c r="D832" i="3"/>
  <c r="E832" i="3"/>
  <c r="F832" i="3"/>
  <c r="G832" i="3"/>
  <c r="H832" i="3"/>
  <c r="I832" i="3"/>
  <c r="J832" i="3"/>
  <c r="B833" i="3"/>
  <c r="C833" i="3"/>
  <c r="D833" i="3"/>
  <c r="E833" i="3"/>
  <c r="F833" i="3"/>
  <c r="G833" i="3"/>
  <c r="H833" i="3"/>
  <c r="I833" i="3"/>
  <c r="J833" i="3"/>
  <c r="B834" i="3"/>
  <c r="C834" i="3"/>
  <c r="D834" i="3"/>
  <c r="E834" i="3"/>
  <c r="F834" i="3"/>
  <c r="G834" i="3"/>
  <c r="H834" i="3"/>
  <c r="I834" i="3"/>
  <c r="J834" i="3"/>
  <c r="B835" i="3"/>
  <c r="C835" i="3"/>
  <c r="D835" i="3"/>
  <c r="E835" i="3"/>
  <c r="F835" i="3"/>
  <c r="G835" i="3"/>
  <c r="H835" i="3"/>
  <c r="I835" i="3"/>
  <c r="J835" i="3"/>
  <c r="B836" i="3"/>
  <c r="C836" i="3"/>
  <c r="D836" i="3"/>
  <c r="E836" i="3"/>
  <c r="F836" i="3"/>
  <c r="G836" i="3"/>
  <c r="H836" i="3"/>
  <c r="I836" i="3"/>
  <c r="J836" i="3"/>
  <c r="B837" i="3"/>
  <c r="C837" i="3"/>
  <c r="D837" i="3"/>
  <c r="E837" i="3"/>
  <c r="F837" i="3"/>
  <c r="G837" i="3"/>
  <c r="H837" i="3"/>
  <c r="I837" i="3"/>
  <c r="J837" i="3"/>
  <c r="B838" i="3"/>
  <c r="C838" i="3"/>
  <c r="D838" i="3"/>
  <c r="E838" i="3"/>
  <c r="F838" i="3"/>
  <c r="G838" i="3"/>
  <c r="H838" i="3"/>
  <c r="I838" i="3"/>
  <c r="J838" i="3"/>
  <c r="B839" i="3"/>
  <c r="C839" i="3"/>
  <c r="D839" i="3"/>
  <c r="E839" i="3"/>
  <c r="F839" i="3"/>
  <c r="G839" i="3"/>
  <c r="H839" i="3"/>
  <c r="I839" i="3"/>
  <c r="J839" i="3"/>
  <c r="B840" i="3"/>
  <c r="C840" i="3"/>
  <c r="D840" i="3"/>
  <c r="E840" i="3"/>
  <c r="F840" i="3"/>
  <c r="G840" i="3"/>
  <c r="H840" i="3"/>
  <c r="I840" i="3"/>
  <c r="J840" i="3"/>
  <c r="B841" i="3"/>
  <c r="C841" i="3"/>
  <c r="D841" i="3"/>
  <c r="E841" i="3"/>
  <c r="F841" i="3"/>
  <c r="G841" i="3"/>
  <c r="H841" i="3"/>
  <c r="I841" i="3"/>
  <c r="J841" i="3"/>
  <c r="B842" i="3"/>
  <c r="C842" i="3"/>
  <c r="D842" i="3"/>
  <c r="E842" i="3"/>
  <c r="F842" i="3"/>
  <c r="G842" i="3"/>
  <c r="H842" i="3"/>
  <c r="I842" i="3"/>
  <c r="J842" i="3"/>
  <c r="B843" i="3"/>
  <c r="C843" i="3"/>
  <c r="D843" i="3"/>
  <c r="E843" i="3"/>
  <c r="F843" i="3"/>
  <c r="G843" i="3"/>
  <c r="H843" i="3"/>
  <c r="I843" i="3"/>
  <c r="J843" i="3"/>
  <c r="B844" i="3"/>
  <c r="C844" i="3"/>
  <c r="D844" i="3"/>
  <c r="E844" i="3"/>
  <c r="F844" i="3"/>
  <c r="G844" i="3"/>
  <c r="H844" i="3"/>
  <c r="I844" i="3"/>
  <c r="J844" i="3"/>
  <c r="B845" i="3"/>
  <c r="C845" i="3"/>
  <c r="D845" i="3"/>
  <c r="E845" i="3"/>
  <c r="F845" i="3"/>
  <c r="G845" i="3"/>
  <c r="H845" i="3"/>
  <c r="I845" i="3"/>
  <c r="J845" i="3"/>
  <c r="B846" i="3"/>
  <c r="C846" i="3"/>
  <c r="D846" i="3"/>
  <c r="E846" i="3"/>
  <c r="F846" i="3"/>
  <c r="G846" i="3"/>
  <c r="H846" i="3"/>
  <c r="I846" i="3"/>
  <c r="J846" i="3"/>
  <c r="B847" i="3"/>
  <c r="C847" i="3"/>
  <c r="D847" i="3"/>
  <c r="E847" i="3"/>
  <c r="F847" i="3"/>
  <c r="G847" i="3"/>
  <c r="H847" i="3"/>
  <c r="I847" i="3"/>
  <c r="J847" i="3"/>
  <c r="B848" i="3"/>
  <c r="C848" i="3"/>
  <c r="D848" i="3"/>
  <c r="E848" i="3"/>
  <c r="F848" i="3"/>
  <c r="G848" i="3"/>
  <c r="H848" i="3"/>
  <c r="I848" i="3"/>
  <c r="J848" i="3"/>
  <c r="B849" i="3"/>
  <c r="C849" i="3"/>
  <c r="D849" i="3"/>
  <c r="E849" i="3"/>
  <c r="F849" i="3"/>
  <c r="G849" i="3"/>
  <c r="H849" i="3"/>
  <c r="I849" i="3"/>
  <c r="J849" i="3"/>
  <c r="B850" i="3"/>
  <c r="C850" i="3"/>
  <c r="D850" i="3"/>
  <c r="E850" i="3"/>
  <c r="F850" i="3"/>
  <c r="G850" i="3"/>
  <c r="H850" i="3"/>
  <c r="I850" i="3"/>
  <c r="J850" i="3"/>
  <c r="B851" i="3"/>
  <c r="C851" i="3"/>
  <c r="D851" i="3"/>
  <c r="E851" i="3"/>
  <c r="F851" i="3"/>
  <c r="G851" i="3"/>
  <c r="H851" i="3"/>
  <c r="I851" i="3"/>
  <c r="J851" i="3"/>
  <c r="B852" i="3"/>
  <c r="C852" i="3"/>
  <c r="D852" i="3"/>
  <c r="E852" i="3"/>
  <c r="F852" i="3"/>
  <c r="G852" i="3"/>
  <c r="H852" i="3"/>
  <c r="I852" i="3"/>
  <c r="J852" i="3"/>
  <c r="B853" i="3"/>
  <c r="C853" i="3"/>
  <c r="D853" i="3"/>
  <c r="E853" i="3"/>
  <c r="F853" i="3"/>
  <c r="G853" i="3"/>
  <c r="H853" i="3"/>
  <c r="I853" i="3"/>
  <c r="J853" i="3"/>
  <c r="B854" i="3"/>
  <c r="C854" i="3"/>
  <c r="D854" i="3"/>
  <c r="E854" i="3"/>
  <c r="F854" i="3"/>
  <c r="G854" i="3"/>
  <c r="H854" i="3"/>
  <c r="I854" i="3"/>
  <c r="J854" i="3"/>
  <c r="B855" i="3"/>
  <c r="C855" i="3"/>
  <c r="D855" i="3"/>
  <c r="E855" i="3"/>
  <c r="F855" i="3"/>
  <c r="G855" i="3"/>
  <c r="H855" i="3"/>
  <c r="I855" i="3"/>
  <c r="J855" i="3"/>
  <c r="B856" i="3"/>
  <c r="C856" i="3"/>
  <c r="D856" i="3"/>
  <c r="E856" i="3"/>
  <c r="F856" i="3"/>
  <c r="G856" i="3"/>
  <c r="H856" i="3"/>
  <c r="I856" i="3"/>
  <c r="J856" i="3"/>
  <c r="B857" i="3"/>
  <c r="C857" i="3"/>
  <c r="D857" i="3"/>
  <c r="E857" i="3"/>
  <c r="F857" i="3"/>
  <c r="G857" i="3"/>
  <c r="H857" i="3"/>
  <c r="I857" i="3"/>
  <c r="J857" i="3"/>
  <c r="B858" i="3"/>
  <c r="C858" i="3"/>
  <c r="D858" i="3"/>
  <c r="E858" i="3"/>
  <c r="F858" i="3"/>
  <c r="G858" i="3"/>
  <c r="H858" i="3"/>
  <c r="I858" i="3"/>
  <c r="J858" i="3"/>
  <c r="B859" i="3"/>
  <c r="C859" i="3"/>
  <c r="D859" i="3"/>
  <c r="E859" i="3"/>
  <c r="F859" i="3"/>
  <c r="G859" i="3"/>
  <c r="H859" i="3"/>
  <c r="I859" i="3"/>
  <c r="J859" i="3"/>
  <c r="B860" i="3"/>
  <c r="C860" i="3"/>
  <c r="D860" i="3"/>
  <c r="E860" i="3"/>
  <c r="F860" i="3"/>
  <c r="G860" i="3"/>
  <c r="H860" i="3"/>
  <c r="I860" i="3"/>
  <c r="J860" i="3"/>
  <c r="B861" i="3"/>
  <c r="C861" i="3"/>
  <c r="D861" i="3"/>
  <c r="E861" i="3"/>
  <c r="F861" i="3"/>
  <c r="G861" i="3"/>
  <c r="H861" i="3"/>
  <c r="I861" i="3"/>
  <c r="J861" i="3"/>
  <c r="B862" i="3"/>
  <c r="C862" i="3"/>
  <c r="D862" i="3"/>
  <c r="E862" i="3"/>
  <c r="F862" i="3"/>
  <c r="G862" i="3"/>
  <c r="H862" i="3"/>
  <c r="I862" i="3"/>
  <c r="J862" i="3"/>
  <c r="B863" i="3"/>
  <c r="C863" i="3"/>
  <c r="D863" i="3"/>
  <c r="E863" i="3"/>
  <c r="F863" i="3"/>
  <c r="G863" i="3"/>
  <c r="H863" i="3"/>
  <c r="I863" i="3"/>
  <c r="J863" i="3"/>
  <c r="B864" i="3"/>
  <c r="C864" i="3"/>
  <c r="D864" i="3"/>
  <c r="E864" i="3"/>
  <c r="F864" i="3"/>
  <c r="G864" i="3"/>
  <c r="H864" i="3"/>
  <c r="I864" i="3"/>
  <c r="J864" i="3"/>
  <c r="B865" i="3"/>
  <c r="C865" i="3"/>
  <c r="D865" i="3"/>
  <c r="E865" i="3"/>
  <c r="F865" i="3"/>
  <c r="G865" i="3"/>
  <c r="H865" i="3"/>
  <c r="I865" i="3"/>
  <c r="J865" i="3"/>
  <c r="B866" i="3"/>
  <c r="C866" i="3"/>
  <c r="D866" i="3"/>
  <c r="E866" i="3"/>
  <c r="F866" i="3"/>
  <c r="G866" i="3"/>
  <c r="H866" i="3"/>
  <c r="I866" i="3"/>
  <c r="J866" i="3"/>
  <c r="B867" i="3"/>
  <c r="C867" i="3"/>
  <c r="D867" i="3"/>
  <c r="E867" i="3"/>
  <c r="F867" i="3"/>
  <c r="G867" i="3"/>
  <c r="H867" i="3"/>
  <c r="I867" i="3"/>
  <c r="J867" i="3"/>
  <c r="B868" i="3"/>
  <c r="C868" i="3"/>
  <c r="D868" i="3"/>
  <c r="E868" i="3"/>
  <c r="F868" i="3"/>
  <c r="G868" i="3"/>
  <c r="H868" i="3"/>
  <c r="I868" i="3"/>
  <c r="J868" i="3"/>
  <c r="B869" i="3"/>
  <c r="C869" i="3"/>
  <c r="D869" i="3"/>
  <c r="E869" i="3"/>
  <c r="F869" i="3"/>
  <c r="G869" i="3"/>
  <c r="H869" i="3"/>
  <c r="I869" i="3"/>
  <c r="J869" i="3"/>
  <c r="B870" i="3"/>
  <c r="C870" i="3"/>
  <c r="D870" i="3"/>
  <c r="E870" i="3"/>
  <c r="F870" i="3"/>
  <c r="G870" i="3"/>
  <c r="H870" i="3"/>
  <c r="I870" i="3"/>
  <c r="J870" i="3"/>
  <c r="B871" i="3"/>
  <c r="C871" i="3"/>
  <c r="D871" i="3"/>
  <c r="E871" i="3"/>
  <c r="F871" i="3"/>
  <c r="G871" i="3"/>
  <c r="H871" i="3"/>
  <c r="I871" i="3"/>
  <c r="J871" i="3"/>
  <c r="B872" i="3"/>
  <c r="C872" i="3"/>
  <c r="D872" i="3"/>
  <c r="E872" i="3"/>
  <c r="F872" i="3"/>
  <c r="G872" i="3"/>
  <c r="H872" i="3"/>
  <c r="I872" i="3"/>
  <c r="J872" i="3"/>
  <c r="B873" i="3"/>
  <c r="C873" i="3"/>
  <c r="D873" i="3"/>
  <c r="E873" i="3"/>
  <c r="F873" i="3"/>
  <c r="G873" i="3"/>
  <c r="H873" i="3"/>
  <c r="I873" i="3"/>
  <c r="J873" i="3"/>
  <c r="B874" i="3"/>
  <c r="C874" i="3"/>
  <c r="D874" i="3"/>
  <c r="E874" i="3"/>
  <c r="F874" i="3"/>
  <c r="G874" i="3"/>
  <c r="H874" i="3"/>
  <c r="I874" i="3"/>
  <c r="J874" i="3"/>
  <c r="B875" i="3"/>
  <c r="C875" i="3"/>
  <c r="D875" i="3"/>
  <c r="E875" i="3"/>
  <c r="F875" i="3"/>
  <c r="G875" i="3"/>
  <c r="H875" i="3"/>
  <c r="I875" i="3"/>
  <c r="J875" i="3"/>
  <c r="B876" i="3"/>
  <c r="C876" i="3"/>
  <c r="D876" i="3"/>
  <c r="E876" i="3"/>
  <c r="F876" i="3"/>
  <c r="G876" i="3"/>
  <c r="H876" i="3"/>
  <c r="I876" i="3"/>
  <c r="J876" i="3"/>
  <c r="B877" i="3"/>
  <c r="C877" i="3"/>
  <c r="D877" i="3"/>
  <c r="E877" i="3"/>
  <c r="F877" i="3"/>
  <c r="G877" i="3"/>
  <c r="H877" i="3"/>
  <c r="I877" i="3"/>
  <c r="J877" i="3"/>
  <c r="B878" i="3"/>
  <c r="C878" i="3"/>
  <c r="D878" i="3"/>
  <c r="E878" i="3"/>
  <c r="F878" i="3"/>
  <c r="G878" i="3"/>
  <c r="H878" i="3"/>
  <c r="I878" i="3"/>
  <c r="J878" i="3"/>
  <c r="B879" i="3"/>
  <c r="C879" i="3"/>
  <c r="D879" i="3"/>
  <c r="E879" i="3"/>
  <c r="F879" i="3"/>
  <c r="G879" i="3"/>
  <c r="H879" i="3"/>
  <c r="I879" i="3"/>
  <c r="J879" i="3"/>
  <c r="B880" i="3"/>
  <c r="C880" i="3"/>
  <c r="D880" i="3"/>
  <c r="E880" i="3"/>
  <c r="F880" i="3"/>
  <c r="G880" i="3"/>
  <c r="H880" i="3"/>
  <c r="I880" i="3"/>
  <c r="J880" i="3"/>
  <c r="B881" i="3"/>
  <c r="C881" i="3"/>
  <c r="D881" i="3"/>
  <c r="E881" i="3"/>
  <c r="F881" i="3"/>
  <c r="G881" i="3"/>
  <c r="H881" i="3"/>
  <c r="I881" i="3"/>
  <c r="J881" i="3"/>
  <c r="B882" i="3"/>
  <c r="C882" i="3"/>
  <c r="D882" i="3"/>
  <c r="E882" i="3"/>
  <c r="F882" i="3"/>
  <c r="G882" i="3"/>
  <c r="H882" i="3"/>
  <c r="I882" i="3"/>
  <c r="J882" i="3"/>
  <c r="B883" i="3"/>
  <c r="C883" i="3"/>
  <c r="D883" i="3"/>
  <c r="E883" i="3"/>
  <c r="F883" i="3"/>
  <c r="G883" i="3"/>
  <c r="H883" i="3"/>
  <c r="I883" i="3"/>
  <c r="J883" i="3"/>
  <c r="B884" i="3"/>
  <c r="C884" i="3"/>
  <c r="D884" i="3"/>
  <c r="E884" i="3"/>
  <c r="F884" i="3"/>
  <c r="G884" i="3"/>
  <c r="H884" i="3"/>
  <c r="I884" i="3"/>
  <c r="J884" i="3"/>
  <c r="B885" i="3"/>
  <c r="C885" i="3"/>
  <c r="D885" i="3"/>
  <c r="E885" i="3"/>
  <c r="F885" i="3"/>
  <c r="G885" i="3"/>
  <c r="H885" i="3"/>
  <c r="I885" i="3"/>
  <c r="J885" i="3"/>
  <c r="B886" i="3"/>
  <c r="C886" i="3"/>
  <c r="D886" i="3"/>
  <c r="E886" i="3"/>
  <c r="F886" i="3"/>
  <c r="G886" i="3"/>
  <c r="H886" i="3"/>
  <c r="I886" i="3"/>
  <c r="J886" i="3"/>
  <c r="B887" i="3"/>
  <c r="C887" i="3"/>
  <c r="D887" i="3"/>
  <c r="E887" i="3"/>
  <c r="F887" i="3"/>
  <c r="G887" i="3"/>
  <c r="H887" i="3"/>
  <c r="I887" i="3"/>
  <c r="J887" i="3"/>
  <c r="B888" i="3"/>
  <c r="C888" i="3"/>
  <c r="D888" i="3"/>
  <c r="E888" i="3"/>
  <c r="F888" i="3"/>
  <c r="G888" i="3"/>
  <c r="H888" i="3"/>
  <c r="I888" i="3"/>
  <c r="J888" i="3"/>
  <c r="B889" i="3"/>
  <c r="C889" i="3"/>
  <c r="D889" i="3"/>
  <c r="E889" i="3"/>
  <c r="F889" i="3"/>
  <c r="G889" i="3"/>
  <c r="H889" i="3"/>
  <c r="I889" i="3"/>
  <c r="J889" i="3"/>
  <c r="B890" i="3"/>
  <c r="C890" i="3"/>
  <c r="D890" i="3"/>
  <c r="E890" i="3"/>
  <c r="F890" i="3"/>
  <c r="G890" i="3"/>
  <c r="H890" i="3"/>
  <c r="I890" i="3"/>
  <c r="J890" i="3"/>
  <c r="B891" i="3"/>
  <c r="C891" i="3"/>
  <c r="D891" i="3"/>
  <c r="E891" i="3"/>
  <c r="F891" i="3"/>
  <c r="G891" i="3"/>
  <c r="H891" i="3"/>
  <c r="I891" i="3"/>
  <c r="J891" i="3"/>
  <c r="B892" i="3"/>
  <c r="C892" i="3"/>
  <c r="D892" i="3"/>
  <c r="E892" i="3"/>
  <c r="F892" i="3"/>
  <c r="G892" i="3"/>
  <c r="H892" i="3"/>
  <c r="I892" i="3"/>
  <c r="J892" i="3"/>
  <c r="B893" i="3"/>
  <c r="C893" i="3"/>
  <c r="D893" i="3"/>
  <c r="E893" i="3"/>
  <c r="F893" i="3"/>
  <c r="G893" i="3"/>
  <c r="H893" i="3"/>
  <c r="I893" i="3"/>
  <c r="J893" i="3"/>
  <c r="B894" i="3"/>
  <c r="C894" i="3"/>
  <c r="D894" i="3"/>
  <c r="E894" i="3"/>
  <c r="F894" i="3"/>
  <c r="G894" i="3"/>
  <c r="H894" i="3"/>
  <c r="I894" i="3"/>
  <c r="J894" i="3"/>
  <c r="B895" i="3"/>
  <c r="C895" i="3"/>
  <c r="D895" i="3"/>
  <c r="E895" i="3"/>
  <c r="F895" i="3"/>
  <c r="G895" i="3"/>
  <c r="H895" i="3"/>
  <c r="I895" i="3"/>
  <c r="J895" i="3"/>
  <c r="B896" i="3"/>
  <c r="C896" i="3"/>
  <c r="D896" i="3"/>
  <c r="E896" i="3"/>
  <c r="F896" i="3"/>
  <c r="G896" i="3"/>
  <c r="H896" i="3"/>
  <c r="I896" i="3"/>
  <c r="J896" i="3"/>
  <c r="B897" i="3"/>
  <c r="C897" i="3"/>
  <c r="D897" i="3"/>
  <c r="E897" i="3"/>
  <c r="F897" i="3"/>
  <c r="G897" i="3"/>
  <c r="H897" i="3"/>
  <c r="I897" i="3"/>
  <c r="J897" i="3"/>
  <c r="B898" i="3"/>
  <c r="C898" i="3"/>
  <c r="D898" i="3"/>
  <c r="E898" i="3"/>
  <c r="F898" i="3"/>
  <c r="G898" i="3"/>
  <c r="H898" i="3"/>
  <c r="I898" i="3"/>
  <c r="J898" i="3"/>
  <c r="B899" i="3"/>
  <c r="C899" i="3"/>
  <c r="D899" i="3"/>
  <c r="E899" i="3"/>
  <c r="F899" i="3"/>
  <c r="G899" i="3"/>
  <c r="H899" i="3"/>
  <c r="I899" i="3"/>
  <c r="J899" i="3"/>
  <c r="B900" i="3"/>
  <c r="C900" i="3"/>
  <c r="D900" i="3"/>
  <c r="E900" i="3"/>
  <c r="F900" i="3"/>
  <c r="G900" i="3"/>
  <c r="H900" i="3"/>
  <c r="I900" i="3"/>
  <c r="J900" i="3"/>
  <c r="B901" i="3"/>
  <c r="C901" i="3"/>
  <c r="D901" i="3"/>
  <c r="E901" i="3"/>
  <c r="F901" i="3"/>
  <c r="G901" i="3"/>
  <c r="H901" i="3"/>
  <c r="I901" i="3"/>
  <c r="J901" i="3"/>
  <c r="B902" i="3"/>
  <c r="C902" i="3"/>
  <c r="D902" i="3"/>
  <c r="E902" i="3"/>
  <c r="F902" i="3"/>
  <c r="G902" i="3"/>
  <c r="H902" i="3"/>
  <c r="I902" i="3"/>
  <c r="J902" i="3"/>
  <c r="B903" i="3"/>
  <c r="C903" i="3"/>
  <c r="D903" i="3"/>
  <c r="E903" i="3"/>
  <c r="F903" i="3"/>
  <c r="G903" i="3"/>
  <c r="H903" i="3"/>
  <c r="I903" i="3"/>
  <c r="J903" i="3"/>
  <c r="B904" i="3"/>
  <c r="C904" i="3"/>
  <c r="D904" i="3"/>
  <c r="E904" i="3"/>
  <c r="F904" i="3"/>
  <c r="G904" i="3"/>
  <c r="H904" i="3"/>
  <c r="I904" i="3"/>
  <c r="J904" i="3"/>
  <c r="B905" i="3"/>
  <c r="C905" i="3"/>
  <c r="D905" i="3"/>
  <c r="E905" i="3"/>
  <c r="F905" i="3"/>
  <c r="G905" i="3"/>
  <c r="H905" i="3"/>
  <c r="I905" i="3"/>
  <c r="J905" i="3"/>
  <c r="B906" i="3"/>
  <c r="C906" i="3"/>
  <c r="D906" i="3"/>
  <c r="E906" i="3"/>
  <c r="F906" i="3"/>
  <c r="G906" i="3"/>
  <c r="H906" i="3"/>
  <c r="I906" i="3"/>
  <c r="J906" i="3"/>
  <c r="B907" i="3"/>
  <c r="C907" i="3"/>
  <c r="D907" i="3"/>
  <c r="E907" i="3"/>
  <c r="F907" i="3"/>
  <c r="G907" i="3"/>
  <c r="H907" i="3"/>
  <c r="I907" i="3"/>
  <c r="J907" i="3"/>
  <c r="B908" i="3"/>
  <c r="C908" i="3"/>
  <c r="D908" i="3"/>
  <c r="E908" i="3"/>
  <c r="F908" i="3"/>
  <c r="G908" i="3"/>
  <c r="H908" i="3"/>
  <c r="I908" i="3"/>
  <c r="J908" i="3"/>
  <c r="B909" i="3"/>
  <c r="C909" i="3"/>
  <c r="D909" i="3"/>
  <c r="E909" i="3"/>
  <c r="F909" i="3"/>
  <c r="G909" i="3"/>
  <c r="H909" i="3"/>
  <c r="I909" i="3"/>
  <c r="J909" i="3"/>
  <c r="B910" i="3"/>
  <c r="C910" i="3"/>
  <c r="D910" i="3"/>
  <c r="E910" i="3"/>
  <c r="F910" i="3"/>
  <c r="G910" i="3"/>
  <c r="H910" i="3"/>
  <c r="I910" i="3"/>
  <c r="J910" i="3"/>
  <c r="B911" i="3"/>
  <c r="C911" i="3"/>
  <c r="D911" i="3"/>
  <c r="E911" i="3"/>
  <c r="F911" i="3"/>
  <c r="G911" i="3"/>
  <c r="H911" i="3"/>
  <c r="I911" i="3"/>
  <c r="J911" i="3"/>
  <c r="B912" i="3"/>
  <c r="C912" i="3"/>
  <c r="D912" i="3"/>
  <c r="E912" i="3"/>
  <c r="F912" i="3"/>
  <c r="G912" i="3"/>
  <c r="H912" i="3"/>
  <c r="I912" i="3"/>
  <c r="J912" i="3"/>
  <c r="B913" i="3"/>
  <c r="C913" i="3"/>
  <c r="D913" i="3"/>
  <c r="E913" i="3"/>
  <c r="F913" i="3"/>
  <c r="G913" i="3"/>
  <c r="H913" i="3"/>
  <c r="I913" i="3"/>
  <c r="J913" i="3"/>
  <c r="B914" i="3"/>
  <c r="C914" i="3"/>
  <c r="D914" i="3"/>
  <c r="E914" i="3"/>
  <c r="F914" i="3"/>
  <c r="G914" i="3"/>
  <c r="H914" i="3"/>
  <c r="I914" i="3"/>
  <c r="J914" i="3"/>
  <c r="B915" i="3"/>
  <c r="C915" i="3"/>
  <c r="D915" i="3"/>
  <c r="E915" i="3"/>
  <c r="F915" i="3"/>
  <c r="G915" i="3"/>
  <c r="H915" i="3"/>
  <c r="I915" i="3"/>
  <c r="J915" i="3"/>
  <c r="B916" i="3"/>
  <c r="C916" i="3"/>
  <c r="D916" i="3"/>
  <c r="E916" i="3"/>
  <c r="F916" i="3"/>
  <c r="G916" i="3"/>
  <c r="H916" i="3"/>
  <c r="I916" i="3"/>
  <c r="J916" i="3"/>
  <c r="B917" i="3"/>
  <c r="C917" i="3"/>
  <c r="D917" i="3"/>
  <c r="E917" i="3"/>
  <c r="F917" i="3"/>
  <c r="G917" i="3"/>
  <c r="H917" i="3"/>
  <c r="I917" i="3"/>
  <c r="J917" i="3"/>
  <c r="B918" i="3"/>
  <c r="C918" i="3"/>
  <c r="D918" i="3"/>
  <c r="E918" i="3"/>
  <c r="F918" i="3"/>
  <c r="G918" i="3"/>
  <c r="H918" i="3"/>
  <c r="I918" i="3"/>
  <c r="J918" i="3"/>
  <c r="B919" i="3"/>
  <c r="C919" i="3"/>
  <c r="D919" i="3"/>
  <c r="E919" i="3"/>
  <c r="F919" i="3"/>
  <c r="G919" i="3"/>
  <c r="H919" i="3"/>
  <c r="I919" i="3"/>
  <c r="J919" i="3"/>
  <c r="B920" i="3"/>
  <c r="C920" i="3"/>
  <c r="D920" i="3"/>
  <c r="E920" i="3"/>
  <c r="F920" i="3"/>
  <c r="G920" i="3"/>
  <c r="H920" i="3"/>
  <c r="I920" i="3"/>
  <c r="J920" i="3"/>
  <c r="B921" i="3"/>
  <c r="C921" i="3"/>
  <c r="D921" i="3"/>
  <c r="E921" i="3"/>
  <c r="F921" i="3"/>
  <c r="G921" i="3"/>
  <c r="H921" i="3"/>
  <c r="I921" i="3"/>
  <c r="J921" i="3"/>
  <c r="B922" i="3"/>
  <c r="C922" i="3"/>
  <c r="D922" i="3"/>
  <c r="E922" i="3"/>
  <c r="F922" i="3"/>
  <c r="G922" i="3"/>
  <c r="H922" i="3"/>
  <c r="I922" i="3"/>
  <c r="J922" i="3"/>
  <c r="B923" i="3"/>
  <c r="C923" i="3"/>
  <c r="D923" i="3"/>
  <c r="E923" i="3"/>
  <c r="F923" i="3"/>
  <c r="G923" i="3"/>
  <c r="H923" i="3"/>
  <c r="I923" i="3"/>
  <c r="J923" i="3"/>
  <c r="B924" i="3"/>
  <c r="C924" i="3"/>
  <c r="D924" i="3"/>
  <c r="E924" i="3"/>
  <c r="F924" i="3"/>
  <c r="G924" i="3"/>
  <c r="H924" i="3"/>
  <c r="I924" i="3"/>
  <c r="J924" i="3"/>
  <c r="B925" i="3"/>
  <c r="C925" i="3"/>
  <c r="D925" i="3"/>
  <c r="E925" i="3"/>
  <c r="F925" i="3"/>
  <c r="G925" i="3"/>
  <c r="H925" i="3"/>
  <c r="I925" i="3"/>
  <c r="J925" i="3"/>
  <c r="B926" i="3"/>
  <c r="C926" i="3"/>
  <c r="D926" i="3"/>
  <c r="E926" i="3"/>
  <c r="F926" i="3"/>
  <c r="G926" i="3"/>
  <c r="H926" i="3"/>
  <c r="I926" i="3"/>
  <c r="J926" i="3"/>
  <c r="B927" i="3"/>
  <c r="C927" i="3"/>
  <c r="D927" i="3"/>
  <c r="E927" i="3"/>
  <c r="F927" i="3"/>
  <c r="G927" i="3"/>
  <c r="H927" i="3"/>
  <c r="I927" i="3"/>
  <c r="J927" i="3"/>
  <c r="B928" i="3"/>
  <c r="C928" i="3"/>
  <c r="D928" i="3"/>
  <c r="E928" i="3"/>
  <c r="F928" i="3"/>
  <c r="G928" i="3"/>
  <c r="H928" i="3"/>
  <c r="I928" i="3"/>
  <c r="J928" i="3"/>
  <c r="B929" i="3"/>
  <c r="C929" i="3"/>
  <c r="D929" i="3"/>
  <c r="E929" i="3"/>
  <c r="F929" i="3"/>
  <c r="G929" i="3"/>
  <c r="H929" i="3"/>
  <c r="I929" i="3"/>
  <c r="J929" i="3"/>
  <c r="B930" i="3"/>
  <c r="C930" i="3"/>
  <c r="D930" i="3"/>
  <c r="E930" i="3"/>
  <c r="F930" i="3"/>
  <c r="G930" i="3"/>
  <c r="H930" i="3"/>
  <c r="I930" i="3"/>
  <c r="J930" i="3"/>
  <c r="B931" i="3"/>
  <c r="C931" i="3"/>
  <c r="D931" i="3"/>
  <c r="E931" i="3"/>
  <c r="F931" i="3"/>
  <c r="G931" i="3"/>
  <c r="H931" i="3"/>
  <c r="I931" i="3"/>
  <c r="J931" i="3"/>
  <c r="B932" i="3"/>
  <c r="C932" i="3"/>
  <c r="D932" i="3"/>
  <c r="E932" i="3"/>
  <c r="F932" i="3"/>
  <c r="G932" i="3"/>
  <c r="H932" i="3"/>
  <c r="I932" i="3"/>
  <c r="J932" i="3"/>
  <c r="B933" i="3"/>
  <c r="C933" i="3"/>
  <c r="D933" i="3"/>
  <c r="E933" i="3"/>
  <c r="F933" i="3"/>
  <c r="G933" i="3"/>
  <c r="H933" i="3"/>
  <c r="I933" i="3"/>
  <c r="J933" i="3"/>
  <c r="B934" i="3"/>
  <c r="C934" i="3"/>
  <c r="D934" i="3"/>
  <c r="E934" i="3"/>
  <c r="F934" i="3"/>
  <c r="G934" i="3"/>
  <c r="H934" i="3"/>
  <c r="I934" i="3"/>
  <c r="J934" i="3"/>
  <c r="B935" i="3"/>
  <c r="C935" i="3"/>
  <c r="D935" i="3"/>
  <c r="E935" i="3"/>
  <c r="F935" i="3"/>
  <c r="G935" i="3"/>
  <c r="H935" i="3"/>
  <c r="I935" i="3"/>
  <c r="J935" i="3"/>
  <c r="B936" i="3"/>
  <c r="C936" i="3"/>
  <c r="D936" i="3"/>
  <c r="E936" i="3"/>
  <c r="F936" i="3"/>
  <c r="G936" i="3"/>
  <c r="H936" i="3"/>
  <c r="I936" i="3"/>
  <c r="J936" i="3"/>
  <c r="B937" i="3"/>
  <c r="C937" i="3"/>
  <c r="D937" i="3"/>
  <c r="E937" i="3"/>
  <c r="F937" i="3"/>
  <c r="G937" i="3"/>
  <c r="H937" i="3"/>
  <c r="I937" i="3"/>
  <c r="J937" i="3"/>
  <c r="B938" i="3"/>
  <c r="C938" i="3"/>
  <c r="D938" i="3"/>
  <c r="E938" i="3"/>
  <c r="F938" i="3"/>
  <c r="G938" i="3"/>
  <c r="H938" i="3"/>
  <c r="I938" i="3"/>
  <c r="J938" i="3"/>
  <c r="B939" i="3"/>
  <c r="C939" i="3"/>
  <c r="D939" i="3"/>
  <c r="E939" i="3"/>
  <c r="F939" i="3"/>
  <c r="G939" i="3"/>
  <c r="H939" i="3"/>
  <c r="I939" i="3"/>
  <c r="J939" i="3"/>
  <c r="B940" i="3"/>
  <c r="C940" i="3"/>
  <c r="D940" i="3"/>
  <c r="E940" i="3"/>
  <c r="F940" i="3"/>
  <c r="G940" i="3"/>
  <c r="H940" i="3"/>
  <c r="I940" i="3"/>
  <c r="J940" i="3"/>
  <c r="B941" i="3"/>
  <c r="C941" i="3"/>
  <c r="D941" i="3"/>
  <c r="E941" i="3"/>
  <c r="F941" i="3"/>
  <c r="G941" i="3"/>
  <c r="H941" i="3"/>
  <c r="I941" i="3"/>
  <c r="J941" i="3"/>
  <c r="B942" i="3"/>
  <c r="C942" i="3"/>
  <c r="D942" i="3"/>
  <c r="E942" i="3"/>
  <c r="F942" i="3"/>
  <c r="G942" i="3"/>
  <c r="H942" i="3"/>
  <c r="I942" i="3"/>
  <c r="J942" i="3"/>
  <c r="B943" i="3"/>
  <c r="C943" i="3"/>
  <c r="D943" i="3"/>
  <c r="E943" i="3"/>
  <c r="F943" i="3"/>
  <c r="G943" i="3"/>
  <c r="H943" i="3"/>
  <c r="I943" i="3"/>
  <c r="J943" i="3"/>
  <c r="B944" i="3"/>
  <c r="C944" i="3"/>
  <c r="D944" i="3"/>
  <c r="E944" i="3"/>
  <c r="F944" i="3"/>
  <c r="G944" i="3"/>
  <c r="H944" i="3"/>
  <c r="I944" i="3"/>
  <c r="J944" i="3"/>
  <c r="B945" i="3"/>
  <c r="C945" i="3"/>
  <c r="D945" i="3"/>
  <c r="E945" i="3"/>
  <c r="F945" i="3"/>
  <c r="G945" i="3"/>
  <c r="H945" i="3"/>
  <c r="I945" i="3"/>
  <c r="J945" i="3"/>
  <c r="B946" i="3"/>
  <c r="C946" i="3"/>
  <c r="D946" i="3"/>
  <c r="E946" i="3"/>
  <c r="F946" i="3"/>
  <c r="G946" i="3"/>
  <c r="H946" i="3"/>
  <c r="I946" i="3"/>
  <c r="J946" i="3"/>
  <c r="B947" i="3"/>
  <c r="C947" i="3"/>
  <c r="D947" i="3"/>
  <c r="E947" i="3"/>
  <c r="F947" i="3"/>
  <c r="G947" i="3"/>
  <c r="H947" i="3"/>
  <c r="I947" i="3"/>
  <c r="J947" i="3"/>
  <c r="B948" i="3"/>
  <c r="C948" i="3"/>
  <c r="D948" i="3"/>
  <c r="E948" i="3"/>
  <c r="F948" i="3"/>
  <c r="G948" i="3"/>
  <c r="H948" i="3"/>
  <c r="I948" i="3"/>
  <c r="J948" i="3"/>
  <c r="B949" i="3"/>
  <c r="C949" i="3"/>
  <c r="D949" i="3"/>
  <c r="E949" i="3"/>
  <c r="F949" i="3"/>
  <c r="G949" i="3"/>
  <c r="H949" i="3"/>
  <c r="I949" i="3"/>
  <c r="J949" i="3"/>
  <c r="B950" i="3"/>
  <c r="C950" i="3"/>
  <c r="D950" i="3"/>
  <c r="E950" i="3"/>
  <c r="F950" i="3"/>
  <c r="G950" i="3"/>
  <c r="H950" i="3"/>
  <c r="I950" i="3"/>
  <c r="J950" i="3"/>
  <c r="B951" i="3"/>
  <c r="C951" i="3"/>
  <c r="D951" i="3"/>
  <c r="E951" i="3"/>
  <c r="F951" i="3"/>
  <c r="G951" i="3"/>
  <c r="H951" i="3"/>
  <c r="I951" i="3"/>
  <c r="J951" i="3"/>
  <c r="B952" i="3"/>
  <c r="C952" i="3"/>
  <c r="D952" i="3"/>
  <c r="E952" i="3"/>
  <c r="F952" i="3"/>
  <c r="G952" i="3"/>
  <c r="H952" i="3"/>
  <c r="I952" i="3"/>
  <c r="J952" i="3"/>
  <c r="B953" i="3"/>
  <c r="C953" i="3"/>
  <c r="D953" i="3"/>
  <c r="E953" i="3"/>
  <c r="F953" i="3"/>
  <c r="G953" i="3"/>
  <c r="H953" i="3"/>
  <c r="I953" i="3"/>
  <c r="J953" i="3"/>
  <c r="B954" i="3"/>
  <c r="C954" i="3"/>
  <c r="D954" i="3"/>
  <c r="E954" i="3"/>
  <c r="F954" i="3"/>
  <c r="G954" i="3"/>
  <c r="H954" i="3"/>
  <c r="I954" i="3"/>
  <c r="J954" i="3"/>
  <c r="B955" i="3"/>
  <c r="C955" i="3"/>
  <c r="D955" i="3"/>
  <c r="E955" i="3"/>
  <c r="F955" i="3"/>
  <c r="G955" i="3"/>
  <c r="H955" i="3"/>
  <c r="I955" i="3"/>
  <c r="J955" i="3"/>
  <c r="B956" i="3"/>
  <c r="C956" i="3"/>
  <c r="D956" i="3"/>
  <c r="E956" i="3"/>
  <c r="F956" i="3"/>
  <c r="G956" i="3"/>
  <c r="H956" i="3"/>
  <c r="I956" i="3"/>
  <c r="J956" i="3"/>
  <c r="B957" i="3"/>
  <c r="C957" i="3"/>
  <c r="D957" i="3"/>
  <c r="E957" i="3"/>
  <c r="F957" i="3"/>
  <c r="G957" i="3"/>
  <c r="H957" i="3"/>
  <c r="I957" i="3"/>
  <c r="J957" i="3"/>
  <c r="B958" i="3"/>
  <c r="C958" i="3"/>
  <c r="D958" i="3"/>
  <c r="E958" i="3"/>
  <c r="F958" i="3"/>
  <c r="G958" i="3"/>
  <c r="H958" i="3"/>
  <c r="I958" i="3"/>
  <c r="J958" i="3"/>
  <c r="B959" i="3"/>
  <c r="C959" i="3"/>
  <c r="D959" i="3"/>
  <c r="E959" i="3"/>
  <c r="F959" i="3"/>
  <c r="G959" i="3"/>
  <c r="H959" i="3"/>
  <c r="I959" i="3"/>
  <c r="J959" i="3"/>
  <c r="B960" i="3"/>
  <c r="C960" i="3"/>
  <c r="D960" i="3"/>
  <c r="E960" i="3"/>
  <c r="F960" i="3"/>
  <c r="G960" i="3"/>
  <c r="H960" i="3"/>
  <c r="I960" i="3"/>
  <c r="J960" i="3"/>
  <c r="B961" i="3"/>
  <c r="C961" i="3"/>
  <c r="D961" i="3"/>
  <c r="E961" i="3"/>
  <c r="F961" i="3"/>
  <c r="G961" i="3"/>
  <c r="H961" i="3"/>
  <c r="I961" i="3"/>
  <c r="J961" i="3"/>
  <c r="B962" i="3"/>
  <c r="C962" i="3"/>
  <c r="D962" i="3"/>
  <c r="E962" i="3"/>
  <c r="F962" i="3"/>
  <c r="G962" i="3"/>
  <c r="H962" i="3"/>
  <c r="I962" i="3"/>
  <c r="J962" i="3"/>
  <c r="B963" i="3"/>
  <c r="C963" i="3"/>
  <c r="D963" i="3"/>
  <c r="E963" i="3"/>
  <c r="F963" i="3"/>
  <c r="G963" i="3"/>
  <c r="H963" i="3"/>
  <c r="I963" i="3"/>
  <c r="J963" i="3"/>
  <c r="B964" i="3"/>
  <c r="C964" i="3"/>
  <c r="D964" i="3"/>
  <c r="E964" i="3"/>
  <c r="F964" i="3"/>
  <c r="G964" i="3"/>
  <c r="H964" i="3"/>
  <c r="I964" i="3"/>
  <c r="J964" i="3"/>
  <c r="B965" i="3"/>
  <c r="C965" i="3"/>
  <c r="D965" i="3"/>
  <c r="E965" i="3"/>
  <c r="F965" i="3"/>
  <c r="G965" i="3"/>
  <c r="H965" i="3"/>
  <c r="I965" i="3"/>
  <c r="J965" i="3"/>
  <c r="B966" i="3"/>
  <c r="C966" i="3"/>
  <c r="D966" i="3"/>
  <c r="E966" i="3"/>
  <c r="F966" i="3"/>
  <c r="G966" i="3"/>
  <c r="H966" i="3"/>
  <c r="I966" i="3"/>
  <c r="J966" i="3"/>
  <c r="B967" i="3"/>
  <c r="C967" i="3"/>
  <c r="D967" i="3"/>
  <c r="E967" i="3"/>
  <c r="F967" i="3"/>
  <c r="G967" i="3"/>
  <c r="H967" i="3"/>
  <c r="I967" i="3"/>
  <c r="J967" i="3"/>
  <c r="B968" i="3"/>
  <c r="C968" i="3"/>
  <c r="D968" i="3"/>
  <c r="E968" i="3"/>
  <c r="F968" i="3"/>
  <c r="G968" i="3"/>
  <c r="H968" i="3"/>
  <c r="I968" i="3"/>
  <c r="J968" i="3"/>
  <c r="B969" i="3"/>
  <c r="C969" i="3"/>
  <c r="D969" i="3"/>
  <c r="E969" i="3"/>
  <c r="F969" i="3"/>
  <c r="G969" i="3"/>
  <c r="H969" i="3"/>
  <c r="I969" i="3"/>
  <c r="J969" i="3"/>
  <c r="B970" i="3"/>
  <c r="C970" i="3"/>
  <c r="D970" i="3"/>
  <c r="E970" i="3"/>
  <c r="F970" i="3"/>
  <c r="G970" i="3"/>
  <c r="H970" i="3"/>
  <c r="I970" i="3"/>
  <c r="J970" i="3"/>
  <c r="B971" i="3"/>
  <c r="C971" i="3"/>
  <c r="D971" i="3"/>
  <c r="E971" i="3"/>
  <c r="F971" i="3"/>
  <c r="G971" i="3"/>
  <c r="H971" i="3"/>
  <c r="I971" i="3"/>
  <c r="J971" i="3"/>
  <c r="B972" i="3"/>
  <c r="C972" i="3"/>
  <c r="D972" i="3"/>
  <c r="E972" i="3"/>
  <c r="F972" i="3"/>
  <c r="G972" i="3"/>
  <c r="H972" i="3"/>
  <c r="I972" i="3"/>
  <c r="J972" i="3"/>
  <c r="B973" i="3"/>
  <c r="C973" i="3"/>
  <c r="D973" i="3"/>
  <c r="E973" i="3"/>
  <c r="F973" i="3"/>
  <c r="G973" i="3"/>
  <c r="H973" i="3"/>
  <c r="I973" i="3"/>
  <c r="J973" i="3"/>
  <c r="B974" i="3"/>
  <c r="C974" i="3"/>
  <c r="D974" i="3"/>
  <c r="E974" i="3"/>
  <c r="F974" i="3"/>
  <c r="G974" i="3"/>
  <c r="H974" i="3"/>
  <c r="I974" i="3"/>
  <c r="J974" i="3"/>
  <c r="B975" i="3"/>
  <c r="C975" i="3"/>
  <c r="D975" i="3"/>
  <c r="E975" i="3"/>
  <c r="F975" i="3"/>
  <c r="G975" i="3"/>
  <c r="H975" i="3"/>
  <c r="I975" i="3"/>
  <c r="J975" i="3"/>
  <c r="B976" i="3"/>
  <c r="C976" i="3"/>
  <c r="D976" i="3"/>
  <c r="E976" i="3"/>
  <c r="F976" i="3"/>
  <c r="G976" i="3"/>
  <c r="H976" i="3"/>
  <c r="I976" i="3"/>
  <c r="J976" i="3"/>
  <c r="B977" i="3"/>
  <c r="C977" i="3"/>
  <c r="D977" i="3"/>
  <c r="E977" i="3"/>
  <c r="F977" i="3"/>
  <c r="G977" i="3"/>
  <c r="H977" i="3"/>
  <c r="I977" i="3"/>
  <c r="J977" i="3"/>
  <c r="B978" i="3"/>
  <c r="C978" i="3"/>
  <c r="D978" i="3"/>
  <c r="E978" i="3"/>
  <c r="F978" i="3"/>
  <c r="G978" i="3"/>
  <c r="H978" i="3"/>
  <c r="I978" i="3"/>
  <c r="J978" i="3"/>
  <c r="B979" i="3"/>
  <c r="C979" i="3"/>
  <c r="D979" i="3"/>
  <c r="E979" i="3"/>
  <c r="F979" i="3"/>
  <c r="G979" i="3"/>
  <c r="H979" i="3"/>
  <c r="I979" i="3"/>
  <c r="J979" i="3"/>
  <c r="B980" i="3"/>
  <c r="C980" i="3"/>
  <c r="D980" i="3"/>
  <c r="E980" i="3"/>
  <c r="F980" i="3"/>
  <c r="G980" i="3"/>
  <c r="H980" i="3"/>
  <c r="I980" i="3"/>
  <c r="J980" i="3"/>
  <c r="B981" i="3"/>
  <c r="C981" i="3"/>
  <c r="D981" i="3"/>
  <c r="E981" i="3"/>
  <c r="F981" i="3"/>
  <c r="G981" i="3"/>
  <c r="H981" i="3"/>
  <c r="I981" i="3"/>
  <c r="J981" i="3"/>
  <c r="B982" i="3"/>
  <c r="C982" i="3"/>
  <c r="D982" i="3"/>
  <c r="E982" i="3"/>
  <c r="F982" i="3"/>
  <c r="G982" i="3"/>
  <c r="H982" i="3"/>
  <c r="I982" i="3"/>
  <c r="J982" i="3"/>
  <c r="B983" i="3"/>
  <c r="C983" i="3"/>
  <c r="D983" i="3"/>
  <c r="E983" i="3"/>
  <c r="F983" i="3"/>
  <c r="G983" i="3"/>
  <c r="H983" i="3"/>
  <c r="I983" i="3"/>
  <c r="J983" i="3"/>
  <c r="B984" i="3"/>
  <c r="C984" i="3"/>
  <c r="D984" i="3"/>
  <c r="E984" i="3"/>
  <c r="F984" i="3"/>
  <c r="G984" i="3"/>
  <c r="H984" i="3"/>
  <c r="I984" i="3"/>
  <c r="J984" i="3"/>
  <c r="B985" i="3"/>
  <c r="C985" i="3"/>
  <c r="D985" i="3"/>
  <c r="E985" i="3"/>
  <c r="F985" i="3"/>
  <c r="G985" i="3"/>
  <c r="H985" i="3"/>
  <c r="I985" i="3"/>
  <c r="J985" i="3"/>
  <c r="B986" i="3"/>
  <c r="C986" i="3"/>
  <c r="D986" i="3"/>
  <c r="E986" i="3"/>
  <c r="F986" i="3"/>
  <c r="G986" i="3"/>
  <c r="H986" i="3"/>
  <c r="I986" i="3"/>
  <c r="J986" i="3"/>
  <c r="B987" i="3"/>
  <c r="C987" i="3"/>
  <c r="D987" i="3"/>
  <c r="E987" i="3"/>
  <c r="F987" i="3"/>
  <c r="G987" i="3"/>
  <c r="H987" i="3"/>
  <c r="I987" i="3"/>
  <c r="J987" i="3"/>
  <c r="B988" i="3"/>
  <c r="C988" i="3"/>
  <c r="D988" i="3"/>
  <c r="E988" i="3"/>
  <c r="F988" i="3"/>
  <c r="G988" i="3"/>
  <c r="H988" i="3"/>
  <c r="I988" i="3"/>
  <c r="J988" i="3"/>
  <c r="B989" i="3"/>
  <c r="C989" i="3"/>
  <c r="D989" i="3"/>
  <c r="E989" i="3"/>
  <c r="F989" i="3"/>
  <c r="G989" i="3"/>
  <c r="H989" i="3"/>
  <c r="I989" i="3"/>
  <c r="J989" i="3"/>
  <c r="B990" i="3"/>
  <c r="C990" i="3"/>
  <c r="D990" i="3"/>
  <c r="E990" i="3"/>
  <c r="F990" i="3"/>
  <c r="G990" i="3"/>
  <c r="H990" i="3"/>
  <c r="I990" i="3"/>
  <c r="J990" i="3"/>
  <c r="B991" i="3"/>
  <c r="C991" i="3"/>
  <c r="D991" i="3"/>
  <c r="E991" i="3"/>
  <c r="F991" i="3"/>
  <c r="G991" i="3"/>
  <c r="H991" i="3"/>
  <c r="I991" i="3"/>
  <c r="J991" i="3"/>
  <c r="B992" i="3"/>
  <c r="C992" i="3"/>
  <c r="D992" i="3"/>
  <c r="E992" i="3"/>
  <c r="F992" i="3"/>
  <c r="G992" i="3"/>
  <c r="H992" i="3"/>
  <c r="I992" i="3"/>
  <c r="J992" i="3"/>
  <c r="B993" i="3"/>
  <c r="C993" i="3"/>
  <c r="D993" i="3"/>
  <c r="E993" i="3"/>
  <c r="F993" i="3"/>
  <c r="G993" i="3"/>
  <c r="H993" i="3"/>
  <c r="I993" i="3"/>
  <c r="J993" i="3"/>
  <c r="B994" i="3"/>
  <c r="C994" i="3"/>
  <c r="D994" i="3"/>
  <c r="E994" i="3"/>
  <c r="F994" i="3"/>
  <c r="G994" i="3"/>
  <c r="H994" i="3"/>
  <c r="I994" i="3"/>
  <c r="J994" i="3"/>
  <c r="B995" i="3"/>
  <c r="C995" i="3"/>
  <c r="D995" i="3"/>
  <c r="E995" i="3"/>
  <c r="F995" i="3"/>
  <c r="G995" i="3"/>
  <c r="H995" i="3"/>
  <c r="I995" i="3"/>
  <c r="J995" i="3"/>
  <c r="B996" i="3"/>
  <c r="C996" i="3"/>
  <c r="D996" i="3"/>
  <c r="E996" i="3"/>
  <c r="F996" i="3"/>
  <c r="G996" i="3"/>
  <c r="H996" i="3"/>
  <c r="I996" i="3"/>
  <c r="J996" i="3"/>
  <c r="B997" i="3"/>
  <c r="C997" i="3"/>
  <c r="D997" i="3"/>
  <c r="E997" i="3"/>
  <c r="F997" i="3"/>
  <c r="G997" i="3"/>
  <c r="H997" i="3"/>
  <c r="I997" i="3"/>
  <c r="J997" i="3"/>
  <c r="B998" i="3"/>
  <c r="C998" i="3"/>
  <c r="D998" i="3"/>
  <c r="E998" i="3"/>
  <c r="F998" i="3"/>
  <c r="G998" i="3"/>
  <c r="H998" i="3"/>
  <c r="I998" i="3"/>
  <c r="J998" i="3"/>
  <c r="B999" i="3"/>
  <c r="C999" i="3"/>
  <c r="D999" i="3"/>
  <c r="E999" i="3"/>
  <c r="F999" i="3"/>
  <c r="G999" i="3"/>
  <c r="H999" i="3"/>
  <c r="I999" i="3"/>
  <c r="J999" i="3"/>
  <c r="B1000" i="3"/>
  <c r="C1000" i="3"/>
  <c r="D1000" i="3"/>
  <c r="E1000" i="3"/>
  <c r="F1000" i="3"/>
  <c r="G1000" i="3"/>
  <c r="H1000" i="3"/>
  <c r="I1000" i="3"/>
  <c r="J1000" i="3"/>
  <c r="B1001" i="3"/>
  <c r="C1001" i="3"/>
  <c r="D1001" i="3"/>
  <c r="E1001" i="3"/>
  <c r="F1001" i="3"/>
  <c r="G1001" i="3"/>
  <c r="H1001" i="3"/>
  <c r="I1001" i="3"/>
  <c r="J1001" i="3"/>
  <c r="B1002" i="3"/>
  <c r="C1002" i="3"/>
  <c r="D1002" i="3"/>
  <c r="E1002" i="3"/>
  <c r="F1002" i="3"/>
  <c r="G1002" i="3"/>
  <c r="H1002" i="3"/>
  <c r="I1002" i="3"/>
  <c r="J1002" i="3"/>
  <c r="B1003" i="3"/>
  <c r="C1003" i="3"/>
  <c r="D1003" i="3"/>
  <c r="E1003" i="3"/>
  <c r="F1003" i="3"/>
  <c r="G1003" i="3"/>
  <c r="H1003" i="3"/>
  <c r="I1003" i="3"/>
  <c r="J1003" i="3"/>
  <c r="B1004" i="3"/>
  <c r="C1004" i="3"/>
  <c r="D1004" i="3"/>
  <c r="E1004" i="3"/>
  <c r="F1004" i="3"/>
  <c r="G1004" i="3"/>
  <c r="H1004" i="3"/>
  <c r="I1004" i="3"/>
  <c r="J1004" i="3"/>
  <c r="B1005" i="3"/>
  <c r="C1005" i="3"/>
  <c r="D1005" i="3"/>
  <c r="E1005" i="3"/>
  <c r="F1005" i="3"/>
  <c r="G1005" i="3"/>
  <c r="H1005" i="3"/>
  <c r="I1005" i="3"/>
  <c r="J1005" i="3"/>
  <c r="B1006" i="3"/>
  <c r="C1006" i="3"/>
  <c r="D1006" i="3"/>
  <c r="E1006" i="3"/>
  <c r="F1006" i="3"/>
  <c r="G1006" i="3"/>
  <c r="H1006" i="3"/>
  <c r="I1006" i="3"/>
  <c r="J1006" i="3"/>
  <c r="B1007" i="3"/>
  <c r="C1007" i="3"/>
  <c r="D1007" i="3"/>
  <c r="E1007" i="3"/>
  <c r="F1007" i="3"/>
  <c r="G1007" i="3"/>
  <c r="H1007" i="3"/>
  <c r="I1007" i="3"/>
  <c r="J1007" i="3"/>
  <c r="B1008" i="3"/>
  <c r="C1008" i="3"/>
  <c r="D1008" i="3"/>
  <c r="E1008" i="3"/>
  <c r="F1008" i="3"/>
  <c r="G1008" i="3"/>
  <c r="H1008" i="3"/>
  <c r="I1008" i="3"/>
  <c r="J1008" i="3"/>
  <c r="B1009" i="3"/>
  <c r="C1009" i="3"/>
  <c r="D1009" i="3"/>
  <c r="E1009" i="3"/>
  <c r="F1009" i="3"/>
  <c r="G1009" i="3"/>
  <c r="H1009" i="3"/>
  <c r="I1009" i="3"/>
  <c r="J1009" i="3"/>
  <c r="B1010" i="3"/>
  <c r="C1010" i="3"/>
  <c r="D1010" i="3"/>
  <c r="E1010" i="3"/>
  <c r="F1010" i="3"/>
  <c r="G1010" i="3"/>
  <c r="H1010" i="3"/>
  <c r="I1010" i="3"/>
  <c r="J1010" i="3"/>
  <c r="B1011" i="3"/>
  <c r="C1011" i="3"/>
  <c r="D1011" i="3"/>
  <c r="E1011" i="3"/>
  <c r="F1011" i="3"/>
  <c r="G1011" i="3"/>
  <c r="H1011" i="3"/>
  <c r="I1011" i="3"/>
  <c r="J1011" i="3"/>
  <c r="B1012" i="3"/>
  <c r="C1012" i="3"/>
  <c r="D1012" i="3"/>
  <c r="E1012" i="3"/>
  <c r="F1012" i="3"/>
  <c r="G1012" i="3"/>
  <c r="H1012" i="3"/>
  <c r="I1012" i="3"/>
  <c r="J1012" i="3"/>
  <c r="B1013" i="3"/>
  <c r="C1013" i="3"/>
  <c r="D1013" i="3"/>
  <c r="E1013" i="3"/>
  <c r="F1013" i="3"/>
  <c r="G1013" i="3"/>
  <c r="H1013" i="3"/>
  <c r="I1013" i="3"/>
  <c r="J1013" i="3"/>
  <c r="B1014" i="3"/>
  <c r="C1014" i="3"/>
  <c r="D1014" i="3"/>
  <c r="E1014" i="3"/>
  <c r="F1014" i="3"/>
  <c r="G1014" i="3"/>
  <c r="H1014" i="3"/>
  <c r="I1014" i="3"/>
  <c r="J1014" i="3"/>
  <c r="B1015" i="3"/>
  <c r="C1015" i="3"/>
  <c r="D1015" i="3"/>
  <c r="E1015" i="3"/>
  <c r="F1015" i="3"/>
  <c r="G1015" i="3"/>
  <c r="H1015" i="3"/>
  <c r="I1015" i="3"/>
  <c r="J1015" i="3"/>
  <c r="B1016" i="3"/>
  <c r="C1016" i="3"/>
  <c r="D1016" i="3"/>
  <c r="E1016" i="3"/>
  <c r="F1016" i="3"/>
  <c r="G1016" i="3"/>
  <c r="H1016" i="3"/>
  <c r="I1016" i="3"/>
  <c r="J1016" i="3"/>
  <c r="B1017" i="3"/>
  <c r="C1017" i="3"/>
  <c r="D1017" i="3"/>
  <c r="E1017" i="3"/>
  <c r="F1017" i="3"/>
  <c r="G1017" i="3"/>
  <c r="H1017" i="3"/>
  <c r="I1017" i="3"/>
  <c r="J1017" i="3"/>
  <c r="B1018" i="3"/>
  <c r="C1018" i="3"/>
  <c r="D1018" i="3"/>
  <c r="E1018" i="3"/>
  <c r="F1018" i="3"/>
  <c r="G1018" i="3"/>
  <c r="H1018" i="3"/>
  <c r="I1018" i="3"/>
  <c r="J1018" i="3"/>
  <c r="B1019" i="3"/>
  <c r="C1019" i="3"/>
  <c r="D1019" i="3"/>
  <c r="E1019" i="3"/>
  <c r="F1019" i="3"/>
  <c r="G1019" i="3"/>
  <c r="H1019" i="3"/>
  <c r="I1019" i="3"/>
  <c r="J1019" i="3"/>
  <c r="B1020" i="3"/>
  <c r="C1020" i="3"/>
  <c r="D1020" i="3"/>
  <c r="E1020" i="3"/>
  <c r="F1020" i="3"/>
  <c r="G1020" i="3"/>
  <c r="H1020" i="3"/>
  <c r="I1020" i="3"/>
  <c r="J1020" i="3"/>
  <c r="B1021" i="3"/>
  <c r="C1021" i="3"/>
  <c r="D1021" i="3"/>
  <c r="E1021" i="3"/>
  <c r="F1021" i="3"/>
  <c r="G1021" i="3"/>
  <c r="H1021" i="3"/>
  <c r="I1021" i="3"/>
  <c r="J1021" i="3"/>
  <c r="B1022" i="3"/>
  <c r="C1022" i="3"/>
  <c r="D1022" i="3"/>
  <c r="E1022" i="3"/>
  <c r="F1022" i="3"/>
  <c r="G1022" i="3"/>
  <c r="H1022" i="3"/>
  <c r="I1022" i="3"/>
  <c r="J1022" i="3"/>
  <c r="B1023" i="3"/>
  <c r="C1023" i="3"/>
  <c r="D1023" i="3"/>
  <c r="E1023" i="3"/>
  <c r="F1023" i="3"/>
  <c r="G1023" i="3"/>
  <c r="H1023" i="3"/>
  <c r="I1023" i="3"/>
  <c r="J1023" i="3"/>
  <c r="B1024" i="3"/>
  <c r="C1024" i="3"/>
  <c r="D1024" i="3"/>
  <c r="E1024" i="3"/>
  <c r="F1024" i="3"/>
  <c r="G1024" i="3"/>
  <c r="H1024" i="3"/>
  <c r="I1024" i="3"/>
  <c r="J1024" i="3"/>
  <c r="B1025" i="3"/>
  <c r="C1025" i="3"/>
  <c r="D1025" i="3"/>
  <c r="E1025" i="3"/>
  <c r="F1025" i="3"/>
  <c r="G1025" i="3"/>
  <c r="H1025" i="3"/>
  <c r="I1025" i="3"/>
  <c r="J1025" i="3"/>
  <c r="B1026" i="3"/>
  <c r="C1026" i="3"/>
  <c r="D1026" i="3"/>
  <c r="E1026" i="3"/>
  <c r="F1026" i="3"/>
  <c r="G1026" i="3"/>
  <c r="H1026" i="3"/>
  <c r="I1026" i="3"/>
  <c r="J1026" i="3"/>
  <c r="B1027" i="3"/>
  <c r="C1027" i="3"/>
  <c r="D1027" i="3"/>
  <c r="E1027" i="3"/>
  <c r="F1027" i="3"/>
  <c r="G1027" i="3"/>
  <c r="H1027" i="3"/>
  <c r="I1027" i="3"/>
  <c r="J1027" i="3"/>
  <c r="B1028" i="3"/>
  <c r="C1028" i="3"/>
  <c r="D1028" i="3"/>
  <c r="E1028" i="3"/>
  <c r="F1028" i="3"/>
  <c r="G1028" i="3"/>
  <c r="H1028" i="3"/>
  <c r="I1028" i="3"/>
  <c r="J1028" i="3"/>
  <c r="B1029" i="3"/>
  <c r="C1029" i="3"/>
  <c r="D1029" i="3"/>
  <c r="E1029" i="3"/>
  <c r="F1029" i="3"/>
  <c r="G1029" i="3"/>
  <c r="H1029" i="3"/>
  <c r="I1029" i="3"/>
  <c r="J1029" i="3"/>
  <c r="B1030" i="3"/>
  <c r="C1030" i="3"/>
  <c r="D1030" i="3"/>
  <c r="E1030" i="3"/>
  <c r="F1030" i="3"/>
  <c r="G1030" i="3"/>
  <c r="H1030" i="3"/>
  <c r="I1030" i="3"/>
  <c r="J1030" i="3"/>
  <c r="B1031" i="3"/>
  <c r="C1031" i="3"/>
  <c r="D1031" i="3"/>
  <c r="E1031" i="3"/>
  <c r="F1031" i="3"/>
  <c r="G1031" i="3"/>
  <c r="H1031" i="3"/>
  <c r="I1031" i="3"/>
  <c r="J1031" i="3"/>
  <c r="B1032" i="3"/>
  <c r="C1032" i="3"/>
  <c r="D1032" i="3"/>
  <c r="E1032" i="3"/>
  <c r="F1032" i="3"/>
  <c r="G1032" i="3"/>
  <c r="H1032" i="3"/>
  <c r="I1032" i="3"/>
  <c r="J1032" i="3"/>
  <c r="B1033" i="3"/>
  <c r="C1033" i="3"/>
  <c r="D1033" i="3"/>
  <c r="E1033" i="3"/>
  <c r="F1033" i="3"/>
  <c r="G1033" i="3"/>
  <c r="H1033" i="3"/>
  <c r="I1033" i="3"/>
  <c r="J1033" i="3"/>
  <c r="B1034" i="3"/>
  <c r="C1034" i="3"/>
  <c r="D1034" i="3"/>
  <c r="E1034" i="3"/>
  <c r="F1034" i="3"/>
  <c r="G1034" i="3"/>
  <c r="H1034" i="3"/>
  <c r="I1034" i="3"/>
  <c r="J1034" i="3"/>
  <c r="B1035" i="3"/>
  <c r="C1035" i="3"/>
  <c r="D1035" i="3"/>
  <c r="E1035" i="3"/>
  <c r="F1035" i="3"/>
  <c r="G1035" i="3"/>
  <c r="H1035" i="3"/>
  <c r="I1035" i="3"/>
  <c r="J1035" i="3"/>
  <c r="B1036" i="3"/>
  <c r="C1036" i="3"/>
  <c r="D1036" i="3"/>
  <c r="E1036" i="3"/>
  <c r="F1036" i="3"/>
  <c r="G1036" i="3"/>
  <c r="H1036" i="3"/>
  <c r="I1036" i="3"/>
  <c r="J1036" i="3"/>
  <c r="B1037" i="3"/>
  <c r="C1037" i="3"/>
  <c r="D1037" i="3"/>
  <c r="E1037" i="3"/>
  <c r="F1037" i="3"/>
  <c r="G1037" i="3"/>
  <c r="H1037" i="3"/>
  <c r="I1037" i="3"/>
  <c r="J1037" i="3"/>
  <c r="B1038" i="3"/>
  <c r="C1038" i="3"/>
  <c r="D1038" i="3"/>
  <c r="E1038" i="3"/>
  <c r="F1038" i="3"/>
  <c r="G1038" i="3"/>
  <c r="H1038" i="3"/>
  <c r="I1038" i="3"/>
  <c r="J1038" i="3"/>
  <c r="B1039" i="3"/>
  <c r="C1039" i="3"/>
  <c r="D1039" i="3"/>
  <c r="E1039" i="3"/>
  <c r="F1039" i="3"/>
  <c r="G1039" i="3"/>
  <c r="H1039" i="3"/>
  <c r="I1039" i="3"/>
  <c r="J1039" i="3"/>
  <c r="B1040" i="3"/>
  <c r="C1040" i="3"/>
  <c r="D1040" i="3"/>
  <c r="E1040" i="3"/>
  <c r="F1040" i="3"/>
  <c r="G1040" i="3"/>
  <c r="H1040" i="3"/>
  <c r="I1040" i="3"/>
  <c r="J1040" i="3"/>
  <c r="B1041" i="3"/>
  <c r="C1041" i="3"/>
  <c r="D1041" i="3"/>
  <c r="E1041" i="3"/>
  <c r="F1041" i="3"/>
  <c r="G1041" i="3"/>
  <c r="H1041" i="3"/>
  <c r="I1041" i="3"/>
  <c r="J1041" i="3"/>
  <c r="B1042" i="3"/>
  <c r="C1042" i="3"/>
  <c r="D1042" i="3"/>
  <c r="E1042" i="3"/>
  <c r="F1042" i="3"/>
  <c r="G1042" i="3"/>
  <c r="H1042" i="3"/>
  <c r="I1042" i="3"/>
  <c r="J1042" i="3"/>
  <c r="B1043" i="3"/>
  <c r="C1043" i="3"/>
  <c r="D1043" i="3"/>
  <c r="E1043" i="3"/>
  <c r="F1043" i="3"/>
  <c r="G1043" i="3"/>
  <c r="H1043" i="3"/>
  <c r="I1043" i="3"/>
  <c r="J1043" i="3"/>
  <c r="B1044" i="3"/>
  <c r="C1044" i="3"/>
  <c r="D1044" i="3"/>
  <c r="E1044" i="3"/>
  <c r="F1044" i="3"/>
  <c r="G1044" i="3"/>
  <c r="H1044" i="3"/>
  <c r="I1044" i="3"/>
  <c r="J1044" i="3"/>
  <c r="B1045" i="3"/>
  <c r="C1045" i="3"/>
  <c r="D1045" i="3"/>
  <c r="E1045" i="3"/>
  <c r="F1045" i="3"/>
  <c r="G1045" i="3"/>
  <c r="H1045" i="3"/>
  <c r="I1045" i="3"/>
  <c r="J1045" i="3"/>
  <c r="B1046" i="3"/>
  <c r="C1046" i="3"/>
  <c r="D1046" i="3"/>
  <c r="E1046" i="3"/>
  <c r="F1046" i="3"/>
  <c r="G1046" i="3"/>
  <c r="H1046" i="3"/>
  <c r="I1046" i="3"/>
  <c r="J1046" i="3"/>
  <c r="B1047" i="3"/>
  <c r="C1047" i="3"/>
  <c r="D1047" i="3"/>
  <c r="E1047" i="3"/>
  <c r="F1047" i="3"/>
  <c r="G1047" i="3"/>
  <c r="H1047" i="3"/>
  <c r="I1047" i="3"/>
  <c r="J1047" i="3"/>
  <c r="B1048" i="3"/>
  <c r="C1048" i="3"/>
  <c r="D1048" i="3"/>
  <c r="E1048" i="3"/>
  <c r="F1048" i="3"/>
  <c r="G1048" i="3"/>
  <c r="H1048" i="3"/>
  <c r="I1048" i="3"/>
  <c r="J1048" i="3"/>
  <c r="B1049" i="3"/>
  <c r="C1049" i="3"/>
  <c r="D1049" i="3"/>
  <c r="E1049" i="3"/>
  <c r="F1049" i="3"/>
  <c r="G1049" i="3"/>
  <c r="H1049" i="3"/>
  <c r="I1049" i="3"/>
  <c r="J1049" i="3"/>
  <c r="B1050" i="3"/>
  <c r="C1050" i="3"/>
  <c r="D1050" i="3"/>
  <c r="E1050" i="3"/>
  <c r="F1050" i="3"/>
  <c r="G1050" i="3"/>
  <c r="H1050" i="3"/>
  <c r="I1050" i="3"/>
  <c r="J1050" i="3"/>
  <c r="B1051" i="3"/>
  <c r="C1051" i="3"/>
  <c r="D1051" i="3"/>
  <c r="E1051" i="3"/>
  <c r="F1051" i="3"/>
  <c r="G1051" i="3"/>
  <c r="H1051" i="3"/>
  <c r="I1051" i="3"/>
  <c r="J1051" i="3"/>
  <c r="B1052" i="3"/>
  <c r="C1052" i="3"/>
  <c r="D1052" i="3"/>
  <c r="E1052" i="3"/>
  <c r="F1052" i="3"/>
  <c r="G1052" i="3"/>
  <c r="H1052" i="3"/>
  <c r="I1052" i="3"/>
  <c r="J1052" i="3"/>
  <c r="B1053" i="3"/>
  <c r="C1053" i="3"/>
  <c r="D1053" i="3"/>
  <c r="E1053" i="3"/>
  <c r="F1053" i="3"/>
  <c r="G1053" i="3"/>
  <c r="H1053" i="3"/>
  <c r="I1053" i="3"/>
  <c r="J1053" i="3"/>
  <c r="B1054" i="3"/>
  <c r="C1054" i="3"/>
  <c r="D1054" i="3"/>
  <c r="E1054" i="3"/>
  <c r="F1054" i="3"/>
  <c r="G1054" i="3"/>
  <c r="H1054" i="3"/>
  <c r="I1054" i="3"/>
  <c r="J1054" i="3"/>
  <c r="B1055" i="3"/>
  <c r="C1055" i="3"/>
  <c r="D1055" i="3"/>
  <c r="E1055" i="3"/>
  <c r="F1055" i="3"/>
  <c r="G1055" i="3"/>
  <c r="H1055" i="3"/>
  <c r="I1055" i="3"/>
  <c r="J1055" i="3"/>
  <c r="B1057" i="3"/>
  <c r="D1058" i="3"/>
  <c r="I1058" i="3"/>
  <c r="J1058" i="3"/>
  <c r="D1059" i="3"/>
  <c r="E1059" i="3"/>
  <c r="G1060" i="3"/>
  <c r="C1061" i="3"/>
  <c r="E1061" i="3"/>
  <c r="G1061" i="3"/>
  <c r="I1061" i="3"/>
  <c r="J1062" i="3"/>
  <c r="G1063" i="3"/>
  <c r="H1063" i="3"/>
  <c r="B1064" i="3"/>
  <c r="C1064" i="3"/>
  <c r="E1065" i="3"/>
  <c r="J1065" i="3"/>
  <c r="B1066" i="3"/>
  <c r="E1066" i="3"/>
  <c r="F1066" i="3"/>
  <c r="H1067" i="3"/>
  <c r="D1068" i="3"/>
  <c r="F1068" i="3"/>
  <c r="H1068" i="3"/>
  <c r="J1068" i="3"/>
  <c r="B1070" i="3"/>
  <c r="H1070" i="3"/>
  <c r="I1070" i="3"/>
  <c r="C1071" i="3"/>
  <c r="D1071" i="3"/>
  <c r="F1072" i="3"/>
  <c r="B1073" i="3"/>
  <c r="C1073" i="3"/>
  <c r="F1073" i="3"/>
  <c r="G1073" i="3"/>
  <c r="I1074" i="3"/>
  <c r="E1075" i="3"/>
  <c r="G1075" i="3"/>
  <c r="I1075" i="3"/>
  <c r="B1076" i="3"/>
  <c r="D1078" i="3"/>
  <c r="E1078" i="3"/>
  <c r="G1080" i="3"/>
  <c r="H1080" i="3"/>
  <c r="A1081" i="3"/>
  <c r="A1082" i="3" s="1"/>
  <c r="A1083" i="3" s="1"/>
  <c r="A1084" i="3" s="1"/>
  <c r="F1082" i="3"/>
  <c r="H1082" i="3"/>
  <c r="G1084" i="3"/>
  <c r="J1084" i="3"/>
  <c r="A1085" i="3"/>
  <c r="A1086" i="3" s="1"/>
  <c r="H1086" i="3"/>
  <c r="A1087" i="3"/>
  <c r="A1088" i="3" s="1"/>
  <c r="A1089" i="3" s="1"/>
  <c r="A1090" i="3" s="1"/>
  <c r="A1091" i="3" s="1"/>
  <c r="A1092" i="3" s="1"/>
  <c r="A1093" i="3" s="1"/>
  <c r="A1094" i="3" s="1"/>
  <c r="A1095" i="3" s="1"/>
  <c r="A1096" i="3" s="1"/>
  <c r="A1097" i="3" s="1"/>
  <c r="A1098" i="3" s="1"/>
  <c r="A1099" i="3" s="1"/>
  <c r="A1100" i="3" s="1"/>
  <c r="A1101" i="3" s="1"/>
  <c r="A1102" i="3" s="1"/>
  <c r="A1103" i="3" s="1"/>
  <c r="A1104" i="3" s="1"/>
  <c r="A1105" i="3" s="1"/>
  <c r="J1088" i="3"/>
  <c r="B1089" i="3"/>
  <c r="D1091" i="3"/>
  <c r="B1093" i="3"/>
  <c r="E1093" i="3"/>
  <c r="F1095" i="3"/>
  <c r="H1097" i="3"/>
  <c r="I1099" i="3"/>
  <c r="J1101" i="3"/>
  <c r="B1104" i="3"/>
  <c r="D9" i="2"/>
  <c r="F9" i="2"/>
  <c r="B14" i="2"/>
  <c r="C14" i="2"/>
  <c r="D14" i="2"/>
  <c r="E14" i="2"/>
  <c r="F14" i="2"/>
  <c r="G14" i="2"/>
  <c r="H14" i="2"/>
  <c r="I14" i="2"/>
  <c r="J14" i="2"/>
  <c r="K14" i="2"/>
  <c r="B15" i="2"/>
  <c r="C15" i="2"/>
  <c r="D15" i="2"/>
  <c r="E15" i="2"/>
  <c r="F15" i="2"/>
  <c r="G15" i="2"/>
  <c r="H15" i="2"/>
  <c r="I15" i="2"/>
  <c r="J15" i="2"/>
  <c r="K15" i="2"/>
  <c r="B16" i="2"/>
  <c r="C16" i="2"/>
  <c r="D16" i="2"/>
  <c r="E16" i="2"/>
  <c r="F16" i="2"/>
  <c r="G16" i="2"/>
  <c r="H16" i="2"/>
  <c r="I16" i="2"/>
  <c r="J16" i="2"/>
  <c r="K16" i="2"/>
  <c r="B17" i="2"/>
  <c r="C17" i="2"/>
  <c r="D17" i="2"/>
  <c r="E17" i="2"/>
  <c r="F17" i="2"/>
  <c r="G17" i="2"/>
  <c r="H17" i="2"/>
  <c r="I17" i="2"/>
  <c r="J17" i="2"/>
  <c r="K17" i="2"/>
  <c r="B18" i="2"/>
  <c r="C18" i="2"/>
  <c r="D18" i="2"/>
  <c r="E18" i="2"/>
  <c r="F18" i="2"/>
  <c r="G18" i="2"/>
  <c r="H18" i="2"/>
  <c r="I18" i="2"/>
  <c r="J18" i="2"/>
  <c r="K18" i="2"/>
  <c r="B19" i="2"/>
  <c r="C19" i="2"/>
  <c r="D19" i="2"/>
  <c r="E19" i="2"/>
  <c r="F19" i="2"/>
  <c r="G19" i="2"/>
  <c r="H19" i="2"/>
  <c r="I19" i="2"/>
  <c r="J19" i="2"/>
  <c r="K19" i="2"/>
  <c r="B20" i="2"/>
  <c r="C20" i="2"/>
  <c r="D20" i="2"/>
  <c r="E20" i="2"/>
  <c r="F20" i="2"/>
  <c r="G20" i="2"/>
  <c r="H20" i="2"/>
  <c r="I20" i="2"/>
  <c r="J20" i="2"/>
  <c r="K20" i="2"/>
  <c r="B21" i="2"/>
  <c r="C21" i="2"/>
  <c r="D21" i="2"/>
  <c r="E21" i="2"/>
  <c r="F21" i="2"/>
  <c r="G21" i="2"/>
  <c r="H21" i="2"/>
  <c r="I21" i="2"/>
  <c r="J21" i="2"/>
  <c r="K21" i="2"/>
  <c r="B22" i="2"/>
  <c r="C22" i="2"/>
  <c r="D22" i="2"/>
  <c r="E22" i="2"/>
  <c r="F22" i="2"/>
  <c r="G22" i="2"/>
  <c r="H22" i="2"/>
  <c r="I22" i="2"/>
  <c r="J22" i="2"/>
  <c r="K22" i="2"/>
  <c r="B23" i="2"/>
  <c r="C23" i="2"/>
  <c r="D23" i="2"/>
  <c r="E23" i="2"/>
  <c r="F23" i="2"/>
  <c r="G23" i="2"/>
  <c r="H23" i="2"/>
  <c r="I23" i="2"/>
  <c r="J23" i="2"/>
  <c r="K23" i="2"/>
  <c r="B24" i="2"/>
  <c r="C24" i="2"/>
  <c r="D24" i="2"/>
  <c r="E24" i="2"/>
  <c r="F24" i="2"/>
  <c r="G24" i="2"/>
  <c r="H24" i="2"/>
  <c r="I24" i="2"/>
  <c r="J24" i="2"/>
  <c r="K24" i="2"/>
  <c r="B25" i="2"/>
  <c r="C25" i="2"/>
  <c r="D25" i="2"/>
  <c r="E25" i="2"/>
  <c r="F25" i="2"/>
  <c r="G25" i="2"/>
  <c r="H25" i="2"/>
  <c r="I25" i="2"/>
  <c r="J25" i="2"/>
  <c r="K25" i="2"/>
  <c r="B26" i="2"/>
  <c r="C26" i="2"/>
  <c r="D26" i="2"/>
  <c r="E26" i="2"/>
  <c r="F26" i="2"/>
  <c r="G26" i="2"/>
  <c r="H26" i="2"/>
  <c r="I26" i="2"/>
  <c r="J26" i="2"/>
  <c r="K26" i="2"/>
  <c r="B27" i="2"/>
  <c r="C27" i="2"/>
  <c r="D27" i="2"/>
  <c r="E27" i="2"/>
  <c r="F27" i="2"/>
  <c r="G27" i="2"/>
  <c r="H27" i="2"/>
  <c r="I27" i="2"/>
  <c r="J27" i="2"/>
  <c r="K27" i="2"/>
  <c r="B28" i="2"/>
  <c r="C28" i="2"/>
  <c r="D28" i="2"/>
  <c r="E28" i="2"/>
  <c r="F28" i="2"/>
  <c r="G28" i="2"/>
  <c r="H28" i="2"/>
  <c r="I28" i="2"/>
  <c r="J28" i="2"/>
  <c r="K28" i="2"/>
  <c r="B29" i="2"/>
  <c r="C29" i="2"/>
  <c r="D29" i="2"/>
  <c r="E29" i="2"/>
  <c r="F29" i="2"/>
  <c r="G29" i="2"/>
  <c r="H29" i="2"/>
  <c r="I29" i="2"/>
  <c r="J29" i="2"/>
  <c r="K29" i="2"/>
  <c r="B30" i="2"/>
  <c r="C30" i="2"/>
  <c r="D30" i="2"/>
  <c r="E30" i="2"/>
  <c r="F30" i="2"/>
  <c r="G30" i="2"/>
  <c r="H30" i="2"/>
  <c r="I30" i="2"/>
  <c r="J30" i="2"/>
  <c r="K30" i="2"/>
  <c r="B31" i="2"/>
  <c r="C31" i="2"/>
  <c r="D31" i="2"/>
  <c r="E31" i="2"/>
  <c r="F31" i="2"/>
  <c r="G31" i="2"/>
  <c r="H31" i="2"/>
  <c r="I31" i="2"/>
  <c r="J31" i="2"/>
  <c r="K31" i="2"/>
  <c r="B32" i="2"/>
  <c r="C32" i="2"/>
  <c r="D32" i="2"/>
  <c r="E32" i="2"/>
  <c r="F32" i="2"/>
  <c r="G32" i="2"/>
  <c r="H32" i="2"/>
  <c r="I32" i="2"/>
  <c r="J32" i="2"/>
  <c r="K32" i="2"/>
  <c r="B33" i="2"/>
  <c r="C33" i="2"/>
  <c r="D33" i="2"/>
  <c r="E33" i="2"/>
  <c r="F33" i="2"/>
  <c r="G33" i="2"/>
  <c r="H33" i="2"/>
  <c r="I33" i="2"/>
  <c r="J33" i="2"/>
  <c r="K33" i="2"/>
  <c r="B34" i="2"/>
  <c r="C34" i="2"/>
  <c r="D34" i="2"/>
  <c r="E34" i="2"/>
  <c r="F34" i="2"/>
  <c r="G34" i="2"/>
  <c r="H34" i="2"/>
  <c r="I34" i="2"/>
  <c r="J34" i="2"/>
  <c r="K34" i="2"/>
  <c r="B35" i="2"/>
  <c r="C35" i="2"/>
  <c r="D35" i="2"/>
  <c r="E35" i="2"/>
  <c r="F35" i="2"/>
  <c r="G35" i="2"/>
  <c r="H35" i="2"/>
  <c r="I35" i="2"/>
  <c r="J35" i="2"/>
  <c r="K35" i="2"/>
  <c r="B36" i="2"/>
  <c r="C36" i="2"/>
  <c r="D36" i="2"/>
  <c r="E36" i="2"/>
  <c r="F36" i="2"/>
  <c r="G36" i="2"/>
  <c r="H36" i="2"/>
  <c r="I36" i="2"/>
  <c r="J36" i="2"/>
  <c r="K36" i="2"/>
  <c r="B37" i="2"/>
  <c r="C37" i="2"/>
  <c r="D37" i="2"/>
  <c r="E37" i="2"/>
  <c r="F37" i="2"/>
  <c r="G37" i="2"/>
  <c r="H37" i="2"/>
  <c r="I37" i="2"/>
  <c r="J37" i="2"/>
  <c r="K37" i="2"/>
  <c r="B38" i="2"/>
  <c r="C38" i="2"/>
  <c r="D38" i="2"/>
  <c r="E38" i="2"/>
  <c r="F38" i="2"/>
  <c r="G38" i="2"/>
  <c r="H38" i="2"/>
  <c r="I38" i="2"/>
  <c r="J38" i="2"/>
  <c r="K38" i="2"/>
  <c r="B39" i="2"/>
  <c r="C39" i="2"/>
  <c r="D39" i="2"/>
  <c r="E39" i="2"/>
  <c r="F39" i="2"/>
  <c r="G39" i="2"/>
  <c r="H39" i="2"/>
  <c r="I39" i="2"/>
  <c r="J39" i="2"/>
  <c r="K39" i="2"/>
  <c r="B40" i="2"/>
  <c r="C40" i="2"/>
  <c r="D40" i="2"/>
  <c r="E40" i="2"/>
  <c r="F40" i="2"/>
  <c r="G40" i="2"/>
  <c r="H40" i="2"/>
  <c r="I40" i="2"/>
  <c r="J40" i="2"/>
  <c r="K40" i="2"/>
  <c r="B41" i="2"/>
  <c r="C41" i="2"/>
  <c r="D41" i="2"/>
  <c r="E41" i="2"/>
  <c r="F41" i="2"/>
  <c r="G41" i="2"/>
  <c r="H41" i="2"/>
  <c r="I41" i="2"/>
  <c r="J41" i="2"/>
  <c r="K41" i="2"/>
  <c r="B42" i="2"/>
  <c r="C42" i="2"/>
  <c r="D42" i="2"/>
  <c r="E42" i="2"/>
  <c r="F42" i="2"/>
  <c r="G42" i="2"/>
  <c r="H42" i="2"/>
  <c r="I42" i="2"/>
  <c r="J42" i="2"/>
  <c r="K42" i="2"/>
  <c r="B43" i="2"/>
  <c r="C43" i="2"/>
  <c r="D43" i="2"/>
  <c r="E43" i="2"/>
  <c r="F43" i="2"/>
  <c r="G43" i="2"/>
  <c r="H43" i="2"/>
  <c r="I43" i="2"/>
  <c r="J43" i="2"/>
  <c r="K43" i="2"/>
  <c r="B44" i="2"/>
  <c r="C44" i="2"/>
  <c r="D44" i="2"/>
  <c r="E44" i="2"/>
  <c r="F44" i="2"/>
  <c r="G44" i="2"/>
  <c r="H44" i="2"/>
  <c r="I44" i="2"/>
  <c r="J44" i="2"/>
  <c r="K44" i="2"/>
  <c r="B45" i="2"/>
  <c r="C45" i="2"/>
  <c r="D45" i="2"/>
  <c r="E45" i="2"/>
  <c r="F45" i="2"/>
  <c r="G45" i="2"/>
  <c r="H45" i="2"/>
  <c r="I45" i="2"/>
  <c r="J45" i="2"/>
  <c r="K45" i="2"/>
  <c r="B46" i="2"/>
  <c r="C46" i="2"/>
  <c r="D46" i="2"/>
  <c r="E46" i="2"/>
  <c r="F46" i="2"/>
  <c r="G46" i="2"/>
  <c r="H46" i="2"/>
  <c r="I46" i="2"/>
  <c r="J46" i="2"/>
  <c r="K46" i="2"/>
  <c r="B47" i="2"/>
  <c r="C47" i="2"/>
  <c r="D47" i="2"/>
  <c r="E47" i="2"/>
  <c r="F47" i="2"/>
  <c r="G47" i="2"/>
  <c r="H47" i="2"/>
  <c r="I47" i="2"/>
  <c r="J47" i="2"/>
  <c r="K47" i="2"/>
  <c r="B48" i="2"/>
  <c r="C48" i="2"/>
  <c r="D48" i="2"/>
  <c r="E48" i="2"/>
  <c r="F48" i="2"/>
  <c r="G48" i="2"/>
  <c r="H48" i="2"/>
  <c r="I48" i="2"/>
  <c r="J48" i="2"/>
  <c r="K48" i="2"/>
  <c r="B49" i="2"/>
  <c r="C49" i="2"/>
  <c r="D49" i="2"/>
  <c r="E49" i="2"/>
  <c r="F49" i="2"/>
  <c r="G49" i="2"/>
  <c r="H49" i="2"/>
  <c r="I49" i="2"/>
  <c r="J49" i="2"/>
  <c r="K49" i="2"/>
  <c r="B50" i="2"/>
  <c r="C50" i="2"/>
  <c r="D50" i="2"/>
  <c r="E50" i="2"/>
  <c r="F50" i="2"/>
  <c r="G50" i="2"/>
  <c r="H50" i="2"/>
  <c r="I50" i="2"/>
  <c r="J50" i="2"/>
  <c r="K50" i="2"/>
  <c r="B51" i="2"/>
  <c r="C51" i="2"/>
  <c r="D51" i="2"/>
  <c r="E51" i="2"/>
  <c r="F51" i="2"/>
  <c r="G51" i="2"/>
  <c r="H51" i="2"/>
  <c r="I51" i="2"/>
  <c r="J51" i="2"/>
  <c r="K51" i="2"/>
  <c r="B52" i="2"/>
  <c r="C52" i="2"/>
  <c r="D52" i="2"/>
  <c r="E52" i="2"/>
  <c r="F52" i="2"/>
  <c r="G52" i="2"/>
  <c r="H52" i="2"/>
  <c r="I52" i="2"/>
  <c r="J52" i="2"/>
  <c r="K52" i="2"/>
  <c r="B53" i="2"/>
  <c r="C53" i="2"/>
  <c r="D53" i="2"/>
  <c r="E53" i="2"/>
  <c r="F53" i="2"/>
  <c r="G53" i="2"/>
  <c r="H53" i="2"/>
  <c r="I53" i="2"/>
  <c r="J53" i="2"/>
  <c r="K53" i="2"/>
  <c r="B54" i="2"/>
  <c r="C54" i="2"/>
  <c r="D54" i="2"/>
  <c r="E54" i="2"/>
  <c r="F54" i="2"/>
  <c r="G54" i="2"/>
  <c r="H54" i="2"/>
  <c r="I54" i="2"/>
  <c r="J54" i="2"/>
  <c r="K54" i="2"/>
  <c r="B55" i="2"/>
  <c r="C55" i="2"/>
  <c r="D55" i="2"/>
  <c r="E55" i="2"/>
  <c r="F55" i="2"/>
  <c r="G55" i="2"/>
  <c r="H55" i="2"/>
  <c r="I55" i="2"/>
  <c r="J55" i="2"/>
  <c r="K55" i="2"/>
  <c r="B56" i="2"/>
  <c r="C56" i="2"/>
  <c r="D56" i="2"/>
  <c r="E56" i="2"/>
  <c r="F56" i="2"/>
  <c r="G56" i="2"/>
  <c r="H56" i="2"/>
  <c r="I56" i="2"/>
  <c r="J56" i="2"/>
  <c r="K56" i="2"/>
  <c r="B57" i="2"/>
  <c r="C57" i="2"/>
  <c r="D57" i="2"/>
  <c r="E57" i="2"/>
  <c r="F57" i="2"/>
  <c r="G57" i="2"/>
  <c r="H57" i="2"/>
  <c r="I57" i="2"/>
  <c r="J57" i="2"/>
  <c r="K57" i="2"/>
  <c r="B58" i="2"/>
  <c r="C58" i="2"/>
  <c r="D58" i="2"/>
  <c r="E58" i="2"/>
  <c r="F58" i="2"/>
  <c r="G58" i="2"/>
  <c r="H58" i="2"/>
  <c r="I58" i="2"/>
  <c r="J58" i="2"/>
  <c r="K58" i="2"/>
  <c r="B59" i="2"/>
  <c r="C59" i="2"/>
  <c r="D59" i="2"/>
  <c r="E59" i="2"/>
  <c r="F59" i="2"/>
  <c r="G59" i="2"/>
  <c r="H59" i="2"/>
  <c r="I59" i="2"/>
  <c r="J59" i="2"/>
  <c r="K59" i="2"/>
  <c r="B60" i="2"/>
  <c r="C60" i="2"/>
  <c r="D60" i="2"/>
  <c r="E60" i="2"/>
  <c r="F60" i="2"/>
  <c r="G60" i="2"/>
  <c r="H60" i="2"/>
  <c r="I60" i="2"/>
  <c r="J60" i="2"/>
  <c r="K60" i="2"/>
  <c r="B61" i="2"/>
  <c r="C61" i="2"/>
  <c r="D61" i="2"/>
  <c r="E61" i="2"/>
  <c r="F61" i="2"/>
  <c r="G61" i="2"/>
  <c r="H61" i="2"/>
  <c r="I61" i="2"/>
  <c r="J61" i="2"/>
  <c r="K61" i="2"/>
  <c r="B62" i="2"/>
  <c r="C62" i="2"/>
  <c r="D62" i="2"/>
  <c r="E62" i="2"/>
  <c r="F62" i="2"/>
  <c r="G62" i="2"/>
  <c r="H62" i="2"/>
  <c r="I62" i="2"/>
  <c r="J62" i="2"/>
  <c r="K62" i="2"/>
  <c r="B63" i="2"/>
  <c r="C63" i="2"/>
  <c r="D63" i="2"/>
  <c r="E63" i="2"/>
  <c r="F63" i="2"/>
  <c r="G63" i="2"/>
  <c r="H63" i="2"/>
  <c r="I63" i="2"/>
  <c r="J63" i="2"/>
  <c r="K63" i="2"/>
  <c r="B64" i="2"/>
  <c r="C64" i="2"/>
  <c r="D64" i="2"/>
  <c r="E64" i="2"/>
  <c r="F64" i="2"/>
  <c r="G64" i="2"/>
  <c r="H64" i="2"/>
  <c r="I64" i="2"/>
  <c r="J64" i="2"/>
  <c r="K64" i="2"/>
  <c r="B65" i="2"/>
  <c r="C65" i="2"/>
  <c r="D65" i="2"/>
  <c r="E65" i="2"/>
  <c r="F65" i="2"/>
  <c r="G65" i="2"/>
  <c r="H65" i="2"/>
  <c r="I65" i="2"/>
  <c r="J65" i="2"/>
  <c r="K65" i="2"/>
  <c r="B66" i="2"/>
  <c r="C66" i="2"/>
  <c r="D66" i="2"/>
  <c r="E66" i="2"/>
  <c r="F66" i="2"/>
  <c r="G66" i="2"/>
  <c r="H66" i="2"/>
  <c r="I66" i="2"/>
  <c r="J66" i="2"/>
  <c r="K66" i="2"/>
  <c r="B67" i="2"/>
  <c r="C67" i="2"/>
  <c r="D67" i="2"/>
  <c r="E67" i="2"/>
  <c r="F67" i="2"/>
  <c r="G67" i="2"/>
  <c r="H67" i="2"/>
  <c r="I67" i="2"/>
  <c r="J67" i="2"/>
  <c r="K67" i="2"/>
  <c r="B68" i="2"/>
  <c r="C68" i="2"/>
  <c r="D68" i="2"/>
  <c r="E68" i="2"/>
  <c r="F68" i="2"/>
  <c r="G68" i="2"/>
  <c r="H68" i="2"/>
  <c r="I68" i="2"/>
  <c r="J68" i="2"/>
  <c r="K68" i="2"/>
  <c r="B69" i="2"/>
  <c r="C69" i="2"/>
  <c r="D69" i="2"/>
  <c r="E69" i="2"/>
  <c r="F69" i="2"/>
  <c r="G69" i="2"/>
  <c r="H69" i="2"/>
  <c r="I69" i="2"/>
  <c r="J69" i="2"/>
  <c r="K69" i="2"/>
  <c r="B70" i="2"/>
  <c r="C70" i="2"/>
  <c r="D70" i="2"/>
  <c r="E70" i="2"/>
  <c r="F70" i="2"/>
  <c r="G70" i="2"/>
  <c r="H70" i="2"/>
  <c r="I70" i="2"/>
  <c r="J70" i="2"/>
  <c r="K70" i="2"/>
  <c r="B71" i="2"/>
  <c r="C71" i="2"/>
  <c r="D71" i="2"/>
  <c r="E71" i="2"/>
  <c r="F71" i="2"/>
  <c r="G71" i="2"/>
  <c r="H71" i="2"/>
  <c r="I71" i="2"/>
  <c r="J71" i="2"/>
  <c r="K71" i="2"/>
  <c r="B72" i="2"/>
  <c r="C72" i="2"/>
  <c r="D72" i="2"/>
  <c r="E72" i="2"/>
  <c r="F72" i="2"/>
  <c r="G72" i="2"/>
  <c r="H72" i="2"/>
  <c r="I72" i="2"/>
  <c r="J72" i="2"/>
  <c r="K72" i="2"/>
  <c r="B73" i="2"/>
  <c r="C73" i="2"/>
  <c r="D73" i="2"/>
  <c r="E73" i="2"/>
  <c r="F73" i="2"/>
  <c r="G73" i="2"/>
  <c r="H73" i="2"/>
  <c r="I73" i="2"/>
  <c r="J73" i="2"/>
  <c r="K73" i="2"/>
  <c r="B74" i="2"/>
  <c r="C74" i="2"/>
  <c r="D74" i="2"/>
  <c r="E74" i="2"/>
  <c r="F74" i="2"/>
  <c r="G74" i="2"/>
  <c r="H74" i="2"/>
  <c r="I74" i="2"/>
  <c r="J74" i="2"/>
  <c r="K74" i="2"/>
  <c r="B75" i="2"/>
  <c r="C75" i="2"/>
  <c r="D75" i="2"/>
  <c r="E75" i="2"/>
  <c r="F75" i="2"/>
  <c r="G75" i="2"/>
  <c r="H75" i="2"/>
  <c r="I75" i="2"/>
  <c r="J75" i="2"/>
  <c r="K75" i="2"/>
  <c r="B76" i="2"/>
  <c r="C76" i="2"/>
  <c r="D76" i="2"/>
  <c r="E76" i="2"/>
  <c r="F76" i="2"/>
  <c r="G76" i="2"/>
  <c r="H76" i="2"/>
  <c r="I76" i="2"/>
  <c r="J76" i="2"/>
  <c r="K76" i="2"/>
  <c r="B77" i="2"/>
  <c r="C77" i="2"/>
  <c r="D77" i="2"/>
  <c r="E77" i="2"/>
  <c r="F77" i="2"/>
  <c r="G77" i="2"/>
  <c r="H77" i="2"/>
  <c r="I77" i="2"/>
  <c r="J77" i="2"/>
  <c r="K77" i="2"/>
  <c r="B78" i="2"/>
  <c r="C78" i="2"/>
  <c r="D78" i="2"/>
  <c r="E78" i="2"/>
  <c r="F78" i="2"/>
  <c r="G78" i="2"/>
  <c r="H78" i="2"/>
  <c r="I78" i="2"/>
  <c r="J78" i="2"/>
  <c r="K78" i="2"/>
  <c r="B79" i="2"/>
  <c r="C79" i="2"/>
  <c r="D79" i="2"/>
  <c r="E79" i="2"/>
  <c r="F79" i="2"/>
  <c r="G79" i="2"/>
  <c r="H79" i="2"/>
  <c r="I79" i="2"/>
  <c r="J79" i="2"/>
  <c r="K79" i="2"/>
  <c r="B80" i="2"/>
  <c r="C80" i="2"/>
  <c r="D80" i="2"/>
  <c r="E80" i="2"/>
  <c r="F80" i="2"/>
  <c r="G80" i="2"/>
  <c r="H80" i="2"/>
  <c r="I80" i="2"/>
  <c r="J80" i="2"/>
  <c r="K80" i="2"/>
  <c r="B81" i="2"/>
  <c r="C81" i="2"/>
  <c r="D81" i="2"/>
  <c r="E81" i="2"/>
  <c r="F81" i="2"/>
  <c r="G81" i="2"/>
  <c r="H81" i="2"/>
  <c r="I81" i="2"/>
  <c r="J81" i="2"/>
  <c r="K81" i="2"/>
  <c r="B82" i="2"/>
  <c r="C82" i="2"/>
  <c r="D82" i="2"/>
  <c r="E82" i="2"/>
  <c r="F82" i="2"/>
  <c r="G82" i="2"/>
  <c r="H82" i="2"/>
  <c r="I82" i="2"/>
  <c r="J82" i="2"/>
  <c r="K82" i="2"/>
  <c r="B83" i="2"/>
  <c r="C83" i="2"/>
  <c r="D83" i="2"/>
  <c r="E83" i="2"/>
  <c r="F83" i="2"/>
  <c r="G83" i="2"/>
  <c r="H83" i="2"/>
  <c r="I83" i="2"/>
  <c r="J83" i="2"/>
  <c r="K83" i="2"/>
  <c r="B84" i="2"/>
  <c r="C84" i="2"/>
  <c r="D84" i="2"/>
  <c r="E84" i="2"/>
  <c r="F84" i="2"/>
  <c r="G84" i="2"/>
  <c r="H84" i="2"/>
  <c r="I84" i="2"/>
  <c r="J84" i="2"/>
  <c r="K84" i="2"/>
  <c r="B85" i="2"/>
  <c r="C85" i="2"/>
  <c r="D85" i="2"/>
  <c r="E85" i="2"/>
  <c r="F85" i="2"/>
  <c r="G85" i="2"/>
  <c r="H85" i="2"/>
  <c r="I85" i="2"/>
  <c r="J85" i="2"/>
  <c r="K85" i="2"/>
  <c r="B86" i="2"/>
  <c r="C86" i="2"/>
  <c r="D86" i="2"/>
  <c r="E86" i="2"/>
  <c r="F86" i="2"/>
  <c r="G86" i="2"/>
  <c r="H86" i="2"/>
  <c r="I86" i="2"/>
  <c r="J86" i="2"/>
  <c r="K86" i="2"/>
  <c r="B87" i="2"/>
  <c r="C87" i="2"/>
  <c r="D87" i="2"/>
  <c r="E87" i="2"/>
  <c r="F87" i="2"/>
  <c r="G87" i="2"/>
  <c r="H87" i="2"/>
  <c r="I87" i="2"/>
  <c r="J87" i="2"/>
  <c r="K87" i="2"/>
  <c r="B88" i="2"/>
  <c r="C88" i="2"/>
  <c r="D88" i="2"/>
  <c r="E88" i="2"/>
  <c r="F88" i="2"/>
  <c r="G88" i="2"/>
  <c r="H88" i="2"/>
  <c r="I88" i="2"/>
  <c r="J88" i="2"/>
  <c r="K88" i="2"/>
  <c r="B89" i="2"/>
  <c r="C89" i="2"/>
  <c r="D89" i="2"/>
  <c r="E89" i="2"/>
  <c r="F89" i="2"/>
  <c r="G89" i="2"/>
  <c r="H89" i="2"/>
  <c r="I89" i="2"/>
  <c r="J89" i="2"/>
  <c r="K89" i="2"/>
  <c r="B90" i="2"/>
  <c r="C90" i="2"/>
  <c r="D90" i="2"/>
  <c r="E90" i="2"/>
  <c r="F90" i="2"/>
  <c r="G90" i="2"/>
  <c r="H90" i="2"/>
  <c r="I90" i="2"/>
  <c r="J90" i="2"/>
  <c r="K90" i="2"/>
  <c r="B91" i="2"/>
  <c r="C91" i="2"/>
  <c r="D91" i="2"/>
  <c r="E91" i="2"/>
  <c r="F91" i="2"/>
  <c r="G91" i="2"/>
  <c r="H91" i="2"/>
  <c r="I91" i="2"/>
  <c r="J91" i="2"/>
  <c r="K91" i="2"/>
  <c r="B92" i="2"/>
  <c r="C92" i="2"/>
  <c r="D92" i="2"/>
  <c r="E92" i="2"/>
  <c r="F92" i="2"/>
  <c r="G92" i="2"/>
  <c r="H92" i="2"/>
  <c r="I92" i="2"/>
  <c r="J92" i="2"/>
  <c r="K92" i="2"/>
  <c r="B93" i="2"/>
  <c r="C93" i="2"/>
  <c r="D93" i="2"/>
  <c r="E93" i="2"/>
  <c r="F93" i="2"/>
  <c r="G93" i="2"/>
  <c r="H93" i="2"/>
  <c r="I93" i="2"/>
  <c r="J93" i="2"/>
  <c r="K93" i="2"/>
  <c r="B94" i="2"/>
  <c r="C94" i="2"/>
  <c r="D94" i="2"/>
  <c r="E94" i="2"/>
  <c r="F94" i="2"/>
  <c r="G94" i="2"/>
  <c r="H94" i="2"/>
  <c r="I94" i="2"/>
  <c r="J94" i="2"/>
  <c r="K94" i="2"/>
  <c r="B95" i="2"/>
  <c r="C95" i="2"/>
  <c r="D95" i="2"/>
  <c r="E95" i="2"/>
  <c r="F95" i="2"/>
  <c r="G95" i="2"/>
  <c r="H95" i="2"/>
  <c r="I95" i="2"/>
  <c r="J95" i="2"/>
  <c r="K95" i="2"/>
  <c r="B96" i="2"/>
  <c r="C96" i="2"/>
  <c r="D96" i="2"/>
  <c r="E96" i="2"/>
  <c r="F96" i="2"/>
  <c r="G96" i="2"/>
  <c r="H96" i="2"/>
  <c r="I96" i="2"/>
  <c r="J96" i="2"/>
  <c r="K96" i="2"/>
  <c r="B97" i="2"/>
  <c r="C97" i="2"/>
  <c r="D97" i="2"/>
  <c r="E97" i="2"/>
  <c r="F97" i="2"/>
  <c r="G97" i="2"/>
  <c r="H97" i="2"/>
  <c r="I97" i="2"/>
  <c r="J97" i="2"/>
  <c r="K97" i="2"/>
  <c r="B98" i="2"/>
  <c r="C98" i="2"/>
  <c r="D98" i="2"/>
  <c r="E98" i="2"/>
  <c r="F98" i="2"/>
  <c r="G98" i="2"/>
  <c r="H98" i="2"/>
  <c r="I98" i="2"/>
  <c r="J98" i="2"/>
  <c r="K98" i="2"/>
  <c r="B99" i="2"/>
  <c r="C99" i="2"/>
  <c r="D99" i="2"/>
  <c r="E99" i="2"/>
  <c r="F99" i="2"/>
  <c r="G99" i="2"/>
  <c r="H99" i="2"/>
  <c r="I99" i="2"/>
  <c r="J99" i="2"/>
  <c r="K99" i="2"/>
  <c r="B100" i="2"/>
  <c r="C100" i="2"/>
  <c r="D100" i="2"/>
  <c r="E100" i="2"/>
  <c r="F100" i="2"/>
  <c r="G100" i="2"/>
  <c r="H100" i="2"/>
  <c r="I100" i="2"/>
  <c r="J100" i="2"/>
  <c r="K100" i="2"/>
  <c r="B101" i="2"/>
  <c r="C101" i="2"/>
  <c r="D101" i="2"/>
  <c r="E101" i="2"/>
  <c r="F101" i="2"/>
  <c r="G101" i="2"/>
  <c r="H101" i="2"/>
  <c r="I101" i="2"/>
  <c r="J101" i="2"/>
  <c r="K101" i="2"/>
  <c r="B102" i="2"/>
  <c r="C102" i="2"/>
  <c r="D102" i="2"/>
  <c r="E102" i="2"/>
  <c r="F102" i="2"/>
  <c r="G102" i="2"/>
  <c r="H102" i="2"/>
  <c r="I102" i="2"/>
  <c r="J102" i="2"/>
  <c r="K102" i="2"/>
  <c r="B103" i="2"/>
  <c r="C103" i="2"/>
  <c r="D103" i="2"/>
  <c r="E103" i="2"/>
  <c r="F103" i="2"/>
  <c r="G103" i="2"/>
  <c r="H103" i="2"/>
  <c r="I103" i="2"/>
  <c r="J103" i="2"/>
  <c r="K103" i="2"/>
  <c r="B104" i="2"/>
  <c r="C104" i="2"/>
  <c r="D104" i="2"/>
  <c r="E104" i="2"/>
  <c r="F104" i="2"/>
  <c r="G104" i="2"/>
  <c r="H104" i="2"/>
  <c r="I104" i="2"/>
  <c r="J104" i="2"/>
  <c r="K104" i="2"/>
  <c r="B105" i="2"/>
  <c r="C105" i="2"/>
  <c r="D105" i="2"/>
  <c r="E105" i="2"/>
  <c r="F105" i="2"/>
  <c r="G105" i="2"/>
  <c r="H105" i="2"/>
  <c r="I105" i="2"/>
  <c r="J105" i="2"/>
  <c r="K105" i="2"/>
  <c r="B106" i="2"/>
  <c r="C106" i="2"/>
  <c r="D106" i="2"/>
  <c r="E106" i="2"/>
  <c r="F106" i="2"/>
  <c r="G106" i="2"/>
  <c r="H106" i="2"/>
  <c r="I106" i="2"/>
  <c r="J106" i="2"/>
  <c r="K106" i="2"/>
  <c r="B107" i="2"/>
  <c r="C107" i="2"/>
  <c r="D107" i="2"/>
  <c r="E107" i="2"/>
  <c r="F107" i="2"/>
  <c r="G107" i="2"/>
  <c r="H107" i="2"/>
  <c r="I107" i="2"/>
  <c r="J107" i="2"/>
  <c r="K107" i="2"/>
  <c r="B108" i="2"/>
  <c r="C108" i="2"/>
  <c r="D108" i="2"/>
  <c r="E108" i="2"/>
  <c r="F108" i="2"/>
  <c r="G108" i="2"/>
  <c r="H108" i="2"/>
  <c r="I108" i="2"/>
  <c r="J108" i="2"/>
  <c r="K108" i="2"/>
  <c r="B109" i="2"/>
  <c r="C109" i="2"/>
  <c r="D109" i="2"/>
  <c r="E109" i="2"/>
  <c r="F109" i="2"/>
  <c r="G109" i="2"/>
  <c r="H109" i="2"/>
  <c r="I109" i="2"/>
  <c r="J109" i="2"/>
  <c r="K109" i="2"/>
  <c r="B110" i="2"/>
  <c r="C110" i="2"/>
  <c r="D110" i="2"/>
  <c r="E110" i="2"/>
  <c r="F110" i="2"/>
  <c r="G110" i="2"/>
  <c r="H110" i="2"/>
  <c r="I110" i="2"/>
  <c r="J110" i="2"/>
  <c r="K110" i="2"/>
  <c r="B111" i="2"/>
  <c r="C111" i="2"/>
  <c r="D111" i="2"/>
  <c r="E111" i="2"/>
  <c r="F111" i="2"/>
  <c r="G111" i="2"/>
  <c r="H111" i="2"/>
  <c r="I111" i="2"/>
  <c r="J111" i="2"/>
  <c r="K111" i="2"/>
  <c r="B112" i="2"/>
  <c r="C112" i="2"/>
  <c r="D112" i="2"/>
  <c r="E112" i="2"/>
  <c r="F112" i="2"/>
  <c r="G112" i="2"/>
  <c r="H112" i="2"/>
  <c r="I112" i="2"/>
  <c r="J112" i="2"/>
  <c r="K112" i="2"/>
  <c r="B113" i="2"/>
  <c r="C113" i="2"/>
  <c r="D113" i="2"/>
  <c r="E113" i="2"/>
  <c r="F113" i="2"/>
  <c r="G113" i="2"/>
  <c r="H113" i="2"/>
  <c r="I113" i="2"/>
  <c r="J113" i="2"/>
  <c r="K113" i="2"/>
  <c r="B114" i="2"/>
  <c r="C114" i="2"/>
  <c r="D114" i="2"/>
  <c r="E114" i="2"/>
  <c r="F114" i="2"/>
  <c r="G114" i="2"/>
  <c r="H114" i="2"/>
  <c r="I114" i="2"/>
  <c r="J114" i="2"/>
  <c r="K114" i="2"/>
  <c r="B115" i="2"/>
  <c r="C115" i="2"/>
  <c r="D115" i="2"/>
  <c r="E115" i="2"/>
  <c r="F115" i="2"/>
  <c r="G115" i="2"/>
  <c r="H115" i="2"/>
  <c r="I115" i="2"/>
  <c r="J115" i="2"/>
  <c r="K115" i="2"/>
  <c r="B116" i="2"/>
  <c r="C116" i="2"/>
  <c r="D116" i="2"/>
  <c r="E116" i="2"/>
  <c r="F116" i="2"/>
  <c r="G116" i="2"/>
  <c r="H116" i="2"/>
  <c r="I116" i="2"/>
  <c r="J116" i="2"/>
  <c r="K116" i="2"/>
  <c r="B117" i="2"/>
  <c r="C117" i="2"/>
  <c r="D117" i="2"/>
  <c r="E117" i="2"/>
  <c r="F117" i="2"/>
  <c r="G117" i="2"/>
  <c r="H117" i="2"/>
  <c r="I117" i="2"/>
  <c r="J117" i="2"/>
  <c r="K117" i="2"/>
  <c r="B118" i="2"/>
  <c r="C118" i="2"/>
  <c r="D118" i="2"/>
  <c r="E118" i="2"/>
  <c r="F118" i="2"/>
  <c r="G118" i="2"/>
  <c r="H118" i="2"/>
  <c r="I118" i="2"/>
  <c r="J118" i="2"/>
  <c r="K118" i="2"/>
  <c r="B119" i="2"/>
  <c r="C119" i="2"/>
  <c r="D119" i="2"/>
  <c r="E119" i="2"/>
  <c r="F119" i="2"/>
  <c r="G119" i="2"/>
  <c r="H119" i="2"/>
  <c r="I119" i="2"/>
  <c r="J119" i="2"/>
  <c r="K119" i="2"/>
  <c r="B120" i="2"/>
  <c r="C120" i="2"/>
  <c r="D120" i="2"/>
  <c r="E120" i="2"/>
  <c r="F120" i="2"/>
  <c r="G120" i="2"/>
  <c r="H120" i="2"/>
  <c r="I120" i="2"/>
  <c r="J120" i="2"/>
  <c r="K120" i="2"/>
  <c r="B121" i="2"/>
  <c r="C121" i="2"/>
  <c r="D121" i="2"/>
  <c r="E121" i="2"/>
  <c r="F121" i="2"/>
  <c r="G121" i="2"/>
  <c r="H121" i="2"/>
  <c r="I121" i="2"/>
  <c r="J121" i="2"/>
  <c r="K121" i="2"/>
  <c r="B122" i="2"/>
  <c r="C122" i="2"/>
  <c r="D122" i="2"/>
  <c r="E122" i="2"/>
  <c r="F122" i="2"/>
  <c r="G122" i="2"/>
  <c r="H122" i="2"/>
  <c r="I122" i="2"/>
  <c r="J122" i="2"/>
  <c r="K122" i="2"/>
  <c r="B123" i="2"/>
  <c r="C123" i="2"/>
  <c r="D123" i="2"/>
  <c r="E123" i="2"/>
  <c r="F123" i="2"/>
  <c r="G123" i="2"/>
  <c r="H123" i="2"/>
  <c r="I123" i="2"/>
  <c r="J123" i="2"/>
  <c r="K123" i="2"/>
  <c r="B124" i="2"/>
  <c r="C124" i="2"/>
  <c r="D124" i="2"/>
  <c r="E124" i="2"/>
  <c r="F124" i="2"/>
  <c r="G124" i="2"/>
  <c r="H124" i="2"/>
  <c r="I124" i="2"/>
  <c r="J124" i="2"/>
  <c r="K124" i="2"/>
  <c r="B125" i="2"/>
  <c r="C125" i="2"/>
  <c r="D125" i="2"/>
  <c r="E125" i="2"/>
  <c r="F125" i="2"/>
  <c r="G125" i="2"/>
  <c r="H125" i="2"/>
  <c r="I125" i="2"/>
  <c r="J125" i="2"/>
  <c r="K125" i="2"/>
  <c r="B126" i="2"/>
  <c r="C126" i="2"/>
  <c r="D126" i="2"/>
  <c r="E126" i="2"/>
  <c r="F126" i="2"/>
  <c r="G126" i="2"/>
  <c r="H126" i="2"/>
  <c r="I126" i="2"/>
  <c r="J126" i="2"/>
  <c r="K126" i="2"/>
  <c r="B127" i="2"/>
  <c r="C127" i="2"/>
  <c r="D127" i="2"/>
  <c r="E127" i="2"/>
  <c r="F127" i="2"/>
  <c r="G127" i="2"/>
  <c r="H127" i="2"/>
  <c r="I127" i="2"/>
  <c r="J127" i="2"/>
  <c r="K127" i="2"/>
  <c r="B128" i="2"/>
  <c r="C128" i="2"/>
  <c r="D128" i="2"/>
  <c r="E128" i="2"/>
  <c r="F128" i="2"/>
  <c r="G128" i="2"/>
  <c r="H128" i="2"/>
  <c r="I128" i="2"/>
  <c r="J128" i="2"/>
  <c r="K128" i="2"/>
  <c r="B129" i="2"/>
  <c r="C129" i="2"/>
  <c r="D129" i="2"/>
  <c r="E129" i="2"/>
  <c r="F129" i="2"/>
  <c r="G129" i="2"/>
  <c r="H129" i="2"/>
  <c r="I129" i="2"/>
  <c r="J129" i="2"/>
  <c r="K129" i="2"/>
  <c r="B130" i="2"/>
  <c r="C130" i="2"/>
  <c r="D130" i="2"/>
  <c r="E130" i="2"/>
  <c r="F130" i="2"/>
  <c r="G130" i="2"/>
  <c r="H130" i="2"/>
  <c r="I130" i="2"/>
  <c r="J130" i="2"/>
  <c r="K130" i="2"/>
  <c r="B131" i="2"/>
  <c r="C131" i="2"/>
  <c r="D131" i="2"/>
  <c r="E131" i="2"/>
  <c r="F131" i="2"/>
  <c r="G131" i="2"/>
  <c r="H131" i="2"/>
  <c r="I131" i="2"/>
  <c r="J131" i="2"/>
  <c r="K131" i="2"/>
  <c r="B132" i="2"/>
  <c r="C132" i="2"/>
  <c r="D132" i="2"/>
  <c r="E132" i="2"/>
  <c r="F132" i="2"/>
  <c r="G132" i="2"/>
  <c r="H132" i="2"/>
  <c r="I132" i="2"/>
  <c r="J132" i="2"/>
  <c r="K132" i="2"/>
  <c r="B133" i="2"/>
  <c r="C133" i="2"/>
  <c r="D133" i="2"/>
  <c r="E133" i="2"/>
  <c r="F133" i="2"/>
  <c r="G133" i="2"/>
  <c r="H133" i="2"/>
  <c r="I133" i="2"/>
  <c r="J133" i="2"/>
  <c r="K133" i="2"/>
  <c r="B134" i="2"/>
  <c r="C134" i="2"/>
  <c r="D134" i="2"/>
  <c r="E134" i="2"/>
  <c r="F134" i="2"/>
  <c r="G134" i="2"/>
  <c r="H134" i="2"/>
  <c r="I134" i="2"/>
  <c r="J134" i="2"/>
  <c r="K134" i="2"/>
  <c r="B135" i="2"/>
  <c r="C135" i="2"/>
  <c r="D135" i="2"/>
  <c r="E135" i="2"/>
  <c r="F135" i="2"/>
  <c r="G135" i="2"/>
  <c r="H135" i="2"/>
  <c r="I135" i="2"/>
  <c r="J135" i="2"/>
  <c r="K135" i="2"/>
  <c r="B136" i="2"/>
  <c r="C136" i="2"/>
  <c r="D136" i="2"/>
  <c r="E136" i="2"/>
  <c r="F136" i="2"/>
  <c r="G136" i="2"/>
  <c r="H136" i="2"/>
  <c r="I136" i="2"/>
  <c r="J136" i="2"/>
  <c r="K136" i="2"/>
  <c r="B137" i="2"/>
  <c r="C137" i="2"/>
  <c r="D137" i="2"/>
  <c r="E137" i="2"/>
  <c r="F137" i="2"/>
  <c r="G137" i="2"/>
  <c r="H137" i="2"/>
  <c r="I137" i="2"/>
  <c r="J137" i="2"/>
  <c r="K137" i="2"/>
  <c r="B138" i="2"/>
  <c r="C138" i="2"/>
  <c r="D138" i="2"/>
  <c r="E138" i="2"/>
  <c r="F138" i="2"/>
  <c r="G138" i="2"/>
  <c r="H138" i="2"/>
  <c r="I138" i="2"/>
  <c r="J138" i="2"/>
  <c r="K138" i="2"/>
  <c r="B139" i="2"/>
  <c r="C139" i="2"/>
  <c r="D139" i="2"/>
  <c r="E139" i="2"/>
  <c r="F139" i="2"/>
  <c r="G139" i="2"/>
  <c r="H139" i="2"/>
  <c r="I139" i="2"/>
  <c r="J139" i="2"/>
  <c r="K139" i="2"/>
  <c r="B140" i="2"/>
  <c r="C140" i="2"/>
  <c r="D140" i="2"/>
  <c r="E140" i="2"/>
  <c r="F140" i="2"/>
  <c r="G140" i="2"/>
  <c r="H140" i="2"/>
  <c r="I140" i="2"/>
  <c r="J140" i="2"/>
  <c r="K140" i="2"/>
  <c r="B141" i="2"/>
  <c r="C141" i="2"/>
  <c r="D141" i="2"/>
  <c r="E141" i="2"/>
  <c r="F141" i="2"/>
  <c r="G141" i="2"/>
  <c r="H141" i="2"/>
  <c r="I141" i="2"/>
  <c r="J141" i="2"/>
  <c r="K141" i="2"/>
  <c r="B142" i="2"/>
  <c r="C142" i="2"/>
  <c r="D142" i="2"/>
  <c r="E142" i="2"/>
  <c r="F142" i="2"/>
  <c r="G142" i="2"/>
  <c r="H142" i="2"/>
  <c r="I142" i="2"/>
  <c r="J142" i="2"/>
  <c r="K142" i="2"/>
  <c r="B143" i="2"/>
  <c r="C143" i="2"/>
  <c r="D143" i="2"/>
  <c r="E143" i="2"/>
  <c r="F143" i="2"/>
  <c r="G143" i="2"/>
  <c r="H143" i="2"/>
  <c r="I143" i="2"/>
  <c r="J143" i="2"/>
  <c r="K143" i="2"/>
  <c r="B144" i="2"/>
  <c r="C144" i="2"/>
  <c r="D144" i="2"/>
  <c r="E144" i="2"/>
  <c r="F144" i="2"/>
  <c r="G144" i="2"/>
  <c r="H144" i="2"/>
  <c r="I144" i="2"/>
  <c r="J144" i="2"/>
  <c r="K144" i="2"/>
  <c r="B145" i="2"/>
  <c r="C145" i="2"/>
  <c r="D145" i="2"/>
  <c r="E145" i="2"/>
  <c r="F145" i="2"/>
  <c r="G145" i="2"/>
  <c r="H145" i="2"/>
  <c r="I145" i="2"/>
  <c r="J145" i="2"/>
  <c r="K145" i="2"/>
  <c r="B146" i="2"/>
  <c r="C146" i="2"/>
  <c r="D146" i="2"/>
  <c r="E146" i="2"/>
  <c r="F146" i="2"/>
  <c r="G146" i="2"/>
  <c r="H146" i="2"/>
  <c r="I146" i="2"/>
  <c r="J146" i="2"/>
  <c r="K146" i="2"/>
  <c r="B147" i="2"/>
  <c r="C147" i="2"/>
  <c r="D147" i="2"/>
  <c r="E147" i="2"/>
  <c r="F147" i="2"/>
  <c r="G147" i="2"/>
  <c r="H147" i="2"/>
  <c r="I147" i="2"/>
  <c r="J147" i="2"/>
  <c r="K147" i="2"/>
  <c r="B148" i="2"/>
  <c r="C148" i="2"/>
  <c r="D148" i="2"/>
  <c r="E148" i="2"/>
  <c r="F148" i="2"/>
  <c r="G148" i="2"/>
  <c r="H148" i="2"/>
  <c r="I148" i="2"/>
  <c r="J148" i="2"/>
  <c r="K148" i="2"/>
  <c r="B149" i="2"/>
  <c r="C149" i="2"/>
  <c r="D149" i="2"/>
  <c r="E149" i="2"/>
  <c r="F149" i="2"/>
  <c r="G149" i="2"/>
  <c r="H149" i="2"/>
  <c r="I149" i="2"/>
  <c r="J149" i="2"/>
  <c r="K149" i="2"/>
  <c r="B150" i="2"/>
  <c r="C150" i="2"/>
  <c r="D150" i="2"/>
  <c r="E150" i="2"/>
  <c r="F150" i="2"/>
  <c r="G150" i="2"/>
  <c r="H150" i="2"/>
  <c r="I150" i="2"/>
  <c r="J150" i="2"/>
  <c r="K150" i="2"/>
  <c r="B151" i="2"/>
  <c r="C151" i="2"/>
  <c r="D151" i="2"/>
  <c r="E151" i="2"/>
  <c r="F151" i="2"/>
  <c r="G151" i="2"/>
  <c r="H151" i="2"/>
  <c r="I151" i="2"/>
  <c r="J151" i="2"/>
  <c r="K151" i="2"/>
  <c r="B152" i="2"/>
  <c r="C152" i="2"/>
  <c r="D152" i="2"/>
  <c r="E152" i="2"/>
  <c r="F152" i="2"/>
  <c r="G152" i="2"/>
  <c r="H152" i="2"/>
  <c r="I152" i="2"/>
  <c r="J152" i="2"/>
  <c r="K152" i="2"/>
  <c r="B153" i="2"/>
  <c r="C153" i="2"/>
  <c r="D153" i="2"/>
  <c r="E153" i="2"/>
  <c r="F153" i="2"/>
  <c r="G153" i="2"/>
  <c r="H153" i="2"/>
  <c r="I153" i="2"/>
  <c r="J153" i="2"/>
  <c r="K153" i="2"/>
  <c r="B154" i="2"/>
  <c r="C154" i="2"/>
  <c r="D154" i="2"/>
  <c r="E154" i="2"/>
  <c r="F154" i="2"/>
  <c r="G154" i="2"/>
  <c r="H154" i="2"/>
  <c r="I154" i="2"/>
  <c r="J154" i="2"/>
  <c r="K154" i="2"/>
  <c r="B155" i="2"/>
  <c r="C155" i="2"/>
  <c r="D155" i="2"/>
  <c r="E155" i="2"/>
  <c r="F155" i="2"/>
  <c r="G155" i="2"/>
  <c r="H155" i="2"/>
  <c r="I155" i="2"/>
  <c r="J155" i="2"/>
  <c r="K155" i="2"/>
  <c r="B156" i="2"/>
  <c r="C156" i="2"/>
  <c r="D156" i="2"/>
  <c r="E156" i="2"/>
  <c r="F156" i="2"/>
  <c r="G156" i="2"/>
  <c r="H156" i="2"/>
  <c r="I156" i="2"/>
  <c r="J156" i="2"/>
  <c r="K156" i="2"/>
  <c r="B157" i="2"/>
  <c r="C157" i="2"/>
  <c r="D157" i="2"/>
  <c r="E157" i="2"/>
  <c r="F157" i="2"/>
  <c r="G157" i="2"/>
  <c r="H157" i="2"/>
  <c r="I157" i="2"/>
  <c r="J157" i="2"/>
  <c r="K157" i="2"/>
  <c r="B158" i="2"/>
  <c r="C158" i="2"/>
  <c r="D158" i="2"/>
  <c r="E158" i="2"/>
  <c r="F158" i="2"/>
  <c r="G158" i="2"/>
  <c r="H158" i="2"/>
  <c r="I158" i="2"/>
  <c r="J158" i="2"/>
  <c r="K158" i="2"/>
  <c r="B159" i="2"/>
  <c r="C159" i="2"/>
  <c r="D159" i="2"/>
  <c r="E159" i="2"/>
  <c r="F159" i="2"/>
  <c r="G159" i="2"/>
  <c r="H159" i="2"/>
  <c r="I159" i="2"/>
  <c r="J159" i="2"/>
  <c r="K159" i="2"/>
  <c r="B160" i="2"/>
  <c r="C160" i="2"/>
  <c r="D160" i="2"/>
  <c r="E160" i="2"/>
  <c r="F160" i="2"/>
  <c r="G160" i="2"/>
  <c r="H160" i="2"/>
  <c r="I160" i="2"/>
  <c r="J160" i="2"/>
  <c r="K160" i="2"/>
  <c r="B161" i="2"/>
  <c r="C161" i="2"/>
  <c r="D161" i="2"/>
  <c r="E161" i="2"/>
  <c r="F161" i="2"/>
  <c r="G161" i="2"/>
  <c r="H161" i="2"/>
  <c r="I161" i="2"/>
  <c r="J161" i="2"/>
  <c r="K161" i="2"/>
  <c r="B162" i="2"/>
  <c r="C162" i="2"/>
  <c r="D162" i="2"/>
  <c r="E162" i="2"/>
  <c r="F162" i="2"/>
  <c r="G162" i="2"/>
  <c r="H162" i="2"/>
  <c r="I162" i="2"/>
  <c r="J162" i="2"/>
  <c r="K162" i="2"/>
  <c r="B163" i="2"/>
  <c r="C163" i="2"/>
  <c r="D163" i="2"/>
  <c r="E163" i="2"/>
  <c r="F163" i="2"/>
  <c r="G163" i="2"/>
  <c r="H163" i="2"/>
  <c r="I163" i="2"/>
  <c r="J163" i="2"/>
  <c r="K163" i="2"/>
  <c r="B164" i="2"/>
  <c r="C164" i="2"/>
  <c r="D164" i="2"/>
  <c r="E164" i="2"/>
  <c r="F164" i="2"/>
  <c r="G164" i="2"/>
  <c r="H164" i="2"/>
  <c r="I164" i="2"/>
  <c r="J164" i="2"/>
  <c r="K164" i="2"/>
  <c r="B165" i="2"/>
  <c r="C165" i="2"/>
  <c r="D165" i="2"/>
  <c r="E165" i="2"/>
  <c r="F165" i="2"/>
  <c r="G165" i="2"/>
  <c r="H165" i="2"/>
  <c r="I165" i="2"/>
  <c r="J165" i="2"/>
  <c r="K165" i="2"/>
  <c r="B166" i="2"/>
  <c r="C166" i="2"/>
  <c r="D166" i="2"/>
  <c r="E166" i="2"/>
  <c r="F166" i="2"/>
  <c r="G166" i="2"/>
  <c r="H166" i="2"/>
  <c r="I166" i="2"/>
  <c r="J166" i="2"/>
  <c r="K166" i="2"/>
  <c r="B167" i="2"/>
  <c r="C167" i="2"/>
  <c r="D167" i="2"/>
  <c r="E167" i="2"/>
  <c r="F167" i="2"/>
  <c r="G167" i="2"/>
  <c r="H167" i="2"/>
  <c r="I167" i="2"/>
  <c r="J167" i="2"/>
  <c r="K167" i="2"/>
  <c r="B168" i="2"/>
  <c r="C168" i="2"/>
  <c r="D168" i="2"/>
  <c r="E168" i="2"/>
  <c r="F168" i="2"/>
  <c r="G168" i="2"/>
  <c r="H168" i="2"/>
  <c r="I168" i="2"/>
  <c r="J168" i="2"/>
  <c r="K168" i="2"/>
  <c r="B169" i="2"/>
  <c r="C169" i="2"/>
  <c r="D169" i="2"/>
  <c r="E169" i="2"/>
  <c r="F169" i="2"/>
  <c r="G169" i="2"/>
  <c r="H169" i="2"/>
  <c r="I169" i="2"/>
  <c r="J169" i="2"/>
  <c r="K169" i="2"/>
  <c r="B170" i="2"/>
  <c r="C170" i="2"/>
  <c r="D170" i="2"/>
  <c r="E170" i="2"/>
  <c r="F170" i="2"/>
  <c r="G170" i="2"/>
  <c r="H170" i="2"/>
  <c r="I170" i="2"/>
  <c r="J170" i="2"/>
  <c r="K170" i="2"/>
  <c r="B171" i="2"/>
  <c r="C171" i="2"/>
  <c r="D171" i="2"/>
  <c r="E171" i="2"/>
  <c r="F171" i="2"/>
  <c r="G171" i="2"/>
  <c r="H171" i="2"/>
  <c r="I171" i="2"/>
  <c r="J171" i="2"/>
  <c r="K171" i="2"/>
  <c r="B172" i="2"/>
  <c r="C172" i="2"/>
  <c r="D172" i="2"/>
  <c r="E172" i="2"/>
  <c r="F172" i="2"/>
  <c r="G172" i="2"/>
  <c r="H172" i="2"/>
  <c r="I172" i="2"/>
  <c r="J172" i="2"/>
  <c r="K172" i="2"/>
  <c r="B173" i="2"/>
  <c r="C173" i="2"/>
  <c r="D173" i="2"/>
  <c r="E173" i="2"/>
  <c r="F173" i="2"/>
  <c r="G173" i="2"/>
  <c r="H173" i="2"/>
  <c r="I173" i="2"/>
  <c r="J173" i="2"/>
  <c r="K173" i="2"/>
  <c r="B174" i="2"/>
  <c r="C174" i="2"/>
  <c r="D174" i="2"/>
  <c r="E174" i="2"/>
  <c r="F174" i="2"/>
  <c r="G174" i="2"/>
  <c r="H174" i="2"/>
  <c r="I174" i="2"/>
  <c r="J174" i="2"/>
  <c r="K174" i="2"/>
  <c r="B175" i="2"/>
  <c r="C175" i="2"/>
  <c r="D175" i="2"/>
  <c r="E175" i="2"/>
  <c r="F175" i="2"/>
  <c r="G175" i="2"/>
  <c r="H175" i="2"/>
  <c r="I175" i="2"/>
  <c r="J175" i="2"/>
  <c r="K175" i="2"/>
  <c r="B176" i="2"/>
  <c r="C176" i="2"/>
  <c r="D176" i="2"/>
  <c r="E176" i="2"/>
  <c r="F176" i="2"/>
  <c r="G176" i="2"/>
  <c r="H176" i="2"/>
  <c r="I176" i="2"/>
  <c r="J176" i="2"/>
  <c r="K176" i="2"/>
  <c r="B177" i="2"/>
  <c r="C177" i="2"/>
  <c r="D177" i="2"/>
  <c r="E177" i="2"/>
  <c r="F177" i="2"/>
  <c r="G177" i="2"/>
  <c r="H177" i="2"/>
  <c r="I177" i="2"/>
  <c r="J177" i="2"/>
  <c r="K177" i="2"/>
  <c r="B178" i="2"/>
  <c r="C178" i="2"/>
  <c r="D178" i="2"/>
  <c r="E178" i="2"/>
  <c r="F178" i="2"/>
  <c r="G178" i="2"/>
  <c r="H178" i="2"/>
  <c r="I178" i="2"/>
  <c r="J178" i="2"/>
  <c r="K178" i="2"/>
  <c r="B179" i="2"/>
  <c r="C179" i="2"/>
  <c r="D179" i="2"/>
  <c r="E179" i="2"/>
  <c r="F179" i="2"/>
  <c r="G179" i="2"/>
  <c r="H179" i="2"/>
  <c r="I179" i="2"/>
  <c r="J179" i="2"/>
  <c r="K179" i="2"/>
  <c r="B180" i="2"/>
  <c r="C180" i="2"/>
  <c r="D180" i="2"/>
  <c r="E180" i="2"/>
  <c r="F180" i="2"/>
  <c r="G180" i="2"/>
  <c r="H180" i="2"/>
  <c r="I180" i="2"/>
  <c r="J180" i="2"/>
  <c r="K180" i="2"/>
  <c r="B181" i="2"/>
  <c r="C181" i="2"/>
  <c r="D181" i="2"/>
  <c r="E181" i="2"/>
  <c r="F181" i="2"/>
  <c r="G181" i="2"/>
  <c r="H181" i="2"/>
  <c r="I181" i="2"/>
  <c r="J181" i="2"/>
  <c r="K181" i="2"/>
  <c r="B182" i="2"/>
  <c r="C182" i="2"/>
  <c r="D182" i="2"/>
  <c r="E182" i="2"/>
  <c r="F182" i="2"/>
  <c r="G182" i="2"/>
  <c r="H182" i="2"/>
  <c r="I182" i="2"/>
  <c r="J182" i="2"/>
  <c r="K182" i="2"/>
  <c r="B183" i="2"/>
  <c r="C183" i="2"/>
  <c r="D183" i="2"/>
  <c r="E183" i="2"/>
  <c r="F183" i="2"/>
  <c r="G183" i="2"/>
  <c r="H183" i="2"/>
  <c r="I183" i="2"/>
  <c r="J183" i="2"/>
  <c r="K183" i="2"/>
  <c r="B184" i="2"/>
  <c r="C184" i="2"/>
  <c r="D184" i="2"/>
  <c r="E184" i="2"/>
  <c r="F184" i="2"/>
  <c r="G184" i="2"/>
  <c r="H184" i="2"/>
  <c r="I184" i="2"/>
  <c r="J184" i="2"/>
  <c r="K184" i="2"/>
  <c r="B185" i="2"/>
  <c r="C185" i="2"/>
  <c r="D185" i="2"/>
  <c r="E185" i="2"/>
  <c r="F185" i="2"/>
  <c r="G185" i="2"/>
  <c r="H185" i="2"/>
  <c r="I185" i="2"/>
  <c r="J185" i="2"/>
  <c r="K185" i="2"/>
  <c r="B186" i="2"/>
  <c r="C186" i="2"/>
  <c r="D186" i="2"/>
  <c r="E186" i="2"/>
  <c r="F186" i="2"/>
  <c r="G186" i="2"/>
  <c r="H186" i="2"/>
  <c r="I186" i="2"/>
  <c r="J186" i="2"/>
  <c r="K186" i="2"/>
  <c r="B187" i="2"/>
  <c r="C187" i="2"/>
  <c r="D187" i="2"/>
  <c r="E187" i="2"/>
  <c r="F187" i="2"/>
  <c r="G187" i="2"/>
  <c r="H187" i="2"/>
  <c r="I187" i="2"/>
  <c r="J187" i="2"/>
  <c r="K187" i="2"/>
  <c r="B188" i="2"/>
  <c r="C188" i="2"/>
  <c r="D188" i="2"/>
  <c r="E188" i="2"/>
  <c r="F188" i="2"/>
  <c r="G188" i="2"/>
  <c r="H188" i="2"/>
  <c r="I188" i="2"/>
  <c r="J188" i="2"/>
  <c r="K188" i="2"/>
  <c r="B189" i="2"/>
  <c r="C189" i="2"/>
  <c r="D189" i="2"/>
  <c r="E189" i="2"/>
  <c r="F189" i="2"/>
  <c r="G189" i="2"/>
  <c r="H189" i="2"/>
  <c r="I189" i="2"/>
  <c r="J189" i="2"/>
  <c r="K189" i="2"/>
  <c r="B190" i="2"/>
  <c r="C190" i="2"/>
  <c r="D190" i="2"/>
  <c r="E190" i="2"/>
  <c r="F190" i="2"/>
  <c r="G190" i="2"/>
  <c r="H190" i="2"/>
  <c r="I190" i="2"/>
  <c r="J190" i="2"/>
  <c r="K190" i="2"/>
  <c r="B191" i="2"/>
  <c r="C191" i="2"/>
  <c r="D191" i="2"/>
  <c r="E191" i="2"/>
  <c r="F191" i="2"/>
  <c r="G191" i="2"/>
  <c r="H191" i="2"/>
  <c r="I191" i="2"/>
  <c r="J191" i="2"/>
  <c r="K191" i="2"/>
  <c r="B192" i="2"/>
  <c r="C192" i="2"/>
  <c r="D192" i="2"/>
  <c r="E192" i="2"/>
  <c r="F192" i="2"/>
  <c r="G192" i="2"/>
  <c r="H192" i="2"/>
  <c r="I192" i="2"/>
  <c r="J192" i="2"/>
  <c r="K192" i="2"/>
  <c r="B193" i="2"/>
  <c r="C193" i="2"/>
  <c r="D193" i="2"/>
  <c r="E193" i="2"/>
  <c r="F193" i="2"/>
  <c r="G193" i="2"/>
  <c r="H193" i="2"/>
  <c r="I193" i="2"/>
  <c r="J193" i="2"/>
  <c r="K193" i="2"/>
  <c r="B194" i="2"/>
  <c r="C194" i="2"/>
  <c r="D194" i="2"/>
  <c r="E194" i="2"/>
  <c r="F194" i="2"/>
  <c r="G194" i="2"/>
  <c r="H194" i="2"/>
  <c r="I194" i="2"/>
  <c r="J194" i="2"/>
  <c r="K194" i="2"/>
  <c r="B195" i="2"/>
  <c r="C195" i="2"/>
  <c r="D195" i="2"/>
  <c r="E195" i="2"/>
  <c r="F195" i="2"/>
  <c r="G195" i="2"/>
  <c r="H195" i="2"/>
  <c r="I195" i="2"/>
  <c r="J195" i="2"/>
  <c r="K195" i="2"/>
  <c r="B196" i="2"/>
  <c r="C196" i="2"/>
  <c r="D196" i="2"/>
  <c r="E196" i="2"/>
  <c r="F196" i="2"/>
  <c r="G196" i="2"/>
  <c r="H196" i="2"/>
  <c r="I196" i="2"/>
  <c r="J196" i="2"/>
  <c r="K196" i="2"/>
  <c r="B197" i="2"/>
  <c r="C197" i="2"/>
  <c r="D197" i="2"/>
  <c r="E197" i="2"/>
  <c r="F197" i="2"/>
  <c r="G197" i="2"/>
  <c r="H197" i="2"/>
  <c r="I197" i="2"/>
  <c r="J197" i="2"/>
  <c r="K197" i="2"/>
  <c r="B198" i="2"/>
  <c r="C198" i="2"/>
  <c r="D198" i="2"/>
  <c r="E198" i="2"/>
  <c r="F198" i="2"/>
  <c r="G198" i="2"/>
  <c r="H198" i="2"/>
  <c r="I198" i="2"/>
  <c r="J198" i="2"/>
  <c r="K198" i="2"/>
  <c r="B199" i="2"/>
  <c r="C199" i="2"/>
  <c r="D199" i="2"/>
  <c r="E199" i="2"/>
  <c r="F199" i="2"/>
  <c r="G199" i="2"/>
  <c r="H199" i="2"/>
  <c r="I199" i="2"/>
  <c r="J199" i="2"/>
  <c r="K199" i="2"/>
  <c r="B200" i="2"/>
  <c r="C200" i="2"/>
  <c r="D200" i="2"/>
  <c r="E200" i="2"/>
  <c r="F200" i="2"/>
  <c r="G200" i="2"/>
  <c r="H200" i="2"/>
  <c r="I200" i="2"/>
  <c r="J200" i="2"/>
  <c r="K200" i="2"/>
  <c r="B201" i="2"/>
  <c r="C201" i="2"/>
  <c r="D201" i="2"/>
  <c r="E201" i="2"/>
  <c r="F201" i="2"/>
  <c r="G201" i="2"/>
  <c r="H201" i="2"/>
  <c r="I201" i="2"/>
  <c r="J201" i="2"/>
  <c r="K201" i="2"/>
  <c r="B202" i="2"/>
  <c r="C202" i="2"/>
  <c r="D202" i="2"/>
  <c r="E202" i="2"/>
  <c r="F202" i="2"/>
  <c r="G202" i="2"/>
  <c r="H202" i="2"/>
  <c r="I202" i="2"/>
  <c r="J202" i="2"/>
  <c r="K202" i="2"/>
  <c r="B203" i="2"/>
  <c r="C203" i="2"/>
  <c r="D203" i="2"/>
  <c r="E203" i="2"/>
  <c r="F203" i="2"/>
  <c r="G203" i="2"/>
  <c r="H203" i="2"/>
  <c r="I203" i="2"/>
  <c r="J203" i="2"/>
  <c r="K203" i="2"/>
  <c r="B204" i="2"/>
  <c r="C204" i="2"/>
  <c r="D204" i="2"/>
  <c r="E204" i="2"/>
  <c r="F204" i="2"/>
  <c r="G204" i="2"/>
  <c r="H204" i="2"/>
  <c r="I204" i="2"/>
  <c r="J204" i="2"/>
  <c r="K204" i="2"/>
  <c r="B205" i="2"/>
  <c r="C205" i="2"/>
  <c r="D205" i="2"/>
  <c r="E205" i="2"/>
  <c r="F205" i="2"/>
  <c r="G205" i="2"/>
  <c r="H205" i="2"/>
  <c r="I205" i="2"/>
  <c r="J205" i="2"/>
  <c r="K205" i="2"/>
  <c r="B206" i="2"/>
  <c r="C206" i="2"/>
  <c r="D206" i="2"/>
  <c r="E206" i="2"/>
  <c r="F206" i="2"/>
  <c r="G206" i="2"/>
  <c r="H206" i="2"/>
  <c r="I206" i="2"/>
  <c r="J206" i="2"/>
  <c r="K206" i="2"/>
  <c r="B207" i="2"/>
  <c r="C207" i="2"/>
  <c r="D207" i="2"/>
  <c r="E207" i="2"/>
  <c r="F207" i="2"/>
  <c r="G207" i="2"/>
  <c r="H207" i="2"/>
  <c r="I207" i="2"/>
  <c r="J207" i="2"/>
  <c r="K207" i="2"/>
  <c r="B208" i="2"/>
  <c r="C208" i="2"/>
  <c r="D208" i="2"/>
  <c r="E208" i="2"/>
  <c r="F208" i="2"/>
  <c r="G208" i="2"/>
  <c r="H208" i="2"/>
  <c r="I208" i="2"/>
  <c r="J208" i="2"/>
  <c r="K208" i="2"/>
  <c r="B209" i="2"/>
  <c r="C209" i="2"/>
  <c r="D209" i="2"/>
  <c r="E209" i="2"/>
  <c r="F209" i="2"/>
  <c r="G209" i="2"/>
  <c r="H209" i="2"/>
  <c r="I209" i="2"/>
  <c r="J209" i="2"/>
  <c r="K209" i="2"/>
  <c r="B210" i="2"/>
  <c r="C210" i="2"/>
  <c r="D210" i="2"/>
  <c r="E210" i="2"/>
  <c r="F210" i="2"/>
  <c r="G210" i="2"/>
  <c r="H210" i="2"/>
  <c r="I210" i="2"/>
  <c r="J210" i="2"/>
  <c r="K210" i="2"/>
  <c r="B211" i="2"/>
  <c r="C211" i="2"/>
  <c r="D211" i="2"/>
  <c r="E211" i="2"/>
  <c r="F211" i="2"/>
  <c r="G211" i="2"/>
  <c r="H211" i="2"/>
  <c r="I211" i="2"/>
  <c r="J211" i="2"/>
  <c r="K211" i="2"/>
  <c r="B212" i="2"/>
  <c r="C212" i="2"/>
  <c r="D212" i="2"/>
  <c r="E212" i="2"/>
  <c r="F212" i="2"/>
  <c r="G212" i="2"/>
  <c r="H212" i="2"/>
  <c r="I212" i="2"/>
  <c r="J212" i="2"/>
  <c r="K212" i="2"/>
  <c r="B213" i="2"/>
  <c r="C213" i="2"/>
  <c r="D213" i="2"/>
  <c r="E213" i="2"/>
  <c r="F213" i="2"/>
  <c r="G213" i="2"/>
  <c r="H213" i="2"/>
  <c r="I213" i="2"/>
  <c r="J213" i="2"/>
  <c r="K213" i="2"/>
  <c r="B214" i="2"/>
  <c r="C214" i="2"/>
  <c r="D214" i="2"/>
  <c r="E214" i="2"/>
  <c r="F214" i="2"/>
  <c r="G214" i="2"/>
  <c r="H214" i="2"/>
  <c r="I214" i="2"/>
  <c r="J214" i="2"/>
  <c r="K214" i="2"/>
  <c r="B215" i="2"/>
  <c r="C215" i="2"/>
  <c r="D215" i="2"/>
  <c r="E215" i="2"/>
  <c r="F215" i="2"/>
  <c r="G215" i="2"/>
  <c r="H215" i="2"/>
  <c r="I215" i="2"/>
  <c r="J215" i="2"/>
  <c r="K215" i="2"/>
  <c r="B216" i="2"/>
  <c r="C216" i="2"/>
  <c r="D216" i="2"/>
  <c r="E216" i="2"/>
  <c r="F216" i="2"/>
  <c r="G216" i="2"/>
  <c r="H216" i="2"/>
  <c r="I216" i="2"/>
  <c r="J216" i="2"/>
  <c r="K216" i="2"/>
  <c r="B217" i="2"/>
  <c r="C217" i="2"/>
  <c r="D217" i="2"/>
  <c r="E217" i="2"/>
  <c r="F217" i="2"/>
  <c r="G217" i="2"/>
  <c r="H217" i="2"/>
  <c r="I217" i="2"/>
  <c r="J217" i="2"/>
  <c r="K217" i="2"/>
  <c r="B218" i="2"/>
  <c r="C218" i="2"/>
  <c r="D218" i="2"/>
  <c r="E218" i="2"/>
  <c r="F218" i="2"/>
  <c r="G218" i="2"/>
  <c r="H218" i="2"/>
  <c r="I218" i="2"/>
  <c r="J218" i="2"/>
  <c r="K218" i="2"/>
  <c r="B219" i="2"/>
  <c r="C219" i="2"/>
  <c r="D219" i="2"/>
  <c r="E219" i="2"/>
  <c r="F219" i="2"/>
  <c r="G219" i="2"/>
  <c r="H219" i="2"/>
  <c r="I219" i="2"/>
  <c r="J219" i="2"/>
  <c r="K219" i="2"/>
  <c r="B220" i="2"/>
  <c r="C220" i="2"/>
  <c r="D220" i="2"/>
  <c r="E220" i="2"/>
  <c r="F220" i="2"/>
  <c r="G220" i="2"/>
  <c r="H220" i="2"/>
  <c r="I220" i="2"/>
  <c r="J220" i="2"/>
  <c r="K220" i="2"/>
  <c r="B221" i="2"/>
  <c r="C221" i="2"/>
  <c r="D221" i="2"/>
  <c r="E221" i="2"/>
  <c r="F221" i="2"/>
  <c r="G221" i="2"/>
  <c r="H221" i="2"/>
  <c r="I221" i="2"/>
  <c r="J221" i="2"/>
  <c r="K221" i="2"/>
  <c r="B222" i="2"/>
  <c r="C222" i="2"/>
  <c r="D222" i="2"/>
  <c r="E222" i="2"/>
  <c r="F222" i="2"/>
  <c r="G222" i="2"/>
  <c r="H222" i="2"/>
  <c r="I222" i="2"/>
  <c r="J222" i="2"/>
  <c r="K222" i="2"/>
  <c r="B223" i="2"/>
  <c r="C223" i="2"/>
  <c r="D223" i="2"/>
  <c r="E223" i="2"/>
  <c r="F223" i="2"/>
  <c r="G223" i="2"/>
  <c r="H223" i="2"/>
  <c r="I223" i="2"/>
  <c r="J223" i="2"/>
  <c r="K223" i="2"/>
  <c r="B224" i="2"/>
  <c r="C224" i="2"/>
  <c r="D224" i="2"/>
  <c r="E224" i="2"/>
  <c r="F224" i="2"/>
  <c r="G224" i="2"/>
  <c r="H224" i="2"/>
  <c r="I224" i="2"/>
  <c r="J224" i="2"/>
  <c r="K224" i="2"/>
  <c r="B225" i="2"/>
  <c r="C225" i="2"/>
  <c r="D225" i="2"/>
  <c r="E225" i="2"/>
  <c r="F225" i="2"/>
  <c r="G225" i="2"/>
  <c r="H225" i="2"/>
  <c r="I225" i="2"/>
  <c r="J225" i="2"/>
  <c r="K225" i="2"/>
  <c r="B226" i="2"/>
  <c r="C226" i="2"/>
  <c r="D226" i="2"/>
  <c r="E226" i="2"/>
  <c r="F226" i="2"/>
  <c r="G226" i="2"/>
  <c r="H226" i="2"/>
  <c r="I226" i="2"/>
  <c r="J226" i="2"/>
  <c r="K226" i="2"/>
  <c r="B227" i="2"/>
  <c r="C227" i="2"/>
  <c r="D227" i="2"/>
  <c r="E227" i="2"/>
  <c r="F227" i="2"/>
  <c r="G227" i="2"/>
  <c r="H227" i="2"/>
  <c r="I227" i="2"/>
  <c r="J227" i="2"/>
  <c r="K227" i="2"/>
  <c r="B228" i="2"/>
  <c r="C228" i="2"/>
  <c r="D228" i="2"/>
  <c r="E228" i="2"/>
  <c r="F228" i="2"/>
  <c r="G228" i="2"/>
  <c r="H228" i="2"/>
  <c r="I228" i="2"/>
  <c r="J228" i="2"/>
  <c r="K228" i="2"/>
  <c r="B229" i="2"/>
  <c r="C229" i="2"/>
  <c r="D229" i="2"/>
  <c r="E229" i="2"/>
  <c r="F229" i="2"/>
  <c r="G229" i="2"/>
  <c r="H229" i="2"/>
  <c r="I229" i="2"/>
  <c r="J229" i="2"/>
  <c r="K229" i="2"/>
  <c r="B230" i="2"/>
  <c r="C230" i="2"/>
  <c r="D230" i="2"/>
  <c r="E230" i="2"/>
  <c r="F230" i="2"/>
  <c r="G230" i="2"/>
  <c r="H230" i="2"/>
  <c r="I230" i="2"/>
  <c r="J230" i="2"/>
  <c r="K230" i="2"/>
  <c r="B231" i="2"/>
  <c r="C231" i="2"/>
  <c r="D231" i="2"/>
  <c r="E231" i="2"/>
  <c r="F231" i="2"/>
  <c r="G231" i="2"/>
  <c r="H231" i="2"/>
  <c r="I231" i="2"/>
  <c r="J231" i="2"/>
  <c r="K231" i="2"/>
  <c r="B232" i="2"/>
  <c r="C232" i="2"/>
  <c r="D232" i="2"/>
  <c r="E232" i="2"/>
  <c r="F232" i="2"/>
  <c r="G232" i="2"/>
  <c r="H232" i="2"/>
  <c r="I232" i="2"/>
  <c r="J232" i="2"/>
  <c r="K232" i="2"/>
  <c r="B233" i="2"/>
  <c r="C233" i="2"/>
  <c r="D233" i="2"/>
  <c r="E233" i="2"/>
  <c r="F233" i="2"/>
  <c r="G233" i="2"/>
  <c r="H233" i="2"/>
  <c r="I233" i="2"/>
  <c r="J233" i="2"/>
  <c r="K233" i="2"/>
  <c r="B234" i="2"/>
  <c r="C234" i="2"/>
  <c r="D234" i="2"/>
  <c r="E234" i="2"/>
  <c r="F234" i="2"/>
  <c r="G234" i="2"/>
  <c r="H234" i="2"/>
  <c r="I234" i="2"/>
  <c r="J234" i="2"/>
  <c r="K234" i="2"/>
  <c r="B235" i="2"/>
  <c r="C235" i="2"/>
  <c r="D235" i="2"/>
  <c r="E235" i="2"/>
  <c r="F235" i="2"/>
  <c r="G235" i="2"/>
  <c r="H235" i="2"/>
  <c r="I235" i="2"/>
  <c r="J235" i="2"/>
  <c r="K235" i="2"/>
  <c r="B236" i="2"/>
  <c r="C236" i="2"/>
  <c r="D236" i="2"/>
  <c r="E236" i="2"/>
  <c r="F236" i="2"/>
  <c r="G236" i="2"/>
  <c r="H236" i="2"/>
  <c r="I236" i="2"/>
  <c r="J236" i="2"/>
  <c r="K236" i="2"/>
  <c r="B237" i="2"/>
  <c r="C237" i="2"/>
  <c r="D237" i="2"/>
  <c r="E237" i="2"/>
  <c r="F237" i="2"/>
  <c r="G237" i="2"/>
  <c r="H237" i="2"/>
  <c r="I237" i="2"/>
  <c r="J237" i="2"/>
  <c r="K237" i="2"/>
  <c r="B238" i="2"/>
  <c r="C238" i="2"/>
  <c r="D238" i="2"/>
  <c r="E238" i="2"/>
  <c r="F238" i="2"/>
  <c r="G238" i="2"/>
  <c r="H238" i="2"/>
  <c r="I238" i="2"/>
  <c r="J238" i="2"/>
  <c r="K238" i="2"/>
  <c r="B239" i="2"/>
  <c r="C239" i="2"/>
  <c r="D239" i="2"/>
  <c r="E239" i="2"/>
  <c r="F239" i="2"/>
  <c r="G239" i="2"/>
  <c r="H239" i="2"/>
  <c r="I239" i="2"/>
  <c r="J239" i="2"/>
  <c r="K239" i="2"/>
  <c r="B240" i="2"/>
  <c r="C240" i="2"/>
  <c r="D240" i="2"/>
  <c r="E240" i="2"/>
  <c r="F240" i="2"/>
  <c r="G240" i="2"/>
  <c r="H240" i="2"/>
  <c r="I240" i="2"/>
  <c r="J240" i="2"/>
  <c r="K240" i="2"/>
  <c r="B241" i="2"/>
  <c r="C241" i="2"/>
  <c r="D241" i="2"/>
  <c r="E241" i="2"/>
  <c r="F241" i="2"/>
  <c r="G241" i="2"/>
  <c r="H241" i="2"/>
  <c r="I241" i="2"/>
  <c r="J241" i="2"/>
  <c r="K241" i="2"/>
  <c r="B242" i="2"/>
  <c r="C242" i="2"/>
  <c r="D242" i="2"/>
  <c r="E242" i="2"/>
  <c r="F242" i="2"/>
  <c r="G242" i="2"/>
  <c r="H242" i="2"/>
  <c r="I242" i="2"/>
  <c r="J242" i="2"/>
  <c r="K242" i="2"/>
  <c r="B243" i="2"/>
  <c r="C243" i="2"/>
  <c r="D243" i="2"/>
  <c r="E243" i="2"/>
  <c r="F243" i="2"/>
  <c r="G243" i="2"/>
  <c r="H243" i="2"/>
  <c r="I243" i="2"/>
  <c r="J243" i="2"/>
  <c r="K243" i="2"/>
  <c r="B244" i="2"/>
  <c r="C244" i="2"/>
  <c r="D244" i="2"/>
  <c r="E244" i="2"/>
  <c r="F244" i="2"/>
  <c r="G244" i="2"/>
  <c r="H244" i="2"/>
  <c r="I244" i="2"/>
  <c r="J244" i="2"/>
  <c r="K244" i="2"/>
  <c r="B245" i="2"/>
  <c r="C245" i="2"/>
  <c r="D245" i="2"/>
  <c r="E245" i="2"/>
  <c r="F245" i="2"/>
  <c r="G245" i="2"/>
  <c r="H245" i="2"/>
  <c r="I245" i="2"/>
  <c r="J245" i="2"/>
  <c r="K245" i="2"/>
  <c r="B246" i="2"/>
  <c r="C246" i="2"/>
  <c r="D246" i="2"/>
  <c r="E246" i="2"/>
  <c r="F246" i="2"/>
  <c r="G246" i="2"/>
  <c r="H246" i="2"/>
  <c r="I246" i="2"/>
  <c r="J246" i="2"/>
  <c r="K246" i="2"/>
  <c r="B247" i="2"/>
  <c r="C247" i="2"/>
  <c r="D247" i="2"/>
  <c r="E247" i="2"/>
  <c r="F247" i="2"/>
  <c r="G247" i="2"/>
  <c r="H247" i="2"/>
  <c r="I247" i="2"/>
  <c r="J247" i="2"/>
  <c r="K247" i="2"/>
  <c r="B248" i="2"/>
  <c r="C248" i="2"/>
  <c r="D248" i="2"/>
  <c r="E248" i="2"/>
  <c r="F248" i="2"/>
  <c r="G248" i="2"/>
  <c r="H248" i="2"/>
  <c r="I248" i="2"/>
  <c r="J248" i="2"/>
  <c r="K248" i="2"/>
  <c r="B249" i="2"/>
  <c r="C249" i="2"/>
  <c r="D249" i="2"/>
  <c r="E249" i="2"/>
  <c r="F249" i="2"/>
  <c r="G249" i="2"/>
  <c r="H249" i="2"/>
  <c r="I249" i="2"/>
  <c r="J249" i="2"/>
  <c r="K249" i="2"/>
  <c r="B250" i="2"/>
  <c r="C250" i="2"/>
  <c r="D250" i="2"/>
  <c r="E250" i="2"/>
  <c r="F250" i="2"/>
  <c r="G250" i="2"/>
  <c r="H250" i="2"/>
  <c r="I250" i="2"/>
  <c r="J250" i="2"/>
  <c r="K250" i="2"/>
  <c r="B251" i="2"/>
  <c r="C251" i="2"/>
  <c r="D251" i="2"/>
  <c r="E251" i="2"/>
  <c r="F251" i="2"/>
  <c r="G251" i="2"/>
  <c r="H251" i="2"/>
  <c r="I251" i="2"/>
  <c r="J251" i="2"/>
  <c r="K251" i="2"/>
  <c r="B252" i="2"/>
  <c r="C252" i="2"/>
  <c r="D252" i="2"/>
  <c r="E252" i="2"/>
  <c r="F252" i="2"/>
  <c r="G252" i="2"/>
  <c r="H252" i="2"/>
  <c r="I252" i="2"/>
  <c r="J252" i="2"/>
  <c r="K252" i="2"/>
  <c r="B253" i="2"/>
  <c r="C253" i="2"/>
  <c r="D253" i="2"/>
  <c r="E253" i="2"/>
  <c r="F253" i="2"/>
  <c r="G253" i="2"/>
  <c r="H253" i="2"/>
  <c r="I253" i="2"/>
  <c r="J253" i="2"/>
  <c r="K253" i="2"/>
  <c r="B254" i="2"/>
  <c r="C254" i="2"/>
  <c r="D254" i="2"/>
  <c r="E254" i="2"/>
  <c r="F254" i="2"/>
  <c r="G254" i="2"/>
  <c r="H254" i="2"/>
  <c r="I254" i="2"/>
  <c r="J254" i="2"/>
  <c r="K254" i="2"/>
  <c r="B255" i="2"/>
  <c r="C255" i="2"/>
  <c r="D255" i="2"/>
  <c r="E255" i="2"/>
  <c r="F255" i="2"/>
  <c r="G255" i="2"/>
  <c r="H255" i="2"/>
  <c r="I255" i="2"/>
  <c r="J255" i="2"/>
  <c r="K255" i="2"/>
  <c r="B256" i="2"/>
  <c r="C256" i="2"/>
  <c r="D256" i="2"/>
  <c r="E256" i="2"/>
  <c r="F256" i="2"/>
  <c r="G256" i="2"/>
  <c r="H256" i="2"/>
  <c r="I256" i="2"/>
  <c r="J256" i="2"/>
  <c r="K256" i="2"/>
  <c r="B257" i="2"/>
  <c r="C257" i="2"/>
  <c r="D257" i="2"/>
  <c r="E257" i="2"/>
  <c r="F257" i="2"/>
  <c r="G257" i="2"/>
  <c r="H257" i="2"/>
  <c r="I257" i="2"/>
  <c r="J257" i="2"/>
  <c r="K257" i="2"/>
  <c r="B258" i="2"/>
  <c r="C258" i="2"/>
  <c r="D258" i="2"/>
  <c r="E258" i="2"/>
  <c r="F258" i="2"/>
  <c r="G258" i="2"/>
  <c r="H258" i="2"/>
  <c r="I258" i="2"/>
  <c r="J258" i="2"/>
  <c r="K258" i="2"/>
  <c r="B259" i="2"/>
  <c r="C259" i="2"/>
  <c r="D259" i="2"/>
  <c r="E259" i="2"/>
  <c r="F259" i="2"/>
  <c r="G259" i="2"/>
  <c r="H259" i="2"/>
  <c r="I259" i="2"/>
  <c r="J259" i="2"/>
  <c r="K259" i="2"/>
  <c r="B260" i="2"/>
  <c r="C260" i="2"/>
  <c r="D260" i="2"/>
  <c r="E260" i="2"/>
  <c r="F260" i="2"/>
  <c r="G260" i="2"/>
  <c r="H260" i="2"/>
  <c r="I260" i="2"/>
  <c r="J260" i="2"/>
  <c r="K260" i="2"/>
  <c r="B261" i="2"/>
  <c r="C261" i="2"/>
  <c r="D261" i="2"/>
  <c r="E261" i="2"/>
  <c r="F261" i="2"/>
  <c r="G261" i="2"/>
  <c r="H261" i="2"/>
  <c r="I261" i="2"/>
  <c r="J261" i="2"/>
  <c r="K261" i="2"/>
  <c r="B262" i="2"/>
  <c r="C262" i="2"/>
  <c r="D262" i="2"/>
  <c r="E262" i="2"/>
  <c r="F262" i="2"/>
  <c r="G262" i="2"/>
  <c r="H262" i="2"/>
  <c r="I262" i="2"/>
  <c r="J262" i="2"/>
  <c r="K262" i="2"/>
  <c r="B263" i="2"/>
  <c r="C263" i="2"/>
  <c r="D263" i="2"/>
  <c r="E263" i="2"/>
  <c r="F263" i="2"/>
  <c r="G263" i="2"/>
  <c r="H263" i="2"/>
  <c r="I263" i="2"/>
  <c r="J263" i="2"/>
  <c r="K263" i="2"/>
  <c r="B264" i="2"/>
  <c r="C264" i="2"/>
  <c r="D264" i="2"/>
  <c r="E264" i="2"/>
  <c r="F264" i="2"/>
  <c r="G264" i="2"/>
  <c r="H264" i="2"/>
  <c r="I264" i="2"/>
  <c r="J264" i="2"/>
  <c r="K264" i="2"/>
  <c r="B265" i="2"/>
  <c r="C265" i="2"/>
  <c r="D265" i="2"/>
  <c r="E265" i="2"/>
  <c r="F265" i="2"/>
  <c r="G265" i="2"/>
  <c r="H265" i="2"/>
  <c r="I265" i="2"/>
  <c r="J265" i="2"/>
  <c r="K265" i="2"/>
  <c r="B266" i="2"/>
  <c r="C266" i="2"/>
  <c r="D266" i="2"/>
  <c r="E266" i="2"/>
  <c r="F266" i="2"/>
  <c r="G266" i="2"/>
  <c r="H266" i="2"/>
  <c r="I266" i="2"/>
  <c r="J266" i="2"/>
  <c r="K266" i="2"/>
  <c r="B267" i="2"/>
  <c r="C267" i="2"/>
  <c r="D267" i="2"/>
  <c r="E267" i="2"/>
  <c r="F267" i="2"/>
  <c r="G267" i="2"/>
  <c r="H267" i="2"/>
  <c r="I267" i="2"/>
  <c r="J267" i="2"/>
  <c r="K267" i="2"/>
  <c r="B268" i="2"/>
  <c r="C268" i="2"/>
  <c r="D268" i="2"/>
  <c r="E268" i="2"/>
  <c r="F268" i="2"/>
  <c r="G268" i="2"/>
  <c r="H268" i="2"/>
  <c r="I268" i="2"/>
  <c r="J268" i="2"/>
  <c r="K268" i="2"/>
  <c r="B269" i="2"/>
  <c r="C269" i="2"/>
  <c r="D269" i="2"/>
  <c r="E269" i="2"/>
  <c r="F269" i="2"/>
  <c r="G269" i="2"/>
  <c r="H269" i="2"/>
  <c r="I269" i="2"/>
  <c r="J269" i="2"/>
  <c r="K269" i="2"/>
  <c r="B270" i="2"/>
  <c r="C270" i="2"/>
  <c r="D270" i="2"/>
  <c r="E270" i="2"/>
  <c r="F270" i="2"/>
  <c r="G270" i="2"/>
  <c r="H270" i="2"/>
  <c r="I270" i="2"/>
  <c r="J270" i="2"/>
  <c r="K270" i="2"/>
  <c r="B271" i="2"/>
  <c r="C271" i="2"/>
  <c r="D271" i="2"/>
  <c r="E271" i="2"/>
  <c r="F271" i="2"/>
  <c r="G271" i="2"/>
  <c r="H271" i="2"/>
  <c r="I271" i="2"/>
  <c r="J271" i="2"/>
  <c r="K271" i="2"/>
  <c r="B272" i="2"/>
  <c r="C272" i="2"/>
  <c r="D272" i="2"/>
  <c r="E272" i="2"/>
  <c r="F272" i="2"/>
  <c r="G272" i="2"/>
  <c r="H272" i="2"/>
  <c r="I272" i="2"/>
  <c r="J272" i="2"/>
  <c r="K272" i="2"/>
  <c r="B273" i="2"/>
  <c r="C273" i="2"/>
  <c r="D273" i="2"/>
  <c r="E273" i="2"/>
  <c r="F273" i="2"/>
  <c r="G273" i="2"/>
  <c r="H273" i="2"/>
  <c r="I273" i="2"/>
  <c r="J273" i="2"/>
  <c r="K273" i="2"/>
  <c r="B274" i="2"/>
  <c r="C274" i="2"/>
  <c r="D274" i="2"/>
  <c r="E274" i="2"/>
  <c r="F274" i="2"/>
  <c r="G274" i="2"/>
  <c r="H274" i="2"/>
  <c r="I274" i="2"/>
  <c r="J274" i="2"/>
  <c r="K274" i="2"/>
  <c r="B275" i="2"/>
  <c r="C275" i="2"/>
  <c r="D275" i="2"/>
  <c r="E275" i="2"/>
  <c r="F275" i="2"/>
  <c r="G275" i="2"/>
  <c r="H275" i="2"/>
  <c r="I275" i="2"/>
  <c r="J275" i="2"/>
  <c r="K275" i="2"/>
  <c r="B276" i="2"/>
  <c r="C276" i="2"/>
  <c r="D276" i="2"/>
  <c r="E276" i="2"/>
  <c r="F276" i="2"/>
  <c r="G276" i="2"/>
  <c r="H276" i="2"/>
  <c r="I276" i="2"/>
  <c r="J276" i="2"/>
  <c r="K276" i="2"/>
  <c r="B277" i="2"/>
  <c r="C277" i="2"/>
  <c r="D277" i="2"/>
  <c r="E277" i="2"/>
  <c r="F277" i="2"/>
  <c r="G277" i="2"/>
  <c r="H277" i="2"/>
  <c r="I277" i="2"/>
  <c r="J277" i="2"/>
  <c r="K277" i="2"/>
  <c r="B278" i="2"/>
  <c r="C278" i="2"/>
  <c r="D278" i="2"/>
  <c r="E278" i="2"/>
  <c r="F278" i="2"/>
  <c r="G278" i="2"/>
  <c r="H278" i="2"/>
  <c r="I278" i="2"/>
  <c r="J278" i="2"/>
  <c r="K278" i="2"/>
  <c r="B279" i="2"/>
  <c r="C279" i="2"/>
  <c r="D279" i="2"/>
  <c r="E279" i="2"/>
  <c r="F279" i="2"/>
  <c r="G279" i="2"/>
  <c r="H279" i="2"/>
  <c r="I279" i="2"/>
  <c r="J279" i="2"/>
  <c r="K279" i="2"/>
  <c r="B280" i="2"/>
  <c r="C280" i="2"/>
  <c r="D280" i="2"/>
  <c r="E280" i="2"/>
  <c r="F280" i="2"/>
  <c r="G280" i="2"/>
  <c r="H280" i="2"/>
  <c r="I280" i="2"/>
  <c r="J280" i="2"/>
  <c r="K280" i="2"/>
  <c r="B281" i="2"/>
  <c r="C281" i="2"/>
  <c r="D281" i="2"/>
  <c r="E281" i="2"/>
  <c r="F281" i="2"/>
  <c r="G281" i="2"/>
  <c r="H281" i="2"/>
  <c r="I281" i="2"/>
  <c r="J281" i="2"/>
  <c r="K281" i="2"/>
  <c r="B282" i="2"/>
  <c r="C282" i="2"/>
  <c r="D282" i="2"/>
  <c r="E282" i="2"/>
  <c r="F282" i="2"/>
  <c r="G282" i="2"/>
  <c r="H282" i="2"/>
  <c r="I282" i="2"/>
  <c r="J282" i="2"/>
  <c r="K282" i="2"/>
  <c r="B283" i="2"/>
  <c r="C283" i="2"/>
  <c r="D283" i="2"/>
  <c r="E283" i="2"/>
  <c r="F283" i="2"/>
  <c r="G283" i="2"/>
  <c r="H283" i="2"/>
  <c r="I283" i="2"/>
  <c r="J283" i="2"/>
  <c r="K283" i="2"/>
  <c r="B284" i="2"/>
  <c r="C284" i="2"/>
  <c r="D284" i="2"/>
  <c r="E284" i="2"/>
  <c r="F284" i="2"/>
  <c r="G284" i="2"/>
  <c r="H284" i="2"/>
  <c r="I284" i="2"/>
  <c r="J284" i="2"/>
  <c r="K284" i="2"/>
  <c r="B285" i="2"/>
  <c r="C285" i="2"/>
  <c r="D285" i="2"/>
  <c r="E285" i="2"/>
  <c r="F285" i="2"/>
  <c r="G285" i="2"/>
  <c r="H285" i="2"/>
  <c r="I285" i="2"/>
  <c r="J285" i="2"/>
  <c r="K285" i="2"/>
  <c r="B286" i="2"/>
  <c r="C286" i="2"/>
  <c r="D286" i="2"/>
  <c r="E286" i="2"/>
  <c r="F286" i="2"/>
  <c r="G286" i="2"/>
  <c r="H286" i="2"/>
  <c r="I286" i="2"/>
  <c r="J286" i="2"/>
  <c r="K286" i="2"/>
  <c r="B287" i="2"/>
  <c r="C287" i="2"/>
  <c r="D287" i="2"/>
  <c r="E287" i="2"/>
  <c r="F287" i="2"/>
  <c r="G287" i="2"/>
  <c r="H287" i="2"/>
  <c r="I287" i="2"/>
  <c r="J287" i="2"/>
  <c r="K287" i="2"/>
  <c r="B288" i="2"/>
  <c r="C288" i="2"/>
  <c r="D288" i="2"/>
  <c r="E288" i="2"/>
  <c r="F288" i="2"/>
  <c r="G288" i="2"/>
  <c r="H288" i="2"/>
  <c r="I288" i="2"/>
  <c r="J288" i="2"/>
  <c r="K288" i="2"/>
  <c r="B289" i="2"/>
  <c r="C289" i="2"/>
  <c r="D289" i="2"/>
  <c r="E289" i="2"/>
  <c r="F289" i="2"/>
  <c r="G289" i="2"/>
  <c r="H289" i="2"/>
  <c r="I289" i="2"/>
  <c r="J289" i="2"/>
  <c r="K289" i="2"/>
  <c r="B290" i="2"/>
  <c r="C290" i="2"/>
  <c r="D290" i="2"/>
  <c r="E290" i="2"/>
  <c r="F290" i="2"/>
  <c r="G290" i="2"/>
  <c r="H290" i="2"/>
  <c r="I290" i="2"/>
  <c r="J290" i="2"/>
  <c r="K290" i="2"/>
  <c r="B291" i="2"/>
  <c r="C291" i="2"/>
  <c r="D291" i="2"/>
  <c r="E291" i="2"/>
  <c r="F291" i="2"/>
  <c r="G291" i="2"/>
  <c r="H291" i="2"/>
  <c r="I291" i="2"/>
  <c r="J291" i="2"/>
  <c r="K291" i="2"/>
  <c r="B292" i="2"/>
  <c r="C292" i="2"/>
  <c r="D292" i="2"/>
  <c r="E292" i="2"/>
  <c r="F292" i="2"/>
  <c r="G292" i="2"/>
  <c r="H292" i="2"/>
  <c r="I292" i="2"/>
  <c r="J292" i="2"/>
  <c r="K292" i="2"/>
  <c r="B293" i="2"/>
  <c r="C293" i="2"/>
  <c r="D293" i="2"/>
  <c r="E293" i="2"/>
  <c r="F293" i="2"/>
  <c r="G293" i="2"/>
  <c r="H293" i="2"/>
  <c r="I293" i="2"/>
  <c r="J293" i="2"/>
  <c r="K293" i="2"/>
  <c r="B294" i="2"/>
  <c r="C294" i="2"/>
  <c r="D294" i="2"/>
  <c r="E294" i="2"/>
  <c r="F294" i="2"/>
  <c r="G294" i="2"/>
  <c r="H294" i="2"/>
  <c r="I294" i="2"/>
  <c r="J294" i="2"/>
  <c r="K294" i="2"/>
  <c r="B295" i="2"/>
  <c r="C295" i="2"/>
  <c r="D295" i="2"/>
  <c r="E295" i="2"/>
  <c r="F295" i="2"/>
  <c r="G295" i="2"/>
  <c r="H295" i="2"/>
  <c r="I295" i="2"/>
  <c r="J295" i="2"/>
  <c r="K295" i="2"/>
  <c r="B296" i="2"/>
  <c r="C296" i="2"/>
  <c r="D296" i="2"/>
  <c r="E296" i="2"/>
  <c r="F296" i="2"/>
  <c r="G296" i="2"/>
  <c r="H296" i="2"/>
  <c r="I296" i="2"/>
  <c r="J296" i="2"/>
  <c r="K296" i="2"/>
  <c r="B297" i="2"/>
  <c r="C297" i="2"/>
  <c r="D297" i="2"/>
  <c r="E297" i="2"/>
  <c r="F297" i="2"/>
  <c r="G297" i="2"/>
  <c r="H297" i="2"/>
  <c r="I297" i="2"/>
  <c r="J297" i="2"/>
  <c r="K297" i="2"/>
  <c r="B298" i="2"/>
  <c r="C298" i="2"/>
  <c r="D298" i="2"/>
  <c r="E298" i="2"/>
  <c r="F298" i="2"/>
  <c r="G298" i="2"/>
  <c r="H298" i="2"/>
  <c r="I298" i="2"/>
  <c r="J298" i="2"/>
  <c r="K298" i="2"/>
  <c r="B299" i="2"/>
  <c r="C299" i="2"/>
  <c r="D299" i="2"/>
  <c r="E299" i="2"/>
  <c r="F299" i="2"/>
  <c r="G299" i="2"/>
  <c r="H299" i="2"/>
  <c r="I299" i="2"/>
  <c r="J299" i="2"/>
  <c r="K299" i="2"/>
  <c r="B300" i="2"/>
  <c r="C300" i="2"/>
  <c r="D300" i="2"/>
  <c r="E300" i="2"/>
  <c r="F300" i="2"/>
  <c r="G300" i="2"/>
  <c r="H300" i="2"/>
  <c r="I300" i="2"/>
  <c r="J300" i="2"/>
  <c r="K300" i="2"/>
  <c r="B301" i="2"/>
  <c r="C301" i="2"/>
  <c r="D301" i="2"/>
  <c r="E301" i="2"/>
  <c r="F301" i="2"/>
  <c r="G301" i="2"/>
  <c r="H301" i="2"/>
  <c r="I301" i="2"/>
  <c r="J301" i="2"/>
  <c r="K301" i="2"/>
  <c r="B302" i="2"/>
  <c r="C302" i="2"/>
  <c r="D302" i="2"/>
  <c r="E302" i="2"/>
  <c r="F302" i="2"/>
  <c r="G302" i="2"/>
  <c r="H302" i="2"/>
  <c r="I302" i="2"/>
  <c r="J302" i="2"/>
  <c r="K302" i="2"/>
  <c r="B303" i="2"/>
  <c r="C303" i="2"/>
  <c r="D303" i="2"/>
  <c r="E303" i="2"/>
  <c r="F303" i="2"/>
  <c r="G303" i="2"/>
  <c r="H303" i="2"/>
  <c r="I303" i="2"/>
  <c r="J303" i="2"/>
  <c r="K303" i="2"/>
  <c r="B304" i="2"/>
  <c r="C304" i="2"/>
  <c r="D304" i="2"/>
  <c r="E304" i="2"/>
  <c r="F304" i="2"/>
  <c r="G304" i="2"/>
  <c r="H304" i="2"/>
  <c r="I304" i="2"/>
  <c r="J304" i="2"/>
  <c r="K304" i="2"/>
  <c r="B305" i="2"/>
  <c r="C305" i="2"/>
  <c r="D305" i="2"/>
  <c r="E305" i="2"/>
  <c r="F305" i="2"/>
  <c r="G305" i="2"/>
  <c r="H305" i="2"/>
  <c r="I305" i="2"/>
  <c r="J305" i="2"/>
  <c r="K305" i="2"/>
  <c r="B306" i="2"/>
  <c r="C306" i="2"/>
  <c r="D306" i="2"/>
  <c r="E306" i="2"/>
  <c r="F306" i="2"/>
  <c r="G306" i="2"/>
  <c r="H306" i="2"/>
  <c r="I306" i="2"/>
  <c r="J306" i="2"/>
  <c r="K306" i="2"/>
  <c r="B307" i="2"/>
  <c r="C307" i="2"/>
  <c r="D307" i="2"/>
  <c r="E307" i="2"/>
  <c r="F307" i="2"/>
  <c r="G307" i="2"/>
  <c r="H307" i="2"/>
  <c r="I307" i="2"/>
  <c r="J307" i="2"/>
  <c r="K307" i="2"/>
  <c r="B308" i="2"/>
  <c r="C308" i="2"/>
  <c r="D308" i="2"/>
  <c r="E308" i="2"/>
  <c r="F308" i="2"/>
  <c r="G308" i="2"/>
  <c r="H308" i="2"/>
  <c r="I308" i="2"/>
  <c r="J308" i="2"/>
  <c r="K308" i="2"/>
  <c r="B309" i="2"/>
  <c r="C309" i="2"/>
  <c r="D309" i="2"/>
  <c r="E309" i="2"/>
  <c r="F309" i="2"/>
  <c r="G309" i="2"/>
  <c r="H309" i="2"/>
  <c r="I309" i="2"/>
  <c r="J309" i="2"/>
  <c r="K309" i="2"/>
  <c r="B310" i="2"/>
  <c r="C310" i="2"/>
  <c r="D310" i="2"/>
  <c r="E310" i="2"/>
  <c r="F310" i="2"/>
  <c r="G310" i="2"/>
  <c r="H310" i="2"/>
  <c r="I310" i="2"/>
  <c r="J310" i="2"/>
  <c r="K310" i="2"/>
  <c r="B311" i="2"/>
  <c r="C311" i="2"/>
  <c r="D311" i="2"/>
  <c r="E311" i="2"/>
  <c r="F311" i="2"/>
  <c r="G311" i="2"/>
  <c r="H311" i="2"/>
  <c r="I311" i="2"/>
  <c r="J311" i="2"/>
  <c r="K311" i="2"/>
  <c r="B312" i="2"/>
  <c r="C312" i="2"/>
  <c r="D312" i="2"/>
  <c r="E312" i="2"/>
  <c r="F312" i="2"/>
  <c r="G312" i="2"/>
  <c r="H312" i="2"/>
  <c r="I312" i="2"/>
  <c r="J312" i="2"/>
  <c r="K312" i="2"/>
  <c r="B313" i="2"/>
  <c r="C313" i="2"/>
  <c r="D313" i="2"/>
  <c r="E313" i="2"/>
  <c r="F313" i="2"/>
  <c r="G313" i="2"/>
  <c r="H313" i="2"/>
  <c r="I313" i="2"/>
  <c r="J313" i="2"/>
  <c r="K313" i="2"/>
  <c r="B314" i="2"/>
  <c r="C314" i="2"/>
  <c r="D314" i="2"/>
  <c r="E314" i="2"/>
  <c r="F314" i="2"/>
  <c r="G314" i="2"/>
  <c r="H314" i="2"/>
  <c r="I314" i="2"/>
  <c r="J314" i="2"/>
  <c r="K314" i="2"/>
  <c r="B315" i="2"/>
  <c r="C315" i="2"/>
  <c r="D315" i="2"/>
  <c r="E315" i="2"/>
  <c r="F315" i="2"/>
  <c r="G315" i="2"/>
  <c r="H315" i="2"/>
  <c r="I315" i="2"/>
  <c r="J315" i="2"/>
  <c r="K315" i="2"/>
  <c r="B316" i="2"/>
  <c r="C316" i="2"/>
  <c r="D316" i="2"/>
  <c r="E316" i="2"/>
  <c r="F316" i="2"/>
  <c r="G316" i="2"/>
  <c r="H316" i="2"/>
  <c r="I316" i="2"/>
  <c r="J316" i="2"/>
  <c r="K316" i="2"/>
  <c r="B317" i="2"/>
  <c r="C317" i="2"/>
  <c r="D317" i="2"/>
  <c r="E317" i="2"/>
  <c r="F317" i="2"/>
  <c r="G317" i="2"/>
  <c r="H317" i="2"/>
  <c r="I317" i="2"/>
  <c r="J317" i="2"/>
  <c r="K317" i="2"/>
  <c r="B318" i="2"/>
  <c r="C318" i="2"/>
  <c r="D318" i="2"/>
  <c r="E318" i="2"/>
  <c r="F318" i="2"/>
  <c r="G318" i="2"/>
  <c r="H318" i="2"/>
  <c r="I318" i="2"/>
  <c r="J318" i="2"/>
  <c r="K318" i="2"/>
  <c r="B319" i="2"/>
  <c r="C319" i="2"/>
  <c r="D319" i="2"/>
  <c r="E319" i="2"/>
  <c r="F319" i="2"/>
  <c r="G319" i="2"/>
  <c r="H319" i="2"/>
  <c r="I319" i="2"/>
  <c r="J319" i="2"/>
  <c r="K319" i="2"/>
  <c r="B320" i="2"/>
  <c r="C320" i="2"/>
  <c r="D320" i="2"/>
  <c r="E320" i="2"/>
  <c r="F320" i="2"/>
  <c r="G320" i="2"/>
  <c r="H320" i="2"/>
  <c r="I320" i="2"/>
  <c r="J320" i="2"/>
  <c r="K320" i="2"/>
  <c r="B321" i="2"/>
  <c r="C321" i="2"/>
  <c r="D321" i="2"/>
  <c r="E321" i="2"/>
  <c r="F321" i="2"/>
  <c r="G321" i="2"/>
  <c r="H321" i="2"/>
  <c r="I321" i="2"/>
  <c r="J321" i="2"/>
  <c r="K321" i="2"/>
  <c r="B322" i="2"/>
  <c r="C322" i="2"/>
  <c r="D322" i="2"/>
  <c r="E322" i="2"/>
  <c r="F322" i="2"/>
  <c r="G322" i="2"/>
  <c r="H322" i="2"/>
  <c r="I322" i="2"/>
  <c r="J322" i="2"/>
  <c r="K322" i="2"/>
  <c r="B323" i="2"/>
  <c r="C323" i="2"/>
  <c r="D323" i="2"/>
  <c r="E323" i="2"/>
  <c r="F323" i="2"/>
  <c r="G323" i="2"/>
  <c r="H323" i="2"/>
  <c r="I323" i="2"/>
  <c r="J323" i="2"/>
  <c r="K323" i="2"/>
  <c r="B324" i="2"/>
  <c r="C324" i="2"/>
  <c r="D324" i="2"/>
  <c r="E324" i="2"/>
  <c r="F324" i="2"/>
  <c r="G324" i="2"/>
  <c r="H324" i="2"/>
  <c r="I324" i="2"/>
  <c r="J324" i="2"/>
  <c r="K324" i="2"/>
  <c r="B325" i="2"/>
  <c r="C325" i="2"/>
  <c r="D325" i="2"/>
  <c r="E325" i="2"/>
  <c r="F325" i="2"/>
  <c r="G325" i="2"/>
  <c r="H325" i="2"/>
  <c r="I325" i="2"/>
  <c r="J325" i="2"/>
  <c r="K325" i="2"/>
  <c r="B326" i="2"/>
  <c r="C326" i="2"/>
  <c r="D326" i="2"/>
  <c r="E326" i="2"/>
  <c r="F326" i="2"/>
  <c r="G326" i="2"/>
  <c r="H326" i="2"/>
  <c r="I326" i="2"/>
  <c r="J326" i="2"/>
  <c r="K326" i="2"/>
  <c r="B327" i="2"/>
  <c r="C327" i="2"/>
  <c r="D327" i="2"/>
  <c r="E327" i="2"/>
  <c r="F327" i="2"/>
  <c r="G327" i="2"/>
  <c r="H327" i="2"/>
  <c r="I327" i="2"/>
  <c r="J327" i="2"/>
  <c r="K327" i="2"/>
  <c r="B328" i="2"/>
  <c r="C328" i="2"/>
  <c r="D328" i="2"/>
  <c r="E328" i="2"/>
  <c r="F328" i="2"/>
  <c r="G328" i="2"/>
  <c r="H328" i="2"/>
  <c r="I328" i="2"/>
  <c r="J328" i="2"/>
  <c r="K328" i="2"/>
  <c r="B329" i="2"/>
  <c r="C329" i="2"/>
  <c r="D329" i="2"/>
  <c r="E329" i="2"/>
  <c r="F329" i="2"/>
  <c r="G329" i="2"/>
  <c r="H329" i="2"/>
  <c r="I329" i="2"/>
  <c r="J329" i="2"/>
  <c r="K329" i="2"/>
  <c r="B330" i="2"/>
  <c r="C330" i="2"/>
  <c r="D330" i="2"/>
  <c r="E330" i="2"/>
  <c r="F330" i="2"/>
  <c r="G330" i="2"/>
  <c r="H330" i="2"/>
  <c r="I330" i="2"/>
  <c r="J330" i="2"/>
  <c r="K330" i="2"/>
  <c r="B331" i="2"/>
  <c r="C331" i="2"/>
  <c r="D331" i="2"/>
  <c r="E331" i="2"/>
  <c r="F331" i="2"/>
  <c r="G331" i="2"/>
  <c r="H331" i="2"/>
  <c r="I331" i="2"/>
  <c r="J331" i="2"/>
  <c r="K331" i="2"/>
  <c r="B332" i="2"/>
  <c r="C332" i="2"/>
  <c r="D332" i="2"/>
  <c r="E332" i="2"/>
  <c r="F332" i="2"/>
  <c r="G332" i="2"/>
  <c r="H332" i="2"/>
  <c r="I332" i="2"/>
  <c r="J332" i="2"/>
  <c r="K332" i="2"/>
  <c r="B333" i="2"/>
  <c r="C333" i="2"/>
  <c r="D333" i="2"/>
  <c r="E333" i="2"/>
  <c r="F333" i="2"/>
  <c r="G333" i="2"/>
  <c r="H333" i="2"/>
  <c r="I333" i="2"/>
  <c r="J333" i="2"/>
  <c r="K333" i="2"/>
  <c r="B334" i="2"/>
  <c r="C334" i="2"/>
  <c r="D334" i="2"/>
  <c r="E334" i="2"/>
  <c r="F334" i="2"/>
  <c r="G334" i="2"/>
  <c r="H334" i="2"/>
  <c r="I334" i="2"/>
  <c r="J334" i="2"/>
  <c r="K334" i="2"/>
  <c r="B335" i="2"/>
  <c r="C335" i="2"/>
  <c r="D335" i="2"/>
  <c r="E335" i="2"/>
  <c r="F335" i="2"/>
  <c r="G335" i="2"/>
  <c r="H335" i="2"/>
  <c r="I335" i="2"/>
  <c r="J335" i="2"/>
  <c r="K335" i="2"/>
  <c r="B336" i="2"/>
  <c r="C336" i="2"/>
  <c r="D336" i="2"/>
  <c r="E336" i="2"/>
  <c r="F336" i="2"/>
  <c r="G336" i="2"/>
  <c r="H336" i="2"/>
  <c r="I336" i="2"/>
  <c r="J336" i="2"/>
  <c r="K336" i="2"/>
  <c r="B337" i="2"/>
  <c r="C337" i="2"/>
  <c r="D337" i="2"/>
  <c r="E337" i="2"/>
  <c r="F337" i="2"/>
  <c r="G337" i="2"/>
  <c r="H337" i="2"/>
  <c r="I337" i="2"/>
  <c r="J337" i="2"/>
  <c r="K337" i="2"/>
  <c r="B338" i="2"/>
  <c r="C338" i="2"/>
  <c r="D338" i="2"/>
  <c r="E338" i="2"/>
  <c r="F338" i="2"/>
  <c r="G338" i="2"/>
  <c r="H338" i="2"/>
  <c r="I338" i="2"/>
  <c r="J338" i="2"/>
  <c r="K338" i="2"/>
  <c r="B339" i="2"/>
  <c r="C339" i="2"/>
  <c r="D339" i="2"/>
  <c r="E339" i="2"/>
  <c r="F339" i="2"/>
  <c r="G339" i="2"/>
  <c r="H339" i="2"/>
  <c r="I339" i="2"/>
  <c r="J339" i="2"/>
  <c r="K339" i="2"/>
  <c r="B340" i="2"/>
  <c r="C340" i="2"/>
  <c r="D340" i="2"/>
  <c r="E340" i="2"/>
  <c r="F340" i="2"/>
  <c r="G340" i="2"/>
  <c r="H340" i="2"/>
  <c r="I340" i="2"/>
  <c r="J340" i="2"/>
  <c r="K340" i="2"/>
  <c r="B341" i="2"/>
  <c r="C341" i="2"/>
  <c r="D341" i="2"/>
  <c r="E341" i="2"/>
  <c r="F341" i="2"/>
  <c r="G341" i="2"/>
  <c r="H341" i="2"/>
  <c r="I341" i="2"/>
  <c r="J341" i="2"/>
  <c r="K341" i="2"/>
  <c r="B342" i="2"/>
  <c r="C342" i="2"/>
  <c r="D342" i="2"/>
  <c r="E342" i="2"/>
  <c r="F342" i="2"/>
  <c r="G342" i="2"/>
  <c r="H342" i="2"/>
  <c r="I342" i="2"/>
  <c r="J342" i="2"/>
  <c r="K342" i="2"/>
  <c r="B343" i="2"/>
  <c r="C343" i="2"/>
  <c r="D343" i="2"/>
  <c r="E343" i="2"/>
  <c r="F343" i="2"/>
  <c r="G343" i="2"/>
  <c r="H343" i="2"/>
  <c r="I343" i="2"/>
  <c r="J343" i="2"/>
  <c r="K343" i="2"/>
  <c r="B344" i="2"/>
  <c r="C344" i="2"/>
  <c r="D344" i="2"/>
  <c r="E344" i="2"/>
  <c r="F344" i="2"/>
  <c r="G344" i="2"/>
  <c r="H344" i="2"/>
  <c r="I344" i="2"/>
  <c r="J344" i="2"/>
  <c r="K344" i="2"/>
  <c r="B345" i="2"/>
  <c r="C345" i="2"/>
  <c r="D345" i="2"/>
  <c r="E345" i="2"/>
  <c r="F345" i="2"/>
  <c r="G345" i="2"/>
  <c r="H345" i="2"/>
  <c r="I345" i="2"/>
  <c r="J345" i="2"/>
  <c r="K345" i="2"/>
  <c r="B346" i="2"/>
  <c r="C346" i="2"/>
  <c r="D346" i="2"/>
  <c r="E346" i="2"/>
  <c r="F346" i="2"/>
  <c r="G346" i="2"/>
  <c r="H346" i="2"/>
  <c r="I346" i="2"/>
  <c r="J346" i="2"/>
  <c r="K346" i="2"/>
  <c r="B347" i="2"/>
  <c r="C347" i="2"/>
  <c r="D347" i="2"/>
  <c r="E347" i="2"/>
  <c r="F347" i="2"/>
  <c r="G347" i="2"/>
  <c r="H347" i="2"/>
  <c r="I347" i="2"/>
  <c r="J347" i="2"/>
  <c r="K347" i="2"/>
  <c r="B348" i="2"/>
  <c r="C348" i="2"/>
  <c r="D348" i="2"/>
  <c r="E348" i="2"/>
  <c r="F348" i="2"/>
  <c r="G348" i="2"/>
  <c r="H348" i="2"/>
  <c r="I348" i="2"/>
  <c r="J348" i="2"/>
  <c r="K348" i="2"/>
  <c r="B349" i="2"/>
  <c r="C349" i="2"/>
  <c r="D349" i="2"/>
  <c r="E349" i="2"/>
  <c r="F349" i="2"/>
  <c r="G349" i="2"/>
  <c r="H349" i="2"/>
  <c r="I349" i="2"/>
  <c r="J349" i="2"/>
  <c r="K349" i="2"/>
  <c r="B350" i="2"/>
  <c r="C350" i="2"/>
  <c r="D350" i="2"/>
  <c r="E350" i="2"/>
  <c r="F350" i="2"/>
  <c r="G350" i="2"/>
  <c r="H350" i="2"/>
  <c r="I350" i="2"/>
  <c r="J350" i="2"/>
  <c r="K350" i="2"/>
  <c r="B351" i="2"/>
  <c r="C351" i="2"/>
  <c r="D351" i="2"/>
  <c r="E351" i="2"/>
  <c r="F351" i="2"/>
  <c r="G351" i="2"/>
  <c r="H351" i="2"/>
  <c r="I351" i="2"/>
  <c r="J351" i="2"/>
  <c r="K351" i="2"/>
  <c r="B352" i="2"/>
  <c r="C352" i="2"/>
  <c r="D352" i="2"/>
  <c r="E352" i="2"/>
  <c r="F352" i="2"/>
  <c r="G352" i="2"/>
  <c r="H352" i="2"/>
  <c r="I352" i="2"/>
  <c r="J352" i="2"/>
  <c r="K352" i="2"/>
  <c r="B353" i="2"/>
  <c r="C353" i="2"/>
  <c r="D353" i="2"/>
  <c r="E353" i="2"/>
  <c r="F353" i="2"/>
  <c r="G353" i="2"/>
  <c r="H353" i="2"/>
  <c r="I353" i="2"/>
  <c r="J353" i="2"/>
  <c r="K353" i="2"/>
  <c r="B354" i="2"/>
  <c r="C354" i="2"/>
  <c r="D354" i="2"/>
  <c r="E354" i="2"/>
  <c r="F354" i="2"/>
  <c r="G354" i="2"/>
  <c r="H354" i="2"/>
  <c r="I354" i="2"/>
  <c r="J354" i="2"/>
  <c r="K354" i="2"/>
  <c r="B355" i="2"/>
  <c r="C355" i="2"/>
  <c r="D355" i="2"/>
  <c r="E355" i="2"/>
  <c r="F355" i="2"/>
  <c r="G355" i="2"/>
  <c r="H355" i="2"/>
  <c r="I355" i="2"/>
  <c r="J355" i="2"/>
  <c r="K355" i="2"/>
  <c r="B356" i="2"/>
  <c r="C356" i="2"/>
  <c r="D356" i="2"/>
  <c r="E356" i="2"/>
  <c r="F356" i="2"/>
  <c r="G356" i="2"/>
  <c r="H356" i="2"/>
  <c r="I356" i="2"/>
  <c r="J356" i="2"/>
  <c r="K356" i="2"/>
  <c r="B357" i="2"/>
  <c r="C357" i="2"/>
  <c r="D357" i="2"/>
  <c r="E357" i="2"/>
  <c r="F357" i="2"/>
  <c r="G357" i="2"/>
  <c r="H357" i="2"/>
  <c r="I357" i="2"/>
  <c r="J357" i="2"/>
  <c r="K357" i="2"/>
  <c r="B358" i="2"/>
  <c r="C358" i="2"/>
  <c r="D358" i="2"/>
  <c r="E358" i="2"/>
  <c r="F358" i="2"/>
  <c r="G358" i="2"/>
  <c r="H358" i="2"/>
  <c r="I358" i="2"/>
  <c r="J358" i="2"/>
  <c r="K358" i="2"/>
  <c r="B359" i="2"/>
  <c r="C359" i="2"/>
  <c r="D359" i="2"/>
  <c r="E359" i="2"/>
  <c r="F359" i="2"/>
  <c r="G359" i="2"/>
  <c r="H359" i="2"/>
  <c r="I359" i="2"/>
  <c r="J359" i="2"/>
  <c r="K359" i="2"/>
  <c r="B360" i="2"/>
  <c r="C360" i="2"/>
  <c r="D360" i="2"/>
  <c r="E360" i="2"/>
  <c r="F360" i="2"/>
  <c r="G360" i="2"/>
  <c r="H360" i="2"/>
  <c r="I360" i="2"/>
  <c r="J360" i="2"/>
  <c r="K360" i="2"/>
  <c r="B361" i="2"/>
  <c r="C361" i="2"/>
  <c r="D361" i="2"/>
  <c r="E361" i="2"/>
  <c r="F361" i="2"/>
  <c r="G361" i="2"/>
  <c r="H361" i="2"/>
  <c r="I361" i="2"/>
  <c r="J361" i="2"/>
  <c r="K361" i="2"/>
  <c r="B362" i="2"/>
  <c r="C362" i="2"/>
  <c r="D362" i="2"/>
  <c r="E362" i="2"/>
  <c r="F362" i="2"/>
  <c r="G362" i="2"/>
  <c r="H362" i="2"/>
  <c r="I362" i="2"/>
  <c r="J362" i="2"/>
  <c r="K362" i="2"/>
  <c r="B363" i="2"/>
  <c r="C363" i="2"/>
  <c r="D363" i="2"/>
  <c r="E363" i="2"/>
  <c r="F363" i="2"/>
  <c r="G363" i="2"/>
  <c r="H363" i="2"/>
  <c r="I363" i="2"/>
  <c r="J363" i="2"/>
  <c r="K363" i="2"/>
  <c r="B364" i="2"/>
  <c r="C364" i="2"/>
  <c r="D364" i="2"/>
  <c r="E364" i="2"/>
  <c r="F364" i="2"/>
  <c r="G364" i="2"/>
  <c r="H364" i="2"/>
  <c r="I364" i="2"/>
  <c r="J364" i="2"/>
  <c r="K364" i="2"/>
  <c r="B365" i="2"/>
  <c r="C365" i="2"/>
  <c r="D365" i="2"/>
  <c r="E365" i="2"/>
  <c r="F365" i="2"/>
  <c r="G365" i="2"/>
  <c r="H365" i="2"/>
  <c r="I365" i="2"/>
  <c r="J365" i="2"/>
  <c r="K365" i="2"/>
  <c r="B366" i="2"/>
  <c r="C366" i="2"/>
  <c r="D366" i="2"/>
  <c r="E366" i="2"/>
  <c r="F366" i="2"/>
  <c r="G366" i="2"/>
  <c r="H366" i="2"/>
  <c r="I366" i="2"/>
  <c r="J366" i="2"/>
  <c r="K366" i="2"/>
  <c r="B367" i="2"/>
  <c r="C367" i="2"/>
  <c r="D367" i="2"/>
  <c r="E367" i="2"/>
  <c r="F367" i="2"/>
  <c r="G367" i="2"/>
  <c r="H367" i="2"/>
  <c r="I367" i="2"/>
  <c r="J367" i="2"/>
  <c r="K367" i="2"/>
  <c r="B368" i="2"/>
  <c r="C368" i="2"/>
  <c r="D368" i="2"/>
  <c r="E368" i="2"/>
  <c r="F368" i="2"/>
  <c r="G368" i="2"/>
  <c r="H368" i="2"/>
  <c r="I368" i="2"/>
  <c r="J368" i="2"/>
  <c r="K368" i="2"/>
  <c r="B369" i="2"/>
  <c r="C369" i="2"/>
  <c r="D369" i="2"/>
  <c r="E369" i="2"/>
  <c r="F369" i="2"/>
  <c r="G369" i="2"/>
  <c r="H369" i="2"/>
  <c r="I369" i="2"/>
  <c r="J369" i="2"/>
  <c r="K369" i="2"/>
  <c r="B370" i="2"/>
  <c r="C370" i="2"/>
  <c r="D370" i="2"/>
  <c r="E370" i="2"/>
  <c r="F370" i="2"/>
  <c r="G370" i="2"/>
  <c r="H370" i="2"/>
  <c r="I370" i="2"/>
  <c r="J370" i="2"/>
  <c r="K370" i="2"/>
  <c r="B371" i="2"/>
  <c r="C371" i="2"/>
  <c r="D371" i="2"/>
  <c r="E371" i="2"/>
  <c r="F371" i="2"/>
  <c r="G371" i="2"/>
  <c r="H371" i="2"/>
  <c r="I371" i="2"/>
  <c r="J371" i="2"/>
  <c r="K371" i="2"/>
  <c r="B372" i="2"/>
  <c r="C372" i="2"/>
  <c r="D372" i="2"/>
  <c r="E372" i="2"/>
  <c r="F372" i="2"/>
  <c r="G372" i="2"/>
  <c r="H372" i="2"/>
  <c r="I372" i="2"/>
  <c r="J372" i="2"/>
  <c r="K372" i="2"/>
  <c r="B373" i="2"/>
  <c r="C373" i="2"/>
  <c r="D373" i="2"/>
  <c r="E373" i="2"/>
  <c r="F373" i="2"/>
  <c r="G373" i="2"/>
  <c r="H373" i="2"/>
  <c r="I373" i="2"/>
  <c r="J373" i="2"/>
  <c r="K373" i="2"/>
  <c r="B374" i="2"/>
  <c r="C374" i="2"/>
  <c r="D374" i="2"/>
  <c r="E374" i="2"/>
  <c r="F374" i="2"/>
  <c r="G374" i="2"/>
  <c r="H374" i="2"/>
  <c r="I374" i="2"/>
  <c r="J374" i="2"/>
  <c r="K374" i="2"/>
  <c r="B375" i="2"/>
  <c r="C375" i="2"/>
  <c r="D375" i="2"/>
  <c r="E375" i="2"/>
  <c r="F375" i="2"/>
  <c r="G375" i="2"/>
  <c r="H375" i="2"/>
  <c r="I375" i="2"/>
  <c r="J375" i="2"/>
  <c r="K375" i="2"/>
  <c r="B376" i="2"/>
  <c r="C376" i="2"/>
  <c r="D376" i="2"/>
  <c r="E376" i="2"/>
  <c r="F376" i="2"/>
  <c r="G376" i="2"/>
  <c r="H376" i="2"/>
  <c r="I376" i="2"/>
  <c r="J376" i="2"/>
  <c r="K376" i="2"/>
  <c r="B377" i="2"/>
  <c r="C377" i="2"/>
  <c r="D377" i="2"/>
  <c r="E377" i="2"/>
  <c r="F377" i="2"/>
  <c r="G377" i="2"/>
  <c r="H377" i="2"/>
  <c r="I377" i="2"/>
  <c r="J377" i="2"/>
  <c r="K377" i="2"/>
  <c r="B378" i="2"/>
  <c r="C378" i="2"/>
  <c r="D378" i="2"/>
  <c r="E378" i="2"/>
  <c r="F378" i="2"/>
  <c r="G378" i="2"/>
  <c r="H378" i="2"/>
  <c r="I378" i="2"/>
  <c r="J378" i="2"/>
  <c r="K378" i="2"/>
  <c r="B379" i="2"/>
  <c r="C379" i="2"/>
  <c r="D379" i="2"/>
  <c r="E379" i="2"/>
  <c r="F379" i="2"/>
  <c r="G379" i="2"/>
  <c r="H379" i="2"/>
  <c r="I379" i="2"/>
  <c r="J379" i="2"/>
  <c r="K379" i="2"/>
  <c r="B380" i="2"/>
  <c r="C380" i="2"/>
  <c r="D380" i="2"/>
  <c r="E380" i="2"/>
  <c r="F380" i="2"/>
  <c r="G380" i="2"/>
  <c r="H380" i="2"/>
  <c r="I380" i="2"/>
  <c r="J380" i="2"/>
  <c r="K380" i="2"/>
  <c r="B381" i="2"/>
  <c r="C381" i="2"/>
  <c r="D381" i="2"/>
  <c r="E381" i="2"/>
  <c r="F381" i="2"/>
  <c r="G381" i="2"/>
  <c r="H381" i="2"/>
  <c r="I381" i="2"/>
  <c r="J381" i="2"/>
  <c r="K381" i="2"/>
  <c r="B382" i="2"/>
  <c r="C382" i="2"/>
  <c r="D382" i="2"/>
  <c r="E382" i="2"/>
  <c r="F382" i="2"/>
  <c r="G382" i="2"/>
  <c r="H382" i="2"/>
  <c r="I382" i="2"/>
  <c r="J382" i="2"/>
  <c r="K382" i="2"/>
  <c r="B383" i="2"/>
  <c r="C383" i="2"/>
  <c r="D383" i="2"/>
  <c r="E383" i="2"/>
  <c r="F383" i="2"/>
  <c r="G383" i="2"/>
  <c r="H383" i="2"/>
  <c r="I383" i="2"/>
  <c r="J383" i="2"/>
  <c r="K383" i="2"/>
  <c r="B384" i="2"/>
  <c r="C384" i="2"/>
  <c r="D384" i="2"/>
  <c r="E384" i="2"/>
  <c r="F384" i="2"/>
  <c r="G384" i="2"/>
  <c r="H384" i="2"/>
  <c r="I384" i="2"/>
  <c r="J384" i="2"/>
  <c r="K384" i="2"/>
  <c r="B385" i="2"/>
  <c r="C385" i="2"/>
  <c r="D385" i="2"/>
  <c r="E385" i="2"/>
  <c r="F385" i="2"/>
  <c r="G385" i="2"/>
  <c r="H385" i="2"/>
  <c r="I385" i="2"/>
  <c r="J385" i="2"/>
  <c r="K385" i="2"/>
  <c r="B386" i="2"/>
  <c r="C386" i="2"/>
  <c r="D386" i="2"/>
  <c r="E386" i="2"/>
  <c r="F386" i="2"/>
  <c r="G386" i="2"/>
  <c r="H386" i="2"/>
  <c r="I386" i="2"/>
  <c r="J386" i="2"/>
  <c r="K386" i="2"/>
  <c r="B387" i="2"/>
  <c r="C387" i="2"/>
  <c r="D387" i="2"/>
  <c r="E387" i="2"/>
  <c r="F387" i="2"/>
  <c r="G387" i="2"/>
  <c r="H387" i="2"/>
  <c r="I387" i="2"/>
  <c r="J387" i="2"/>
  <c r="K387" i="2"/>
  <c r="B388" i="2"/>
  <c r="C388" i="2"/>
  <c r="D388" i="2"/>
  <c r="E388" i="2"/>
  <c r="F388" i="2"/>
  <c r="G388" i="2"/>
  <c r="H388" i="2"/>
  <c r="I388" i="2"/>
  <c r="J388" i="2"/>
  <c r="K388" i="2"/>
  <c r="B389" i="2"/>
  <c r="C389" i="2"/>
  <c r="D389" i="2"/>
  <c r="E389" i="2"/>
  <c r="F389" i="2"/>
  <c r="G389" i="2"/>
  <c r="H389" i="2"/>
  <c r="I389" i="2"/>
  <c r="J389" i="2"/>
  <c r="K389" i="2"/>
  <c r="B390" i="2"/>
  <c r="C390" i="2"/>
  <c r="D390" i="2"/>
  <c r="E390" i="2"/>
  <c r="F390" i="2"/>
  <c r="G390" i="2"/>
  <c r="H390" i="2"/>
  <c r="I390" i="2"/>
  <c r="J390" i="2"/>
  <c r="K390" i="2"/>
  <c r="B391" i="2"/>
  <c r="C391" i="2"/>
  <c r="D391" i="2"/>
  <c r="E391" i="2"/>
  <c r="F391" i="2"/>
  <c r="G391" i="2"/>
  <c r="H391" i="2"/>
  <c r="I391" i="2"/>
  <c r="J391" i="2"/>
  <c r="K391" i="2"/>
  <c r="B392" i="2"/>
  <c r="C392" i="2"/>
  <c r="D392" i="2"/>
  <c r="E392" i="2"/>
  <c r="F392" i="2"/>
  <c r="G392" i="2"/>
  <c r="H392" i="2"/>
  <c r="I392" i="2"/>
  <c r="J392" i="2"/>
  <c r="K392" i="2"/>
  <c r="B393" i="2"/>
  <c r="C393" i="2"/>
  <c r="D393" i="2"/>
  <c r="E393" i="2"/>
  <c r="F393" i="2"/>
  <c r="G393" i="2"/>
  <c r="H393" i="2"/>
  <c r="I393" i="2"/>
  <c r="J393" i="2"/>
  <c r="K393" i="2"/>
  <c r="B394" i="2"/>
  <c r="C394" i="2"/>
  <c r="D394" i="2"/>
  <c r="E394" i="2"/>
  <c r="F394" i="2"/>
  <c r="G394" i="2"/>
  <c r="H394" i="2"/>
  <c r="I394" i="2"/>
  <c r="J394" i="2"/>
  <c r="K394" i="2"/>
  <c r="B395" i="2"/>
  <c r="C395" i="2"/>
  <c r="D395" i="2"/>
  <c r="E395" i="2"/>
  <c r="F395" i="2"/>
  <c r="G395" i="2"/>
  <c r="H395" i="2"/>
  <c r="I395" i="2"/>
  <c r="J395" i="2"/>
  <c r="K395" i="2"/>
  <c r="B396" i="2"/>
  <c r="C396" i="2"/>
  <c r="D396" i="2"/>
  <c r="E396" i="2"/>
  <c r="F396" i="2"/>
  <c r="G396" i="2"/>
  <c r="H396" i="2"/>
  <c r="I396" i="2"/>
  <c r="J396" i="2"/>
  <c r="K396" i="2"/>
  <c r="B397" i="2"/>
  <c r="C397" i="2"/>
  <c r="D397" i="2"/>
  <c r="E397" i="2"/>
  <c r="F397" i="2"/>
  <c r="G397" i="2"/>
  <c r="H397" i="2"/>
  <c r="I397" i="2"/>
  <c r="J397" i="2"/>
  <c r="K397" i="2"/>
  <c r="B398" i="2"/>
  <c r="C398" i="2"/>
  <c r="D398" i="2"/>
  <c r="E398" i="2"/>
  <c r="F398" i="2"/>
  <c r="G398" i="2"/>
  <c r="H398" i="2"/>
  <c r="I398" i="2"/>
  <c r="J398" i="2"/>
  <c r="K398" i="2"/>
  <c r="B399" i="2"/>
  <c r="C399" i="2"/>
  <c r="D399" i="2"/>
  <c r="E399" i="2"/>
  <c r="F399" i="2"/>
  <c r="G399" i="2"/>
  <c r="H399" i="2"/>
  <c r="I399" i="2"/>
  <c r="J399" i="2"/>
  <c r="K399" i="2"/>
  <c r="B400" i="2"/>
  <c r="C400" i="2"/>
  <c r="D400" i="2"/>
  <c r="E400" i="2"/>
  <c r="F400" i="2"/>
  <c r="G400" i="2"/>
  <c r="H400" i="2"/>
  <c r="I400" i="2"/>
  <c r="J400" i="2"/>
  <c r="K400" i="2"/>
  <c r="B401" i="2"/>
  <c r="C401" i="2"/>
  <c r="D401" i="2"/>
  <c r="E401" i="2"/>
  <c r="F401" i="2"/>
  <c r="G401" i="2"/>
  <c r="H401" i="2"/>
  <c r="I401" i="2"/>
  <c r="J401" i="2"/>
  <c r="K401" i="2"/>
  <c r="B402" i="2"/>
  <c r="C402" i="2"/>
  <c r="D402" i="2"/>
  <c r="E402" i="2"/>
  <c r="F402" i="2"/>
  <c r="G402" i="2"/>
  <c r="H402" i="2"/>
  <c r="I402" i="2"/>
  <c r="J402" i="2"/>
  <c r="K402" i="2"/>
  <c r="B403" i="2"/>
  <c r="C403" i="2"/>
  <c r="D403" i="2"/>
  <c r="E403" i="2"/>
  <c r="F403" i="2"/>
  <c r="G403" i="2"/>
  <c r="H403" i="2"/>
  <c r="I403" i="2"/>
  <c r="J403" i="2"/>
  <c r="K403" i="2"/>
  <c r="B404" i="2"/>
  <c r="C404" i="2"/>
  <c r="D404" i="2"/>
  <c r="E404" i="2"/>
  <c r="F404" i="2"/>
  <c r="G404" i="2"/>
  <c r="H404" i="2"/>
  <c r="I404" i="2"/>
  <c r="J404" i="2"/>
  <c r="K404" i="2"/>
  <c r="B405" i="2"/>
  <c r="C405" i="2"/>
  <c r="D405" i="2"/>
  <c r="E405" i="2"/>
  <c r="F405" i="2"/>
  <c r="G405" i="2"/>
  <c r="H405" i="2"/>
  <c r="I405" i="2"/>
  <c r="J405" i="2"/>
  <c r="K405" i="2"/>
  <c r="B406" i="2"/>
  <c r="C406" i="2"/>
  <c r="D406" i="2"/>
  <c r="E406" i="2"/>
  <c r="F406" i="2"/>
  <c r="G406" i="2"/>
  <c r="H406" i="2"/>
  <c r="I406" i="2"/>
  <c r="J406" i="2"/>
  <c r="K406" i="2"/>
  <c r="B407" i="2"/>
  <c r="C407" i="2"/>
  <c r="D407" i="2"/>
  <c r="E407" i="2"/>
  <c r="F407" i="2"/>
  <c r="G407" i="2"/>
  <c r="H407" i="2"/>
  <c r="I407" i="2"/>
  <c r="J407" i="2"/>
  <c r="K407" i="2"/>
  <c r="B408" i="2"/>
  <c r="C408" i="2"/>
  <c r="D408" i="2"/>
  <c r="E408" i="2"/>
  <c r="F408" i="2"/>
  <c r="G408" i="2"/>
  <c r="H408" i="2"/>
  <c r="I408" i="2"/>
  <c r="J408" i="2"/>
  <c r="K408" i="2"/>
  <c r="B409" i="2"/>
  <c r="C409" i="2"/>
  <c r="D409" i="2"/>
  <c r="E409" i="2"/>
  <c r="F409" i="2"/>
  <c r="G409" i="2"/>
  <c r="H409" i="2"/>
  <c r="I409" i="2"/>
  <c r="J409" i="2"/>
  <c r="K409" i="2"/>
  <c r="B410" i="2"/>
  <c r="C410" i="2"/>
  <c r="D410" i="2"/>
  <c r="E410" i="2"/>
  <c r="F410" i="2"/>
  <c r="G410" i="2"/>
  <c r="H410" i="2"/>
  <c r="I410" i="2"/>
  <c r="J410" i="2"/>
  <c r="K410" i="2"/>
  <c r="B411" i="2"/>
  <c r="C411" i="2"/>
  <c r="D411" i="2"/>
  <c r="E411" i="2"/>
  <c r="F411" i="2"/>
  <c r="G411" i="2"/>
  <c r="H411" i="2"/>
  <c r="I411" i="2"/>
  <c r="J411" i="2"/>
  <c r="K411" i="2"/>
  <c r="B412" i="2"/>
  <c r="C412" i="2"/>
  <c r="D412" i="2"/>
  <c r="E412" i="2"/>
  <c r="F412" i="2"/>
  <c r="G412" i="2"/>
  <c r="H412" i="2"/>
  <c r="I412" i="2"/>
  <c r="J412" i="2"/>
  <c r="K412" i="2"/>
  <c r="B413" i="2"/>
  <c r="C413" i="2"/>
  <c r="D413" i="2"/>
  <c r="E413" i="2"/>
  <c r="F413" i="2"/>
  <c r="G413" i="2"/>
  <c r="H413" i="2"/>
  <c r="I413" i="2"/>
  <c r="J413" i="2"/>
  <c r="K413" i="2"/>
  <c r="B414" i="2"/>
  <c r="C414" i="2"/>
  <c r="D414" i="2"/>
  <c r="E414" i="2"/>
  <c r="F414" i="2"/>
  <c r="G414" i="2"/>
  <c r="H414" i="2"/>
  <c r="I414" i="2"/>
  <c r="J414" i="2"/>
  <c r="K414" i="2"/>
  <c r="B415" i="2"/>
  <c r="C415" i="2"/>
  <c r="D415" i="2"/>
  <c r="E415" i="2"/>
  <c r="F415" i="2"/>
  <c r="G415" i="2"/>
  <c r="H415" i="2"/>
  <c r="I415" i="2"/>
  <c r="J415" i="2"/>
  <c r="K415" i="2"/>
  <c r="B416" i="2"/>
  <c r="C416" i="2"/>
  <c r="D416" i="2"/>
  <c r="E416" i="2"/>
  <c r="F416" i="2"/>
  <c r="G416" i="2"/>
  <c r="H416" i="2"/>
  <c r="I416" i="2"/>
  <c r="J416" i="2"/>
  <c r="K416" i="2"/>
  <c r="B417" i="2"/>
  <c r="C417" i="2"/>
  <c r="D417" i="2"/>
  <c r="E417" i="2"/>
  <c r="F417" i="2"/>
  <c r="G417" i="2"/>
  <c r="H417" i="2"/>
  <c r="I417" i="2"/>
  <c r="J417" i="2"/>
  <c r="K417" i="2"/>
  <c r="B418" i="2"/>
  <c r="C418" i="2"/>
  <c r="D418" i="2"/>
  <c r="E418" i="2"/>
  <c r="F418" i="2"/>
  <c r="G418" i="2"/>
  <c r="H418" i="2"/>
  <c r="I418" i="2"/>
  <c r="J418" i="2"/>
  <c r="K418" i="2"/>
  <c r="B419" i="2"/>
  <c r="C419" i="2"/>
  <c r="D419" i="2"/>
  <c r="E419" i="2"/>
  <c r="F419" i="2"/>
  <c r="G419" i="2"/>
  <c r="H419" i="2"/>
  <c r="I419" i="2"/>
  <c r="J419" i="2"/>
  <c r="K419" i="2"/>
  <c r="B420" i="2"/>
  <c r="C420" i="2"/>
  <c r="D420" i="2"/>
  <c r="E420" i="2"/>
  <c r="F420" i="2"/>
  <c r="G420" i="2"/>
  <c r="H420" i="2"/>
  <c r="I420" i="2"/>
  <c r="J420" i="2"/>
  <c r="K420" i="2"/>
  <c r="B421" i="2"/>
  <c r="C421" i="2"/>
  <c r="D421" i="2"/>
  <c r="E421" i="2"/>
  <c r="F421" i="2"/>
  <c r="G421" i="2"/>
  <c r="H421" i="2"/>
  <c r="I421" i="2"/>
  <c r="J421" i="2"/>
  <c r="K421" i="2"/>
  <c r="B422" i="2"/>
  <c r="C422" i="2"/>
  <c r="D422" i="2"/>
  <c r="E422" i="2"/>
  <c r="F422" i="2"/>
  <c r="G422" i="2"/>
  <c r="H422" i="2"/>
  <c r="I422" i="2"/>
  <c r="J422" i="2"/>
  <c r="K422" i="2"/>
  <c r="B423" i="2"/>
  <c r="C423" i="2"/>
  <c r="D423" i="2"/>
  <c r="E423" i="2"/>
  <c r="F423" i="2"/>
  <c r="G423" i="2"/>
  <c r="H423" i="2"/>
  <c r="I423" i="2"/>
  <c r="J423" i="2"/>
  <c r="K423" i="2"/>
  <c r="B424" i="2"/>
  <c r="C424" i="2"/>
  <c r="D424" i="2"/>
  <c r="E424" i="2"/>
  <c r="F424" i="2"/>
  <c r="G424" i="2"/>
  <c r="H424" i="2"/>
  <c r="I424" i="2"/>
  <c r="J424" i="2"/>
  <c r="K424" i="2"/>
  <c r="B425" i="2"/>
  <c r="C425" i="2"/>
  <c r="D425" i="2"/>
  <c r="E425" i="2"/>
  <c r="F425" i="2"/>
  <c r="G425" i="2"/>
  <c r="H425" i="2"/>
  <c r="I425" i="2"/>
  <c r="J425" i="2"/>
  <c r="K425" i="2"/>
  <c r="B426" i="2"/>
  <c r="C426" i="2"/>
  <c r="D426" i="2"/>
  <c r="E426" i="2"/>
  <c r="F426" i="2"/>
  <c r="G426" i="2"/>
  <c r="H426" i="2"/>
  <c r="I426" i="2"/>
  <c r="J426" i="2"/>
  <c r="K426" i="2"/>
  <c r="B427" i="2"/>
  <c r="C427" i="2"/>
  <c r="D427" i="2"/>
  <c r="E427" i="2"/>
  <c r="F427" i="2"/>
  <c r="G427" i="2"/>
  <c r="H427" i="2"/>
  <c r="I427" i="2"/>
  <c r="J427" i="2"/>
  <c r="K427" i="2"/>
  <c r="B428" i="2"/>
  <c r="C428" i="2"/>
  <c r="D428" i="2"/>
  <c r="E428" i="2"/>
  <c r="F428" i="2"/>
  <c r="G428" i="2"/>
  <c r="H428" i="2"/>
  <c r="I428" i="2"/>
  <c r="J428" i="2"/>
  <c r="K428" i="2"/>
  <c r="B429" i="2"/>
  <c r="C429" i="2"/>
  <c r="D429" i="2"/>
  <c r="E429" i="2"/>
  <c r="F429" i="2"/>
  <c r="G429" i="2"/>
  <c r="H429" i="2"/>
  <c r="I429" i="2"/>
  <c r="J429" i="2"/>
  <c r="K429" i="2"/>
  <c r="B430" i="2"/>
  <c r="C430" i="2"/>
  <c r="D430" i="2"/>
  <c r="E430" i="2"/>
  <c r="F430" i="2"/>
  <c r="G430" i="2"/>
  <c r="H430" i="2"/>
  <c r="I430" i="2"/>
  <c r="J430" i="2"/>
  <c r="K430" i="2"/>
  <c r="B431" i="2"/>
  <c r="C431" i="2"/>
  <c r="D431" i="2"/>
  <c r="E431" i="2"/>
  <c r="F431" i="2"/>
  <c r="G431" i="2"/>
  <c r="H431" i="2"/>
  <c r="I431" i="2"/>
  <c r="J431" i="2"/>
  <c r="K431" i="2"/>
  <c r="B432" i="2"/>
  <c r="C432" i="2"/>
  <c r="D432" i="2"/>
  <c r="E432" i="2"/>
  <c r="F432" i="2"/>
  <c r="G432" i="2"/>
  <c r="H432" i="2"/>
  <c r="I432" i="2"/>
  <c r="J432" i="2"/>
  <c r="K432" i="2"/>
  <c r="B433" i="2"/>
  <c r="C433" i="2"/>
  <c r="D433" i="2"/>
  <c r="E433" i="2"/>
  <c r="F433" i="2"/>
  <c r="G433" i="2"/>
  <c r="H433" i="2"/>
  <c r="I433" i="2"/>
  <c r="J433" i="2"/>
  <c r="K433" i="2"/>
  <c r="B434" i="2"/>
  <c r="C434" i="2"/>
  <c r="D434" i="2"/>
  <c r="E434" i="2"/>
  <c r="F434" i="2"/>
  <c r="G434" i="2"/>
  <c r="H434" i="2"/>
  <c r="I434" i="2"/>
  <c r="J434" i="2"/>
  <c r="K434" i="2"/>
  <c r="B435" i="2"/>
  <c r="C435" i="2"/>
  <c r="D435" i="2"/>
  <c r="E435" i="2"/>
  <c r="F435" i="2"/>
  <c r="G435" i="2"/>
  <c r="H435" i="2"/>
  <c r="I435" i="2"/>
  <c r="J435" i="2"/>
  <c r="K435" i="2"/>
  <c r="B436" i="2"/>
  <c r="C436" i="2"/>
  <c r="D436" i="2"/>
  <c r="E436" i="2"/>
  <c r="F436" i="2"/>
  <c r="G436" i="2"/>
  <c r="H436" i="2"/>
  <c r="I436" i="2"/>
  <c r="J436" i="2"/>
  <c r="K436" i="2"/>
  <c r="B437" i="2"/>
  <c r="C437" i="2"/>
  <c r="D437" i="2"/>
  <c r="E437" i="2"/>
  <c r="F437" i="2"/>
  <c r="G437" i="2"/>
  <c r="H437" i="2"/>
  <c r="I437" i="2"/>
  <c r="J437" i="2"/>
  <c r="K437" i="2"/>
  <c r="B438" i="2"/>
  <c r="C438" i="2"/>
  <c r="D438" i="2"/>
  <c r="E438" i="2"/>
  <c r="F438" i="2"/>
  <c r="G438" i="2"/>
  <c r="H438" i="2"/>
  <c r="I438" i="2"/>
  <c r="J438" i="2"/>
  <c r="K438" i="2"/>
  <c r="B439" i="2"/>
  <c r="C439" i="2"/>
  <c r="D439" i="2"/>
  <c r="E439" i="2"/>
  <c r="F439" i="2"/>
  <c r="G439" i="2"/>
  <c r="H439" i="2"/>
  <c r="I439" i="2"/>
  <c r="J439" i="2"/>
  <c r="K439" i="2"/>
  <c r="B440" i="2"/>
  <c r="C440" i="2"/>
  <c r="D440" i="2"/>
  <c r="E440" i="2"/>
  <c r="F440" i="2"/>
  <c r="G440" i="2"/>
  <c r="H440" i="2"/>
  <c r="I440" i="2"/>
  <c r="J440" i="2"/>
  <c r="K440" i="2"/>
  <c r="B441" i="2"/>
  <c r="C441" i="2"/>
  <c r="D441" i="2"/>
  <c r="E441" i="2"/>
  <c r="F441" i="2"/>
  <c r="G441" i="2"/>
  <c r="H441" i="2"/>
  <c r="I441" i="2"/>
  <c r="J441" i="2"/>
  <c r="K441" i="2"/>
  <c r="B442" i="2"/>
  <c r="C442" i="2"/>
  <c r="D442" i="2"/>
  <c r="E442" i="2"/>
  <c r="F442" i="2"/>
  <c r="G442" i="2"/>
  <c r="H442" i="2"/>
  <c r="I442" i="2"/>
  <c r="J442" i="2"/>
  <c r="K442" i="2"/>
  <c r="B443" i="2"/>
  <c r="C443" i="2"/>
  <c r="D443" i="2"/>
  <c r="E443" i="2"/>
  <c r="F443" i="2"/>
  <c r="G443" i="2"/>
  <c r="H443" i="2"/>
  <c r="I443" i="2"/>
  <c r="J443" i="2"/>
  <c r="K443" i="2"/>
  <c r="B444" i="2"/>
  <c r="C444" i="2"/>
  <c r="D444" i="2"/>
  <c r="E444" i="2"/>
  <c r="F444" i="2"/>
  <c r="G444" i="2"/>
  <c r="H444" i="2"/>
  <c r="I444" i="2"/>
  <c r="J444" i="2"/>
  <c r="K444" i="2"/>
  <c r="B445" i="2"/>
  <c r="C445" i="2"/>
  <c r="D445" i="2"/>
  <c r="E445" i="2"/>
  <c r="F445" i="2"/>
  <c r="G445" i="2"/>
  <c r="H445" i="2"/>
  <c r="I445" i="2"/>
  <c r="J445" i="2"/>
  <c r="K445" i="2"/>
  <c r="B446" i="2"/>
  <c r="C446" i="2"/>
  <c r="D446" i="2"/>
  <c r="E446" i="2"/>
  <c r="F446" i="2"/>
  <c r="G446" i="2"/>
  <c r="H446" i="2"/>
  <c r="I446" i="2"/>
  <c r="J446" i="2"/>
  <c r="K446" i="2"/>
  <c r="B447" i="2"/>
  <c r="C447" i="2"/>
  <c r="D447" i="2"/>
  <c r="E447" i="2"/>
  <c r="F447" i="2"/>
  <c r="G447" i="2"/>
  <c r="H447" i="2"/>
  <c r="I447" i="2"/>
  <c r="J447" i="2"/>
  <c r="K447" i="2"/>
  <c r="B448" i="2"/>
  <c r="C448" i="2"/>
  <c r="D448" i="2"/>
  <c r="E448" i="2"/>
  <c r="F448" i="2"/>
  <c r="G448" i="2"/>
  <c r="H448" i="2"/>
  <c r="I448" i="2"/>
  <c r="J448" i="2"/>
  <c r="K448" i="2"/>
  <c r="B449" i="2"/>
  <c r="C449" i="2"/>
  <c r="D449" i="2"/>
  <c r="E449" i="2"/>
  <c r="F449" i="2"/>
  <c r="G449" i="2"/>
  <c r="H449" i="2"/>
  <c r="I449" i="2"/>
  <c r="J449" i="2"/>
  <c r="K449" i="2"/>
  <c r="B450" i="2"/>
  <c r="C450" i="2"/>
  <c r="D450" i="2"/>
  <c r="E450" i="2"/>
  <c r="F450" i="2"/>
  <c r="G450" i="2"/>
  <c r="H450" i="2"/>
  <c r="I450" i="2"/>
  <c r="J450" i="2"/>
  <c r="K450" i="2"/>
  <c r="B451" i="2"/>
  <c r="C451" i="2"/>
  <c r="D451" i="2"/>
  <c r="E451" i="2"/>
  <c r="F451" i="2"/>
  <c r="G451" i="2"/>
  <c r="H451" i="2"/>
  <c r="I451" i="2"/>
  <c r="J451" i="2"/>
  <c r="K451" i="2"/>
  <c r="B452" i="2"/>
  <c r="C452" i="2"/>
  <c r="D452" i="2"/>
  <c r="E452" i="2"/>
  <c r="F452" i="2"/>
  <c r="G452" i="2"/>
  <c r="H452" i="2"/>
  <c r="I452" i="2"/>
  <c r="J452" i="2"/>
  <c r="K452" i="2"/>
  <c r="B453" i="2"/>
  <c r="C453" i="2"/>
  <c r="D453" i="2"/>
  <c r="E453" i="2"/>
  <c r="F453" i="2"/>
  <c r="G453" i="2"/>
  <c r="H453" i="2"/>
  <c r="I453" i="2"/>
  <c r="J453" i="2"/>
  <c r="K453" i="2"/>
  <c r="B454" i="2"/>
  <c r="C454" i="2"/>
  <c r="D454" i="2"/>
  <c r="E454" i="2"/>
  <c r="F454" i="2"/>
  <c r="G454" i="2"/>
  <c r="H454" i="2"/>
  <c r="I454" i="2"/>
  <c r="J454" i="2"/>
  <c r="K454" i="2"/>
  <c r="B455" i="2"/>
  <c r="C455" i="2"/>
  <c r="D455" i="2"/>
  <c r="E455" i="2"/>
  <c r="F455" i="2"/>
  <c r="G455" i="2"/>
  <c r="H455" i="2"/>
  <c r="I455" i="2"/>
  <c r="J455" i="2"/>
  <c r="K455" i="2"/>
  <c r="B456" i="2"/>
  <c r="C456" i="2"/>
  <c r="D456" i="2"/>
  <c r="E456" i="2"/>
  <c r="F456" i="2"/>
  <c r="G456" i="2"/>
  <c r="H456" i="2"/>
  <c r="I456" i="2"/>
  <c r="J456" i="2"/>
  <c r="K456" i="2"/>
  <c r="B457" i="2"/>
  <c r="C457" i="2"/>
  <c r="D457" i="2"/>
  <c r="E457" i="2"/>
  <c r="F457" i="2"/>
  <c r="G457" i="2"/>
  <c r="H457" i="2"/>
  <c r="I457" i="2"/>
  <c r="J457" i="2"/>
  <c r="K457" i="2"/>
  <c r="B458" i="2"/>
  <c r="C458" i="2"/>
  <c r="D458" i="2"/>
  <c r="E458" i="2"/>
  <c r="F458" i="2"/>
  <c r="G458" i="2"/>
  <c r="H458" i="2"/>
  <c r="I458" i="2"/>
  <c r="J458" i="2"/>
  <c r="K458" i="2"/>
  <c r="B459" i="2"/>
  <c r="C459" i="2"/>
  <c r="D459" i="2"/>
  <c r="E459" i="2"/>
  <c r="F459" i="2"/>
  <c r="G459" i="2"/>
  <c r="H459" i="2"/>
  <c r="I459" i="2"/>
  <c r="J459" i="2"/>
  <c r="K459" i="2"/>
  <c r="B460" i="2"/>
  <c r="C460" i="2"/>
  <c r="D460" i="2"/>
  <c r="E460" i="2"/>
  <c r="F460" i="2"/>
  <c r="G460" i="2"/>
  <c r="H460" i="2"/>
  <c r="I460" i="2"/>
  <c r="J460" i="2"/>
  <c r="K460" i="2"/>
  <c r="B461" i="2"/>
  <c r="C461" i="2"/>
  <c r="D461" i="2"/>
  <c r="E461" i="2"/>
  <c r="F461" i="2"/>
  <c r="G461" i="2"/>
  <c r="H461" i="2"/>
  <c r="I461" i="2"/>
  <c r="J461" i="2"/>
  <c r="K461" i="2"/>
  <c r="B462" i="2"/>
  <c r="C462" i="2"/>
  <c r="D462" i="2"/>
  <c r="E462" i="2"/>
  <c r="F462" i="2"/>
  <c r="G462" i="2"/>
  <c r="H462" i="2"/>
  <c r="I462" i="2"/>
  <c r="J462" i="2"/>
  <c r="K462" i="2"/>
  <c r="B463" i="2"/>
  <c r="C463" i="2"/>
  <c r="D463" i="2"/>
  <c r="E463" i="2"/>
  <c r="F463" i="2"/>
  <c r="G463" i="2"/>
  <c r="H463" i="2"/>
  <c r="I463" i="2"/>
  <c r="J463" i="2"/>
  <c r="K463" i="2"/>
  <c r="B464" i="2"/>
  <c r="C464" i="2"/>
  <c r="D464" i="2"/>
  <c r="E464" i="2"/>
  <c r="F464" i="2"/>
  <c r="G464" i="2"/>
  <c r="H464" i="2"/>
  <c r="I464" i="2"/>
  <c r="J464" i="2"/>
  <c r="K464" i="2"/>
  <c r="B465" i="2"/>
  <c r="C465" i="2"/>
  <c r="D465" i="2"/>
  <c r="E465" i="2"/>
  <c r="F465" i="2"/>
  <c r="G465" i="2"/>
  <c r="H465" i="2"/>
  <c r="I465" i="2"/>
  <c r="J465" i="2"/>
  <c r="K465" i="2"/>
  <c r="B466" i="2"/>
  <c r="C466" i="2"/>
  <c r="D466" i="2"/>
  <c r="E466" i="2"/>
  <c r="F466" i="2"/>
  <c r="G466" i="2"/>
  <c r="H466" i="2"/>
  <c r="I466" i="2"/>
  <c r="J466" i="2"/>
  <c r="K466" i="2"/>
  <c r="B467" i="2"/>
  <c r="C467" i="2"/>
  <c r="D467" i="2"/>
  <c r="E467" i="2"/>
  <c r="F467" i="2"/>
  <c r="G467" i="2"/>
  <c r="H467" i="2"/>
  <c r="I467" i="2"/>
  <c r="J467" i="2"/>
  <c r="K467" i="2"/>
  <c r="B468" i="2"/>
  <c r="C468" i="2"/>
  <c r="D468" i="2"/>
  <c r="E468" i="2"/>
  <c r="F468" i="2"/>
  <c r="G468" i="2"/>
  <c r="H468" i="2"/>
  <c r="I468" i="2"/>
  <c r="J468" i="2"/>
  <c r="K468" i="2"/>
  <c r="B469" i="2"/>
  <c r="C469" i="2"/>
  <c r="D469" i="2"/>
  <c r="E469" i="2"/>
  <c r="F469" i="2"/>
  <c r="G469" i="2"/>
  <c r="H469" i="2"/>
  <c r="I469" i="2"/>
  <c r="J469" i="2"/>
  <c r="K469" i="2"/>
  <c r="B470" i="2"/>
  <c r="C470" i="2"/>
  <c r="D470" i="2"/>
  <c r="E470" i="2"/>
  <c r="F470" i="2"/>
  <c r="G470" i="2"/>
  <c r="H470" i="2"/>
  <c r="I470" i="2"/>
  <c r="J470" i="2"/>
  <c r="K470" i="2"/>
  <c r="B471" i="2"/>
  <c r="C471" i="2"/>
  <c r="D471" i="2"/>
  <c r="E471" i="2"/>
  <c r="F471" i="2"/>
  <c r="G471" i="2"/>
  <c r="H471" i="2"/>
  <c r="I471" i="2"/>
  <c r="J471" i="2"/>
  <c r="K471" i="2"/>
  <c r="B472" i="2"/>
  <c r="C472" i="2"/>
  <c r="D472" i="2"/>
  <c r="E472" i="2"/>
  <c r="F472" i="2"/>
  <c r="G472" i="2"/>
  <c r="H472" i="2"/>
  <c r="I472" i="2"/>
  <c r="J472" i="2"/>
  <c r="K472" i="2"/>
  <c r="B473" i="2"/>
  <c r="C473" i="2"/>
  <c r="D473" i="2"/>
  <c r="E473" i="2"/>
  <c r="F473" i="2"/>
  <c r="G473" i="2"/>
  <c r="H473" i="2"/>
  <c r="I473" i="2"/>
  <c r="J473" i="2"/>
  <c r="K473" i="2"/>
  <c r="B474" i="2"/>
  <c r="C474" i="2"/>
  <c r="D474" i="2"/>
  <c r="E474" i="2"/>
  <c r="F474" i="2"/>
  <c r="G474" i="2"/>
  <c r="H474" i="2"/>
  <c r="I474" i="2"/>
  <c r="J474" i="2"/>
  <c r="K474" i="2"/>
  <c r="B475" i="2"/>
  <c r="C475" i="2"/>
  <c r="D475" i="2"/>
  <c r="E475" i="2"/>
  <c r="F475" i="2"/>
  <c r="G475" i="2"/>
  <c r="H475" i="2"/>
  <c r="I475" i="2"/>
  <c r="J475" i="2"/>
  <c r="K475" i="2"/>
  <c r="B476" i="2"/>
  <c r="C476" i="2"/>
  <c r="D476" i="2"/>
  <c r="E476" i="2"/>
  <c r="F476" i="2"/>
  <c r="G476" i="2"/>
  <c r="H476" i="2"/>
  <c r="I476" i="2"/>
  <c r="J476" i="2"/>
  <c r="K476" i="2"/>
  <c r="B477" i="2"/>
  <c r="C477" i="2"/>
  <c r="D477" i="2"/>
  <c r="E477" i="2"/>
  <c r="F477" i="2"/>
  <c r="G477" i="2"/>
  <c r="H477" i="2"/>
  <c r="I477" i="2"/>
  <c r="J477" i="2"/>
  <c r="K477" i="2"/>
  <c r="B478" i="2"/>
  <c r="C478" i="2"/>
  <c r="D478" i="2"/>
  <c r="E478" i="2"/>
  <c r="F478" i="2"/>
  <c r="G478" i="2"/>
  <c r="H478" i="2"/>
  <c r="I478" i="2"/>
  <c r="J478" i="2"/>
  <c r="K478" i="2"/>
  <c r="B479" i="2"/>
  <c r="C479" i="2"/>
  <c r="D479" i="2"/>
  <c r="E479" i="2"/>
  <c r="F479" i="2"/>
  <c r="G479" i="2"/>
  <c r="H479" i="2"/>
  <c r="I479" i="2"/>
  <c r="J479" i="2"/>
  <c r="K479" i="2"/>
  <c r="B480" i="2"/>
  <c r="C480" i="2"/>
  <c r="D480" i="2"/>
  <c r="E480" i="2"/>
  <c r="F480" i="2"/>
  <c r="G480" i="2"/>
  <c r="H480" i="2"/>
  <c r="I480" i="2"/>
  <c r="J480" i="2"/>
  <c r="K480" i="2"/>
  <c r="B481" i="2"/>
  <c r="C481" i="2"/>
  <c r="D481" i="2"/>
  <c r="E481" i="2"/>
  <c r="F481" i="2"/>
  <c r="G481" i="2"/>
  <c r="H481" i="2"/>
  <c r="I481" i="2"/>
  <c r="J481" i="2"/>
  <c r="K481" i="2"/>
  <c r="B482" i="2"/>
  <c r="C482" i="2"/>
  <c r="D482" i="2"/>
  <c r="E482" i="2"/>
  <c r="F482" i="2"/>
  <c r="G482" i="2"/>
  <c r="H482" i="2"/>
  <c r="I482" i="2"/>
  <c r="J482" i="2"/>
  <c r="K482" i="2"/>
  <c r="B483" i="2"/>
  <c r="C483" i="2"/>
  <c r="D483" i="2"/>
  <c r="E483" i="2"/>
  <c r="F483" i="2"/>
  <c r="G483" i="2"/>
  <c r="H483" i="2"/>
  <c r="I483" i="2"/>
  <c r="J483" i="2"/>
  <c r="K483" i="2"/>
  <c r="B484" i="2"/>
  <c r="C484" i="2"/>
  <c r="D484" i="2"/>
  <c r="E484" i="2"/>
  <c r="F484" i="2"/>
  <c r="G484" i="2"/>
  <c r="H484" i="2"/>
  <c r="I484" i="2"/>
  <c r="J484" i="2"/>
  <c r="K484" i="2"/>
  <c r="B485" i="2"/>
  <c r="C485" i="2"/>
  <c r="D485" i="2"/>
  <c r="E485" i="2"/>
  <c r="F485" i="2"/>
  <c r="G485" i="2"/>
  <c r="H485" i="2"/>
  <c r="I485" i="2"/>
  <c r="J485" i="2"/>
  <c r="K485" i="2"/>
  <c r="B486" i="2"/>
  <c r="C486" i="2"/>
  <c r="D486" i="2"/>
  <c r="E486" i="2"/>
  <c r="F486" i="2"/>
  <c r="G486" i="2"/>
  <c r="H486" i="2"/>
  <c r="I486" i="2"/>
  <c r="J486" i="2"/>
  <c r="K486" i="2"/>
  <c r="B487" i="2"/>
  <c r="C487" i="2"/>
  <c r="D487" i="2"/>
  <c r="E487" i="2"/>
  <c r="F487" i="2"/>
  <c r="G487" i="2"/>
  <c r="H487" i="2"/>
  <c r="I487" i="2"/>
  <c r="J487" i="2"/>
  <c r="K487" i="2"/>
  <c r="B488" i="2"/>
  <c r="C488" i="2"/>
  <c r="D488" i="2"/>
  <c r="E488" i="2"/>
  <c r="F488" i="2"/>
  <c r="G488" i="2"/>
  <c r="H488" i="2"/>
  <c r="I488" i="2"/>
  <c r="J488" i="2"/>
  <c r="K488" i="2"/>
  <c r="B489" i="2"/>
  <c r="C489" i="2"/>
  <c r="D489" i="2"/>
  <c r="E489" i="2"/>
  <c r="F489" i="2"/>
  <c r="G489" i="2"/>
  <c r="H489" i="2"/>
  <c r="I489" i="2"/>
  <c r="J489" i="2"/>
  <c r="K489" i="2"/>
  <c r="B490" i="2"/>
  <c r="C490" i="2"/>
  <c r="D490" i="2"/>
  <c r="E490" i="2"/>
  <c r="F490" i="2"/>
  <c r="G490" i="2"/>
  <c r="H490" i="2"/>
  <c r="I490" i="2"/>
  <c r="J490" i="2"/>
  <c r="K490" i="2"/>
  <c r="B491" i="2"/>
  <c r="C491" i="2"/>
  <c r="D491" i="2"/>
  <c r="E491" i="2"/>
  <c r="F491" i="2"/>
  <c r="G491" i="2"/>
  <c r="H491" i="2"/>
  <c r="I491" i="2"/>
  <c r="J491" i="2"/>
  <c r="K491" i="2"/>
  <c r="B492" i="2"/>
  <c r="C492" i="2"/>
  <c r="D492" i="2"/>
  <c r="E492" i="2"/>
  <c r="F492" i="2"/>
  <c r="G492" i="2"/>
  <c r="H492" i="2"/>
  <c r="I492" i="2"/>
  <c r="J492" i="2"/>
  <c r="K492" i="2"/>
  <c r="B493" i="2"/>
  <c r="C493" i="2"/>
  <c r="D493" i="2"/>
  <c r="E493" i="2"/>
  <c r="F493" i="2"/>
  <c r="G493" i="2"/>
  <c r="H493" i="2"/>
  <c r="I493" i="2"/>
  <c r="J493" i="2"/>
  <c r="K493" i="2"/>
  <c r="B494" i="2"/>
  <c r="C494" i="2"/>
  <c r="D494" i="2"/>
  <c r="E494" i="2"/>
  <c r="F494" i="2"/>
  <c r="G494" i="2"/>
  <c r="H494" i="2"/>
  <c r="I494" i="2"/>
  <c r="J494" i="2"/>
  <c r="K494" i="2"/>
  <c r="B495" i="2"/>
  <c r="C495" i="2"/>
  <c r="D495" i="2"/>
  <c r="E495" i="2"/>
  <c r="F495" i="2"/>
  <c r="G495" i="2"/>
  <c r="H495" i="2"/>
  <c r="I495" i="2"/>
  <c r="J495" i="2"/>
  <c r="K495" i="2"/>
  <c r="B496" i="2"/>
  <c r="C496" i="2"/>
  <c r="D496" i="2"/>
  <c r="E496" i="2"/>
  <c r="F496" i="2"/>
  <c r="G496" i="2"/>
  <c r="H496" i="2"/>
  <c r="I496" i="2"/>
  <c r="J496" i="2"/>
  <c r="K496" i="2"/>
  <c r="B497" i="2"/>
  <c r="C497" i="2"/>
  <c r="D497" i="2"/>
  <c r="E497" i="2"/>
  <c r="F497" i="2"/>
  <c r="G497" i="2"/>
  <c r="H497" i="2"/>
  <c r="I497" i="2"/>
  <c r="J497" i="2"/>
  <c r="K497" i="2"/>
  <c r="B498" i="2"/>
  <c r="C498" i="2"/>
  <c r="D498" i="2"/>
  <c r="E498" i="2"/>
  <c r="F498" i="2"/>
  <c r="G498" i="2"/>
  <c r="H498" i="2"/>
  <c r="I498" i="2"/>
  <c r="J498" i="2"/>
  <c r="K498" i="2"/>
  <c r="B499" i="2"/>
  <c r="C499" i="2"/>
  <c r="D499" i="2"/>
  <c r="E499" i="2"/>
  <c r="F499" i="2"/>
  <c r="G499" i="2"/>
  <c r="H499" i="2"/>
  <c r="I499" i="2"/>
  <c r="J499" i="2"/>
  <c r="K499" i="2"/>
  <c r="B500" i="2"/>
  <c r="C500" i="2"/>
  <c r="D500" i="2"/>
  <c r="E500" i="2"/>
  <c r="F500" i="2"/>
  <c r="G500" i="2"/>
  <c r="H500" i="2"/>
  <c r="I500" i="2"/>
  <c r="J500" i="2"/>
  <c r="K500" i="2"/>
  <c r="B501" i="2"/>
  <c r="C501" i="2"/>
  <c r="D501" i="2"/>
  <c r="E501" i="2"/>
  <c r="F501" i="2"/>
  <c r="G501" i="2"/>
  <c r="H501" i="2"/>
  <c r="I501" i="2"/>
  <c r="J501" i="2"/>
  <c r="K501" i="2"/>
  <c r="B502" i="2"/>
  <c r="C502" i="2"/>
  <c r="D502" i="2"/>
  <c r="E502" i="2"/>
  <c r="F502" i="2"/>
  <c r="G502" i="2"/>
  <c r="H502" i="2"/>
  <c r="I502" i="2"/>
  <c r="J502" i="2"/>
  <c r="K502" i="2"/>
  <c r="B503" i="2"/>
  <c r="C503" i="2"/>
  <c r="D503" i="2"/>
  <c r="E503" i="2"/>
  <c r="F503" i="2"/>
  <c r="G503" i="2"/>
  <c r="H503" i="2"/>
  <c r="I503" i="2"/>
  <c r="J503" i="2"/>
  <c r="K503" i="2"/>
  <c r="B504" i="2"/>
  <c r="C504" i="2"/>
  <c r="D504" i="2"/>
  <c r="E504" i="2"/>
  <c r="F504" i="2"/>
  <c r="G504" i="2"/>
  <c r="H504" i="2"/>
  <c r="I504" i="2"/>
  <c r="J504" i="2"/>
  <c r="K504" i="2"/>
  <c r="B505" i="2"/>
  <c r="C505" i="2"/>
  <c r="D505" i="2"/>
  <c r="E505" i="2"/>
  <c r="F505" i="2"/>
  <c r="G505" i="2"/>
  <c r="H505" i="2"/>
  <c r="I505" i="2"/>
  <c r="J505" i="2"/>
  <c r="K505" i="2"/>
  <c r="B506" i="2"/>
  <c r="C506" i="2"/>
  <c r="D506" i="2"/>
  <c r="E506" i="2"/>
  <c r="F506" i="2"/>
  <c r="G506" i="2"/>
  <c r="H506" i="2"/>
  <c r="I506" i="2"/>
  <c r="J506" i="2"/>
  <c r="K506" i="2"/>
  <c r="B507" i="2"/>
  <c r="C507" i="2"/>
  <c r="D507" i="2"/>
  <c r="E507" i="2"/>
  <c r="F507" i="2"/>
  <c r="G507" i="2"/>
  <c r="H507" i="2"/>
  <c r="I507" i="2"/>
  <c r="J507" i="2"/>
  <c r="K507" i="2"/>
  <c r="B508" i="2"/>
  <c r="C508" i="2"/>
  <c r="D508" i="2"/>
  <c r="E508" i="2"/>
  <c r="F508" i="2"/>
  <c r="G508" i="2"/>
  <c r="H508" i="2"/>
  <c r="I508" i="2"/>
  <c r="J508" i="2"/>
  <c r="K508" i="2"/>
  <c r="B509" i="2"/>
  <c r="C509" i="2"/>
  <c r="D509" i="2"/>
  <c r="E509" i="2"/>
  <c r="F509" i="2"/>
  <c r="G509" i="2"/>
  <c r="H509" i="2"/>
  <c r="I509" i="2"/>
  <c r="J509" i="2"/>
  <c r="K509" i="2"/>
  <c r="B510" i="2"/>
  <c r="C510" i="2"/>
  <c r="D510" i="2"/>
  <c r="E510" i="2"/>
  <c r="F510" i="2"/>
  <c r="G510" i="2"/>
  <c r="H510" i="2"/>
  <c r="I510" i="2"/>
  <c r="J510" i="2"/>
  <c r="K510" i="2"/>
  <c r="B511" i="2"/>
  <c r="C511" i="2"/>
  <c r="D511" i="2"/>
  <c r="E511" i="2"/>
  <c r="F511" i="2"/>
  <c r="G511" i="2"/>
  <c r="H511" i="2"/>
  <c r="I511" i="2"/>
  <c r="J511" i="2"/>
  <c r="K511" i="2"/>
  <c r="B512" i="2"/>
  <c r="C512" i="2"/>
  <c r="D512" i="2"/>
  <c r="E512" i="2"/>
  <c r="F512" i="2"/>
  <c r="G512" i="2"/>
  <c r="H512" i="2"/>
  <c r="I512" i="2"/>
  <c r="J512" i="2"/>
  <c r="K512" i="2"/>
  <c r="B513" i="2"/>
  <c r="C513" i="2"/>
  <c r="D513" i="2"/>
  <c r="E513" i="2"/>
  <c r="F513" i="2"/>
  <c r="G513" i="2"/>
  <c r="H513" i="2"/>
  <c r="I513" i="2"/>
  <c r="J513" i="2"/>
  <c r="K513" i="2"/>
  <c r="B514" i="2"/>
  <c r="C514" i="2"/>
  <c r="D514" i="2"/>
  <c r="E514" i="2"/>
  <c r="F514" i="2"/>
  <c r="G514" i="2"/>
  <c r="H514" i="2"/>
  <c r="I514" i="2"/>
  <c r="J514" i="2"/>
  <c r="K514" i="2"/>
  <c r="B515" i="2"/>
  <c r="C515" i="2"/>
  <c r="D515" i="2"/>
  <c r="E515" i="2"/>
  <c r="F515" i="2"/>
  <c r="G515" i="2"/>
  <c r="H515" i="2"/>
  <c r="I515" i="2"/>
  <c r="J515" i="2"/>
  <c r="K515" i="2"/>
  <c r="B516" i="2"/>
  <c r="C516" i="2"/>
  <c r="D516" i="2"/>
  <c r="E516" i="2"/>
  <c r="F516" i="2"/>
  <c r="G516" i="2"/>
  <c r="H516" i="2"/>
  <c r="I516" i="2"/>
  <c r="J516" i="2"/>
  <c r="K516" i="2"/>
  <c r="B517" i="2"/>
  <c r="C517" i="2"/>
  <c r="D517" i="2"/>
  <c r="E517" i="2"/>
  <c r="F517" i="2"/>
  <c r="G517" i="2"/>
  <c r="H517" i="2"/>
  <c r="I517" i="2"/>
  <c r="J517" i="2"/>
  <c r="K517" i="2"/>
  <c r="B518" i="2"/>
  <c r="C518" i="2"/>
  <c r="D518" i="2"/>
  <c r="E518" i="2"/>
  <c r="F518" i="2"/>
  <c r="G518" i="2"/>
  <c r="H518" i="2"/>
  <c r="I518" i="2"/>
  <c r="J518" i="2"/>
  <c r="K518" i="2"/>
  <c r="B519" i="2"/>
  <c r="C519" i="2"/>
  <c r="D519" i="2"/>
  <c r="E519" i="2"/>
  <c r="F519" i="2"/>
  <c r="G519" i="2"/>
  <c r="H519" i="2"/>
  <c r="I519" i="2"/>
  <c r="J519" i="2"/>
  <c r="K519" i="2"/>
  <c r="B520" i="2"/>
  <c r="C520" i="2"/>
  <c r="D520" i="2"/>
  <c r="E520" i="2"/>
  <c r="F520" i="2"/>
  <c r="G520" i="2"/>
  <c r="H520" i="2"/>
  <c r="I520" i="2"/>
  <c r="J520" i="2"/>
  <c r="K520" i="2"/>
  <c r="B521" i="2"/>
  <c r="C521" i="2"/>
  <c r="D521" i="2"/>
  <c r="E521" i="2"/>
  <c r="F521" i="2"/>
  <c r="G521" i="2"/>
  <c r="H521" i="2"/>
  <c r="I521" i="2"/>
  <c r="J521" i="2"/>
  <c r="K521" i="2"/>
  <c r="B522" i="2"/>
  <c r="C522" i="2"/>
  <c r="D522" i="2"/>
  <c r="E522" i="2"/>
  <c r="F522" i="2"/>
  <c r="G522" i="2"/>
  <c r="H522" i="2"/>
  <c r="I522" i="2"/>
  <c r="J522" i="2"/>
  <c r="K522" i="2"/>
  <c r="B523" i="2"/>
  <c r="C523" i="2"/>
  <c r="D523" i="2"/>
  <c r="E523" i="2"/>
  <c r="F523" i="2"/>
  <c r="G523" i="2"/>
  <c r="H523" i="2"/>
  <c r="I523" i="2"/>
  <c r="J523" i="2"/>
  <c r="K523" i="2"/>
  <c r="B524" i="2"/>
  <c r="C524" i="2"/>
  <c r="D524" i="2"/>
  <c r="E524" i="2"/>
  <c r="F524" i="2"/>
  <c r="G524" i="2"/>
  <c r="H524" i="2"/>
  <c r="I524" i="2"/>
  <c r="J524" i="2"/>
  <c r="K524" i="2"/>
  <c r="B525" i="2"/>
  <c r="C525" i="2"/>
  <c r="D525" i="2"/>
  <c r="E525" i="2"/>
  <c r="F525" i="2"/>
  <c r="G525" i="2"/>
  <c r="H525" i="2"/>
  <c r="I525" i="2"/>
  <c r="J525" i="2"/>
  <c r="K525" i="2"/>
  <c r="B526" i="2"/>
  <c r="C526" i="2"/>
  <c r="D526" i="2"/>
  <c r="E526" i="2"/>
  <c r="F526" i="2"/>
  <c r="G526" i="2"/>
  <c r="H526" i="2"/>
  <c r="I526" i="2"/>
  <c r="J526" i="2"/>
  <c r="K526" i="2"/>
  <c r="B527" i="2"/>
  <c r="C527" i="2"/>
  <c r="D527" i="2"/>
  <c r="E527" i="2"/>
  <c r="F527" i="2"/>
  <c r="G527" i="2"/>
  <c r="H527" i="2"/>
  <c r="I527" i="2"/>
  <c r="J527" i="2"/>
  <c r="K527" i="2"/>
  <c r="B528" i="2"/>
  <c r="C528" i="2"/>
  <c r="D528" i="2"/>
  <c r="E528" i="2"/>
  <c r="F528" i="2"/>
  <c r="G528" i="2"/>
  <c r="H528" i="2"/>
  <c r="I528" i="2"/>
  <c r="J528" i="2"/>
  <c r="K528" i="2"/>
  <c r="B529" i="2"/>
  <c r="C529" i="2"/>
  <c r="D529" i="2"/>
  <c r="E529" i="2"/>
  <c r="F529" i="2"/>
  <c r="G529" i="2"/>
  <c r="H529" i="2"/>
  <c r="I529" i="2"/>
  <c r="J529" i="2"/>
  <c r="K529" i="2"/>
  <c r="B530" i="2"/>
  <c r="C530" i="2"/>
  <c r="D530" i="2"/>
  <c r="E530" i="2"/>
  <c r="F530" i="2"/>
  <c r="G530" i="2"/>
  <c r="H530" i="2"/>
  <c r="I530" i="2"/>
  <c r="J530" i="2"/>
  <c r="K530" i="2"/>
  <c r="B531" i="2"/>
  <c r="C531" i="2"/>
  <c r="D531" i="2"/>
  <c r="E531" i="2"/>
  <c r="F531" i="2"/>
  <c r="G531" i="2"/>
  <c r="H531" i="2"/>
  <c r="I531" i="2"/>
  <c r="J531" i="2"/>
  <c r="K531" i="2"/>
  <c r="B532" i="2"/>
  <c r="C532" i="2"/>
  <c r="D532" i="2"/>
  <c r="E532" i="2"/>
  <c r="F532" i="2"/>
  <c r="G532" i="2"/>
  <c r="H532" i="2"/>
  <c r="I532" i="2"/>
  <c r="J532" i="2"/>
  <c r="K532" i="2"/>
  <c r="B533" i="2"/>
  <c r="C533" i="2"/>
  <c r="D533" i="2"/>
  <c r="E533" i="2"/>
  <c r="F533" i="2"/>
  <c r="G533" i="2"/>
  <c r="H533" i="2"/>
  <c r="I533" i="2"/>
  <c r="J533" i="2"/>
  <c r="K533" i="2"/>
  <c r="B534" i="2"/>
  <c r="C534" i="2"/>
  <c r="D534" i="2"/>
  <c r="E534" i="2"/>
  <c r="F534" i="2"/>
  <c r="G534" i="2"/>
  <c r="H534" i="2"/>
  <c r="I534" i="2"/>
  <c r="J534" i="2"/>
  <c r="K534" i="2"/>
  <c r="B535" i="2"/>
  <c r="C535" i="2"/>
  <c r="D535" i="2"/>
  <c r="E535" i="2"/>
  <c r="F535" i="2"/>
  <c r="G535" i="2"/>
  <c r="H535" i="2"/>
  <c r="I535" i="2"/>
  <c r="J535" i="2"/>
  <c r="K535" i="2"/>
  <c r="B536" i="2"/>
  <c r="C536" i="2"/>
  <c r="D536" i="2"/>
  <c r="E536" i="2"/>
  <c r="F536" i="2"/>
  <c r="G536" i="2"/>
  <c r="H536" i="2"/>
  <c r="I536" i="2"/>
  <c r="J536" i="2"/>
  <c r="K536" i="2"/>
  <c r="B537" i="2"/>
  <c r="C537" i="2"/>
  <c r="D537" i="2"/>
  <c r="E537" i="2"/>
  <c r="F537" i="2"/>
  <c r="G537" i="2"/>
  <c r="H537" i="2"/>
  <c r="I537" i="2"/>
  <c r="J537" i="2"/>
  <c r="K537" i="2"/>
  <c r="B538" i="2"/>
  <c r="C538" i="2"/>
  <c r="D538" i="2"/>
  <c r="E538" i="2"/>
  <c r="F538" i="2"/>
  <c r="G538" i="2"/>
  <c r="H538" i="2"/>
  <c r="I538" i="2"/>
  <c r="J538" i="2"/>
  <c r="K538" i="2"/>
  <c r="B539" i="2"/>
  <c r="C539" i="2"/>
  <c r="D539" i="2"/>
  <c r="E539" i="2"/>
  <c r="F539" i="2"/>
  <c r="G539" i="2"/>
  <c r="H539" i="2"/>
  <c r="I539" i="2"/>
  <c r="J539" i="2"/>
  <c r="K539" i="2"/>
  <c r="B540" i="2"/>
  <c r="C540" i="2"/>
  <c r="D540" i="2"/>
  <c r="E540" i="2"/>
  <c r="F540" i="2"/>
  <c r="G540" i="2"/>
  <c r="H540" i="2"/>
  <c r="I540" i="2"/>
  <c r="J540" i="2"/>
  <c r="K540" i="2"/>
  <c r="B541" i="2"/>
  <c r="C541" i="2"/>
  <c r="D541" i="2"/>
  <c r="E541" i="2"/>
  <c r="F541" i="2"/>
  <c r="G541" i="2"/>
  <c r="H541" i="2"/>
  <c r="I541" i="2"/>
  <c r="J541" i="2"/>
  <c r="K541" i="2"/>
  <c r="B542" i="2"/>
  <c r="C542" i="2"/>
  <c r="D542" i="2"/>
  <c r="E542" i="2"/>
  <c r="F542" i="2"/>
  <c r="G542" i="2"/>
  <c r="H542" i="2"/>
  <c r="I542" i="2"/>
  <c r="J542" i="2"/>
  <c r="K542" i="2"/>
  <c r="B543" i="2"/>
  <c r="C543" i="2"/>
  <c r="D543" i="2"/>
  <c r="E543" i="2"/>
  <c r="F543" i="2"/>
  <c r="G543" i="2"/>
  <c r="H543" i="2"/>
  <c r="I543" i="2"/>
  <c r="J543" i="2"/>
  <c r="K543" i="2"/>
  <c r="B544" i="2"/>
  <c r="C544" i="2"/>
  <c r="D544" i="2"/>
  <c r="E544" i="2"/>
  <c r="F544" i="2"/>
  <c r="G544" i="2"/>
  <c r="H544" i="2"/>
  <c r="I544" i="2"/>
  <c r="J544" i="2"/>
  <c r="K544" i="2"/>
  <c r="B545" i="2"/>
  <c r="C545" i="2"/>
  <c r="D545" i="2"/>
  <c r="E545" i="2"/>
  <c r="F545" i="2"/>
  <c r="G545" i="2"/>
  <c r="H545" i="2"/>
  <c r="I545" i="2"/>
  <c r="J545" i="2"/>
  <c r="K545" i="2"/>
  <c r="B546" i="2"/>
  <c r="C546" i="2"/>
  <c r="D546" i="2"/>
  <c r="E546" i="2"/>
  <c r="F546" i="2"/>
  <c r="G546" i="2"/>
  <c r="H546" i="2"/>
  <c r="I546" i="2"/>
  <c r="J546" i="2"/>
  <c r="K546" i="2"/>
  <c r="B547" i="2"/>
  <c r="C547" i="2"/>
  <c r="D547" i="2"/>
  <c r="E547" i="2"/>
  <c r="F547" i="2"/>
  <c r="G547" i="2"/>
  <c r="H547" i="2"/>
  <c r="I547" i="2"/>
  <c r="J547" i="2"/>
  <c r="K547" i="2"/>
  <c r="B548" i="2"/>
  <c r="C548" i="2"/>
  <c r="D548" i="2"/>
  <c r="E548" i="2"/>
  <c r="F548" i="2"/>
  <c r="G548" i="2"/>
  <c r="H548" i="2"/>
  <c r="I548" i="2"/>
  <c r="J548" i="2"/>
  <c r="K548" i="2"/>
  <c r="B549" i="2"/>
  <c r="C549" i="2"/>
  <c r="D549" i="2"/>
  <c r="E549" i="2"/>
  <c r="F549" i="2"/>
  <c r="G549" i="2"/>
  <c r="H549" i="2"/>
  <c r="I549" i="2"/>
  <c r="J549" i="2"/>
  <c r="K549" i="2"/>
  <c r="B550" i="2"/>
  <c r="C550" i="2"/>
  <c r="D550" i="2"/>
  <c r="E550" i="2"/>
  <c r="F550" i="2"/>
  <c r="G550" i="2"/>
  <c r="H550" i="2"/>
  <c r="I550" i="2"/>
  <c r="J550" i="2"/>
  <c r="K550" i="2"/>
  <c r="B551" i="2"/>
  <c r="C551" i="2"/>
  <c r="D551" i="2"/>
  <c r="E551" i="2"/>
  <c r="F551" i="2"/>
  <c r="G551" i="2"/>
  <c r="H551" i="2"/>
  <c r="I551" i="2"/>
  <c r="J551" i="2"/>
  <c r="K551" i="2"/>
  <c r="B552" i="2"/>
  <c r="C552" i="2"/>
  <c r="D552" i="2"/>
  <c r="E552" i="2"/>
  <c r="F552" i="2"/>
  <c r="G552" i="2"/>
  <c r="H552" i="2"/>
  <c r="I552" i="2"/>
  <c r="J552" i="2"/>
  <c r="K552" i="2"/>
  <c r="B553" i="2"/>
  <c r="C553" i="2"/>
  <c r="D553" i="2"/>
  <c r="E553" i="2"/>
  <c r="F553" i="2"/>
  <c r="G553" i="2"/>
  <c r="H553" i="2"/>
  <c r="I553" i="2"/>
  <c r="J553" i="2"/>
  <c r="K553" i="2"/>
  <c r="B554" i="2"/>
  <c r="C554" i="2"/>
  <c r="D554" i="2"/>
  <c r="E554" i="2"/>
  <c r="F554" i="2"/>
  <c r="G554" i="2"/>
  <c r="H554" i="2"/>
  <c r="I554" i="2"/>
  <c r="J554" i="2"/>
  <c r="K554" i="2"/>
  <c r="B555" i="2"/>
  <c r="C555" i="2"/>
  <c r="D555" i="2"/>
  <c r="E555" i="2"/>
  <c r="F555" i="2"/>
  <c r="G555" i="2"/>
  <c r="H555" i="2"/>
  <c r="I555" i="2"/>
  <c r="J555" i="2"/>
  <c r="K555" i="2"/>
  <c r="B556" i="2"/>
  <c r="C556" i="2"/>
  <c r="D556" i="2"/>
  <c r="E556" i="2"/>
  <c r="F556" i="2"/>
  <c r="G556" i="2"/>
  <c r="H556" i="2"/>
  <c r="I556" i="2"/>
  <c r="J556" i="2"/>
  <c r="K556" i="2"/>
  <c r="B557" i="2"/>
  <c r="C557" i="2"/>
  <c r="D557" i="2"/>
  <c r="E557" i="2"/>
  <c r="F557" i="2"/>
  <c r="G557" i="2"/>
  <c r="H557" i="2"/>
  <c r="I557" i="2"/>
  <c r="J557" i="2"/>
  <c r="K557" i="2"/>
  <c r="B558" i="2"/>
  <c r="C558" i="2"/>
  <c r="D558" i="2"/>
  <c r="E558" i="2"/>
  <c r="F558" i="2"/>
  <c r="G558" i="2"/>
  <c r="H558" i="2"/>
  <c r="I558" i="2"/>
  <c r="J558" i="2"/>
  <c r="K558" i="2"/>
  <c r="B559" i="2"/>
  <c r="C559" i="2"/>
  <c r="D559" i="2"/>
  <c r="E559" i="2"/>
  <c r="F559" i="2"/>
  <c r="G559" i="2"/>
  <c r="H559" i="2"/>
  <c r="I559" i="2"/>
  <c r="J559" i="2"/>
  <c r="K559" i="2"/>
  <c r="B560" i="2"/>
  <c r="C560" i="2"/>
  <c r="D560" i="2"/>
  <c r="E560" i="2"/>
  <c r="F560" i="2"/>
  <c r="G560" i="2"/>
  <c r="H560" i="2"/>
  <c r="I560" i="2"/>
  <c r="J560" i="2"/>
  <c r="K560" i="2"/>
  <c r="B561" i="2"/>
  <c r="C561" i="2"/>
  <c r="D561" i="2"/>
  <c r="E561" i="2"/>
  <c r="F561" i="2"/>
  <c r="G561" i="2"/>
  <c r="H561" i="2"/>
  <c r="I561" i="2"/>
  <c r="J561" i="2"/>
  <c r="K561" i="2"/>
  <c r="B562" i="2"/>
  <c r="C562" i="2"/>
  <c r="D562" i="2"/>
  <c r="E562" i="2"/>
  <c r="F562" i="2"/>
  <c r="G562" i="2"/>
  <c r="H562" i="2"/>
  <c r="I562" i="2"/>
  <c r="J562" i="2"/>
  <c r="K562" i="2"/>
  <c r="B563" i="2"/>
  <c r="C563" i="2"/>
  <c r="D563" i="2"/>
  <c r="E563" i="2"/>
  <c r="F563" i="2"/>
  <c r="G563" i="2"/>
  <c r="H563" i="2"/>
  <c r="I563" i="2"/>
  <c r="J563" i="2"/>
  <c r="K563" i="2"/>
  <c r="B564" i="2"/>
  <c r="C564" i="2"/>
  <c r="D564" i="2"/>
  <c r="E564" i="2"/>
  <c r="F564" i="2"/>
  <c r="G564" i="2"/>
  <c r="H564" i="2"/>
  <c r="I564" i="2"/>
  <c r="J564" i="2"/>
  <c r="K564" i="2"/>
  <c r="B565" i="2"/>
  <c r="C565" i="2"/>
  <c r="D565" i="2"/>
  <c r="E565" i="2"/>
  <c r="F565" i="2"/>
  <c r="G565" i="2"/>
  <c r="H565" i="2"/>
  <c r="I565" i="2"/>
  <c r="J565" i="2"/>
  <c r="K565" i="2"/>
  <c r="B566" i="2"/>
  <c r="C566" i="2"/>
  <c r="D566" i="2"/>
  <c r="E566" i="2"/>
  <c r="F566" i="2"/>
  <c r="G566" i="2"/>
  <c r="H566" i="2"/>
  <c r="I566" i="2"/>
  <c r="J566" i="2"/>
  <c r="K566" i="2"/>
  <c r="B567" i="2"/>
  <c r="C567" i="2"/>
  <c r="D567" i="2"/>
  <c r="E567" i="2"/>
  <c r="F567" i="2"/>
  <c r="G567" i="2"/>
  <c r="H567" i="2"/>
  <c r="I567" i="2"/>
  <c r="J567" i="2"/>
  <c r="K567" i="2"/>
  <c r="B568" i="2"/>
  <c r="C568" i="2"/>
  <c r="D568" i="2"/>
  <c r="E568" i="2"/>
  <c r="F568" i="2"/>
  <c r="G568" i="2"/>
  <c r="H568" i="2"/>
  <c r="I568" i="2"/>
  <c r="J568" i="2"/>
  <c r="K568" i="2"/>
  <c r="B569" i="2"/>
  <c r="C569" i="2"/>
  <c r="D569" i="2"/>
  <c r="E569" i="2"/>
  <c r="F569" i="2"/>
  <c r="G569" i="2"/>
  <c r="H569" i="2"/>
  <c r="I569" i="2"/>
  <c r="J569" i="2"/>
  <c r="K569" i="2"/>
  <c r="B570" i="2"/>
  <c r="C570" i="2"/>
  <c r="D570" i="2"/>
  <c r="E570" i="2"/>
  <c r="F570" i="2"/>
  <c r="G570" i="2"/>
  <c r="H570" i="2"/>
  <c r="I570" i="2"/>
  <c r="J570" i="2"/>
  <c r="K570" i="2"/>
  <c r="B571" i="2"/>
  <c r="C571" i="2"/>
  <c r="D571" i="2"/>
  <c r="E571" i="2"/>
  <c r="F571" i="2"/>
  <c r="G571" i="2"/>
  <c r="H571" i="2"/>
  <c r="I571" i="2"/>
  <c r="J571" i="2"/>
  <c r="K571" i="2"/>
  <c r="B572" i="2"/>
  <c r="C572" i="2"/>
  <c r="D572" i="2"/>
  <c r="E572" i="2"/>
  <c r="F572" i="2"/>
  <c r="G572" i="2"/>
  <c r="H572" i="2"/>
  <c r="I572" i="2"/>
  <c r="J572" i="2"/>
  <c r="K572" i="2"/>
  <c r="B573" i="2"/>
  <c r="C573" i="2"/>
  <c r="D573" i="2"/>
  <c r="E573" i="2"/>
  <c r="F573" i="2"/>
  <c r="G573" i="2"/>
  <c r="H573" i="2"/>
  <c r="I573" i="2"/>
  <c r="J573" i="2"/>
  <c r="K573" i="2"/>
  <c r="B574" i="2"/>
  <c r="C574" i="2"/>
  <c r="D574" i="2"/>
  <c r="E574" i="2"/>
  <c r="F574" i="2"/>
  <c r="G574" i="2"/>
  <c r="H574" i="2"/>
  <c r="I574" i="2"/>
  <c r="J574" i="2"/>
  <c r="K574" i="2"/>
  <c r="B575" i="2"/>
  <c r="C575" i="2"/>
  <c r="D575" i="2"/>
  <c r="E575" i="2"/>
  <c r="F575" i="2"/>
  <c r="G575" i="2"/>
  <c r="H575" i="2"/>
  <c r="I575" i="2"/>
  <c r="J575" i="2"/>
  <c r="K575" i="2"/>
  <c r="B576" i="2"/>
  <c r="C576" i="2"/>
  <c r="D576" i="2"/>
  <c r="E576" i="2"/>
  <c r="F576" i="2"/>
  <c r="G576" i="2"/>
  <c r="H576" i="2"/>
  <c r="I576" i="2"/>
  <c r="J576" i="2"/>
  <c r="K576" i="2"/>
  <c r="B577" i="2"/>
  <c r="C577" i="2"/>
  <c r="D577" i="2"/>
  <c r="E577" i="2"/>
  <c r="F577" i="2"/>
  <c r="G577" i="2"/>
  <c r="H577" i="2"/>
  <c r="I577" i="2"/>
  <c r="J577" i="2"/>
  <c r="K577" i="2"/>
  <c r="B578" i="2"/>
  <c r="C578" i="2"/>
  <c r="D578" i="2"/>
  <c r="E578" i="2"/>
  <c r="F578" i="2"/>
  <c r="G578" i="2"/>
  <c r="H578" i="2"/>
  <c r="I578" i="2"/>
  <c r="J578" i="2"/>
  <c r="K578" i="2"/>
  <c r="B579" i="2"/>
  <c r="C579" i="2"/>
  <c r="D579" i="2"/>
  <c r="E579" i="2"/>
  <c r="F579" i="2"/>
  <c r="G579" i="2"/>
  <c r="H579" i="2"/>
  <c r="I579" i="2"/>
  <c r="J579" i="2"/>
  <c r="K579" i="2"/>
  <c r="B580" i="2"/>
  <c r="C580" i="2"/>
  <c r="D580" i="2"/>
  <c r="E580" i="2"/>
  <c r="F580" i="2"/>
  <c r="G580" i="2"/>
  <c r="H580" i="2"/>
  <c r="I580" i="2"/>
  <c r="J580" i="2"/>
  <c r="K580" i="2"/>
  <c r="B581" i="2"/>
  <c r="C581" i="2"/>
  <c r="D581" i="2"/>
  <c r="E581" i="2"/>
  <c r="F581" i="2"/>
  <c r="G581" i="2"/>
  <c r="H581" i="2"/>
  <c r="I581" i="2"/>
  <c r="J581" i="2"/>
  <c r="K581" i="2"/>
  <c r="B582" i="2"/>
  <c r="C582" i="2"/>
  <c r="D582" i="2"/>
  <c r="E582" i="2"/>
  <c r="F582" i="2"/>
  <c r="G582" i="2"/>
  <c r="H582" i="2"/>
  <c r="I582" i="2"/>
  <c r="J582" i="2"/>
  <c r="K582" i="2"/>
  <c r="B583" i="2"/>
  <c r="C583" i="2"/>
  <c r="D583" i="2"/>
  <c r="E583" i="2"/>
  <c r="F583" i="2"/>
  <c r="G583" i="2"/>
  <c r="H583" i="2"/>
  <c r="I583" i="2"/>
  <c r="J583" i="2"/>
  <c r="K583" i="2"/>
  <c r="B584" i="2"/>
  <c r="C584" i="2"/>
  <c r="D584" i="2"/>
  <c r="E584" i="2"/>
  <c r="F584" i="2"/>
  <c r="G584" i="2"/>
  <c r="H584" i="2"/>
  <c r="I584" i="2"/>
  <c r="J584" i="2"/>
  <c r="K584" i="2"/>
  <c r="B585" i="2"/>
  <c r="C585" i="2"/>
  <c r="D585" i="2"/>
  <c r="E585" i="2"/>
  <c r="F585" i="2"/>
  <c r="G585" i="2"/>
  <c r="H585" i="2"/>
  <c r="I585" i="2"/>
  <c r="J585" i="2"/>
  <c r="K585" i="2"/>
  <c r="B586" i="2"/>
  <c r="C586" i="2"/>
  <c r="D586" i="2"/>
  <c r="E586" i="2"/>
  <c r="F586" i="2"/>
  <c r="G586" i="2"/>
  <c r="H586" i="2"/>
  <c r="I586" i="2"/>
  <c r="J586" i="2"/>
  <c r="K586" i="2"/>
  <c r="B587" i="2"/>
  <c r="C587" i="2"/>
  <c r="D587" i="2"/>
  <c r="E587" i="2"/>
  <c r="F587" i="2"/>
  <c r="G587" i="2"/>
  <c r="H587" i="2"/>
  <c r="I587" i="2"/>
  <c r="J587" i="2"/>
  <c r="K587" i="2"/>
  <c r="B588" i="2"/>
  <c r="C588" i="2"/>
  <c r="D588" i="2"/>
  <c r="E588" i="2"/>
  <c r="F588" i="2"/>
  <c r="G588" i="2"/>
  <c r="H588" i="2"/>
  <c r="I588" i="2"/>
  <c r="J588" i="2"/>
  <c r="K588" i="2"/>
  <c r="B589" i="2"/>
  <c r="C589" i="2"/>
  <c r="D589" i="2"/>
  <c r="E589" i="2"/>
  <c r="F589" i="2"/>
  <c r="G589" i="2"/>
  <c r="H589" i="2"/>
  <c r="I589" i="2"/>
  <c r="J589" i="2"/>
  <c r="K589" i="2"/>
  <c r="B590" i="2"/>
  <c r="C590" i="2"/>
  <c r="D590" i="2"/>
  <c r="E590" i="2"/>
  <c r="F590" i="2"/>
  <c r="G590" i="2"/>
  <c r="H590" i="2"/>
  <c r="I590" i="2"/>
  <c r="J590" i="2"/>
  <c r="K590" i="2"/>
  <c r="B591" i="2"/>
  <c r="C591" i="2"/>
  <c r="D591" i="2"/>
  <c r="E591" i="2"/>
  <c r="F591" i="2"/>
  <c r="G591" i="2"/>
  <c r="H591" i="2"/>
  <c r="I591" i="2"/>
  <c r="J591" i="2"/>
  <c r="K591" i="2"/>
  <c r="B592" i="2"/>
  <c r="C592" i="2"/>
  <c r="D592" i="2"/>
  <c r="E592" i="2"/>
  <c r="F592" i="2"/>
  <c r="G592" i="2"/>
  <c r="H592" i="2"/>
  <c r="I592" i="2"/>
  <c r="J592" i="2"/>
  <c r="K592" i="2"/>
  <c r="B593" i="2"/>
  <c r="C593" i="2"/>
  <c r="D593" i="2"/>
  <c r="E593" i="2"/>
  <c r="F593" i="2"/>
  <c r="G593" i="2"/>
  <c r="H593" i="2"/>
  <c r="I593" i="2"/>
  <c r="J593" i="2"/>
  <c r="K593" i="2"/>
  <c r="B594" i="2"/>
  <c r="C594" i="2"/>
  <c r="D594" i="2"/>
  <c r="E594" i="2"/>
  <c r="F594" i="2"/>
  <c r="G594" i="2"/>
  <c r="H594" i="2"/>
  <c r="I594" i="2"/>
  <c r="J594" i="2"/>
  <c r="K594" i="2"/>
  <c r="B595" i="2"/>
  <c r="C595" i="2"/>
  <c r="D595" i="2"/>
  <c r="E595" i="2"/>
  <c r="F595" i="2"/>
  <c r="G595" i="2"/>
  <c r="H595" i="2"/>
  <c r="I595" i="2"/>
  <c r="J595" i="2"/>
  <c r="K595" i="2"/>
  <c r="B596" i="2"/>
  <c r="C596" i="2"/>
  <c r="D596" i="2"/>
  <c r="E596" i="2"/>
  <c r="F596" i="2"/>
  <c r="G596" i="2"/>
  <c r="H596" i="2"/>
  <c r="I596" i="2"/>
  <c r="J596" i="2"/>
  <c r="K596" i="2"/>
  <c r="B597" i="2"/>
  <c r="C597" i="2"/>
  <c r="D597" i="2"/>
  <c r="E597" i="2"/>
  <c r="F597" i="2"/>
  <c r="G597" i="2"/>
  <c r="H597" i="2"/>
  <c r="I597" i="2"/>
  <c r="J597" i="2"/>
  <c r="K597" i="2"/>
  <c r="B598" i="2"/>
  <c r="C598" i="2"/>
  <c r="D598" i="2"/>
  <c r="E598" i="2"/>
  <c r="F598" i="2"/>
  <c r="G598" i="2"/>
  <c r="H598" i="2"/>
  <c r="I598" i="2"/>
  <c r="J598" i="2"/>
  <c r="K598" i="2"/>
  <c r="B599" i="2"/>
  <c r="C599" i="2"/>
  <c r="D599" i="2"/>
  <c r="E599" i="2"/>
  <c r="F599" i="2"/>
  <c r="G599" i="2"/>
  <c r="H599" i="2"/>
  <c r="I599" i="2"/>
  <c r="J599" i="2"/>
  <c r="K599" i="2"/>
  <c r="B600" i="2"/>
  <c r="C600" i="2"/>
  <c r="D600" i="2"/>
  <c r="E600" i="2"/>
  <c r="F600" i="2"/>
  <c r="G600" i="2"/>
  <c r="H600" i="2"/>
  <c r="I600" i="2"/>
  <c r="J600" i="2"/>
  <c r="K600" i="2"/>
  <c r="B601" i="2"/>
  <c r="C601" i="2"/>
  <c r="D601" i="2"/>
  <c r="E601" i="2"/>
  <c r="F601" i="2"/>
  <c r="G601" i="2"/>
  <c r="H601" i="2"/>
  <c r="I601" i="2"/>
  <c r="J601" i="2"/>
  <c r="K601" i="2"/>
  <c r="B602" i="2"/>
  <c r="C602" i="2"/>
  <c r="D602" i="2"/>
  <c r="E602" i="2"/>
  <c r="F602" i="2"/>
  <c r="G602" i="2"/>
  <c r="H602" i="2"/>
  <c r="I602" i="2"/>
  <c r="J602" i="2"/>
  <c r="K602" i="2"/>
  <c r="B603" i="2"/>
  <c r="C603" i="2"/>
  <c r="D603" i="2"/>
  <c r="E603" i="2"/>
  <c r="F603" i="2"/>
  <c r="G603" i="2"/>
  <c r="H603" i="2"/>
  <c r="I603" i="2"/>
  <c r="J603" i="2"/>
  <c r="K603" i="2"/>
  <c r="B604" i="2"/>
  <c r="C604" i="2"/>
  <c r="D604" i="2"/>
  <c r="E604" i="2"/>
  <c r="F604" i="2"/>
  <c r="G604" i="2"/>
  <c r="H604" i="2"/>
  <c r="I604" i="2"/>
  <c r="J604" i="2"/>
  <c r="K604" i="2"/>
  <c r="B605" i="2"/>
  <c r="C605" i="2"/>
  <c r="D605" i="2"/>
  <c r="E605" i="2"/>
  <c r="F605" i="2"/>
  <c r="G605" i="2"/>
  <c r="H605" i="2"/>
  <c r="I605" i="2"/>
  <c r="J605" i="2"/>
  <c r="K605" i="2"/>
  <c r="B606" i="2"/>
  <c r="C606" i="2"/>
  <c r="D606" i="2"/>
  <c r="E606" i="2"/>
  <c r="F606" i="2"/>
  <c r="G606" i="2"/>
  <c r="H606" i="2"/>
  <c r="I606" i="2"/>
  <c r="J606" i="2"/>
  <c r="K606" i="2"/>
  <c r="B607" i="2"/>
  <c r="C607" i="2"/>
  <c r="D607" i="2"/>
  <c r="E607" i="2"/>
  <c r="F607" i="2"/>
  <c r="G607" i="2"/>
  <c r="H607" i="2"/>
  <c r="I607" i="2"/>
  <c r="J607" i="2"/>
  <c r="K607" i="2"/>
  <c r="B608" i="2"/>
  <c r="C608" i="2"/>
  <c r="D608" i="2"/>
  <c r="E608" i="2"/>
  <c r="F608" i="2"/>
  <c r="G608" i="2"/>
  <c r="H608" i="2"/>
  <c r="I608" i="2"/>
  <c r="J608" i="2"/>
  <c r="K608" i="2"/>
  <c r="B609" i="2"/>
  <c r="C609" i="2"/>
  <c r="D609" i="2"/>
  <c r="E609" i="2"/>
  <c r="F609" i="2"/>
  <c r="G609" i="2"/>
  <c r="H609" i="2"/>
  <c r="I609" i="2"/>
  <c r="J609" i="2"/>
  <c r="K609" i="2"/>
  <c r="B610" i="2"/>
  <c r="C610" i="2"/>
  <c r="D610" i="2"/>
  <c r="E610" i="2"/>
  <c r="F610" i="2"/>
  <c r="G610" i="2"/>
  <c r="H610" i="2"/>
  <c r="I610" i="2"/>
  <c r="J610" i="2"/>
  <c r="K610" i="2"/>
  <c r="B611" i="2"/>
  <c r="C611" i="2"/>
  <c r="D611" i="2"/>
  <c r="E611" i="2"/>
  <c r="F611" i="2"/>
  <c r="G611" i="2"/>
  <c r="H611" i="2"/>
  <c r="I611" i="2"/>
  <c r="J611" i="2"/>
  <c r="K611" i="2"/>
  <c r="B612" i="2"/>
  <c r="C612" i="2"/>
  <c r="D612" i="2"/>
  <c r="E612" i="2"/>
  <c r="F612" i="2"/>
  <c r="G612" i="2"/>
  <c r="H612" i="2"/>
  <c r="I612" i="2"/>
  <c r="J612" i="2"/>
  <c r="K612" i="2"/>
  <c r="B613" i="2"/>
  <c r="C613" i="2"/>
  <c r="D613" i="2"/>
  <c r="E613" i="2"/>
  <c r="F613" i="2"/>
  <c r="G613" i="2"/>
  <c r="H613" i="2"/>
  <c r="I613" i="2"/>
  <c r="J613" i="2"/>
  <c r="K613" i="2"/>
  <c r="B614" i="2"/>
  <c r="C614" i="2"/>
  <c r="D614" i="2"/>
  <c r="E614" i="2"/>
  <c r="F614" i="2"/>
  <c r="G614" i="2"/>
  <c r="H614" i="2"/>
  <c r="I614" i="2"/>
  <c r="J614" i="2"/>
  <c r="K614" i="2"/>
  <c r="B615" i="2"/>
  <c r="C615" i="2"/>
  <c r="D615" i="2"/>
  <c r="E615" i="2"/>
  <c r="F615" i="2"/>
  <c r="G615" i="2"/>
  <c r="H615" i="2"/>
  <c r="I615" i="2"/>
  <c r="J615" i="2"/>
  <c r="K615" i="2"/>
  <c r="B616" i="2"/>
  <c r="C616" i="2"/>
  <c r="D616" i="2"/>
  <c r="E616" i="2"/>
  <c r="F616" i="2"/>
  <c r="G616" i="2"/>
  <c r="H616" i="2"/>
  <c r="I616" i="2"/>
  <c r="J616" i="2"/>
  <c r="K616" i="2"/>
  <c r="B617" i="2"/>
  <c r="C617" i="2"/>
  <c r="D617" i="2"/>
  <c r="E617" i="2"/>
  <c r="F617" i="2"/>
  <c r="G617" i="2"/>
  <c r="H617" i="2"/>
  <c r="I617" i="2"/>
  <c r="J617" i="2"/>
  <c r="K617" i="2"/>
  <c r="B618" i="2"/>
  <c r="C618" i="2"/>
  <c r="D618" i="2"/>
  <c r="E618" i="2"/>
  <c r="F618" i="2"/>
  <c r="G618" i="2"/>
  <c r="H618" i="2"/>
  <c r="I618" i="2"/>
  <c r="J618" i="2"/>
  <c r="K618" i="2"/>
  <c r="B619" i="2"/>
  <c r="C619" i="2"/>
  <c r="D619" i="2"/>
  <c r="E619" i="2"/>
  <c r="F619" i="2"/>
  <c r="G619" i="2"/>
  <c r="H619" i="2"/>
  <c r="I619" i="2"/>
  <c r="J619" i="2"/>
  <c r="K619" i="2"/>
  <c r="B620" i="2"/>
  <c r="C620" i="2"/>
  <c r="D620" i="2"/>
  <c r="E620" i="2"/>
  <c r="F620" i="2"/>
  <c r="G620" i="2"/>
  <c r="H620" i="2"/>
  <c r="I620" i="2"/>
  <c r="J620" i="2"/>
  <c r="K620" i="2"/>
  <c r="B621" i="2"/>
  <c r="C621" i="2"/>
  <c r="D621" i="2"/>
  <c r="E621" i="2"/>
  <c r="F621" i="2"/>
  <c r="G621" i="2"/>
  <c r="H621" i="2"/>
  <c r="I621" i="2"/>
  <c r="J621" i="2"/>
  <c r="K621" i="2"/>
  <c r="B622" i="2"/>
  <c r="C622" i="2"/>
  <c r="D622" i="2"/>
  <c r="E622" i="2"/>
  <c r="F622" i="2"/>
  <c r="G622" i="2"/>
  <c r="H622" i="2"/>
  <c r="I622" i="2"/>
  <c r="J622" i="2"/>
  <c r="K622" i="2"/>
  <c r="B623" i="2"/>
  <c r="C623" i="2"/>
  <c r="D623" i="2"/>
  <c r="E623" i="2"/>
  <c r="F623" i="2"/>
  <c r="G623" i="2"/>
  <c r="H623" i="2"/>
  <c r="I623" i="2"/>
  <c r="J623" i="2"/>
  <c r="K623" i="2"/>
  <c r="B624" i="2"/>
  <c r="C624" i="2"/>
  <c r="D624" i="2"/>
  <c r="E624" i="2"/>
  <c r="F624" i="2"/>
  <c r="G624" i="2"/>
  <c r="H624" i="2"/>
  <c r="I624" i="2"/>
  <c r="J624" i="2"/>
  <c r="K624" i="2"/>
  <c r="B625" i="2"/>
  <c r="C625" i="2"/>
  <c r="D625" i="2"/>
  <c r="E625" i="2"/>
  <c r="F625" i="2"/>
  <c r="G625" i="2"/>
  <c r="H625" i="2"/>
  <c r="I625" i="2"/>
  <c r="J625" i="2"/>
  <c r="K625" i="2"/>
  <c r="B626" i="2"/>
  <c r="C626" i="2"/>
  <c r="D626" i="2"/>
  <c r="E626" i="2"/>
  <c r="F626" i="2"/>
  <c r="G626" i="2"/>
  <c r="H626" i="2"/>
  <c r="I626" i="2"/>
  <c r="J626" i="2"/>
  <c r="K626" i="2"/>
  <c r="B627" i="2"/>
  <c r="C627" i="2"/>
  <c r="D627" i="2"/>
  <c r="E627" i="2"/>
  <c r="F627" i="2"/>
  <c r="G627" i="2"/>
  <c r="H627" i="2"/>
  <c r="I627" i="2"/>
  <c r="J627" i="2"/>
  <c r="K627" i="2"/>
  <c r="B628" i="2"/>
  <c r="C628" i="2"/>
  <c r="D628" i="2"/>
  <c r="E628" i="2"/>
  <c r="F628" i="2"/>
  <c r="G628" i="2"/>
  <c r="H628" i="2"/>
  <c r="I628" i="2"/>
  <c r="J628" i="2"/>
  <c r="K628" i="2"/>
  <c r="B629" i="2"/>
  <c r="C629" i="2"/>
  <c r="D629" i="2"/>
  <c r="E629" i="2"/>
  <c r="F629" i="2"/>
  <c r="G629" i="2"/>
  <c r="H629" i="2"/>
  <c r="I629" i="2"/>
  <c r="J629" i="2"/>
  <c r="K629" i="2"/>
  <c r="B630" i="2"/>
  <c r="C630" i="2"/>
  <c r="D630" i="2"/>
  <c r="E630" i="2"/>
  <c r="F630" i="2"/>
  <c r="G630" i="2"/>
  <c r="H630" i="2"/>
  <c r="I630" i="2"/>
  <c r="J630" i="2"/>
  <c r="K630" i="2"/>
  <c r="B631" i="2"/>
  <c r="C631" i="2"/>
  <c r="D631" i="2"/>
  <c r="E631" i="2"/>
  <c r="F631" i="2"/>
  <c r="G631" i="2"/>
  <c r="H631" i="2"/>
  <c r="I631" i="2"/>
  <c r="J631" i="2"/>
  <c r="K631" i="2"/>
  <c r="B632" i="2"/>
  <c r="C632" i="2"/>
  <c r="D632" i="2"/>
  <c r="E632" i="2"/>
  <c r="F632" i="2"/>
  <c r="G632" i="2"/>
  <c r="H632" i="2"/>
  <c r="I632" i="2"/>
  <c r="J632" i="2"/>
  <c r="K632" i="2"/>
  <c r="B633" i="2"/>
  <c r="C633" i="2"/>
  <c r="D633" i="2"/>
  <c r="E633" i="2"/>
  <c r="F633" i="2"/>
  <c r="G633" i="2"/>
  <c r="H633" i="2"/>
  <c r="I633" i="2"/>
  <c r="J633" i="2"/>
  <c r="K633" i="2"/>
  <c r="B634" i="2"/>
  <c r="C634" i="2"/>
  <c r="D634" i="2"/>
  <c r="E634" i="2"/>
  <c r="F634" i="2"/>
  <c r="G634" i="2"/>
  <c r="H634" i="2"/>
  <c r="I634" i="2"/>
  <c r="J634" i="2"/>
  <c r="K634" i="2"/>
  <c r="B635" i="2"/>
  <c r="C635" i="2"/>
  <c r="D635" i="2"/>
  <c r="E635" i="2"/>
  <c r="F635" i="2"/>
  <c r="G635" i="2"/>
  <c r="H635" i="2"/>
  <c r="I635" i="2"/>
  <c r="J635" i="2"/>
  <c r="K635" i="2"/>
  <c r="B636" i="2"/>
  <c r="C636" i="2"/>
  <c r="D636" i="2"/>
  <c r="E636" i="2"/>
  <c r="F636" i="2"/>
  <c r="G636" i="2"/>
  <c r="H636" i="2"/>
  <c r="I636" i="2"/>
  <c r="J636" i="2"/>
  <c r="K636" i="2"/>
  <c r="B637" i="2"/>
  <c r="C637" i="2"/>
  <c r="D637" i="2"/>
  <c r="E637" i="2"/>
  <c r="F637" i="2"/>
  <c r="G637" i="2"/>
  <c r="H637" i="2"/>
  <c r="I637" i="2"/>
  <c r="J637" i="2"/>
  <c r="K637" i="2"/>
  <c r="B638" i="2"/>
  <c r="C638" i="2"/>
  <c r="D638" i="2"/>
  <c r="E638" i="2"/>
  <c r="F638" i="2"/>
  <c r="G638" i="2"/>
  <c r="H638" i="2"/>
  <c r="I638" i="2"/>
  <c r="J638" i="2"/>
  <c r="K638" i="2"/>
  <c r="B639" i="2"/>
  <c r="C639" i="2"/>
  <c r="D639" i="2"/>
  <c r="E639" i="2"/>
  <c r="F639" i="2"/>
  <c r="G639" i="2"/>
  <c r="H639" i="2"/>
  <c r="I639" i="2"/>
  <c r="J639" i="2"/>
  <c r="K639" i="2"/>
  <c r="B640" i="2"/>
  <c r="C640" i="2"/>
  <c r="D640" i="2"/>
  <c r="E640" i="2"/>
  <c r="F640" i="2"/>
  <c r="G640" i="2"/>
  <c r="H640" i="2"/>
  <c r="I640" i="2"/>
  <c r="J640" i="2"/>
  <c r="K640" i="2"/>
  <c r="B641" i="2"/>
  <c r="C641" i="2"/>
  <c r="D641" i="2"/>
  <c r="E641" i="2"/>
  <c r="F641" i="2"/>
  <c r="G641" i="2"/>
  <c r="H641" i="2"/>
  <c r="I641" i="2"/>
  <c r="J641" i="2"/>
  <c r="K641" i="2"/>
  <c r="B642" i="2"/>
  <c r="C642" i="2"/>
  <c r="D642" i="2"/>
  <c r="E642" i="2"/>
  <c r="F642" i="2"/>
  <c r="G642" i="2"/>
  <c r="H642" i="2"/>
  <c r="I642" i="2"/>
  <c r="J642" i="2"/>
  <c r="K642" i="2"/>
  <c r="B643" i="2"/>
  <c r="C643" i="2"/>
  <c r="D643" i="2"/>
  <c r="E643" i="2"/>
  <c r="F643" i="2"/>
  <c r="G643" i="2"/>
  <c r="H643" i="2"/>
  <c r="I643" i="2"/>
  <c r="J643" i="2"/>
  <c r="K643" i="2"/>
  <c r="B644" i="2"/>
  <c r="C644" i="2"/>
  <c r="D644" i="2"/>
  <c r="E644" i="2"/>
  <c r="F644" i="2"/>
  <c r="G644" i="2"/>
  <c r="H644" i="2"/>
  <c r="I644" i="2"/>
  <c r="J644" i="2"/>
  <c r="K644" i="2"/>
  <c r="B645" i="2"/>
  <c r="C645" i="2"/>
  <c r="D645" i="2"/>
  <c r="E645" i="2"/>
  <c r="F645" i="2"/>
  <c r="G645" i="2"/>
  <c r="H645" i="2"/>
  <c r="I645" i="2"/>
  <c r="J645" i="2"/>
  <c r="K645" i="2"/>
  <c r="B646" i="2"/>
  <c r="C646" i="2"/>
  <c r="D646" i="2"/>
  <c r="E646" i="2"/>
  <c r="F646" i="2"/>
  <c r="G646" i="2"/>
  <c r="H646" i="2"/>
  <c r="I646" i="2"/>
  <c r="J646" i="2"/>
  <c r="K646" i="2"/>
  <c r="B647" i="2"/>
  <c r="C647" i="2"/>
  <c r="D647" i="2"/>
  <c r="E647" i="2"/>
  <c r="F647" i="2"/>
  <c r="G647" i="2"/>
  <c r="H647" i="2"/>
  <c r="I647" i="2"/>
  <c r="J647" i="2"/>
  <c r="K647" i="2"/>
  <c r="B648" i="2"/>
  <c r="C648" i="2"/>
  <c r="D648" i="2"/>
  <c r="E648" i="2"/>
  <c r="F648" i="2"/>
  <c r="G648" i="2"/>
  <c r="H648" i="2"/>
  <c r="I648" i="2"/>
  <c r="J648" i="2"/>
  <c r="K648" i="2"/>
  <c r="B649" i="2"/>
  <c r="C649" i="2"/>
  <c r="D649" i="2"/>
  <c r="E649" i="2"/>
  <c r="F649" i="2"/>
  <c r="G649" i="2"/>
  <c r="H649" i="2"/>
  <c r="I649" i="2"/>
  <c r="J649" i="2"/>
  <c r="K649" i="2"/>
  <c r="B650" i="2"/>
  <c r="C650" i="2"/>
  <c r="D650" i="2"/>
  <c r="E650" i="2"/>
  <c r="F650" i="2"/>
  <c r="G650" i="2"/>
  <c r="H650" i="2"/>
  <c r="I650" i="2"/>
  <c r="J650" i="2"/>
  <c r="K650" i="2"/>
  <c r="B651" i="2"/>
  <c r="C651" i="2"/>
  <c r="D651" i="2"/>
  <c r="E651" i="2"/>
  <c r="F651" i="2"/>
  <c r="G651" i="2"/>
  <c r="H651" i="2"/>
  <c r="I651" i="2"/>
  <c r="J651" i="2"/>
  <c r="K651" i="2"/>
  <c r="B652" i="2"/>
  <c r="C652" i="2"/>
  <c r="D652" i="2"/>
  <c r="E652" i="2"/>
  <c r="F652" i="2"/>
  <c r="G652" i="2"/>
  <c r="H652" i="2"/>
  <c r="I652" i="2"/>
  <c r="J652" i="2"/>
  <c r="K652" i="2"/>
  <c r="B653" i="2"/>
  <c r="C653" i="2"/>
  <c r="D653" i="2"/>
  <c r="E653" i="2"/>
  <c r="F653" i="2"/>
  <c r="G653" i="2"/>
  <c r="H653" i="2"/>
  <c r="I653" i="2"/>
  <c r="J653" i="2"/>
  <c r="K653" i="2"/>
  <c r="B654" i="2"/>
  <c r="C654" i="2"/>
  <c r="D654" i="2"/>
  <c r="E654" i="2"/>
  <c r="F654" i="2"/>
  <c r="G654" i="2"/>
  <c r="H654" i="2"/>
  <c r="I654" i="2"/>
  <c r="J654" i="2"/>
  <c r="K654" i="2"/>
  <c r="B655" i="2"/>
  <c r="C655" i="2"/>
  <c r="D655" i="2"/>
  <c r="E655" i="2"/>
  <c r="F655" i="2"/>
  <c r="G655" i="2"/>
  <c r="H655" i="2"/>
  <c r="I655" i="2"/>
  <c r="J655" i="2"/>
  <c r="K655" i="2"/>
  <c r="B656" i="2"/>
  <c r="C656" i="2"/>
  <c r="D656" i="2"/>
  <c r="E656" i="2"/>
  <c r="F656" i="2"/>
  <c r="G656" i="2"/>
  <c r="H656" i="2"/>
  <c r="I656" i="2"/>
  <c r="J656" i="2"/>
  <c r="K656" i="2"/>
  <c r="B657" i="2"/>
  <c r="C657" i="2"/>
  <c r="D657" i="2"/>
  <c r="E657" i="2"/>
  <c r="F657" i="2"/>
  <c r="G657" i="2"/>
  <c r="H657" i="2"/>
  <c r="I657" i="2"/>
  <c r="J657" i="2"/>
  <c r="K657" i="2"/>
  <c r="B658" i="2"/>
  <c r="C658" i="2"/>
  <c r="D658" i="2"/>
  <c r="E658" i="2"/>
  <c r="F658" i="2"/>
  <c r="G658" i="2"/>
  <c r="H658" i="2"/>
  <c r="I658" i="2"/>
  <c r="J658" i="2"/>
  <c r="K658" i="2"/>
  <c r="B659" i="2"/>
  <c r="C659" i="2"/>
  <c r="D659" i="2"/>
  <c r="E659" i="2"/>
  <c r="F659" i="2"/>
  <c r="G659" i="2"/>
  <c r="H659" i="2"/>
  <c r="I659" i="2"/>
  <c r="J659" i="2"/>
  <c r="K659" i="2"/>
  <c r="B660" i="2"/>
  <c r="C660" i="2"/>
  <c r="D660" i="2"/>
  <c r="E660" i="2"/>
  <c r="F660" i="2"/>
  <c r="G660" i="2"/>
  <c r="H660" i="2"/>
  <c r="I660" i="2"/>
  <c r="J660" i="2"/>
  <c r="K660" i="2"/>
  <c r="B661" i="2"/>
  <c r="C661" i="2"/>
  <c r="D661" i="2"/>
  <c r="E661" i="2"/>
  <c r="F661" i="2"/>
  <c r="G661" i="2"/>
  <c r="H661" i="2"/>
  <c r="I661" i="2"/>
  <c r="J661" i="2"/>
  <c r="K661" i="2"/>
  <c r="B662" i="2"/>
  <c r="C662" i="2"/>
  <c r="D662" i="2"/>
  <c r="E662" i="2"/>
  <c r="F662" i="2"/>
  <c r="G662" i="2"/>
  <c r="H662" i="2"/>
  <c r="I662" i="2"/>
  <c r="J662" i="2"/>
  <c r="K662" i="2"/>
  <c r="B663" i="2"/>
  <c r="C663" i="2"/>
  <c r="D663" i="2"/>
  <c r="E663" i="2"/>
  <c r="F663" i="2"/>
  <c r="G663" i="2"/>
  <c r="H663" i="2"/>
  <c r="I663" i="2"/>
  <c r="J663" i="2"/>
  <c r="K663" i="2"/>
  <c r="B664" i="2"/>
  <c r="C664" i="2"/>
  <c r="D664" i="2"/>
  <c r="E664" i="2"/>
  <c r="F664" i="2"/>
  <c r="G664" i="2"/>
  <c r="H664" i="2"/>
  <c r="I664" i="2"/>
  <c r="J664" i="2"/>
  <c r="K664" i="2"/>
  <c r="B665" i="2"/>
  <c r="C665" i="2"/>
  <c r="D665" i="2"/>
  <c r="E665" i="2"/>
  <c r="F665" i="2"/>
  <c r="G665" i="2"/>
  <c r="H665" i="2"/>
  <c r="I665" i="2"/>
  <c r="J665" i="2"/>
  <c r="K665" i="2"/>
  <c r="B666" i="2"/>
  <c r="C666" i="2"/>
  <c r="D666" i="2"/>
  <c r="E666" i="2"/>
  <c r="F666" i="2"/>
  <c r="G666" i="2"/>
  <c r="H666" i="2"/>
  <c r="I666" i="2"/>
  <c r="J666" i="2"/>
  <c r="K666" i="2"/>
  <c r="B667" i="2"/>
  <c r="C667" i="2"/>
  <c r="D667" i="2"/>
  <c r="E667" i="2"/>
  <c r="F667" i="2"/>
  <c r="G667" i="2"/>
  <c r="H667" i="2"/>
  <c r="I667" i="2"/>
  <c r="J667" i="2"/>
  <c r="K667" i="2"/>
  <c r="B668" i="2"/>
  <c r="C668" i="2"/>
  <c r="D668" i="2"/>
  <c r="E668" i="2"/>
  <c r="F668" i="2"/>
  <c r="G668" i="2"/>
  <c r="H668" i="2"/>
  <c r="I668" i="2"/>
  <c r="J668" i="2"/>
  <c r="K668" i="2"/>
  <c r="B669" i="2"/>
  <c r="C669" i="2"/>
  <c r="D669" i="2"/>
  <c r="E669" i="2"/>
  <c r="F669" i="2"/>
  <c r="G669" i="2"/>
  <c r="H669" i="2"/>
  <c r="I669" i="2"/>
  <c r="J669" i="2"/>
  <c r="K669" i="2"/>
  <c r="B670" i="2"/>
  <c r="C670" i="2"/>
  <c r="D670" i="2"/>
  <c r="E670" i="2"/>
  <c r="F670" i="2"/>
  <c r="G670" i="2"/>
  <c r="H670" i="2"/>
  <c r="I670" i="2"/>
  <c r="J670" i="2"/>
  <c r="K670" i="2"/>
  <c r="B671" i="2"/>
  <c r="C671" i="2"/>
  <c r="D671" i="2"/>
  <c r="E671" i="2"/>
  <c r="F671" i="2"/>
  <c r="G671" i="2"/>
  <c r="H671" i="2"/>
  <c r="I671" i="2"/>
  <c r="J671" i="2"/>
  <c r="K671" i="2"/>
  <c r="B672" i="2"/>
  <c r="C672" i="2"/>
  <c r="D672" i="2"/>
  <c r="E672" i="2"/>
  <c r="F672" i="2"/>
  <c r="G672" i="2"/>
  <c r="H672" i="2"/>
  <c r="I672" i="2"/>
  <c r="J672" i="2"/>
  <c r="K672" i="2"/>
  <c r="B673" i="2"/>
  <c r="C673" i="2"/>
  <c r="D673" i="2"/>
  <c r="E673" i="2"/>
  <c r="F673" i="2"/>
  <c r="G673" i="2"/>
  <c r="H673" i="2"/>
  <c r="I673" i="2"/>
  <c r="J673" i="2"/>
  <c r="K673" i="2"/>
  <c r="B674" i="2"/>
  <c r="C674" i="2"/>
  <c r="D674" i="2"/>
  <c r="E674" i="2"/>
  <c r="F674" i="2"/>
  <c r="G674" i="2"/>
  <c r="H674" i="2"/>
  <c r="I674" i="2"/>
  <c r="J674" i="2"/>
  <c r="K674" i="2"/>
  <c r="B675" i="2"/>
  <c r="C675" i="2"/>
  <c r="D675" i="2"/>
  <c r="E675" i="2"/>
  <c r="F675" i="2"/>
  <c r="G675" i="2"/>
  <c r="H675" i="2"/>
  <c r="I675" i="2"/>
  <c r="J675" i="2"/>
  <c r="K675" i="2"/>
  <c r="B676" i="2"/>
  <c r="C676" i="2"/>
  <c r="D676" i="2"/>
  <c r="E676" i="2"/>
  <c r="F676" i="2"/>
  <c r="G676" i="2"/>
  <c r="H676" i="2"/>
  <c r="I676" i="2"/>
  <c r="J676" i="2"/>
  <c r="K676" i="2"/>
  <c r="B677" i="2"/>
  <c r="C677" i="2"/>
  <c r="D677" i="2"/>
  <c r="E677" i="2"/>
  <c r="F677" i="2"/>
  <c r="G677" i="2"/>
  <c r="H677" i="2"/>
  <c r="I677" i="2"/>
  <c r="J677" i="2"/>
  <c r="K677" i="2"/>
  <c r="B678" i="2"/>
  <c r="C678" i="2"/>
  <c r="D678" i="2"/>
  <c r="E678" i="2"/>
  <c r="F678" i="2"/>
  <c r="G678" i="2"/>
  <c r="H678" i="2"/>
  <c r="I678" i="2"/>
  <c r="J678" i="2"/>
  <c r="K678" i="2"/>
  <c r="B679" i="2"/>
  <c r="C679" i="2"/>
  <c r="D679" i="2"/>
  <c r="E679" i="2"/>
  <c r="F679" i="2"/>
  <c r="G679" i="2"/>
  <c r="H679" i="2"/>
  <c r="I679" i="2"/>
  <c r="J679" i="2"/>
  <c r="K679" i="2"/>
  <c r="B680" i="2"/>
  <c r="C680" i="2"/>
  <c r="D680" i="2"/>
  <c r="E680" i="2"/>
  <c r="F680" i="2"/>
  <c r="G680" i="2"/>
  <c r="H680" i="2"/>
  <c r="I680" i="2"/>
  <c r="J680" i="2"/>
  <c r="K680" i="2"/>
  <c r="B681" i="2"/>
  <c r="C681" i="2"/>
  <c r="D681" i="2"/>
  <c r="E681" i="2"/>
  <c r="F681" i="2"/>
  <c r="G681" i="2"/>
  <c r="H681" i="2"/>
  <c r="I681" i="2"/>
  <c r="J681" i="2"/>
  <c r="K681" i="2"/>
  <c r="B682" i="2"/>
  <c r="C682" i="2"/>
  <c r="D682" i="2"/>
  <c r="E682" i="2"/>
  <c r="F682" i="2"/>
  <c r="G682" i="2"/>
  <c r="H682" i="2"/>
  <c r="I682" i="2"/>
  <c r="J682" i="2"/>
  <c r="K682" i="2"/>
  <c r="B683" i="2"/>
  <c r="C683" i="2"/>
  <c r="D683" i="2"/>
  <c r="E683" i="2"/>
  <c r="F683" i="2"/>
  <c r="G683" i="2"/>
  <c r="H683" i="2"/>
  <c r="I683" i="2"/>
  <c r="J683" i="2"/>
  <c r="K683" i="2"/>
  <c r="B684" i="2"/>
  <c r="C684" i="2"/>
  <c r="D684" i="2"/>
  <c r="E684" i="2"/>
  <c r="F684" i="2"/>
  <c r="G684" i="2"/>
  <c r="H684" i="2"/>
  <c r="I684" i="2"/>
  <c r="J684" i="2"/>
  <c r="K684" i="2"/>
  <c r="B685" i="2"/>
  <c r="C685" i="2"/>
  <c r="D685" i="2"/>
  <c r="E685" i="2"/>
  <c r="F685" i="2"/>
  <c r="G685" i="2"/>
  <c r="H685" i="2"/>
  <c r="I685" i="2"/>
  <c r="J685" i="2"/>
  <c r="K685" i="2"/>
  <c r="B686" i="2"/>
  <c r="C686" i="2"/>
  <c r="D686" i="2"/>
  <c r="E686" i="2"/>
  <c r="F686" i="2"/>
  <c r="G686" i="2"/>
  <c r="H686" i="2"/>
  <c r="I686" i="2"/>
  <c r="J686" i="2"/>
  <c r="K686" i="2"/>
  <c r="B687" i="2"/>
  <c r="C687" i="2"/>
  <c r="D687" i="2"/>
  <c r="E687" i="2"/>
  <c r="F687" i="2"/>
  <c r="G687" i="2"/>
  <c r="H687" i="2"/>
  <c r="I687" i="2"/>
  <c r="J687" i="2"/>
  <c r="K687" i="2"/>
  <c r="B688" i="2"/>
  <c r="C688" i="2"/>
  <c r="D688" i="2"/>
  <c r="E688" i="2"/>
  <c r="F688" i="2"/>
  <c r="G688" i="2"/>
  <c r="H688" i="2"/>
  <c r="I688" i="2"/>
  <c r="J688" i="2"/>
  <c r="K688" i="2"/>
  <c r="B689" i="2"/>
  <c r="C689" i="2"/>
  <c r="D689" i="2"/>
  <c r="E689" i="2"/>
  <c r="F689" i="2"/>
  <c r="G689" i="2"/>
  <c r="H689" i="2"/>
  <c r="I689" i="2"/>
  <c r="J689" i="2"/>
  <c r="K689" i="2"/>
  <c r="B690" i="2"/>
  <c r="C690" i="2"/>
  <c r="D690" i="2"/>
  <c r="E690" i="2"/>
  <c r="F690" i="2"/>
  <c r="G690" i="2"/>
  <c r="H690" i="2"/>
  <c r="I690" i="2"/>
  <c r="J690" i="2"/>
  <c r="K690" i="2"/>
  <c r="B691" i="2"/>
  <c r="C691" i="2"/>
  <c r="D691" i="2"/>
  <c r="E691" i="2"/>
  <c r="F691" i="2"/>
  <c r="G691" i="2"/>
  <c r="H691" i="2"/>
  <c r="I691" i="2"/>
  <c r="J691" i="2"/>
  <c r="K691" i="2"/>
  <c r="B692" i="2"/>
  <c r="C692" i="2"/>
  <c r="D692" i="2"/>
  <c r="E692" i="2"/>
  <c r="F692" i="2"/>
  <c r="G692" i="2"/>
  <c r="H692" i="2"/>
  <c r="I692" i="2"/>
  <c r="J692" i="2"/>
  <c r="K692" i="2"/>
  <c r="B693" i="2"/>
  <c r="C693" i="2"/>
  <c r="D693" i="2"/>
  <c r="E693" i="2"/>
  <c r="F693" i="2"/>
  <c r="G693" i="2"/>
  <c r="H693" i="2"/>
  <c r="I693" i="2"/>
  <c r="J693" i="2"/>
  <c r="K693" i="2"/>
  <c r="B694" i="2"/>
  <c r="C694" i="2"/>
  <c r="D694" i="2"/>
  <c r="E694" i="2"/>
  <c r="F694" i="2"/>
  <c r="G694" i="2"/>
  <c r="H694" i="2"/>
  <c r="I694" i="2"/>
  <c r="J694" i="2"/>
  <c r="K694" i="2"/>
  <c r="B695" i="2"/>
  <c r="C695" i="2"/>
  <c r="D695" i="2"/>
  <c r="E695" i="2"/>
  <c r="F695" i="2"/>
  <c r="G695" i="2"/>
  <c r="H695" i="2"/>
  <c r="I695" i="2"/>
  <c r="J695" i="2"/>
  <c r="K695" i="2"/>
  <c r="B696" i="2"/>
  <c r="C696" i="2"/>
  <c r="D696" i="2"/>
  <c r="E696" i="2"/>
  <c r="F696" i="2"/>
  <c r="G696" i="2"/>
  <c r="H696" i="2"/>
  <c r="I696" i="2"/>
  <c r="J696" i="2"/>
  <c r="K696" i="2"/>
  <c r="B697" i="2"/>
  <c r="C697" i="2"/>
  <c r="D697" i="2"/>
  <c r="E697" i="2"/>
  <c r="F697" i="2"/>
  <c r="G697" i="2"/>
  <c r="H697" i="2"/>
  <c r="I697" i="2"/>
  <c r="J697" i="2"/>
  <c r="K697" i="2"/>
  <c r="B698" i="2"/>
  <c r="C698" i="2"/>
  <c r="D698" i="2"/>
  <c r="E698" i="2"/>
  <c r="F698" i="2"/>
  <c r="G698" i="2"/>
  <c r="H698" i="2"/>
  <c r="I698" i="2"/>
  <c r="J698" i="2"/>
  <c r="K698" i="2"/>
  <c r="B699" i="2"/>
  <c r="C699" i="2"/>
  <c r="D699" i="2"/>
  <c r="E699" i="2"/>
  <c r="F699" i="2"/>
  <c r="G699" i="2"/>
  <c r="H699" i="2"/>
  <c r="I699" i="2"/>
  <c r="J699" i="2"/>
  <c r="K699" i="2"/>
  <c r="B700" i="2"/>
  <c r="C700" i="2"/>
  <c r="D700" i="2"/>
  <c r="E700" i="2"/>
  <c r="F700" i="2"/>
  <c r="G700" i="2"/>
  <c r="H700" i="2"/>
  <c r="I700" i="2"/>
  <c r="J700" i="2"/>
  <c r="K700" i="2"/>
  <c r="B701" i="2"/>
  <c r="C701" i="2"/>
  <c r="D701" i="2"/>
  <c r="E701" i="2"/>
  <c r="F701" i="2"/>
  <c r="G701" i="2"/>
  <c r="H701" i="2"/>
  <c r="I701" i="2"/>
  <c r="J701" i="2"/>
  <c r="K701" i="2"/>
  <c r="B702" i="2"/>
  <c r="C702" i="2"/>
  <c r="D702" i="2"/>
  <c r="E702" i="2"/>
  <c r="F702" i="2"/>
  <c r="G702" i="2"/>
  <c r="H702" i="2"/>
  <c r="I702" i="2"/>
  <c r="J702" i="2"/>
  <c r="K702" i="2"/>
  <c r="B703" i="2"/>
  <c r="C703" i="2"/>
  <c r="D703" i="2"/>
  <c r="E703" i="2"/>
  <c r="F703" i="2"/>
  <c r="G703" i="2"/>
  <c r="H703" i="2"/>
  <c r="I703" i="2"/>
  <c r="J703" i="2"/>
  <c r="K703" i="2"/>
  <c r="B704" i="2"/>
  <c r="C704" i="2"/>
  <c r="D704" i="2"/>
  <c r="E704" i="2"/>
  <c r="F704" i="2"/>
  <c r="G704" i="2"/>
  <c r="H704" i="2"/>
  <c r="I704" i="2"/>
  <c r="J704" i="2"/>
  <c r="K704" i="2"/>
  <c r="B705" i="2"/>
  <c r="C705" i="2"/>
  <c r="D705" i="2"/>
  <c r="E705" i="2"/>
  <c r="F705" i="2"/>
  <c r="G705" i="2"/>
  <c r="H705" i="2"/>
  <c r="I705" i="2"/>
  <c r="J705" i="2"/>
  <c r="K705" i="2"/>
  <c r="B706" i="2"/>
  <c r="C706" i="2"/>
  <c r="D706" i="2"/>
  <c r="E706" i="2"/>
  <c r="F706" i="2"/>
  <c r="G706" i="2"/>
  <c r="H706" i="2"/>
  <c r="I706" i="2"/>
  <c r="J706" i="2"/>
  <c r="K706" i="2"/>
  <c r="B707" i="2"/>
  <c r="C707" i="2"/>
  <c r="D707" i="2"/>
  <c r="E707" i="2"/>
  <c r="F707" i="2"/>
  <c r="G707" i="2"/>
  <c r="H707" i="2"/>
  <c r="I707" i="2"/>
  <c r="J707" i="2"/>
  <c r="K707" i="2"/>
  <c r="B708" i="2"/>
  <c r="C708" i="2"/>
  <c r="D708" i="2"/>
  <c r="E708" i="2"/>
  <c r="F708" i="2"/>
  <c r="G708" i="2"/>
  <c r="H708" i="2"/>
  <c r="I708" i="2"/>
  <c r="J708" i="2"/>
  <c r="K708" i="2"/>
  <c r="B709" i="2"/>
  <c r="C709" i="2"/>
  <c r="D709" i="2"/>
  <c r="E709" i="2"/>
  <c r="F709" i="2"/>
  <c r="G709" i="2"/>
  <c r="H709" i="2"/>
  <c r="I709" i="2"/>
  <c r="J709" i="2"/>
  <c r="K709" i="2"/>
  <c r="B710" i="2"/>
  <c r="C710" i="2"/>
  <c r="D710" i="2"/>
  <c r="E710" i="2"/>
  <c r="F710" i="2"/>
  <c r="G710" i="2"/>
  <c r="H710" i="2"/>
  <c r="I710" i="2"/>
  <c r="J710" i="2"/>
  <c r="K710" i="2"/>
  <c r="B711" i="2"/>
  <c r="C711" i="2"/>
  <c r="D711" i="2"/>
  <c r="E711" i="2"/>
  <c r="F711" i="2"/>
  <c r="G711" i="2"/>
  <c r="H711" i="2"/>
  <c r="I711" i="2"/>
  <c r="J711" i="2"/>
  <c r="K711" i="2"/>
  <c r="B712" i="2"/>
  <c r="C712" i="2"/>
  <c r="D712" i="2"/>
  <c r="E712" i="2"/>
  <c r="F712" i="2"/>
  <c r="G712" i="2"/>
  <c r="H712" i="2"/>
  <c r="I712" i="2"/>
  <c r="J712" i="2"/>
  <c r="K712" i="2"/>
  <c r="B713" i="2"/>
  <c r="C713" i="2"/>
  <c r="D713" i="2"/>
  <c r="E713" i="2"/>
  <c r="F713" i="2"/>
  <c r="G713" i="2"/>
  <c r="H713" i="2"/>
  <c r="I713" i="2"/>
  <c r="J713" i="2"/>
  <c r="K713" i="2"/>
  <c r="B714" i="2"/>
  <c r="C714" i="2"/>
  <c r="D714" i="2"/>
  <c r="E714" i="2"/>
  <c r="F714" i="2"/>
  <c r="G714" i="2"/>
  <c r="H714" i="2"/>
  <c r="I714" i="2"/>
  <c r="J714" i="2"/>
  <c r="K714" i="2"/>
  <c r="B715" i="2"/>
  <c r="C715" i="2"/>
  <c r="D715" i="2"/>
  <c r="E715" i="2"/>
  <c r="F715" i="2"/>
  <c r="G715" i="2"/>
  <c r="H715" i="2"/>
  <c r="I715" i="2"/>
  <c r="J715" i="2"/>
  <c r="K715" i="2"/>
  <c r="B716" i="2"/>
  <c r="C716" i="2"/>
  <c r="D716" i="2"/>
  <c r="E716" i="2"/>
  <c r="F716" i="2"/>
  <c r="G716" i="2"/>
  <c r="H716" i="2"/>
  <c r="I716" i="2"/>
  <c r="J716" i="2"/>
  <c r="K716" i="2"/>
  <c r="B717" i="2"/>
  <c r="C717" i="2"/>
  <c r="D717" i="2"/>
  <c r="E717" i="2"/>
  <c r="F717" i="2"/>
  <c r="G717" i="2"/>
  <c r="H717" i="2"/>
  <c r="I717" i="2"/>
  <c r="J717" i="2"/>
  <c r="K717" i="2"/>
  <c r="B718" i="2"/>
  <c r="C718" i="2"/>
  <c r="D718" i="2"/>
  <c r="E718" i="2"/>
  <c r="F718" i="2"/>
  <c r="G718" i="2"/>
  <c r="H718" i="2"/>
  <c r="I718" i="2"/>
  <c r="J718" i="2"/>
  <c r="K718" i="2"/>
  <c r="B719" i="2"/>
  <c r="C719" i="2"/>
  <c r="D719" i="2"/>
  <c r="E719" i="2"/>
  <c r="F719" i="2"/>
  <c r="G719" i="2"/>
  <c r="H719" i="2"/>
  <c r="I719" i="2"/>
  <c r="J719" i="2"/>
  <c r="K719" i="2"/>
  <c r="B720" i="2"/>
  <c r="C720" i="2"/>
  <c r="D720" i="2"/>
  <c r="E720" i="2"/>
  <c r="F720" i="2"/>
  <c r="G720" i="2"/>
  <c r="H720" i="2"/>
  <c r="I720" i="2"/>
  <c r="J720" i="2"/>
  <c r="K720" i="2"/>
  <c r="B721" i="2"/>
  <c r="C721" i="2"/>
  <c r="D721" i="2"/>
  <c r="E721" i="2"/>
  <c r="F721" i="2"/>
  <c r="G721" i="2"/>
  <c r="H721" i="2"/>
  <c r="I721" i="2"/>
  <c r="J721" i="2"/>
  <c r="K721" i="2"/>
  <c r="B722" i="2"/>
  <c r="C722" i="2"/>
  <c r="D722" i="2"/>
  <c r="E722" i="2"/>
  <c r="F722" i="2"/>
  <c r="G722" i="2"/>
  <c r="H722" i="2"/>
  <c r="I722" i="2"/>
  <c r="J722" i="2"/>
  <c r="K722" i="2"/>
  <c r="B723" i="2"/>
  <c r="C723" i="2"/>
  <c r="D723" i="2"/>
  <c r="E723" i="2"/>
  <c r="F723" i="2"/>
  <c r="G723" i="2"/>
  <c r="H723" i="2"/>
  <c r="I723" i="2"/>
  <c r="J723" i="2"/>
  <c r="K723" i="2"/>
  <c r="B724" i="2"/>
  <c r="C724" i="2"/>
  <c r="D724" i="2"/>
  <c r="E724" i="2"/>
  <c r="F724" i="2"/>
  <c r="G724" i="2"/>
  <c r="H724" i="2"/>
  <c r="I724" i="2"/>
  <c r="J724" i="2"/>
  <c r="K724" i="2"/>
  <c r="B725" i="2"/>
  <c r="C725" i="2"/>
  <c r="D725" i="2"/>
  <c r="E725" i="2"/>
  <c r="F725" i="2"/>
  <c r="G725" i="2"/>
  <c r="H725" i="2"/>
  <c r="I725" i="2"/>
  <c r="J725" i="2"/>
  <c r="K725" i="2"/>
  <c r="B726" i="2"/>
  <c r="C726" i="2"/>
  <c r="D726" i="2"/>
  <c r="E726" i="2"/>
  <c r="F726" i="2"/>
  <c r="G726" i="2"/>
  <c r="H726" i="2"/>
  <c r="I726" i="2"/>
  <c r="J726" i="2"/>
  <c r="K726" i="2"/>
  <c r="B727" i="2"/>
  <c r="C727" i="2"/>
  <c r="D727" i="2"/>
  <c r="E727" i="2"/>
  <c r="F727" i="2"/>
  <c r="G727" i="2"/>
  <c r="H727" i="2"/>
  <c r="I727" i="2"/>
  <c r="J727" i="2"/>
  <c r="K727" i="2"/>
  <c r="B728" i="2"/>
  <c r="C728" i="2"/>
  <c r="D728" i="2"/>
  <c r="E728" i="2"/>
  <c r="F728" i="2"/>
  <c r="G728" i="2"/>
  <c r="H728" i="2"/>
  <c r="I728" i="2"/>
  <c r="J728" i="2"/>
  <c r="K728" i="2"/>
  <c r="B729" i="2"/>
  <c r="C729" i="2"/>
  <c r="D729" i="2"/>
  <c r="E729" i="2"/>
  <c r="F729" i="2"/>
  <c r="G729" i="2"/>
  <c r="H729" i="2"/>
  <c r="I729" i="2"/>
  <c r="J729" i="2"/>
  <c r="K729" i="2"/>
  <c r="B730" i="2"/>
  <c r="C730" i="2"/>
  <c r="D730" i="2"/>
  <c r="E730" i="2"/>
  <c r="F730" i="2"/>
  <c r="G730" i="2"/>
  <c r="H730" i="2"/>
  <c r="I730" i="2"/>
  <c r="J730" i="2"/>
  <c r="K730" i="2"/>
  <c r="B731" i="2"/>
  <c r="C731" i="2"/>
  <c r="D731" i="2"/>
  <c r="E731" i="2"/>
  <c r="F731" i="2"/>
  <c r="G731" i="2"/>
  <c r="H731" i="2"/>
  <c r="I731" i="2"/>
  <c r="J731" i="2"/>
  <c r="K731" i="2"/>
  <c r="B732" i="2"/>
  <c r="C732" i="2"/>
  <c r="D732" i="2"/>
  <c r="E732" i="2"/>
  <c r="F732" i="2"/>
  <c r="G732" i="2"/>
  <c r="H732" i="2"/>
  <c r="I732" i="2"/>
  <c r="J732" i="2"/>
  <c r="K732" i="2"/>
  <c r="B733" i="2"/>
  <c r="C733" i="2"/>
  <c r="D733" i="2"/>
  <c r="E733" i="2"/>
  <c r="F733" i="2"/>
  <c r="G733" i="2"/>
  <c r="H733" i="2"/>
  <c r="I733" i="2"/>
  <c r="J733" i="2"/>
  <c r="K733" i="2"/>
  <c r="B734" i="2"/>
  <c r="C734" i="2"/>
  <c r="D734" i="2"/>
  <c r="E734" i="2"/>
  <c r="F734" i="2"/>
  <c r="G734" i="2"/>
  <c r="H734" i="2"/>
  <c r="I734" i="2"/>
  <c r="J734" i="2"/>
  <c r="K734" i="2"/>
  <c r="B735" i="2"/>
  <c r="C735" i="2"/>
  <c r="D735" i="2"/>
  <c r="E735" i="2"/>
  <c r="F735" i="2"/>
  <c r="G735" i="2"/>
  <c r="H735" i="2"/>
  <c r="I735" i="2"/>
  <c r="J735" i="2"/>
  <c r="K735" i="2"/>
  <c r="B736" i="2"/>
  <c r="C736" i="2"/>
  <c r="D736" i="2"/>
  <c r="E736" i="2"/>
  <c r="F736" i="2"/>
  <c r="G736" i="2"/>
  <c r="H736" i="2"/>
  <c r="I736" i="2"/>
  <c r="J736" i="2"/>
  <c r="K736" i="2"/>
  <c r="B737" i="2"/>
  <c r="C737" i="2"/>
  <c r="D737" i="2"/>
  <c r="E737" i="2"/>
  <c r="F737" i="2"/>
  <c r="G737" i="2"/>
  <c r="H737" i="2"/>
  <c r="I737" i="2"/>
  <c r="J737" i="2"/>
  <c r="K737" i="2"/>
  <c r="B738" i="2"/>
  <c r="C738" i="2"/>
  <c r="D738" i="2"/>
  <c r="E738" i="2"/>
  <c r="F738" i="2"/>
  <c r="G738" i="2"/>
  <c r="H738" i="2"/>
  <c r="I738" i="2"/>
  <c r="J738" i="2"/>
  <c r="K738" i="2"/>
  <c r="B739" i="2"/>
  <c r="C739" i="2"/>
  <c r="D739" i="2"/>
  <c r="E739" i="2"/>
  <c r="F739" i="2"/>
  <c r="G739" i="2"/>
  <c r="H739" i="2"/>
  <c r="I739" i="2"/>
  <c r="J739" i="2"/>
  <c r="K739" i="2"/>
  <c r="B740" i="2"/>
  <c r="C740" i="2"/>
  <c r="D740" i="2"/>
  <c r="E740" i="2"/>
  <c r="F740" i="2"/>
  <c r="G740" i="2"/>
  <c r="H740" i="2"/>
  <c r="I740" i="2"/>
  <c r="J740" i="2"/>
  <c r="K740" i="2"/>
  <c r="B741" i="2"/>
  <c r="C741" i="2"/>
  <c r="D741" i="2"/>
  <c r="E741" i="2"/>
  <c r="F741" i="2"/>
  <c r="G741" i="2"/>
  <c r="H741" i="2"/>
  <c r="I741" i="2"/>
  <c r="J741" i="2"/>
  <c r="K741" i="2"/>
  <c r="B742" i="2"/>
  <c r="C742" i="2"/>
  <c r="D742" i="2"/>
  <c r="E742" i="2"/>
  <c r="F742" i="2"/>
  <c r="G742" i="2"/>
  <c r="H742" i="2"/>
  <c r="I742" i="2"/>
  <c r="J742" i="2"/>
  <c r="K742" i="2"/>
  <c r="B743" i="2"/>
  <c r="C743" i="2"/>
  <c r="D743" i="2"/>
  <c r="E743" i="2"/>
  <c r="F743" i="2"/>
  <c r="G743" i="2"/>
  <c r="H743" i="2"/>
  <c r="I743" i="2"/>
  <c r="J743" i="2"/>
  <c r="K743" i="2"/>
  <c r="B744" i="2"/>
  <c r="C744" i="2"/>
  <c r="D744" i="2"/>
  <c r="E744" i="2"/>
  <c r="F744" i="2"/>
  <c r="G744" i="2"/>
  <c r="H744" i="2"/>
  <c r="I744" i="2"/>
  <c r="J744" i="2"/>
  <c r="K744" i="2"/>
  <c r="B745" i="2"/>
  <c r="C745" i="2"/>
  <c r="D745" i="2"/>
  <c r="E745" i="2"/>
  <c r="F745" i="2"/>
  <c r="G745" i="2"/>
  <c r="H745" i="2"/>
  <c r="I745" i="2"/>
  <c r="J745" i="2"/>
  <c r="K745" i="2"/>
  <c r="B746" i="2"/>
  <c r="C746" i="2"/>
  <c r="D746" i="2"/>
  <c r="E746" i="2"/>
  <c r="F746" i="2"/>
  <c r="G746" i="2"/>
  <c r="H746" i="2"/>
  <c r="I746" i="2"/>
  <c r="J746" i="2"/>
  <c r="K746" i="2"/>
  <c r="B747" i="2"/>
  <c r="C747" i="2"/>
  <c r="D747" i="2"/>
  <c r="E747" i="2"/>
  <c r="F747" i="2"/>
  <c r="G747" i="2"/>
  <c r="H747" i="2"/>
  <c r="I747" i="2"/>
  <c r="J747" i="2"/>
  <c r="K747" i="2"/>
  <c r="B748" i="2"/>
  <c r="C748" i="2"/>
  <c r="D748" i="2"/>
  <c r="E748" i="2"/>
  <c r="F748" i="2"/>
  <c r="G748" i="2"/>
  <c r="H748" i="2"/>
  <c r="I748" i="2"/>
  <c r="J748" i="2"/>
  <c r="K748" i="2"/>
  <c r="B749" i="2"/>
  <c r="C749" i="2"/>
  <c r="D749" i="2"/>
  <c r="E749" i="2"/>
  <c r="F749" i="2"/>
  <c r="G749" i="2"/>
  <c r="H749" i="2"/>
  <c r="I749" i="2"/>
  <c r="J749" i="2"/>
  <c r="K749" i="2"/>
  <c r="B750" i="2"/>
  <c r="C750" i="2"/>
  <c r="D750" i="2"/>
  <c r="E750" i="2"/>
  <c r="F750" i="2"/>
  <c r="G750" i="2"/>
  <c r="H750" i="2"/>
  <c r="I750" i="2"/>
  <c r="J750" i="2"/>
  <c r="K750" i="2"/>
  <c r="B751" i="2"/>
  <c r="C751" i="2"/>
  <c r="D751" i="2"/>
  <c r="E751" i="2"/>
  <c r="F751" i="2"/>
  <c r="G751" i="2"/>
  <c r="H751" i="2"/>
  <c r="I751" i="2"/>
  <c r="J751" i="2"/>
  <c r="K751" i="2"/>
  <c r="B752" i="2"/>
  <c r="C752" i="2"/>
  <c r="D752" i="2"/>
  <c r="E752" i="2"/>
  <c r="F752" i="2"/>
  <c r="G752" i="2"/>
  <c r="H752" i="2"/>
  <c r="I752" i="2"/>
  <c r="J752" i="2"/>
  <c r="K752" i="2"/>
  <c r="B753" i="2"/>
  <c r="C753" i="2"/>
  <c r="D753" i="2"/>
  <c r="E753" i="2"/>
  <c r="F753" i="2"/>
  <c r="G753" i="2"/>
  <c r="H753" i="2"/>
  <c r="I753" i="2"/>
  <c r="J753" i="2"/>
  <c r="K753" i="2"/>
  <c r="B754" i="2"/>
  <c r="C754" i="2"/>
  <c r="D754" i="2"/>
  <c r="E754" i="2"/>
  <c r="F754" i="2"/>
  <c r="G754" i="2"/>
  <c r="H754" i="2"/>
  <c r="I754" i="2"/>
  <c r="J754" i="2"/>
  <c r="K754" i="2"/>
  <c r="B755" i="2"/>
  <c r="C755" i="2"/>
  <c r="D755" i="2"/>
  <c r="E755" i="2"/>
  <c r="F755" i="2"/>
  <c r="G755" i="2"/>
  <c r="H755" i="2"/>
  <c r="I755" i="2"/>
  <c r="J755" i="2"/>
  <c r="K755" i="2"/>
  <c r="B756" i="2"/>
  <c r="C756" i="2"/>
  <c r="D756" i="2"/>
  <c r="E756" i="2"/>
  <c r="F756" i="2"/>
  <c r="G756" i="2"/>
  <c r="H756" i="2"/>
  <c r="I756" i="2"/>
  <c r="J756" i="2"/>
  <c r="K756" i="2"/>
  <c r="B757" i="2"/>
  <c r="C757" i="2"/>
  <c r="D757" i="2"/>
  <c r="E757" i="2"/>
  <c r="F757" i="2"/>
  <c r="G757" i="2"/>
  <c r="H757" i="2"/>
  <c r="I757" i="2"/>
  <c r="J757" i="2"/>
  <c r="K757" i="2"/>
  <c r="B758" i="2"/>
  <c r="C758" i="2"/>
  <c r="D758" i="2"/>
  <c r="E758" i="2"/>
  <c r="F758" i="2"/>
  <c r="G758" i="2"/>
  <c r="H758" i="2"/>
  <c r="I758" i="2"/>
  <c r="J758" i="2"/>
  <c r="K758" i="2"/>
  <c r="B759" i="2"/>
  <c r="C759" i="2"/>
  <c r="D759" i="2"/>
  <c r="E759" i="2"/>
  <c r="F759" i="2"/>
  <c r="G759" i="2"/>
  <c r="H759" i="2"/>
  <c r="I759" i="2"/>
  <c r="J759" i="2"/>
  <c r="K759" i="2"/>
  <c r="B760" i="2"/>
  <c r="C760" i="2"/>
  <c r="D760" i="2"/>
  <c r="E760" i="2"/>
  <c r="F760" i="2"/>
  <c r="G760" i="2"/>
  <c r="H760" i="2"/>
  <c r="I760" i="2"/>
  <c r="J760" i="2"/>
  <c r="K760" i="2"/>
  <c r="B761" i="2"/>
  <c r="C761" i="2"/>
  <c r="D761" i="2"/>
  <c r="E761" i="2"/>
  <c r="F761" i="2"/>
  <c r="G761" i="2"/>
  <c r="H761" i="2"/>
  <c r="I761" i="2"/>
  <c r="J761" i="2"/>
  <c r="K761" i="2"/>
  <c r="B762" i="2"/>
  <c r="C762" i="2"/>
  <c r="D762" i="2"/>
  <c r="E762" i="2"/>
  <c r="F762" i="2"/>
  <c r="G762" i="2"/>
  <c r="H762" i="2"/>
  <c r="I762" i="2"/>
  <c r="J762" i="2"/>
  <c r="K762" i="2"/>
  <c r="B763" i="2"/>
  <c r="C763" i="2"/>
  <c r="D763" i="2"/>
  <c r="E763" i="2"/>
  <c r="F763" i="2"/>
  <c r="G763" i="2"/>
  <c r="H763" i="2"/>
  <c r="I763" i="2"/>
  <c r="J763" i="2"/>
  <c r="K763" i="2"/>
  <c r="B764" i="2"/>
  <c r="C764" i="2"/>
  <c r="D764" i="2"/>
  <c r="E764" i="2"/>
  <c r="F764" i="2"/>
  <c r="G764" i="2"/>
  <c r="H764" i="2"/>
  <c r="I764" i="2"/>
  <c r="J764" i="2"/>
  <c r="K764" i="2"/>
  <c r="B765" i="2"/>
  <c r="C765" i="2"/>
  <c r="D765" i="2"/>
  <c r="E765" i="2"/>
  <c r="F765" i="2"/>
  <c r="G765" i="2"/>
  <c r="H765" i="2"/>
  <c r="I765" i="2"/>
  <c r="J765" i="2"/>
  <c r="K765" i="2"/>
  <c r="B766" i="2"/>
  <c r="C766" i="2"/>
  <c r="D766" i="2"/>
  <c r="E766" i="2"/>
  <c r="F766" i="2"/>
  <c r="G766" i="2"/>
  <c r="H766" i="2"/>
  <c r="I766" i="2"/>
  <c r="J766" i="2"/>
  <c r="K766" i="2"/>
  <c r="B767" i="2"/>
  <c r="C767" i="2"/>
  <c r="D767" i="2"/>
  <c r="E767" i="2"/>
  <c r="F767" i="2"/>
  <c r="G767" i="2"/>
  <c r="H767" i="2"/>
  <c r="I767" i="2"/>
  <c r="J767" i="2"/>
  <c r="K767" i="2"/>
  <c r="B768" i="2"/>
  <c r="C768" i="2"/>
  <c r="D768" i="2"/>
  <c r="E768" i="2"/>
  <c r="F768" i="2"/>
  <c r="G768" i="2"/>
  <c r="H768" i="2"/>
  <c r="I768" i="2"/>
  <c r="J768" i="2"/>
  <c r="K768" i="2"/>
  <c r="B769" i="2"/>
  <c r="C769" i="2"/>
  <c r="D769" i="2"/>
  <c r="E769" i="2"/>
  <c r="F769" i="2"/>
  <c r="G769" i="2"/>
  <c r="H769" i="2"/>
  <c r="I769" i="2"/>
  <c r="J769" i="2"/>
  <c r="K769" i="2"/>
  <c r="B770" i="2"/>
  <c r="C770" i="2"/>
  <c r="D770" i="2"/>
  <c r="E770" i="2"/>
  <c r="F770" i="2"/>
  <c r="G770" i="2"/>
  <c r="H770" i="2"/>
  <c r="I770" i="2"/>
  <c r="J770" i="2"/>
  <c r="K770" i="2"/>
  <c r="B771" i="2"/>
  <c r="C771" i="2"/>
  <c r="D771" i="2"/>
  <c r="E771" i="2"/>
  <c r="F771" i="2"/>
  <c r="G771" i="2"/>
  <c r="H771" i="2"/>
  <c r="I771" i="2"/>
  <c r="J771" i="2"/>
  <c r="K771" i="2"/>
  <c r="B772" i="2"/>
  <c r="C772" i="2"/>
  <c r="D772" i="2"/>
  <c r="E772" i="2"/>
  <c r="F772" i="2"/>
  <c r="G772" i="2"/>
  <c r="H772" i="2"/>
  <c r="I772" i="2"/>
  <c r="J772" i="2"/>
  <c r="K772" i="2"/>
  <c r="B773" i="2"/>
  <c r="C773" i="2"/>
  <c r="D773" i="2"/>
  <c r="E773" i="2"/>
  <c r="F773" i="2"/>
  <c r="G773" i="2"/>
  <c r="H773" i="2"/>
  <c r="I773" i="2"/>
  <c r="J773" i="2"/>
  <c r="K773" i="2"/>
  <c r="B774" i="2"/>
  <c r="C774" i="2"/>
  <c r="D774" i="2"/>
  <c r="E774" i="2"/>
  <c r="F774" i="2"/>
  <c r="G774" i="2"/>
  <c r="H774" i="2"/>
  <c r="I774" i="2"/>
  <c r="J774" i="2"/>
  <c r="K774" i="2"/>
  <c r="B775" i="2"/>
  <c r="C775" i="2"/>
  <c r="D775" i="2"/>
  <c r="E775" i="2"/>
  <c r="F775" i="2"/>
  <c r="G775" i="2"/>
  <c r="H775" i="2"/>
  <c r="I775" i="2"/>
  <c r="J775" i="2"/>
  <c r="K775" i="2"/>
  <c r="B776" i="2"/>
  <c r="C776" i="2"/>
  <c r="D776" i="2"/>
  <c r="E776" i="2"/>
  <c r="F776" i="2"/>
  <c r="G776" i="2"/>
  <c r="H776" i="2"/>
  <c r="I776" i="2"/>
  <c r="J776" i="2"/>
  <c r="K776" i="2"/>
  <c r="B777" i="2"/>
  <c r="C777" i="2"/>
  <c r="D777" i="2"/>
  <c r="E777" i="2"/>
  <c r="F777" i="2"/>
  <c r="G777" i="2"/>
  <c r="H777" i="2"/>
  <c r="I777" i="2"/>
  <c r="J777" i="2"/>
  <c r="K777" i="2"/>
  <c r="B778" i="2"/>
  <c r="C778" i="2"/>
  <c r="D778" i="2"/>
  <c r="E778" i="2"/>
  <c r="F778" i="2"/>
  <c r="G778" i="2"/>
  <c r="H778" i="2"/>
  <c r="I778" i="2"/>
  <c r="J778" i="2"/>
  <c r="K778" i="2"/>
  <c r="B779" i="2"/>
  <c r="C779" i="2"/>
  <c r="D779" i="2"/>
  <c r="E779" i="2"/>
  <c r="F779" i="2"/>
  <c r="G779" i="2"/>
  <c r="H779" i="2"/>
  <c r="I779" i="2"/>
  <c r="J779" i="2"/>
  <c r="K779" i="2"/>
  <c r="B780" i="2"/>
  <c r="C780" i="2"/>
  <c r="D780" i="2"/>
  <c r="E780" i="2"/>
  <c r="F780" i="2"/>
  <c r="G780" i="2"/>
  <c r="H780" i="2"/>
  <c r="I780" i="2"/>
  <c r="J780" i="2"/>
  <c r="K780" i="2"/>
  <c r="B781" i="2"/>
  <c r="C781" i="2"/>
  <c r="D781" i="2"/>
  <c r="E781" i="2"/>
  <c r="F781" i="2"/>
  <c r="G781" i="2"/>
  <c r="H781" i="2"/>
  <c r="I781" i="2"/>
  <c r="J781" i="2"/>
  <c r="K781" i="2"/>
  <c r="B782" i="2"/>
  <c r="C782" i="2"/>
  <c r="D782" i="2"/>
  <c r="E782" i="2"/>
  <c r="F782" i="2"/>
  <c r="G782" i="2"/>
  <c r="H782" i="2"/>
  <c r="I782" i="2"/>
  <c r="J782" i="2"/>
  <c r="K782" i="2"/>
  <c r="B783" i="2"/>
  <c r="C783" i="2"/>
  <c r="D783" i="2"/>
  <c r="E783" i="2"/>
  <c r="F783" i="2"/>
  <c r="G783" i="2"/>
  <c r="H783" i="2"/>
  <c r="I783" i="2"/>
  <c r="J783" i="2"/>
  <c r="K783" i="2"/>
  <c r="B784" i="2"/>
  <c r="C784" i="2"/>
  <c r="D784" i="2"/>
  <c r="E784" i="2"/>
  <c r="F784" i="2"/>
  <c r="G784" i="2"/>
  <c r="H784" i="2"/>
  <c r="I784" i="2"/>
  <c r="J784" i="2"/>
  <c r="K784" i="2"/>
  <c r="B785" i="2"/>
  <c r="C785" i="2"/>
  <c r="D785" i="2"/>
  <c r="E785" i="2"/>
  <c r="F785" i="2"/>
  <c r="G785" i="2"/>
  <c r="H785" i="2"/>
  <c r="I785" i="2"/>
  <c r="J785" i="2"/>
  <c r="K785" i="2"/>
  <c r="B786" i="2"/>
  <c r="C786" i="2"/>
  <c r="D786" i="2"/>
  <c r="E786" i="2"/>
  <c r="F786" i="2"/>
  <c r="G786" i="2"/>
  <c r="H786" i="2"/>
  <c r="I786" i="2"/>
  <c r="J786" i="2"/>
  <c r="K786" i="2"/>
  <c r="B787" i="2"/>
  <c r="C787" i="2"/>
  <c r="D787" i="2"/>
  <c r="E787" i="2"/>
  <c r="F787" i="2"/>
  <c r="G787" i="2"/>
  <c r="H787" i="2"/>
  <c r="I787" i="2"/>
  <c r="J787" i="2"/>
  <c r="K787" i="2"/>
  <c r="B788" i="2"/>
  <c r="C788" i="2"/>
  <c r="D788" i="2"/>
  <c r="E788" i="2"/>
  <c r="F788" i="2"/>
  <c r="G788" i="2"/>
  <c r="H788" i="2"/>
  <c r="I788" i="2"/>
  <c r="J788" i="2"/>
  <c r="K788" i="2"/>
  <c r="B789" i="2"/>
  <c r="C789" i="2"/>
  <c r="D789" i="2"/>
  <c r="E789" i="2"/>
  <c r="F789" i="2"/>
  <c r="G789" i="2"/>
  <c r="H789" i="2"/>
  <c r="I789" i="2"/>
  <c r="J789" i="2"/>
  <c r="K789" i="2"/>
  <c r="B790" i="2"/>
  <c r="C790" i="2"/>
  <c r="D790" i="2"/>
  <c r="E790" i="2"/>
  <c r="F790" i="2"/>
  <c r="G790" i="2"/>
  <c r="H790" i="2"/>
  <c r="I790" i="2"/>
  <c r="J790" i="2"/>
  <c r="K790" i="2"/>
  <c r="B791" i="2"/>
  <c r="C791" i="2"/>
  <c r="D791" i="2"/>
  <c r="E791" i="2"/>
  <c r="F791" i="2"/>
  <c r="G791" i="2"/>
  <c r="H791" i="2"/>
  <c r="I791" i="2"/>
  <c r="J791" i="2"/>
  <c r="K791" i="2"/>
  <c r="B792" i="2"/>
  <c r="C792" i="2"/>
  <c r="D792" i="2"/>
  <c r="E792" i="2"/>
  <c r="F792" i="2"/>
  <c r="G792" i="2"/>
  <c r="H792" i="2"/>
  <c r="I792" i="2"/>
  <c r="J792" i="2"/>
  <c r="K792" i="2"/>
  <c r="B793" i="2"/>
  <c r="C793" i="2"/>
  <c r="D793" i="2"/>
  <c r="E793" i="2"/>
  <c r="F793" i="2"/>
  <c r="G793" i="2"/>
  <c r="H793" i="2"/>
  <c r="I793" i="2"/>
  <c r="J793" i="2"/>
  <c r="K793" i="2"/>
  <c r="B794" i="2"/>
  <c r="C794" i="2"/>
  <c r="D794" i="2"/>
  <c r="E794" i="2"/>
  <c r="F794" i="2"/>
  <c r="G794" i="2"/>
  <c r="H794" i="2"/>
  <c r="I794" i="2"/>
  <c r="J794" i="2"/>
  <c r="K794" i="2"/>
  <c r="B795" i="2"/>
  <c r="C795" i="2"/>
  <c r="D795" i="2"/>
  <c r="E795" i="2"/>
  <c r="F795" i="2"/>
  <c r="G795" i="2"/>
  <c r="H795" i="2"/>
  <c r="I795" i="2"/>
  <c r="J795" i="2"/>
  <c r="K795" i="2"/>
  <c r="B796" i="2"/>
  <c r="C796" i="2"/>
  <c r="D796" i="2"/>
  <c r="E796" i="2"/>
  <c r="F796" i="2"/>
  <c r="G796" i="2"/>
  <c r="H796" i="2"/>
  <c r="I796" i="2"/>
  <c r="J796" i="2"/>
  <c r="K796" i="2"/>
  <c r="B797" i="2"/>
  <c r="C797" i="2"/>
  <c r="D797" i="2"/>
  <c r="E797" i="2"/>
  <c r="F797" i="2"/>
  <c r="G797" i="2"/>
  <c r="H797" i="2"/>
  <c r="I797" i="2"/>
  <c r="J797" i="2"/>
  <c r="K797" i="2"/>
  <c r="B798" i="2"/>
  <c r="C798" i="2"/>
  <c r="D798" i="2"/>
  <c r="E798" i="2"/>
  <c r="F798" i="2"/>
  <c r="G798" i="2"/>
  <c r="H798" i="2"/>
  <c r="I798" i="2"/>
  <c r="J798" i="2"/>
  <c r="K798" i="2"/>
  <c r="B799" i="2"/>
  <c r="C799" i="2"/>
  <c r="D799" i="2"/>
  <c r="E799" i="2"/>
  <c r="F799" i="2"/>
  <c r="G799" i="2"/>
  <c r="H799" i="2"/>
  <c r="I799" i="2"/>
  <c r="J799" i="2"/>
  <c r="K799" i="2"/>
  <c r="B800" i="2"/>
  <c r="C800" i="2"/>
  <c r="D800" i="2"/>
  <c r="E800" i="2"/>
  <c r="F800" i="2"/>
  <c r="G800" i="2"/>
  <c r="H800" i="2"/>
  <c r="I800" i="2"/>
  <c r="J800" i="2"/>
  <c r="K800" i="2"/>
  <c r="B801" i="2"/>
  <c r="C801" i="2"/>
  <c r="D801" i="2"/>
  <c r="E801" i="2"/>
  <c r="F801" i="2"/>
  <c r="G801" i="2"/>
  <c r="H801" i="2"/>
  <c r="I801" i="2"/>
  <c r="J801" i="2"/>
  <c r="K801" i="2"/>
  <c r="B802" i="2"/>
  <c r="C802" i="2"/>
  <c r="D802" i="2"/>
  <c r="E802" i="2"/>
  <c r="F802" i="2"/>
  <c r="G802" i="2"/>
  <c r="H802" i="2"/>
  <c r="I802" i="2"/>
  <c r="J802" i="2"/>
  <c r="K802" i="2"/>
  <c r="B803" i="2"/>
  <c r="C803" i="2"/>
  <c r="D803" i="2"/>
  <c r="E803" i="2"/>
  <c r="F803" i="2"/>
  <c r="G803" i="2"/>
  <c r="H803" i="2"/>
  <c r="I803" i="2"/>
  <c r="J803" i="2"/>
  <c r="K803" i="2"/>
  <c r="B804" i="2"/>
  <c r="C804" i="2"/>
  <c r="D804" i="2"/>
  <c r="E804" i="2"/>
  <c r="F804" i="2"/>
  <c r="G804" i="2"/>
  <c r="H804" i="2"/>
  <c r="I804" i="2"/>
  <c r="J804" i="2"/>
  <c r="K804" i="2"/>
  <c r="B805" i="2"/>
  <c r="C805" i="2"/>
  <c r="D805" i="2"/>
  <c r="E805" i="2"/>
  <c r="F805" i="2"/>
  <c r="G805" i="2"/>
  <c r="H805" i="2"/>
  <c r="I805" i="2"/>
  <c r="J805" i="2"/>
  <c r="K805" i="2"/>
  <c r="B806" i="2"/>
  <c r="C806" i="2"/>
  <c r="D806" i="2"/>
  <c r="E806" i="2"/>
  <c r="F806" i="2"/>
  <c r="G806" i="2"/>
  <c r="H806" i="2"/>
  <c r="I806" i="2"/>
  <c r="J806" i="2"/>
  <c r="K806" i="2"/>
  <c r="B807" i="2"/>
  <c r="C807" i="2"/>
  <c r="D807" i="2"/>
  <c r="E807" i="2"/>
  <c r="F807" i="2"/>
  <c r="G807" i="2"/>
  <c r="H807" i="2"/>
  <c r="I807" i="2"/>
  <c r="J807" i="2"/>
  <c r="K807" i="2"/>
  <c r="B808" i="2"/>
  <c r="C808" i="2"/>
  <c r="D808" i="2"/>
  <c r="E808" i="2"/>
  <c r="F808" i="2"/>
  <c r="G808" i="2"/>
  <c r="H808" i="2"/>
  <c r="I808" i="2"/>
  <c r="J808" i="2"/>
  <c r="K808" i="2"/>
  <c r="B809" i="2"/>
  <c r="C809" i="2"/>
  <c r="D809" i="2"/>
  <c r="E809" i="2"/>
  <c r="F809" i="2"/>
  <c r="G809" i="2"/>
  <c r="H809" i="2"/>
  <c r="I809" i="2"/>
  <c r="J809" i="2"/>
  <c r="K809" i="2"/>
  <c r="B810" i="2"/>
  <c r="C810" i="2"/>
  <c r="D810" i="2"/>
  <c r="E810" i="2"/>
  <c r="F810" i="2"/>
  <c r="G810" i="2"/>
  <c r="H810" i="2"/>
  <c r="I810" i="2"/>
  <c r="J810" i="2"/>
  <c r="K810" i="2"/>
  <c r="B811" i="2"/>
  <c r="C811" i="2"/>
  <c r="D811" i="2"/>
  <c r="E811" i="2"/>
  <c r="F811" i="2"/>
  <c r="G811" i="2"/>
  <c r="H811" i="2"/>
  <c r="I811" i="2"/>
  <c r="J811" i="2"/>
  <c r="K811" i="2"/>
  <c r="B812" i="2"/>
  <c r="C812" i="2"/>
  <c r="D812" i="2"/>
  <c r="E812" i="2"/>
  <c r="F812" i="2"/>
  <c r="G812" i="2"/>
  <c r="H812" i="2"/>
  <c r="I812" i="2"/>
  <c r="J812" i="2"/>
  <c r="K812" i="2"/>
  <c r="B813" i="2"/>
  <c r="C813" i="2"/>
  <c r="D813" i="2"/>
  <c r="E813" i="2"/>
  <c r="F813" i="2"/>
  <c r="G813" i="2"/>
  <c r="H813" i="2"/>
  <c r="I813" i="2"/>
  <c r="J813" i="2"/>
  <c r="K813" i="2"/>
  <c r="B814" i="2"/>
  <c r="C814" i="2"/>
  <c r="D814" i="2"/>
  <c r="E814" i="2"/>
  <c r="F814" i="2"/>
  <c r="G814" i="2"/>
  <c r="H814" i="2"/>
  <c r="I814" i="2"/>
  <c r="J814" i="2"/>
  <c r="K814" i="2"/>
  <c r="B815" i="2"/>
  <c r="C815" i="2"/>
  <c r="D815" i="2"/>
  <c r="E815" i="2"/>
  <c r="F815" i="2"/>
  <c r="G815" i="2"/>
  <c r="H815" i="2"/>
  <c r="I815" i="2"/>
  <c r="J815" i="2"/>
  <c r="K815" i="2"/>
  <c r="B816" i="2"/>
  <c r="C816" i="2"/>
  <c r="D816" i="2"/>
  <c r="E816" i="2"/>
  <c r="F816" i="2"/>
  <c r="G816" i="2"/>
  <c r="H816" i="2"/>
  <c r="I816" i="2"/>
  <c r="J816" i="2"/>
  <c r="K816" i="2"/>
  <c r="B817" i="2"/>
  <c r="C817" i="2"/>
  <c r="D817" i="2"/>
  <c r="E817" i="2"/>
  <c r="F817" i="2"/>
  <c r="G817" i="2"/>
  <c r="H817" i="2"/>
  <c r="I817" i="2"/>
  <c r="J817" i="2"/>
  <c r="K817" i="2"/>
  <c r="B818" i="2"/>
  <c r="C818" i="2"/>
  <c r="D818" i="2"/>
  <c r="E818" i="2"/>
  <c r="F818" i="2"/>
  <c r="G818" i="2"/>
  <c r="H818" i="2"/>
  <c r="I818" i="2"/>
  <c r="J818" i="2"/>
  <c r="K818" i="2"/>
  <c r="B819" i="2"/>
  <c r="C819" i="2"/>
  <c r="D819" i="2"/>
  <c r="E819" i="2"/>
  <c r="F819" i="2"/>
  <c r="G819" i="2"/>
  <c r="H819" i="2"/>
  <c r="I819" i="2"/>
  <c r="J819" i="2"/>
  <c r="K819" i="2"/>
  <c r="B820" i="2"/>
  <c r="C820" i="2"/>
  <c r="D820" i="2"/>
  <c r="E820" i="2"/>
  <c r="F820" i="2"/>
  <c r="G820" i="2"/>
  <c r="H820" i="2"/>
  <c r="I820" i="2"/>
  <c r="J820" i="2"/>
  <c r="K820" i="2"/>
  <c r="B821" i="2"/>
  <c r="C821" i="2"/>
  <c r="D821" i="2"/>
  <c r="E821" i="2"/>
  <c r="F821" i="2"/>
  <c r="G821" i="2"/>
  <c r="H821" i="2"/>
  <c r="I821" i="2"/>
  <c r="J821" i="2"/>
  <c r="K821" i="2"/>
  <c r="B822" i="2"/>
  <c r="C822" i="2"/>
  <c r="D822" i="2"/>
  <c r="E822" i="2"/>
  <c r="F822" i="2"/>
  <c r="G822" i="2"/>
  <c r="H822" i="2"/>
  <c r="I822" i="2"/>
  <c r="J822" i="2"/>
  <c r="K822" i="2"/>
  <c r="B823" i="2"/>
  <c r="C823" i="2"/>
  <c r="D823" i="2"/>
  <c r="E823" i="2"/>
  <c r="F823" i="2"/>
  <c r="G823" i="2"/>
  <c r="H823" i="2"/>
  <c r="I823" i="2"/>
  <c r="J823" i="2"/>
  <c r="K823" i="2"/>
  <c r="B824" i="2"/>
  <c r="C824" i="2"/>
  <c r="D824" i="2"/>
  <c r="E824" i="2"/>
  <c r="F824" i="2"/>
  <c r="G824" i="2"/>
  <c r="H824" i="2"/>
  <c r="I824" i="2"/>
  <c r="J824" i="2"/>
  <c r="K824" i="2"/>
  <c r="B825" i="2"/>
  <c r="C825" i="2"/>
  <c r="D825" i="2"/>
  <c r="E825" i="2"/>
  <c r="F825" i="2"/>
  <c r="G825" i="2"/>
  <c r="H825" i="2"/>
  <c r="I825" i="2"/>
  <c r="J825" i="2"/>
  <c r="K825" i="2"/>
  <c r="B826" i="2"/>
  <c r="C826" i="2"/>
  <c r="D826" i="2"/>
  <c r="E826" i="2"/>
  <c r="F826" i="2"/>
  <c r="G826" i="2"/>
  <c r="H826" i="2"/>
  <c r="I826" i="2"/>
  <c r="J826" i="2"/>
  <c r="K826" i="2"/>
  <c r="B827" i="2"/>
  <c r="C827" i="2"/>
  <c r="D827" i="2"/>
  <c r="E827" i="2"/>
  <c r="F827" i="2"/>
  <c r="G827" i="2"/>
  <c r="H827" i="2"/>
  <c r="I827" i="2"/>
  <c r="J827" i="2"/>
  <c r="K827" i="2"/>
  <c r="B828" i="2"/>
  <c r="C828" i="2"/>
  <c r="D828" i="2"/>
  <c r="E828" i="2"/>
  <c r="F828" i="2"/>
  <c r="G828" i="2"/>
  <c r="H828" i="2"/>
  <c r="I828" i="2"/>
  <c r="J828" i="2"/>
  <c r="K828" i="2"/>
  <c r="B829" i="2"/>
  <c r="C829" i="2"/>
  <c r="D829" i="2"/>
  <c r="E829" i="2"/>
  <c r="F829" i="2"/>
  <c r="G829" i="2"/>
  <c r="H829" i="2"/>
  <c r="I829" i="2"/>
  <c r="J829" i="2"/>
  <c r="K829" i="2"/>
  <c r="B830" i="2"/>
  <c r="C830" i="2"/>
  <c r="D830" i="2"/>
  <c r="E830" i="2"/>
  <c r="F830" i="2"/>
  <c r="G830" i="2"/>
  <c r="H830" i="2"/>
  <c r="I830" i="2"/>
  <c r="J830" i="2"/>
  <c r="K830" i="2"/>
  <c r="B831" i="2"/>
  <c r="C831" i="2"/>
  <c r="D831" i="2"/>
  <c r="E831" i="2"/>
  <c r="F831" i="2"/>
  <c r="G831" i="2"/>
  <c r="H831" i="2"/>
  <c r="I831" i="2"/>
  <c r="J831" i="2"/>
  <c r="K831" i="2"/>
  <c r="B832" i="2"/>
  <c r="C832" i="2"/>
  <c r="D832" i="2"/>
  <c r="E832" i="2"/>
  <c r="F832" i="2"/>
  <c r="G832" i="2"/>
  <c r="H832" i="2"/>
  <c r="I832" i="2"/>
  <c r="J832" i="2"/>
  <c r="K832" i="2"/>
  <c r="B833" i="2"/>
  <c r="C833" i="2"/>
  <c r="D833" i="2"/>
  <c r="E833" i="2"/>
  <c r="F833" i="2"/>
  <c r="G833" i="2"/>
  <c r="H833" i="2"/>
  <c r="I833" i="2"/>
  <c r="J833" i="2"/>
  <c r="K833" i="2"/>
  <c r="B834" i="2"/>
  <c r="C834" i="2"/>
  <c r="D834" i="2"/>
  <c r="E834" i="2"/>
  <c r="F834" i="2"/>
  <c r="G834" i="2"/>
  <c r="H834" i="2"/>
  <c r="I834" i="2"/>
  <c r="J834" i="2"/>
  <c r="K834" i="2"/>
  <c r="B835" i="2"/>
  <c r="C835" i="2"/>
  <c r="D835" i="2"/>
  <c r="E835" i="2"/>
  <c r="F835" i="2"/>
  <c r="G835" i="2"/>
  <c r="H835" i="2"/>
  <c r="I835" i="2"/>
  <c r="J835" i="2"/>
  <c r="K835" i="2"/>
  <c r="B836" i="2"/>
  <c r="C836" i="2"/>
  <c r="D836" i="2"/>
  <c r="E836" i="2"/>
  <c r="F836" i="2"/>
  <c r="G836" i="2"/>
  <c r="H836" i="2"/>
  <c r="I836" i="2"/>
  <c r="J836" i="2"/>
  <c r="K836" i="2"/>
  <c r="B837" i="2"/>
  <c r="C837" i="2"/>
  <c r="D837" i="2"/>
  <c r="E837" i="2"/>
  <c r="F837" i="2"/>
  <c r="G837" i="2"/>
  <c r="H837" i="2"/>
  <c r="I837" i="2"/>
  <c r="J837" i="2"/>
  <c r="K837" i="2"/>
  <c r="B838" i="2"/>
  <c r="C838" i="2"/>
  <c r="D838" i="2"/>
  <c r="E838" i="2"/>
  <c r="F838" i="2"/>
  <c r="G838" i="2"/>
  <c r="H838" i="2"/>
  <c r="I838" i="2"/>
  <c r="J838" i="2"/>
  <c r="K838" i="2"/>
  <c r="B839" i="2"/>
  <c r="C839" i="2"/>
  <c r="D839" i="2"/>
  <c r="E839" i="2"/>
  <c r="F839" i="2"/>
  <c r="G839" i="2"/>
  <c r="H839" i="2"/>
  <c r="I839" i="2"/>
  <c r="J839" i="2"/>
  <c r="K839" i="2"/>
  <c r="B840" i="2"/>
  <c r="C840" i="2"/>
  <c r="D840" i="2"/>
  <c r="E840" i="2"/>
  <c r="F840" i="2"/>
  <c r="G840" i="2"/>
  <c r="H840" i="2"/>
  <c r="I840" i="2"/>
  <c r="J840" i="2"/>
  <c r="K840" i="2"/>
  <c r="B841" i="2"/>
  <c r="C841" i="2"/>
  <c r="D841" i="2"/>
  <c r="E841" i="2"/>
  <c r="F841" i="2"/>
  <c r="G841" i="2"/>
  <c r="H841" i="2"/>
  <c r="I841" i="2"/>
  <c r="J841" i="2"/>
  <c r="K841" i="2"/>
  <c r="B842" i="2"/>
  <c r="C842" i="2"/>
  <c r="D842" i="2"/>
  <c r="E842" i="2"/>
  <c r="F842" i="2"/>
  <c r="G842" i="2"/>
  <c r="H842" i="2"/>
  <c r="I842" i="2"/>
  <c r="J842" i="2"/>
  <c r="K842" i="2"/>
  <c r="B843" i="2"/>
  <c r="C843" i="2"/>
  <c r="D843" i="2"/>
  <c r="E843" i="2"/>
  <c r="F843" i="2"/>
  <c r="G843" i="2"/>
  <c r="H843" i="2"/>
  <c r="I843" i="2"/>
  <c r="J843" i="2"/>
  <c r="K843" i="2"/>
  <c r="B844" i="2"/>
  <c r="C844" i="2"/>
  <c r="D844" i="2"/>
  <c r="E844" i="2"/>
  <c r="F844" i="2"/>
  <c r="G844" i="2"/>
  <c r="H844" i="2"/>
  <c r="I844" i="2"/>
  <c r="J844" i="2"/>
  <c r="K844" i="2"/>
  <c r="B845" i="2"/>
  <c r="C845" i="2"/>
  <c r="D845" i="2"/>
  <c r="E845" i="2"/>
  <c r="F845" i="2"/>
  <c r="G845" i="2"/>
  <c r="H845" i="2"/>
  <c r="I845" i="2"/>
  <c r="J845" i="2"/>
  <c r="K845" i="2"/>
  <c r="B846" i="2"/>
  <c r="C846" i="2"/>
  <c r="D846" i="2"/>
  <c r="E846" i="2"/>
  <c r="F846" i="2"/>
  <c r="G846" i="2"/>
  <c r="H846" i="2"/>
  <c r="I846" i="2"/>
  <c r="J846" i="2"/>
  <c r="K846" i="2"/>
  <c r="B847" i="2"/>
  <c r="C847" i="2"/>
  <c r="D847" i="2"/>
  <c r="E847" i="2"/>
  <c r="F847" i="2"/>
  <c r="G847" i="2"/>
  <c r="H847" i="2"/>
  <c r="I847" i="2"/>
  <c r="J847" i="2"/>
  <c r="K847" i="2"/>
  <c r="B848" i="2"/>
  <c r="C848" i="2"/>
  <c r="D848" i="2"/>
  <c r="E848" i="2"/>
  <c r="F848" i="2"/>
  <c r="G848" i="2"/>
  <c r="H848" i="2"/>
  <c r="I848" i="2"/>
  <c r="J848" i="2"/>
  <c r="K848" i="2"/>
  <c r="B849" i="2"/>
  <c r="C849" i="2"/>
  <c r="D849" i="2"/>
  <c r="E849" i="2"/>
  <c r="F849" i="2"/>
  <c r="G849" i="2"/>
  <c r="H849" i="2"/>
  <c r="I849" i="2"/>
  <c r="J849" i="2"/>
  <c r="K849" i="2"/>
  <c r="B850" i="2"/>
  <c r="C850" i="2"/>
  <c r="D850" i="2"/>
  <c r="E850" i="2"/>
  <c r="F850" i="2"/>
  <c r="G850" i="2"/>
  <c r="H850" i="2"/>
  <c r="I850" i="2"/>
  <c r="J850" i="2"/>
  <c r="K850" i="2"/>
  <c r="B851" i="2"/>
  <c r="C851" i="2"/>
  <c r="D851" i="2"/>
  <c r="E851" i="2"/>
  <c r="F851" i="2"/>
  <c r="G851" i="2"/>
  <c r="H851" i="2"/>
  <c r="I851" i="2"/>
  <c r="J851" i="2"/>
  <c r="K851" i="2"/>
  <c r="B852" i="2"/>
  <c r="C852" i="2"/>
  <c r="D852" i="2"/>
  <c r="E852" i="2"/>
  <c r="F852" i="2"/>
  <c r="G852" i="2"/>
  <c r="H852" i="2"/>
  <c r="I852" i="2"/>
  <c r="J852" i="2"/>
  <c r="K852" i="2"/>
  <c r="B853" i="2"/>
  <c r="C853" i="2"/>
  <c r="D853" i="2"/>
  <c r="E853" i="2"/>
  <c r="F853" i="2"/>
  <c r="G853" i="2"/>
  <c r="H853" i="2"/>
  <c r="I853" i="2"/>
  <c r="J853" i="2"/>
  <c r="K853" i="2"/>
  <c r="B854" i="2"/>
  <c r="C854" i="2"/>
  <c r="D854" i="2"/>
  <c r="E854" i="2"/>
  <c r="F854" i="2"/>
  <c r="G854" i="2"/>
  <c r="H854" i="2"/>
  <c r="I854" i="2"/>
  <c r="J854" i="2"/>
  <c r="K854" i="2"/>
  <c r="B855" i="2"/>
  <c r="C855" i="2"/>
  <c r="D855" i="2"/>
  <c r="E855" i="2"/>
  <c r="F855" i="2"/>
  <c r="G855" i="2"/>
  <c r="H855" i="2"/>
  <c r="I855" i="2"/>
  <c r="J855" i="2"/>
  <c r="K855" i="2"/>
  <c r="B856" i="2"/>
  <c r="C856" i="2"/>
  <c r="D856" i="2"/>
  <c r="E856" i="2"/>
  <c r="F856" i="2"/>
  <c r="G856" i="2"/>
  <c r="H856" i="2"/>
  <c r="I856" i="2"/>
  <c r="J856" i="2"/>
  <c r="K856" i="2"/>
  <c r="B857" i="2"/>
  <c r="C857" i="2"/>
  <c r="D857" i="2"/>
  <c r="E857" i="2"/>
  <c r="F857" i="2"/>
  <c r="G857" i="2"/>
  <c r="H857" i="2"/>
  <c r="I857" i="2"/>
  <c r="J857" i="2"/>
  <c r="K857" i="2"/>
  <c r="B858" i="2"/>
  <c r="C858" i="2"/>
  <c r="D858" i="2"/>
  <c r="E858" i="2"/>
  <c r="F858" i="2"/>
  <c r="G858" i="2"/>
  <c r="H858" i="2"/>
  <c r="I858" i="2"/>
  <c r="J858" i="2"/>
  <c r="K858" i="2"/>
  <c r="B859" i="2"/>
  <c r="C859" i="2"/>
  <c r="D859" i="2"/>
  <c r="E859" i="2"/>
  <c r="F859" i="2"/>
  <c r="G859" i="2"/>
  <c r="H859" i="2"/>
  <c r="I859" i="2"/>
  <c r="J859" i="2"/>
  <c r="K859" i="2"/>
  <c r="B860" i="2"/>
  <c r="C860" i="2"/>
  <c r="D860" i="2"/>
  <c r="E860" i="2"/>
  <c r="F860" i="2"/>
  <c r="G860" i="2"/>
  <c r="H860" i="2"/>
  <c r="I860" i="2"/>
  <c r="J860" i="2"/>
  <c r="K860" i="2"/>
  <c r="B861" i="2"/>
  <c r="C861" i="2"/>
  <c r="D861" i="2"/>
  <c r="E861" i="2"/>
  <c r="F861" i="2"/>
  <c r="G861" i="2"/>
  <c r="H861" i="2"/>
  <c r="I861" i="2"/>
  <c r="J861" i="2"/>
  <c r="K861" i="2"/>
  <c r="B862" i="2"/>
  <c r="C862" i="2"/>
  <c r="D862" i="2"/>
  <c r="E862" i="2"/>
  <c r="F862" i="2"/>
  <c r="G862" i="2"/>
  <c r="H862" i="2"/>
  <c r="I862" i="2"/>
  <c r="J862" i="2"/>
  <c r="K862" i="2"/>
  <c r="B863" i="2"/>
  <c r="C863" i="2"/>
  <c r="D863" i="2"/>
  <c r="E863" i="2"/>
  <c r="F863" i="2"/>
  <c r="G863" i="2"/>
  <c r="H863" i="2"/>
  <c r="I863" i="2"/>
  <c r="J863" i="2"/>
  <c r="K863" i="2"/>
  <c r="B864" i="2"/>
  <c r="C864" i="2"/>
  <c r="D864" i="2"/>
  <c r="E864" i="2"/>
  <c r="F864" i="2"/>
  <c r="G864" i="2"/>
  <c r="H864" i="2"/>
  <c r="I864" i="2"/>
  <c r="J864" i="2"/>
  <c r="K864" i="2"/>
  <c r="B865" i="2"/>
  <c r="C865" i="2"/>
  <c r="D865" i="2"/>
  <c r="E865" i="2"/>
  <c r="F865" i="2"/>
  <c r="G865" i="2"/>
  <c r="H865" i="2"/>
  <c r="I865" i="2"/>
  <c r="J865" i="2"/>
  <c r="K865" i="2"/>
  <c r="B866" i="2"/>
  <c r="C866" i="2"/>
  <c r="D866" i="2"/>
  <c r="E866" i="2"/>
  <c r="F866" i="2"/>
  <c r="G866" i="2"/>
  <c r="H866" i="2"/>
  <c r="I866" i="2"/>
  <c r="J866" i="2"/>
  <c r="K866" i="2"/>
  <c r="B867" i="2"/>
  <c r="C867" i="2"/>
  <c r="D867" i="2"/>
  <c r="E867" i="2"/>
  <c r="F867" i="2"/>
  <c r="G867" i="2"/>
  <c r="H867" i="2"/>
  <c r="I867" i="2"/>
  <c r="J867" i="2"/>
  <c r="K867" i="2"/>
  <c r="B868" i="2"/>
  <c r="C868" i="2"/>
  <c r="D868" i="2"/>
  <c r="E868" i="2"/>
  <c r="F868" i="2"/>
  <c r="G868" i="2"/>
  <c r="H868" i="2"/>
  <c r="I868" i="2"/>
  <c r="J868" i="2"/>
  <c r="K868" i="2"/>
  <c r="B869" i="2"/>
  <c r="C869" i="2"/>
  <c r="D869" i="2"/>
  <c r="E869" i="2"/>
  <c r="F869" i="2"/>
  <c r="G869" i="2"/>
  <c r="H869" i="2"/>
  <c r="I869" i="2"/>
  <c r="J869" i="2"/>
  <c r="K869" i="2"/>
  <c r="B870" i="2"/>
  <c r="C870" i="2"/>
  <c r="D870" i="2"/>
  <c r="E870" i="2"/>
  <c r="F870" i="2"/>
  <c r="G870" i="2"/>
  <c r="H870" i="2"/>
  <c r="I870" i="2"/>
  <c r="J870" i="2"/>
  <c r="K870" i="2"/>
  <c r="B871" i="2"/>
  <c r="C871" i="2"/>
  <c r="D871" i="2"/>
  <c r="E871" i="2"/>
  <c r="F871" i="2"/>
  <c r="G871" i="2"/>
  <c r="H871" i="2"/>
  <c r="I871" i="2"/>
  <c r="J871" i="2"/>
  <c r="K871" i="2"/>
  <c r="B872" i="2"/>
  <c r="C872" i="2"/>
  <c r="D872" i="2"/>
  <c r="E872" i="2"/>
  <c r="F872" i="2"/>
  <c r="G872" i="2"/>
  <c r="H872" i="2"/>
  <c r="I872" i="2"/>
  <c r="J872" i="2"/>
  <c r="K872" i="2"/>
  <c r="B873" i="2"/>
  <c r="C873" i="2"/>
  <c r="D873" i="2"/>
  <c r="E873" i="2"/>
  <c r="F873" i="2"/>
  <c r="G873" i="2"/>
  <c r="H873" i="2"/>
  <c r="I873" i="2"/>
  <c r="J873" i="2"/>
  <c r="K873" i="2"/>
  <c r="B874" i="2"/>
  <c r="C874" i="2"/>
  <c r="D874" i="2"/>
  <c r="E874" i="2"/>
  <c r="F874" i="2"/>
  <c r="G874" i="2"/>
  <c r="H874" i="2"/>
  <c r="I874" i="2"/>
  <c r="J874" i="2"/>
  <c r="K874" i="2"/>
  <c r="B875" i="2"/>
  <c r="C875" i="2"/>
  <c r="D875" i="2"/>
  <c r="E875" i="2"/>
  <c r="F875" i="2"/>
  <c r="G875" i="2"/>
  <c r="H875" i="2"/>
  <c r="I875" i="2"/>
  <c r="J875" i="2"/>
  <c r="K875" i="2"/>
  <c r="B876" i="2"/>
  <c r="C876" i="2"/>
  <c r="D876" i="2"/>
  <c r="E876" i="2"/>
  <c r="F876" i="2"/>
  <c r="G876" i="2"/>
  <c r="H876" i="2"/>
  <c r="I876" i="2"/>
  <c r="J876" i="2"/>
  <c r="K876" i="2"/>
  <c r="B877" i="2"/>
  <c r="C877" i="2"/>
  <c r="D877" i="2"/>
  <c r="E877" i="2"/>
  <c r="F877" i="2"/>
  <c r="G877" i="2"/>
  <c r="H877" i="2"/>
  <c r="I877" i="2"/>
  <c r="J877" i="2"/>
  <c r="K877" i="2"/>
  <c r="B878" i="2"/>
  <c r="C878" i="2"/>
  <c r="D878" i="2"/>
  <c r="E878" i="2"/>
  <c r="F878" i="2"/>
  <c r="G878" i="2"/>
  <c r="H878" i="2"/>
  <c r="I878" i="2"/>
  <c r="J878" i="2"/>
  <c r="K878" i="2"/>
  <c r="B879" i="2"/>
  <c r="C879" i="2"/>
  <c r="D879" i="2"/>
  <c r="E879" i="2"/>
  <c r="F879" i="2"/>
  <c r="G879" i="2"/>
  <c r="H879" i="2"/>
  <c r="I879" i="2"/>
  <c r="J879" i="2"/>
  <c r="K879" i="2"/>
  <c r="B880" i="2"/>
  <c r="C880" i="2"/>
  <c r="D880" i="2"/>
  <c r="E880" i="2"/>
  <c r="F880" i="2"/>
  <c r="G880" i="2"/>
  <c r="H880" i="2"/>
  <c r="I880" i="2"/>
  <c r="J880" i="2"/>
  <c r="K880" i="2"/>
  <c r="B881" i="2"/>
  <c r="C881" i="2"/>
  <c r="D881" i="2"/>
  <c r="E881" i="2"/>
  <c r="F881" i="2"/>
  <c r="G881" i="2"/>
  <c r="H881" i="2"/>
  <c r="I881" i="2"/>
  <c r="J881" i="2"/>
  <c r="K881" i="2"/>
  <c r="B882" i="2"/>
  <c r="C882" i="2"/>
  <c r="D882" i="2"/>
  <c r="E882" i="2"/>
  <c r="F882" i="2"/>
  <c r="G882" i="2"/>
  <c r="H882" i="2"/>
  <c r="I882" i="2"/>
  <c r="J882" i="2"/>
  <c r="K882" i="2"/>
  <c r="B883" i="2"/>
  <c r="C883" i="2"/>
  <c r="D883" i="2"/>
  <c r="E883" i="2"/>
  <c r="F883" i="2"/>
  <c r="G883" i="2"/>
  <c r="H883" i="2"/>
  <c r="I883" i="2"/>
  <c r="J883" i="2"/>
  <c r="K883" i="2"/>
  <c r="B884" i="2"/>
  <c r="C884" i="2"/>
  <c r="D884" i="2"/>
  <c r="E884" i="2"/>
  <c r="F884" i="2"/>
  <c r="G884" i="2"/>
  <c r="H884" i="2"/>
  <c r="I884" i="2"/>
  <c r="J884" i="2"/>
  <c r="K884" i="2"/>
  <c r="B885" i="2"/>
  <c r="C885" i="2"/>
  <c r="D885" i="2"/>
  <c r="E885" i="2"/>
  <c r="F885" i="2"/>
  <c r="G885" i="2"/>
  <c r="H885" i="2"/>
  <c r="I885" i="2"/>
  <c r="J885" i="2"/>
  <c r="K885" i="2"/>
  <c r="B886" i="2"/>
  <c r="C886" i="2"/>
  <c r="D886" i="2"/>
  <c r="E886" i="2"/>
  <c r="F886" i="2"/>
  <c r="G886" i="2"/>
  <c r="H886" i="2"/>
  <c r="I886" i="2"/>
  <c r="J886" i="2"/>
  <c r="K886" i="2"/>
  <c r="B887" i="2"/>
  <c r="C887" i="2"/>
  <c r="D887" i="2"/>
  <c r="E887" i="2"/>
  <c r="F887" i="2"/>
  <c r="G887" i="2"/>
  <c r="H887" i="2"/>
  <c r="I887" i="2"/>
  <c r="J887" i="2"/>
  <c r="K887" i="2"/>
  <c r="B888" i="2"/>
  <c r="C888" i="2"/>
  <c r="D888" i="2"/>
  <c r="E888" i="2"/>
  <c r="F888" i="2"/>
  <c r="G888" i="2"/>
  <c r="H888" i="2"/>
  <c r="I888" i="2"/>
  <c r="J888" i="2"/>
  <c r="K888" i="2"/>
  <c r="B889" i="2"/>
  <c r="C889" i="2"/>
  <c r="D889" i="2"/>
  <c r="E889" i="2"/>
  <c r="F889" i="2"/>
  <c r="G889" i="2"/>
  <c r="H889" i="2"/>
  <c r="I889" i="2"/>
  <c r="J889" i="2"/>
  <c r="K889" i="2"/>
  <c r="B890" i="2"/>
  <c r="C890" i="2"/>
  <c r="D890" i="2"/>
  <c r="E890" i="2"/>
  <c r="F890" i="2"/>
  <c r="G890" i="2"/>
  <c r="H890" i="2"/>
  <c r="I890" i="2"/>
  <c r="J890" i="2"/>
  <c r="K890" i="2"/>
  <c r="B891" i="2"/>
  <c r="C891" i="2"/>
  <c r="D891" i="2"/>
  <c r="E891" i="2"/>
  <c r="F891" i="2"/>
  <c r="G891" i="2"/>
  <c r="H891" i="2"/>
  <c r="I891" i="2"/>
  <c r="J891" i="2"/>
  <c r="K891" i="2"/>
  <c r="B892" i="2"/>
  <c r="C892" i="2"/>
  <c r="D892" i="2"/>
  <c r="E892" i="2"/>
  <c r="F892" i="2"/>
  <c r="G892" i="2"/>
  <c r="H892" i="2"/>
  <c r="I892" i="2"/>
  <c r="J892" i="2"/>
  <c r="K892" i="2"/>
  <c r="B893" i="2"/>
  <c r="C893" i="2"/>
  <c r="D893" i="2"/>
  <c r="E893" i="2"/>
  <c r="F893" i="2"/>
  <c r="G893" i="2"/>
  <c r="H893" i="2"/>
  <c r="I893" i="2"/>
  <c r="J893" i="2"/>
  <c r="K893" i="2"/>
  <c r="B894" i="2"/>
  <c r="C894" i="2"/>
  <c r="D894" i="2"/>
  <c r="E894" i="2"/>
  <c r="F894" i="2"/>
  <c r="G894" i="2"/>
  <c r="H894" i="2"/>
  <c r="I894" i="2"/>
  <c r="J894" i="2"/>
  <c r="K894" i="2"/>
  <c r="B895" i="2"/>
  <c r="C895" i="2"/>
  <c r="D895" i="2"/>
  <c r="E895" i="2"/>
  <c r="F895" i="2"/>
  <c r="G895" i="2"/>
  <c r="H895" i="2"/>
  <c r="I895" i="2"/>
  <c r="J895" i="2"/>
  <c r="K895" i="2"/>
  <c r="B896" i="2"/>
  <c r="C896" i="2"/>
  <c r="D896" i="2"/>
  <c r="E896" i="2"/>
  <c r="F896" i="2"/>
  <c r="G896" i="2"/>
  <c r="H896" i="2"/>
  <c r="I896" i="2"/>
  <c r="J896" i="2"/>
  <c r="K896" i="2"/>
  <c r="B897" i="2"/>
  <c r="C897" i="2"/>
  <c r="D897" i="2"/>
  <c r="E897" i="2"/>
  <c r="F897" i="2"/>
  <c r="G897" i="2"/>
  <c r="H897" i="2"/>
  <c r="I897" i="2"/>
  <c r="J897" i="2"/>
  <c r="K897" i="2"/>
  <c r="B898" i="2"/>
  <c r="C898" i="2"/>
  <c r="D898" i="2"/>
  <c r="E898" i="2"/>
  <c r="F898" i="2"/>
  <c r="G898" i="2"/>
  <c r="H898" i="2"/>
  <c r="I898" i="2"/>
  <c r="J898" i="2"/>
  <c r="K898" i="2"/>
  <c r="B899" i="2"/>
  <c r="C899" i="2"/>
  <c r="D899" i="2"/>
  <c r="E899" i="2"/>
  <c r="F899" i="2"/>
  <c r="G899" i="2"/>
  <c r="H899" i="2"/>
  <c r="I899" i="2"/>
  <c r="J899" i="2"/>
  <c r="K899" i="2"/>
  <c r="B900" i="2"/>
  <c r="C900" i="2"/>
  <c r="D900" i="2"/>
  <c r="E900" i="2"/>
  <c r="F900" i="2"/>
  <c r="G900" i="2"/>
  <c r="H900" i="2"/>
  <c r="I900" i="2"/>
  <c r="J900" i="2"/>
  <c r="K900" i="2"/>
  <c r="B901" i="2"/>
  <c r="C901" i="2"/>
  <c r="D901" i="2"/>
  <c r="E901" i="2"/>
  <c r="F901" i="2"/>
  <c r="G901" i="2"/>
  <c r="H901" i="2"/>
  <c r="I901" i="2"/>
  <c r="J901" i="2"/>
  <c r="K901" i="2"/>
  <c r="B902" i="2"/>
  <c r="C902" i="2"/>
  <c r="D902" i="2"/>
  <c r="E902" i="2"/>
  <c r="F902" i="2"/>
  <c r="G902" i="2"/>
  <c r="H902" i="2"/>
  <c r="I902" i="2"/>
  <c r="J902" i="2"/>
  <c r="K902" i="2"/>
  <c r="B903" i="2"/>
  <c r="C903" i="2"/>
  <c r="D903" i="2"/>
  <c r="E903" i="2"/>
  <c r="F903" i="2"/>
  <c r="G903" i="2"/>
  <c r="H903" i="2"/>
  <c r="I903" i="2"/>
  <c r="J903" i="2"/>
  <c r="K903" i="2"/>
  <c r="B904" i="2"/>
  <c r="C904" i="2"/>
  <c r="D904" i="2"/>
  <c r="E904" i="2"/>
  <c r="F904" i="2"/>
  <c r="G904" i="2"/>
  <c r="H904" i="2"/>
  <c r="I904" i="2"/>
  <c r="J904" i="2"/>
  <c r="K904" i="2"/>
  <c r="B905" i="2"/>
  <c r="C905" i="2"/>
  <c r="D905" i="2"/>
  <c r="E905" i="2"/>
  <c r="F905" i="2"/>
  <c r="G905" i="2"/>
  <c r="H905" i="2"/>
  <c r="I905" i="2"/>
  <c r="J905" i="2"/>
  <c r="K905" i="2"/>
  <c r="B906" i="2"/>
  <c r="C906" i="2"/>
  <c r="D906" i="2"/>
  <c r="E906" i="2"/>
  <c r="F906" i="2"/>
  <c r="G906" i="2"/>
  <c r="H906" i="2"/>
  <c r="I906" i="2"/>
  <c r="J906" i="2"/>
  <c r="K906" i="2"/>
  <c r="B907" i="2"/>
  <c r="C907" i="2"/>
  <c r="D907" i="2"/>
  <c r="E907" i="2"/>
  <c r="F907" i="2"/>
  <c r="G907" i="2"/>
  <c r="H907" i="2"/>
  <c r="I907" i="2"/>
  <c r="J907" i="2"/>
  <c r="K907" i="2"/>
  <c r="B908" i="2"/>
  <c r="C908" i="2"/>
  <c r="D908" i="2"/>
  <c r="E908" i="2"/>
  <c r="F908" i="2"/>
  <c r="G908" i="2"/>
  <c r="H908" i="2"/>
  <c r="I908" i="2"/>
  <c r="J908" i="2"/>
  <c r="K908" i="2"/>
  <c r="B909" i="2"/>
  <c r="C909" i="2"/>
  <c r="D909" i="2"/>
  <c r="E909" i="2"/>
  <c r="F909" i="2"/>
  <c r="G909" i="2"/>
  <c r="H909" i="2"/>
  <c r="I909" i="2"/>
  <c r="J909" i="2"/>
  <c r="K909" i="2"/>
  <c r="B910" i="2"/>
  <c r="C910" i="2"/>
  <c r="D910" i="2"/>
  <c r="E910" i="2"/>
  <c r="F910" i="2"/>
  <c r="G910" i="2"/>
  <c r="H910" i="2"/>
  <c r="I910" i="2"/>
  <c r="J910" i="2"/>
  <c r="K910" i="2"/>
  <c r="B911" i="2"/>
  <c r="C911" i="2"/>
  <c r="D911" i="2"/>
  <c r="E911" i="2"/>
  <c r="F911" i="2"/>
  <c r="G911" i="2"/>
  <c r="H911" i="2"/>
  <c r="I911" i="2"/>
  <c r="J911" i="2"/>
  <c r="K911" i="2"/>
  <c r="B912" i="2"/>
  <c r="C912" i="2"/>
  <c r="D912" i="2"/>
  <c r="E912" i="2"/>
  <c r="F912" i="2"/>
  <c r="G912" i="2"/>
  <c r="H912" i="2"/>
  <c r="I912" i="2"/>
  <c r="J912" i="2"/>
  <c r="K912" i="2"/>
  <c r="B913" i="2"/>
  <c r="C913" i="2"/>
  <c r="D913" i="2"/>
  <c r="E913" i="2"/>
  <c r="F913" i="2"/>
  <c r="G913" i="2"/>
  <c r="H913" i="2"/>
  <c r="I913" i="2"/>
  <c r="J913" i="2"/>
  <c r="K913" i="2"/>
  <c r="B914" i="2"/>
  <c r="C914" i="2"/>
  <c r="D914" i="2"/>
  <c r="E914" i="2"/>
  <c r="F914" i="2"/>
  <c r="G914" i="2"/>
  <c r="H914" i="2"/>
  <c r="I914" i="2"/>
  <c r="J914" i="2"/>
  <c r="K914" i="2"/>
  <c r="B915" i="2"/>
  <c r="C915" i="2"/>
  <c r="D915" i="2"/>
  <c r="E915" i="2"/>
  <c r="F915" i="2"/>
  <c r="G915" i="2"/>
  <c r="H915" i="2"/>
  <c r="I915" i="2"/>
  <c r="J915" i="2"/>
  <c r="K915" i="2"/>
  <c r="B916" i="2"/>
  <c r="C916" i="2"/>
  <c r="D916" i="2"/>
  <c r="E916" i="2"/>
  <c r="F916" i="2"/>
  <c r="G916" i="2"/>
  <c r="H916" i="2"/>
  <c r="I916" i="2"/>
  <c r="J916" i="2"/>
  <c r="K916" i="2"/>
  <c r="B917" i="2"/>
  <c r="C917" i="2"/>
  <c r="D917" i="2"/>
  <c r="E917" i="2"/>
  <c r="F917" i="2"/>
  <c r="G917" i="2"/>
  <c r="H917" i="2"/>
  <c r="I917" i="2"/>
  <c r="J917" i="2"/>
  <c r="K917" i="2"/>
  <c r="B918" i="2"/>
  <c r="C918" i="2"/>
  <c r="D918" i="2"/>
  <c r="E918" i="2"/>
  <c r="F918" i="2"/>
  <c r="G918" i="2"/>
  <c r="H918" i="2"/>
  <c r="I918" i="2"/>
  <c r="J918" i="2"/>
  <c r="K918" i="2"/>
  <c r="B919" i="2"/>
  <c r="C919" i="2"/>
  <c r="D919" i="2"/>
  <c r="E919" i="2"/>
  <c r="F919" i="2"/>
  <c r="G919" i="2"/>
  <c r="H919" i="2"/>
  <c r="I919" i="2"/>
  <c r="J919" i="2"/>
  <c r="K919" i="2"/>
  <c r="B920" i="2"/>
  <c r="C920" i="2"/>
  <c r="D920" i="2"/>
  <c r="E920" i="2"/>
  <c r="F920" i="2"/>
  <c r="G920" i="2"/>
  <c r="H920" i="2"/>
  <c r="I920" i="2"/>
  <c r="J920" i="2"/>
  <c r="K920" i="2"/>
  <c r="B921" i="2"/>
  <c r="C921" i="2"/>
  <c r="D921" i="2"/>
  <c r="E921" i="2"/>
  <c r="F921" i="2"/>
  <c r="G921" i="2"/>
  <c r="H921" i="2"/>
  <c r="I921" i="2"/>
  <c r="J921" i="2"/>
  <c r="K921" i="2"/>
  <c r="B922" i="2"/>
  <c r="C922" i="2"/>
  <c r="D922" i="2"/>
  <c r="E922" i="2"/>
  <c r="F922" i="2"/>
  <c r="G922" i="2"/>
  <c r="H922" i="2"/>
  <c r="I922" i="2"/>
  <c r="J922" i="2"/>
  <c r="K922" i="2"/>
  <c r="B923" i="2"/>
  <c r="C923" i="2"/>
  <c r="D923" i="2"/>
  <c r="E923" i="2"/>
  <c r="F923" i="2"/>
  <c r="G923" i="2"/>
  <c r="H923" i="2"/>
  <c r="I923" i="2"/>
  <c r="J923" i="2"/>
  <c r="K923" i="2"/>
  <c r="B924" i="2"/>
  <c r="C924" i="2"/>
  <c r="D924" i="2"/>
  <c r="E924" i="2"/>
  <c r="F924" i="2"/>
  <c r="G924" i="2"/>
  <c r="H924" i="2"/>
  <c r="I924" i="2"/>
  <c r="J924" i="2"/>
  <c r="K924" i="2"/>
  <c r="B925" i="2"/>
  <c r="C925" i="2"/>
  <c r="D925" i="2"/>
  <c r="E925" i="2"/>
  <c r="F925" i="2"/>
  <c r="G925" i="2"/>
  <c r="H925" i="2"/>
  <c r="I925" i="2"/>
  <c r="J925" i="2"/>
  <c r="K925" i="2"/>
  <c r="B926" i="2"/>
  <c r="C926" i="2"/>
  <c r="D926" i="2"/>
  <c r="E926" i="2"/>
  <c r="F926" i="2"/>
  <c r="G926" i="2"/>
  <c r="H926" i="2"/>
  <c r="I926" i="2"/>
  <c r="J926" i="2"/>
  <c r="K926" i="2"/>
  <c r="B927" i="2"/>
  <c r="C927" i="2"/>
  <c r="D927" i="2"/>
  <c r="E927" i="2"/>
  <c r="F927" i="2"/>
  <c r="G927" i="2"/>
  <c r="H927" i="2"/>
  <c r="I927" i="2"/>
  <c r="J927" i="2"/>
  <c r="K927" i="2"/>
  <c r="B928" i="2"/>
  <c r="C928" i="2"/>
  <c r="D928" i="2"/>
  <c r="E928" i="2"/>
  <c r="F928" i="2"/>
  <c r="G928" i="2"/>
  <c r="H928" i="2"/>
  <c r="I928" i="2"/>
  <c r="J928" i="2"/>
  <c r="K928" i="2"/>
  <c r="B929" i="2"/>
  <c r="C929" i="2"/>
  <c r="D929" i="2"/>
  <c r="E929" i="2"/>
  <c r="F929" i="2"/>
  <c r="G929" i="2"/>
  <c r="H929" i="2"/>
  <c r="I929" i="2"/>
  <c r="J929" i="2"/>
  <c r="K929" i="2"/>
  <c r="B930" i="2"/>
  <c r="C930" i="2"/>
  <c r="D930" i="2"/>
  <c r="E930" i="2"/>
  <c r="F930" i="2"/>
  <c r="G930" i="2"/>
  <c r="H930" i="2"/>
  <c r="I930" i="2"/>
  <c r="J930" i="2"/>
  <c r="K930" i="2"/>
  <c r="B931" i="2"/>
  <c r="C931" i="2"/>
  <c r="D931" i="2"/>
  <c r="E931" i="2"/>
  <c r="F931" i="2"/>
  <c r="G931" i="2"/>
  <c r="H931" i="2"/>
  <c r="I931" i="2"/>
  <c r="J931" i="2"/>
  <c r="K931" i="2"/>
  <c r="B932" i="2"/>
  <c r="C932" i="2"/>
  <c r="D932" i="2"/>
  <c r="E932" i="2"/>
  <c r="F932" i="2"/>
  <c r="G932" i="2"/>
  <c r="H932" i="2"/>
  <c r="I932" i="2"/>
  <c r="J932" i="2"/>
  <c r="K932" i="2"/>
  <c r="B933" i="2"/>
  <c r="C933" i="2"/>
  <c r="D933" i="2"/>
  <c r="E933" i="2"/>
  <c r="F933" i="2"/>
  <c r="G933" i="2"/>
  <c r="H933" i="2"/>
  <c r="I933" i="2"/>
  <c r="J933" i="2"/>
  <c r="K933" i="2"/>
  <c r="B934" i="2"/>
  <c r="C934" i="2"/>
  <c r="D934" i="2"/>
  <c r="E934" i="2"/>
  <c r="F934" i="2"/>
  <c r="G934" i="2"/>
  <c r="H934" i="2"/>
  <c r="I934" i="2"/>
  <c r="J934" i="2"/>
  <c r="K934" i="2"/>
  <c r="B935" i="2"/>
  <c r="C935" i="2"/>
  <c r="D935" i="2"/>
  <c r="E935" i="2"/>
  <c r="F935" i="2"/>
  <c r="G935" i="2"/>
  <c r="H935" i="2"/>
  <c r="I935" i="2"/>
  <c r="J935" i="2"/>
  <c r="K935" i="2"/>
  <c r="B936" i="2"/>
  <c r="C936" i="2"/>
  <c r="D936" i="2"/>
  <c r="E936" i="2"/>
  <c r="F936" i="2"/>
  <c r="G936" i="2"/>
  <c r="H936" i="2"/>
  <c r="I936" i="2"/>
  <c r="J936" i="2"/>
  <c r="K936" i="2"/>
  <c r="B937" i="2"/>
  <c r="C937" i="2"/>
  <c r="D937" i="2"/>
  <c r="E937" i="2"/>
  <c r="F937" i="2"/>
  <c r="G937" i="2"/>
  <c r="H937" i="2"/>
  <c r="I937" i="2"/>
  <c r="J937" i="2"/>
  <c r="K937" i="2"/>
  <c r="B938" i="2"/>
  <c r="C938" i="2"/>
  <c r="D938" i="2"/>
  <c r="E938" i="2"/>
  <c r="F938" i="2"/>
  <c r="G938" i="2"/>
  <c r="H938" i="2"/>
  <c r="I938" i="2"/>
  <c r="J938" i="2"/>
  <c r="K938" i="2"/>
  <c r="B939" i="2"/>
  <c r="C939" i="2"/>
  <c r="D939" i="2"/>
  <c r="E939" i="2"/>
  <c r="F939" i="2"/>
  <c r="G939" i="2"/>
  <c r="H939" i="2"/>
  <c r="I939" i="2"/>
  <c r="J939" i="2"/>
  <c r="K939" i="2"/>
  <c r="B940" i="2"/>
  <c r="C940" i="2"/>
  <c r="D940" i="2"/>
  <c r="E940" i="2"/>
  <c r="F940" i="2"/>
  <c r="G940" i="2"/>
  <c r="H940" i="2"/>
  <c r="I940" i="2"/>
  <c r="J940" i="2"/>
  <c r="K940" i="2"/>
  <c r="B941" i="2"/>
  <c r="C941" i="2"/>
  <c r="D941" i="2"/>
  <c r="E941" i="2"/>
  <c r="F941" i="2"/>
  <c r="G941" i="2"/>
  <c r="H941" i="2"/>
  <c r="I941" i="2"/>
  <c r="J941" i="2"/>
  <c r="K941" i="2"/>
  <c r="B942" i="2"/>
  <c r="C942" i="2"/>
  <c r="D942" i="2"/>
  <c r="E942" i="2"/>
  <c r="F942" i="2"/>
  <c r="G942" i="2"/>
  <c r="H942" i="2"/>
  <c r="I942" i="2"/>
  <c r="J942" i="2"/>
  <c r="K942" i="2"/>
  <c r="B943" i="2"/>
  <c r="C943" i="2"/>
  <c r="D943" i="2"/>
  <c r="E943" i="2"/>
  <c r="F943" i="2"/>
  <c r="G943" i="2"/>
  <c r="H943" i="2"/>
  <c r="I943" i="2"/>
  <c r="J943" i="2"/>
  <c r="K943" i="2"/>
  <c r="B944" i="2"/>
  <c r="C944" i="2"/>
  <c r="D944" i="2"/>
  <c r="E944" i="2"/>
  <c r="F944" i="2"/>
  <c r="G944" i="2"/>
  <c r="H944" i="2"/>
  <c r="I944" i="2"/>
  <c r="J944" i="2"/>
  <c r="K944" i="2"/>
  <c r="B945" i="2"/>
  <c r="C945" i="2"/>
  <c r="D945" i="2"/>
  <c r="E945" i="2"/>
  <c r="F945" i="2"/>
  <c r="G945" i="2"/>
  <c r="H945" i="2"/>
  <c r="I945" i="2"/>
  <c r="J945" i="2"/>
  <c r="K945" i="2"/>
  <c r="B946" i="2"/>
  <c r="C946" i="2"/>
  <c r="D946" i="2"/>
  <c r="E946" i="2"/>
  <c r="F946" i="2"/>
  <c r="G946" i="2"/>
  <c r="H946" i="2"/>
  <c r="I946" i="2"/>
  <c r="J946" i="2"/>
  <c r="K946" i="2"/>
  <c r="B947" i="2"/>
  <c r="C947" i="2"/>
  <c r="D947" i="2"/>
  <c r="E947" i="2"/>
  <c r="F947" i="2"/>
  <c r="G947" i="2"/>
  <c r="H947" i="2"/>
  <c r="I947" i="2"/>
  <c r="J947" i="2"/>
  <c r="K947" i="2"/>
  <c r="B948" i="2"/>
  <c r="C948" i="2"/>
  <c r="D948" i="2"/>
  <c r="E948" i="2"/>
  <c r="F948" i="2"/>
  <c r="G948" i="2"/>
  <c r="H948" i="2"/>
  <c r="I948" i="2"/>
  <c r="J948" i="2"/>
  <c r="K948" i="2"/>
  <c r="B949" i="2"/>
  <c r="C949" i="2"/>
  <c r="D949" i="2"/>
  <c r="E949" i="2"/>
  <c r="F949" i="2"/>
  <c r="G949" i="2"/>
  <c r="H949" i="2"/>
  <c r="I949" i="2"/>
  <c r="J949" i="2"/>
  <c r="K949" i="2"/>
  <c r="B950" i="2"/>
  <c r="C950" i="2"/>
  <c r="D950" i="2"/>
  <c r="E950" i="2"/>
  <c r="F950" i="2"/>
  <c r="G950" i="2"/>
  <c r="H950" i="2"/>
  <c r="I950" i="2"/>
  <c r="J950" i="2"/>
  <c r="K950" i="2"/>
  <c r="B951" i="2"/>
  <c r="C951" i="2"/>
  <c r="D951" i="2"/>
  <c r="E951" i="2"/>
  <c r="F951" i="2"/>
  <c r="G951" i="2"/>
  <c r="H951" i="2"/>
  <c r="I951" i="2"/>
  <c r="J951" i="2"/>
  <c r="K951" i="2"/>
  <c r="B952" i="2"/>
  <c r="C952" i="2"/>
  <c r="D952" i="2"/>
  <c r="E952" i="2"/>
  <c r="F952" i="2"/>
  <c r="G952" i="2"/>
  <c r="H952" i="2"/>
  <c r="I952" i="2"/>
  <c r="J952" i="2"/>
  <c r="K952" i="2"/>
  <c r="B953" i="2"/>
  <c r="C953" i="2"/>
  <c r="D953" i="2"/>
  <c r="E953" i="2"/>
  <c r="F953" i="2"/>
  <c r="G953" i="2"/>
  <c r="H953" i="2"/>
  <c r="I953" i="2"/>
  <c r="J953" i="2"/>
  <c r="K953" i="2"/>
  <c r="B954" i="2"/>
  <c r="C954" i="2"/>
  <c r="D954" i="2"/>
  <c r="E954" i="2"/>
  <c r="F954" i="2"/>
  <c r="G954" i="2"/>
  <c r="H954" i="2"/>
  <c r="I954" i="2"/>
  <c r="J954" i="2"/>
  <c r="K954" i="2"/>
  <c r="B955" i="2"/>
  <c r="C955" i="2"/>
  <c r="D955" i="2"/>
  <c r="E955" i="2"/>
  <c r="F955" i="2"/>
  <c r="G955" i="2"/>
  <c r="H955" i="2"/>
  <c r="I955" i="2"/>
  <c r="J955" i="2"/>
  <c r="K955" i="2"/>
  <c r="B956" i="2"/>
  <c r="C956" i="2"/>
  <c r="D956" i="2"/>
  <c r="E956" i="2"/>
  <c r="F956" i="2"/>
  <c r="G956" i="2"/>
  <c r="H956" i="2"/>
  <c r="I956" i="2"/>
  <c r="J956" i="2"/>
  <c r="K956" i="2"/>
  <c r="B957" i="2"/>
  <c r="C957" i="2"/>
  <c r="D957" i="2"/>
  <c r="E957" i="2"/>
  <c r="F957" i="2"/>
  <c r="G957" i="2"/>
  <c r="H957" i="2"/>
  <c r="I957" i="2"/>
  <c r="J957" i="2"/>
  <c r="K957" i="2"/>
  <c r="B958" i="2"/>
  <c r="C958" i="2"/>
  <c r="D958" i="2"/>
  <c r="E958" i="2"/>
  <c r="F958" i="2"/>
  <c r="G958" i="2"/>
  <c r="H958" i="2"/>
  <c r="I958" i="2"/>
  <c r="J958" i="2"/>
  <c r="K958" i="2"/>
  <c r="B959" i="2"/>
  <c r="C959" i="2"/>
  <c r="D959" i="2"/>
  <c r="E959" i="2"/>
  <c r="F959" i="2"/>
  <c r="G959" i="2"/>
  <c r="H959" i="2"/>
  <c r="I959" i="2"/>
  <c r="J959" i="2"/>
  <c r="K959" i="2"/>
  <c r="B960" i="2"/>
  <c r="C960" i="2"/>
  <c r="D960" i="2"/>
  <c r="E960" i="2"/>
  <c r="F960" i="2"/>
  <c r="G960" i="2"/>
  <c r="H960" i="2"/>
  <c r="I960" i="2"/>
  <c r="J960" i="2"/>
  <c r="K960" i="2"/>
  <c r="B961" i="2"/>
  <c r="C961" i="2"/>
  <c r="D961" i="2"/>
  <c r="E961" i="2"/>
  <c r="F961" i="2"/>
  <c r="G961" i="2"/>
  <c r="H961" i="2"/>
  <c r="I961" i="2"/>
  <c r="J961" i="2"/>
  <c r="K961" i="2"/>
  <c r="B962" i="2"/>
  <c r="C962" i="2"/>
  <c r="D962" i="2"/>
  <c r="E962" i="2"/>
  <c r="F962" i="2"/>
  <c r="G962" i="2"/>
  <c r="H962" i="2"/>
  <c r="I962" i="2"/>
  <c r="J962" i="2"/>
  <c r="K962" i="2"/>
  <c r="B963" i="2"/>
  <c r="C963" i="2"/>
  <c r="D963" i="2"/>
  <c r="E963" i="2"/>
  <c r="F963" i="2"/>
  <c r="G963" i="2"/>
  <c r="H963" i="2"/>
  <c r="I963" i="2"/>
  <c r="J963" i="2"/>
  <c r="K963" i="2"/>
  <c r="B964" i="2"/>
  <c r="C964" i="2"/>
  <c r="D964" i="2"/>
  <c r="E964" i="2"/>
  <c r="F964" i="2"/>
  <c r="G964" i="2"/>
  <c r="H964" i="2"/>
  <c r="I964" i="2"/>
  <c r="J964" i="2"/>
  <c r="K964" i="2"/>
  <c r="B965" i="2"/>
  <c r="C965" i="2"/>
  <c r="D965" i="2"/>
  <c r="E965" i="2"/>
  <c r="F965" i="2"/>
  <c r="G965" i="2"/>
  <c r="H965" i="2"/>
  <c r="I965" i="2"/>
  <c r="J965" i="2"/>
  <c r="K965" i="2"/>
  <c r="B966" i="2"/>
  <c r="C966" i="2"/>
  <c r="D966" i="2"/>
  <c r="E966" i="2"/>
  <c r="F966" i="2"/>
  <c r="G966" i="2"/>
  <c r="H966" i="2"/>
  <c r="I966" i="2"/>
  <c r="J966" i="2"/>
  <c r="K966" i="2"/>
  <c r="B967" i="2"/>
  <c r="C967" i="2"/>
  <c r="D967" i="2"/>
  <c r="E967" i="2"/>
  <c r="F967" i="2"/>
  <c r="G967" i="2"/>
  <c r="H967" i="2"/>
  <c r="I967" i="2"/>
  <c r="J967" i="2"/>
  <c r="K967" i="2"/>
  <c r="B968" i="2"/>
  <c r="C968" i="2"/>
  <c r="D968" i="2"/>
  <c r="E968" i="2"/>
  <c r="F968" i="2"/>
  <c r="G968" i="2"/>
  <c r="H968" i="2"/>
  <c r="I968" i="2"/>
  <c r="J968" i="2"/>
  <c r="K968" i="2"/>
  <c r="B969" i="2"/>
  <c r="C969" i="2"/>
  <c r="D969" i="2"/>
  <c r="E969" i="2"/>
  <c r="F969" i="2"/>
  <c r="G969" i="2"/>
  <c r="H969" i="2"/>
  <c r="I969" i="2"/>
  <c r="J969" i="2"/>
  <c r="K969" i="2"/>
  <c r="B970" i="2"/>
  <c r="C970" i="2"/>
  <c r="D970" i="2"/>
  <c r="E970" i="2"/>
  <c r="F970" i="2"/>
  <c r="G970" i="2"/>
  <c r="H970" i="2"/>
  <c r="I970" i="2"/>
  <c r="J970" i="2"/>
  <c r="K970" i="2"/>
  <c r="B971" i="2"/>
  <c r="C971" i="2"/>
  <c r="D971" i="2"/>
  <c r="E971" i="2"/>
  <c r="F971" i="2"/>
  <c r="G971" i="2"/>
  <c r="H971" i="2"/>
  <c r="I971" i="2"/>
  <c r="J971" i="2"/>
  <c r="K971" i="2"/>
  <c r="B972" i="2"/>
  <c r="C972" i="2"/>
  <c r="D972" i="2"/>
  <c r="E972" i="2"/>
  <c r="F972" i="2"/>
  <c r="G972" i="2"/>
  <c r="H972" i="2"/>
  <c r="I972" i="2"/>
  <c r="J972" i="2"/>
  <c r="K972" i="2"/>
  <c r="B973" i="2"/>
  <c r="C973" i="2"/>
  <c r="D973" i="2"/>
  <c r="E973" i="2"/>
  <c r="F973" i="2"/>
  <c r="G973" i="2"/>
  <c r="H973" i="2"/>
  <c r="I973" i="2"/>
  <c r="J973" i="2"/>
  <c r="K973" i="2"/>
  <c r="B974" i="2"/>
  <c r="C974" i="2"/>
  <c r="D974" i="2"/>
  <c r="E974" i="2"/>
  <c r="F974" i="2"/>
  <c r="G974" i="2"/>
  <c r="H974" i="2"/>
  <c r="I974" i="2"/>
  <c r="J974" i="2"/>
  <c r="K974" i="2"/>
  <c r="B975" i="2"/>
  <c r="C975" i="2"/>
  <c r="D975" i="2"/>
  <c r="E975" i="2"/>
  <c r="F975" i="2"/>
  <c r="G975" i="2"/>
  <c r="H975" i="2"/>
  <c r="I975" i="2"/>
  <c r="J975" i="2"/>
  <c r="K975" i="2"/>
  <c r="B976" i="2"/>
  <c r="C976" i="2"/>
  <c r="D976" i="2"/>
  <c r="E976" i="2"/>
  <c r="F976" i="2"/>
  <c r="G976" i="2"/>
  <c r="H976" i="2"/>
  <c r="I976" i="2"/>
  <c r="J976" i="2"/>
  <c r="K976" i="2"/>
  <c r="B977" i="2"/>
  <c r="C977" i="2"/>
  <c r="D977" i="2"/>
  <c r="E977" i="2"/>
  <c r="F977" i="2"/>
  <c r="G977" i="2"/>
  <c r="H977" i="2"/>
  <c r="I977" i="2"/>
  <c r="J977" i="2"/>
  <c r="K977" i="2"/>
  <c r="B978" i="2"/>
  <c r="C978" i="2"/>
  <c r="D978" i="2"/>
  <c r="E978" i="2"/>
  <c r="F978" i="2"/>
  <c r="G978" i="2"/>
  <c r="H978" i="2"/>
  <c r="I978" i="2"/>
  <c r="J978" i="2"/>
  <c r="K978" i="2"/>
  <c r="B979" i="2"/>
  <c r="C979" i="2"/>
  <c r="D979" i="2"/>
  <c r="E979" i="2"/>
  <c r="F979" i="2"/>
  <c r="G979" i="2"/>
  <c r="H979" i="2"/>
  <c r="I979" i="2"/>
  <c r="J979" i="2"/>
  <c r="K979" i="2"/>
  <c r="B980" i="2"/>
  <c r="C980" i="2"/>
  <c r="D980" i="2"/>
  <c r="E980" i="2"/>
  <c r="F980" i="2"/>
  <c r="G980" i="2"/>
  <c r="H980" i="2"/>
  <c r="I980" i="2"/>
  <c r="J980" i="2"/>
  <c r="K980" i="2"/>
  <c r="B981" i="2"/>
  <c r="C981" i="2"/>
  <c r="D981" i="2"/>
  <c r="E981" i="2"/>
  <c r="F981" i="2"/>
  <c r="G981" i="2"/>
  <c r="H981" i="2"/>
  <c r="I981" i="2"/>
  <c r="J981" i="2"/>
  <c r="K981" i="2"/>
  <c r="B982" i="2"/>
  <c r="C982" i="2"/>
  <c r="D982" i="2"/>
  <c r="E982" i="2"/>
  <c r="F982" i="2"/>
  <c r="G982" i="2"/>
  <c r="H982" i="2"/>
  <c r="I982" i="2"/>
  <c r="J982" i="2"/>
  <c r="K982" i="2"/>
  <c r="B983" i="2"/>
  <c r="C983" i="2"/>
  <c r="D983" i="2"/>
  <c r="E983" i="2"/>
  <c r="F983" i="2"/>
  <c r="G983" i="2"/>
  <c r="H983" i="2"/>
  <c r="I983" i="2"/>
  <c r="J983" i="2"/>
  <c r="K983" i="2"/>
  <c r="B984" i="2"/>
  <c r="C984" i="2"/>
  <c r="D984" i="2"/>
  <c r="E984" i="2"/>
  <c r="F984" i="2"/>
  <c r="G984" i="2"/>
  <c r="H984" i="2"/>
  <c r="I984" i="2"/>
  <c r="J984" i="2"/>
  <c r="K984" i="2"/>
  <c r="B985" i="2"/>
  <c r="C985" i="2"/>
  <c r="D985" i="2"/>
  <c r="E985" i="2"/>
  <c r="F985" i="2"/>
  <c r="G985" i="2"/>
  <c r="H985" i="2"/>
  <c r="I985" i="2"/>
  <c r="J985" i="2"/>
  <c r="K985" i="2"/>
  <c r="B986" i="2"/>
  <c r="C986" i="2"/>
  <c r="D986" i="2"/>
  <c r="E986" i="2"/>
  <c r="F986" i="2"/>
  <c r="G986" i="2"/>
  <c r="H986" i="2"/>
  <c r="I986" i="2"/>
  <c r="J986" i="2"/>
  <c r="K986" i="2"/>
  <c r="B987" i="2"/>
  <c r="C987" i="2"/>
  <c r="D987" i="2"/>
  <c r="E987" i="2"/>
  <c r="F987" i="2"/>
  <c r="G987" i="2"/>
  <c r="H987" i="2"/>
  <c r="I987" i="2"/>
  <c r="J987" i="2"/>
  <c r="K987" i="2"/>
  <c r="B988" i="2"/>
  <c r="C988" i="2"/>
  <c r="D988" i="2"/>
  <c r="E988" i="2"/>
  <c r="F988" i="2"/>
  <c r="G988" i="2"/>
  <c r="H988" i="2"/>
  <c r="I988" i="2"/>
  <c r="J988" i="2"/>
  <c r="K988" i="2"/>
  <c r="B989" i="2"/>
  <c r="C989" i="2"/>
  <c r="D989" i="2"/>
  <c r="E989" i="2"/>
  <c r="F989" i="2"/>
  <c r="G989" i="2"/>
  <c r="H989" i="2"/>
  <c r="I989" i="2"/>
  <c r="J989" i="2"/>
  <c r="K989" i="2"/>
  <c r="B990" i="2"/>
  <c r="C990" i="2"/>
  <c r="D990" i="2"/>
  <c r="E990" i="2"/>
  <c r="F990" i="2"/>
  <c r="G990" i="2"/>
  <c r="H990" i="2"/>
  <c r="I990" i="2"/>
  <c r="J990" i="2"/>
  <c r="K990" i="2"/>
  <c r="B991" i="2"/>
  <c r="C991" i="2"/>
  <c r="D991" i="2"/>
  <c r="E991" i="2"/>
  <c r="F991" i="2"/>
  <c r="G991" i="2"/>
  <c r="H991" i="2"/>
  <c r="I991" i="2"/>
  <c r="J991" i="2"/>
  <c r="K991" i="2"/>
  <c r="B992" i="2"/>
  <c r="C992" i="2"/>
  <c r="D992" i="2"/>
  <c r="E992" i="2"/>
  <c r="F992" i="2"/>
  <c r="G992" i="2"/>
  <c r="H992" i="2"/>
  <c r="I992" i="2"/>
  <c r="J992" i="2"/>
  <c r="K992" i="2"/>
  <c r="B993" i="2"/>
  <c r="C993" i="2"/>
  <c r="D993" i="2"/>
  <c r="E993" i="2"/>
  <c r="F993" i="2"/>
  <c r="G993" i="2"/>
  <c r="H993" i="2"/>
  <c r="I993" i="2"/>
  <c r="J993" i="2"/>
  <c r="K993" i="2"/>
  <c r="B994" i="2"/>
  <c r="C994" i="2"/>
  <c r="D994" i="2"/>
  <c r="E994" i="2"/>
  <c r="F994" i="2"/>
  <c r="G994" i="2"/>
  <c r="H994" i="2"/>
  <c r="I994" i="2"/>
  <c r="J994" i="2"/>
  <c r="K994" i="2"/>
  <c r="B995" i="2"/>
  <c r="C995" i="2"/>
  <c r="D995" i="2"/>
  <c r="E995" i="2"/>
  <c r="F995" i="2"/>
  <c r="G995" i="2"/>
  <c r="H995" i="2"/>
  <c r="I995" i="2"/>
  <c r="J995" i="2"/>
  <c r="K995" i="2"/>
  <c r="B996" i="2"/>
  <c r="C996" i="2"/>
  <c r="D996" i="2"/>
  <c r="E996" i="2"/>
  <c r="F996" i="2"/>
  <c r="G996" i="2"/>
  <c r="H996" i="2"/>
  <c r="I996" i="2"/>
  <c r="J996" i="2"/>
  <c r="K996" i="2"/>
  <c r="B997" i="2"/>
  <c r="C997" i="2"/>
  <c r="D997" i="2"/>
  <c r="E997" i="2"/>
  <c r="F997" i="2"/>
  <c r="G997" i="2"/>
  <c r="H997" i="2"/>
  <c r="I997" i="2"/>
  <c r="J997" i="2"/>
  <c r="K997" i="2"/>
  <c r="B998" i="2"/>
  <c r="C998" i="2"/>
  <c r="D998" i="2"/>
  <c r="E998" i="2"/>
  <c r="F998" i="2"/>
  <c r="G998" i="2"/>
  <c r="H998" i="2"/>
  <c r="I998" i="2"/>
  <c r="J998" i="2"/>
  <c r="K998" i="2"/>
  <c r="B999" i="2"/>
  <c r="C999" i="2"/>
  <c r="D999" i="2"/>
  <c r="E999" i="2"/>
  <c r="F999" i="2"/>
  <c r="G999" i="2"/>
  <c r="H999" i="2"/>
  <c r="I999" i="2"/>
  <c r="J999" i="2"/>
  <c r="K999" i="2"/>
  <c r="B1000" i="2"/>
  <c r="C1000" i="2"/>
  <c r="D1000" i="2"/>
  <c r="E1000" i="2"/>
  <c r="F1000" i="2"/>
  <c r="G1000" i="2"/>
  <c r="H1000" i="2"/>
  <c r="I1000" i="2"/>
  <c r="J1000" i="2"/>
  <c r="K1000" i="2"/>
  <c r="B1001" i="2"/>
  <c r="C1001" i="2"/>
  <c r="D1001" i="2"/>
  <c r="E1001" i="2"/>
  <c r="F1001" i="2"/>
  <c r="G1001" i="2"/>
  <c r="H1001" i="2"/>
  <c r="I1001" i="2"/>
  <c r="J1001" i="2"/>
  <c r="K1001" i="2"/>
  <c r="B1002" i="2"/>
  <c r="C1002" i="2"/>
  <c r="D1002" i="2"/>
  <c r="E1002" i="2"/>
  <c r="F1002" i="2"/>
  <c r="G1002" i="2"/>
  <c r="H1002" i="2"/>
  <c r="I1002" i="2"/>
  <c r="J1002" i="2"/>
  <c r="K1002" i="2"/>
  <c r="B1003" i="2"/>
  <c r="C1003" i="2"/>
  <c r="D1003" i="2"/>
  <c r="E1003" i="2"/>
  <c r="F1003" i="2"/>
  <c r="G1003" i="2"/>
  <c r="H1003" i="2"/>
  <c r="I1003" i="2"/>
  <c r="J1003" i="2"/>
  <c r="K1003" i="2"/>
  <c r="B1004" i="2"/>
  <c r="C1004" i="2"/>
  <c r="D1004" i="2"/>
  <c r="E1004" i="2"/>
  <c r="F1004" i="2"/>
  <c r="G1004" i="2"/>
  <c r="H1004" i="2"/>
  <c r="I1004" i="2"/>
  <c r="J1004" i="2"/>
  <c r="K1004" i="2"/>
  <c r="B1005" i="2"/>
  <c r="C1005" i="2"/>
  <c r="D1005" i="2"/>
  <c r="E1005" i="2"/>
  <c r="F1005" i="2"/>
  <c r="G1005" i="2"/>
  <c r="H1005" i="2"/>
  <c r="I1005" i="2"/>
  <c r="J1005" i="2"/>
  <c r="K1005" i="2"/>
  <c r="B1006" i="2"/>
  <c r="C1006" i="2"/>
  <c r="D1006" i="2"/>
  <c r="E1006" i="2"/>
  <c r="F1006" i="2"/>
  <c r="G1006" i="2"/>
  <c r="H1006" i="2"/>
  <c r="I1006" i="2"/>
  <c r="J1006" i="2"/>
  <c r="K1006" i="2"/>
  <c r="B1007" i="2"/>
  <c r="C1007" i="2"/>
  <c r="D1007" i="2"/>
  <c r="E1007" i="2"/>
  <c r="F1007" i="2"/>
  <c r="G1007" i="2"/>
  <c r="H1007" i="2"/>
  <c r="I1007" i="2"/>
  <c r="J1007" i="2"/>
  <c r="K1007" i="2"/>
  <c r="B1008" i="2"/>
  <c r="C1008" i="2"/>
  <c r="D1008" i="2"/>
  <c r="E1008" i="2"/>
  <c r="F1008" i="2"/>
  <c r="G1008" i="2"/>
  <c r="H1008" i="2"/>
  <c r="I1008" i="2"/>
  <c r="J1008" i="2"/>
  <c r="K1008" i="2"/>
  <c r="B1009" i="2"/>
  <c r="C1009" i="2"/>
  <c r="D1009" i="2"/>
  <c r="E1009" i="2"/>
  <c r="F1009" i="2"/>
  <c r="G1009" i="2"/>
  <c r="H1009" i="2"/>
  <c r="I1009" i="2"/>
  <c r="J1009" i="2"/>
  <c r="K1009" i="2"/>
  <c r="B1010" i="2"/>
  <c r="C1010" i="2"/>
  <c r="D1010" i="2"/>
  <c r="E1010" i="2"/>
  <c r="F1010" i="2"/>
  <c r="G1010" i="2"/>
  <c r="H1010" i="2"/>
  <c r="I1010" i="2"/>
  <c r="J1010" i="2"/>
  <c r="K1010" i="2"/>
  <c r="B1011" i="2"/>
  <c r="C1011" i="2"/>
  <c r="D1011" i="2"/>
  <c r="E1011" i="2"/>
  <c r="F1011" i="2"/>
  <c r="G1011" i="2"/>
  <c r="H1011" i="2"/>
  <c r="I1011" i="2"/>
  <c r="J1011" i="2"/>
  <c r="K1011" i="2"/>
  <c r="B1012" i="2"/>
  <c r="C1012" i="2"/>
  <c r="D1012" i="2"/>
  <c r="E1012" i="2"/>
  <c r="F1012" i="2"/>
  <c r="G1012" i="2"/>
  <c r="H1012" i="2"/>
  <c r="I1012" i="2"/>
  <c r="J1012" i="2"/>
  <c r="K1012" i="2"/>
  <c r="B1013" i="2"/>
  <c r="C1013" i="2"/>
  <c r="D1013" i="2"/>
  <c r="E1013" i="2"/>
  <c r="F1013" i="2"/>
  <c r="G1013" i="2"/>
  <c r="H1013" i="2"/>
  <c r="I1013" i="2"/>
  <c r="J1013" i="2"/>
  <c r="K1013" i="2"/>
  <c r="B1014" i="2"/>
  <c r="C1014" i="2"/>
  <c r="D1014" i="2"/>
  <c r="E1014" i="2"/>
  <c r="F1014" i="2"/>
  <c r="G1014" i="2"/>
  <c r="H1014" i="2"/>
  <c r="I1014" i="2"/>
  <c r="J1014" i="2"/>
  <c r="K1014" i="2"/>
  <c r="B1015" i="2"/>
  <c r="C1015" i="2"/>
  <c r="D1015" i="2"/>
  <c r="E1015" i="2"/>
  <c r="F1015" i="2"/>
  <c r="G1015" i="2"/>
  <c r="H1015" i="2"/>
  <c r="I1015" i="2"/>
  <c r="J1015" i="2"/>
  <c r="K1015" i="2"/>
  <c r="B1016" i="2"/>
  <c r="C1016" i="2"/>
  <c r="D1016" i="2"/>
  <c r="E1016" i="2"/>
  <c r="F1016" i="2"/>
  <c r="G1016" i="2"/>
  <c r="H1016" i="2"/>
  <c r="I1016" i="2"/>
  <c r="J1016" i="2"/>
  <c r="K1016" i="2"/>
  <c r="B1017" i="2"/>
  <c r="C1017" i="2"/>
  <c r="D1017" i="2"/>
  <c r="E1017" i="2"/>
  <c r="F1017" i="2"/>
  <c r="G1017" i="2"/>
  <c r="H1017" i="2"/>
  <c r="I1017" i="2"/>
  <c r="J1017" i="2"/>
  <c r="K1017" i="2"/>
  <c r="B1018" i="2"/>
  <c r="C1018" i="2"/>
  <c r="D1018" i="2"/>
  <c r="E1018" i="2"/>
  <c r="F1018" i="2"/>
  <c r="G1018" i="2"/>
  <c r="H1018" i="2"/>
  <c r="I1018" i="2"/>
  <c r="J1018" i="2"/>
  <c r="K1018" i="2"/>
  <c r="B1019" i="2"/>
  <c r="C1019" i="2"/>
  <c r="D1019" i="2"/>
  <c r="E1019" i="2"/>
  <c r="F1019" i="2"/>
  <c r="G1019" i="2"/>
  <c r="H1019" i="2"/>
  <c r="I1019" i="2"/>
  <c r="J1019" i="2"/>
  <c r="K1019" i="2"/>
  <c r="B1020" i="2"/>
  <c r="C1020" i="2"/>
  <c r="D1020" i="2"/>
  <c r="E1020" i="2"/>
  <c r="F1020" i="2"/>
  <c r="G1020" i="2"/>
  <c r="H1020" i="2"/>
  <c r="I1020" i="2"/>
  <c r="J1020" i="2"/>
  <c r="K1020" i="2"/>
  <c r="B1021" i="2"/>
  <c r="C1021" i="2"/>
  <c r="D1021" i="2"/>
  <c r="E1021" i="2"/>
  <c r="F1021" i="2"/>
  <c r="G1021" i="2"/>
  <c r="H1021" i="2"/>
  <c r="I1021" i="2"/>
  <c r="J1021" i="2"/>
  <c r="K1021" i="2"/>
  <c r="B1022" i="2"/>
  <c r="C1022" i="2"/>
  <c r="D1022" i="2"/>
  <c r="E1022" i="2"/>
  <c r="F1022" i="2"/>
  <c r="G1022" i="2"/>
  <c r="H1022" i="2"/>
  <c r="I1022" i="2"/>
  <c r="J1022" i="2"/>
  <c r="K1022" i="2"/>
  <c r="B1023" i="2"/>
  <c r="C1023" i="2"/>
  <c r="D1023" i="2"/>
  <c r="E1023" i="2"/>
  <c r="F1023" i="2"/>
  <c r="G1023" i="2"/>
  <c r="H1023" i="2"/>
  <c r="I1023" i="2"/>
  <c r="J1023" i="2"/>
  <c r="K1023" i="2"/>
  <c r="B1024" i="2"/>
  <c r="C1024" i="2"/>
  <c r="D1024" i="2"/>
  <c r="E1024" i="2"/>
  <c r="F1024" i="2"/>
  <c r="G1024" i="2"/>
  <c r="H1024" i="2"/>
  <c r="I1024" i="2"/>
  <c r="J1024" i="2"/>
  <c r="K1024" i="2"/>
  <c r="B1025" i="2"/>
  <c r="C1025" i="2"/>
  <c r="D1025" i="2"/>
  <c r="E1025" i="2"/>
  <c r="F1025" i="2"/>
  <c r="G1025" i="2"/>
  <c r="H1025" i="2"/>
  <c r="I1025" i="2"/>
  <c r="J1025" i="2"/>
  <c r="K1025" i="2"/>
  <c r="B1026" i="2"/>
  <c r="C1026" i="2"/>
  <c r="D1026" i="2"/>
  <c r="E1026" i="2"/>
  <c r="F1026" i="2"/>
  <c r="G1026" i="2"/>
  <c r="H1026" i="2"/>
  <c r="I1026" i="2"/>
  <c r="J1026" i="2"/>
  <c r="K1026" i="2"/>
  <c r="B1027" i="2"/>
  <c r="C1027" i="2"/>
  <c r="D1027" i="2"/>
  <c r="E1027" i="2"/>
  <c r="F1027" i="2"/>
  <c r="G1027" i="2"/>
  <c r="H1027" i="2"/>
  <c r="I1027" i="2"/>
  <c r="J1027" i="2"/>
  <c r="K1027" i="2"/>
  <c r="B1028" i="2"/>
  <c r="C1028" i="2"/>
  <c r="D1028" i="2"/>
  <c r="E1028" i="2"/>
  <c r="F1028" i="2"/>
  <c r="G1028" i="2"/>
  <c r="H1028" i="2"/>
  <c r="I1028" i="2"/>
  <c r="J1028" i="2"/>
  <c r="K1028" i="2"/>
  <c r="B1029" i="2"/>
  <c r="C1029" i="2"/>
  <c r="D1029" i="2"/>
  <c r="E1029" i="2"/>
  <c r="F1029" i="2"/>
  <c r="G1029" i="2"/>
  <c r="H1029" i="2"/>
  <c r="I1029" i="2"/>
  <c r="J1029" i="2"/>
  <c r="K1029" i="2"/>
  <c r="B1030" i="2"/>
  <c r="C1030" i="2"/>
  <c r="D1030" i="2"/>
  <c r="E1030" i="2"/>
  <c r="F1030" i="2"/>
  <c r="G1030" i="2"/>
  <c r="H1030" i="2"/>
  <c r="I1030" i="2"/>
  <c r="J1030" i="2"/>
  <c r="K1030" i="2"/>
  <c r="B1031" i="2"/>
  <c r="C1031" i="2"/>
  <c r="D1031" i="2"/>
  <c r="E1031" i="2"/>
  <c r="F1031" i="2"/>
  <c r="G1031" i="2"/>
  <c r="H1031" i="2"/>
  <c r="I1031" i="2"/>
  <c r="J1031" i="2"/>
  <c r="K1031" i="2"/>
  <c r="B1032" i="2"/>
  <c r="C1032" i="2"/>
  <c r="D1032" i="2"/>
  <c r="E1032" i="2"/>
  <c r="F1032" i="2"/>
  <c r="G1032" i="2"/>
  <c r="H1032" i="2"/>
  <c r="I1032" i="2"/>
  <c r="J1032" i="2"/>
  <c r="K1032" i="2"/>
  <c r="B1033" i="2"/>
  <c r="C1033" i="2"/>
  <c r="D1033" i="2"/>
  <c r="E1033" i="2"/>
  <c r="F1033" i="2"/>
  <c r="G1033" i="2"/>
  <c r="H1033" i="2"/>
  <c r="I1033" i="2"/>
  <c r="J1033" i="2"/>
  <c r="K1033" i="2"/>
  <c r="B1034" i="2"/>
  <c r="C1034" i="2"/>
  <c r="D1034" i="2"/>
  <c r="E1034" i="2"/>
  <c r="F1034" i="2"/>
  <c r="G1034" i="2"/>
  <c r="H1034" i="2"/>
  <c r="I1034" i="2"/>
  <c r="J1034" i="2"/>
  <c r="K1034" i="2"/>
  <c r="B1035" i="2"/>
  <c r="C1035" i="2"/>
  <c r="D1035" i="2"/>
  <c r="E1035" i="2"/>
  <c r="F1035" i="2"/>
  <c r="G1035" i="2"/>
  <c r="H1035" i="2"/>
  <c r="I1035" i="2"/>
  <c r="J1035" i="2"/>
  <c r="K1035" i="2"/>
  <c r="B1036" i="2"/>
  <c r="C1036" i="2"/>
  <c r="D1036" i="2"/>
  <c r="E1036" i="2"/>
  <c r="F1036" i="2"/>
  <c r="G1036" i="2"/>
  <c r="H1036" i="2"/>
  <c r="I1036" i="2"/>
  <c r="J1036" i="2"/>
  <c r="K1036" i="2"/>
  <c r="B1037" i="2"/>
  <c r="C1037" i="2"/>
  <c r="D1037" i="2"/>
  <c r="E1037" i="2"/>
  <c r="F1037" i="2"/>
  <c r="G1037" i="2"/>
  <c r="H1037" i="2"/>
  <c r="I1037" i="2"/>
  <c r="J1037" i="2"/>
  <c r="K1037" i="2"/>
  <c r="B1038" i="2"/>
  <c r="C1038" i="2"/>
  <c r="D1038" i="2"/>
  <c r="E1038" i="2"/>
  <c r="F1038" i="2"/>
  <c r="G1038" i="2"/>
  <c r="H1038" i="2"/>
  <c r="I1038" i="2"/>
  <c r="J1038" i="2"/>
  <c r="K1038" i="2"/>
  <c r="B1039" i="2"/>
  <c r="C1039" i="2"/>
  <c r="D1039" i="2"/>
  <c r="E1039" i="2"/>
  <c r="F1039" i="2"/>
  <c r="G1039" i="2"/>
  <c r="H1039" i="2"/>
  <c r="I1039" i="2"/>
  <c r="J1039" i="2"/>
  <c r="K1039" i="2"/>
  <c r="B1040" i="2"/>
  <c r="C1040" i="2"/>
  <c r="D1040" i="2"/>
  <c r="E1040" i="2"/>
  <c r="F1040" i="2"/>
  <c r="G1040" i="2"/>
  <c r="H1040" i="2"/>
  <c r="I1040" i="2"/>
  <c r="J1040" i="2"/>
  <c r="K1040" i="2"/>
  <c r="B1041" i="2"/>
  <c r="C1041" i="2"/>
  <c r="D1041" i="2"/>
  <c r="E1041" i="2"/>
  <c r="F1041" i="2"/>
  <c r="G1041" i="2"/>
  <c r="H1041" i="2"/>
  <c r="I1041" i="2"/>
  <c r="J1041" i="2"/>
  <c r="K1041" i="2"/>
  <c r="B1042" i="2"/>
  <c r="C1042" i="2"/>
  <c r="D1042" i="2"/>
  <c r="E1042" i="2"/>
  <c r="F1042" i="2"/>
  <c r="G1042" i="2"/>
  <c r="H1042" i="2"/>
  <c r="I1042" i="2"/>
  <c r="J1042" i="2"/>
  <c r="K1042" i="2"/>
  <c r="B1043" i="2"/>
  <c r="C1043" i="2"/>
  <c r="D1043" i="2"/>
  <c r="E1043" i="2"/>
  <c r="F1043" i="2"/>
  <c r="G1043" i="2"/>
  <c r="H1043" i="2"/>
  <c r="I1043" i="2"/>
  <c r="J1043" i="2"/>
  <c r="K1043" i="2"/>
  <c r="B1044" i="2"/>
  <c r="C1044" i="2"/>
  <c r="D1044" i="2"/>
  <c r="E1044" i="2"/>
  <c r="F1044" i="2"/>
  <c r="G1044" i="2"/>
  <c r="H1044" i="2"/>
  <c r="I1044" i="2"/>
  <c r="J1044" i="2"/>
  <c r="K1044" i="2"/>
  <c r="B1045" i="2"/>
  <c r="C1045" i="2"/>
  <c r="D1045" i="2"/>
  <c r="E1045" i="2"/>
  <c r="F1045" i="2"/>
  <c r="G1045" i="2"/>
  <c r="H1045" i="2"/>
  <c r="I1045" i="2"/>
  <c r="J1045" i="2"/>
  <c r="K1045" i="2"/>
  <c r="B1046" i="2"/>
  <c r="C1046" i="2"/>
  <c r="D1046" i="2"/>
  <c r="E1046" i="2"/>
  <c r="F1046" i="2"/>
  <c r="G1046" i="2"/>
  <c r="H1046" i="2"/>
  <c r="I1046" i="2"/>
  <c r="J1046" i="2"/>
  <c r="K1046" i="2"/>
  <c r="B1047" i="2"/>
  <c r="C1047" i="2"/>
  <c r="D1047" i="2"/>
  <c r="E1047" i="2"/>
  <c r="F1047" i="2"/>
  <c r="G1047" i="2"/>
  <c r="H1047" i="2"/>
  <c r="I1047" i="2"/>
  <c r="J1047" i="2"/>
  <c r="K1047" i="2"/>
  <c r="B1048" i="2"/>
  <c r="C1048" i="2"/>
  <c r="D1048" i="2"/>
  <c r="E1048" i="2"/>
  <c r="F1048" i="2"/>
  <c r="G1048" i="2"/>
  <c r="H1048" i="2"/>
  <c r="I1048" i="2"/>
  <c r="J1048" i="2"/>
  <c r="K1048" i="2"/>
  <c r="B1049" i="2"/>
  <c r="C1049" i="2"/>
  <c r="D1049" i="2"/>
  <c r="E1049" i="2"/>
  <c r="F1049" i="2"/>
  <c r="G1049" i="2"/>
  <c r="H1049" i="2"/>
  <c r="I1049" i="2"/>
  <c r="J1049" i="2"/>
  <c r="K1049" i="2"/>
  <c r="B1050" i="2"/>
  <c r="C1050" i="2"/>
  <c r="D1050" i="2"/>
  <c r="E1050" i="2"/>
  <c r="F1050" i="2"/>
  <c r="G1050" i="2"/>
  <c r="H1050" i="2"/>
  <c r="I1050" i="2"/>
  <c r="J1050" i="2"/>
  <c r="K1050" i="2"/>
  <c r="B1051" i="2"/>
  <c r="C1051" i="2"/>
  <c r="D1051" i="2"/>
  <c r="E1051" i="2"/>
  <c r="F1051" i="2"/>
  <c r="G1051" i="2"/>
  <c r="H1051" i="2"/>
  <c r="I1051" i="2"/>
  <c r="J1051" i="2"/>
  <c r="K1051" i="2"/>
  <c r="B1052" i="2"/>
  <c r="C1052" i="2"/>
  <c r="D1052" i="2"/>
  <c r="E1052" i="2"/>
  <c r="F1052" i="2"/>
  <c r="G1052" i="2"/>
  <c r="H1052" i="2"/>
  <c r="I1052" i="2"/>
  <c r="J1052" i="2"/>
  <c r="K1052" i="2"/>
  <c r="B1053" i="2"/>
  <c r="C1053" i="2"/>
  <c r="D1053" i="2"/>
  <c r="E1053" i="2"/>
  <c r="F1053" i="2"/>
  <c r="G1053" i="2"/>
  <c r="H1053" i="2"/>
  <c r="I1053" i="2"/>
  <c r="J1053" i="2"/>
  <c r="K1053" i="2"/>
  <c r="B1054" i="2"/>
  <c r="C1054" i="2"/>
  <c r="D1054" i="2"/>
  <c r="E1054" i="2"/>
  <c r="F1054" i="2"/>
  <c r="G1054" i="2"/>
  <c r="H1054" i="2"/>
  <c r="I1054" i="2"/>
  <c r="J1054" i="2"/>
  <c r="K1054" i="2"/>
  <c r="B1055" i="2"/>
  <c r="C1055" i="2"/>
  <c r="D1055" i="2"/>
  <c r="E1055" i="2"/>
  <c r="F1055" i="2"/>
  <c r="G1055" i="2"/>
  <c r="H1055" i="2"/>
  <c r="I1055" i="2"/>
  <c r="J1055" i="2"/>
  <c r="K1055" i="2"/>
  <c r="E1057" i="2"/>
  <c r="F1057" i="2"/>
  <c r="K1057" i="2"/>
  <c r="C1058" i="2"/>
  <c r="E1058" i="2"/>
  <c r="G1058" i="2"/>
  <c r="C1059" i="2"/>
  <c r="E1059" i="2"/>
  <c r="I1059" i="2"/>
  <c r="E1060" i="2"/>
  <c r="G1060" i="2"/>
  <c r="K1060" i="2"/>
  <c r="G1061" i="2"/>
  <c r="I1061" i="2"/>
  <c r="K1061" i="2"/>
  <c r="B1062" i="2"/>
  <c r="I1062" i="2"/>
  <c r="K1062" i="2"/>
  <c r="C1063" i="2"/>
  <c r="E1063" i="2"/>
  <c r="C1064" i="2"/>
  <c r="G1064" i="2"/>
  <c r="E1065" i="2"/>
  <c r="G1065" i="2"/>
  <c r="H1065" i="2"/>
  <c r="E1066" i="2"/>
  <c r="G1066" i="2"/>
  <c r="I1066" i="2"/>
  <c r="J1066" i="2"/>
  <c r="I1067" i="2"/>
  <c r="K1067" i="2"/>
  <c r="B1068" i="2"/>
  <c r="K1068" i="2"/>
  <c r="C1069" i="2"/>
  <c r="K1069" i="2"/>
  <c r="E1070" i="2"/>
  <c r="F1070" i="2"/>
  <c r="K1070" i="2"/>
  <c r="C1071" i="2"/>
  <c r="E1071" i="2"/>
  <c r="G1071" i="2"/>
  <c r="H1071" i="2"/>
  <c r="C1072" i="2"/>
  <c r="G1072" i="2"/>
  <c r="I1072" i="2"/>
  <c r="G1073" i="2"/>
  <c r="K1073" i="2"/>
  <c r="G1074" i="2"/>
  <c r="I1074" i="2"/>
  <c r="C1075" i="2"/>
  <c r="K1075" i="2"/>
  <c r="C1076" i="2"/>
  <c r="E1076" i="2"/>
  <c r="C1077" i="2"/>
  <c r="G1077" i="2"/>
  <c r="E1078" i="2"/>
  <c r="I1078" i="2"/>
  <c r="G1079" i="2"/>
  <c r="I1079" i="2"/>
  <c r="J1079" i="2"/>
  <c r="I1080" i="2"/>
  <c r="K1080" i="2"/>
  <c r="A1081" i="2"/>
  <c r="A1082" i="2" s="1"/>
  <c r="A1083" i="2" s="1"/>
  <c r="A1084" i="2" s="1"/>
  <c r="A1085" i="2" s="1"/>
  <c r="A1086" i="2" s="1"/>
  <c r="A1087" i="2" s="1"/>
  <c r="A1088" i="2" s="1"/>
  <c r="A1089" i="2" s="1"/>
  <c r="A1090" i="2" s="1"/>
  <c r="A1091" i="2" s="1"/>
  <c r="A1092" i="2" s="1"/>
  <c r="A1093" i="2" s="1"/>
  <c r="A1094" i="2" s="1"/>
  <c r="A1095" i="2" s="1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I1081" i="2"/>
  <c r="B1082" i="2"/>
  <c r="K1082" i="2"/>
  <c r="B1083" i="2"/>
  <c r="K1083" i="2"/>
  <c r="B1084" i="2"/>
  <c r="I1084" i="2"/>
  <c r="K1084" i="2"/>
  <c r="I1085" i="2"/>
  <c r="G1086" i="2"/>
  <c r="K1086" i="2"/>
  <c r="I1087" i="2"/>
  <c r="J1087" i="2"/>
  <c r="G1088" i="2"/>
  <c r="I1088" i="2"/>
  <c r="E1089" i="2"/>
  <c r="G1089" i="2"/>
  <c r="H1089" i="2"/>
  <c r="C1090" i="2"/>
  <c r="E1090" i="2"/>
  <c r="G1090" i="2"/>
  <c r="C1091" i="2"/>
  <c r="E1091" i="2"/>
  <c r="F1091" i="2"/>
  <c r="C1092" i="2"/>
  <c r="F1092" i="2"/>
  <c r="K1092" i="2"/>
  <c r="C1093" i="2"/>
  <c r="E1093" i="2"/>
  <c r="C1094" i="2"/>
  <c r="K1094" i="2"/>
  <c r="B1095" i="2"/>
  <c r="I1095" i="2"/>
  <c r="K1095" i="2"/>
  <c r="I1096" i="2"/>
  <c r="K1096" i="2"/>
  <c r="G1097" i="2"/>
  <c r="I1097" i="2"/>
  <c r="J1097" i="2"/>
  <c r="G1098" i="2"/>
  <c r="J1098" i="2"/>
  <c r="E1099" i="2"/>
  <c r="I1099" i="2"/>
  <c r="C1100" i="2"/>
  <c r="G1100" i="2"/>
  <c r="H1100" i="2"/>
  <c r="C1101" i="2"/>
  <c r="E1101" i="2"/>
  <c r="G1101" i="2"/>
  <c r="C1102" i="2"/>
  <c r="E1102" i="2"/>
  <c r="F1102" i="2"/>
  <c r="C1103" i="2"/>
  <c r="E1103" i="2"/>
  <c r="K1103" i="2"/>
  <c r="C1104" i="2"/>
  <c r="K1104" i="2"/>
  <c r="G1104" i="2" l="1"/>
  <c r="G1093" i="2"/>
  <c r="F1104" i="2"/>
  <c r="H1104" i="2"/>
  <c r="J1104" i="2"/>
  <c r="F1103" i="2"/>
  <c r="H1103" i="2"/>
  <c r="J1103" i="2"/>
  <c r="H1102" i="2"/>
  <c r="J1102" i="2"/>
  <c r="B1102" i="2"/>
  <c r="H1101" i="2"/>
  <c r="J1101" i="2"/>
  <c r="J1100" i="2"/>
  <c r="B1100" i="2"/>
  <c r="J1099" i="2"/>
  <c r="B1099" i="2"/>
  <c r="F1098" i="2"/>
  <c r="B1098" i="2"/>
  <c r="F1097" i="2"/>
  <c r="F1096" i="2"/>
  <c r="H1096" i="2"/>
  <c r="B1096" i="2"/>
  <c r="F1095" i="2"/>
  <c r="H1095" i="2"/>
  <c r="F1094" i="2"/>
  <c r="H1094" i="2"/>
  <c r="J1094" i="2"/>
  <c r="F1093" i="2"/>
  <c r="H1093" i="2"/>
  <c r="J1093" i="2"/>
  <c r="H1092" i="2"/>
  <c r="J1092" i="2"/>
  <c r="H1091" i="2"/>
  <c r="J1091" i="2"/>
  <c r="B1091" i="2"/>
  <c r="H1090" i="2"/>
  <c r="J1090" i="2"/>
  <c r="B1090" i="2"/>
  <c r="J1089" i="2"/>
  <c r="F1088" i="2"/>
  <c r="I1104" i="2"/>
  <c r="I1103" i="2"/>
  <c r="K1102" i="2"/>
  <c r="G1102" i="2"/>
  <c r="I1101" i="2"/>
  <c r="K1100" i="2"/>
  <c r="I1100" i="2"/>
  <c r="C1099" i="2"/>
  <c r="K1099" i="2"/>
  <c r="K1098" i="2"/>
  <c r="C1098" i="2"/>
  <c r="E1098" i="2"/>
  <c r="E1097" i="2"/>
  <c r="C1097" i="2"/>
  <c r="G1096" i="2"/>
  <c r="C1096" i="2"/>
  <c r="C1095" i="2"/>
  <c r="E1095" i="2"/>
  <c r="E1094" i="2"/>
  <c r="G1094" i="2"/>
  <c r="I1093" i="2"/>
  <c r="G1092" i="2"/>
  <c r="I1092" i="2"/>
  <c r="K1091" i="2"/>
  <c r="I1091" i="2"/>
  <c r="B1104" i="2"/>
  <c r="B1103" i="2"/>
  <c r="F1101" i="2"/>
  <c r="F1100" i="2"/>
  <c r="F1099" i="2"/>
  <c r="H1099" i="2"/>
  <c r="H1098" i="2"/>
  <c r="H1097" i="2"/>
  <c r="J1096" i="2"/>
  <c r="J1095" i="2"/>
  <c r="B1094" i="2"/>
  <c r="B1092" i="2"/>
  <c r="F1090" i="2"/>
  <c r="F1089" i="2"/>
  <c r="H1088" i="2"/>
  <c r="H1087" i="2"/>
  <c r="H1086" i="2"/>
  <c r="J1086" i="2"/>
  <c r="J1085" i="2"/>
  <c r="J1084" i="2"/>
  <c r="J1081" i="2"/>
  <c r="H1079" i="2"/>
  <c r="F1078" i="2"/>
  <c r="H1078" i="2"/>
  <c r="F1077" i="2"/>
  <c r="B1076" i="2"/>
  <c r="B1075" i="2"/>
  <c r="J1074" i="2"/>
  <c r="H1073" i="2"/>
  <c r="J1073" i="2"/>
  <c r="H1072" i="2"/>
  <c r="B1070" i="2"/>
  <c r="B1069" i="2"/>
  <c r="F1065" i="2"/>
  <c r="F1064" i="2"/>
  <c r="J1061" i="2"/>
  <c r="H1060" i="2"/>
  <c r="J1060" i="2"/>
  <c r="F1059" i="2"/>
  <c r="H1059" i="2"/>
  <c r="F1058" i="2"/>
  <c r="B1057" i="2"/>
  <c r="H1057" i="2"/>
  <c r="H1104" i="3"/>
  <c r="H1103" i="3"/>
  <c r="B1103" i="3"/>
  <c r="H1102" i="3"/>
  <c r="E1099" i="3"/>
  <c r="H1098" i="3"/>
  <c r="D1097" i="3"/>
  <c r="G1096" i="3"/>
  <c r="H1096" i="3"/>
  <c r="B1095" i="3"/>
  <c r="F1094" i="3"/>
  <c r="G1094" i="3"/>
  <c r="D1092" i="3"/>
  <c r="F1092" i="3"/>
  <c r="E1091" i="3"/>
  <c r="C1090" i="3"/>
  <c r="D1090" i="3"/>
  <c r="D1089" i="3"/>
  <c r="B1088" i="3"/>
  <c r="C1088" i="3"/>
  <c r="H1088" i="3"/>
  <c r="B1086" i="3"/>
  <c r="G1086" i="3"/>
  <c r="F1084" i="3"/>
  <c r="I1083" i="3"/>
  <c r="E1083" i="3"/>
  <c r="D1082" i="3"/>
  <c r="H1081" i="3"/>
  <c r="I1081" i="3"/>
  <c r="D1081" i="3"/>
  <c r="E1081" i="3"/>
  <c r="C1080" i="3"/>
  <c r="D1080" i="3"/>
  <c r="G1079" i="3"/>
  <c r="E1079" i="3"/>
  <c r="I1077" i="3"/>
  <c r="C1077" i="3"/>
  <c r="I1076" i="3"/>
  <c r="D1073" i="3"/>
  <c r="I1072" i="3"/>
  <c r="AB1053" i="5"/>
  <c r="AB1049" i="5"/>
  <c r="AC1044" i="5"/>
  <c r="AC1039" i="5"/>
  <c r="AB1039" i="5"/>
  <c r="G1069" i="2"/>
  <c r="K1145" i="4"/>
  <c r="E1144" i="4"/>
  <c r="O1143" i="4"/>
  <c r="G1143" i="4"/>
  <c r="O1141" i="4"/>
  <c r="K1141" i="4"/>
  <c r="C1141" i="4"/>
  <c r="G1139" i="4"/>
  <c r="K1139" i="4"/>
  <c r="M1138" i="4"/>
  <c r="G1137" i="4"/>
  <c r="C1137" i="4"/>
  <c r="I1136" i="4"/>
  <c r="C1135" i="4"/>
  <c r="M1134" i="4"/>
  <c r="E1134" i="4"/>
  <c r="I1132" i="4"/>
  <c r="M1132" i="4"/>
  <c r="O1131" i="4"/>
  <c r="I1130" i="4"/>
  <c r="E1130" i="4"/>
  <c r="K1129" i="4"/>
  <c r="E1128" i="4"/>
  <c r="O1127" i="4"/>
  <c r="G1127" i="4"/>
  <c r="O1125" i="4"/>
  <c r="K1125" i="4"/>
  <c r="C1125" i="4"/>
  <c r="G1123" i="4"/>
  <c r="K1123" i="4"/>
  <c r="M1122" i="4"/>
  <c r="G1121" i="4"/>
  <c r="C1121" i="4"/>
  <c r="I1120" i="4"/>
  <c r="C1119" i="4"/>
  <c r="M1118" i="4"/>
  <c r="E1118" i="4"/>
  <c r="I1116" i="4"/>
  <c r="M1116" i="4"/>
  <c r="O1115" i="4"/>
  <c r="I1114" i="4"/>
  <c r="E1114" i="4"/>
  <c r="K1113" i="4"/>
  <c r="E1112" i="4"/>
  <c r="O1111" i="4"/>
  <c r="G1111" i="4"/>
  <c r="O1109" i="4"/>
  <c r="K1109" i="4"/>
  <c r="C1109" i="4"/>
  <c r="G1107" i="4"/>
  <c r="K1107" i="4"/>
  <c r="M1106" i="4"/>
  <c r="G1105" i="4"/>
  <c r="C1105" i="4"/>
  <c r="I1104" i="4"/>
  <c r="C1103" i="4"/>
  <c r="M1102" i="4"/>
  <c r="E1102" i="4"/>
  <c r="O1099" i="4"/>
  <c r="I1098" i="4"/>
  <c r="E1098" i="4"/>
  <c r="K1097" i="4"/>
  <c r="E1096" i="4"/>
  <c r="O1095" i="4"/>
  <c r="G1095" i="4"/>
  <c r="G1093" i="4"/>
  <c r="C1091" i="4"/>
  <c r="M1090" i="4"/>
  <c r="I1088" i="4"/>
  <c r="I1087" i="4"/>
  <c r="O1084" i="4"/>
  <c r="O1082" i="4"/>
  <c r="G1080" i="4"/>
  <c r="K1080" i="4"/>
  <c r="K1079" i="4"/>
  <c r="C1078" i="4"/>
  <c r="M1100" i="4"/>
  <c r="C1077" i="4"/>
  <c r="C1075" i="4"/>
  <c r="I1100" i="4"/>
  <c r="AB1037" i="5"/>
  <c r="J1088" i="2"/>
  <c r="B1088" i="2"/>
  <c r="F1087" i="2"/>
  <c r="B1087" i="2"/>
  <c r="F1086" i="2"/>
  <c r="B1086" i="2"/>
  <c r="F1085" i="2"/>
  <c r="H1085" i="2"/>
  <c r="F1084" i="2"/>
  <c r="H1084" i="2"/>
  <c r="F1083" i="2"/>
  <c r="H1083" i="2"/>
  <c r="J1083" i="2"/>
  <c r="H1082" i="2"/>
  <c r="J1082" i="2"/>
  <c r="F1081" i="2"/>
  <c r="F1080" i="2"/>
  <c r="H1080" i="2"/>
  <c r="B1080" i="2"/>
  <c r="J1078" i="2"/>
  <c r="B1078" i="2"/>
  <c r="J1077" i="2"/>
  <c r="B1077" i="2"/>
  <c r="H1076" i="2"/>
  <c r="J1076" i="2"/>
  <c r="F1075" i="2"/>
  <c r="H1075" i="2"/>
  <c r="F1074" i="2"/>
  <c r="F1073" i="2"/>
  <c r="B1073" i="2"/>
  <c r="F1072" i="2"/>
  <c r="B1072" i="2"/>
  <c r="J1071" i="2"/>
  <c r="H1070" i="2"/>
  <c r="J1070" i="2"/>
  <c r="F1069" i="2"/>
  <c r="J1069" i="2"/>
  <c r="H1068" i="2"/>
  <c r="J1068" i="2"/>
  <c r="F1067" i="2"/>
  <c r="H1067" i="2"/>
  <c r="B1067" i="2"/>
  <c r="F1066" i="2"/>
  <c r="J1065" i="2"/>
  <c r="B1065" i="2"/>
  <c r="H1064" i="2"/>
  <c r="B1064" i="2"/>
  <c r="H1063" i="2"/>
  <c r="J1063" i="2"/>
  <c r="F1062" i="2"/>
  <c r="H1062" i="2"/>
  <c r="J1062" i="2"/>
  <c r="F1061" i="2"/>
  <c r="B1061" i="2"/>
  <c r="B1060" i="2"/>
  <c r="B1059" i="2"/>
  <c r="J1058" i="2"/>
  <c r="J1057" i="2"/>
  <c r="G1102" i="3"/>
  <c r="G1100" i="3"/>
  <c r="C1079" i="3"/>
  <c r="G1076" i="3"/>
  <c r="C1067" i="3"/>
  <c r="C1065" i="3"/>
  <c r="I1057" i="3"/>
  <c r="L1093" i="4"/>
  <c r="D1093" i="4"/>
  <c r="L1092" i="4"/>
  <c r="H1091" i="4"/>
  <c r="D1090" i="4"/>
  <c r="D1088" i="4"/>
  <c r="N1085" i="4"/>
  <c r="J1085" i="4"/>
  <c r="F1083" i="4"/>
  <c r="J1083" i="4"/>
  <c r="F1082" i="4"/>
  <c r="B1081" i="4"/>
  <c r="L1077" i="4"/>
  <c r="H1075" i="4"/>
  <c r="H1074" i="4"/>
  <c r="D1073" i="4"/>
  <c r="N1071" i="4"/>
  <c r="N1069" i="4"/>
  <c r="F1067" i="4"/>
  <c r="J1067" i="4"/>
  <c r="H1064" i="4"/>
  <c r="D1062" i="4"/>
  <c r="AC1048" i="5"/>
  <c r="AC1041" i="5"/>
  <c r="AC1032" i="5"/>
  <c r="K1090" i="2"/>
  <c r="C1089" i="2"/>
  <c r="I1089" i="2"/>
  <c r="C1088" i="2"/>
  <c r="K1088" i="2"/>
  <c r="K1087" i="2"/>
  <c r="C1087" i="2"/>
  <c r="E1087" i="2"/>
  <c r="E1086" i="2"/>
  <c r="C1086" i="2"/>
  <c r="C1085" i="2"/>
  <c r="G1085" i="2"/>
  <c r="E1085" i="2"/>
  <c r="C1084" i="2"/>
  <c r="G1084" i="2"/>
  <c r="E1083" i="2"/>
  <c r="I1083" i="2"/>
  <c r="C1082" i="2"/>
  <c r="G1082" i="2"/>
  <c r="E1082" i="2"/>
  <c r="C1081" i="2"/>
  <c r="G1081" i="2"/>
  <c r="E1081" i="2"/>
  <c r="G1080" i="2"/>
  <c r="C1080" i="2"/>
  <c r="C1079" i="2"/>
  <c r="E1079" i="2"/>
  <c r="K1078" i="2"/>
  <c r="K1077" i="2"/>
  <c r="I1077" i="2"/>
  <c r="K1076" i="2"/>
  <c r="G1076" i="2"/>
  <c r="E1075" i="2"/>
  <c r="I1075" i="2"/>
  <c r="C1074" i="2"/>
  <c r="E1074" i="2"/>
  <c r="E1073" i="2"/>
  <c r="K1072" i="2"/>
  <c r="I1071" i="2"/>
  <c r="I1070" i="2"/>
  <c r="I1069" i="2"/>
  <c r="C1068" i="2"/>
  <c r="G1068" i="2"/>
  <c r="E1068" i="2"/>
  <c r="E1067" i="2"/>
  <c r="C1067" i="2"/>
  <c r="C1066" i="2"/>
  <c r="K1065" i="2"/>
  <c r="K1064" i="2"/>
  <c r="I1064" i="2"/>
  <c r="G1063" i="2"/>
  <c r="I1063" i="2"/>
  <c r="E1062" i="2"/>
  <c r="C1061" i="2"/>
  <c r="C1060" i="2"/>
  <c r="K1059" i="2"/>
  <c r="I1058" i="2"/>
  <c r="G1057" i="2"/>
  <c r="C1104" i="3"/>
  <c r="I1103" i="3"/>
  <c r="B1102" i="3"/>
  <c r="H1101" i="3"/>
  <c r="F1101" i="3"/>
  <c r="F1100" i="3"/>
  <c r="F1099" i="3"/>
  <c r="D1098" i="3"/>
  <c r="F1098" i="3"/>
  <c r="I1097" i="3"/>
  <c r="E1097" i="3"/>
  <c r="C1096" i="3"/>
  <c r="D1096" i="3"/>
  <c r="H1095" i="3"/>
  <c r="D1095" i="3"/>
  <c r="B1094" i="3"/>
  <c r="C1094" i="3"/>
  <c r="F1093" i="3"/>
  <c r="B1092" i="3"/>
  <c r="I1089" i="3"/>
  <c r="H1087" i="3"/>
  <c r="I1087" i="3"/>
  <c r="B1087" i="3"/>
  <c r="F1085" i="3"/>
  <c r="H1085" i="3"/>
  <c r="F1083" i="3"/>
  <c r="B1077" i="3"/>
  <c r="H1076" i="3"/>
  <c r="D1075" i="3"/>
  <c r="H1074" i="3"/>
  <c r="B1074" i="3"/>
  <c r="D1074" i="3"/>
  <c r="E1074" i="3"/>
  <c r="H1072" i="3"/>
  <c r="B1072" i="3"/>
  <c r="D1072" i="3"/>
  <c r="E1071" i="3"/>
  <c r="I1071" i="3"/>
  <c r="E1069" i="3"/>
  <c r="F1069" i="3"/>
  <c r="G1069" i="3"/>
  <c r="B1068" i="3"/>
  <c r="D1067" i="3"/>
  <c r="G1067" i="3"/>
  <c r="H1066" i="3"/>
  <c r="I1066" i="3"/>
  <c r="F1065" i="3"/>
  <c r="H1064" i="3"/>
  <c r="D1063" i="3"/>
  <c r="E1063" i="3"/>
  <c r="I1062" i="3"/>
  <c r="B1062" i="3"/>
  <c r="E1062" i="3"/>
  <c r="F1062" i="3"/>
  <c r="H1060" i="3"/>
  <c r="B1060" i="3"/>
  <c r="C1060" i="3"/>
  <c r="F1060" i="3"/>
  <c r="H1058" i="3"/>
  <c r="B1058" i="3"/>
  <c r="C1057" i="3"/>
  <c r="E1057" i="3"/>
  <c r="F1057" i="3"/>
  <c r="G1057" i="3"/>
  <c r="AC1056" i="5"/>
  <c r="AC1052" i="5"/>
  <c r="AC1046" i="5"/>
  <c r="AC1038" i="5"/>
  <c r="AB1033" i="5"/>
  <c r="AB1029" i="5"/>
  <c r="AB1021" i="5"/>
  <c r="AC1017" i="5"/>
  <c r="AB1017" i="5"/>
  <c r="AC1011" i="5"/>
  <c r="AB1010" i="5"/>
  <c r="AC1008" i="5"/>
  <c r="AB1008" i="5"/>
  <c r="AB1006" i="5"/>
  <c r="AB1005" i="5"/>
  <c r="AC996" i="5"/>
  <c r="AC992" i="5"/>
  <c r="AB992" i="5"/>
  <c r="AB990" i="5"/>
  <c r="AC983" i="5"/>
  <c r="AC976" i="5"/>
  <c r="AC943" i="5"/>
  <c r="AB943" i="5"/>
  <c r="AC922" i="5"/>
  <c r="AB922" i="5"/>
  <c r="AC899" i="5"/>
  <c r="AB894" i="5"/>
  <c r="AB881" i="5"/>
  <c r="AB862" i="5"/>
  <c r="AB766" i="5"/>
  <c r="AB710" i="5"/>
  <c r="AB709" i="5"/>
  <c r="AB705" i="5"/>
  <c r="AB694" i="5"/>
  <c r="AB693" i="5"/>
  <c r="AC1030" i="5"/>
  <c r="AB969" i="5"/>
  <c r="AB954" i="5"/>
  <c r="AC935" i="5"/>
  <c r="AC928" i="5"/>
  <c r="AC923" i="5"/>
  <c r="AC919" i="5"/>
  <c r="AC912" i="5"/>
  <c r="AC873" i="5"/>
  <c r="AB870" i="5"/>
  <c r="AC865" i="5"/>
  <c r="AB865" i="5"/>
  <c r="AC847" i="5"/>
  <c r="AB847" i="5"/>
  <c r="AC841" i="5"/>
  <c r="AC839" i="5"/>
  <c r="AB839" i="5"/>
  <c r="AC831" i="5"/>
  <c r="AC826" i="5"/>
  <c r="AB826" i="5"/>
  <c r="AC810" i="5"/>
  <c r="AB810" i="5"/>
  <c r="AC799" i="5"/>
  <c r="AC794" i="5"/>
  <c r="AB794" i="5"/>
  <c r="AC784" i="5"/>
  <c r="AC751" i="5"/>
  <c r="AB751" i="5"/>
  <c r="AB737" i="5"/>
  <c r="AC730" i="5"/>
  <c r="AB730" i="5"/>
  <c r="AC714" i="5"/>
  <c r="AB714" i="5"/>
  <c r="AC703" i="5"/>
  <c r="AC698" i="5"/>
  <c r="AB698" i="5"/>
  <c r="AC682" i="5"/>
  <c r="AB682" i="5"/>
  <c r="AB678" i="5"/>
  <c r="AB1025" i="5"/>
  <c r="AC998" i="5"/>
  <c r="AC987" i="5"/>
  <c r="AB984" i="5"/>
  <c r="AC975" i="5"/>
  <c r="AB975" i="5"/>
  <c r="AC968" i="5"/>
  <c r="AC960" i="5"/>
  <c r="AC955" i="5"/>
  <c r="AC951" i="5"/>
  <c r="AB926" i="5"/>
  <c r="AB905" i="5"/>
  <c r="AB890" i="5"/>
  <c r="AC863" i="5"/>
  <c r="AC858" i="5"/>
  <c r="AB858" i="5"/>
  <c r="AC840" i="5"/>
  <c r="AC832" i="5"/>
  <c r="AC827" i="5"/>
  <c r="AC823" i="5"/>
  <c r="AC807" i="5"/>
  <c r="AC795" i="5"/>
  <c r="AC791" i="5"/>
  <c r="AB785" i="5"/>
  <c r="AC777" i="5"/>
  <c r="AB777" i="5"/>
  <c r="AC775" i="5"/>
  <c r="AB775" i="5"/>
  <c r="AC767" i="5"/>
  <c r="AC762" i="5"/>
  <c r="AB762" i="5"/>
  <c r="AC746" i="5"/>
  <c r="AB746" i="5"/>
  <c r="AC735" i="5"/>
  <c r="AC731" i="5"/>
  <c r="AC727" i="5"/>
  <c r="AC711" i="5"/>
  <c r="AC704" i="5"/>
  <c r="AC699" i="5"/>
  <c r="AC695" i="5"/>
  <c r="AC1028" i="5"/>
  <c r="AC1014" i="5"/>
  <c r="AC1010" i="5"/>
  <c r="AC1001" i="5"/>
  <c r="AB991" i="5"/>
  <c r="AC985" i="5"/>
  <c r="AB985" i="5"/>
  <c r="AC963" i="5"/>
  <c r="AB958" i="5"/>
  <c r="AB945" i="5"/>
  <c r="AC937" i="5"/>
  <c r="AB937" i="5"/>
  <c r="AB934" i="5"/>
  <c r="AC929" i="5"/>
  <c r="AB929" i="5"/>
  <c r="AC911" i="5"/>
  <c r="AB911" i="5"/>
  <c r="AC904" i="5"/>
  <c r="AC896" i="5"/>
  <c r="AC891" i="5"/>
  <c r="AC887" i="5"/>
  <c r="AC871" i="5"/>
  <c r="AC859" i="5"/>
  <c r="AC855" i="5"/>
  <c r="AC848" i="5"/>
  <c r="AB830" i="5"/>
  <c r="AB817" i="5"/>
  <c r="AB798" i="5"/>
  <c r="AC783" i="5"/>
  <c r="AB783" i="5"/>
  <c r="AC776" i="5"/>
  <c r="AC768" i="5"/>
  <c r="AC763" i="5"/>
  <c r="AC743" i="5"/>
  <c r="AC736" i="5"/>
  <c r="AB734" i="5"/>
  <c r="AB721" i="5"/>
  <c r="AB702" i="5"/>
  <c r="AB689" i="5"/>
  <c r="AC681" i="5"/>
  <c r="AB681" i="5"/>
  <c r="AC679" i="5"/>
  <c r="AC675" i="5"/>
  <c r="AB670" i="5"/>
  <c r="AB657" i="5"/>
  <c r="AB649" i="5"/>
  <c r="AB646" i="5"/>
  <c r="AC641" i="5"/>
  <c r="AB641" i="5"/>
  <c r="AB625" i="5"/>
  <c r="AB623" i="5"/>
  <c r="AC616" i="5"/>
  <c r="AC608" i="5"/>
  <c r="AC603" i="5"/>
  <c r="AC580" i="5"/>
  <c r="AB574" i="5"/>
  <c r="AB527" i="5"/>
  <c r="AC506" i="5"/>
  <c r="AB506" i="5"/>
  <c r="AB501" i="5"/>
  <c r="S1097" i="5"/>
  <c r="K1097" i="5"/>
  <c r="C1097" i="5"/>
  <c r="U1095" i="5"/>
  <c r="E1095" i="5"/>
  <c r="T1095" i="5"/>
  <c r="AB454" i="5"/>
  <c r="AC438" i="5"/>
  <c r="AB438" i="5"/>
  <c r="AC432" i="5"/>
  <c r="T1092" i="5"/>
  <c r="L1092" i="5"/>
  <c r="D1092" i="5"/>
  <c r="AB414" i="5"/>
  <c r="AC408" i="5"/>
  <c r="AC405" i="5"/>
  <c r="I1089" i="5"/>
  <c r="W1089" i="5"/>
  <c r="O1089" i="5"/>
  <c r="G1089" i="5"/>
  <c r="AB385" i="5"/>
  <c r="AB381" i="5"/>
  <c r="AC376" i="5"/>
  <c r="AB634" i="5"/>
  <c r="AB606" i="5"/>
  <c r="AB582" i="5"/>
  <c r="X1105" i="5"/>
  <c r="P1105" i="5"/>
  <c r="H1105" i="5"/>
  <c r="B1104" i="5"/>
  <c r="AB561" i="5"/>
  <c r="W1102" i="5"/>
  <c r="V1102" i="5"/>
  <c r="F1102" i="5"/>
  <c r="AB522" i="5"/>
  <c r="L1098" i="5"/>
  <c r="AB479" i="5"/>
  <c r="F1096" i="5"/>
  <c r="AC447" i="5"/>
  <c r="T1094" i="5"/>
  <c r="L1094" i="5"/>
  <c r="AB445" i="5"/>
  <c r="AB437" i="5"/>
  <c r="AC436" i="5"/>
  <c r="E1093" i="5"/>
  <c r="T1093" i="5"/>
  <c r="AB429" i="5"/>
  <c r="AC424" i="5"/>
  <c r="AC412" i="5"/>
  <c r="AC391" i="5"/>
  <c r="AB373" i="5"/>
  <c r="AC368" i="5"/>
  <c r="AC360" i="5"/>
  <c r="AB679" i="5"/>
  <c r="AC671" i="5"/>
  <c r="AC666" i="5"/>
  <c r="AB666" i="5"/>
  <c r="AC650" i="5"/>
  <c r="AB650" i="5"/>
  <c r="AC640" i="5"/>
  <c r="AC636" i="5"/>
  <c r="AC635" i="5"/>
  <c r="AC624" i="5"/>
  <c r="AB591" i="5"/>
  <c r="W1105" i="5"/>
  <c r="AC570" i="5"/>
  <c r="AB570" i="5"/>
  <c r="U1103" i="5"/>
  <c r="Q1103" i="5"/>
  <c r="I1103" i="5"/>
  <c r="AC552" i="5"/>
  <c r="AC543" i="5"/>
  <c r="F1101" i="5"/>
  <c r="AC539" i="5"/>
  <c r="AC512" i="5"/>
  <c r="AC511" i="5"/>
  <c r="AC502" i="5"/>
  <c r="AB490" i="5"/>
  <c r="V1097" i="5"/>
  <c r="AC479" i="5"/>
  <c r="AB478" i="5"/>
  <c r="R1096" i="5"/>
  <c r="J1096" i="5"/>
  <c r="AB461" i="5"/>
  <c r="AB444" i="5"/>
  <c r="AC440" i="5"/>
  <c r="J1092" i="5"/>
  <c r="R1091" i="5"/>
  <c r="X1091" i="5"/>
  <c r="P1091" i="5"/>
  <c r="H1091" i="5"/>
  <c r="AC416" i="5"/>
  <c r="E1091" i="5"/>
  <c r="AC406" i="5"/>
  <c r="AB406" i="5"/>
  <c r="AC400" i="5"/>
  <c r="Q1087" i="5"/>
  <c r="I1087" i="5"/>
  <c r="W1087" i="5"/>
  <c r="O1087" i="5"/>
  <c r="G1087" i="5"/>
  <c r="AC672" i="5"/>
  <c r="AC667" i="5"/>
  <c r="AC663" i="5"/>
  <c r="AC644" i="5"/>
  <c r="AC643" i="5"/>
  <c r="AB638" i="5"/>
  <c r="AC617" i="5"/>
  <c r="AB617" i="5"/>
  <c r="AB615" i="5"/>
  <c r="AC602" i="5"/>
  <c r="AB602" i="5"/>
  <c r="AC591" i="5"/>
  <c r="AC576" i="5"/>
  <c r="AC575" i="5"/>
  <c r="V1104" i="5"/>
  <c r="AC572" i="5"/>
  <c r="AC571" i="5"/>
  <c r="AC560" i="5"/>
  <c r="X1103" i="5"/>
  <c r="P1103" i="5"/>
  <c r="H1103" i="5"/>
  <c r="AC548" i="5"/>
  <c r="U1102" i="5"/>
  <c r="E1102" i="5"/>
  <c r="AB542" i="5"/>
  <c r="X1101" i="5"/>
  <c r="P1101" i="5"/>
  <c r="H1101" i="5"/>
  <c r="W1101" i="5"/>
  <c r="G1101" i="5"/>
  <c r="AC516" i="5"/>
  <c r="AB510" i="5"/>
  <c r="AC492" i="5"/>
  <c r="AC483" i="5"/>
  <c r="AB483" i="5"/>
  <c r="AB480" i="5"/>
  <c r="AC478" i="5"/>
  <c r="AC476" i="5"/>
  <c r="AB464" i="5"/>
  <c r="AC456" i="5"/>
  <c r="U1092" i="5"/>
  <c r="M1092" i="5"/>
  <c r="E1092" i="5"/>
  <c r="AB417" i="5"/>
  <c r="AB405" i="5"/>
  <c r="T1090" i="5"/>
  <c r="D1090" i="5"/>
  <c r="AB397" i="5"/>
  <c r="AB353" i="5"/>
  <c r="AB349" i="5"/>
  <c r="P1085" i="5"/>
  <c r="AB293" i="5"/>
  <c r="X1081" i="5"/>
  <c r="AB265" i="5"/>
  <c r="AB257" i="5"/>
  <c r="AB253" i="5"/>
  <c r="AC248" i="5"/>
  <c r="H1077" i="5"/>
  <c r="AC238" i="5"/>
  <c r="AC231" i="5"/>
  <c r="AB213" i="5"/>
  <c r="AC208" i="5"/>
  <c r="R1074" i="5"/>
  <c r="J1074" i="5"/>
  <c r="B1074" i="5"/>
  <c r="AC200" i="5"/>
  <c r="AB173" i="5"/>
  <c r="AC168" i="5"/>
  <c r="W1067" i="5"/>
  <c r="O1067" i="5"/>
  <c r="G1067" i="5"/>
  <c r="AB129" i="5"/>
  <c r="AB125" i="5"/>
  <c r="AB97" i="5"/>
  <c r="AB93" i="5"/>
  <c r="AC88" i="5"/>
  <c r="W1063" i="5"/>
  <c r="O1063" i="5"/>
  <c r="G1063" i="5"/>
  <c r="AC63" i="5"/>
  <c r="AC41" i="5"/>
  <c r="AB39" i="5"/>
  <c r="AC33" i="5"/>
  <c r="AC32" i="5"/>
  <c r="AB28" i="5"/>
  <c r="AB25" i="5"/>
  <c r="AC20" i="5"/>
  <c r="AC358" i="5"/>
  <c r="AB341" i="5"/>
  <c r="AC336" i="5"/>
  <c r="AC318" i="5"/>
  <c r="O1081" i="5"/>
  <c r="AB289" i="5"/>
  <c r="AB285" i="5"/>
  <c r="AC280" i="5"/>
  <c r="AB245" i="5"/>
  <c r="AC240" i="5"/>
  <c r="Q1074" i="5"/>
  <c r="I1074" i="5"/>
  <c r="O1073" i="5"/>
  <c r="G1073" i="5"/>
  <c r="AB201" i="5"/>
  <c r="AB197" i="5"/>
  <c r="H1073" i="5"/>
  <c r="AC192" i="5"/>
  <c r="AB165" i="5"/>
  <c r="X1070" i="5"/>
  <c r="H1070" i="5"/>
  <c r="AC160" i="5"/>
  <c r="X1069" i="5"/>
  <c r="H1069" i="5"/>
  <c r="AB117" i="5"/>
  <c r="AB85" i="5"/>
  <c r="X1062" i="5"/>
  <c r="P1062" i="5"/>
  <c r="H1062" i="5"/>
  <c r="W1062" i="5"/>
  <c r="G1062" i="5"/>
  <c r="AB64" i="5"/>
  <c r="AB53" i="5"/>
  <c r="V1061" i="5"/>
  <c r="N1061" i="5"/>
  <c r="F1061" i="5"/>
  <c r="T1061" i="5"/>
  <c r="L1061" i="5"/>
  <c r="Q1060" i="5"/>
  <c r="H1060" i="5"/>
  <c r="U1060" i="5"/>
  <c r="T1059" i="5"/>
  <c r="L1059" i="5"/>
  <c r="AB33" i="5"/>
  <c r="AC30" i="5"/>
  <c r="AC21" i="5"/>
  <c r="AB21" i="5"/>
  <c r="AC18" i="5"/>
  <c r="H1083" i="5"/>
  <c r="AC320" i="5"/>
  <c r="AB317" i="5"/>
  <c r="AC312" i="5"/>
  <c r="AB309" i="5"/>
  <c r="AC304" i="5"/>
  <c r="AC294" i="5"/>
  <c r="AB277" i="5"/>
  <c r="AC272" i="5"/>
  <c r="AC262" i="5"/>
  <c r="AC254" i="5"/>
  <c r="W1077" i="5"/>
  <c r="O1077" i="5"/>
  <c r="G1077" i="5"/>
  <c r="AC232" i="5"/>
  <c r="J1075" i="5"/>
  <c r="AC224" i="5"/>
  <c r="AC207" i="5"/>
  <c r="AB193" i="5"/>
  <c r="AB189" i="5"/>
  <c r="AC184" i="5"/>
  <c r="W1070" i="5"/>
  <c r="O1070" i="5"/>
  <c r="G1070" i="5"/>
  <c r="AB161" i="5"/>
  <c r="AB157" i="5"/>
  <c r="AC152" i="5"/>
  <c r="AB149" i="5"/>
  <c r="AC144" i="5"/>
  <c r="AC136" i="5"/>
  <c r="R1066" i="5"/>
  <c r="J1066" i="5"/>
  <c r="B1066" i="5"/>
  <c r="P1065" i="5"/>
  <c r="H1065" i="5"/>
  <c r="AC104" i="5"/>
  <c r="AC67" i="5"/>
  <c r="U1061" i="5"/>
  <c r="V1060" i="5"/>
  <c r="AB43" i="5"/>
  <c r="U1059" i="5"/>
  <c r="AC26" i="5"/>
  <c r="AB361" i="5"/>
  <c r="AC352" i="5"/>
  <c r="AC342" i="5"/>
  <c r="X1084" i="5"/>
  <c r="P1084" i="5"/>
  <c r="I1084" i="5"/>
  <c r="AB321" i="5"/>
  <c r="AB301" i="5"/>
  <c r="AC296" i="5"/>
  <c r="AC286" i="5"/>
  <c r="AB269" i="5"/>
  <c r="AC256" i="5"/>
  <c r="W1076" i="5"/>
  <c r="O1076" i="5"/>
  <c r="G1076" i="5"/>
  <c r="W1075" i="5"/>
  <c r="O1075" i="5"/>
  <c r="AB225" i="5"/>
  <c r="AB221" i="5"/>
  <c r="AC216" i="5"/>
  <c r="AB181" i="5"/>
  <c r="AC176" i="5"/>
  <c r="H1071" i="5"/>
  <c r="W1069" i="5"/>
  <c r="O1069" i="5"/>
  <c r="G1069" i="5"/>
  <c r="AB142" i="5"/>
  <c r="W1068" i="5"/>
  <c r="O1068" i="5"/>
  <c r="G1068" i="5"/>
  <c r="R1068" i="5"/>
  <c r="J1068" i="5"/>
  <c r="B1068" i="5"/>
  <c r="AC128" i="5"/>
  <c r="W1065" i="5"/>
  <c r="G1065" i="5"/>
  <c r="AB105" i="5"/>
  <c r="AB101" i="5"/>
  <c r="AC96" i="5"/>
  <c r="AC72" i="5"/>
  <c r="AC68" i="5"/>
  <c r="AC59" i="5"/>
  <c r="AB57" i="5"/>
  <c r="AC52" i="5"/>
  <c r="X1060" i="5"/>
  <c r="P1060" i="5"/>
  <c r="AB31" i="5"/>
  <c r="AC24" i="5"/>
  <c r="AB17" i="5"/>
  <c r="G1105" i="3"/>
  <c r="C1105" i="3"/>
  <c r="A1106" i="3"/>
  <c r="E1105" i="3"/>
  <c r="F1105" i="3"/>
  <c r="H1105" i="3"/>
  <c r="B1105" i="3"/>
  <c r="I1105" i="3"/>
  <c r="J1105" i="3"/>
  <c r="D1105" i="3"/>
  <c r="B1105" i="2"/>
  <c r="K1105" i="2"/>
  <c r="E1105" i="2"/>
  <c r="C1105" i="2"/>
  <c r="F1105" i="2"/>
  <c r="G1105" i="2"/>
  <c r="J1105" i="2"/>
  <c r="H1105" i="2"/>
  <c r="A1106" i="2"/>
  <c r="I1105" i="2"/>
  <c r="S789" i="6"/>
  <c r="AC790" i="5"/>
  <c r="H1106" i="5"/>
  <c r="P1106" i="5"/>
  <c r="X1106" i="5"/>
  <c r="I1106" i="5"/>
  <c r="Q1106" i="5"/>
  <c r="K1106" i="5"/>
  <c r="U1106" i="5"/>
  <c r="D1106" i="5"/>
  <c r="O1106" i="5"/>
  <c r="E1106" i="5"/>
  <c r="R1106" i="5"/>
  <c r="F1106" i="5"/>
  <c r="S1106" i="5"/>
  <c r="L1106" i="5"/>
  <c r="W1106" i="5"/>
  <c r="J1106" i="5"/>
  <c r="M1106" i="5"/>
  <c r="N1106" i="5"/>
  <c r="V1106" i="5"/>
  <c r="C1106" i="5"/>
  <c r="G1106" i="5"/>
  <c r="T1106" i="5"/>
  <c r="A1107" i="5"/>
  <c r="B1106" i="5"/>
  <c r="I1098" i="3"/>
  <c r="H1094" i="3"/>
  <c r="E1089" i="3"/>
  <c r="D1087" i="3"/>
  <c r="D1083" i="3"/>
  <c r="I1078" i="3"/>
  <c r="AB390" i="5"/>
  <c r="H1089" i="5"/>
  <c r="H1068" i="5"/>
  <c r="AB133" i="5"/>
  <c r="X1066" i="5"/>
  <c r="I1066" i="5"/>
  <c r="T1096" i="6"/>
  <c r="I1095" i="6"/>
  <c r="I1081" i="6"/>
  <c r="L157" i="6"/>
  <c r="D1069" i="6"/>
  <c r="L156" i="6"/>
  <c r="F1069" i="6"/>
  <c r="L150" i="6"/>
  <c r="C1068" i="6"/>
  <c r="S42" i="6"/>
  <c r="S1059" i="6" s="1"/>
  <c r="Q1059" i="6"/>
  <c r="B1097" i="2"/>
  <c r="B1093" i="2"/>
  <c r="B1089" i="2"/>
  <c r="H1081" i="2"/>
  <c r="H1077" i="2"/>
  <c r="F1076" i="2"/>
  <c r="F1071" i="2"/>
  <c r="J1064" i="2"/>
  <c r="H1061" i="2"/>
  <c r="I1094" i="2"/>
  <c r="I1090" i="2"/>
  <c r="I1082" i="2"/>
  <c r="I1076" i="2"/>
  <c r="I1073" i="2"/>
  <c r="I1068" i="2"/>
  <c r="I1065" i="2"/>
  <c r="I1060" i="2"/>
  <c r="G1104" i="3"/>
  <c r="C1103" i="3"/>
  <c r="C1101" i="3"/>
  <c r="C1099" i="3"/>
  <c r="G1098" i="3"/>
  <c r="C1097" i="3"/>
  <c r="C1095" i="3"/>
  <c r="C1093" i="3"/>
  <c r="G1092" i="3"/>
  <c r="C1091" i="3"/>
  <c r="G1090" i="3"/>
  <c r="C1089" i="3"/>
  <c r="G1088" i="3"/>
  <c r="C1087" i="3"/>
  <c r="C1085" i="3"/>
  <c r="C1083" i="3"/>
  <c r="G1082" i="3"/>
  <c r="C1081" i="3"/>
  <c r="G1078" i="3"/>
  <c r="C1075" i="3"/>
  <c r="G1074" i="3"/>
  <c r="G1072" i="3"/>
  <c r="G1070" i="3"/>
  <c r="C1069" i="3"/>
  <c r="G1068" i="3"/>
  <c r="G1066" i="3"/>
  <c r="G1064" i="3"/>
  <c r="C1063" i="3"/>
  <c r="G1062" i="3"/>
  <c r="C1059" i="3"/>
  <c r="G1058" i="3"/>
  <c r="I1145" i="4"/>
  <c r="O1145" i="4"/>
  <c r="M1145" i="4"/>
  <c r="E1145" i="4"/>
  <c r="O1144" i="4"/>
  <c r="G1144" i="4"/>
  <c r="M1144" i="4"/>
  <c r="K1144" i="4"/>
  <c r="C1144" i="4"/>
  <c r="M1143" i="4"/>
  <c r="E1143" i="4"/>
  <c r="K1143" i="4"/>
  <c r="I1142" i="4"/>
  <c r="O1142" i="4"/>
  <c r="G1142" i="4"/>
  <c r="K1142" i="4"/>
  <c r="C1142" i="4"/>
  <c r="I1141" i="4"/>
  <c r="G1141" i="4"/>
  <c r="M1141" i="4"/>
  <c r="E1141" i="4"/>
  <c r="O1140" i="4"/>
  <c r="G1140" i="4"/>
  <c r="E1140" i="4"/>
  <c r="K1140" i="4"/>
  <c r="C1140" i="4"/>
  <c r="I1139" i="4"/>
  <c r="M1139" i="4"/>
  <c r="E1139" i="4"/>
  <c r="C1139" i="4"/>
  <c r="O1138" i="4"/>
  <c r="G1138" i="4"/>
  <c r="K1138" i="4"/>
  <c r="C1138" i="4"/>
  <c r="I1137" i="4"/>
  <c r="O1137" i="4"/>
  <c r="M1137" i="4"/>
  <c r="E1137" i="4"/>
  <c r="O1136" i="4"/>
  <c r="G1136" i="4"/>
  <c r="M1136" i="4"/>
  <c r="K1136" i="4"/>
  <c r="C1136" i="4"/>
  <c r="I1135" i="4"/>
  <c r="M1135" i="4"/>
  <c r="E1135" i="4"/>
  <c r="K1135" i="4"/>
  <c r="I1134" i="4"/>
  <c r="O1134" i="4"/>
  <c r="G1134" i="4"/>
  <c r="K1134" i="4"/>
  <c r="C1134" i="4"/>
  <c r="I1133" i="4"/>
  <c r="G1133" i="4"/>
  <c r="M1133" i="4"/>
  <c r="E1133" i="4"/>
  <c r="O1132" i="4"/>
  <c r="G1132" i="4"/>
  <c r="E1132" i="4"/>
  <c r="K1132" i="4"/>
  <c r="C1132" i="4"/>
  <c r="I1131" i="4"/>
  <c r="M1131" i="4"/>
  <c r="E1131" i="4"/>
  <c r="C1131" i="4"/>
  <c r="O1130" i="4"/>
  <c r="G1130" i="4"/>
  <c r="K1130" i="4"/>
  <c r="C1130" i="4"/>
  <c r="I1129" i="4"/>
  <c r="O1129" i="4"/>
  <c r="M1129" i="4"/>
  <c r="E1129" i="4"/>
  <c r="O1128" i="4"/>
  <c r="G1128" i="4"/>
  <c r="M1128" i="4"/>
  <c r="K1128" i="4"/>
  <c r="C1128" i="4"/>
  <c r="I1127" i="4"/>
  <c r="M1127" i="4"/>
  <c r="E1127" i="4"/>
  <c r="K1127" i="4"/>
  <c r="I1126" i="4"/>
  <c r="O1126" i="4"/>
  <c r="G1126" i="4"/>
  <c r="K1126" i="4"/>
  <c r="C1126" i="4"/>
  <c r="I1125" i="4"/>
  <c r="G1125" i="4"/>
  <c r="M1125" i="4"/>
  <c r="E1125" i="4"/>
  <c r="O1124" i="4"/>
  <c r="G1124" i="4"/>
  <c r="E1124" i="4"/>
  <c r="K1124" i="4"/>
  <c r="C1124" i="4"/>
  <c r="I1123" i="4"/>
  <c r="M1123" i="4"/>
  <c r="E1123" i="4"/>
  <c r="C1123" i="4"/>
  <c r="O1122" i="4"/>
  <c r="G1122" i="4"/>
  <c r="K1122" i="4"/>
  <c r="C1122" i="4"/>
  <c r="I1121" i="4"/>
  <c r="O1121" i="4"/>
  <c r="M1121" i="4"/>
  <c r="E1121" i="4"/>
  <c r="O1120" i="4"/>
  <c r="G1120" i="4"/>
  <c r="M1120" i="4"/>
  <c r="K1120" i="4"/>
  <c r="C1120" i="4"/>
  <c r="I1119" i="4"/>
  <c r="M1119" i="4"/>
  <c r="E1119" i="4"/>
  <c r="K1119" i="4"/>
  <c r="I1118" i="4"/>
  <c r="O1118" i="4"/>
  <c r="G1118" i="4"/>
  <c r="K1118" i="4"/>
  <c r="C1118" i="4"/>
  <c r="I1117" i="4"/>
  <c r="G1117" i="4"/>
  <c r="M1117" i="4"/>
  <c r="E1117" i="4"/>
  <c r="O1116" i="4"/>
  <c r="G1116" i="4"/>
  <c r="E1116" i="4"/>
  <c r="K1116" i="4"/>
  <c r="C1116" i="4"/>
  <c r="I1115" i="4"/>
  <c r="M1115" i="4"/>
  <c r="E1115" i="4"/>
  <c r="C1115" i="4"/>
  <c r="O1114" i="4"/>
  <c r="G1114" i="4"/>
  <c r="K1114" i="4"/>
  <c r="C1114" i="4"/>
  <c r="I1113" i="4"/>
  <c r="O1113" i="4"/>
  <c r="M1113" i="4"/>
  <c r="E1113" i="4"/>
  <c r="O1112" i="4"/>
  <c r="G1112" i="4"/>
  <c r="M1112" i="4"/>
  <c r="K1112" i="4"/>
  <c r="C1112" i="4"/>
  <c r="I1111" i="4"/>
  <c r="M1111" i="4"/>
  <c r="E1111" i="4"/>
  <c r="K1111" i="4"/>
  <c r="I1110" i="4"/>
  <c r="O1110" i="4"/>
  <c r="G1110" i="4"/>
  <c r="K1110" i="4"/>
  <c r="C1110" i="4"/>
  <c r="I1109" i="4"/>
  <c r="G1109" i="4"/>
  <c r="M1109" i="4"/>
  <c r="E1109" i="4"/>
  <c r="O1108" i="4"/>
  <c r="G1108" i="4"/>
  <c r="E1108" i="4"/>
  <c r="K1108" i="4"/>
  <c r="C1108" i="4"/>
  <c r="I1107" i="4"/>
  <c r="M1107" i="4"/>
  <c r="E1107" i="4"/>
  <c r="C1107" i="4"/>
  <c r="O1106" i="4"/>
  <c r="G1106" i="4"/>
  <c r="K1106" i="4"/>
  <c r="C1106" i="4"/>
  <c r="I1105" i="4"/>
  <c r="O1105" i="4"/>
  <c r="M1105" i="4"/>
  <c r="E1105" i="4"/>
  <c r="O1104" i="4"/>
  <c r="G1104" i="4"/>
  <c r="M1104" i="4"/>
  <c r="K1104" i="4"/>
  <c r="C1104" i="4"/>
  <c r="I1103" i="4"/>
  <c r="M1103" i="4"/>
  <c r="E1103" i="4"/>
  <c r="K1103" i="4"/>
  <c r="I1102" i="4"/>
  <c r="O1102" i="4"/>
  <c r="G1102" i="4"/>
  <c r="K1102" i="4"/>
  <c r="C1102" i="4"/>
  <c r="I1101" i="4"/>
  <c r="G1101" i="4"/>
  <c r="M1101" i="4"/>
  <c r="E1101" i="4"/>
  <c r="I1099" i="4"/>
  <c r="M1099" i="4"/>
  <c r="E1099" i="4"/>
  <c r="C1099" i="4"/>
  <c r="O1098" i="4"/>
  <c r="G1098" i="4"/>
  <c r="K1098" i="4"/>
  <c r="C1098" i="4"/>
  <c r="I1097" i="4"/>
  <c r="O1097" i="4"/>
  <c r="M1097" i="4"/>
  <c r="E1097" i="4"/>
  <c r="O1096" i="4"/>
  <c r="G1096" i="4"/>
  <c r="M1096" i="4"/>
  <c r="K1096" i="4"/>
  <c r="C1096" i="4"/>
  <c r="I1095" i="4"/>
  <c r="M1095" i="4"/>
  <c r="E1095" i="4"/>
  <c r="K1095" i="4"/>
  <c r="C1095" i="4"/>
  <c r="I1094" i="4"/>
  <c r="O1094" i="4"/>
  <c r="G1094" i="4"/>
  <c r="E1094" i="4"/>
  <c r="K1094" i="4"/>
  <c r="E1093" i="4"/>
  <c r="K1093" i="4"/>
  <c r="C1093" i="4"/>
  <c r="O1092" i="4"/>
  <c r="G1092" i="4"/>
  <c r="E1092" i="4"/>
  <c r="O1091" i="4"/>
  <c r="M1091" i="4"/>
  <c r="K1091" i="4"/>
  <c r="O1090" i="4"/>
  <c r="G1090" i="4"/>
  <c r="K1090" i="4"/>
  <c r="O1089" i="4"/>
  <c r="G1089" i="4"/>
  <c r="K1089" i="4"/>
  <c r="C1089" i="4"/>
  <c r="G1088" i="4"/>
  <c r="K1088" i="4"/>
  <c r="C1088" i="4"/>
  <c r="G1087" i="4"/>
  <c r="M1087" i="4"/>
  <c r="K1087" i="4"/>
  <c r="C1087" i="4"/>
  <c r="I1086" i="4"/>
  <c r="G1086" i="4"/>
  <c r="M1086" i="4"/>
  <c r="K1086" i="4"/>
  <c r="C1086" i="4"/>
  <c r="I1085" i="4"/>
  <c r="G1085" i="4"/>
  <c r="M1085" i="4"/>
  <c r="E1085" i="4"/>
  <c r="K1085" i="4"/>
  <c r="C1085" i="4"/>
  <c r="I1084" i="4"/>
  <c r="K1084" i="4"/>
  <c r="C1084" i="4"/>
  <c r="O1083" i="4"/>
  <c r="M1083" i="4"/>
  <c r="E1083" i="4"/>
  <c r="K1083" i="4"/>
  <c r="C1083" i="4"/>
  <c r="I1082" i="4"/>
  <c r="M1082" i="4"/>
  <c r="K1082" i="4"/>
  <c r="C1082" i="4"/>
  <c r="I1081" i="4"/>
  <c r="M1081" i="4"/>
  <c r="E1081" i="4"/>
  <c r="C1081" i="4"/>
  <c r="I1080" i="4"/>
  <c r="M1080" i="4"/>
  <c r="E1080" i="4"/>
  <c r="C1080" i="4"/>
  <c r="I1079" i="4"/>
  <c r="O1079" i="4"/>
  <c r="E1079" i="4"/>
  <c r="C1079" i="4"/>
  <c r="I1078" i="4"/>
  <c r="O1078" i="4"/>
  <c r="E1078" i="4"/>
  <c r="K1078" i="4"/>
  <c r="O1077" i="4"/>
  <c r="G1077" i="4"/>
  <c r="E1077" i="4"/>
  <c r="K1077" i="4"/>
  <c r="O1076" i="4"/>
  <c r="G1076" i="4"/>
  <c r="E1076" i="4"/>
  <c r="K1076" i="4"/>
  <c r="C1076" i="4"/>
  <c r="O1075" i="4"/>
  <c r="G1075" i="4"/>
  <c r="O1074" i="4"/>
  <c r="M1074" i="4"/>
  <c r="K1074" i="4"/>
  <c r="C1074" i="4"/>
  <c r="I1073" i="4"/>
  <c r="O1073" i="4"/>
  <c r="G1073" i="4"/>
  <c r="K1073" i="4"/>
  <c r="G1072" i="4"/>
  <c r="K1072" i="4"/>
  <c r="C1072" i="4"/>
  <c r="G1071" i="4"/>
  <c r="K1071" i="4"/>
  <c r="C1071" i="4"/>
  <c r="G1070" i="4"/>
  <c r="M1070" i="4"/>
  <c r="K1070" i="4"/>
  <c r="C1070" i="4"/>
  <c r="I1069" i="4"/>
  <c r="G1069" i="4"/>
  <c r="M1069" i="4"/>
  <c r="K1069" i="4"/>
  <c r="C1069" i="4"/>
  <c r="I1068" i="4"/>
  <c r="M1068" i="4"/>
  <c r="E1068" i="4"/>
  <c r="K1068" i="4"/>
  <c r="C1068" i="4"/>
  <c r="I1067" i="4"/>
  <c r="M1067" i="4"/>
  <c r="E1067" i="4"/>
  <c r="K1067" i="4"/>
  <c r="C1067" i="4"/>
  <c r="O1066" i="4"/>
  <c r="M1066" i="4"/>
  <c r="E1066" i="4"/>
  <c r="C1066" i="4"/>
  <c r="I1065" i="4"/>
  <c r="G1065" i="4"/>
  <c r="M1065" i="4"/>
  <c r="K1065" i="4"/>
  <c r="C1065" i="4"/>
  <c r="G1064" i="4"/>
  <c r="E1064" i="4"/>
  <c r="K1064" i="4"/>
  <c r="C1064" i="4"/>
  <c r="I1063" i="4"/>
  <c r="E1063" i="4"/>
  <c r="C1063" i="4"/>
  <c r="I1062" i="4"/>
  <c r="G1062" i="4"/>
  <c r="K1062" i="4"/>
  <c r="O1061" i="4"/>
  <c r="E1061" i="4"/>
  <c r="K1061" i="4"/>
  <c r="C1061" i="4"/>
  <c r="O1060" i="4"/>
  <c r="G1060" i="4"/>
  <c r="M1060" i="4"/>
  <c r="C1060" i="4"/>
  <c r="K1100" i="4"/>
  <c r="K1059" i="4"/>
  <c r="C1100" i="4"/>
  <c r="I1059" i="4"/>
  <c r="O1100" i="4"/>
  <c r="G1100" i="4"/>
  <c r="M1059" i="4"/>
  <c r="E1059" i="4"/>
  <c r="E1100" i="4"/>
  <c r="AB1055" i="5"/>
  <c r="AB1054" i="5"/>
  <c r="J1102" i="3"/>
  <c r="B1100" i="3"/>
  <c r="J1096" i="3"/>
  <c r="D1103" i="3"/>
  <c r="I1102" i="3"/>
  <c r="I1100" i="3"/>
  <c r="I1096" i="3"/>
  <c r="I1094" i="3"/>
  <c r="I1090" i="3"/>
  <c r="I1088" i="3"/>
  <c r="I1086" i="3"/>
  <c r="D1085" i="3"/>
  <c r="I1084" i="3"/>
  <c r="I1082" i="3"/>
  <c r="I1080" i="3"/>
  <c r="D1079" i="3"/>
  <c r="D1077" i="3"/>
  <c r="AC390" i="5"/>
  <c r="P1089" i="5"/>
  <c r="P1068" i="5"/>
  <c r="I1068" i="5"/>
  <c r="P1066" i="5"/>
  <c r="AB109" i="5"/>
  <c r="D1094" i="6"/>
  <c r="Q444" i="6"/>
  <c r="R1093" i="6"/>
  <c r="S327" i="6"/>
  <c r="S1083" i="6" s="1"/>
  <c r="Q1083" i="6"/>
  <c r="S304" i="6"/>
  <c r="L145" i="6"/>
  <c r="D1068" i="6"/>
  <c r="R1057" i="6"/>
  <c r="Q14" i="6"/>
  <c r="F1082" i="2"/>
  <c r="B1081" i="2"/>
  <c r="B1079" i="2"/>
  <c r="J1075" i="2"/>
  <c r="J1072" i="2"/>
  <c r="H1069" i="2"/>
  <c r="J1067" i="2"/>
  <c r="F1063" i="2"/>
  <c r="B1058" i="2"/>
  <c r="I1102" i="2"/>
  <c r="F1104" i="3"/>
  <c r="C1102" i="3"/>
  <c r="I1095" i="3"/>
  <c r="J1094" i="3"/>
  <c r="H1093" i="3"/>
  <c r="B1091" i="3"/>
  <c r="F1089" i="3"/>
  <c r="F1088" i="3"/>
  <c r="C1086" i="3"/>
  <c r="D1084" i="3"/>
  <c r="B1082" i="3"/>
  <c r="B1080" i="3"/>
  <c r="F1080" i="3"/>
  <c r="H1079" i="3"/>
  <c r="J1079" i="3"/>
  <c r="F1077" i="3"/>
  <c r="F1076" i="3"/>
  <c r="F1074" i="3"/>
  <c r="H1071" i="3"/>
  <c r="J1071" i="3"/>
  <c r="F1070" i="3"/>
  <c r="B1069" i="3"/>
  <c r="J1067" i="3"/>
  <c r="G1065" i="3"/>
  <c r="F1064" i="3"/>
  <c r="H1059" i="3"/>
  <c r="B1059" i="3"/>
  <c r="J1057" i="3"/>
  <c r="N1145" i="4"/>
  <c r="D1145" i="4"/>
  <c r="L1144" i="4"/>
  <c r="B1144" i="4"/>
  <c r="N1143" i="4"/>
  <c r="D1143" i="4"/>
  <c r="J1142" i="4"/>
  <c r="F1141" i="4"/>
  <c r="D1141" i="4"/>
  <c r="L1140" i="4"/>
  <c r="B1140" i="4"/>
  <c r="D1139" i="4"/>
  <c r="J1138" i="4"/>
  <c r="L1137" i="4"/>
  <c r="L1136" i="4"/>
  <c r="B1136" i="4"/>
  <c r="N1135" i="4"/>
  <c r="D1135" i="4"/>
  <c r="J1134" i="4"/>
  <c r="N1133" i="4"/>
  <c r="D1133" i="4"/>
  <c r="H1132" i="4"/>
  <c r="D1132" i="4"/>
  <c r="F1131" i="4"/>
  <c r="J1131" i="4"/>
  <c r="J1130" i="4"/>
  <c r="N1129" i="4"/>
  <c r="D1129" i="4"/>
  <c r="L1128" i="4"/>
  <c r="B1128" i="4"/>
  <c r="J1127" i="4"/>
  <c r="J1126" i="4"/>
  <c r="N1125" i="4"/>
  <c r="D1125" i="4"/>
  <c r="H1124" i="4"/>
  <c r="D1124" i="4"/>
  <c r="L1123" i="4"/>
  <c r="B1123" i="4"/>
  <c r="D1122" i="4"/>
  <c r="F1121" i="4"/>
  <c r="B1121" i="4"/>
  <c r="L1120" i="4"/>
  <c r="B1120" i="4"/>
  <c r="B1119" i="4"/>
  <c r="J1118" i="4"/>
  <c r="F1117" i="4"/>
  <c r="J1117" i="4"/>
  <c r="H1116" i="4"/>
  <c r="B1116" i="4"/>
  <c r="J1115" i="4"/>
  <c r="J1114" i="4"/>
  <c r="L1113" i="4"/>
  <c r="L1112" i="4"/>
  <c r="B1112" i="4"/>
  <c r="N1111" i="4"/>
  <c r="J1111" i="4"/>
  <c r="J1110" i="4"/>
  <c r="F1109" i="4"/>
  <c r="D1109" i="4"/>
  <c r="L1108" i="4"/>
  <c r="J1108" i="4"/>
  <c r="L1107" i="4"/>
  <c r="B1107" i="4"/>
  <c r="H1106" i="4"/>
  <c r="J1106" i="4"/>
  <c r="L1105" i="4"/>
  <c r="L1104" i="4"/>
  <c r="B1104" i="4"/>
  <c r="L1103" i="4"/>
  <c r="B1103" i="4"/>
  <c r="J1102" i="4"/>
  <c r="F1101" i="4"/>
  <c r="D1101" i="4"/>
  <c r="L1099" i="4"/>
  <c r="B1099" i="4"/>
  <c r="H1098" i="4"/>
  <c r="J1098" i="4"/>
  <c r="L1097" i="4"/>
  <c r="B1097" i="4"/>
  <c r="D1096" i="4"/>
  <c r="J1096" i="4"/>
  <c r="N1095" i="4"/>
  <c r="J1095" i="4"/>
  <c r="F1094" i="4"/>
  <c r="B1094" i="4"/>
  <c r="N1093" i="4"/>
  <c r="B1093" i="4"/>
  <c r="J1092" i="4"/>
  <c r="D1091" i="4"/>
  <c r="B1091" i="4"/>
  <c r="H1090" i="4"/>
  <c r="F1090" i="4"/>
  <c r="B1090" i="4"/>
  <c r="L1089" i="4"/>
  <c r="J1089" i="4"/>
  <c r="H1088" i="4"/>
  <c r="J1088" i="4"/>
  <c r="L1087" i="4"/>
  <c r="J1087" i="4"/>
  <c r="H1086" i="4"/>
  <c r="L1086" i="4"/>
  <c r="J1086" i="4"/>
  <c r="L1085" i="4"/>
  <c r="B1085" i="4"/>
  <c r="H1084" i="4"/>
  <c r="D1084" i="4"/>
  <c r="B1084" i="4"/>
  <c r="N1083" i="4"/>
  <c r="D1083" i="4"/>
  <c r="H1082" i="4"/>
  <c r="N1082" i="4"/>
  <c r="L1082" i="4"/>
  <c r="D1082" i="4"/>
  <c r="J1082" i="4"/>
  <c r="B1082" i="4"/>
  <c r="N1081" i="4"/>
  <c r="F1081" i="4"/>
  <c r="L1081" i="4"/>
  <c r="D1081" i="4"/>
  <c r="J1081" i="4"/>
  <c r="L1080" i="4"/>
  <c r="D1080" i="4"/>
  <c r="J1080" i="4"/>
  <c r="B1080" i="4"/>
  <c r="H1079" i="4"/>
  <c r="N1079" i="4"/>
  <c r="F1079" i="4"/>
  <c r="L1079" i="4"/>
  <c r="D1079" i="4"/>
  <c r="H1078" i="4"/>
  <c r="N1078" i="4"/>
  <c r="L1078" i="4"/>
  <c r="D1078" i="4"/>
  <c r="J1078" i="4"/>
  <c r="B1078" i="4"/>
  <c r="N1077" i="4"/>
  <c r="F1077" i="4"/>
  <c r="D1077" i="4"/>
  <c r="J1077" i="4"/>
  <c r="D1076" i="4"/>
  <c r="J1076" i="4"/>
  <c r="B1076" i="4"/>
  <c r="N1075" i="4"/>
  <c r="F1075" i="4"/>
  <c r="L1075" i="4"/>
  <c r="D1075" i="4"/>
  <c r="J1075" i="4"/>
  <c r="B1075" i="4"/>
  <c r="N1074" i="4"/>
  <c r="F1074" i="4"/>
  <c r="L1074" i="4"/>
  <c r="J1074" i="4"/>
  <c r="B1074" i="4"/>
  <c r="F1073" i="4"/>
  <c r="B1073" i="4"/>
  <c r="H1072" i="4"/>
  <c r="L1072" i="4"/>
  <c r="J1072" i="4"/>
  <c r="H1071" i="4"/>
  <c r="D1071" i="4"/>
  <c r="J1071" i="4"/>
  <c r="F1070" i="4"/>
  <c r="D1070" i="4"/>
  <c r="J1070" i="4"/>
  <c r="F1069" i="4"/>
  <c r="B1069" i="4"/>
  <c r="L1068" i="4"/>
  <c r="B1068" i="4"/>
  <c r="L1067" i="4"/>
  <c r="B1067" i="4"/>
  <c r="H1066" i="4"/>
  <c r="D1066" i="4"/>
  <c r="B1066" i="4"/>
  <c r="N1065" i="4"/>
  <c r="L1065" i="4"/>
  <c r="J1065" i="4"/>
  <c r="L1064" i="4"/>
  <c r="J1064" i="4"/>
  <c r="N1063" i="4"/>
  <c r="D1063" i="4"/>
  <c r="H1062" i="4"/>
  <c r="F1062" i="4"/>
  <c r="B1062" i="4"/>
  <c r="L1061" i="4"/>
  <c r="G1099" i="2"/>
  <c r="G1095" i="2"/>
  <c r="G1087" i="2"/>
  <c r="G1083" i="2"/>
  <c r="G1078" i="2"/>
  <c r="G1075" i="2"/>
  <c r="G1070" i="2"/>
  <c r="G1067" i="2"/>
  <c r="G1062" i="2"/>
  <c r="G1059" i="2"/>
  <c r="C1057" i="2"/>
  <c r="I1101" i="3"/>
  <c r="H1099" i="3"/>
  <c r="D1094" i="3"/>
  <c r="I1085" i="3"/>
  <c r="H1083" i="3"/>
  <c r="H1075" i="3"/>
  <c r="I1069" i="3"/>
  <c r="D1066" i="3"/>
  <c r="I1063" i="3"/>
  <c r="H1062" i="3"/>
  <c r="F1061" i="3"/>
  <c r="D1060" i="3"/>
  <c r="AB1048" i="5"/>
  <c r="AB1024" i="5"/>
  <c r="AB1022" i="5"/>
  <c r="AB742" i="5"/>
  <c r="AB741" i="5"/>
  <c r="AC737" i="5"/>
  <c r="AC649" i="5"/>
  <c r="F1103" i="3"/>
  <c r="F1097" i="3"/>
  <c r="B1096" i="3"/>
  <c r="AB132" i="5"/>
  <c r="B1067" i="5"/>
  <c r="E1103" i="3"/>
  <c r="D1101" i="3"/>
  <c r="H1100" i="3"/>
  <c r="I1092" i="3"/>
  <c r="H1090" i="3"/>
  <c r="H1084" i="3"/>
  <c r="Q1068" i="5"/>
  <c r="Q1066" i="5"/>
  <c r="S646" i="6"/>
  <c r="AC647" i="5"/>
  <c r="F1096" i="6"/>
  <c r="Q468" i="6"/>
  <c r="R1095" i="6"/>
  <c r="L410" i="6"/>
  <c r="C1090" i="6"/>
  <c r="L362" i="6"/>
  <c r="C1086" i="6"/>
  <c r="L346" i="6"/>
  <c r="C1084" i="6"/>
  <c r="B1101" i="2"/>
  <c r="B1085" i="2"/>
  <c r="J1080" i="2"/>
  <c r="B1074" i="2"/>
  <c r="H1066" i="2"/>
  <c r="J1059" i="2"/>
  <c r="H1058" i="2"/>
  <c r="AC688" i="5"/>
  <c r="I1086" i="2"/>
  <c r="D1104" i="3"/>
  <c r="D1102" i="3"/>
  <c r="C1100" i="3"/>
  <c r="J1097" i="3"/>
  <c r="I1093" i="3"/>
  <c r="F1091" i="3"/>
  <c r="I1091" i="3"/>
  <c r="F1090" i="3"/>
  <c r="D1088" i="3"/>
  <c r="F1086" i="3"/>
  <c r="B1084" i="3"/>
  <c r="B1083" i="3"/>
  <c r="J1081" i="3"/>
  <c r="J1080" i="3"/>
  <c r="B1079" i="3"/>
  <c r="F1078" i="3"/>
  <c r="G1077" i="3"/>
  <c r="D1076" i="3"/>
  <c r="J1075" i="3"/>
  <c r="J1073" i="3"/>
  <c r="G1071" i="3"/>
  <c r="E1070" i="3"/>
  <c r="C1068" i="3"/>
  <c r="B1067" i="3"/>
  <c r="I1065" i="3"/>
  <c r="J1063" i="3"/>
  <c r="J1061" i="3"/>
  <c r="G1059" i="3"/>
  <c r="J1059" i="3"/>
  <c r="F1058" i="3"/>
  <c r="H1057" i="3"/>
  <c r="L1145" i="4"/>
  <c r="D1144" i="4"/>
  <c r="L1143" i="4"/>
  <c r="B1143" i="4"/>
  <c r="H1142" i="4"/>
  <c r="B1142" i="4"/>
  <c r="L1141" i="4"/>
  <c r="H1140" i="4"/>
  <c r="J1140" i="4"/>
  <c r="L1139" i="4"/>
  <c r="J1139" i="4"/>
  <c r="D1138" i="4"/>
  <c r="F1137" i="4"/>
  <c r="B1137" i="4"/>
  <c r="D1136" i="4"/>
  <c r="J1135" i="4"/>
  <c r="L1134" i="4"/>
  <c r="F1133" i="4"/>
  <c r="J1133" i="4"/>
  <c r="L1132" i="4"/>
  <c r="B1132" i="4"/>
  <c r="D1131" i="4"/>
  <c r="D1130" i="4"/>
  <c r="L1129" i="4"/>
  <c r="D1128" i="4"/>
  <c r="L1127" i="4"/>
  <c r="B1127" i="4"/>
  <c r="L1126" i="4"/>
  <c r="F1125" i="4"/>
  <c r="J1125" i="4"/>
  <c r="L1124" i="4"/>
  <c r="B1124" i="4"/>
  <c r="D1123" i="4"/>
  <c r="J1122" i="4"/>
  <c r="N1121" i="4"/>
  <c r="D1121" i="4"/>
  <c r="J1120" i="4"/>
  <c r="L1119" i="4"/>
  <c r="J1119" i="4"/>
  <c r="L1118" i="4"/>
  <c r="N1117" i="4"/>
  <c r="D1117" i="4"/>
  <c r="D1116" i="4"/>
  <c r="L1115" i="4"/>
  <c r="B1115" i="4"/>
  <c r="H1114" i="4"/>
  <c r="B1114" i="4"/>
  <c r="N1113" i="4"/>
  <c r="D1113" i="4"/>
  <c r="D1112" i="4"/>
  <c r="L1111" i="4"/>
  <c r="B1111" i="4"/>
  <c r="H1110" i="4"/>
  <c r="B1110" i="4"/>
  <c r="N1109" i="4"/>
  <c r="J1109" i="4"/>
  <c r="H1108" i="4"/>
  <c r="B1108" i="4"/>
  <c r="F1107" i="4"/>
  <c r="J1107" i="4"/>
  <c r="B1106" i="4"/>
  <c r="N1105" i="4"/>
  <c r="D1105" i="4"/>
  <c r="D1104" i="4"/>
  <c r="N1103" i="4"/>
  <c r="J1103" i="4"/>
  <c r="H1102" i="4"/>
  <c r="N1101" i="4"/>
  <c r="F1099" i="4"/>
  <c r="J1099" i="4"/>
  <c r="D1098" i="4"/>
  <c r="F1097" i="4"/>
  <c r="N1073" i="4"/>
  <c r="L1073" i="4"/>
  <c r="J1073" i="4"/>
  <c r="D1072" i="4"/>
  <c r="B1072" i="4"/>
  <c r="F1071" i="4"/>
  <c r="L1071" i="4"/>
  <c r="B1071" i="4"/>
  <c r="N1070" i="4"/>
  <c r="L1070" i="4"/>
  <c r="B1070" i="4"/>
  <c r="L1069" i="4"/>
  <c r="J1069" i="4"/>
  <c r="H1068" i="4"/>
  <c r="D1068" i="4"/>
  <c r="H1067" i="4"/>
  <c r="D1067" i="4"/>
  <c r="N1066" i="4"/>
  <c r="L1066" i="4"/>
  <c r="J1066" i="4"/>
  <c r="F1065" i="4"/>
  <c r="B1065" i="4"/>
  <c r="D1064" i="4"/>
  <c r="B1064" i="4"/>
  <c r="H1063" i="4"/>
  <c r="L1063" i="4"/>
  <c r="B1063" i="4"/>
  <c r="N1062" i="4"/>
  <c r="L1062" i="4"/>
  <c r="J1062" i="4"/>
  <c r="H1061" i="4"/>
  <c r="N1061" i="4"/>
  <c r="F1061" i="4"/>
  <c r="D1061" i="4"/>
  <c r="J1061" i="4"/>
  <c r="B1061" i="4"/>
  <c r="H1060" i="4"/>
  <c r="N1060" i="4"/>
  <c r="F1060" i="4"/>
  <c r="L1060" i="4"/>
  <c r="D1060" i="4"/>
  <c r="B1060" i="4"/>
  <c r="J1100" i="4"/>
  <c r="J1059" i="4"/>
  <c r="B1100" i="4"/>
  <c r="H1059" i="4"/>
  <c r="H1100" i="4"/>
  <c r="N1100" i="4"/>
  <c r="F1059" i="4"/>
  <c r="F1100" i="4"/>
  <c r="L1059" i="4"/>
  <c r="L1100" i="4"/>
  <c r="D1059" i="4"/>
  <c r="D1100" i="4"/>
  <c r="G1103" i="2"/>
  <c r="G1091" i="2"/>
  <c r="Q1101" i="5"/>
  <c r="I1101" i="5"/>
  <c r="C1087" i="6"/>
  <c r="B1098" i="3"/>
  <c r="AB108" i="5"/>
  <c r="I1104" i="3"/>
  <c r="E1101" i="3"/>
  <c r="D1099" i="3"/>
  <c r="E1095" i="3"/>
  <c r="D1093" i="3"/>
  <c r="H1092" i="3"/>
  <c r="E1087" i="3"/>
  <c r="E1085" i="3"/>
  <c r="H1078" i="3"/>
  <c r="E1077" i="3"/>
  <c r="X1068" i="5"/>
  <c r="H1066" i="5"/>
  <c r="I1096" i="6"/>
  <c r="L482" i="6"/>
  <c r="D1096" i="6"/>
  <c r="N1095" i="6"/>
  <c r="S460" i="6"/>
  <c r="AC461" i="5"/>
  <c r="L426" i="6"/>
  <c r="C1091" i="6"/>
  <c r="S260" i="6"/>
  <c r="AC261" i="5"/>
  <c r="F1079" i="2"/>
  <c r="H1074" i="2"/>
  <c r="B1071" i="2"/>
  <c r="F1068" i="2"/>
  <c r="B1066" i="2"/>
  <c r="B1063" i="2"/>
  <c r="F1060" i="2"/>
  <c r="AC720" i="5"/>
  <c r="I1098" i="2"/>
  <c r="J1103" i="3"/>
  <c r="F1102" i="3"/>
  <c r="B1101" i="3"/>
  <c r="D1100" i="3"/>
  <c r="B1099" i="3"/>
  <c r="C1098" i="3"/>
  <c r="B1097" i="3"/>
  <c r="F1096" i="3"/>
  <c r="J1095" i="3"/>
  <c r="J1093" i="3"/>
  <c r="J1092" i="3"/>
  <c r="H1091" i="3"/>
  <c r="H1089" i="3"/>
  <c r="F1087" i="3"/>
  <c r="J1087" i="3"/>
  <c r="D1086" i="3"/>
  <c r="B1085" i="3"/>
  <c r="C1084" i="3"/>
  <c r="C1082" i="3"/>
  <c r="B1081" i="3"/>
  <c r="I1079" i="3"/>
  <c r="C1076" i="3"/>
  <c r="B1075" i="3"/>
  <c r="I1073" i="3"/>
  <c r="B1071" i="3"/>
  <c r="D1070" i="3"/>
  <c r="I1067" i="3"/>
  <c r="B1065" i="3"/>
  <c r="D1064" i="3"/>
  <c r="B1063" i="3"/>
  <c r="D1062" i="3"/>
  <c r="B1061" i="3"/>
  <c r="I1059" i="3"/>
  <c r="E1058" i="3"/>
  <c r="F1145" i="4"/>
  <c r="B1145" i="4"/>
  <c r="J1144" i="4"/>
  <c r="J1143" i="4"/>
  <c r="L1142" i="4"/>
  <c r="N1141" i="4"/>
  <c r="J1141" i="4"/>
  <c r="D1140" i="4"/>
  <c r="F1139" i="4"/>
  <c r="B1139" i="4"/>
  <c r="H1138" i="4"/>
  <c r="B1138" i="4"/>
  <c r="N1137" i="4"/>
  <c r="D1137" i="4"/>
  <c r="J1136" i="4"/>
  <c r="L1135" i="4"/>
  <c r="B1135" i="4"/>
  <c r="H1134" i="4"/>
  <c r="B1134" i="4"/>
  <c r="L1133" i="4"/>
  <c r="J1132" i="4"/>
  <c r="L1131" i="4"/>
  <c r="B1131" i="4"/>
  <c r="H1130" i="4"/>
  <c r="B1130" i="4"/>
  <c r="F1129" i="4"/>
  <c r="B1129" i="4"/>
  <c r="J1128" i="4"/>
  <c r="N1127" i="4"/>
  <c r="D1127" i="4"/>
  <c r="H1126" i="4"/>
  <c r="B1126" i="4"/>
  <c r="L1125" i="4"/>
  <c r="J1124" i="4"/>
  <c r="F1123" i="4"/>
  <c r="J1123" i="4"/>
  <c r="H1122" i="4"/>
  <c r="B1122" i="4"/>
  <c r="L1121" i="4"/>
  <c r="D1120" i="4"/>
  <c r="N1119" i="4"/>
  <c r="D1119" i="4"/>
  <c r="H1118" i="4"/>
  <c r="B1118" i="4"/>
  <c r="L1117" i="4"/>
  <c r="L1116" i="4"/>
  <c r="J1116" i="4"/>
  <c r="F1115" i="4"/>
  <c r="D1115" i="4"/>
  <c r="D1114" i="4"/>
  <c r="F1113" i="4"/>
  <c r="B1113" i="4"/>
  <c r="J1112" i="4"/>
  <c r="D1111" i="4"/>
  <c r="L1110" i="4"/>
  <c r="L1109" i="4"/>
  <c r="D1108" i="4"/>
  <c r="D1107" i="4"/>
  <c r="D1106" i="4"/>
  <c r="F1105" i="4"/>
  <c r="B1105" i="4"/>
  <c r="J1104" i="4"/>
  <c r="D1103" i="4"/>
  <c r="L1102" i="4"/>
  <c r="B1102" i="4"/>
  <c r="L1101" i="4"/>
  <c r="J1101" i="4"/>
  <c r="D1099" i="4"/>
  <c r="B1098" i="4"/>
  <c r="N1097" i="4"/>
  <c r="D1097" i="4"/>
  <c r="L1096" i="4"/>
  <c r="B1096" i="4"/>
  <c r="L1095" i="4"/>
  <c r="D1095" i="4"/>
  <c r="N1094" i="4"/>
  <c r="D1094" i="4"/>
  <c r="J1094" i="4"/>
  <c r="F1093" i="4"/>
  <c r="J1093" i="4"/>
  <c r="D1092" i="4"/>
  <c r="B1092" i="4"/>
  <c r="F1091" i="4"/>
  <c r="L1091" i="4"/>
  <c r="J1091" i="4"/>
  <c r="L1090" i="4"/>
  <c r="J1090" i="4"/>
  <c r="F1089" i="4"/>
  <c r="D1089" i="4"/>
  <c r="B1089" i="4"/>
  <c r="B1088" i="4"/>
  <c r="N1087" i="4"/>
  <c r="D1087" i="4"/>
  <c r="B1087" i="4"/>
  <c r="B1086" i="4"/>
  <c r="D1085" i="4"/>
  <c r="L1084" i="4"/>
  <c r="H1083" i="4"/>
  <c r="L1083" i="4"/>
  <c r="B1083" i="4"/>
  <c r="E1104" i="2"/>
  <c r="K1101" i="2"/>
  <c r="E1100" i="2"/>
  <c r="K1097" i="2"/>
  <c r="E1096" i="2"/>
  <c r="K1093" i="2"/>
  <c r="E1092" i="2"/>
  <c r="K1089" i="2"/>
  <c r="E1088" i="2"/>
  <c r="K1085" i="2"/>
  <c r="E1084" i="2"/>
  <c r="C1083" i="2"/>
  <c r="K1081" i="2"/>
  <c r="E1080" i="2"/>
  <c r="K1079" i="2"/>
  <c r="C1078" i="2"/>
  <c r="E1077" i="2"/>
  <c r="K1074" i="2"/>
  <c r="C1073" i="2"/>
  <c r="E1072" i="2"/>
  <c r="K1071" i="2"/>
  <c r="C1070" i="2"/>
  <c r="E1069" i="2"/>
  <c r="K1066" i="2"/>
  <c r="C1065" i="2"/>
  <c r="E1064" i="2"/>
  <c r="K1063" i="2"/>
  <c r="C1062" i="2"/>
  <c r="E1061" i="2"/>
  <c r="K1058" i="2"/>
  <c r="I1057" i="2"/>
  <c r="C1092" i="3"/>
  <c r="B1090" i="3"/>
  <c r="J1086" i="3"/>
  <c r="F1081" i="3"/>
  <c r="B1078" i="3"/>
  <c r="J1076" i="3"/>
  <c r="E1073" i="3"/>
  <c r="C1072" i="3"/>
  <c r="J1070" i="3"/>
  <c r="E1067" i="3"/>
  <c r="AC486" i="5"/>
  <c r="N1097" i="5"/>
  <c r="AB470" i="5"/>
  <c r="P1087" i="5"/>
  <c r="H1087" i="5"/>
  <c r="AB366" i="5"/>
  <c r="H1084" i="5"/>
  <c r="AB326" i="5"/>
  <c r="S758" i="6"/>
  <c r="AC759" i="5"/>
  <c r="S733" i="6"/>
  <c r="AC734" i="5"/>
  <c r="S588" i="6"/>
  <c r="AC589" i="5"/>
  <c r="S508" i="6"/>
  <c r="AC509" i="5"/>
  <c r="L507" i="6"/>
  <c r="C1101" i="6"/>
  <c r="C1104" i="6"/>
  <c r="C1103" i="6"/>
  <c r="C1102" i="6"/>
  <c r="D1101" i="6"/>
  <c r="D1103" i="6"/>
  <c r="D1100" i="6"/>
  <c r="D1104" i="6"/>
  <c r="D1102" i="6"/>
  <c r="H1098" i="6"/>
  <c r="H1100" i="6"/>
  <c r="H1102" i="6"/>
  <c r="H1104" i="6"/>
  <c r="H1103" i="6"/>
  <c r="H1101" i="6"/>
  <c r="H1099" i="6"/>
  <c r="N1102" i="6"/>
  <c r="N1104" i="6"/>
  <c r="N1101" i="6"/>
  <c r="N1103" i="6"/>
  <c r="Q502" i="6"/>
  <c r="R1101" i="6"/>
  <c r="R1103" i="6"/>
  <c r="R1100" i="6"/>
  <c r="R1102" i="6"/>
  <c r="R1104" i="6"/>
  <c r="S495" i="6"/>
  <c r="S429" i="6"/>
  <c r="AC430" i="5"/>
  <c r="S426" i="6"/>
  <c r="Q1091" i="6"/>
  <c r="S413" i="6"/>
  <c r="AC414" i="5"/>
  <c r="S410" i="6"/>
  <c r="Q1090" i="6"/>
  <c r="S397" i="6"/>
  <c r="S1089" i="6" s="1"/>
  <c r="AC398" i="5"/>
  <c r="Q1089" i="6"/>
  <c r="S394" i="6"/>
  <c r="S1088" i="6" s="1"/>
  <c r="Q1088" i="6"/>
  <c r="S381" i="6"/>
  <c r="AC382" i="5"/>
  <c r="S378" i="6"/>
  <c r="S1087" i="6" s="1"/>
  <c r="Q1087" i="6"/>
  <c r="S365" i="6"/>
  <c r="AC366" i="5"/>
  <c r="S362" i="6"/>
  <c r="Q1086" i="6"/>
  <c r="S349" i="6"/>
  <c r="S1085" i="6" s="1"/>
  <c r="Q1085" i="6"/>
  <c r="AC350" i="5"/>
  <c r="S346" i="6"/>
  <c r="S1084" i="6" s="1"/>
  <c r="Q1084" i="6"/>
  <c r="L328" i="6"/>
  <c r="H1083" i="6"/>
  <c r="L159" i="6"/>
  <c r="E1069" i="6"/>
  <c r="S150" i="6"/>
  <c r="AC151" i="5"/>
  <c r="I1143" i="4"/>
  <c r="AB993" i="5"/>
  <c r="AB982" i="5"/>
  <c r="AB981" i="5"/>
  <c r="AC874" i="5"/>
  <c r="AB874" i="5"/>
  <c r="AC835" i="5"/>
  <c r="AC752" i="5"/>
  <c r="AC586" i="5"/>
  <c r="AB586" i="5"/>
  <c r="V1103" i="5"/>
  <c r="N1103" i="5"/>
  <c r="AC553" i="5"/>
  <c r="F1103" i="5"/>
  <c r="AC547" i="5"/>
  <c r="E1104" i="3"/>
  <c r="E1102" i="3"/>
  <c r="E1100" i="3"/>
  <c r="E1098" i="3"/>
  <c r="E1096" i="3"/>
  <c r="E1094" i="3"/>
  <c r="E1092" i="3"/>
  <c r="E1090" i="3"/>
  <c r="E1088" i="3"/>
  <c r="E1086" i="3"/>
  <c r="E1084" i="3"/>
  <c r="E1082" i="3"/>
  <c r="E1080" i="3"/>
  <c r="H1077" i="3"/>
  <c r="E1076" i="3"/>
  <c r="H1073" i="3"/>
  <c r="E1072" i="3"/>
  <c r="H1069" i="3"/>
  <c r="E1068" i="3"/>
  <c r="H1065" i="3"/>
  <c r="E1064" i="3"/>
  <c r="H1061" i="3"/>
  <c r="E1060" i="3"/>
  <c r="H1145" i="4"/>
  <c r="N1144" i="4"/>
  <c r="F1144" i="4"/>
  <c r="H1143" i="4"/>
  <c r="N1142" i="4"/>
  <c r="F1142" i="4"/>
  <c r="H1141" i="4"/>
  <c r="N1140" i="4"/>
  <c r="F1140" i="4"/>
  <c r="H1139" i="4"/>
  <c r="N1138" i="4"/>
  <c r="F1138" i="4"/>
  <c r="H1137" i="4"/>
  <c r="N1136" i="4"/>
  <c r="F1136" i="4"/>
  <c r="H1135" i="4"/>
  <c r="N1134" i="4"/>
  <c r="F1134" i="4"/>
  <c r="H1133" i="4"/>
  <c r="N1132" i="4"/>
  <c r="F1132" i="4"/>
  <c r="H1131" i="4"/>
  <c r="N1130" i="4"/>
  <c r="F1130" i="4"/>
  <c r="H1129" i="4"/>
  <c r="N1128" i="4"/>
  <c r="F1128" i="4"/>
  <c r="H1127" i="4"/>
  <c r="N1126" i="4"/>
  <c r="F1126" i="4"/>
  <c r="H1125" i="4"/>
  <c r="N1124" i="4"/>
  <c r="F1124" i="4"/>
  <c r="H1123" i="4"/>
  <c r="N1122" i="4"/>
  <c r="F1122" i="4"/>
  <c r="H1121" i="4"/>
  <c r="N1120" i="4"/>
  <c r="F1120" i="4"/>
  <c r="H1119" i="4"/>
  <c r="N1118" i="4"/>
  <c r="F1118" i="4"/>
  <c r="H1117" i="4"/>
  <c r="N1116" i="4"/>
  <c r="F1116" i="4"/>
  <c r="H1115" i="4"/>
  <c r="N1114" i="4"/>
  <c r="F1114" i="4"/>
  <c r="H1113" i="4"/>
  <c r="N1112" i="4"/>
  <c r="F1112" i="4"/>
  <c r="H1111" i="4"/>
  <c r="N1110" i="4"/>
  <c r="F1110" i="4"/>
  <c r="H1109" i="4"/>
  <c r="N1108" i="4"/>
  <c r="F1108" i="4"/>
  <c r="H1107" i="4"/>
  <c r="N1106" i="4"/>
  <c r="F1106" i="4"/>
  <c r="H1105" i="4"/>
  <c r="N1104" i="4"/>
  <c r="F1104" i="4"/>
  <c r="H1103" i="4"/>
  <c r="N1102" i="4"/>
  <c r="F1102" i="4"/>
  <c r="H1101" i="4"/>
  <c r="H1099" i="4"/>
  <c r="N1098" i="4"/>
  <c r="F1098" i="4"/>
  <c r="H1097" i="4"/>
  <c r="N1096" i="4"/>
  <c r="F1096" i="4"/>
  <c r="H1095" i="4"/>
  <c r="H1094" i="4"/>
  <c r="N1091" i="4"/>
  <c r="N1090" i="4"/>
  <c r="N1089" i="4"/>
  <c r="F1087" i="4"/>
  <c r="F1086" i="4"/>
  <c r="F1085" i="4"/>
  <c r="H1080" i="4"/>
  <c r="AB1044" i="5"/>
  <c r="AC938" i="5"/>
  <c r="AB938" i="5"/>
  <c r="AC800" i="5"/>
  <c r="G1098" i="5"/>
  <c r="AB421" i="5"/>
  <c r="AB420" i="5"/>
  <c r="B1091" i="5"/>
  <c r="AC413" i="5"/>
  <c r="M1091" i="5"/>
  <c r="AB357" i="5"/>
  <c r="J1086" i="5"/>
  <c r="AB356" i="5"/>
  <c r="B1086" i="5"/>
  <c r="AB237" i="5"/>
  <c r="R1076" i="5"/>
  <c r="J1076" i="5"/>
  <c r="AB236" i="5"/>
  <c r="M1094" i="4"/>
  <c r="I1093" i="4"/>
  <c r="M1093" i="4"/>
  <c r="I1092" i="4"/>
  <c r="M1092" i="4"/>
  <c r="I1091" i="4"/>
  <c r="E1091" i="4"/>
  <c r="I1090" i="4"/>
  <c r="E1090" i="4"/>
  <c r="E1089" i="4"/>
  <c r="O1088" i="4"/>
  <c r="E1088" i="4"/>
  <c r="O1087" i="4"/>
  <c r="O1086" i="4"/>
  <c r="O1085" i="4"/>
  <c r="G1084" i="4"/>
  <c r="G1083" i="4"/>
  <c r="G1082" i="4"/>
  <c r="G1081" i="4"/>
  <c r="M1079" i="4"/>
  <c r="M1078" i="4"/>
  <c r="I1077" i="4"/>
  <c r="M1077" i="4"/>
  <c r="I1076" i="4"/>
  <c r="M1076" i="4"/>
  <c r="I1075" i="4"/>
  <c r="E1075" i="4"/>
  <c r="I1074" i="4"/>
  <c r="E1074" i="4"/>
  <c r="E1073" i="4"/>
  <c r="O1072" i="4"/>
  <c r="E1072" i="4"/>
  <c r="O1071" i="4"/>
  <c r="O1070" i="4"/>
  <c r="O1069" i="4"/>
  <c r="G1068" i="4"/>
  <c r="G1067" i="4"/>
  <c r="G1066" i="4"/>
  <c r="O1064" i="4"/>
  <c r="M1063" i="4"/>
  <c r="I1061" i="4"/>
  <c r="AB1047" i="5"/>
  <c r="AB1045" i="5"/>
  <c r="AB869" i="5"/>
  <c r="AB854" i="5"/>
  <c r="AB853" i="5"/>
  <c r="AB790" i="5"/>
  <c r="AB789" i="5"/>
  <c r="AB581" i="5"/>
  <c r="AC577" i="5"/>
  <c r="N1105" i="5"/>
  <c r="F1105" i="5"/>
  <c r="AB577" i="5"/>
  <c r="AB566" i="5"/>
  <c r="R1104" i="5"/>
  <c r="J1104" i="5"/>
  <c r="AB565" i="5"/>
  <c r="AB137" i="5"/>
  <c r="AC69" i="5"/>
  <c r="O1062" i="5"/>
  <c r="AC44" i="5"/>
  <c r="M1060" i="5"/>
  <c r="AB44" i="5"/>
  <c r="D1060" i="5"/>
  <c r="AB34" i="5"/>
  <c r="C1059" i="5"/>
  <c r="V1059" i="5"/>
  <c r="N1059" i="5"/>
  <c r="G1103" i="3"/>
  <c r="G1101" i="3"/>
  <c r="G1099" i="3"/>
  <c r="G1097" i="3"/>
  <c r="G1095" i="3"/>
  <c r="G1093" i="3"/>
  <c r="G1091" i="3"/>
  <c r="G1089" i="3"/>
  <c r="G1087" i="3"/>
  <c r="G1085" i="3"/>
  <c r="G1083" i="3"/>
  <c r="G1081" i="3"/>
  <c r="F1079" i="3"/>
  <c r="C1078" i="3"/>
  <c r="F1075" i="3"/>
  <c r="C1074" i="3"/>
  <c r="F1071" i="3"/>
  <c r="C1070" i="3"/>
  <c r="D1069" i="3"/>
  <c r="I1068" i="3"/>
  <c r="F1067" i="3"/>
  <c r="C1066" i="3"/>
  <c r="D1065" i="3"/>
  <c r="I1064" i="3"/>
  <c r="F1063" i="3"/>
  <c r="C1062" i="3"/>
  <c r="D1061" i="3"/>
  <c r="I1060" i="3"/>
  <c r="F1059" i="3"/>
  <c r="C1058" i="3"/>
  <c r="D1057" i="3"/>
  <c r="AB1015" i="5"/>
  <c r="AC970" i="5"/>
  <c r="AB970" i="5"/>
  <c r="AB837" i="5"/>
  <c r="AC833" i="5"/>
  <c r="AB833" i="5"/>
  <c r="AB822" i="5"/>
  <c r="AB821" i="5"/>
  <c r="AB806" i="5"/>
  <c r="AB805" i="5"/>
  <c r="AC801" i="5"/>
  <c r="AB801" i="5"/>
  <c r="Q1105" i="5"/>
  <c r="R1102" i="5"/>
  <c r="J1102" i="5"/>
  <c r="AB549" i="5"/>
  <c r="B1102" i="5"/>
  <c r="AC545" i="5"/>
  <c r="N1102" i="5"/>
  <c r="AB545" i="5"/>
  <c r="AB534" i="5"/>
  <c r="AB533" i="5"/>
  <c r="AB529" i="5"/>
  <c r="AB518" i="5"/>
  <c r="R1100" i="5"/>
  <c r="J1100" i="5"/>
  <c r="AB517" i="5"/>
  <c r="B1100" i="5"/>
  <c r="AC513" i="5"/>
  <c r="AB513" i="5"/>
  <c r="X1099" i="5"/>
  <c r="P1099" i="5"/>
  <c r="H1099" i="5"/>
  <c r="AB503" i="5"/>
  <c r="Q1078" i="5"/>
  <c r="I1078" i="5"/>
  <c r="AB1027" i="5"/>
  <c r="AB1018" i="5"/>
  <c r="AC944" i="5"/>
  <c r="AC906" i="5"/>
  <c r="AB906" i="5"/>
  <c r="AC867" i="5"/>
  <c r="AB773" i="5"/>
  <c r="AC769" i="5"/>
  <c r="AB769" i="5"/>
  <c r="AB758" i="5"/>
  <c r="AB757" i="5"/>
  <c r="AB726" i="5"/>
  <c r="AB725" i="5"/>
  <c r="AC656" i="5"/>
  <c r="AC623" i="5"/>
  <c r="AC618" i="5"/>
  <c r="AB618" i="5"/>
  <c r="U1105" i="5"/>
  <c r="AC579" i="5"/>
  <c r="M1105" i="5"/>
  <c r="H1100" i="5"/>
  <c r="Q1100" i="5"/>
  <c r="I1100" i="5"/>
  <c r="V1098" i="5"/>
  <c r="AB493" i="5"/>
  <c r="F1098" i="5"/>
  <c r="AB491" i="5"/>
  <c r="D1097" i="5"/>
  <c r="U1097" i="5"/>
  <c r="AC484" i="5"/>
  <c r="M1097" i="5"/>
  <c r="AB484" i="5"/>
  <c r="E1097" i="5"/>
  <c r="AC477" i="5"/>
  <c r="K1096" i="5"/>
  <c r="AC445" i="5"/>
  <c r="R1089" i="5"/>
  <c r="J1089" i="5"/>
  <c r="AB388" i="5"/>
  <c r="B1089" i="5"/>
  <c r="X1089" i="5"/>
  <c r="R1087" i="5"/>
  <c r="AB364" i="5"/>
  <c r="AB261" i="5"/>
  <c r="R1078" i="5"/>
  <c r="J1078" i="5"/>
  <c r="AB260" i="5"/>
  <c r="B1078" i="5"/>
  <c r="S926" i="6"/>
  <c r="AC927" i="5"/>
  <c r="H1093" i="4"/>
  <c r="N1092" i="4"/>
  <c r="F1092" i="4"/>
  <c r="H1089" i="4"/>
  <c r="N1088" i="4"/>
  <c r="F1088" i="4"/>
  <c r="H1085" i="4"/>
  <c r="N1084" i="4"/>
  <c r="F1084" i="4"/>
  <c r="H1081" i="4"/>
  <c r="N1080" i="4"/>
  <c r="F1080" i="4"/>
  <c r="H1077" i="4"/>
  <c r="N1076" i="4"/>
  <c r="F1076" i="4"/>
  <c r="H1073" i="4"/>
  <c r="N1072" i="4"/>
  <c r="F1072" i="4"/>
  <c r="H1069" i="4"/>
  <c r="N1068" i="4"/>
  <c r="F1068" i="4"/>
  <c r="H1065" i="4"/>
  <c r="N1064" i="4"/>
  <c r="F1064" i="4"/>
  <c r="AC1050" i="5"/>
  <c r="AC1049" i="5"/>
  <c r="AC1024" i="5"/>
  <c r="AB996" i="5"/>
  <c r="AC988" i="5"/>
  <c r="AB965" i="5"/>
  <c r="AC961" i="5"/>
  <c r="AB961" i="5"/>
  <c r="AB950" i="5"/>
  <c r="AB949" i="5"/>
  <c r="AC880" i="5"/>
  <c r="AC842" i="5"/>
  <c r="AB842" i="5"/>
  <c r="AC803" i="5"/>
  <c r="AB677" i="5"/>
  <c r="AC673" i="5"/>
  <c r="AB673" i="5"/>
  <c r="AB662" i="5"/>
  <c r="AB661" i="5"/>
  <c r="AC607" i="5"/>
  <c r="AC604" i="5"/>
  <c r="AC592" i="5"/>
  <c r="W1104" i="5"/>
  <c r="AC559" i="5"/>
  <c r="AC554" i="5"/>
  <c r="M1103" i="5"/>
  <c r="AB554" i="5"/>
  <c r="E1103" i="5"/>
  <c r="V1100" i="5"/>
  <c r="AC521" i="5"/>
  <c r="N1100" i="5"/>
  <c r="F1100" i="5"/>
  <c r="AC515" i="5"/>
  <c r="J1094" i="5"/>
  <c r="AB450" i="5"/>
  <c r="O1094" i="5"/>
  <c r="AC422" i="5"/>
  <c r="P1092" i="5"/>
  <c r="H1092" i="5"/>
  <c r="I1092" i="5"/>
  <c r="X1074" i="5"/>
  <c r="P1074" i="5"/>
  <c r="H1074" i="5"/>
  <c r="AB206" i="5"/>
  <c r="AB1074" i="5" s="1"/>
  <c r="I1064" i="4"/>
  <c r="O1063" i="4"/>
  <c r="G1063" i="4"/>
  <c r="M1062" i="4"/>
  <c r="E1062" i="4"/>
  <c r="I1060" i="4"/>
  <c r="O1059" i="4"/>
  <c r="G1059" i="4"/>
  <c r="AC1051" i="5"/>
  <c r="AB1050" i="5"/>
  <c r="AB1040" i="5"/>
  <c r="AB1036" i="5"/>
  <c r="AB1032" i="5"/>
  <c r="AB1031" i="5"/>
  <c r="AB933" i="5"/>
  <c r="AB918" i="5"/>
  <c r="AB917" i="5"/>
  <c r="AC864" i="5"/>
  <c r="AC771" i="5"/>
  <c r="AB645" i="5"/>
  <c r="AB630" i="5"/>
  <c r="AB629" i="5"/>
  <c r="AB538" i="5"/>
  <c r="E1101" i="5"/>
  <c r="W1099" i="5"/>
  <c r="O1099" i="5"/>
  <c r="AC508" i="5"/>
  <c r="G1099" i="5"/>
  <c r="W1098" i="5"/>
  <c r="M1098" i="5"/>
  <c r="AC487" i="5"/>
  <c r="AB476" i="5"/>
  <c r="Q1096" i="5"/>
  <c r="AC467" i="5"/>
  <c r="M1095" i="5"/>
  <c r="AB460" i="5"/>
  <c r="AB458" i="5"/>
  <c r="R1095" i="5"/>
  <c r="J1095" i="5"/>
  <c r="AB457" i="5"/>
  <c r="B1095" i="5"/>
  <c r="AB455" i="5"/>
  <c r="R1081" i="5"/>
  <c r="J1081" i="5"/>
  <c r="AB292" i="5"/>
  <c r="B1081" i="5"/>
  <c r="R1079" i="5"/>
  <c r="J1079" i="5"/>
  <c r="AB268" i="5"/>
  <c r="B1079" i="5"/>
  <c r="AC264" i="5"/>
  <c r="R1070" i="5"/>
  <c r="J1070" i="5"/>
  <c r="AB164" i="5"/>
  <c r="B1070" i="5"/>
  <c r="AC1054" i="5"/>
  <c r="AC1053" i="5"/>
  <c r="AB1041" i="5"/>
  <c r="AB1014" i="5"/>
  <c r="AB1001" i="5"/>
  <c r="AB901" i="5"/>
  <c r="AC897" i="5"/>
  <c r="AB897" i="5"/>
  <c r="AB886" i="5"/>
  <c r="AB885" i="5"/>
  <c r="AC816" i="5"/>
  <c r="AC778" i="5"/>
  <c r="AB778" i="5"/>
  <c r="AC745" i="5"/>
  <c r="AC739" i="5"/>
  <c r="AC707" i="5"/>
  <c r="AB613" i="5"/>
  <c r="AC609" i="5"/>
  <c r="AB609" i="5"/>
  <c r="AB598" i="5"/>
  <c r="AB597" i="5"/>
  <c r="AB593" i="5"/>
  <c r="O1105" i="5"/>
  <c r="G1105" i="5"/>
  <c r="AC544" i="5"/>
  <c r="O1102" i="5"/>
  <c r="G1102" i="5"/>
  <c r="AC540" i="5"/>
  <c r="AC528" i="5"/>
  <c r="AC501" i="5"/>
  <c r="AC482" i="5"/>
  <c r="O1097" i="5"/>
  <c r="H1095" i="5"/>
  <c r="AB333" i="5"/>
  <c r="J1084" i="5"/>
  <c r="AB332" i="5"/>
  <c r="B1084" i="5"/>
  <c r="AC328" i="5"/>
  <c r="I1081" i="5"/>
  <c r="Q1079" i="5"/>
  <c r="I1079" i="5"/>
  <c r="X1076" i="5"/>
  <c r="P1076" i="5"/>
  <c r="H1076" i="5"/>
  <c r="AB230" i="5"/>
  <c r="Q1076" i="5"/>
  <c r="Q1070" i="5"/>
  <c r="I1070" i="5"/>
  <c r="AB1030" i="5"/>
  <c r="AB1020" i="5"/>
  <c r="AC1009" i="5"/>
  <c r="AB1009" i="5"/>
  <c r="AC997" i="5"/>
  <c r="AB995" i="5"/>
  <c r="AC986" i="5"/>
  <c r="AB986" i="5"/>
  <c r="AB973" i="5"/>
  <c r="AC962" i="5"/>
  <c r="AB962" i="5"/>
  <c r="AB941" i="5"/>
  <c r="AC930" i="5"/>
  <c r="AB930" i="5"/>
  <c r="AB909" i="5"/>
  <c r="AC898" i="5"/>
  <c r="AB898" i="5"/>
  <c r="AB877" i="5"/>
  <c r="AC866" i="5"/>
  <c r="AB866" i="5"/>
  <c r="AB845" i="5"/>
  <c r="AC834" i="5"/>
  <c r="AB834" i="5"/>
  <c r="AB813" i="5"/>
  <c r="AC802" i="5"/>
  <c r="AB802" i="5"/>
  <c r="AB781" i="5"/>
  <c r="AC770" i="5"/>
  <c r="AB770" i="5"/>
  <c r="AB749" i="5"/>
  <c r="AC738" i="5"/>
  <c r="AB738" i="5"/>
  <c r="AB717" i="5"/>
  <c r="AC706" i="5"/>
  <c r="AB706" i="5"/>
  <c r="AB685" i="5"/>
  <c r="AC674" i="5"/>
  <c r="AB674" i="5"/>
  <c r="AB653" i="5"/>
  <c r="AC642" i="5"/>
  <c r="AB642" i="5"/>
  <c r="AB621" i="5"/>
  <c r="AC615" i="5"/>
  <c r="AC610" i="5"/>
  <c r="AB610" i="5"/>
  <c r="AB589" i="5"/>
  <c r="AC583" i="5"/>
  <c r="AC578" i="5"/>
  <c r="AB578" i="5"/>
  <c r="E1105" i="5"/>
  <c r="AB557" i="5"/>
  <c r="W1103" i="5"/>
  <c r="O1103" i="5"/>
  <c r="G1103" i="5"/>
  <c r="AC551" i="5"/>
  <c r="AC546" i="5"/>
  <c r="AB546" i="5"/>
  <c r="AB525" i="5"/>
  <c r="G1100" i="5"/>
  <c r="AC519" i="5"/>
  <c r="AC514" i="5"/>
  <c r="AB514" i="5"/>
  <c r="AB499" i="5"/>
  <c r="AC494" i="5"/>
  <c r="AB494" i="5"/>
  <c r="E1098" i="5"/>
  <c r="AB475" i="5"/>
  <c r="AB471" i="5"/>
  <c r="AB463" i="5"/>
  <c r="S1095" i="5"/>
  <c r="AB453" i="5"/>
  <c r="C1094" i="5"/>
  <c r="AB449" i="5"/>
  <c r="W1094" i="5"/>
  <c r="U1091" i="5"/>
  <c r="L1091" i="5"/>
  <c r="X1087" i="5"/>
  <c r="AB329" i="5"/>
  <c r="AB233" i="5"/>
  <c r="AB140" i="5"/>
  <c r="AB1056" i="5"/>
  <c r="AC1043" i="5"/>
  <c r="AC1042" i="5"/>
  <c r="AC1012" i="5"/>
  <c r="AB998" i="5"/>
  <c r="AC989" i="5"/>
  <c r="AB987" i="5"/>
  <c r="AC977" i="5"/>
  <c r="AC971" i="5"/>
  <c r="AC945" i="5"/>
  <c r="AC939" i="5"/>
  <c r="AC913" i="5"/>
  <c r="AC907" i="5"/>
  <c r="AC881" i="5"/>
  <c r="AC875" i="5"/>
  <c r="AC849" i="5"/>
  <c r="AC843" i="5"/>
  <c r="AC817" i="5"/>
  <c r="AC811" i="5"/>
  <c r="AC785" i="5"/>
  <c r="AC779" i="5"/>
  <c r="AC753" i="5"/>
  <c r="AC747" i="5"/>
  <c r="AC721" i="5"/>
  <c r="AC715" i="5"/>
  <c r="AC689" i="5"/>
  <c r="AC683" i="5"/>
  <c r="AC657" i="5"/>
  <c r="AC652" i="5"/>
  <c r="AC651" i="5"/>
  <c r="AC625" i="5"/>
  <c r="AC620" i="5"/>
  <c r="AC619" i="5"/>
  <c r="AC593" i="5"/>
  <c r="AC588" i="5"/>
  <c r="AC587" i="5"/>
  <c r="I1104" i="5"/>
  <c r="AC561" i="5"/>
  <c r="AC556" i="5"/>
  <c r="AC555" i="5"/>
  <c r="AC529" i="5"/>
  <c r="AC524" i="5"/>
  <c r="AC523" i="5"/>
  <c r="AC498" i="5"/>
  <c r="AC497" i="5"/>
  <c r="AC489" i="5"/>
  <c r="AB488" i="5"/>
  <c r="AB466" i="5"/>
  <c r="I1095" i="5"/>
  <c r="AC437" i="5"/>
  <c r="AB428" i="5"/>
  <c r="AB396" i="5"/>
  <c r="AB300" i="5"/>
  <c r="R1073" i="5"/>
  <c r="J1073" i="5"/>
  <c r="AB196" i="5"/>
  <c r="B1073" i="5"/>
  <c r="AB172" i="5"/>
  <c r="AC51" i="5"/>
  <c r="AB49" i="5"/>
  <c r="AA1059" i="5"/>
  <c r="R1059" i="5"/>
  <c r="I1059" i="5"/>
  <c r="AC29" i="5"/>
  <c r="AC1059" i="5" s="1"/>
  <c r="AC1026" i="5"/>
  <c r="AC1025" i="5"/>
  <c r="AC1013" i="5"/>
  <c r="AB1011" i="5"/>
  <c r="AB1004" i="5"/>
  <c r="AC984" i="5"/>
  <c r="AC978" i="5"/>
  <c r="AB978" i="5"/>
  <c r="AB957" i="5"/>
  <c r="AC946" i="5"/>
  <c r="AB946" i="5"/>
  <c r="AB925" i="5"/>
  <c r="AC914" i="5"/>
  <c r="AB914" i="5"/>
  <c r="AB893" i="5"/>
  <c r="AC882" i="5"/>
  <c r="AB882" i="5"/>
  <c r="AB861" i="5"/>
  <c r="AC850" i="5"/>
  <c r="AB850" i="5"/>
  <c r="AB829" i="5"/>
  <c r="AC818" i="5"/>
  <c r="AB818" i="5"/>
  <c r="AB797" i="5"/>
  <c r="AC786" i="5"/>
  <c r="AB786" i="5"/>
  <c r="AB765" i="5"/>
  <c r="AC754" i="5"/>
  <c r="AB754" i="5"/>
  <c r="AB733" i="5"/>
  <c r="AC722" i="5"/>
  <c r="AB722" i="5"/>
  <c r="AB701" i="5"/>
  <c r="AC690" i="5"/>
  <c r="AB690" i="5"/>
  <c r="AB669" i="5"/>
  <c r="AC658" i="5"/>
  <c r="AB658" i="5"/>
  <c r="AB637" i="5"/>
  <c r="AC631" i="5"/>
  <c r="AC626" i="5"/>
  <c r="AB626" i="5"/>
  <c r="AB605" i="5"/>
  <c r="AC599" i="5"/>
  <c r="AC594" i="5"/>
  <c r="AB594" i="5"/>
  <c r="AB573" i="5"/>
  <c r="AC567" i="5"/>
  <c r="AC562" i="5"/>
  <c r="AB562" i="5"/>
  <c r="AB541" i="5"/>
  <c r="AC535" i="5"/>
  <c r="AC530" i="5"/>
  <c r="M1101" i="5"/>
  <c r="AB530" i="5"/>
  <c r="AB509" i="5"/>
  <c r="V1099" i="5"/>
  <c r="N1099" i="5"/>
  <c r="F1099" i="5"/>
  <c r="AC504" i="5"/>
  <c r="AB504" i="5"/>
  <c r="AC490" i="5"/>
  <c r="T1096" i="5"/>
  <c r="L1096" i="5"/>
  <c r="D1096" i="5"/>
  <c r="AB425" i="5"/>
  <c r="AB413" i="5"/>
  <c r="X1090" i="5"/>
  <c r="P1090" i="5"/>
  <c r="H1090" i="5"/>
  <c r="Q1090" i="5"/>
  <c r="I1090" i="5"/>
  <c r="AB393" i="5"/>
  <c r="X1082" i="5"/>
  <c r="AC302" i="5"/>
  <c r="P1082" i="5"/>
  <c r="H1082" i="5"/>
  <c r="Q1082" i="5"/>
  <c r="I1082" i="5"/>
  <c r="AB297" i="5"/>
  <c r="Q1073" i="5"/>
  <c r="W1073" i="5"/>
  <c r="Q1071" i="5"/>
  <c r="I1071" i="5"/>
  <c r="AB169" i="5"/>
  <c r="R1065" i="5"/>
  <c r="J1065" i="5"/>
  <c r="AB100" i="5"/>
  <c r="B1065" i="5"/>
  <c r="X1065" i="5"/>
  <c r="AB76" i="5"/>
  <c r="AB1052" i="5"/>
  <c r="AB1043" i="5"/>
  <c r="AC1035" i="5"/>
  <c r="AC1034" i="5"/>
  <c r="AC1027" i="5"/>
  <c r="AB1026" i="5"/>
  <c r="AB1013" i="5"/>
  <c r="AC1007" i="5"/>
  <c r="AB999" i="5"/>
  <c r="AC979" i="5"/>
  <c r="AC953" i="5"/>
  <c r="AC947" i="5"/>
  <c r="AC921" i="5"/>
  <c r="AC915" i="5"/>
  <c r="AC889" i="5"/>
  <c r="AC883" i="5"/>
  <c r="AC857" i="5"/>
  <c r="AC851" i="5"/>
  <c r="AC825" i="5"/>
  <c r="AC819" i="5"/>
  <c r="AC793" i="5"/>
  <c r="AC787" i="5"/>
  <c r="AC761" i="5"/>
  <c r="AC755" i="5"/>
  <c r="AC729" i="5"/>
  <c r="AC723" i="5"/>
  <c r="AC697" i="5"/>
  <c r="AC691" i="5"/>
  <c r="AC665" i="5"/>
  <c r="AC660" i="5"/>
  <c r="AC659" i="5"/>
  <c r="AC633" i="5"/>
  <c r="AC628" i="5"/>
  <c r="AC627" i="5"/>
  <c r="AC601" i="5"/>
  <c r="AC596" i="5"/>
  <c r="AC595" i="5"/>
  <c r="AC569" i="5"/>
  <c r="AC564" i="5"/>
  <c r="AC563" i="5"/>
  <c r="X1102" i="5"/>
  <c r="P1102" i="5"/>
  <c r="H1102" i="5"/>
  <c r="Q1102" i="5"/>
  <c r="I1102" i="5"/>
  <c r="AC537" i="5"/>
  <c r="AC532" i="5"/>
  <c r="AC531" i="5"/>
  <c r="U1099" i="5"/>
  <c r="AC505" i="5"/>
  <c r="AC1099" i="5" s="1"/>
  <c r="O1098" i="5"/>
  <c r="AB469" i="5"/>
  <c r="C1096" i="5"/>
  <c r="AB468" i="5"/>
  <c r="AB324" i="5"/>
  <c r="B1076" i="5"/>
  <c r="AB228" i="5"/>
  <c r="AB204" i="5"/>
  <c r="O1065" i="5"/>
  <c r="AB73" i="5"/>
  <c r="AB997" i="5"/>
  <c r="AC980" i="5"/>
  <c r="AC972" i="5"/>
  <c r="AC964" i="5"/>
  <c r="AC956" i="5"/>
  <c r="AC948" i="5"/>
  <c r="AC940" i="5"/>
  <c r="AC932" i="5"/>
  <c r="AC924" i="5"/>
  <c r="AC916" i="5"/>
  <c r="AC908" i="5"/>
  <c r="AC900" i="5"/>
  <c r="AC892" i="5"/>
  <c r="AC884" i="5"/>
  <c r="AC876" i="5"/>
  <c r="AC868" i="5"/>
  <c r="AC860" i="5"/>
  <c r="AC852" i="5"/>
  <c r="AC844" i="5"/>
  <c r="AC836" i="5"/>
  <c r="AC828" i="5"/>
  <c r="AC820" i="5"/>
  <c r="AC812" i="5"/>
  <c r="AC804" i="5"/>
  <c r="AC796" i="5"/>
  <c r="AC788" i="5"/>
  <c r="AC780" i="5"/>
  <c r="AC772" i="5"/>
  <c r="AC764" i="5"/>
  <c r="AC756" i="5"/>
  <c r="AC748" i="5"/>
  <c r="AC740" i="5"/>
  <c r="AC732" i="5"/>
  <c r="AC724" i="5"/>
  <c r="AC716" i="5"/>
  <c r="AC708" i="5"/>
  <c r="AC700" i="5"/>
  <c r="AC692" i="5"/>
  <c r="AC684" i="5"/>
  <c r="AC676" i="5"/>
  <c r="AC668" i="5"/>
  <c r="AB496" i="5"/>
  <c r="AB495" i="5"/>
  <c r="AB485" i="5"/>
  <c r="R1097" i="5"/>
  <c r="J1097" i="5"/>
  <c r="AB481" i="5"/>
  <c r="B1097" i="5"/>
  <c r="AB477" i="5"/>
  <c r="AB467" i="5"/>
  <c r="W1095" i="5"/>
  <c r="O1095" i="5"/>
  <c r="G1095" i="5"/>
  <c r="AC453" i="5"/>
  <c r="AC449" i="5"/>
  <c r="AB446" i="5"/>
  <c r="R1093" i="5"/>
  <c r="J1093" i="5"/>
  <c r="AB436" i="5"/>
  <c r="B1093" i="5"/>
  <c r="AB404" i="5"/>
  <c r="AB372" i="5"/>
  <c r="R1085" i="5"/>
  <c r="J1085" i="5"/>
  <c r="AB340" i="5"/>
  <c r="B1085" i="5"/>
  <c r="AB308" i="5"/>
  <c r="AB276" i="5"/>
  <c r="AB244" i="5"/>
  <c r="AB212" i="5"/>
  <c r="AB180" i="5"/>
  <c r="AB148" i="5"/>
  <c r="AB116" i="5"/>
  <c r="AB84" i="5"/>
  <c r="B1083" i="6"/>
  <c r="A1084" i="6"/>
  <c r="AB1028" i="5"/>
  <c r="AC1019" i="5"/>
  <c r="AC1018" i="5"/>
  <c r="AB1012" i="5"/>
  <c r="AC1003" i="5"/>
  <c r="AC1002" i="5"/>
  <c r="AB988" i="5"/>
  <c r="AB979" i="5"/>
  <c r="AB971" i="5"/>
  <c r="AB963" i="5"/>
  <c r="AB955" i="5"/>
  <c r="AB947" i="5"/>
  <c r="AB939" i="5"/>
  <c r="AB931" i="5"/>
  <c r="AB923" i="5"/>
  <c r="AB915" i="5"/>
  <c r="AB907" i="5"/>
  <c r="AB899" i="5"/>
  <c r="AB891" i="5"/>
  <c r="AB883" i="5"/>
  <c r="AB875" i="5"/>
  <c r="AB867" i="5"/>
  <c r="AB859" i="5"/>
  <c r="AB851" i="5"/>
  <c r="AB843" i="5"/>
  <c r="AB835" i="5"/>
  <c r="AB827" i="5"/>
  <c r="AB819" i="5"/>
  <c r="AB811" i="5"/>
  <c r="AB803" i="5"/>
  <c r="AB795" i="5"/>
  <c r="AB787" i="5"/>
  <c r="AB779" i="5"/>
  <c r="AB771" i="5"/>
  <c r="U1104" i="5"/>
  <c r="M1104" i="5"/>
  <c r="E1104" i="5"/>
  <c r="U1100" i="5"/>
  <c r="M1100" i="5"/>
  <c r="E1100" i="5"/>
  <c r="AB492" i="5"/>
  <c r="AB486" i="5"/>
  <c r="AB482" i="5"/>
  <c r="AC463" i="5"/>
  <c r="AC462" i="5"/>
  <c r="V1095" i="5"/>
  <c r="N1095" i="5"/>
  <c r="F1095" i="5"/>
  <c r="AC454" i="5"/>
  <c r="AC452" i="5"/>
  <c r="AB433" i="5"/>
  <c r="AB401" i="5"/>
  <c r="AB369" i="5"/>
  <c r="AB337" i="5"/>
  <c r="AB305" i="5"/>
  <c r="AB273" i="5"/>
  <c r="AB241" i="5"/>
  <c r="X1075" i="5"/>
  <c r="P1075" i="5"/>
  <c r="H1075" i="5"/>
  <c r="AB209" i="5"/>
  <c r="AB177" i="5"/>
  <c r="AB145" i="5"/>
  <c r="X1067" i="5"/>
  <c r="P1067" i="5"/>
  <c r="H1067" i="5"/>
  <c r="AB113" i="5"/>
  <c r="AB81" i="5"/>
  <c r="AB989" i="5"/>
  <c r="AB763" i="5"/>
  <c r="AB755" i="5"/>
  <c r="AB747" i="5"/>
  <c r="AB739" i="5"/>
  <c r="AB731" i="5"/>
  <c r="AB723" i="5"/>
  <c r="AB715" i="5"/>
  <c r="AB707" i="5"/>
  <c r="AB699" i="5"/>
  <c r="AB691" i="5"/>
  <c r="AB683" i="5"/>
  <c r="AB675" i="5"/>
  <c r="AB667" i="5"/>
  <c r="AB659" i="5"/>
  <c r="AB651" i="5"/>
  <c r="AB643" i="5"/>
  <c r="AB635" i="5"/>
  <c r="AB627" i="5"/>
  <c r="AB619" i="5"/>
  <c r="AB611" i="5"/>
  <c r="AB603" i="5"/>
  <c r="AB595" i="5"/>
  <c r="AB587" i="5"/>
  <c r="S1105" i="5"/>
  <c r="K1105" i="5"/>
  <c r="C1105" i="5"/>
  <c r="AB579" i="5"/>
  <c r="AB571" i="5"/>
  <c r="T1104" i="5"/>
  <c r="L1104" i="5"/>
  <c r="D1104" i="5"/>
  <c r="AB563" i="5"/>
  <c r="AB555" i="5"/>
  <c r="AB547" i="5"/>
  <c r="AB539" i="5"/>
  <c r="S1101" i="5"/>
  <c r="K1101" i="5"/>
  <c r="C1101" i="5"/>
  <c r="AB531" i="5"/>
  <c r="AB523" i="5"/>
  <c r="T1100" i="5"/>
  <c r="L1100" i="5"/>
  <c r="D1100" i="5"/>
  <c r="AB515" i="5"/>
  <c r="AB507" i="5"/>
  <c r="X1098" i="5"/>
  <c r="P1098" i="5"/>
  <c r="H1098" i="5"/>
  <c r="Q1098" i="5"/>
  <c r="I1098" i="5"/>
  <c r="AB489" i="5"/>
  <c r="AB487" i="5"/>
  <c r="AB448" i="5"/>
  <c r="AB447" i="5"/>
  <c r="Q1094" i="5"/>
  <c r="I1094" i="5"/>
  <c r="AB412" i="5"/>
  <c r="AB380" i="5"/>
  <c r="AB348" i="5"/>
  <c r="AB316" i="5"/>
  <c r="AB284" i="5"/>
  <c r="AB252" i="5"/>
  <c r="AB220" i="5"/>
  <c r="AB188" i="5"/>
  <c r="AB156" i="5"/>
  <c r="AB124" i="5"/>
  <c r="AB92" i="5"/>
  <c r="AB40" i="5"/>
  <c r="G1060" i="5"/>
  <c r="AB1051" i="5"/>
  <c r="AB1035" i="5"/>
  <c r="AB1019" i="5"/>
  <c r="AB1003" i="5"/>
  <c r="AC995" i="5"/>
  <c r="AC994" i="5"/>
  <c r="AB980" i="5"/>
  <c r="AB976" i="5"/>
  <c r="AB972" i="5"/>
  <c r="AB968" i="5"/>
  <c r="AB964" i="5"/>
  <c r="AB960" i="5"/>
  <c r="AB956" i="5"/>
  <c r="AB952" i="5"/>
  <c r="AB948" i="5"/>
  <c r="AB944" i="5"/>
  <c r="AB940" i="5"/>
  <c r="AB936" i="5"/>
  <c r="AB932" i="5"/>
  <c r="AB928" i="5"/>
  <c r="AB924" i="5"/>
  <c r="AB920" i="5"/>
  <c r="AB916" i="5"/>
  <c r="AB912" i="5"/>
  <c r="AB908" i="5"/>
  <c r="AB904" i="5"/>
  <c r="AB900" i="5"/>
  <c r="AB896" i="5"/>
  <c r="AB892" i="5"/>
  <c r="AB888" i="5"/>
  <c r="AB884" i="5"/>
  <c r="AB880" i="5"/>
  <c r="AB876" i="5"/>
  <c r="AB872" i="5"/>
  <c r="AB868" i="5"/>
  <c r="AB864" i="5"/>
  <c r="AB860" i="5"/>
  <c r="AB856" i="5"/>
  <c r="AB852" i="5"/>
  <c r="AB848" i="5"/>
  <c r="AB844" i="5"/>
  <c r="AB840" i="5"/>
  <c r="AB836" i="5"/>
  <c r="AB832" i="5"/>
  <c r="AB828" i="5"/>
  <c r="AB824" i="5"/>
  <c r="AB820" i="5"/>
  <c r="AB816" i="5"/>
  <c r="AB812" i="5"/>
  <c r="AB808" i="5"/>
  <c r="AB804" i="5"/>
  <c r="AB800" i="5"/>
  <c r="AB796" i="5"/>
  <c r="AB792" i="5"/>
  <c r="AB788" i="5"/>
  <c r="AB784" i="5"/>
  <c r="AB780" i="5"/>
  <c r="AB776" i="5"/>
  <c r="AB772" i="5"/>
  <c r="AB768" i="5"/>
  <c r="AB764" i="5"/>
  <c r="AB760" i="5"/>
  <c r="AB756" i="5"/>
  <c r="AB752" i="5"/>
  <c r="AB748" i="5"/>
  <c r="AB744" i="5"/>
  <c r="AB740" i="5"/>
  <c r="AB736" i="5"/>
  <c r="AB732" i="5"/>
  <c r="AB728" i="5"/>
  <c r="AB724" i="5"/>
  <c r="AB720" i="5"/>
  <c r="AB716" i="5"/>
  <c r="AB712" i="5"/>
  <c r="AB708" i="5"/>
  <c r="AB704" i="5"/>
  <c r="AB700" i="5"/>
  <c r="AB696" i="5"/>
  <c r="AB692" i="5"/>
  <c r="AB688" i="5"/>
  <c r="AB684" i="5"/>
  <c r="AB680" i="5"/>
  <c r="AB676" i="5"/>
  <c r="AB672" i="5"/>
  <c r="AB668" i="5"/>
  <c r="AB664" i="5"/>
  <c r="AB660" i="5"/>
  <c r="AB656" i="5"/>
  <c r="AB652" i="5"/>
  <c r="AB648" i="5"/>
  <c r="AB644" i="5"/>
  <c r="AB640" i="5"/>
  <c r="AB636" i="5"/>
  <c r="AB632" i="5"/>
  <c r="AB628" i="5"/>
  <c r="AB624" i="5"/>
  <c r="AB620" i="5"/>
  <c r="AB616" i="5"/>
  <c r="AB612" i="5"/>
  <c r="AB608" i="5"/>
  <c r="AB604" i="5"/>
  <c r="AB600" i="5"/>
  <c r="AB596" i="5"/>
  <c r="AB592" i="5"/>
  <c r="AB588" i="5"/>
  <c r="AB584" i="5"/>
  <c r="AB580" i="5"/>
  <c r="R1105" i="5"/>
  <c r="J1105" i="5"/>
  <c r="B1105" i="5"/>
  <c r="AB576" i="5"/>
  <c r="AB572" i="5"/>
  <c r="AB568" i="5"/>
  <c r="AB564" i="5"/>
  <c r="AB560" i="5"/>
  <c r="AB556" i="5"/>
  <c r="AB552" i="5"/>
  <c r="AB548" i="5"/>
  <c r="AB544" i="5"/>
  <c r="AB540" i="5"/>
  <c r="AB536" i="5"/>
  <c r="AB532" i="5"/>
  <c r="R1101" i="5"/>
  <c r="J1101" i="5"/>
  <c r="B1101" i="5"/>
  <c r="AB528" i="5"/>
  <c r="AB524" i="5"/>
  <c r="AB520" i="5"/>
  <c r="AB516" i="5"/>
  <c r="AB512" i="5"/>
  <c r="AB508" i="5"/>
  <c r="AB502" i="5"/>
  <c r="AB498" i="5"/>
  <c r="AC475" i="5"/>
  <c r="AC474" i="5"/>
  <c r="U1096" i="5"/>
  <c r="AC472" i="5"/>
  <c r="M1096" i="5"/>
  <c r="E1096" i="5"/>
  <c r="AC466" i="5"/>
  <c r="AC465" i="5"/>
  <c r="X1094" i="5"/>
  <c r="P1094" i="5"/>
  <c r="H1094" i="5"/>
  <c r="AB441" i="5"/>
  <c r="W1091" i="5"/>
  <c r="O1091" i="5"/>
  <c r="G1091" i="5"/>
  <c r="AB409" i="5"/>
  <c r="AB377" i="5"/>
  <c r="X1086" i="5"/>
  <c r="P1086" i="5"/>
  <c r="H1086" i="5"/>
  <c r="Q1086" i="5"/>
  <c r="I1086" i="5"/>
  <c r="AB345" i="5"/>
  <c r="W1083" i="5"/>
  <c r="O1083" i="5"/>
  <c r="G1083" i="5"/>
  <c r="AB313" i="5"/>
  <c r="AB281" i="5"/>
  <c r="AB249" i="5"/>
  <c r="Q1075" i="5"/>
  <c r="I1075" i="5"/>
  <c r="AB217" i="5"/>
  <c r="AB185" i="5"/>
  <c r="AB153" i="5"/>
  <c r="Q1067" i="5"/>
  <c r="I1067" i="5"/>
  <c r="AB121" i="5"/>
  <c r="AB89" i="5"/>
  <c r="AC496" i="5"/>
  <c r="AC464" i="5"/>
  <c r="AB439" i="5"/>
  <c r="AB431" i="5"/>
  <c r="AB423" i="5"/>
  <c r="AB415" i="5"/>
  <c r="AB407" i="5"/>
  <c r="AB399" i="5"/>
  <c r="AB391" i="5"/>
  <c r="AB383" i="5"/>
  <c r="AB375" i="5"/>
  <c r="AB367" i="5"/>
  <c r="AB359" i="5"/>
  <c r="AB351" i="5"/>
  <c r="AB343" i="5"/>
  <c r="AB335" i="5"/>
  <c r="AB327" i="5"/>
  <c r="AB319" i="5"/>
  <c r="AB311" i="5"/>
  <c r="AB303" i="5"/>
  <c r="AB295" i="5"/>
  <c r="AB287" i="5"/>
  <c r="AB279" i="5"/>
  <c r="AB271" i="5"/>
  <c r="AB263" i="5"/>
  <c r="AB255" i="5"/>
  <c r="AB247" i="5"/>
  <c r="AB243" i="5"/>
  <c r="AB239" i="5"/>
  <c r="AB235" i="5"/>
  <c r="AB231" i="5"/>
  <c r="AB227" i="5"/>
  <c r="AB223" i="5"/>
  <c r="AB219" i="5"/>
  <c r="AB215" i="5"/>
  <c r="AB211" i="5"/>
  <c r="AB207" i="5"/>
  <c r="AB203" i="5"/>
  <c r="AB199" i="5"/>
  <c r="AB195" i="5"/>
  <c r="AB191" i="5"/>
  <c r="AB187" i="5"/>
  <c r="AB183" i="5"/>
  <c r="AB179" i="5"/>
  <c r="AB175" i="5"/>
  <c r="AB171" i="5"/>
  <c r="AB167" i="5"/>
  <c r="AB163" i="5"/>
  <c r="AB159" i="5"/>
  <c r="AB155" i="5"/>
  <c r="AB151" i="5"/>
  <c r="AB147" i="5"/>
  <c r="AB143" i="5"/>
  <c r="AB139" i="5"/>
  <c r="AB135" i="5"/>
  <c r="AB131" i="5"/>
  <c r="AB127" i="5"/>
  <c r="AB123" i="5"/>
  <c r="AB119" i="5"/>
  <c r="AB115" i="5"/>
  <c r="AB111" i="5"/>
  <c r="AB107" i="5"/>
  <c r="AB103" i="5"/>
  <c r="AB99" i="5"/>
  <c r="AB95" i="5"/>
  <c r="AB91" i="5"/>
  <c r="AB87" i="5"/>
  <c r="AB83" i="5"/>
  <c r="AB79" i="5"/>
  <c r="AB75" i="5"/>
  <c r="AB71" i="5"/>
  <c r="L899" i="6"/>
  <c r="L824" i="6"/>
  <c r="AB497" i="5"/>
  <c r="AB465" i="5"/>
  <c r="AC230" i="5"/>
  <c r="AC222" i="5"/>
  <c r="AC214" i="5"/>
  <c r="AC206" i="5"/>
  <c r="AC198" i="5"/>
  <c r="AC190" i="5"/>
  <c r="AC182" i="5"/>
  <c r="AC174" i="5"/>
  <c r="AC166" i="5"/>
  <c r="AC158" i="5"/>
  <c r="AC150" i="5"/>
  <c r="AC142" i="5"/>
  <c r="AC70" i="5"/>
  <c r="AB68" i="5"/>
  <c r="AC45" i="5"/>
  <c r="AB45" i="5"/>
  <c r="L1020" i="6"/>
  <c r="AC480" i="5"/>
  <c r="AC448" i="5"/>
  <c r="AC446" i="5"/>
  <c r="AC443" i="5"/>
  <c r="AC442" i="5"/>
  <c r="AC441" i="5"/>
  <c r="AC435" i="5"/>
  <c r="AC434" i="5"/>
  <c r="AC433" i="5"/>
  <c r="AC427" i="5"/>
  <c r="AC1092" i="5" s="1"/>
  <c r="AC426" i="5"/>
  <c r="AC425" i="5"/>
  <c r="AC419" i="5"/>
  <c r="AC418" i="5"/>
  <c r="AC417" i="5"/>
  <c r="AB50" i="5"/>
  <c r="AB505" i="5"/>
  <c r="AB473" i="5"/>
  <c r="AC411" i="5"/>
  <c r="AC410" i="5"/>
  <c r="AC409" i="5"/>
  <c r="AC403" i="5"/>
  <c r="AC402" i="5"/>
  <c r="AC401" i="5"/>
  <c r="AC395" i="5"/>
  <c r="AC394" i="5"/>
  <c r="AC393" i="5"/>
  <c r="AC387" i="5"/>
  <c r="AC386" i="5"/>
  <c r="AC385" i="5"/>
  <c r="AC379" i="5"/>
  <c r="AC378" i="5"/>
  <c r="AC377" i="5"/>
  <c r="AC371" i="5"/>
  <c r="AC370" i="5"/>
  <c r="AC369" i="5"/>
  <c r="AC362" i="5"/>
  <c r="AC361" i="5"/>
  <c r="AC355" i="5"/>
  <c r="AC354" i="5"/>
  <c r="AC353" i="5"/>
  <c r="AC347" i="5"/>
  <c r="AC346" i="5"/>
  <c r="AC345" i="5"/>
  <c r="AC339" i="5"/>
  <c r="AC338" i="5"/>
  <c r="AC337" i="5"/>
  <c r="AC331" i="5"/>
  <c r="AC330" i="5"/>
  <c r="AC329" i="5"/>
  <c r="AC323" i="5"/>
  <c r="AC322" i="5"/>
  <c r="AC321" i="5"/>
  <c r="AC315" i="5"/>
  <c r="AC314" i="5"/>
  <c r="AC313" i="5"/>
  <c r="AC307" i="5"/>
  <c r="AC306" i="5"/>
  <c r="AC305" i="5"/>
  <c r="AC298" i="5"/>
  <c r="AC297" i="5"/>
  <c r="AC290" i="5"/>
  <c r="AC289" i="5"/>
  <c r="AC282" i="5"/>
  <c r="AC281" i="5"/>
  <c r="AC274" i="5"/>
  <c r="AC273" i="5"/>
  <c r="AC266" i="5"/>
  <c r="AC265" i="5"/>
  <c r="AC259" i="5"/>
  <c r="AC258" i="5"/>
  <c r="AC257" i="5"/>
  <c r="AC1078" i="5" s="1"/>
  <c r="AC250" i="5"/>
  <c r="AC249" i="5"/>
  <c r="AC243" i="5"/>
  <c r="AC242" i="5"/>
  <c r="AC241" i="5"/>
  <c r="AC235" i="5"/>
  <c r="AC234" i="5"/>
  <c r="AC233" i="5"/>
  <c r="AC227" i="5"/>
  <c r="AC226" i="5"/>
  <c r="AC225" i="5"/>
  <c r="AC219" i="5"/>
  <c r="AC218" i="5"/>
  <c r="AC217" i="5"/>
  <c r="AC211" i="5"/>
  <c r="AC1074" i="5" s="1"/>
  <c r="AC210" i="5"/>
  <c r="AC209" i="5"/>
  <c r="AC203" i="5"/>
  <c r="AC202" i="5"/>
  <c r="AC201" i="5"/>
  <c r="AC195" i="5"/>
  <c r="AC194" i="5"/>
  <c r="AC193" i="5"/>
  <c r="AC187" i="5"/>
  <c r="AC186" i="5"/>
  <c r="AC185" i="5"/>
  <c r="AC179" i="5"/>
  <c r="AC178" i="5"/>
  <c r="AC177" i="5"/>
  <c r="AC171" i="5"/>
  <c r="AC170" i="5"/>
  <c r="AC169" i="5"/>
  <c r="AC163" i="5"/>
  <c r="AC162" i="5"/>
  <c r="AC161" i="5"/>
  <c r="AC155" i="5"/>
  <c r="AC154" i="5"/>
  <c r="AC153" i="5"/>
  <c r="AC147" i="5"/>
  <c r="AC146" i="5"/>
  <c r="AC145" i="5"/>
  <c r="AC139" i="5"/>
  <c r="AC138" i="5"/>
  <c r="AC137" i="5"/>
  <c r="AC131" i="5"/>
  <c r="AC130" i="5"/>
  <c r="AC129" i="5"/>
  <c r="AC123" i="5"/>
  <c r="AC122" i="5"/>
  <c r="AC121" i="5"/>
  <c r="AC115" i="5"/>
  <c r="AC114" i="5"/>
  <c r="AC113" i="5"/>
  <c r="AC107" i="5"/>
  <c r="AC106" i="5"/>
  <c r="AC105" i="5"/>
  <c r="AC99" i="5"/>
  <c r="AC98" i="5"/>
  <c r="AC97" i="5"/>
  <c r="AC91" i="5"/>
  <c r="AC90" i="5"/>
  <c r="AC89" i="5"/>
  <c r="AC86" i="5"/>
  <c r="AC83" i="5"/>
  <c r="AC82" i="5"/>
  <c r="AC81" i="5"/>
  <c r="AC78" i="5"/>
  <c r="AC75" i="5"/>
  <c r="AC74" i="5"/>
  <c r="AC73" i="5"/>
  <c r="AB51" i="5"/>
  <c r="AB30" i="5"/>
  <c r="L564" i="6"/>
  <c r="F1098" i="6"/>
  <c r="F1100" i="6"/>
  <c r="F1097" i="6"/>
  <c r="F1099" i="6"/>
  <c r="F1101" i="6"/>
  <c r="N1098" i="6"/>
  <c r="N1097" i="6"/>
  <c r="Q492" i="6"/>
  <c r="R1097" i="6"/>
  <c r="L491" i="6"/>
  <c r="C1096" i="6"/>
  <c r="H1096" i="6"/>
  <c r="Q486" i="6"/>
  <c r="R1096" i="6"/>
  <c r="L418" i="6"/>
  <c r="H1090" i="6"/>
  <c r="L402" i="6"/>
  <c r="L386" i="6"/>
  <c r="C1088" i="6"/>
  <c r="L370" i="6"/>
  <c r="H1086" i="6"/>
  <c r="L354" i="6"/>
  <c r="C1085" i="6"/>
  <c r="L338" i="6"/>
  <c r="Q316" i="6"/>
  <c r="R1082" i="6"/>
  <c r="I1082" i="6"/>
  <c r="Q310" i="6"/>
  <c r="Q1081" i="6" s="1"/>
  <c r="R1081" i="6"/>
  <c r="H1080" i="6"/>
  <c r="Q282" i="6"/>
  <c r="R1079" i="6"/>
  <c r="H1079" i="6"/>
  <c r="Q263" i="6"/>
  <c r="S263" i="6" s="1"/>
  <c r="R1077" i="6"/>
  <c r="L177" i="6"/>
  <c r="D1070" i="6"/>
  <c r="S144" i="6"/>
  <c r="S1068" i="6" s="1"/>
  <c r="Q1068" i="6"/>
  <c r="S136" i="6"/>
  <c r="S1067" i="6" s="1"/>
  <c r="Q1067" i="6"/>
  <c r="L129" i="6"/>
  <c r="D1066" i="6"/>
  <c r="S1060" i="6"/>
  <c r="S35" i="6"/>
  <c r="Q1058" i="6"/>
  <c r="AB442" i="5"/>
  <c r="AB434" i="5"/>
  <c r="AB426" i="5"/>
  <c r="AB418" i="5"/>
  <c r="AB410" i="5"/>
  <c r="AB402" i="5"/>
  <c r="AB394" i="5"/>
  <c r="AB386" i="5"/>
  <c r="AB378" i="5"/>
  <c r="AB370" i="5"/>
  <c r="AC363" i="5"/>
  <c r="AB362" i="5"/>
  <c r="AB354" i="5"/>
  <c r="AB346" i="5"/>
  <c r="AB338" i="5"/>
  <c r="AC334" i="5"/>
  <c r="AB330" i="5"/>
  <c r="AC326" i="5"/>
  <c r="AB322" i="5"/>
  <c r="AB314" i="5"/>
  <c r="AB306" i="5"/>
  <c r="AC299" i="5"/>
  <c r="AB298" i="5"/>
  <c r="AC291" i="5"/>
  <c r="AB290" i="5"/>
  <c r="AC283" i="5"/>
  <c r="AB282" i="5"/>
  <c r="AC275" i="5"/>
  <c r="AB274" i="5"/>
  <c r="AC267" i="5"/>
  <c r="AB266" i="5"/>
  <c r="AB258" i="5"/>
  <c r="AC251" i="5"/>
  <c r="AB250" i="5"/>
  <c r="AB242" i="5"/>
  <c r="AB234" i="5"/>
  <c r="AC134" i="5"/>
  <c r="AC1068" i="5" s="1"/>
  <c r="AC126" i="5"/>
  <c r="AC118" i="5"/>
  <c r="AC110" i="5"/>
  <c r="AC102" i="5"/>
  <c r="AC94" i="5"/>
  <c r="AB69" i="5"/>
  <c r="AB65" i="5"/>
  <c r="AB58" i="5"/>
  <c r="AB54" i="5"/>
  <c r="AB52" i="5"/>
  <c r="AB47" i="5"/>
  <c r="AC42" i="5"/>
  <c r="AB42" i="5"/>
  <c r="AB36" i="5"/>
  <c r="AB20" i="5"/>
  <c r="AB226" i="5"/>
  <c r="AB218" i="5"/>
  <c r="AB210" i="5"/>
  <c r="AB202" i="5"/>
  <c r="AB194" i="5"/>
  <c r="AB186" i="5"/>
  <c r="AB178" i="5"/>
  <c r="AB170" i="5"/>
  <c r="AB162" i="5"/>
  <c r="AB154" i="5"/>
  <c r="AB146" i="5"/>
  <c r="AB138" i="5"/>
  <c r="AB130" i="5"/>
  <c r="AB122" i="5"/>
  <c r="AB114" i="5"/>
  <c r="AB106" i="5"/>
  <c r="AB98" i="5"/>
  <c r="AB59" i="5"/>
  <c r="AB24" i="5"/>
  <c r="AB18" i="5"/>
  <c r="AB443" i="5"/>
  <c r="AB435" i="5"/>
  <c r="AB427" i="5"/>
  <c r="AB419" i="5"/>
  <c r="AB411" i="5"/>
  <c r="AB403" i="5"/>
  <c r="AB395" i="5"/>
  <c r="AB387" i="5"/>
  <c r="AB379" i="5"/>
  <c r="AB371" i="5"/>
  <c r="AB363" i="5"/>
  <c r="AB355" i="5"/>
  <c r="AB347" i="5"/>
  <c r="AB339" i="5"/>
  <c r="AB331" i="5"/>
  <c r="AB323" i="5"/>
  <c r="AB315" i="5"/>
  <c r="AB307" i="5"/>
  <c r="AB1082" i="5" s="1"/>
  <c r="AB299" i="5"/>
  <c r="AB291" i="5"/>
  <c r="AB283" i="5"/>
  <c r="AB275" i="5"/>
  <c r="AB267" i="5"/>
  <c r="AB259" i="5"/>
  <c r="AB251" i="5"/>
  <c r="AB90" i="5"/>
  <c r="AB82" i="5"/>
  <c r="AB74" i="5"/>
  <c r="AB70" i="5"/>
  <c r="AB66" i="5"/>
  <c r="AB62" i="5"/>
  <c r="AB60" i="5"/>
  <c r="AC37" i="5"/>
  <c r="AC16" i="5"/>
  <c r="AB16" i="5"/>
  <c r="AC43" i="5"/>
  <c r="AB19" i="5"/>
  <c r="L1050" i="6"/>
  <c r="L976" i="6"/>
  <c r="L919" i="6"/>
  <c r="L912" i="6"/>
  <c r="AC46" i="5"/>
  <c r="AC38" i="5"/>
  <c r="AB29" i="5"/>
  <c r="AC23" i="5"/>
  <c r="AC22" i="5"/>
  <c r="AB22" i="5"/>
  <c r="L1046" i="6"/>
  <c r="L1043" i="6"/>
  <c r="L1033" i="6"/>
  <c r="L876" i="6"/>
  <c r="L818" i="6"/>
  <c r="AC61" i="5"/>
  <c r="AC53" i="5"/>
  <c r="AC47" i="5"/>
  <c r="AC39" i="5"/>
  <c r="AB15" i="5"/>
  <c r="L940" i="6"/>
  <c r="L864" i="6"/>
  <c r="L848" i="6"/>
  <c r="L843" i="6"/>
  <c r="L837" i="6"/>
  <c r="L760" i="6"/>
  <c r="L729" i="6"/>
  <c r="L676" i="6"/>
  <c r="AC65" i="5"/>
  <c r="AC64" i="5"/>
  <c r="AC58" i="5"/>
  <c r="AC57" i="5"/>
  <c r="AC56" i="5"/>
  <c r="AC50" i="5"/>
  <c r="AC49" i="5"/>
  <c r="AC48" i="5"/>
  <c r="AC40" i="5"/>
  <c r="AB35" i="5"/>
  <c r="AB27" i="5"/>
  <c r="AB23" i="5"/>
  <c r="L1014" i="6"/>
  <c r="L1008" i="6"/>
  <c r="L985" i="6"/>
  <c r="L852" i="6"/>
  <c r="L754" i="6"/>
  <c r="L1055" i="6"/>
  <c r="L1053" i="6"/>
  <c r="L1012" i="6"/>
  <c r="L1006" i="6"/>
  <c r="L969" i="6"/>
  <c r="L928" i="6"/>
  <c r="L855" i="6"/>
  <c r="L846" i="6"/>
  <c r="L830" i="6"/>
  <c r="L784" i="6"/>
  <c r="L779" i="6"/>
  <c r="L771" i="6"/>
  <c r="L766" i="6"/>
  <c r="L720" i="6"/>
  <c r="L702" i="6"/>
  <c r="L686" i="6"/>
  <c r="N1100" i="6"/>
  <c r="N1099" i="6"/>
  <c r="Q494" i="6"/>
  <c r="AC495" i="5" s="1"/>
  <c r="R1099" i="6"/>
  <c r="R1098" i="6"/>
  <c r="L493" i="6"/>
  <c r="L1098" i="6" s="1"/>
  <c r="D1097" i="6"/>
  <c r="L480" i="6"/>
  <c r="L472" i="6"/>
  <c r="D1095" i="6"/>
  <c r="F1095" i="6"/>
  <c r="Q458" i="6"/>
  <c r="R1094" i="6"/>
  <c r="D1093" i="6"/>
  <c r="Q434" i="6"/>
  <c r="R1092" i="6"/>
  <c r="L1073" i="6"/>
  <c r="L1035" i="6"/>
  <c r="L971" i="6"/>
  <c r="L963" i="6"/>
  <c r="L916" i="6"/>
  <c r="L901" i="6"/>
  <c r="L887" i="6"/>
  <c r="L798" i="6"/>
  <c r="L786" i="6"/>
  <c r="L734" i="6"/>
  <c r="L722" i="6"/>
  <c r="L656" i="6"/>
  <c r="L626" i="6"/>
  <c r="L621" i="6"/>
  <c r="L589" i="6"/>
  <c r="L980" i="6"/>
  <c r="L965" i="6"/>
  <c r="L951" i="6"/>
  <c r="L865" i="6"/>
  <c r="L862" i="6"/>
  <c r="L857" i="6"/>
  <c r="L850" i="6"/>
  <c r="L813" i="6"/>
  <c r="L795" i="6"/>
  <c r="L749" i="6"/>
  <c r="L731" i="6"/>
  <c r="L700" i="6"/>
  <c r="L689" i="6"/>
  <c r="L654" i="6"/>
  <c r="L634" i="6"/>
  <c r="L1051" i="6"/>
  <c r="L1045" i="6"/>
  <c r="L929" i="6"/>
  <c r="L926" i="6"/>
  <c r="L914" i="6"/>
  <c r="L859" i="6"/>
  <c r="L828" i="6"/>
  <c r="L825" i="6"/>
  <c r="L820" i="6"/>
  <c r="L808" i="6"/>
  <c r="L777" i="6"/>
  <c r="L764" i="6"/>
  <c r="L761" i="6"/>
  <c r="L756" i="6"/>
  <c r="L744" i="6"/>
  <c r="L713" i="6"/>
  <c r="L695" i="6"/>
  <c r="L674" i="6"/>
  <c r="L591" i="6"/>
  <c r="L989" i="6"/>
  <c r="L947" i="6"/>
  <c r="L934" i="6"/>
  <c r="L925" i="6"/>
  <c r="L905" i="6"/>
  <c r="L883" i="6"/>
  <c r="L870" i="6"/>
  <c r="L861" i="6"/>
  <c r="L841" i="6"/>
  <c r="L819" i="6"/>
  <c r="L806" i="6"/>
  <c r="L801" i="6"/>
  <c r="L797" i="6"/>
  <c r="L755" i="6"/>
  <c r="L742" i="6"/>
  <c r="L737" i="6"/>
  <c r="L733" i="6"/>
  <c r="L699" i="6"/>
  <c r="L665" i="6"/>
  <c r="L618" i="6"/>
  <c r="L605" i="6"/>
  <c r="L569" i="6"/>
  <c r="L512" i="6"/>
  <c r="L1003" i="6"/>
  <c r="L1001" i="6"/>
  <c r="L997" i="6"/>
  <c r="L982" i="6"/>
  <c r="L973" i="6"/>
  <c r="L931" i="6"/>
  <c r="L918" i="6"/>
  <c r="L909" i="6"/>
  <c r="L889" i="6"/>
  <c r="L867" i="6"/>
  <c r="L854" i="6"/>
  <c r="L845" i="6"/>
  <c r="L803" i="6"/>
  <c r="L790" i="6"/>
  <c r="L785" i="6"/>
  <c r="L781" i="6"/>
  <c r="L739" i="6"/>
  <c r="L726" i="6"/>
  <c r="L721" i="6"/>
  <c r="L717" i="6"/>
  <c r="L715" i="6"/>
  <c r="L688" i="6"/>
  <c r="L683" i="6"/>
  <c r="L681" i="6"/>
  <c r="L667" i="6"/>
  <c r="L660" i="6"/>
  <c r="L657" i="6"/>
  <c r="L645" i="6"/>
  <c r="L637" i="6"/>
  <c r="L611" i="6"/>
  <c r="L607" i="6"/>
  <c r="L577" i="6"/>
  <c r="L537" i="6"/>
  <c r="L504" i="6"/>
  <c r="L1011" i="6"/>
  <c r="L1009" i="6"/>
  <c r="L1005" i="6"/>
  <c r="L977" i="6"/>
  <c r="L955" i="6"/>
  <c r="L942" i="6"/>
  <c r="L933" i="6"/>
  <c r="L913" i="6"/>
  <c r="L891" i="6"/>
  <c r="L878" i="6"/>
  <c r="L869" i="6"/>
  <c r="L849" i="6"/>
  <c r="L827" i="6"/>
  <c r="L814" i="6"/>
  <c r="L809" i="6"/>
  <c r="L805" i="6"/>
  <c r="L763" i="6"/>
  <c r="L750" i="6"/>
  <c r="L745" i="6"/>
  <c r="L741" i="6"/>
  <c r="L690" i="6"/>
  <c r="L650" i="6"/>
  <c r="L623" i="6"/>
  <c r="L516" i="6"/>
  <c r="L1017" i="6"/>
  <c r="L1013" i="6"/>
  <c r="L979" i="6"/>
  <c r="L966" i="6"/>
  <c r="L957" i="6"/>
  <c r="L937" i="6"/>
  <c r="L915" i="6"/>
  <c r="L902" i="6"/>
  <c r="L893" i="6"/>
  <c r="L873" i="6"/>
  <c r="L851" i="6"/>
  <c r="L838" i="6"/>
  <c r="L829" i="6"/>
  <c r="L787" i="6"/>
  <c r="L774" i="6"/>
  <c r="L769" i="6"/>
  <c r="L765" i="6"/>
  <c r="L723" i="6"/>
  <c r="L710" i="6"/>
  <c r="L705" i="6"/>
  <c r="L694" i="6"/>
  <c r="L662" i="6"/>
  <c r="L652" i="6"/>
  <c r="L641" i="6"/>
  <c r="L639" i="6"/>
  <c r="L616" i="6"/>
  <c r="L531" i="6"/>
  <c r="L530" i="6"/>
  <c r="L669" i="6"/>
  <c r="L630" i="6"/>
  <c r="L614" i="6"/>
  <c r="L598" i="6"/>
  <c r="L558" i="6"/>
  <c r="L547" i="6"/>
  <c r="L546" i="6"/>
  <c r="L529" i="6"/>
  <c r="L499" i="6"/>
  <c r="L486" i="6"/>
  <c r="L693" i="6"/>
  <c r="L661" i="6"/>
  <c r="L653" i="6"/>
  <c r="L574" i="6"/>
  <c r="L563" i="6"/>
  <c r="L562" i="6"/>
  <c r="L545" i="6"/>
  <c r="L540" i="6"/>
  <c r="L629" i="6"/>
  <c r="L613" i="6"/>
  <c r="L597" i="6"/>
  <c r="L592" i="6"/>
  <c r="L532" i="6"/>
  <c r="L509" i="6"/>
  <c r="L430" i="6"/>
  <c r="L414" i="6"/>
  <c r="L398" i="6"/>
  <c r="L382" i="6"/>
  <c r="L366" i="6"/>
  <c r="L350" i="6"/>
  <c r="L677" i="6"/>
  <c r="L670" i="6"/>
  <c r="L642" i="6"/>
  <c r="L638" i="6"/>
  <c r="L622" i="6"/>
  <c r="L606" i="6"/>
  <c r="L579" i="6"/>
  <c r="L578" i="6"/>
  <c r="L561" i="6"/>
  <c r="L556" i="6"/>
  <c r="L526" i="6"/>
  <c r="L515" i="6"/>
  <c r="L514" i="6"/>
  <c r="L502" i="6"/>
  <c r="L496" i="6"/>
  <c r="L475" i="6"/>
  <c r="L467" i="6"/>
  <c r="L459" i="6"/>
  <c r="L451" i="6"/>
  <c r="L443" i="6"/>
  <c r="L435" i="6"/>
  <c r="L584" i="6"/>
  <c r="L568" i="6"/>
  <c r="L552" i="6"/>
  <c r="L536" i="6"/>
  <c r="L520" i="6"/>
  <c r="L508" i="6"/>
  <c r="L503" i="6"/>
  <c r="L492" i="6"/>
  <c r="L1097" i="6" s="1"/>
  <c r="L487" i="6"/>
  <c r="L320" i="6"/>
  <c r="L586" i="6"/>
  <c r="L570" i="6"/>
  <c r="L554" i="6"/>
  <c r="L538" i="6"/>
  <c r="L522" i="6"/>
  <c r="L506" i="6"/>
  <c r="L501" i="6"/>
  <c r="L490" i="6"/>
  <c r="L485" i="6"/>
  <c r="L484" i="6"/>
  <c r="L478" i="6"/>
  <c r="L470" i="6"/>
  <c r="L307" i="6"/>
  <c r="L293" i="6"/>
  <c r="L260" i="6"/>
  <c r="L256" i="6"/>
  <c r="L576" i="6"/>
  <c r="L560" i="6"/>
  <c r="L544" i="6"/>
  <c r="L528" i="6"/>
  <c r="L511" i="6"/>
  <c r="L510" i="6"/>
  <c r="L500" i="6"/>
  <c r="L495" i="6"/>
  <c r="L477" i="6"/>
  <c r="L469" i="6"/>
  <c r="L461" i="6"/>
  <c r="L453" i="6"/>
  <c r="L445" i="6"/>
  <c r="L437" i="6"/>
  <c r="L249" i="6"/>
  <c r="L237" i="6"/>
  <c r="L582" i="6"/>
  <c r="L566" i="6"/>
  <c r="L550" i="6"/>
  <c r="L534" i="6"/>
  <c r="L518" i="6"/>
  <c r="L505" i="6"/>
  <c r="L494" i="6"/>
  <c r="L489" i="6"/>
  <c r="L476" i="6"/>
  <c r="L334" i="6"/>
  <c r="L310" i="6"/>
  <c r="L466" i="6"/>
  <c r="L462" i="6"/>
  <c r="L458" i="6"/>
  <c r="L454" i="6"/>
  <c r="L450" i="6"/>
  <c r="L446" i="6"/>
  <c r="L442" i="6"/>
  <c r="L438" i="6"/>
  <c r="L434" i="6"/>
  <c r="L425" i="6"/>
  <c r="L417" i="6"/>
  <c r="L409" i="6"/>
  <c r="L401" i="6"/>
  <c r="L393" i="6"/>
  <c r="L385" i="6"/>
  <c r="L377" i="6"/>
  <c r="L369" i="6"/>
  <c r="L361" i="6"/>
  <c r="L353" i="6"/>
  <c r="L345" i="6"/>
  <c r="L337" i="6"/>
  <c r="L329" i="6"/>
  <c r="L263" i="6"/>
  <c r="L234" i="6"/>
  <c r="L214" i="6"/>
  <c r="L309" i="6"/>
  <c r="L297" i="6"/>
  <c r="L296" i="6"/>
  <c r="L289" i="6"/>
  <c r="L271" i="6"/>
  <c r="L196" i="6"/>
  <c r="L191" i="6"/>
  <c r="L166" i="6"/>
  <c r="L325" i="6"/>
  <c r="L313" i="6"/>
  <c r="L312" i="6"/>
  <c r="L305" i="6"/>
  <c r="L301" i="6"/>
  <c r="L284" i="6"/>
  <c r="L280" i="6"/>
  <c r="L252" i="6"/>
  <c r="L468" i="6"/>
  <c r="L464" i="6"/>
  <c r="L460" i="6"/>
  <c r="L456" i="6"/>
  <c r="L452" i="6"/>
  <c r="L448" i="6"/>
  <c r="L444" i="6"/>
  <c r="L1093" i="6" s="1"/>
  <c r="L440" i="6"/>
  <c r="L436" i="6"/>
  <c r="L432" i="6"/>
  <c r="L1092" i="6" s="1"/>
  <c r="L321" i="6"/>
  <c r="L317" i="6"/>
  <c r="L300" i="6"/>
  <c r="L288" i="6"/>
  <c r="L279" i="6"/>
  <c r="L427" i="6"/>
  <c r="L419" i="6"/>
  <c r="L411" i="6"/>
  <c r="L403" i="6"/>
  <c r="L395" i="6"/>
  <c r="L387" i="6"/>
  <c r="L379" i="6"/>
  <c r="L371" i="6"/>
  <c r="L363" i="6"/>
  <c r="L355" i="6"/>
  <c r="L347" i="6"/>
  <c r="L339" i="6"/>
  <c r="L331" i="6"/>
  <c r="L319" i="6"/>
  <c r="L303" i="6"/>
  <c r="L240" i="6"/>
  <c r="L134" i="6"/>
  <c r="L429" i="6"/>
  <c r="L421" i="6"/>
  <c r="L1091" i="6" s="1"/>
  <c r="L413" i="6"/>
  <c r="L405" i="6"/>
  <c r="L397" i="6"/>
  <c r="L389" i="6"/>
  <c r="L381" i="6"/>
  <c r="L373" i="6"/>
  <c r="L365" i="6"/>
  <c r="L357" i="6"/>
  <c r="L349" i="6"/>
  <c r="L341" i="6"/>
  <c r="L333" i="6"/>
  <c r="L315" i="6"/>
  <c r="L299" i="6"/>
  <c r="L247" i="6"/>
  <c r="L242" i="6"/>
  <c r="L221" i="6"/>
  <c r="L149" i="6"/>
  <c r="L120" i="6"/>
  <c r="L285" i="6"/>
  <c r="L277" i="6"/>
  <c r="L269" i="6"/>
  <c r="L261" i="6"/>
  <c r="L253" i="6"/>
  <c r="L250" i="6"/>
  <c r="L168" i="6"/>
  <c r="L423" i="6"/>
  <c r="L415" i="6"/>
  <c r="L407" i="6"/>
  <c r="L399" i="6"/>
  <c r="L391" i="6"/>
  <c r="L383" i="6"/>
  <c r="L375" i="6"/>
  <c r="L1087" i="6" s="1"/>
  <c r="L367" i="6"/>
  <c r="L359" i="6"/>
  <c r="L351" i="6"/>
  <c r="L343" i="6"/>
  <c r="L335" i="6"/>
  <c r="L327" i="6"/>
  <c r="L311" i="6"/>
  <c r="L295" i="6"/>
  <c r="L230" i="6"/>
  <c r="L189" i="6"/>
  <c r="L151" i="6"/>
  <c r="L39" i="6"/>
  <c r="L192" i="6"/>
  <c r="L169" i="6"/>
  <c r="L164" i="6"/>
  <c r="L123" i="6"/>
  <c r="L281" i="6"/>
  <c r="L273" i="6"/>
  <c r="L265" i="6"/>
  <c r="L257" i="6"/>
  <c r="L208" i="6"/>
  <c r="L185" i="6"/>
  <c r="L180" i="6"/>
  <c r="L138" i="6"/>
  <c r="L109" i="6"/>
  <c r="L93" i="6"/>
  <c r="Q17" i="6"/>
  <c r="S17" i="6" s="1"/>
  <c r="L15" i="6"/>
  <c r="L1057" i="6" s="1"/>
  <c r="L244" i="6"/>
  <c r="L184" i="6"/>
  <c r="L173" i="6"/>
  <c r="L122" i="6"/>
  <c r="L51" i="6"/>
  <c r="L283" i="6"/>
  <c r="L275" i="6"/>
  <c r="L267" i="6"/>
  <c r="L259" i="6"/>
  <c r="L217" i="6"/>
  <c r="L193" i="6"/>
  <c r="L176" i="6"/>
  <c r="L153" i="6"/>
  <c r="L148" i="6"/>
  <c r="L147" i="6"/>
  <c r="L92" i="6"/>
  <c r="L132" i="6"/>
  <c r="L116" i="6"/>
  <c r="L91" i="6"/>
  <c r="L85" i="6"/>
  <c r="L70" i="6"/>
  <c r="L144" i="6"/>
  <c r="L128" i="6"/>
  <c r="L75" i="6"/>
  <c r="L69" i="6"/>
  <c r="L54" i="6"/>
  <c r="S28" i="6"/>
  <c r="S1058" i="6" s="1"/>
  <c r="L21" i="6"/>
  <c r="L140" i="6"/>
  <c r="L124" i="6"/>
  <c r="L102" i="6"/>
  <c r="L59" i="6"/>
  <c r="L53" i="6"/>
  <c r="L36" i="6"/>
  <c r="S32" i="6"/>
  <c r="L146" i="6"/>
  <c r="L130" i="6"/>
  <c r="L114" i="6"/>
  <c r="L77" i="6"/>
  <c r="L62" i="6"/>
  <c r="L111" i="6"/>
  <c r="L103" i="6"/>
  <c r="L95" i="6"/>
  <c r="L87" i="6"/>
  <c r="L79" i="6"/>
  <c r="L71" i="6"/>
  <c r="L63" i="6"/>
  <c r="L55" i="6"/>
  <c r="L47" i="6"/>
  <c r="L34" i="6"/>
  <c r="L25" i="6"/>
  <c r="Q20" i="6"/>
  <c r="S20" i="6" s="1"/>
  <c r="L105" i="6"/>
  <c r="L97" i="6"/>
  <c r="L89" i="6"/>
  <c r="L81" i="6"/>
  <c r="L73" i="6"/>
  <c r="L65" i="6"/>
  <c r="L57" i="6"/>
  <c r="L49" i="6"/>
  <c r="L41" i="6"/>
  <c r="L28" i="6"/>
  <c r="AC1061" i="5" l="1"/>
  <c r="AC1066" i="5"/>
  <c r="AB1087" i="5"/>
  <c r="AB1089" i="5"/>
  <c r="AC1064" i="5"/>
  <c r="AB1064" i="5"/>
  <c r="AB1072" i="5"/>
  <c r="AB1088" i="5"/>
  <c r="AB1094" i="5"/>
  <c r="AC1102" i="5"/>
  <c r="AC1097" i="5"/>
  <c r="AB1103" i="5"/>
  <c r="AB1079" i="5"/>
  <c r="AC1067" i="5"/>
  <c r="AB1086" i="5"/>
  <c r="AB1106" i="5"/>
  <c r="AB1098" i="5"/>
  <c r="AC1106" i="5"/>
  <c r="AC1058" i="5"/>
  <c r="AC1101" i="5"/>
  <c r="AB1076" i="5"/>
  <c r="AB1090" i="5"/>
  <c r="AC1104" i="5"/>
  <c r="AC1100" i="5"/>
  <c r="AB1084" i="5"/>
  <c r="S316" i="6"/>
  <c r="S1082" i="6" s="1"/>
  <c r="Q1082" i="6"/>
  <c r="AC317" i="5"/>
  <c r="AB1105" i="5"/>
  <c r="S468" i="6"/>
  <c r="S1095" i="6" s="1"/>
  <c r="Q1095" i="6"/>
  <c r="L1062" i="6"/>
  <c r="L1059" i="6"/>
  <c r="L1074" i="6"/>
  <c r="L1071" i="6"/>
  <c r="L1095" i="6"/>
  <c r="L1083" i="6"/>
  <c r="L1086" i="6"/>
  <c r="L1096" i="6"/>
  <c r="AC1084" i="5"/>
  <c r="S492" i="6"/>
  <c r="Q1097" i="6"/>
  <c r="AC1069" i="5"/>
  <c r="AC1080" i="5"/>
  <c r="AC1088" i="5"/>
  <c r="AB1099" i="5"/>
  <c r="AC1093" i="5"/>
  <c r="AC1070" i="5"/>
  <c r="AB1083" i="5"/>
  <c r="AB1093" i="5"/>
  <c r="AB1097" i="5"/>
  <c r="AB1096" i="5"/>
  <c r="AC493" i="5"/>
  <c r="AB1066" i="5"/>
  <c r="L1067" i="6"/>
  <c r="L1077" i="6"/>
  <c r="L1103" i="6"/>
  <c r="L1104" i="6"/>
  <c r="L1102" i="6"/>
  <c r="S434" i="6"/>
  <c r="S1092" i="6" s="1"/>
  <c r="Q1092" i="6"/>
  <c r="AB1058" i="5"/>
  <c r="AC1060" i="5"/>
  <c r="AB1073" i="5"/>
  <c r="AB1081" i="5"/>
  <c r="S282" i="6"/>
  <c r="S1079" i="6" s="1"/>
  <c r="Q1079" i="6"/>
  <c r="AC1071" i="5"/>
  <c r="AC1083" i="5"/>
  <c r="AC1076" i="5"/>
  <c r="AB1060" i="5"/>
  <c r="AC469" i="5"/>
  <c r="AC1096" i="5" s="1"/>
  <c r="AB1092" i="5"/>
  <c r="AC1086" i="5"/>
  <c r="AC1090" i="5"/>
  <c r="S1091" i="6"/>
  <c r="F1107" i="5"/>
  <c r="N1107" i="5"/>
  <c r="V1107" i="5"/>
  <c r="G1107" i="5"/>
  <c r="O1107" i="5"/>
  <c r="W1107" i="5"/>
  <c r="E1107" i="5"/>
  <c r="Q1107" i="5"/>
  <c r="A1108" i="5"/>
  <c r="B1107" i="5"/>
  <c r="M1107" i="5"/>
  <c r="AC1107" i="5"/>
  <c r="C1107" i="5"/>
  <c r="P1107" i="5"/>
  <c r="D1107" i="5"/>
  <c r="R1107" i="5"/>
  <c r="J1107" i="5"/>
  <c r="U1107" i="5"/>
  <c r="I1107" i="5"/>
  <c r="K1107" i="5"/>
  <c r="L1107" i="5"/>
  <c r="T1107" i="5"/>
  <c r="AB1107" i="5"/>
  <c r="H1107" i="5"/>
  <c r="S1107" i="5"/>
  <c r="X1107" i="5"/>
  <c r="L1072" i="6"/>
  <c r="AB1100" i="5"/>
  <c r="L1064" i="6"/>
  <c r="AB1062" i="5"/>
  <c r="S486" i="6"/>
  <c r="S1096" i="6" s="1"/>
  <c r="Q1096" i="6"/>
  <c r="AC1072" i="5"/>
  <c r="AB1078" i="5"/>
  <c r="B1084" i="6"/>
  <c r="A1085" i="6"/>
  <c r="S502" i="6"/>
  <c r="Q1103" i="6"/>
  <c r="Q1104" i="6"/>
  <c r="Q1101" i="6"/>
  <c r="Q1102" i="6"/>
  <c r="L1068" i="6"/>
  <c r="L1078" i="6"/>
  <c r="L1089" i="6"/>
  <c r="L1081" i="6"/>
  <c r="S458" i="6"/>
  <c r="S1094" i="6" s="1"/>
  <c r="Q1094" i="6"/>
  <c r="AC459" i="5"/>
  <c r="AC1095" i="5" s="1"/>
  <c r="S310" i="6"/>
  <c r="S1081" i="6" s="1"/>
  <c r="AC311" i="5"/>
  <c r="AC1077" i="5"/>
  <c r="AC1079" i="5"/>
  <c r="AC1091" i="5"/>
  <c r="AB1070" i="5"/>
  <c r="AB1069" i="5"/>
  <c r="AC1082" i="5"/>
  <c r="AB1061" i="5"/>
  <c r="AC1094" i="5"/>
  <c r="S1090" i="6"/>
  <c r="Q1100" i="6"/>
  <c r="Q1077" i="6"/>
  <c r="I1106" i="2"/>
  <c r="C1106" i="2"/>
  <c r="H1106" i="2"/>
  <c r="J1106" i="2"/>
  <c r="E1106" i="2"/>
  <c r="G1106" i="2"/>
  <c r="K1106" i="2"/>
  <c r="A1107" i="2"/>
  <c r="F1106" i="2"/>
  <c r="B1106" i="2"/>
  <c r="E1106" i="3"/>
  <c r="I1106" i="3"/>
  <c r="F1106" i="3"/>
  <c r="G1106" i="3"/>
  <c r="H1106" i="3"/>
  <c r="B1106" i="3"/>
  <c r="D1106" i="3"/>
  <c r="J1106" i="3"/>
  <c r="A1107" i="3"/>
  <c r="C1106" i="3"/>
  <c r="L1061" i="6"/>
  <c r="AC1081" i="5"/>
  <c r="AC1105" i="5"/>
  <c r="L1080" i="6"/>
  <c r="AC1087" i="5"/>
  <c r="AB1091" i="5"/>
  <c r="AB1104" i="5"/>
  <c r="AC1103" i="5"/>
  <c r="L1060" i="6"/>
  <c r="L1066" i="6"/>
  <c r="L1094" i="6"/>
  <c r="L1084" i="6"/>
  <c r="L1100" i="6"/>
  <c r="L1101" i="6"/>
  <c r="S494" i="6"/>
  <c r="Q1099" i="6"/>
  <c r="Q1098" i="6"/>
  <c r="AC1062" i="5"/>
  <c r="AB1065" i="5"/>
  <c r="AB1085" i="5"/>
  <c r="AB1102" i="5"/>
  <c r="AC503" i="5"/>
  <c r="S1086" i="6"/>
  <c r="S1100" i="6"/>
  <c r="S1077" i="6"/>
  <c r="S14" i="6"/>
  <c r="S1057" i="6" s="1"/>
  <c r="Q1057" i="6"/>
  <c r="L1069" i="6"/>
  <c r="AB1068" i="5"/>
  <c r="AB1063" i="5"/>
  <c r="L1076" i="6"/>
  <c r="AC1073" i="5"/>
  <c r="AC1085" i="5"/>
  <c r="AB1077" i="5"/>
  <c r="AB1071" i="5"/>
  <c r="L1079" i="6"/>
  <c r="L1088" i="6"/>
  <c r="AC1063" i="5"/>
  <c r="AC1075" i="5"/>
  <c r="AC1089" i="5"/>
  <c r="AB1075" i="5"/>
  <c r="L1058" i="6"/>
  <c r="L1063" i="6"/>
  <c r="L1065" i="6"/>
  <c r="L1075" i="6"/>
  <c r="L1070" i="6"/>
  <c r="L1085" i="6"/>
  <c r="L1082" i="6"/>
  <c r="L1090" i="6"/>
  <c r="L1099" i="6"/>
  <c r="AB1059" i="5"/>
  <c r="AC1065" i="5"/>
  <c r="AB1080" i="5"/>
  <c r="AB1067" i="5"/>
  <c r="AB1095" i="5"/>
  <c r="AB1101" i="5"/>
  <c r="S444" i="6"/>
  <c r="S1093" i="6" s="1"/>
  <c r="Q1093" i="6"/>
  <c r="AC1098" i="5" l="1"/>
  <c r="B1085" i="6"/>
  <c r="A1086" i="6"/>
  <c r="S1097" i="6"/>
  <c r="C1107" i="3"/>
  <c r="A1108" i="3"/>
  <c r="G1107" i="3"/>
  <c r="F1107" i="3"/>
  <c r="H1107" i="3"/>
  <c r="I1107" i="3"/>
  <c r="B1107" i="3"/>
  <c r="D1107" i="3"/>
  <c r="J1107" i="3"/>
  <c r="E1107" i="3"/>
  <c r="D1108" i="5"/>
  <c r="L1108" i="5"/>
  <c r="T1108" i="5"/>
  <c r="E1108" i="5"/>
  <c r="M1108" i="5"/>
  <c r="U1108" i="5"/>
  <c r="K1108" i="5"/>
  <c r="W1108" i="5"/>
  <c r="N1108" i="5"/>
  <c r="AB1108" i="5"/>
  <c r="B1108" i="5"/>
  <c r="O1108" i="5"/>
  <c r="AC1108" i="5"/>
  <c r="C1108" i="5"/>
  <c r="P1108" i="5"/>
  <c r="A1109" i="5"/>
  <c r="H1108" i="5"/>
  <c r="S1108" i="5"/>
  <c r="G1108" i="5"/>
  <c r="I1108" i="5"/>
  <c r="J1108" i="5"/>
  <c r="R1108" i="5"/>
  <c r="F1108" i="5"/>
  <c r="Q1108" i="5"/>
  <c r="V1108" i="5"/>
  <c r="X1108" i="5"/>
  <c r="S1099" i="6"/>
  <c r="S1098" i="6"/>
  <c r="G1107" i="2"/>
  <c r="B1107" i="2"/>
  <c r="A1108" i="2"/>
  <c r="F1107" i="2"/>
  <c r="J1107" i="2"/>
  <c r="K1107" i="2"/>
  <c r="C1107" i="2"/>
  <c r="E1107" i="2"/>
  <c r="H1107" i="2"/>
  <c r="I1107" i="2"/>
  <c r="S1103" i="6"/>
  <c r="S1104" i="6"/>
  <c r="S1101" i="6"/>
  <c r="S1102" i="6"/>
  <c r="B1109" i="5" l="1"/>
  <c r="J1109" i="5"/>
  <c r="R1109" i="5"/>
  <c r="AC1109" i="5"/>
  <c r="C1109" i="5"/>
  <c r="K1109" i="5"/>
  <c r="S1109" i="5"/>
  <c r="A1110" i="5"/>
  <c r="G1109" i="5"/>
  <c r="Q1109" i="5"/>
  <c r="L1109" i="5"/>
  <c r="W1109" i="5"/>
  <c r="M1109" i="5"/>
  <c r="X1109" i="5"/>
  <c r="N1109" i="5"/>
  <c r="AB1109" i="5"/>
  <c r="F1109" i="5"/>
  <c r="T1109" i="5"/>
  <c r="E1109" i="5"/>
  <c r="H1109" i="5"/>
  <c r="I1109" i="5"/>
  <c r="P1109" i="5"/>
  <c r="V1109" i="5"/>
  <c r="D1109" i="5"/>
  <c r="U1109" i="5"/>
  <c r="O1109" i="5"/>
  <c r="I1108" i="3"/>
  <c r="E1108" i="3"/>
  <c r="G1108" i="3"/>
  <c r="H1108" i="3"/>
  <c r="J1108" i="3"/>
  <c r="C1108" i="3"/>
  <c r="F1108" i="3"/>
  <c r="A1109" i="3"/>
  <c r="B1108" i="3"/>
  <c r="D1108" i="3"/>
  <c r="E1108" i="2"/>
  <c r="K1108" i="2"/>
  <c r="G1108" i="2"/>
  <c r="B1108" i="2"/>
  <c r="A1109" i="2"/>
  <c r="C1108" i="2"/>
  <c r="F1108" i="2"/>
  <c r="J1108" i="2"/>
  <c r="H1108" i="2"/>
  <c r="I1108" i="2"/>
  <c r="B1086" i="6"/>
  <c r="A1087" i="6"/>
  <c r="G1109" i="3" l="1"/>
  <c r="C1109" i="3"/>
  <c r="A1110" i="3"/>
  <c r="H1109" i="3"/>
  <c r="I1109" i="3"/>
  <c r="J1109" i="3"/>
  <c r="D1109" i="3"/>
  <c r="E1109" i="3"/>
  <c r="B1109" i="3"/>
  <c r="F1109" i="3"/>
  <c r="B1087" i="6"/>
  <c r="A1088" i="6"/>
  <c r="H1110" i="5"/>
  <c r="P1110" i="5"/>
  <c r="X1110" i="5"/>
  <c r="I1110" i="5"/>
  <c r="Q1110" i="5"/>
  <c r="AB1110" i="5"/>
  <c r="C1110" i="5"/>
  <c r="M1110" i="5"/>
  <c r="W1110" i="5"/>
  <c r="J1110" i="5"/>
  <c r="U1110" i="5"/>
  <c r="K1110" i="5"/>
  <c r="V1110" i="5"/>
  <c r="L1110" i="5"/>
  <c r="AC1110" i="5"/>
  <c r="E1110" i="5"/>
  <c r="R1110" i="5"/>
  <c r="D1110" i="5"/>
  <c r="F1110" i="5"/>
  <c r="G1110" i="5"/>
  <c r="O1110" i="5"/>
  <c r="B1110" i="5"/>
  <c r="N1110" i="5"/>
  <c r="A1111" i="5"/>
  <c r="T1110" i="5"/>
  <c r="S1110" i="5"/>
  <c r="B1109" i="2"/>
  <c r="K1109" i="2"/>
  <c r="J1109" i="2"/>
  <c r="A1110" i="2"/>
  <c r="G1109" i="2"/>
  <c r="H1109" i="2"/>
  <c r="C1109" i="2"/>
  <c r="E1109" i="2"/>
  <c r="F1109" i="2"/>
  <c r="I1109" i="2"/>
  <c r="F1111" i="5" l="1"/>
  <c r="N1111" i="5"/>
  <c r="V1111" i="5"/>
  <c r="G1111" i="5"/>
  <c r="O1111" i="5"/>
  <c r="W1111" i="5"/>
  <c r="I1111" i="5"/>
  <c r="S1111" i="5"/>
  <c r="H1111" i="5"/>
  <c r="T1111" i="5"/>
  <c r="J1111" i="5"/>
  <c r="U1111" i="5"/>
  <c r="K1111" i="5"/>
  <c r="X1111" i="5"/>
  <c r="C1111" i="5"/>
  <c r="P1111" i="5"/>
  <c r="A1112" i="5"/>
  <c r="B1111" i="5"/>
  <c r="AC1111" i="5"/>
  <c r="D1111" i="5"/>
  <c r="E1111" i="5"/>
  <c r="M1111" i="5"/>
  <c r="R1111" i="5"/>
  <c r="AB1111" i="5"/>
  <c r="L1111" i="5"/>
  <c r="Q1111" i="5"/>
  <c r="B1088" i="6"/>
  <c r="A1089" i="6"/>
  <c r="E1110" i="3"/>
  <c r="I1110" i="3"/>
  <c r="H1110" i="3"/>
  <c r="J1110" i="3"/>
  <c r="A1111" i="3"/>
  <c r="D1110" i="3"/>
  <c r="G1110" i="3"/>
  <c r="B1110" i="3"/>
  <c r="C1110" i="3"/>
  <c r="F1110" i="3"/>
  <c r="I1110" i="2"/>
  <c r="J1110" i="2"/>
  <c r="C1110" i="2"/>
  <c r="F1110" i="2"/>
  <c r="H1110" i="2"/>
  <c r="K1110" i="2"/>
  <c r="B1110" i="2"/>
  <c r="E1110" i="2"/>
  <c r="A1111" i="2"/>
  <c r="G1110" i="2"/>
  <c r="G1111" i="2" l="1"/>
  <c r="I1111" i="2"/>
  <c r="J1111" i="2"/>
  <c r="K1111" i="2"/>
  <c r="B1111" i="2"/>
  <c r="F1111" i="2"/>
  <c r="H1111" i="2"/>
  <c r="A1112" i="2"/>
  <c r="C1111" i="2"/>
  <c r="E1111" i="2"/>
  <c r="B1089" i="6"/>
  <c r="A1090" i="6"/>
  <c r="C1111" i="3"/>
  <c r="A1112" i="3"/>
  <c r="G1111" i="3"/>
  <c r="I1111" i="3"/>
  <c r="J1111" i="3"/>
  <c r="E1111" i="3"/>
  <c r="B1111" i="3"/>
  <c r="D1111" i="3"/>
  <c r="F1111" i="3"/>
  <c r="H1111" i="3"/>
  <c r="D1112" i="5"/>
  <c r="L1112" i="5"/>
  <c r="T1112" i="5"/>
  <c r="E1112" i="5"/>
  <c r="M1112" i="5"/>
  <c r="U1112" i="5"/>
  <c r="C1112" i="5"/>
  <c r="O1112" i="5"/>
  <c r="AB1112" i="5"/>
  <c r="G1112" i="5"/>
  <c r="R1112" i="5"/>
  <c r="H1112" i="5"/>
  <c r="S1112" i="5"/>
  <c r="I1112" i="5"/>
  <c r="V1112" i="5"/>
  <c r="N1112" i="5"/>
  <c r="AC1112" i="5"/>
  <c r="X1112" i="5"/>
  <c r="B1112" i="5"/>
  <c r="A1113" i="5"/>
  <c r="F1112" i="5"/>
  <c r="K1112" i="5"/>
  <c r="J1112" i="5"/>
  <c r="W1112" i="5"/>
  <c r="P1112" i="5"/>
  <c r="Q1112" i="5"/>
  <c r="B1090" i="6" l="1"/>
  <c r="A1091" i="6"/>
  <c r="B1113" i="5"/>
  <c r="J1113" i="5"/>
  <c r="R1113" i="5"/>
  <c r="AC1113" i="5"/>
  <c r="C1113" i="5"/>
  <c r="K1113" i="5"/>
  <c r="S1113" i="5"/>
  <c r="A1114" i="5"/>
  <c r="I1113" i="5"/>
  <c r="U1113" i="5"/>
  <c r="E1113" i="5"/>
  <c r="P1113" i="5"/>
  <c r="F1113" i="5"/>
  <c r="Q1113" i="5"/>
  <c r="G1113" i="5"/>
  <c r="T1113" i="5"/>
  <c r="M1113" i="5"/>
  <c r="X1113" i="5"/>
  <c r="W1113" i="5"/>
  <c r="AB1113" i="5"/>
  <c r="D1113" i="5"/>
  <c r="L1113" i="5"/>
  <c r="O1113" i="5"/>
  <c r="V1113" i="5"/>
  <c r="H1113" i="5"/>
  <c r="N1113" i="5"/>
  <c r="E1112" i="2"/>
  <c r="H1112" i="2"/>
  <c r="K1112" i="2"/>
  <c r="A1113" i="2"/>
  <c r="F1112" i="2"/>
  <c r="I1112" i="2"/>
  <c r="J1112" i="2"/>
  <c r="B1112" i="2"/>
  <c r="C1112" i="2"/>
  <c r="G1112" i="2"/>
  <c r="I1112" i="3"/>
  <c r="E1112" i="3"/>
  <c r="J1112" i="3"/>
  <c r="A1113" i="3"/>
  <c r="B1112" i="3"/>
  <c r="F1112" i="3"/>
  <c r="H1112" i="3"/>
  <c r="D1112" i="3"/>
  <c r="G1112" i="3"/>
  <c r="C1112" i="3"/>
  <c r="B1113" i="2" l="1"/>
  <c r="K1113" i="2"/>
  <c r="G1113" i="2"/>
  <c r="H1113" i="2"/>
  <c r="I1113" i="2"/>
  <c r="J1113" i="2"/>
  <c r="C1113" i="2"/>
  <c r="A1114" i="2"/>
  <c r="F1113" i="2"/>
  <c r="E1113" i="2"/>
  <c r="G1113" i="3"/>
  <c r="C1113" i="3"/>
  <c r="A1114" i="3"/>
  <c r="J1113" i="3"/>
  <c r="B1113" i="3"/>
  <c r="F1113" i="3"/>
  <c r="H1113" i="3"/>
  <c r="D1113" i="3"/>
  <c r="E1113" i="3"/>
  <c r="I1113" i="3"/>
  <c r="H1114" i="5"/>
  <c r="P1114" i="5"/>
  <c r="X1114" i="5"/>
  <c r="I1114" i="5"/>
  <c r="Q1114" i="5"/>
  <c r="AB1114" i="5"/>
  <c r="E1114" i="5"/>
  <c r="O1114" i="5"/>
  <c r="A1115" i="5"/>
  <c r="C1114" i="5"/>
  <c r="N1114" i="5"/>
  <c r="D1114" i="5"/>
  <c r="R1114" i="5"/>
  <c r="F1114" i="5"/>
  <c r="S1114" i="5"/>
  <c r="K1114" i="5"/>
  <c r="V1114" i="5"/>
  <c r="U1114" i="5"/>
  <c r="W1114" i="5"/>
  <c r="B1114" i="5"/>
  <c r="AC1114" i="5"/>
  <c r="J1114" i="5"/>
  <c r="G1114" i="5"/>
  <c r="T1114" i="5"/>
  <c r="M1114" i="5"/>
  <c r="L1114" i="5"/>
  <c r="B1091" i="6"/>
  <c r="A1092" i="6"/>
  <c r="I1114" i="2" l="1"/>
  <c r="F1114" i="2"/>
  <c r="B1114" i="2"/>
  <c r="E1114" i="2"/>
  <c r="G1114" i="2"/>
  <c r="K1114" i="2"/>
  <c r="H1114" i="2"/>
  <c r="J1114" i="2"/>
  <c r="A1115" i="2"/>
  <c r="C1114" i="2"/>
  <c r="B1092" i="6"/>
  <c r="A1093" i="6"/>
  <c r="F1115" i="5"/>
  <c r="N1115" i="5"/>
  <c r="V1115" i="5"/>
  <c r="G1115" i="5"/>
  <c r="O1115" i="5"/>
  <c r="W1115" i="5"/>
  <c r="K1115" i="5"/>
  <c r="U1115" i="5"/>
  <c r="B1115" i="5"/>
  <c r="M1115" i="5"/>
  <c r="AC1115" i="5"/>
  <c r="C1115" i="5"/>
  <c r="P1115" i="5"/>
  <c r="A1116" i="5"/>
  <c r="D1115" i="5"/>
  <c r="Q1115" i="5"/>
  <c r="I1115" i="5"/>
  <c r="T1115" i="5"/>
  <c r="S1115" i="5"/>
  <c r="X1115" i="5"/>
  <c r="AB1115" i="5"/>
  <c r="H1115" i="5"/>
  <c r="L1115" i="5"/>
  <c r="R1115" i="5"/>
  <c r="E1115" i="5"/>
  <c r="J1115" i="5"/>
  <c r="E1114" i="3"/>
  <c r="I1114" i="3"/>
  <c r="A1115" i="3"/>
  <c r="B1114" i="3"/>
  <c r="C1114" i="3"/>
  <c r="G1114" i="3"/>
  <c r="J1114" i="3"/>
  <c r="D1114" i="3"/>
  <c r="H1114" i="3"/>
  <c r="F1114" i="3"/>
  <c r="B1093" i="6" l="1"/>
  <c r="A1094" i="6"/>
  <c r="D1116" i="5"/>
  <c r="L1116" i="5"/>
  <c r="T1116" i="5"/>
  <c r="E1116" i="5"/>
  <c r="M1116" i="5"/>
  <c r="U1116" i="5"/>
  <c r="G1116" i="5"/>
  <c r="Q1116" i="5"/>
  <c r="A1117" i="5"/>
  <c r="K1116" i="5"/>
  <c r="X1116" i="5"/>
  <c r="N1116" i="5"/>
  <c r="AB1116" i="5"/>
  <c r="B1116" i="5"/>
  <c r="O1116" i="5"/>
  <c r="AC1116" i="5"/>
  <c r="H1116" i="5"/>
  <c r="S1116" i="5"/>
  <c r="R1116" i="5"/>
  <c r="V1116" i="5"/>
  <c r="W1116" i="5"/>
  <c r="F1116" i="5"/>
  <c r="C1116" i="5"/>
  <c r="P1116" i="5"/>
  <c r="I1116" i="5"/>
  <c r="J1116" i="5"/>
  <c r="C1115" i="3"/>
  <c r="A1116" i="3"/>
  <c r="G1115" i="3"/>
  <c r="B1115" i="3"/>
  <c r="D1115" i="3"/>
  <c r="H1115" i="3"/>
  <c r="E1115" i="3"/>
  <c r="I1115" i="3"/>
  <c r="F1115" i="3"/>
  <c r="J1115" i="3"/>
  <c r="G1115" i="2"/>
  <c r="E1115" i="2"/>
  <c r="I1115" i="2"/>
  <c r="J1115" i="2"/>
  <c r="F1115" i="2"/>
  <c r="H1115" i="2"/>
  <c r="B1115" i="2"/>
  <c r="K1115" i="2"/>
  <c r="A1116" i="2"/>
  <c r="C1115" i="2"/>
  <c r="E1116" i="2" l="1"/>
  <c r="C1116" i="2"/>
  <c r="F1116" i="2"/>
  <c r="H1116" i="2"/>
  <c r="J1116" i="2"/>
  <c r="B1116" i="2"/>
  <c r="G1116" i="2"/>
  <c r="K1116" i="2"/>
  <c r="A1117" i="2"/>
  <c r="I1116" i="2"/>
  <c r="I1116" i="3"/>
  <c r="E1116" i="3"/>
  <c r="B1116" i="3"/>
  <c r="C1116" i="3"/>
  <c r="D1116" i="3"/>
  <c r="H1116" i="3"/>
  <c r="A1117" i="3"/>
  <c r="G1116" i="3"/>
  <c r="F1116" i="3"/>
  <c r="J1116" i="3"/>
  <c r="B1117" i="5"/>
  <c r="J1117" i="5"/>
  <c r="R1117" i="5"/>
  <c r="AC1117" i="5"/>
  <c r="C1117" i="5"/>
  <c r="K1117" i="5"/>
  <c r="S1117" i="5"/>
  <c r="A1118" i="5"/>
  <c r="M1117" i="5"/>
  <c r="W1117" i="5"/>
  <c r="I1117" i="5"/>
  <c r="V1117" i="5"/>
  <c r="L1117" i="5"/>
  <c r="X1117" i="5"/>
  <c r="N1117" i="5"/>
  <c r="AB1117" i="5"/>
  <c r="F1117" i="5"/>
  <c r="Q1117" i="5"/>
  <c r="P1117" i="5"/>
  <c r="T1117" i="5"/>
  <c r="U1117" i="5"/>
  <c r="E1117" i="5"/>
  <c r="H1117" i="5"/>
  <c r="O1117" i="5"/>
  <c r="D1117" i="5"/>
  <c r="G1117" i="5"/>
  <c r="B1094" i="6"/>
  <c r="A1095" i="6"/>
  <c r="B1095" i="6" l="1"/>
  <c r="A1096" i="6"/>
  <c r="H1118" i="5"/>
  <c r="P1118" i="5"/>
  <c r="X1118" i="5"/>
  <c r="I1118" i="5"/>
  <c r="Q1118" i="5"/>
  <c r="AB1118" i="5"/>
  <c r="G1118" i="5"/>
  <c r="S1118" i="5"/>
  <c r="J1118" i="5"/>
  <c r="U1118" i="5"/>
  <c r="K1118" i="5"/>
  <c r="V1118" i="5"/>
  <c r="L1118" i="5"/>
  <c r="W1118" i="5"/>
  <c r="D1118" i="5"/>
  <c r="O1118" i="5"/>
  <c r="N1118" i="5"/>
  <c r="R1118" i="5"/>
  <c r="T1118" i="5"/>
  <c r="C1118" i="5"/>
  <c r="A1119" i="5"/>
  <c r="B1118" i="5"/>
  <c r="M1118" i="5"/>
  <c r="F1118" i="5"/>
  <c r="AC1118" i="5"/>
  <c r="E1118" i="5"/>
  <c r="G1117" i="3"/>
  <c r="C1117" i="3"/>
  <c r="A1118" i="3"/>
  <c r="B1117" i="3"/>
  <c r="D1117" i="3"/>
  <c r="E1117" i="3"/>
  <c r="I1117" i="3"/>
  <c r="F1117" i="3"/>
  <c r="H1117" i="3"/>
  <c r="J1117" i="3"/>
  <c r="B1117" i="2"/>
  <c r="K1117" i="2"/>
  <c r="C1117" i="2"/>
  <c r="I1117" i="2"/>
  <c r="J1117" i="2"/>
  <c r="A1118" i="2"/>
  <c r="E1117" i="2"/>
  <c r="F1117" i="2"/>
  <c r="G1117" i="2"/>
  <c r="H1117" i="2"/>
  <c r="E1118" i="3" l="1"/>
  <c r="I1118" i="3"/>
  <c r="C1118" i="3"/>
  <c r="D1118" i="3"/>
  <c r="F1118" i="3"/>
  <c r="J1118" i="3"/>
  <c r="B1118" i="3"/>
  <c r="G1118" i="3"/>
  <c r="H1118" i="3"/>
  <c r="A1119" i="3"/>
  <c r="F1119" i="5"/>
  <c r="N1119" i="5"/>
  <c r="V1119" i="5"/>
  <c r="G1119" i="5"/>
  <c r="O1119" i="5"/>
  <c r="W1119" i="5"/>
  <c r="C1119" i="5"/>
  <c r="M1119" i="5"/>
  <c r="AB1119" i="5"/>
  <c r="H1119" i="5"/>
  <c r="S1119" i="5"/>
  <c r="I1119" i="5"/>
  <c r="T1119" i="5"/>
  <c r="J1119" i="5"/>
  <c r="U1119" i="5"/>
  <c r="B1119" i="5"/>
  <c r="P1119" i="5"/>
  <c r="A1120" i="5"/>
  <c r="L1119" i="5"/>
  <c r="Q1119" i="5"/>
  <c r="R1119" i="5"/>
  <c r="AC1119" i="5"/>
  <c r="E1119" i="5"/>
  <c r="K1119" i="5"/>
  <c r="X1119" i="5"/>
  <c r="D1119" i="5"/>
  <c r="I1118" i="2"/>
  <c r="B1118" i="2"/>
  <c r="A1119" i="2"/>
  <c r="F1118" i="2"/>
  <c r="G1118" i="2"/>
  <c r="C1118" i="2"/>
  <c r="J1118" i="2"/>
  <c r="E1118" i="2"/>
  <c r="H1118" i="2"/>
  <c r="K1118" i="2"/>
  <c r="B1096" i="6"/>
  <c r="A1097" i="6"/>
  <c r="B1097" i="6" l="1"/>
  <c r="A1098" i="6"/>
  <c r="G1119" i="2"/>
  <c r="K1119" i="2"/>
  <c r="B1119" i="2"/>
  <c r="A1120" i="2"/>
  <c r="C1119" i="2"/>
  <c r="E1119" i="2"/>
  <c r="F1119" i="2"/>
  <c r="J1119" i="2"/>
  <c r="H1119" i="2"/>
  <c r="I1119" i="2"/>
  <c r="D1120" i="5"/>
  <c r="L1120" i="5"/>
  <c r="T1120" i="5"/>
  <c r="E1120" i="5"/>
  <c r="M1120" i="5"/>
  <c r="U1120" i="5"/>
  <c r="I1120" i="5"/>
  <c r="S1120" i="5"/>
  <c r="F1120" i="5"/>
  <c r="Q1120" i="5"/>
  <c r="G1120" i="5"/>
  <c r="R1120" i="5"/>
  <c r="H1120" i="5"/>
  <c r="V1120" i="5"/>
  <c r="N1120" i="5"/>
  <c r="AB1120" i="5"/>
  <c r="K1120" i="5"/>
  <c r="O1120" i="5"/>
  <c r="P1120" i="5"/>
  <c r="X1120" i="5"/>
  <c r="A1121" i="5"/>
  <c r="J1120" i="5"/>
  <c r="B1120" i="5"/>
  <c r="W1120" i="5"/>
  <c r="AC1120" i="5"/>
  <c r="C1120" i="5"/>
  <c r="C1119" i="3"/>
  <c r="A1120" i="3"/>
  <c r="G1119" i="3"/>
  <c r="D1119" i="3"/>
  <c r="E1119" i="3"/>
  <c r="F1119" i="3"/>
  <c r="J1119" i="3"/>
  <c r="B1119" i="3"/>
  <c r="H1119" i="3"/>
  <c r="I1119" i="3"/>
  <c r="E1120" i="2" l="1"/>
  <c r="J1120" i="2"/>
  <c r="I1120" i="2"/>
  <c r="K1120" i="2"/>
  <c r="A1121" i="2"/>
  <c r="G1120" i="2"/>
  <c r="B1120" i="2"/>
  <c r="C1120" i="2"/>
  <c r="F1120" i="2"/>
  <c r="H1120" i="2"/>
  <c r="B1098" i="6"/>
  <c r="A1099" i="6"/>
  <c r="I1120" i="3"/>
  <c r="E1120" i="3"/>
  <c r="D1120" i="3"/>
  <c r="F1120" i="3"/>
  <c r="G1120" i="3"/>
  <c r="A1121" i="3"/>
  <c r="J1120" i="3"/>
  <c r="H1120" i="3"/>
  <c r="B1120" i="3"/>
  <c r="C1120" i="3"/>
  <c r="B1121" i="5"/>
  <c r="J1121" i="5"/>
  <c r="R1121" i="5"/>
  <c r="AC1121" i="5"/>
  <c r="C1121" i="5"/>
  <c r="K1121" i="5"/>
  <c r="S1121" i="5"/>
  <c r="A1122" i="5"/>
  <c r="E1121" i="5"/>
  <c r="O1121" i="5"/>
  <c r="AB1121" i="5"/>
  <c r="D1121" i="5"/>
  <c r="P1121" i="5"/>
  <c r="F1121" i="5"/>
  <c r="Q1121" i="5"/>
  <c r="G1121" i="5"/>
  <c r="T1121" i="5"/>
  <c r="L1121" i="5"/>
  <c r="W1121" i="5"/>
  <c r="I1121" i="5"/>
  <c r="M1121" i="5"/>
  <c r="N1121" i="5"/>
  <c r="V1121" i="5"/>
  <c r="H1121" i="5"/>
  <c r="U1121" i="5"/>
  <c r="X1121" i="5"/>
  <c r="H1122" i="5" l="1"/>
  <c r="P1122" i="5"/>
  <c r="X1122" i="5"/>
  <c r="I1122" i="5"/>
  <c r="Q1122" i="5"/>
  <c r="AB1122" i="5"/>
  <c r="K1122" i="5"/>
  <c r="U1122" i="5"/>
  <c r="C1122" i="5"/>
  <c r="N1122" i="5"/>
  <c r="A1123" i="5"/>
  <c r="D1122" i="5"/>
  <c r="O1122" i="5"/>
  <c r="E1122" i="5"/>
  <c r="R1122" i="5"/>
  <c r="J1122" i="5"/>
  <c r="V1122" i="5"/>
  <c r="G1122" i="5"/>
  <c r="L1122" i="5"/>
  <c r="M1122" i="5"/>
  <c r="T1122" i="5"/>
  <c r="AC1122" i="5"/>
  <c r="F1122" i="5"/>
  <c r="B1122" i="5"/>
  <c r="S1122" i="5"/>
  <c r="W1122" i="5"/>
  <c r="B1099" i="6"/>
  <c r="A1100" i="6"/>
  <c r="G1121" i="3"/>
  <c r="C1121" i="3"/>
  <c r="A1122" i="3"/>
  <c r="E1121" i="3"/>
  <c r="F1121" i="3"/>
  <c r="H1121" i="3"/>
  <c r="D1121" i="3"/>
  <c r="B1121" i="3"/>
  <c r="I1121" i="3"/>
  <c r="J1121" i="3"/>
  <c r="B1121" i="2"/>
  <c r="K1121" i="2"/>
  <c r="I1121" i="2"/>
  <c r="C1121" i="2"/>
  <c r="E1121" i="2"/>
  <c r="F1121" i="2"/>
  <c r="J1121" i="2"/>
  <c r="G1121" i="2"/>
  <c r="A1122" i="2"/>
  <c r="H1121" i="2"/>
  <c r="E1122" i="3" l="1"/>
  <c r="I1122" i="3"/>
  <c r="F1122" i="3"/>
  <c r="G1122" i="3"/>
  <c r="H1122" i="3"/>
  <c r="B1122" i="3"/>
  <c r="J1122" i="3"/>
  <c r="C1122" i="3"/>
  <c r="A1123" i="3"/>
  <c r="D1122" i="3"/>
  <c r="F1123" i="5"/>
  <c r="N1123" i="5"/>
  <c r="V1123" i="5"/>
  <c r="G1123" i="5"/>
  <c r="O1123" i="5"/>
  <c r="W1123" i="5"/>
  <c r="E1123" i="5"/>
  <c r="Q1123" i="5"/>
  <c r="A1124" i="5"/>
  <c r="L1123" i="5"/>
  <c r="AB1123" i="5"/>
  <c r="B1123" i="5"/>
  <c r="M1123" i="5"/>
  <c r="AC1123" i="5"/>
  <c r="C1123" i="5"/>
  <c r="P1123" i="5"/>
  <c r="I1123" i="5"/>
  <c r="T1123" i="5"/>
  <c r="H1123" i="5"/>
  <c r="J1123" i="5"/>
  <c r="K1123" i="5"/>
  <c r="S1123" i="5"/>
  <c r="D1123" i="5"/>
  <c r="R1123" i="5"/>
  <c r="U1123" i="5"/>
  <c r="X1123" i="5"/>
  <c r="I1122" i="2"/>
  <c r="H1122" i="2"/>
  <c r="J1122" i="2"/>
  <c r="K1122" i="2"/>
  <c r="B1122" i="2"/>
  <c r="A1123" i="2"/>
  <c r="C1122" i="2"/>
  <c r="F1122" i="2"/>
  <c r="G1122" i="2"/>
  <c r="E1122" i="2"/>
  <c r="B1100" i="6"/>
  <c r="A1101" i="6"/>
  <c r="E1123" i="3" l="1"/>
  <c r="F1123" i="3"/>
  <c r="G1123" i="3"/>
  <c r="B1123" i="3"/>
  <c r="J1123" i="3"/>
  <c r="D1123" i="3"/>
  <c r="A1124" i="3"/>
  <c r="H1123" i="3"/>
  <c r="C1123" i="3"/>
  <c r="I1123" i="3"/>
  <c r="B1101" i="6"/>
  <c r="A1102" i="6"/>
  <c r="D1124" i="5"/>
  <c r="L1124" i="5"/>
  <c r="T1124" i="5"/>
  <c r="E1124" i="5"/>
  <c r="M1124" i="5"/>
  <c r="U1124" i="5"/>
  <c r="K1124" i="5"/>
  <c r="W1124" i="5"/>
  <c r="J1124" i="5"/>
  <c r="X1124" i="5"/>
  <c r="N1124" i="5"/>
  <c r="AB1124" i="5"/>
  <c r="B1124" i="5"/>
  <c r="O1124" i="5"/>
  <c r="AC1124" i="5"/>
  <c r="G1124" i="5"/>
  <c r="R1124" i="5"/>
  <c r="F1124" i="5"/>
  <c r="H1124" i="5"/>
  <c r="I1124" i="5"/>
  <c r="Q1124" i="5"/>
  <c r="V1124" i="5"/>
  <c r="A1125" i="5"/>
  <c r="C1124" i="5"/>
  <c r="P1124" i="5"/>
  <c r="S1124" i="5"/>
  <c r="G1123" i="2"/>
  <c r="H1123" i="2"/>
  <c r="K1123" i="2"/>
  <c r="E1123" i="2"/>
  <c r="I1123" i="2"/>
  <c r="B1123" i="2"/>
  <c r="F1123" i="2"/>
  <c r="J1123" i="2"/>
  <c r="C1123" i="2"/>
  <c r="A1124" i="2"/>
  <c r="E1124" i="2" l="1"/>
  <c r="G1124" i="2"/>
  <c r="K1124" i="2"/>
  <c r="A1125" i="2"/>
  <c r="F1124" i="2"/>
  <c r="H1124" i="2"/>
  <c r="I1124" i="2"/>
  <c r="J1124" i="2"/>
  <c r="B1124" i="2"/>
  <c r="C1124" i="2"/>
  <c r="C1124" i="3"/>
  <c r="A1125" i="3"/>
  <c r="D1124" i="3"/>
  <c r="E1124" i="3"/>
  <c r="H1124" i="3"/>
  <c r="J1124" i="3"/>
  <c r="G1124" i="3"/>
  <c r="I1124" i="3"/>
  <c r="B1124" i="3"/>
  <c r="F1124" i="3"/>
  <c r="B1102" i="6"/>
  <c r="A1103" i="6"/>
  <c r="B1125" i="5"/>
  <c r="J1125" i="5"/>
  <c r="C1125" i="5"/>
  <c r="K1125" i="5"/>
  <c r="G1125" i="5"/>
  <c r="Q1125" i="5"/>
  <c r="AB1125" i="5"/>
  <c r="I1125" i="5"/>
  <c r="T1125" i="5"/>
  <c r="L1125" i="5"/>
  <c r="U1125" i="5"/>
  <c r="M1125" i="5"/>
  <c r="V1125" i="5"/>
  <c r="E1125" i="5"/>
  <c r="P1125" i="5"/>
  <c r="AC1125" i="5"/>
  <c r="D1125" i="5"/>
  <c r="X1125" i="5"/>
  <c r="F1125" i="5"/>
  <c r="A1126" i="5"/>
  <c r="H1125" i="5"/>
  <c r="O1125" i="5"/>
  <c r="N1125" i="5"/>
  <c r="W1125" i="5"/>
  <c r="S1125" i="5"/>
  <c r="R1125" i="5"/>
  <c r="B1103" i="6" l="1"/>
  <c r="A1104" i="6"/>
  <c r="I1125" i="3"/>
  <c r="B1125" i="3"/>
  <c r="J1125" i="3"/>
  <c r="C1125" i="3"/>
  <c r="A1126" i="3"/>
  <c r="F1125" i="3"/>
  <c r="D1125" i="3"/>
  <c r="E1125" i="3"/>
  <c r="G1125" i="3"/>
  <c r="H1125" i="3"/>
  <c r="B1125" i="2"/>
  <c r="K1125" i="2"/>
  <c r="F1125" i="2"/>
  <c r="G1125" i="2"/>
  <c r="C1125" i="2"/>
  <c r="H1125" i="2"/>
  <c r="I1125" i="2"/>
  <c r="J1125" i="2"/>
  <c r="A1126" i="2"/>
  <c r="E1125" i="2"/>
  <c r="G1126" i="5"/>
  <c r="O1126" i="5"/>
  <c r="W1126" i="5"/>
  <c r="C1126" i="5"/>
  <c r="L1126" i="5"/>
  <c r="U1126" i="5"/>
  <c r="D1126" i="5"/>
  <c r="M1126" i="5"/>
  <c r="V1126" i="5"/>
  <c r="E1126" i="5"/>
  <c r="N1126" i="5"/>
  <c r="X1126" i="5"/>
  <c r="I1126" i="5"/>
  <c r="R1126" i="5"/>
  <c r="A1127" i="5"/>
  <c r="Q1126" i="5"/>
  <c r="S1126" i="5"/>
  <c r="B1126" i="5"/>
  <c r="T1126" i="5"/>
  <c r="H1126" i="5"/>
  <c r="AC1126" i="5"/>
  <c r="K1126" i="5"/>
  <c r="P1126" i="5"/>
  <c r="AB1126" i="5"/>
  <c r="F1126" i="5"/>
  <c r="J1126" i="5"/>
  <c r="G1126" i="3" l="1"/>
  <c r="H1126" i="3"/>
  <c r="I1126" i="3"/>
  <c r="D1126" i="3"/>
  <c r="F1126" i="3"/>
  <c r="J1126" i="3"/>
  <c r="A1127" i="3"/>
  <c r="B1126" i="3"/>
  <c r="C1126" i="3"/>
  <c r="E1126" i="3"/>
  <c r="E1127" i="5"/>
  <c r="M1127" i="5"/>
  <c r="U1127" i="5"/>
  <c r="D1127" i="5"/>
  <c r="N1127" i="5"/>
  <c r="W1127" i="5"/>
  <c r="F1127" i="5"/>
  <c r="O1127" i="5"/>
  <c r="X1127" i="5"/>
  <c r="G1127" i="5"/>
  <c r="P1127" i="5"/>
  <c r="AB1127" i="5"/>
  <c r="J1127" i="5"/>
  <c r="S1127" i="5"/>
  <c r="I1127" i="5"/>
  <c r="A1128" i="5"/>
  <c r="K1127" i="5"/>
  <c r="L1127" i="5"/>
  <c r="R1127" i="5"/>
  <c r="V1127" i="5"/>
  <c r="AC1127" i="5"/>
  <c r="H1127" i="5"/>
  <c r="B1127" i="5"/>
  <c r="Q1127" i="5"/>
  <c r="T1127" i="5"/>
  <c r="C1127" i="5"/>
  <c r="I1126" i="2"/>
  <c r="E1126" i="2"/>
  <c r="A1127" i="2"/>
  <c r="F1126" i="2"/>
  <c r="G1126" i="2"/>
  <c r="H1126" i="2"/>
  <c r="J1126" i="2"/>
  <c r="C1126" i="2"/>
  <c r="K1126" i="2"/>
  <c r="B1126" i="2"/>
  <c r="B1104" i="6"/>
  <c r="A1105" i="6"/>
  <c r="B1105" i="6" l="1"/>
  <c r="J1105" i="6"/>
  <c r="R1105" i="6"/>
  <c r="D1105" i="6"/>
  <c r="L1105" i="6"/>
  <c r="T1105" i="6"/>
  <c r="F1105" i="6"/>
  <c r="N1105" i="6"/>
  <c r="H1105" i="6"/>
  <c r="A1106" i="6"/>
  <c r="I1105" i="6"/>
  <c r="K1105" i="6"/>
  <c r="C1105" i="6"/>
  <c r="P1105" i="6"/>
  <c r="E1105" i="6"/>
  <c r="G1105" i="6"/>
  <c r="M1105" i="6"/>
  <c r="S1105" i="6"/>
  <c r="O1105" i="6"/>
  <c r="Q1105" i="6"/>
  <c r="E1127" i="3"/>
  <c r="F1127" i="3"/>
  <c r="G1127" i="3"/>
  <c r="B1127" i="3"/>
  <c r="J1127" i="3"/>
  <c r="I1127" i="3"/>
  <c r="A1128" i="3"/>
  <c r="C1127" i="3"/>
  <c r="H1127" i="3"/>
  <c r="D1127" i="3"/>
  <c r="C1128" i="5"/>
  <c r="K1128" i="5"/>
  <c r="S1128" i="5"/>
  <c r="A1129" i="5"/>
  <c r="F1128" i="5"/>
  <c r="O1128" i="5"/>
  <c r="X1128" i="5"/>
  <c r="G1128" i="5"/>
  <c r="P1128" i="5"/>
  <c r="AB1128" i="5"/>
  <c r="H1128" i="5"/>
  <c r="Q1128" i="5"/>
  <c r="AC1128" i="5"/>
  <c r="B1128" i="5"/>
  <c r="L1128" i="5"/>
  <c r="U1128" i="5"/>
  <c r="T1128" i="5"/>
  <c r="D1128" i="5"/>
  <c r="V1128" i="5"/>
  <c r="E1128" i="5"/>
  <c r="W1128" i="5"/>
  <c r="J1128" i="5"/>
  <c r="I1128" i="5"/>
  <c r="R1128" i="5"/>
  <c r="N1128" i="5"/>
  <c r="M1128" i="5"/>
  <c r="G1127" i="2"/>
  <c r="C1127" i="2"/>
  <c r="H1127" i="2"/>
  <c r="I1127" i="2"/>
  <c r="E1127" i="2"/>
  <c r="J1127" i="2"/>
  <c r="K1127" i="2"/>
  <c r="F1127" i="2"/>
  <c r="B1127" i="2"/>
  <c r="A1128" i="2"/>
  <c r="C1128" i="3" l="1"/>
  <c r="A1129" i="3"/>
  <c r="D1128" i="3"/>
  <c r="E1128" i="3"/>
  <c r="H1128" i="3"/>
  <c r="B1128" i="3"/>
  <c r="I1128" i="3"/>
  <c r="F1128" i="3"/>
  <c r="G1128" i="3"/>
  <c r="J1128" i="3"/>
  <c r="E1128" i="2"/>
  <c r="B1128" i="2"/>
  <c r="A1129" i="2"/>
  <c r="I1128" i="2"/>
  <c r="K1128" i="2"/>
  <c r="C1128" i="2"/>
  <c r="F1128" i="2"/>
  <c r="G1128" i="2"/>
  <c r="H1128" i="2"/>
  <c r="J1128" i="2"/>
  <c r="I1129" i="5"/>
  <c r="Q1129" i="5"/>
  <c r="AB1129" i="5"/>
  <c r="G1129" i="5"/>
  <c r="P1129" i="5"/>
  <c r="AC1129" i="5"/>
  <c r="H1129" i="5"/>
  <c r="R1129" i="5"/>
  <c r="A1130" i="5"/>
  <c r="J1129" i="5"/>
  <c r="S1129" i="5"/>
  <c r="D1129" i="5"/>
  <c r="M1129" i="5"/>
  <c r="V1129" i="5"/>
  <c r="L1129" i="5"/>
  <c r="N1129" i="5"/>
  <c r="O1129" i="5"/>
  <c r="C1129" i="5"/>
  <c r="U1129" i="5"/>
  <c r="F1129" i="5"/>
  <c r="K1129" i="5"/>
  <c r="T1129" i="5"/>
  <c r="B1129" i="5"/>
  <c r="W1129" i="5"/>
  <c r="E1129" i="5"/>
  <c r="X1129" i="5"/>
  <c r="F1106" i="6"/>
  <c r="N1106" i="6"/>
  <c r="H1106" i="6"/>
  <c r="P1106" i="6"/>
  <c r="B1106" i="6"/>
  <c r="J1106" i="6"/>
  <c r="R1106" i="6"/>
  <c r="M1106" i="6"/>
  <c r="C1106" i="6"/>
  <c r="O1106" i="6"/>
  <c r="D1106" i="6"/>
  <c r="Q1106" i="6"/>
  <c r="I1106" i="6"/>
  <c r="A1107" i="6"/>
  <c r="K1106" i="6"/>
  <c r="L1106" i="6"/>
  <c r="S1106" i="6"/>
  <c r="G1106" i="6"/>
  <c r="T1106" i="6"/>
  <c r="E1106" i="6"/>
  <c r="G1130" i="5" l="1"/>
  <c r="O1130" i="5"/>
  <c r="W1130" i="5"/>
  <c r="I1130" i="5"/>
  <c r="R1130" i="5"/>
  <c r="A1131" i="5"/>
  <c r="J1130" i="5"/>
  <c r="S1130" i="5"/>
  <c r="B1130" i="5"/>
  <c r="K1130" i="5"/>
  <c r="T1130" i="5"/>
  <c r="E1130" i="5"/>
  <c r="N1130" i="5"/>
  <c r="X1130" i="5"/>
  <c r="D1130" i="5"/>
  <c r="V1130" i="5"/>
  <c r="F1130" i="5"/>
  <c r="AB1130" i="5"/>
  <c r="H1130" i="5"/>
  <c r="AC1130" i="5"/>
  <c r="M1130" i="5"/>
  <c r="Q1130" i="5"/>
  <c r="U1130" i="5"/>
  <c r="C1130" i="5"/>
  <c r="L1130" i="5"/>
  <c r="P1130" i="5"/>
  <c r="B1129" i="2"/>
  <c r="K1129" i="2"/>
  <c r="A1130" i="2"/>
  <c r="C1129" i="2"/>
  <c r="F1129" i="2"/>
  <c r="J1129" i="2"/>
  <c r="E1129" i="2"/>
  <c r="G1129" i="2"/>
  <c r="I1129" i="2"/>
  <c r="H1129" i="2"/>
  <c r="B1107" i="6"/>
  <c r="J1107" i="6"/>
  <c r="R1107" i="6"/>
  <c r="D1107" i="6"/>
  <c r="L1107" i="6"/>
  <c r="T1107" i="6"/>
  <c r="F1107" i="6"/>
  <c r="N1107" i="6"/>
  <c r="G1107" i="6"/>
  <c r="S1107" i="6"/>
  <c r="H1107" i="6"/>
  <c r="A1108" i="6"/>
  <c r="I1107" i="6"/>
  <c r="O1107" i="6"/>
  <c r="P1107" i="6"/>
  <c r="Q1107" i="6"/>
  <c r="E1107" i="6"/>
  <c r="K1107" i="6"/>
  <c r="M1107" i="6"/>
  <c r="C1107" i="6"/>
  <c r="I1129" i="3"/>
  <c r="B1129" i="3"/>
  <c r="J1129" i="3"/>
  <c r="C1129" i="3"/>
  <c r="A1130" i="3"/>
  <c r="F1129" i="3"/>
  <c r="H1129" i="3"/>
  <c r="G1129" i="3"/>
  <c r="E1129" i="3"/>
  <c r="D1129" i="3"/>
  <c r="F1108" i="6" l="1"/>
  <c r="N1108" i="6"/>
  <c r="H1108" i="6"/>
  <c r="P1108" i="6"/>
  <c r="B1108" i="6"/>
  <c r="J1108" i="6"/>
  <c r="R1108" i="6"/>
  <c r="L1108" i="6"/>
  <c r="M1108" i="6"/>
  <c r="C1108" i="6"/>
  <c r="O1108" i="6"/>
  <c r="G1108" i="6"/>
  <c r="T1108" i="6"/>
  <c r="A1109" i="6"/>
  <c r="D1108" i="6"/>
  <c r="K1108" i="6"/>
  <c r="E1108" i="6"/>
  <c r="I1108" i="6"/>
  <c r="S1108" i="6"/>
  <c r="Q1108" i="6"/>
  <c r="E1131" i="5"/>
  <c r="M1131" i="5"/>
  <c r="U1131" i="5"/>
  <c r="J1131" i="5"/>
  <c r="S1131" i="5"/>
  <c r="B1131" i="5"/>
  <c r="K1131" i="5"/>
  <c r="T1131" i="5"/>
  <c r="C1131" i="5"/>
  <c r="L1131" i="5"/>
  <c r="V1131" i="5"/>
  <c r="G1131" i="5"/>
  <c r="P1131" i="5"/>
  <c r="AB1131" i="5"/>
  <c r="O1131" i="5"/>
  <c r="Q1131" i="5"/>
  <c r="R1131" i="5"/>
  <c r="F1131" i="5"/>
  <c r="X1131" i="5"/>
  <c r="A1132" i="5"/>
  <c r="D1131" i="5"/>
  <c r="N1131" i="5"/>
  <c r="I1131" i="5"/>
  <c r="H1131" i="5"/>
  <c r="W1131" i="5"/>
  <c r="AC1131" i="5"/>
  <c r="G1130" i="3"/>
  <c r="H1130" i="3"/>
  <c r="I1130" i="3"/>
  <c r="D1130" i="3"/>
  <c r="J1130" i="3"/>
  <c r="B1130" i="3"/>
  <c r="A1131" i="3"/>
  <c r="C1130" i="3"/>
  <c r="E1130" i="3"/>
  <c r="F1130" i="3"/>
  <c r="I1130" i="2"/>
  <c r="K1130" i="2"/>
  <c r="H1130" i="2"/>
  <c r="B1130" i="2"/>
  <c r="A1131" i="2"/>
  <c r="C1130" i="2"/>
  <c r="F1130" i="2"/>
  <c r="G1130" i="2"/>
  <c r="E1130" i="2"/>
  <c r="J1130" i="2"/>
  <c r="B1109" i="6" l="1"/>
  <c r="J1109" i="6"/>
  <c r="R1109" i="6"/>
  <c r="D1109" i="6"/>
  <c r="L1109" i="6"/>
  <c r="T1109" i="6"/>
  <c r="F1109" i="6"/>
  <c r="N1109" i="6"/>
  <c r="E1109" i="6"/>
  <c r="Q1109" i="6"/>
  <c r="G1109" i="6"/>
  <c r="S1109" i="6"/>
  <c r="H1109" i="6"/>
  <c r="A1110" i="6"/>
  <c r="M1109" i="6"/>
  <c r="C1109" i="6"/>
  <c r="I1109" i="6"/>
  <c r="P1109" i="6"/>
  <c r="K1109" i="6"/>
  <c r="O1109" i="6"/>
  <c r="G1131" i="2"/>
  <c r="J1131" i="2"/>
  <c r="C1131" i="2"/>
  <c r="E1131" i="2"/>
  <c r="K1131" i="2"/>
  <c r="A1132" i="2"/>
  <c r="H1131" i="2"/>
  <c r="B1131" i="2"/>
  <c r="F1131" i="2"/>
  <c r="I1131" i="2"/>
  <c r="E1131" i="3"/>
  <c r="F1131" i="3"/>
  <c r="G1131" i="3"/>
  <c r="B1131" i="3"/>
  <c r="J1131" i="3"/>
  <c r="D1131" i="3"/>
  <c r="H1131" i="3"/>
  <c r="A1132" i="3"/>
  <c r="I1131" i="3"/>
  <c r="C1131" i="3"/>
  <c r="C1132" i="5"/>
  <c r="K1132" i="5"/>
  <c r="S1132" i="5"/>
  <c r="A1133" i="5"/>
  <c r="B1132" i="5"/>
  <c r="L1132" i="5"/>
  <c r="U1132" i="5"/>
  <c r="D1132" i="5"/>
  <c r="M1132" i="5"/>
  <c r="V1132" i="5"/>
  <c r="E1132" i="5"/>
  <c r="N1132" i="5"/>
  <c r="W1132" i="5"/>
  <c r="H1132" i="5"/>
  <c r="Q1132" i="5"/>
  <c r="AC1132" i="5"/>
  <c r="G1132" i="5"/>
  <c r="AB1132" i="5"/>
  <c r="I1132" i="5"/>
  <c r="J1132" i="5"/>
  <c r="P1132" i="5"/>
  <c r="F1132" i="5"/>
  <c r="O1132" i="5"/>
  <c r="X1132" i="5"/>
  <c r="R1132" i="5"/>
  <c r="T1132" i="5"/>
  <c r="I1133" i="5" l="1"/>
  <c r="Q1133" i="5"/>
  <c r="AB1133" i="5"/>
  <c r="D1133" i="5"/>
  <c r="M1133" i="5"/>
  <c r="V1133" i="5"/>
  <c r="E1133" i="5"/>
  <c r="N1133" i="5"/>
  <c r="W1133" i="5"/>
  <c r="F1133" i="5"/>
  <c r="O1133" i="5"/>
  <c r="X1133" i="5"/>
  <c r="J1133" i="5"/>
  <c r="S1133" i="5"/>
  <c r="R1133" i="5"/>
  <c r="B1133" i="5"/>
  <c r="T1133" i="5"/>
  <c r="C1133" i="5"/>
  <c r="U1133" i="5"/>
  <c r="H1133" i="5"/>
  <c r="A1134" i="5"/>
  <c r="L1133" i="5"/>
  <c r="P1133" i="5"/>
  <c r="AC1133" i="5"/>
  <c r="G1133" i="5"/>
  <c r="K1133" i="5"/>
  <c r="E1132" i="2"/>
  <c r="I1132" i="2"/>
  <c r="J1132" i="2"/>
  <c r="B1132" i="2"/>
  <c r="K1132" i="2"/>
  <c r="A1133" i="2"/>
  <c r="F1132" i="2"/>
  <c r="G1132" i="2"/>
  <c r="H1132" i="2"/>
  <c r="C1132" i="2"/>
  <c r="C1132" i="3"/>
  <c r="A1133" i="3"/>
  <c r="D1132" i="3"/>
  <c r="E1132" i="3"/>
  <c r="H1132" i="3"/>
  <c r="J1132" i="3"/>
  <c r="G1132" i="3"/>
  <c r="I1132" i="3"/>
  <c r="F1132" i="3"/>
  <c r="B1132" i="3"/>
  <c r="F1110" i="6"/>
  <c r="N1110" i="6"/>
  <c r="H1110" i="6"/>
  <c r="P1110" i="6"/>
  <c r="B1110" i="6"/>
  <c r="J1110" i="6"/>
  <c r="R1110" i="6"/>
  <c r="K1110" i="6"/>
  <c r="L1110" i="6"/>
  <c r="M1110" i="6"/>
  <c r="E1110" i="6"/>
  <c r="S1110" i="6"/>
  <c r="G1110" i="6"/>
  <c r="I1110" i="6"/>
  <c r="O1110" i="6"/>
  <c r="A1111" i="6"/>
  <c r="C1110" i="6"/>
  <c r="D1110" i="6"/>
  <c r="Q1110" i="6"/>
  <c r="T1110" i="6"/>
  <c r="G1134" i="5" l="1"/>
  <c r="O1134" i="5"/>
  <c r="W1134" i="5"/>
  <c r="E1134" i="5"/>
  <c r="N1134" i="5"/>
  <c r="X1134" i="5"/>
  <c r="F1134" i="5"/>
  <c r="P1134" i="5"/>
  <c r="AB1134" i="5"/>
  <c r="H1134" i="5"/>
  <c r="Q1134" i="5"/>
  <c r="AC1134" i="5"/>
  <c r="B1134" i="5"/>
  <c r="K1134" i="5"/>
  <c r="T1134" i="5"/>
  <c r="J1134" i="5"/>
  <c r="L1134" i="5"/>
  <c r="M1134" i="5"/>
  <c r="S1134" i="5"/>
  <c r="V1134" i="5"/>
  <c r="A1135" i="5"/>
  <c r="I1134" i="5"/>
  <c r="D1134" i="5"/>
  <c r="R1134" i="5"/>
  <c r="C1134" i="5"/>
  <c r="U1134" i="5"/>
  <c r="B1133" i="2"/>
  <c r="K1133" i="2"/>
  <c r="H1133" i="2"/>
  <c r="A1134" i="2"/>
  <c r="E1133" i="2"/>
  <c r="F1133" i="2"/>
  <c r="G1133" i="2"/>
  <c r="I1133" i="2"/>
  <c r="J1133" i="2"/>
  <c r="C1133" i="2"/>
  <c r="D1111" i="6"/>
  <c r="L1111" i="6"/>
  <c r="T1111" i="6"/>
  <c r="F1111" i="6"/>
  <c r="N1111" i="6"/>
  <c r="B1111" i="6"/>
  <c r="M1111" i="6"/>
  <c r="C1111" i="6"/>
  <c r="O1111" i="6"/>
  <c r="E1111" i="6"/>
  <c r="P1111" i="6"/>
  <c r="I1111" i="6"/>
  <c r="S1111" i="6"/>
  <c r="J1111" i="6"/>
  <c r="K1111" i="6"/>
  <c r="Q1111" i="6"/>
  <c r="H1111" i="6"/>
  <c r="R1111" i="6"/>
  <c r="A1112" i="6"/>
  <c r="G1111" i="6"/>
  <c r="I1133" i="3"/>
  <c r="B1133" i="3"/>
  <c r="J1133" i="3"/>
  <c r="C1133" i="3"/>
  <c r="A1134" i="3"/>
  <c r="F1133" i="3"/>
  <c r="G1133" i="3"/>
  <c r="D1133" i="3"/>
  <c r="E1133" i="3"/>
  <c r="H1133" i="3"/>
  <c r="G1134" i="3" l="1"/>
  <c r="H1134" i="3"/>
  <c r="I1134" i="3"/>
  <c r="D1134" i="3"/>
  <c r="F1134" i="3"/>
  <c r="J1134" i="3"/>
  <c r="B1134" i="3"/>
  <c r="A1135" i="3"/>
  <c r="C1134" i="3"/>
  <c r="E1134" i="3"/>
  <c r="I1134" i="2"/>
  <c r="G1134" i="2"/>
  <c r="A1135" i="2"/>
  <c r="H1134" i="2"/>
  <c r="K1134" i="2"/>
  <c r="B1134" i="2"/>
  <c r="C1134" i="2"/>
  <c r="F1134" i="2"/>
  <c r="J1134" i="2"/>
  <c r="E1134" i="2"/>
  <c r="H1112" i="6"/>
  <c r="P1112" i="6"/>
  <c r="B1112" i="6"/>
  <c r="J1112" i="6"/>
  <c r="R1112" i="6"/>
  <c r="D1112" i="6"/>
  <c r="N1112" i="6"/>
  <c r="E1112" i="6"/>
  <c r="O1112" i="6"/>
  <c r="F1112" i="6"/>
  <c r="Q1112" i="6"/>
  <c r="K1112" i="6"/>
  <c r="A1113" i="6"/>
  <c r="L1112" i="6"/>
  <c r="M1112" i="6"/>
  <c r="S1112" i="6"/>
  <c r="C1112" i="6"/>
  <c r="G1112" i="6"/>
  <c r="I1112" i="6"/>
  <c r="T1112" i="6"/>
  <c r="E1135" i="5"/>
  <c r="M1135" i="5"/>
  <c r="U1135" i="5"/>
  <c r="G1135" i="5"/>
  <c r="P1135" i="5"/>
  <c r="AB1135" i="5"/>
  <c r="H1135" i="5"/>
  <c r="Q1135" i="5"/>
  <c r="AC1135" i="5"/>
  <c r="I1135" i="5"/>
  <c r="R1135" i="5"/>
  <c r="A1136" i="5"/>
  <c r="C1135" i="5"/>
  <c r="L1135" i="5"/>
  <c r="V1135" i="5"/>
  <c r="B1135" i="5"/>
  <c r="T1135" i="5"/>
  <c r="D1135" i="5"/>
  <c r="W1135" i="5"/>
  <c r="F1135" i="5"/>
  <c r="X1135" i="5"/>
  <c r="K1135" i="5"/>
  <c r="J1135" i="5"/>
  <c r="S1135" i="5"/>
  <c r="N1135" i="5"/>
  <c r="O1135" i="5"/>
  <c r="G1135" i="2" l="1"/>
  <c r="F1135" i="2"/>
  <c r="H1135" i="2"/>
  <c r="I1135" i="2"/>
  <c r="C1135" i="2"/>
  <c r="J1135" i="2"/>
  <c r="K1135" i="2"/>
  <c r="A1136" i="2"/>
  <c r="B1135" i="2"/>
  <c r="E1135" i="2"/>
  <c r="C1136" i="5"/>
  <c r="K1136" i="5"/>
  <c r="S1136" i="5"/>
  <c r="A1137" i="5"/>
  <c r="H1136" i="5"/>
  <c r="Q1136" i="5"/>
  <c r="AC1136" i="5"/>
  <c r="I1136" i="5"/>
  <c r="R1136" i="5"/>
  <c r="J1136" i="5"/>
  <c r="T1136" i="5"/>
  <c r="E1136" i="5"/>
  <c r="N1136" i="5"/>
  <c r="W1136" i="5"/>
  <c r="M1136" i="5"/>
  <c r="O1136" i="5"/>
  <c r="P1136" i="5"/>
  <c r="D1136" i="5"/>
  <c r="V1136" i="5"/>
  <c r="G1136" i="5"/>
  <c r="L1136" i="5"/>
  <c r="U1136" i="5"/>
  <c r="AB1136" i="5"/>
  <c r="X1136" i="5"/>
  <c r="B1136" i="5"/>
  <c r="F1136" i="5"/>
  <c r="E1135" i="3"/>
  <c r="F1135" i="3"/>
  <c r="G1135" i="3"/>
  <c r="B1135" i="3"/>
  <c r="J1135" i="3"/>
  <c r="A1136" i="3"/>
  <c r="C1135" i="3"/>
  <c r="I1135" i="3"/>
  <c r="D1135" i="3"/>
  <c r="H1135" i="3"/>
  <c r="D1113" i="6"/>
  <c r="L1113" i="6"/>
  <c r="T1113" i="6"/>
  <c r="F1113" i="6"/>
  <c r="N1113" i="6"/>
  <c r="E1113" i="6"/>
  <c r="P1113" i="6"/>
  <c r="G1113" i="6"/>
  <c r="Q1113" i="6"/>
  <c r="H1113" i="6"/>
  <c r="R1113" i="6"/>
  <c r="K1113" i="6"/>
  <c r="M1113" i="6"/>
  <c r="O1113" i="6"/>
  <c r="S1113" i="6"/>
  <c r="C1113" i="6"/>
  <c r="B1113" i="6"/>
  <c r="A1114" i="6"/>
  <c r="I1113" i="6"/>
  <c r="J1113" i="6"/>
  <c r="E1136" i="2" l="1"/>
  <c r="F1136" i="2"/>
  <c r="I1136" i="2"/>
  <c r="J1136" i="2"/>
  <c r="K1136" i="2"/>
  <c r="A1137" i="2"/>
  <c r="G1136" i="2"/>
  <c r="H1136" i="2"/>
  <c r="B1136" i="2"/>
  <c r="C1136" i="2"/>
  <c r="I1137" i="5"/>
  <c r="Q1137" i="5"/>
  <c r="AB1137" i="5"/>
  <c r="J1137" i="5"/>
  <c r="S1137" i="5"/>
  <c r="B1137" i="5"/>
  <c r="K1137" i="5"/>
  <c r="T1137" i="5"/>
  <c r="C1137" i="5"/>
  <c r="L1137" i="5"/>
  <c r="U1137" i="5"/>
  <c r="F1137" i="5"/>
  <c r="O1137" i="5"/>
  <c r="X1137" i="5"/>
  <c r="E1137" i="5"/>
  <c r="W1137" i="5"/>
  <c r="G1137" i="5"/>
  <c r="AC1137" i="5"/>
  <c r="H1137" i="5"/>
  <c r="A1138" i="5"/>
  <c r="N1137" i="5"/>
  <c r="R1137" i="5"/>
  <c r="V1137" i="5"/>
  <c r="D1137" i="5"/>
  <c r="M1137" i="5"/>
  <c r="P1137" i="5"/>
  <c r="C1136" i="3"/>
  <c r="A1137" i="3"/>
  <c r="D1136" i="3"/>
  <c r="E1136" i="3"/>
  <c r="H1136" i="3"/>
  <c r="B1136" i="3"/>
  <c r="I1136" i="3"/>
  <c r="F1136" i="3"/>
  <c r="G1136" i="3"/>
  <c r="J1136" i="3"/>
  <c r="H1114" i="6"/>
  <c r="B1114" i="6"/>
  <c r="J1114" i="6"/>
  <c r="R1114" i="6"/>
  <c r="F1114" i="6"/>
  <c r="P1114" i="6"/>
  <c r="G1114" i="6"/>
  <c r="Q1114" i="6"/>
  <c r="I1114" i="6"/>
  <c r="S1114" i="6"/>
  <c r="C1114" i="6"/>
  <c r="M1114" i="6"/>
  <c r="N1114" i="6"/>
  <c r="O1114" i="6"/>
  <c r="T1114" i="6"/>
  <c r="E1114" i="6"/>
  <c r="K1114" i="6"/>
  <c r="L1114" i="6"/>
  <c r="A1115" i="6"/>
  <c r="D1114" i="6"/>
  <c r="I1137" i="3" l="1"/>
  <c r="B1137" i="3"/>
  <c r="J1137" i="3"/>
  <c r="C1137" i="3"/>
  <c r="A1138" i="3"/>
  <c r="F1137" i="3"/>
  <c r="H1137" i="3"/>
  <c r="D1137" i="3"/>
  <c r="G1137" i="3"/>
  <c r="E1137" i="3"/>
  <c r="B1137" i="2"/>
  <c r="K1137" i="2"/>
  <c r="E1137" i="2"/>
  <c r="F1137" i="2"/>
  <c r="H1137" i="2"/>
  <c r="I1137" i="2"/>
  <c r="J1137" i="2"/>
  <c r="G1137" i="2"/>
  <c r="A1138" i="2"/>
  <c r="C1137" i="2"/>
  <c r="G1138" i="5"/>
  <c r="O1138" i="5"/>
  <c r="W1138" i="5"/>
  <c r="B1138" i="5"/>
  <c r="K1138" i="5"/>
  <c r="T1138" i="5"/>
  <c r="C1138" i="5"/>
  <c r="L1138" i="5"/>
  <c r="U1138" i="5"/>
  <c r="D1138" i="5"/>
  <c r="M1138" i="5"/>
  <c r="V1138" i="5"/>
  <c r="H1138" i="5"/>
  <c r="Q1138" i="5"/>
  <c r="AC1138" i="5"/>
  <c r="P1138" i="5"/>
  <c r="R1138" i="5"/>
  <c r="S1138" i="5"/>
  <c r="F1138" i="5"/>
  <c r="AB1138" i="5"/>
  <c r="E1138" i="5"/>
  <c r="N1138" i="5"/>
  <c r="I1138" i="5"/>
  <c r="X1138" i="5"/>
  <c r="J1138" i="5"/>
  <c r="A1139" i="5"/>
  <c r="E1115" i="6"/>
  <c r="M1115" i="6"/>
  <c r="A1116" i="6"/>
  <c r="F1115" i="6"/>
  <c r="N1115" i="6"/>
  <c r="G1115" i="6"/>
  <c r="O1115" i="6"/>
  <c r="B1115" i="6"/>
  <c r="J1115" i="6"/>
  <c r="R1115" i="6"/>
  <c r="K1115" i="6"/>
  <c r="L1115" i="6"/>
  <c r="P1115" i="6"/>
  <c r="D1115" i="6"/>
  <c r="T1115" i="6"/>
  <c r="C1115" i="6"/>
  <c r="I1115" i="6"/>
  <c r="Q1115" i="6"/>
  <c r="S1115" i="6"/>
  <c r="H1115" i="6"/>
  <c r="G1138" i="3" l="1"/>
  <c r="H1138" i="3"/>
  <c r="I1138" i="3"/>
  <c r="D1138" i="3"/>
  <c r="A1139" i="3"/>
  <c r="B1138" i="3"/>
  <c r="E1138" i="3"/>
  <c r="C1138" i="3"/>
  <c r="J1138" i="3"/>
  <c r="F1138" i="3"/>
  <c r="I1138" i="2"/>
  <c r="C1138" i="2"/>
  <c r="B1138" i="2"/>
  <c r="E1138" i="2"/>
  <c r="F1138" i="2"/>
  <c r="K1138" i="2"/>
  <c r="A1139" i="2"/>
  <c r="G1138" i="2"/>
  <c r="H1138" i="2"/>
  <c r="J1138" i="2"/>
  <c r="E1139" i="5"/>
  <c r="M1139" i="5"/>
  <c r="U1139" i="5"/>
  <c r="C1139" i="5"/>
  <c r="L1139" i="5"/>
  <c r="V1139" i="5"/>
  <c r="D1139" i="5"/>
  <c r="N1139" i="5"/>
  <c r="W1139" i="5"/>
  <c r="F1139" i="5"/>
  <c r="O1139" i="5"/>
  <c r="X1139" i="5"/>
  <c r="I1139" i="5"/>
  <c r="R1139" i="5"/>
  <c r="A1140" i="5"/>
  <c r="H1139" i="5"/>
  <c r="AC1139" i="5"/>
  <c r="J1139" i="5"/>
  <c r="K1139" i="5"/>
  <c r="Q1139" i="5"/>
  <c r="B1139" i="5"/>
  <c r="G1139" i="5"/>
  <c r="P1139" i="5"/>
  <c r="AB1139" i="5"/>
  <c r="T1139" i="5"/>
  <c r="S1139" i="5"/>
  <c r="I1116" i="6"/>
  <c r="Q1116" i="6"/>
  <c r="B1116" i="6"/>
  <c r="J1116" i="6"/>
  <c r="R1116" i="6"/>
  <c r="C1116" i="6"/>
  <c r="K1116" i="6"/>
  <c r="S1116" i="6"/>
  <c r="F1116" i="6"/>
  <c r="N1116" i="6"/>
  <c r="G1116" i="6"/>
  <c r="H1116" i="6"/>
  <c r="L1116" i="6"/>
  <c r="P1116" i="6"/>
  <c r="D1116" i="6"/>
  <c r="E1116" i="6"/>
  <c r="M1116" i="6"/>
  <c r="O1116" i="6"/>
  <c r="A1117" i="6"/>
  <c r="T1116" i="6"/>
  <c r="E1139" i="3" l="1"/>
  <c r="F1139" i="3"/>
  <c r="G1139" i="3"/>
  <c r="B1139" i="3"/>
  <c r="J1139" i="3"/>
  <c r="D1139" i="3"/>
  <c r="H1139" i="3"/>
  <c r="I1139" i="3"/>
  <c r="A1140" i="3"/>
  <c r="C1139" i="3"/>
  <c r="C1140" i="5"/>
  <c r="K1140" i="5"/>
  <c r="S1140" i="5"/>
  <c r="A1141" i="5"/>
  <c r="E1140" i="5"/>
  <c r="N1140" i="5"/>
  <c r="W1140" i="5"/>
  <c r="F1140" i="5"/>
  <c r="O1140" i="5"/>
  <c r="X1140" i="5"/>
  <c r="G1140" i="5"/>
  <c r="P1140" i="5"/>
  <c r="AB1140" i="5"/>
  <c r="J1140" i="5"/>
  <c r="T1140" i="5"/>
  <c r="R1140" i="5"/>
  <c r="B1140" i="5"/>
  <c r="U1140" i="5"/>
  <c r="D1140" i="5"/>
  <c r="V1140" i="5"/>
  <c r="I1140" i="5"/>
  <c r="M1140" i="5"/>
  <c r="Q1140" i="5"/>
  <c r="AC1140" i="5"/>
  <c r="H1140" i="5"/>
  <c r="L1140" i="5"/>
  <c r="E1117" i="6"/>
  <c r="M1117" i="6"/>
  <c r="A1118" i="6"/>
  <c r="F1117" i="6"/>
  <c r="N1117" i="6"/>
  <c r="G1117" i="6"/>
  <c r="O1117" i="6"/>
  <c r="B1117" i="6"/>
  <c r="J1117" i="6"/>
  <c r="R1117" i="6"/>
  <c r="C1117" i="6"/>
  <c r="S1117" i="6"/>
  <c r="D1117" i="6"/>
  <c r="T1117" i="6"/>
  <c r="H1117" i="6"/>
  <c r="L1117" i="6"/>
  <c r="P1117" i="6"/>
  <c r="Q1117" i="6"/>
  <c r="I1117" i="6"/>
  <c r="K1117" i="6"/>
  <c r="G1139" i="2"/>
  <c r="B1139" i="2"/>
  <c r="A1140" i="2"/>
  <c r="F1139" i="2"/>
  <c r="C1139" i="2"/>
  <c r="E1139" i="2"/>
  <c r="H1139" i="2"/>
  <c r="I1139" i="2"/>
  <c r="J1139" i="2"/>
  <c r="K1139" i="2"/>
  <c r="E1140" i="2" l="1"/>
  <c r="K1140" i="2"/>
  <c r="H1140" i="2"/>
  <c r="I1140" i="2"/>
  <c r="B1140" i="2"/>
  <c r="A1141" i="2"/>
  <c r="C1140" i="2"/>
  <c r="F1140" i="2"/>
  <c r="G1140" i="2"/>
  <c r="J1140" i="2"/>
  <c r="I1118" i="6"/>
  <c r="Q1118" i="6"/>
  <c r="B1118" i="6"/>
  <c r="J1118" i="6"/>
  <c r="R1118" i="6"/>
  <c r="C1118" i="6"/>
  <c r="K1118" i="6"/>
  <c r="S1118" i="6"/>
  <c r="F1118" i="6"/>
  <c r="N1118" i="6"/>
  <c r="O1118" i="6"/>
  <c r="P1118" i="6"/>
  <c r="D1118" i="6"/>
  <c r="T1118" i="6"/>
  <c r="H1118" i="6"/>
  <c r="E1118" i="6"/>
  <c r="G1118" i="6"/>
  <c r="M1118" i="6"/>
  <c r="A1119" i="6"/>
  <c r="L1118" i="6"/>
  <c r="I1141" i="5"/>
  <c r="Q1141" i="5"/>
  <c r="AB1141" i="5"/>
  <c r="F1141" i="5"/>
  <c r="O1141" i="5"/>
  <c r="X1141" i="5"/>
  <c r="G1141" i="5"/>
  <c r="P1141" i="5"/>
  <c r="AC1141" i="5"/>
  <c r="H1141" i="5"/>
  <c r="R1141" i="5"/>
  <c r="A1142" i="5"/>
  <c r="C1141" i="5"/>
  <c r="L1141" i="5"/>
  <c r="U1141" i="5"/>
  <c r="K1141" i="5"/>
  <c r="M1141" i="5"/>
  <c r="N1141" i="5"/>
  <c r="B1141" i="5"/>
  <c r="T1141" i="5"/>
  <c r="W1141" i="5"/>
  <c r="J1141" i="5"/>
  <c r="D1141" i="5"/>
  <c r="V1141" i="5"/>
  <c r="E1141" i="5"/>
  <c r="S1141" i="5"/>
  <c r="C1140" i="3"/>
  <c r="A1141" i="3"/>
  <c r="D1140" i="3"/>
  <c r="E1140" i="3"/>
  <c r="H1140" i="3"/>
  <c r="J1140" i="3"/>
  <c r="F1140" i="3"/>
  <c r="B1140" i="3"/>
  <c r="G1140" i="3"/>
  <c r="I1140" i="3"/>
  <c r="B1141" i="2" l="1"/>
  <c r="K1141" i="2"/>
  <c r="J1141" i="2"/>
  <c r="F1141" i="2"/>
  <c r="I1141" i="2"/>
  <c r="A1142" i="2"/>
  <c r="G1141" i="2"/>
  <c r="C1141" i="2"/>
  <c r="E1141" i="2"/>
  <c r="H1141" i="2"/>
  <c r="E1119" i="6"/>
  <c r="M1119" i="6"/>
  <c r="A1120" i="6"/>
  <c r="F1119" i="6"/>
  <c r="N1119" i="6"/>
  <c r="G1119" i="6"/>
  <c r="O1119" i="6"/>
  <c r="B1119" i="6"/>
  <c r="J1119" i="6"/>
  <c r="R1119" i="6"/>
  <c r="K1119" i="6"/>
  <c r="L1119" i="6"/>
  <c r="P1119" i="6"/>
  <c r="D1119" i="6"/>
  <c r="T1119" i="6"/>
  <c r="H1119" i="6"/>
  <c r="I1119" i="6"/>
  <c r="Q1119" i="6"/>
  <c r="S1119" i="6"/>
  <c r="C1119" i="6"/>
  <c r="I1141" i="3"/>
  <c r="B1141" i="3"/>
  <c r="J1141" i="3"/>
  <c r="C1141" i="3"/>
  <c r="A1142" i="3"/>
  <c r="F1141" i="3"/>
  <c r="G1141" i="3"/>
  <c r="D1141" i="3"/>
  <c r="E1141" i="3"/>
  <c r="H1141" i="3"/>
  <c r="G1142" i="5"/>
  <c r="O1142" i="5"/>
  <c r="W1142" i="5"/>
  <c r="H1142" i="5"/>
  <c r="Q1142" i="5"/>
  <c r="AC1142" i="5"/>
  <c r="I1142" i="5"/>
  <c r="R1142" i="5"/>
  <c r="A1143" i="5"/>
  <c r="J1142" i="5"/>
  <c r="S1142" i="5"/>
  <c r="D1142" i="5"/>
  <c r="M1142" i="5"/>
  <c r="V1142" i="5"/>
  <c r="C1142" i="5"/>
  <c r="U1142" i="5"/>
  <c r="E1142" i="5"/>
  <c r="X1142" i="5"/>
  <c r="F1142" i="5"/>
  <c r="AB1142" i="5"/>
  <c r="L1142" i="5"/>
  <c r="B1142" i="5"/>
  <c r="K1142" i="5"/>
  <c r="T1142" i="5"/>
  <c r="P1142" i="5"/>
  <c r="N1142" i="5"/>
  <c r="I1142" i="2" l="1"/>
  <c r="J1142" i="2"/>
  <c r="K1142" i="2"/>
  <c r="B1142" i="2"/>
  <c r="C1142" i="2"/>
  <c r="E1142" i="2"/>
  <c r="G1142" i="2"/>
  <c r="H1142" i="2"/>
  <c r="A1143" i="2"/>
  <c r="F1142" i="2"/>
  <c r="I1120" i="6"/>
  <c r="Q1120" i="6"/>
  <c r="B1120" i="6"/>
  <c r="J1120" i="6"/>
  <c r="R1120" i="6"/>
  <c r="C1120" i="6"/>
  <c r="K1120" i="6"/>
  <c r="S1120" i="6"/>
  <c r="F1120" i="6"/>
  <c r="N1120" i="6"/>
  <c r="G1120" i="6"/>
  <c r="H1120" i="6"/>
  <c r="L1120" i="6"/>
  <c r="P1120" i="6"/>
  <c r="T1120" i="6"/>
  <c r="A1121" i="6"/>
  <c r="M1120" i="6"/>
  <c r="D1120" i="6"/>
  <c r="E1120" i="6"/>
  <c r="O1120" i="6"/>
  <c r="G1142" i="3"/>
  <c r="H1142" i="3"/>
  <c r="I1142" i="3"/>
  <c r="D1142" i="3"/>
  <c r="F1142" i="3"/>
  <c r="J1142" i="3"/>
  <c r="C1142" i="3"/>
  <c r="E1142" i="3"/>
  <c r="A1143" i="3"/>
  <c r="B1142" i="3"/>
  <c r="E1143" i="5"/>
  <c r="M1143" i="5"/>
  <c r="U1143" i="5"/>
  <c r="I1143" i="5"/>
  <c r="R1143" i="5"/>
  <c r="A1144" i="5"/>
  <c r="J1143" i="5"/>
  <c r="S1143" i="5"/>
  <c r="B1143" i="5"/>
  <c r="K1143" i="5"/>
  <c r="T1143" i="5"/>
  <c r="F1143" i="5"/>
  <c r="O1143" i="5"/>
  <c r="X1143" i="5"/>
  <c r="N1143" i="5"/>
  <c r="P1143" i="5"/>
  <c r="Q1143" i="5"/>
  <c r="D1143" i="5"/>
  <c r="W1143" i="5"/>
  <c r="H1143" i="5"/>
  <c r="L1143" i="5"/>
  <c r="V1143" i="5"/>
  <c r="C1143" i="5"/>
  <c r="AB1143" i="5"/>
  <c r="G1143" i="5"/>
  <c r="AC1143" i="5"/>
  <c r="E1143" i="3" l="1"/>
  <c r="F1143" i="3"/>
  <c r="G1143" i="3"/>
  <c r="B1143" i="3"/>
  <c r="J1143" i="3"/>
  <c r="H1143" i="3"/>
  <c r="I1143" i="3"/>
  <c r="C1143" i="3"/>
  <c r="D1143" i="3"/>
  <c r="C1144" i="5"/>
  <c r="K1144" i="5"/>
  <c r="S1144" i="5"/>
  <c r="J1144" i="5"/>
  <c r="T1144" i="5"/>
  <c r="B1144" i="5"/>
  <c r="L1144" i="5"/>
  <c r="U1144" i="5"/>
  <c r="D1144" i="5"/>
  <c r="M1144" i="5"/>
  <c r="V1144" i="5"/>
  <c r="G1144" i="5"/>
  <c r="P1144" i="5"/>
  <c r="AB1144" i="5"/>
  <c r="F1144" i="5"/>
  <c r="X1144" i="5"/>
  <c r="H1144" i="5"/>
  <c r="AC1144" i="5"/>
  <c r="I1144" i="5"/>
  <c r="O1144" i="5"/>
  <c r="R1144" i="5"/>
  <c r="W1144" i="5"/>
  <c r="E1144" i="5"/>
  <c r="N1144" i="5"/>
  <c r="Q1144" i="5"/>
  <c r="E1121" i="6"/>
  <c r="M1121" i="6"/>
  <c r="A1122" i="6"/>
  <c r="F1121" i="6"/>
  <c r="N1121" i="6"/>
  <c r="G1121" i="6"/>
  <c r="O1121" i="6"/>
  <c r="B1121" i="6"/>
  <c r="J1121" i="6"/>
  <c r="R1121" i="6"/>
  <c r="C1121" i="6"/>
  <c r="S1121" i="6"/>
  <c r="D1121" i="6"/>
  <c r="T1121" i="6"/>
  <c r="H1121" i="6"/>
  <c r="L1121" i="6"/>
  <c r="I1121" i="6"/>
  <c r="K1121" i="6"/>
  <c r="Q1121" i="6"/>
  <c r="P1121" i="6"/>
  <c r="G1143" i="2"/>
  <c r="I1143" i="2"/>
  <c r="B1143" i="2"/>
  <c r="E1143" i="2"/>
  <c r="J1143" i="2"/>
  <c r="K1143" i="2"/>
  <c r="H1143" i="2"/>
  <c r="C1143" i="2"/>
  <c r="F1143" i="2"/>
  <c r="I1122" i="6" l="1"/>
  <c r="Q1122" i="6"/>
  <c r="B1122" i="6"/>
  <c r="J1122" i="6"/>
  <c r="R1122" i="6"/>
  <c r="C1122" i="6"/>
  <c r="K1122" i="6"/>
  <c r="S1122" i="6"/>
  <c r="F1122" i="6"/>
  <c r="N1122" i="6"/>
  <c r="O1122" i="6"/>
  <c r="P1122" i="6"/>
  <c r="D1122" i="6"/>
  <c r="T1122" i="6"/>
  <c r="H1122" i="6"/>
  <c r="L1122" i="6"/>
  <c r="M1122" i="6"/>
  <c r="A1123" i="6"/>
  <c r="E1122" i="6"/>
  <c r="G1122" i="6"/>
  <c r="E1123" i="6" l="1"/>
  <c r="M1123" i="6"/>
  <c r="A1124" i="6"/>
  <c r="F1123" i="6"/>
  <c r="N1123" i="6"/>
  <c r="G1123" i="6"/>
  <c r="O1123" i="6"/>
  <c r="B1123" i="6"/>
  <c r="J1123" i="6"/>
  <c r="R1123" i="6"/>
  <c r="K1123" i="6"/>
  <c r="L1123" i="6"/>
  <c r="P1123" i="6"/>
  <c r="D1123" i="6"/>
  <c r="T1123" i="6"/>
  <c r="C1123" i="6"/>
  <c r="Q1123" i="6"/>
  <c r="I1123" i="6"/>
  <c r="S1123" i="6"/>
  <c r="H1123" i="6"/>
  <c r="I1124" i="6" l="1"/>
  <c r="Q1124" i="6"/>
  <c r="B1124" i="6"/>
  <c r="J1124" i="6"/>
  <c r="R1124" i="6"/>
  <c r="C1124" i="6"/>
  <c r="K1124" i="6"/>
  <c r="S1124" i="6"/>
  <c r="F1124" i="6"/>
  <c r="N1124" i="6"/>
  <c r="G1124" i="6"/>
  <c r="H1124" i="6"/>
  <c r="L1124" i="6"/>
  <c r="P1124" i="6"/>
  <c r="D1124" i="6"/>
  <c r="E1124" i="6"/>
  <c r="M1124" i="6"/>
  <c r="O1124" i="6"/>
  <c r="A1125" i="6"/>
  <c r="T1124" i="6"/>
  <c r="E1125" i="6" l="1"/>
  <c r="M1125" i="6"/>
  <c r="A1126" i="6"/>
  <c r="F1125" i="6"/>
  <c r="N1125" i="6"/>
  <c r="G1125" i="6"/>
  <c r="O1125" i="6"/>
  <c r="B1125" i="6"/>
  <c r="J1125" i="6"/>
  <c r="R1125" i="6"/>
  <c r="C1125" i="6"/>
  <c r="S1125" i="6"/>
  <c r="D1125" i="6"/>
  <c r="T1125" i="6"/>
  <c r="H1125" i="6"/>
  <c r="L1125" i="6"/>
  <c r="P1125" i="6"/>
  <c r="Q1125" i="6"/>
  <c r="I1125" i="6"/>
  <c r="K1125" i="6"/>
  <c r="I1126" i="6" l="1"/>
  <c r="Q1126" i="6"/>
  <c r="B1126" i="6"/>
  <c r="J1126" i="6"/>
  <c r="R1126" i="6"/>
  <c r="C1126" i="6"/>
  <c r="K1126" i="6"/>
  <c r="S1126" i="6"/>
  <c r="F1126" i="6"/>
  <c r="N1126" i="6"/>
  <c r="O1126" i="6"/>
  <c r="P1126" i="6"/>
  <c r="D1126" i="6"/>
  <c r="T1126" i="6"/>
  <c r="H1126" i="6"/>
  <c r="E1126" i="6"/>
  <c r="G1126" i="6"/>
  <c r="A1127" i="6"/>
  <c r="L1126" i="6"/>
  <c r="M1126" i="6"/>
  <c r="E1127" i="6" l="1"/>
  <c r="M1127" i="6"/>
  <c r="A1128" i="6"/>
  <c r="F1127" i="6"/>
  <c r="N1127" i="6"/>
  <c r="G1127" i="6"/>
  <c r="O1127" i="6"/>
  <c r="B1127" i="6"/>
  <c r="J1127" i="6"/>
  <c r="R1127" i="6"/>
  <c r="K1127" i="6"/>
  <c r="L1127" i="6"/>
  <c r="P1127" i="6"/>
  <c r="D1127" i="6"/>
  <c r="T1127" i="6"/>
  <c r="H1127" i="6"/>
  <c r="I1127" i="6"/>
  <c r="Q1127" i="6"/>
  <c r="S1127" i="6"/>
  <c r="C1127" i="6"/>
  <c r="I1128" i="6" l="1"/>
  <c r="Q1128" i="6"/>
  <c r="B1128" i="6"/>
  <c r="J1128" i="6"/>
  <c r="R1128" i="6"/>
  <c r="C1128" i="6"/>
  <c r="K1128" i="6"/>
  <c r="S1128" i="6"/>
  <c r="F1128" i="6"/>
  <c r="N1128" i="6"/>
  <c r="G1128" i="6"/>
  <c r="H1128" i="6"/>
  <c r="L1128" i="6"/>
  <c r="P1128" i="6"/>
  <c r="T1128" i="6"/>
  <c r="A1129" i="6"/>
  <c r="E1128" i="6"/>
  <c r="M1128" i="6"/>
  <c r="O1128" i="6"/>
  <c r="D1128" i="6"/>
  <c r="E1129" i="6" l="1"/>
  <c r="M1129" i="6"/>
  <c r="A1130" i="6"/>
  <c r="F1129" i="6"/>
  <c r="N1129" i="6"/>
  <c r="G1129" i="6"/>
  <c r="O1129" i="6"/>
  <c r="B1129" i="6"/>
  <c r="J1129" i="6"/>
  <c r="R1129" i="6"/>
  <c r="C1129" i="6"/>
  <c r="S1129" i="6"/>
  <c r="D1129" i="6"/>
  <c r="T1129" i="6"/>
  <c r="H1129" i="6"/>
  <c r="L1129" i="6"/>
  <c r="I1129" i="6"/>
  <c r="K1129" i="6"/>
  <c r="Q1129" i="6"/>
  <c r="P1129" i="6"/>
  <c r="I1130" i="6" l="1"/>
  <c r="Q1130" i="6"/>
  <c r="B1130" i="6"/>
  <c r="J1130" i="6"/>
  <c r="R1130" i="6"/>
  <c r="C1130" i="6"/>
  <c r="K1130" i="6"/>
  <c r="S1130" i="6"/>
  <c r="F1130" i="6"/>
  <c r="N1130" i="6"/>
  <c r="O1130" i="6"/>
  <c r="P1130" i="6"/>
  <c r="D1130" i="6"/>
  <c r="T1130" i="6"/>
  <c r="H1130" i="6"/>
  <c r="L1130" i="6"/>
  <c r="M1130" i="6"/>
  <c r="A1131" i="6"/>
  <c r="E1130" i="6"/>
  <c r="G1130" i="6"/>
  <c r="E1131" i="6" l="1"/>
  <c r="M1131" i="6"/>
  <c r="A1132" i="6"/>
  <c r="F1131" i="6"/>
  <c r="N1131" i="6"/>
  <c r="G1131" i="6"/>
  <c r="O1131" i="6"/>
  <c r="B1131" i="6"/>
  <c r="J1131" i="6"/>
  <c r="R1131" i="6"/>
  <c r="K1131" i="6"/>
  <c r="L1131" i="6"/>
  <c r="P1131" i="6"/>
  <c r="D1131" i="6"/>
  <c r="T1131" i="6"/>
  <c r="C1131" i="6"/>
  <c r="I1131" i="6"/>
  <c r="Q1131" i="6"/>
  <c r="S1131" i="6"/>
  <c r="H1131" i="6"/>
  <c r="I1132" i="6" l="1"/>
  <c r="Q1132" i="6"/>
  <c r="B1132" i="6"/>
  <c r="J1132" i="6"/>
  <c r="R1132" i="6"/>
  <c r="C1132" i="6"/>
  <c r="K1132" i="6"/>
  <c r="S1132" i="6"/>
  <c r="F1132" i="6"/>
  <c r="N1132" i="6"/>
  <c r="G1132" i="6"/>
  <c r="H1132" i="6"/>
  <c r="L1132" i="6"/>
  <c r="P1132" i="6"/>
  <c r="D1132" i="6"/>
  <c r="E1132" i="6"/>
  <c r="M1132" i="6"/>
  <c r="O1132" i="6"/>
  <c r="T1132" i="6"/>
  <c r="A1133" i="6"/>
  <c r="E1133" i="6" l="1"/>
  <c r="M1133" i="6"/>
  <c r="A1134" i="6"/>
  <c r="F1133" i="6"/>
  <c r="N1133" i="6"/>
  <c r="G1133" i="6"/>
  <c r="O1133" i="6"/>
  <c r="B1133" i="6"/>
  <c r="J1133" i="6"/>
  <c r="R1133" i="6"/>
  <c r="C1133" i="6"/>
  <c r="S1133" i="6"/>
  <c r="D1133" i="6"/>
  <c r="T1133" i="6"/>
  <c r="H1133" i="6"/>
  <c r="L1133" i="6"/>
  <c r="P1133" i="6"/>
  <c r="Q1133" i="6"/>
  <c r="I1133" i="6"/>
  <c r="K1133" i="6"/>
  <c r="I1134" i="6" l="1"/>
  <c r="Q1134" i="6"/>
  <c r="B1134" i="6"/>
  <c r="J1134" i="6"/>
  <c r="R1134" i="6"/>
  <c r="C1134" i="6"/>
  <c r="K1134" i="6"/>
  <c r="S1134" i="6"/>
  <c r="F1134" i="6"/>
  <c r="N1134" i="6"/>
  <c r="O1134" i="6"/>
  <c r="P1134" i="6"/>
  <c r="D1134" i="6"/>
  <c r="T1134" i="6"/>
  <c r="H1134" i="6"/>
  <c r="E1134" i="6"/>
  <c r="G1134" i="6"/>
  <c r="M1134" i="6"/>
  <c r="A1135" i="6"/>
  <c r="L1134" i="6"/>
  <c r="E1135" i="6" l="1"/>
  <c r="M1135" i="6"/>
  <c r="A1136" i="6"/>
  <c r="F1135" i="6"/>
  <c r="N1135" i="6"/>
  <c r="G1135" i="6"/>
  <c r="O1135" i="6"/>
  <c r="B1135" i="6"/>
  <c r="J1135" i="6"/>
  <c r="R1135" i="6"/>
  <c r="K1135" i="6"/>
  <c r="L1135" i="6"/>
  <c r="P1135" i="6"/>
  <c r="D1135" i="6"/>
  <c r="T1135" i="6"/>
  <c r="H1135" i="6"/>
  <c r="I1135" i="6"/>
  <c r="Q1135" i="6"/>
  <c r="S1135" i="6"/>
  <c r="C1135" i="6"/>
  <c r="I1136" i="6" l="1"/>
  <c r="Q1136" i="6"/>
  <c r="B1136" i="6"/>
  <c r="J1136" i="6"/>
  <c r="R1136" i="6"/>
  <c r="C1136" i="6"/>
  <c r="K1136" i="6"/>
  <c r="S1136" i="6"/>
  <c r="F1136" i="6"/>
  <c r="N1136" i="6"/>
  <c r="G1136" i="6"/>
  <c r="H1136" i="6"/>
  <c r="L1136" i="6"/>
  <c r="P1136" i="6"/>
  <c r="T1136" i="6"/>
  <c r="A1137" i="6"/>
  <c r="M1136" i="6"/>
  <c r="E1136" i="6"/>
  <c r="O1136" i="6"/>
  <c r="D1136" i="6"/>
  <c r="E1137" i="6" l="1"/>
  <c r="M1137" i="6"/>
  <c r="A1138" i="6"/>
  <c r="F1137" i="6"/>
  <c r="N1137" i="6"/>
  <c r="G1137" i="6"/>
  <c r="O1137" i="6"/>
  <c r="B1137" i="6"/>
  <c r="J1137" i="6"/>
  <c r="R1137" i="6"/>
  <c r="C1137" i="6"/>
  <c r="S1137" i="6"/>
  <c r="D1137" i="6"/>
  <c r="T1137" i="6"/>
  <c r="H1137" i="6"/>
  <c r="L1137" i="6"/>
  <c r="I1137" i="6"/>
  <c r="K1137" i="6"/>
  <c r="Q1137" i="6"/>
  <c r="P1137" i="6"/>
  <c r="I1138" i="6" l="1"/>
  <c r="Q1138" i="6"/>
  <c r="B1138" i="6"/>
  <c r="J1138" i="6"/>
  <c r="R1138" i="6"/>
  <c r="C1138" i="6"/>
  <c r="K1138" i="6"/>
  <c r="S1138" i="6"/>
  <c r="F1138" i="6"/>
  <c r="N1138" i="6"/>
  <c r="O1138" i="6"/>
  <c r="P1138" i="6"/>
  <c r="D1138" i="6"/>
  <c r="T1138" i="6"/>
  <c r="H1138" i="6"/>
  <c r="L1138" i="6"/>
  <c r="M1138" i="6"/>
  <c r="A1139" i="6"/>
  <c r="E1138" i="6"/>
  <c r="G1138" i="6"/>
  <c r="E1139" i="6" l="1"/>
  <c r="M1139" i="6"/>
  <c r="A1140" i="6"/>
  <c r="F1139" i="6"/>
  <c r="N1139" i="6"/>
  <c r="G1139" i="6"/>
  <c r="O1139" i="6"/>
  <c r="B1139" i="6"/>
  <c r="J1139" i="6"/>
  <c r="R1139" i="6"/>
  <c r="K1139" i="6"/>
  <c r="L1139" i="6"/>
  <c r="P1139" i="6"/>
  <c r="D1139" i="6"/>
  <c r="T1139" i="6"/>
  <c r="C1139" i="6"/>
  <c r="Q1139" i="6"/>
  <c r="H1139" i="6"/>
  <c r="I1139" i="6"/>
  <c r="S1139" i="6"/>
  <c r="I1140" i="6" l="1"/>
  <c r="Q1140" i="6"/>
  <c r="B1140" i="6"/>
  <c r="J1140" i="6"/>
  <c r="R1140" i="6"/>
  <c r="C1140" i="6"/>
  <c r="K1140" i="6"/>
  <c r="S1140" i="6"/>
  <c r="F1140" i="6"/>
  <c r="N1140" i="6"/>
  <c r="G1140" i="6"/>
  <c r="H1140" i="6"/>
  <c r="L1140" i="6"/>
  <c r="P1140" i="6"/>
  <c r="D1140" i="6"/>
  <c r="E1140" i="6"/>
  <c r="M1140" i="6"/>
  <c r="O1140" i="6"/>
  <c r="A1141" i="6"/>
  <c r="T1140" i="6"/>
  <c r="E1141" i="6" l="1"/>
  <c r="M1141" i="6"/>
  <c r="A1142" i="6"/>
  <c r="F1141" i="6"/>
  <c r="N1141" i="6"/>
  <c r="G1141" i="6"/>
  <c r="O1141" i="6"/>
  <c r="B1141" i="6"/>
  <c r="J1141" i="6"/>
  <c r="R1141" i="6"/>
  <c r="C1141" i="6"/>
  <c r="S1141" i="6"/>
  <c r="D1141" i="6"/>
  <c r="T1141" i="6"/>
  <c r="H1141" i="6"/>
  <c r="L1141" i="6"/>
  <c r="P1141" i="6"/>
  <c r="Q1141" i="6"/>
  <c r="I1141" i="6"/>
  <c r="K1141" i="6"/>
  <c r="I1142" i="6" l="1"/>
  <c r="Q1142" i="6"/>
  <c r="B1142" i="6"/>
  <c r="J1142" i="6"/>
  <c r="R1142" i="6"/>
  <c r="C1142" i="6"/>
  <c r="K1142" i="6"/>
  <c r="S1142" i="6"/>
  <c r="F1142" i="6"/>
  <c r="N1142" i="6"/>
  <c r="O1142" i="6"/>
  <c r="P1142" i="6"/>
  <c r="D1142" i="6"/>
  <c r="T1142" i="6"/>
  <c r="H1142" i="6"/>
  <c r="E1142" i="6"/>
  <c r="G1142" i="6"/>
  <c r="A1143" i="6"/>
  <c r="M1142" i="6"/>
  <c r="L1142" i="6"/>
  <c r="E1143" i="6" l="1"/>
  <c r="M1143" i="6"/>
  <c r="F1143" i="6"/>
  <c r="N1143" i="6"/>
  <c r="G1143" i="6"/>
  <c r="O1143" i="6"/>
  <c r="B1143" i="6"/>
  <c r="J1143" i="6"/>
  <c r="R1143" i="6"/>
  <c r="K1143" i="6"/>
  <c r="L1143" i="6"/>
  <c r="P1143" i="6"/>
  <c r="D1143" i="6"/>
  <c r="T1143" i="6"/>
  <c r="H1143" i="6"/>
  <c r="I1143" i="6"/>
  <c r="Q1143" i="6"/>
  <c r="S1143" i="6"/>
  <c r="C1143" i="6"/>
</calcChain>
</file>

<file path=xl/sharedStrings.xml><?xml version="1.0" encoding="utf-8"?>
<sst xmlns="http://schemas.openxmlformats.org/spreadsheetml/2006/main" count="254" uniqueCount="102">
  <si>
    <t>WITHOUT NOx</t>
  </si>
  <si>
    <t>WITH NOx</t>
  </si>
  <si>
    <t>Selection</t>
  </si>
  <si>
    <t>Natural Gas</t>
  </si>
  <si>
    <t>WITHOUT SO2 &amp; NOx</t>
  </si>
  <si>
    <t>WITH SO2 &amp; NOx</t>
  </si>
  <si>
    <t>Heavy Oil SO2</t>
  </si>
  <si>
    <t>HIGH PRICES</t>
  </si>
  <si>
    <t>MEDIUM PRICES</t>
  </si>
  <si>
    <t>LOW PRICES</t>
  </si>
  <si>
    <t>Coal</t>
  </si>
  <si>
    <t>Light Oil SO2</t>
  </si>
  <si>
    <t>Heavy Oil</t>
  </si>
  <si>
    <t>Light Oil</t>
  </si>
  <si>
    <t>$/MMBTU</t>
  </si>
  <si>
    <t>MONTH</t>
  </si>
  <si>
    <t>RIVIERA</t>
  </si>
  <si>
    <t>CANAVERAL</t>
  </si>
  <si>
    <t>MARTIN</t>
  </si>
  <si>
    <t>PUTNAM</t>
  </si>
  <si>
    <t>FT MYERS</t>
  </si>
  <si>
    <t>LAUDERDALE</t>
  </si>
  <si>
    <t>PORT EVERGLADES</t>
  </si>
  <si>
    <t>OLEANDER</t>
  </si>
  <si>
    <t>WCEC</t>
  </si>
  <si>
    <t>TURKEY POINT</t>
  </si>
  <si>
    <t>HIGH</t>
  </si>
  <si>
    <t>LOW</t>
  </si>
  <si>
    <t>February 03, 2014 - LYSTRA LOUTAN</t>
  </si>
  <si>
    <t>$/BBL.</t>
  </si>
  <si>
    <t>WTI</t>
  </si>
  <si>
    <t>RIVIERA 1%</t>
  </si>
  <si>
    <t>SANFORD 1%</t>
  </si>
  <si>
    <t>INDIAN RIVER &amp; CANAVERAL 1%</t>
  </si>
  <si>
    <r>
      <t>TURKEY POINT 1%</t>
    </r>
    <r>
      <rPr>
        <b/>
        <sz val="14"/>
        <rFont val="Arial"/>
        <family val="2"/>
      </rPr>
      <t>/</t>
    </r>
    <r>
      <rPr>
        <b/>
        <sz val="14"/>
        <color indexed="17"/>
        <rFont val="Arial"/>
        <family val="2"/>
      </rPr>
      <t>0.7%</t>
    </r>
  </si>
  <si>
    <t>MANATEE 1%/0.7%</t>
  </si>
  <si>
    <t>PORT EVERGLADES 1%</t>
  </si>
  <si>
    <t>MARTIN 1%</t>
  </si>
  <si>
    <t>MARTIN 0.7%</t>
  </si>
  <si>
    <t>DISPATCH PRICE WITH SO2 &amp; NOx</t>
  </si>
  <si>
    <t>DISPATCH PRICE WITHOUT SO2 &amp; NOx</t>
  </si>
  <si>
    <t>WEIGHTED AVERAGE WITH SO2 &amp; NOx</t>
  </si>
  <si>
    <t>WEIGHTED AVERAGE WITHOUT SO2 &amp; NOx</t>
  </si>
  <si>
    <t>CEDAR BAY</t>
  </si>
  <si>
    <t>ICL</t>
  </si>
  <si>
    <t>ST. JOHNS RIVER POWER PARK</t>
  </si>
  <si>
    <t>PLANT SCHERER UNIT 4</t>
  </si>
  <si>
    <t xml:space="preserve"> </t>
  </si>
  <si>
    <t>MM$</t>
  </si>
  <si>
    <t>WEIGHTED AVERAGE GULFSTREAM FIRM</t>
  </si>
  <si>
    <t>WEIGHTED AVERAGE FGT FIRM</t>
  </si>
  <si>
    <t>UPS REPLACEMENT SUNK DEMAND CHARGE</t>
  </si>
  <si>
    <t>UPS REPLACEMENT DISPATCH PRICE</t>
  </si>
  <si>
    <t>BAY GAS STORAGE DEMAND CHARGE</t>
  </si>
  <si>
    <t>GULF SOUTH</t>
  </si>
  <si>
    <t>TRANSCO 4A</t>
  </si>
  <si>
    <t>SESH</t>
  </si>
  <si>
    <t>GULFSTREAM</t>
  </si>
  <si>
    <t>FGT</t>
  </si>
  <si>
    <t>HENRY HUB</t>
  </si>
  <si>
    <t>GULFSTREAM NON-FIRM BACKHAUL</t>
  </si>
  <si>
    <t>GULFSTREAM NON-FIRM</t>
  </si>
  <si>
    <r>
      <t xml:space="preserve">GULFSTREAM FIRM </t>
    </r>
    <r>
      <rPr>
        <b/>
        <sz val="12"/>
        <color indexed="10"/>
        <rFont val="Arial"/>
        <family val="2"/>
      </rPr>
      <t>TRANSNCO 4A</t>
    </r>
    <r>
      <rPr>
        <b/>
        <sz val="12"/>
        <rFont val="Arial"/>
        <family val="2"/>
      </rPr>
      <t xml:space="preserve"> VOLUMES</t>
    </r>
  </si>
  <si>
    <t>GULFSTREAM FIRM CONTRACTUAL DISPATCH PRICE</t>
  </si>
  <si>
    <r>
      <t xml:space="preserve">GULFSTREAM FIRM </t>
    </r>
    <r>
      <rPr>
        <b/>
        <sz val="12"/>
        <color indexed="12"/>
        <rFont val="Arial"/>
        <family val="2"/>
      </rPr>
      <t xml:space="preserve">GULF SOUTH </t>
    </r>
    <r>
      <rPr>
        <b/>
        <sz val="12"/>
        <rFont val="Arial"/>
        <family val="2"/>
      </rPr>
      <t>DISPATCH PRICE</t>
    </r>
  </si>
  <si>
    <r>
      <t xml:space="preserve">GULFSTREAM FIRM </t>
    </r>
    <r>
      <rPr>
        <b/>
        <sz val="12"/>
        <color indexed="17"/>
        <rFont val="Arial"/>
        <family val="2"/>
      </rPr>
      <t>SESH</t>
    </r>
    <r>
      <rPr>
        <b/>
        <sz val="12"/>
        <rFont val="Arial"/>
        <family val="2"/>
      </rPr>
      <t xml:space="preserve"> DISPATCH PRICE</t>
    </r>
  </si>
  <si>
    <t>FGT NON-FIRM</t>
  </si>
  <si>
    <t>FUTURE GAS PIPELINE</t>
  </si>
  <si>
    <r>
      <t xml:space="preserve">PHASE VIII FGT FIRM FROM </t>
    </r>
    <r>
      <rPr>
        <b/>
        <sz val="12"/>
        <color indexed="17"/>
        <rFont val="Arial"/>
        <family val="2"/>
      </rPr>
      <t>SESH</t>
    </r>
  </si>
  <si>
    <r>
      <t xml:space="preserve">PHASE VIII FGT FIRM FROM </t>
    </r>
    <r>
      <rPr>
        <b/>
        <sz val="12"/>
        <color indexed="10"/>
        <rFont val="Arial"/>
        <family val="2"/>
      </rPr>
      <t>TRANSCO 4A</t>
    </r>
  </si>
  <si>
    <t>PHASE VIII ZONE 3 MOBILE BAY/DESTIN FGT FIRM</t>
  </si>
  <si>
    <r>
      <t xml:space="preserve">ZONE 3 MOBILE BAY/DESTIN FGT FIRM </t>
    </r>
    <r>
      <rPr>
        <b/>
        <sz val="12"/>
        <color indexed="12"/>
        <rFont val="Arial"/>
        <family val="2"/>
      </rPr>
      <t>GULF SOUTH</t>
    </r>
  </si>
  <si>
    <r>
      <t xml:space="preserve">ZONE 3 MOBILE BAY/DESTIN FGT FIRM </t>
    </r>
    <r>
      <rPr>
        <b/>
        <sz val="12"/>
        <color indexed="17"/>
        <rFont val="Arial"/>
        <family val="2"/>
      </rPr>
      <t>SESH</t>
    </r>
  </si>
  <si>
    <t>ZONE 3 MOBILE BAY/DESTIN FGT FIRM</t>
  </si>
  <si>
    <t>ZONE 3 FGT FIRM</t>
  </si>
  <si>
    <t>ZONE 2 FGT FIRM</t>
  </si>
  <si>
    <t>ZONE 1 FGT FIRM</t>
  </si>
  <si>
    <t>ESTMATED SUNK DEMAND CHARGE(S) FOR THE NEW PIPELINE WILL BE PROVIDED UPON REQUEST</t>
  </si>
  <si>
    <t>FIRM TRANSPORT AND STORAGE CONTRACTS THROUGH FGT PHASE VIII</t>
  </si>
  <si>
    <t>SUNK DEMAND CHARGE FOR ALL CURRENT</t>
  </si>
  <si>
    <t>MMCF/DAY</t>
  </si>
  <si>
    <t>DAYS</t>
  </si>
  <si>
    <t>GULFSTREAM NON-FIRM &amp; NON-FIRM BACKHAUL</t>
  </si>
  <si>
    <t>TOTAL GULFSTREAM FIRM</t>
  </si>
  <si>
    <r>
      <t xml:space="preserve">GULFSTREAM FIRN </t>
    </r>
    <r>
      <rPr>
        <b/>
        <sz val="12"/>
        <color indexed="10"/>
        <rFont val="Arial"/>
        <family val="2"/>
      </rPr>
      <t>TRANSNCO 4A</t>
    </r>
    <r>
      <rPr>
        <b/>
        <sz val="12"/>
        <rFont val="Arial"/>
        <family val="2"/>
      </rPr>
      <t xml:space="preserve"> VOLUMES</t>
    </r>
  </si>
  <si>
    <t>GULFSTREAM FIRM CONTRACTUAL BALANCE</t>
  </si>
  <si>
    <r>
      <t xml:space="preserve">GULFSTREAM FIRM </t>
    </r>
    <r>
      <rPr>
        <b/>
        <sz val="12"/>
        <color indexed="12"/>
        <rFont val="Arial"/>
        <family val="2"/>
      </rPr>
      <t>GULF SOUTH</t>
    </r>
    <r>
      <rPr>
        <b/>
        <sz val="12"/>
        <rFont val="Arial"/>
        <family val="2"/>
      </rPr>
      <t xml:space="preserve"> VOLUMES</t>
    </r>
  </si>
  <si>
    <r>
      <t xml:space="preserve">GULFSTREAM FIRM </t>
    </r>
    <r>
      <rPr>
        <b/>
        <sz val="12"/>
        <color indexed="17"/>
        <rFont val="Arial"/>
        <family val="2"/>
      </rPr>
      <t>SESH</t>
    </r>
    <r>
      <rPr>
        <b/>
        <sz val="12"/>
        <rFont val="Arial"/>
        <family val="2"/>
      </rPr>
      <t xml:space="preserve"> VOLUMES</t>
    </r>
  </si>
  <si>
    <t>TOTAL FGT FIRM</t>
  </si>
  <si>
    <t>PHASE VIII FTS 3</t>
  </si>
  <si>
    <t>FGT FIRM BY ZONE</t>
  </si>
  <si>
    <t>Florida Power &amp; Light Company</t>
  </si>
  <si>
    <t>Docket No. 160154-EI</t>
  </si>
  <si>
    <t>Staff's First Set of Interrogatories</t>
  </si>
  <si>
    <t>Interrogatory No. 2</t>
  </si>
  <si>
    <t>Tab 1 of 6</t>
  </si>
  <si>
    <t>Attachment No. 25</t>
  </si>
  <si>
    <t>Tab 2 of 6</t>
  </si>
  <si>
    <t>Tab 3 of 6</t>
  </si>
  <si>
    <t>Tab 4 of 6</t>
  </si>
  <si>
    <t>Tab 5 of 6</t>
  </si>
  <si>
    <t>Tab 6 of 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</si>
</sst>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8" formatCode="&quot;$&quot;#,##0.00_);[Red]\(&quot;$&quot;#,##0.00\)"/>
    <numFmt numFmtId="44" formatCode="_(&quot;$&quot;* #,##0.00_);_(&quot;$&quot;* \(#,##0.00\);_(&quot;$&quot;* &quot;-&quot;??_);_(@_)"/>
    <numFmt numFmtId="164" formatCode="0.000000"/>
    <numFmt numFmtId="165" formatCode="0_)"/>
    <numFmt numFmtId="166" formatCode="&quot;$&quot;#,##0.00"/>
    <numFmt numFmtId="167" formatCode="[$-409]mmm\-yy;@"/>
    <numFmt numFmtId="168" formatCode="&quot;$&quot;#,##0.0"/>
    <numFmt numFmtId="169" formatCode="&quot;$&quot;#,##0.0_);[Red]\(&quot;$&quot;#,##0.0\)"/>
    <numFmt numFmtId="170" formatCode="0.0"/>
  </numFmts>
  <fonts count="19" x14ac:knownFonts="1">
    <font>
      <sz val="12"/>
      <name val="Helv"/>
    </font>
    <font>
      <sz val="11"/>
      <color theme="1"/>
      <name val="Calibri"/>
      <family val="2"/>
      <scheme val="minor"/>
    </font>
    <font>
      <sz val="12"/>
      <name val="Helv"/>
    </font>
    <font>
      <sz val="12"/>
      <color indexed="12"/>
      <name val="Helv"/>
    </font>
    <font>
      <b/>
      <sz val="12"/>
      <name val="Helv"/>
    </font>
    <font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u/>
      <sz val="12"/>
      <name val="Arial"/>
      <family val="2"/>
    </font>
    <font>
      <b/>
      <sz val="12"/>
      <color indexed="12"/>
      <name val="Arial"/>
      <family val="2"/>
    </font>
    <font>
      <b/>
      <sz val="14"/>
      <name val="Arial"/>
      <family val="2"/>
    </font>
    <font>
      <b/>
      <sz val="14"/>
      <color indexed="17"/>
      <name val="Arial"/>
      <family val="2"/>
    </font>
    <font>
      <b/>
      <u val="singleAccounting"/>
      <sz val="12"/>
      <name val="Arial"/>
      <family val="2"/>
    </font>
    <font>
      <sz val="14"/>
      <name val="Arial"/>
      <family val="2"/>
    </font>
    <font>
      <b/>
      <sz val="16"/>
      <name val="Arial"/>
      <family val="2"/>
    </font>
    <font>
      <sz val="12"/>
      <color indexed="12"/>
      <name val="Arial"/>
      <family val="2"/>
    </font>
    <font>
      <b/>
      <sz val="12"/>
      <color indexed="10"/>
      <name val="Arial"/>
      <family val="2"/>
    </font>
    <font>
      <b/>
      <sz val="12"/>
      <color indexed="17"/>
      <name val="Arial"/>
      <family val="2"/>
    </font>
    <font>
      <b/>
      <sz val="16"/>
      <color rgb="FFFF000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4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66FFFF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</borders>
  <cellStyleXfs count="25">
    <xf numFmtId="164" fontId="0" fillId="0" borderId="0">
      <alignment horizontal="left" wrapText="1"/>
    </xf>
    <xf numFmtId="44" fontId="5" fillId="0" borderId="0" applyFont="0" applyFill="0" applyBorder="0" applyAlignment="0" applyProtection="0"/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5" fillId="0" borderId="0"/>
  </cellStyleXfs>
  <cellXfs count="117">
    <xf numFmtId="164" fontId="0" fillId="0" borderId="0" xfId="0">
      <alignment horizontal="left" wrapText="1"/>
    </xf>
    <xf numFmtId="165" fontId="0" fillId="0" borderId="0" xfId="0" applyNumberFormat="1" applyAlignment="1"/>
    <xf numFmtId="165" fontId="3" fillId="0" borderId="1" xfId="0" quotePrefix="1" applyNumberFormat="1" applyFont="1" applyBorder="1" applyAlignment="1">
      <alignment horizontal="left"/>
    </xf>
    <xf numFmtId="165" fontId="3" fillId="0" borderId="3" xfId="0" quotePrefix="1" applyNumberFormat="1" applyFont="1" applyBorder="1" applyAlignment="1">
      <alignment horizontal="left"/>
    </xf>
    <xf numFmtId="165" fontId="4" fillId="0" borderId="4" xfId="0" applyNumberFormat="1" applyFont="1" applyBorder="1" applyAlignment="1"/>
    <xf numFmtId="165" fontId="3" fillId="0" borderId="1" xfId="0" applyNumberFormat="1" applyFont="1" applyBorder="1" applyAlignment="1"/>
    <xf numFmtId="165" fontId="3" fillId="0" borderId="3" xfId="0" applyNumberFormat="1" applyFont="1" applyBorder="1" applyAlignment="1"/>
    <xf numFmtId="165" fontId="4" fillId="0" borderId="4" xfId="0" quotePrefix="1" applyNumberFormat="1" applyFont="1" applyBorder="1" applyAlignment="1">
      <alignment horizontal="left"/>
    </xf>
    <xf numFmtId="0" fontId="5" fillId="0" borderId="0" xfId="24"/>
    <xf numFmtId="0" fontId="5" fillId="0" borderId="0" xfId="24" applyAlignment="1">
      <alignment horizontal="center"/>
    </xf>
    <xf numFmtId="166" fontId="6" fillId="0" borderId="0" xfId="24" applyNumberFormat="1" applyFont="1" applyAlignment="1">
      <alignment horizontal="center"/>
    </xf>
    <xf numFmtId="165" fontId="6" fillId="0" borderId="0" xfId="0" applyNumberFormat="1" applyFont="1" applyAlignment="1">
      <alignment horizontal="center"/>
    </xf>
    <xf numFmtId="165" fontId="6" fillId="0" borderId="0" xfId="0" applyNumberFormat="1" applyFont="1" applyAlignment="1"/>
    <xf numFmtId="17" fontId="2" fillId="0" borderId="0" xfId="0" applyNumberFormat="1" applyFont="1" applyAlignment="1">
      <alignment horizontal="center"/>
    </xf>
    <xf numFmtId="17" fontId="0" fillId="0" borderId="0" xfId="0" applyNumberFormat="1" applyAlignment="1">
      <alignment horizontal="center"/>
    </xf>
    <xf numFmtId="167" fontId="6" fillId="0" borderId="0" xfId="0" applyNumberFormat="1" applyFont="1" applyAlignment="1">
      <alignment horizontal="center"/>
    </xf>
    <xf numFmtId="17" fontId="6" fillId="0" borderId="0" xfId="0" applyNumberFormat="1" applyFont="1" applyAlignment="1">
      <alignment horizontal="center"/>
    </xf>
    <xf numFmtId="8" fontId="5" fillId="0" borderId="0" xfId="24" applyNumberFormat="1"/>
    <xf numFmtId="0" fontId="5" fillId="0" borderId="0" xfId="24" applyAlignment="1">
      <alignment horizontal="center" wrapText="1"/>
    </xf>
    <xf numFmtId="0" fontId="7" fillId="0" borderId="0" xfId="24" applyFont="1" applyAlignment="1">
      <alignment horizontal="center" wrapText="1"/>
    </xf>
    <xf numFmtId="0" fontId="8" fillId="0" borderId="0" xfId="24" applyFont="1" applyAlignment="1">
      <alignment horizontal="center" wrapText="1"/>
    </xf>
    <xf numFmtId="0" fontId="7" fillId="0" borderId="0" xfId="24" quotePrefix="1" applyFont="1" applyAlignment="1">
      <alignment horizontal="center" wrapText="1"/>
    </xf>
    <xf numFmtId="10" fontId="9" fillId="2" borderId="0" xfId="24" applyNumberFormat="1" applyFont="1" applyFill="1" applyAlignment="1">
      <alignment horizontal="center"/>
    </xf>
    <xf numFmtId="0" fontId="7" fillId="2" borderId="0" xfId="24" applyFont="1" applyFill="1" applyAlignment="1">
      <alignment horizontal="center"/>
    </xf>
    <xf numFmtId="166" fontId="7" fillId="0" borderId="0" xfId="24" applyNumberFormat="1" applyFont="1" applyFill="1" applyAlignment="1">
      <alignment horizontal="center"/>
    </xf>
    <xf numFmtId="15" fontId="7" fillId="0" borderId="0" xfId="24" applyNumberFormat="1" applyFont="1" applyAlignment="1">
      <alignment horizontal="left"/>
    </xf>
    <xf numFmtId="8" fontId="6" fillId="0" borderId="0" xfId="24" applyNumberFormat="1" applyFont="1" applyAlignment="1">
      <alignment horizontal="center"/>
    </xf>
    <xf numFmtId="166" fontId="6" fillId="4" borderId="0" xfId="24" applyNumberFormat="1" applyFont="1" applyFill="1" applyAlignment="1">
      <alignment horizontal="center"/>
    </xf>
    <xf numFmtId="166" fontId="6" fillId="5" borderId="0" xfId="24" applyNumberFormat="1" applyFont="1" applyFill="1" applyAlignment="1">
      <alignment horizontal="center"/>
    </xf>
    <xf numFmtId="8" fontId="6" fillId="6" borderId="0" xfId="24" applyNumberFormat="1" applyFont="1" applyFill="1" applyAlignment="1">
      <alignment horizontal="center"/>
    </xf>
    <xf numFmtId="15" fontId="7" fillId="0" borderId="0" xfId="24" applyNumberFormat="1" applyFont="1" applyFill="1" applyAlignment="1">
      <alignment horizontal="left"/>
    </xf>
    <xf numFmtId="0" fontId="5" fillId="0" borderId="0" xfId="24" applyFill="1" applyAlignment="1">
      <alignment horizontal="center"/>
    </xf>
    <xf numFmtId="166" fontId="6" fillId="0" borderId="0" xfId="0" applyNumberFormat="1" applyFont="1" applyAlignment="1">
      <alignment horizontal="center"/>
    </xf>
    <xf numFmtId="166" fontId="6" fillId="0" borderId="0" xfId="1" applyNumberFormat="1" applyFont="1" applyAlignment="1">
      <alignment horizontal="center"/>
    </xf>
    <xf numFmtId="44" fontId="12" fillId="0" borderId="0" xfId="1" applyFont="1" applyAlignment="1">
      <alignment horizontal="center"/>
    </xf>
    <xf numFmtId="0" fontId="8" fillId="0" borderId="0" xfId="24" applyFont="1" applyAlignment="1">
      <alignment horizontal="center"/>
    </xf>
    <xf numFmtId="165" fontId="7" fillId="0" borderId="0" xfId="0" quotePrefix="1" applyNumberFormat="1" applyFont="1" applyFill="1" applyAlignment="1">
      <alignment horizontal="center"/>
    </xf>
    <xf numFmtId="165" fontId="7" fillId="0" borderId="0" xfId="0" applyNumberFormat="1" applyFont="1" applyFill="1" applyAlignment="1">
      <alignment horizontal="center"/>
    </xf>
    <xf numFmtId="165" fontId="7" fillId="3" borderId="0" xfId="0" quotePrefix="1" applyNumberFormat="1" applyFont="1" applyFill="1" applyAlignment="1">
      <alignment horizontal="center"/>
    </xf>
    <xf numFmtId="165" fontId="7" fillId="7" borderId="0" xfId="0" quotePrefix="1" applyNumberFormat="1" applyFont="1" applyFill="1" applyAlignment="1">
      <alignment horizontal="center"/>
    </xf>
    <xf numFmtId="165" fontId="7" fillId="8" borderId="0" xfId="0" quotePrefix="1" applyNumberFormat="1" applyFont="1" applyFill="1" applyAlignment="1">
      <alignment horizontal="center"/>
    </xf>
    <xf numFmtId="0" fontId="5" fillId="0" borderId="0" xfId="24" applyFill="1"/>
    <xf numFmtId="165" fontId="7" fillId="3" borderId="0" xfId="0" quotePrefix="1" applyNumberFormat="1" applyFont="1" applyFill="1" applyAlignment="1">
      <alignment horizontal="center" vertical="center" wrapText="1"/>
    </xf>
    <xf numFmtId="165" fontId="7" fillId="7" borderId="0" xfId="0" quotePrefix="1" applyNumberFormat="1" applyFont="1" applyFill="1" applyAlignment="1">
      <alignment horizontal="center" vertical="center" wrapText="1"/>
    </xf>
    <xf numFmtId="165" fontId="7" fillId="8" borderId="0" xfId="0" quotePrefix="1" applyNumberFormat="1" applyFont="1" applyFill="1" applyAlignment="1">
      <alignment horizontal="center" vertical="center" wrapText="1"/>
    </xf>
    <xf numFmtId="0" fontId="13" fillId="0" borderId="0" xfId="24" applyFont="1"/>
    <xf numFmtId="10" fontId="7" fillId="2" borderId="0" xfId="24" quotePrefix="1" applyNumberFormat="1" applyFont="1" applyFill="1" applyAlignment="1">
      <alignment horizontal="center"/>
    </xf>
    <xf numFmtId="15" fontId="7" fillId="2" borderId="0" xfId="24" applyNumberFormat="1" applyFont="1" applyFill="1" applyAlignment="1">
      <alignment horizontal="left"/>
    </xf>
    <xf numFmtId="15" fontId="7" fillId="0" borderId="0" xfId="24" quotePrefix="1" applyNumberFormat="1" applyFont="1" applyAlignment="1">
      <alignment horizontal="left"/>
    </xf>
    <xf numFmtId="0" fontId="14" fillId="0" borderId="0" xfId="24" applyFont="1"/>
    <xf numFmtId="168" fontId="6" fillId="0" borderId="0" xfId="24" applyNumberFormat="1" applyFont="1" applyAlignment="1">
      <alignment horizontal="center"/>
    </xf>
    <xf numFmtId="166" fontId="6" fillId="7" borderId="0" xfId="24" applyNumberFormat="1" applyFont="1" applyFill="1" applyAlignment="1">
      <alignment horizontal="center"/>
    </xf>
    <xf numFmtId="168" fontId="5" fillId="0" borderId="0" xfId="24" applyNumberFormat="1"/>
    <xf numFmtId="166" fontId="5" fillId="0" borderId="0" xfId="24" applyNumberFormat="1"/>
    <xf numFmtId="166" fontId="7" fillId="9" borderId="0" xfId="24" applyNumberFormat="1" applyFont="1" applyFill="1" applyAlignment="1">
      <alignment horizontal="center"/>
    </xf>
    <xf numFmtId="168" fontId="6" fillId="0" borderId="0" xfId="24" applyNumberFormat="1" applyFont="1"/>
    <xf numFmtId="166" fontId="6" fillId="0" borderId="0" xfId="24" applyNumberFormat="1" applyFont="1"/>
    <xf numFmtId="168" fontId="15" fillId="0" borderId="0" xfId="24" applyNumberFormat="1" applyFont="1" applyAlignment="1">
      <alignment horizontal="center"/>
    </xf>
    <xf numFmtId="169" fontId="6" fillId="0" borderId="0" xfId="24" applyNumberFormat="1" applyFont="1" applyAlignment="1">
      <alignment horizontal="center"/>
    </xf>
    <xf numFmtId="168" fontId="15" fillId="10" borderId="0" xfId="24" applyNumberFormat="1" applyFont="1" applyFill="1" applyAlignment="1">
      <alignment horizontal="center"/>
    </xf>
    <xf numFmtId="169" fontId="6" fillId="9" borderId="0" xfId="24" applyNumberFormat="1" applyFont="1" applyFill="1" applyAlignment="1">
      <alignment horizontal="center"/>
    </xf>
    <xf numFmtId="168" fontId="15" fillId="11" borderId="0" xfId="24" applyNumberFormat="1" applyFont="1" applyFill="1" applyAlignment="1">
      <alignment horizontal="center"/>
    </xf>
    <xf numFmtId="168" fontId="15" fillId="12" borderId="0" xfId="24" applyNumberFormat="1" applyFont="1" applyFill="1" applyAlignment="1">
      <alignment horizontal="center"/>
    </xf>
    <xf numFmtId="166" fontId="6" fillId="9" borderId="0" xfId="24" applyNumberFormat="1" applyFont="1" applyFill="1" applyAlignment="1">
      <alignment horizontal="center"/>
    </xf>
    <xf numFmtId="168" fontId="15" fillId="13" borderId="0" xfId="24" applyNumberFormat="1" applyFont="1" applyFill="1" applyAlignment="1">
      <alignment horizontal="center"/>
    </xf>
    <xf numFmtId="168" fontId="15" fillId="14" borderId="0" xfId="24" applyNumberFormat="1" applyFont="1" applyFill="1" applyAlignment="1">
      <alignment horizontal="center"/>
    </xf>
    <xf numFmtId="0" fontId="7" fillId="4" borderId="0" xfId="24" applyFont="1" applyFill="1" applyAlignment="1">
      <alignment horizontal="center" wrapText="1"/>
    </xf>
    <xf numFmtId="0" fontId="7" fillId="7" borderId="0" xfId="24" applyFont="1" applyFill="1" applyAlignment="1">
      <alignment horizontal="center" wrapText="1"/>
    </xf>
    <xf numFmtId="0" fontId="7" fillId="9" borderId="0" xfId="24" applyFont="1" applyFill="1" applyAlignment="1">
      <alignment horizontal="center" wrapText="1"/>
    </xf>
    <xf numFmtId="0" fontId="7" fillId="4" borderId="0" xfId="24" quotePrefix="1" applyFont="1" applyFill="1" applyAlignment="1">
      <alignment horizontal="center" wrapText="1"/>
    </xf>
    <xf numFmtId="0" fontId="7" fillId="3" borderId="0" xfId="24" quotePrefix="1" applyFont="1" applyFill="1" applyAlignment="1">
      <alignment horizontal="center" wrapText="1"/>
    </xf>
    <xf numFmtId="0" fontId="7" fillId="7" borderId="0" xfId="24" quotePrefix="1" applyFont="1" applyFill="1" applyAlignment="1">
      <alignment horizontal="center" wrapText="1"/>
    </xf>
    <xf numFmtId="0" fontId="7" fillId="0" borderId="0" xfId="24" applyFont="1" applyAlignment="1">
      <alignment horizontal="center"/>
    </xf>
    <xf numFmtId="10" fontId="7" fillId="0" borderId="0" xfId="24" applyNumberFormat="1" applyFont="1" applyFill="1" applyAlignment="1">
      <alignment horizontal="center"/>
    </xf>
    <xf numFmtId="0" fontId="7" fillId="0" borderId="0" xfId="24" applyFont="1" applyFill="1" applyAlignment="1">
      <alignment horizontal="center"/>
    </xf>
    <xf numFmtId="10" fontId="7" fillId="2" borderId="0" xfId="24" applyNumberFormat="1" applyFont="1" applyFill="1" applyAlignment="1">
      <alignment horizontal="center"/>
    </xf>
    <xf numFmtId="0" fontId="7" fillId="0" borderId="0" xfId="24" quotePrefix="1" applyFont="1" applyAlignment="1">
      <alignment horizontal="center"/>
    </xf>
    <xf numFmtId="1" fontId="6" fillId="0" borderId="0" xfId="24" applyNumberFormat="1" applyFont="1" applyAlignment="1">
      <alignment horizontal="center"/>
    </xf>
    <xf numFmtId="1" fontId="5" fillId="0" borderId="0" xfId="24" applyNumberFormat="1" applyAlignment="1">
      <alignment horizontal="center"/>
    </xf>
    <xf numFmtId="1" fontId="6" fillId="15" borderId="0" xfId="24" applyNumberFormat="1" applyFont="1" applyFill="1" applyAlignment="1">
      <alignment horizontal="center"/>
    </xf>
    <xf numFmtId="1" fontId="6" fillId="0" borderId="0" xfId="24" applyNumberFormat="1" applyFont="1" applyFill="1" applyAlignment="1">
      <alignment horizontal="center"/>
    </xf>
    <xf numFmtId="3" fontId="6" fillId="0" borderId="0" xfId="24" applyNumberFormat="1" applyFont="1" applyAlignment="1">
      <alignment horizontal="center"/>
    </xf>
    <xf numFmtId="3" fontId="6" fillId="0" borderId="0" xfId="24" applyNumberFormat="1" applyFont="1" applyFill="1" applyAlignment="1">
      <alignment horizontal="center"/>
    </xf>
    <xf numFmtId="3" fontId="6" fillId="15" borderId="0" xfId="24" applyNumberFormat="1" applyFont="1" applyFill="1" applyAlignment="1">
      <alignment horizontal="center"/>
    </xf>
    <xf numFmtId="170" fontId="7" fillId="9" borderId="0" xfId="24" applyNumberFormat="1" applyFont="1" applyFill="1" applyAlignment="1">
      <alignment horizontal="center"/>
    </xf>
    <xf numFmtId="3" fontId="6" fillId="0" borderId="0" xfId="0" applyNumberFormat="1" applyFont="1" applyAlignment="1">
      <alignment horizontal="center"/>
    </xf>
    <xf numFmtId="1" fontId="6" fillId="0" borderId="0" xfId="0" applyNumberFormat="1" applyFont="1" applyAlignment="1"/>
    <xf numFmtId="1" fontId="7" fillId="9" borderId="0" xfId="24" applyNumberFormat="1" applyFont="1" applyFill="1" applyAlignment="1">
      <alignment horizontal="center"/>
    </xf>
    <xf numFmtId="1" fontId="2" fillId="0" borderId="0" xfId="0" applyNumberFormat="1" applyFont="1" applyAlignment="1">
      <alignment horizontal="center"/>
    </xf>
    <xf numFmtId="1" fontId="0" fillId="0" borderId="0" xfId="0" applyNumberFormat="1" applyAlignment="1">
      <alignment horizontal="center"/>
    </xf>
    <xf numFmtId="1" fontId="6" fillId="0" borderId="0" xfId="0" applyNumberFormat="1" applyFont="1" applyAlignment="1">
      <alignment horizontal="center"/>
    </xf>
    <xf numFmtId="1" fontId="6" fillId="9" borderId="0" xfId="24" applyNumberFormat="1" applyFont="1" applyFill="1" applyAlignment="1">
      <alignment horizontal="center"/>
    </xf>
    <xf numFmtId="0" fontId="8" fillId="9" borderId="0" xfId="24" applyFont="1" applyFill="1" applyAlignment="1">
      <alignment horizontal="center" wrapText="1"/>
    </xf>
    <xf numFmtId="0" fontId="7" fillId="3" borderId="0" xfId="24" applyFont="1" applyFill="1" applyAlignment="1">
      <alignment horizontal="center" wrapText="1"/>
    </xf>
    <xf numFmtId="0" fontId="6" fillId="0" borderId="0" xfId="24" applyFont="1" applyAlignment="1">
      <alignment horizontal="center" wrapText="1"/>
    </xf>
    <xf numFmtId="0" fontId="7" fillId="0" borderId="0" xfId="24" quotePrefix="1" applyFont="1" applyFill="1" applyAlignment="1">
      <alignment horizontal="center"/>
    </xf>
    <xf numFmtId="0" fontId="7" fillId="0" borderId="0" xfId="24" applyFont="1" applyFill="1" applyAlignment="1"/>
    <xf numFmtId="0" fontId="7" fillId="8" borderId="0" xfId="24" applyFont="1" applyFill="1" applyAlignment="1">
      <alignment horizontal="center"/>
    </xf>
    <xf numFmtId="0" fontId="7" fillId="4" borderId="0" xfId="24" quotePrefix="1" applyFont="1" applyFill="1" applyAlignment="1">
      <alignment horizontal="center"/>
    </xf>
    <xf numFmtId="0" fontId="7" fillId="0" borderId="0" xfId="24" applyFont="1"/>
    <xf numFmtId="165" fontId="0" fillId="0" borderId="0" xfId="0" applyNumberFormat="1" applyFill="1" applyAlignment="1"/>
    <xf numFmtId="165" fontId="4" fillId="0" borderId="0" xfId="0" applyNumberFormat="1" applyFont="1" applyAlignment="1">
      <alignment horizontal="left"/>
    </xf>
    <xf numFmtId="165" fontId="3" fillId="0" borderId="2" xfId="0" applyNumberFormat="1" applyFont="1" applyBorder="1" applyAlignment="1">
      <alignment horizontal="center" vertical="center"/>
    </xf>
    <xf numFmtId="165" fontId="3" fillId="0" borderId="1" xfId="0" applyNumberFormat="1" applyFont="1" applyBorder="1" applyAlignment="1">
      <alignment horizontal="center" vertical="center"/>
    </xf>
    <xf numFmtId="165" fontId="3" fillId="0" borderId="3" xfId="0" applyNumberFormat="1" applyFont="1" applyBorder="1" applyAlignment="1">
      <alignment horizontal="center" vertical="center"/>
    </xf>
    <xf numFmtId="165" fontId="7" fillId="4" borderId="0" xfId="0" quotePrefix="1" applyNumberFormat="1" applyFont="1" applyFill="1" applyAlignment="1">
      <alignment horizontal="center"/>
    </xf>
    <xf numFmtId="0" fontId="7" fillId="0" borderId="0" xfId="24" applyFont="1" applyAlignment="1">
      <alignment horizontal="center"/>
    </xf>
    <xf numFmtId="0" fontId="7" fillId="9" borderId="0" xfId="24" quotePrefix="1" applyFont="1" applyFill="1" applyAlignment="1">
      <alignment horizontal="center"/>
    </xf>
    <xf numFmtId="0" fontId="7" fillId="9" borderId="0" xfId="24" applyFont="1" applyFill="1" applyAlignment="1">
      <alignment horizontal="center"/>
    </xf>
    <xf numFmtId="0" fontId="7" fillId="4" borderId="0" xfId="24" applyFont="1" applyFill="1" applyAlignment="1">
      <alignment horizontal="center"/>
    </xf>
    <xf numFmtId="0" fontId="7" fillId="4" borderId="0" xfId="24" quotePrefix="1" applyFont="1" applyFill="1" applyAlignment="1">
      <alignment horizontal="center"/>
    </xf>
    <xf numFmtId="0" fontId="18" fillId="4" borderId="7" xfId="24" quotePrefix="1" applyFont="1" applyFill="1" applyBorder="1" applyAlignment="1">
      <alignment horizontal="center"/>
    </xf>
    <xf numFmtId="0" fontId="18" fillId="4" borderId="6" xfId="24" quotePrefix="1" applyFont="1" applyFill="1" applyBorder="1" applyAlignment="1">
      <alignment horizontal="center"/>
    </xf>
    <xf numFmtId="0" fontId="18" fillId="4" borderId="5" xfId="24" quotePrefix="1" applyFont="1" applyFill="1" applyBorder="1" applyAlignment="1">
      <alignment horizontal="center"/>
    </xf>
    <xf numFmtId="0" fontId="7" fillId="0" borderId="0" xfId="24" quotePrefix="1" applyFont="1" applyFill="1" applyAlignment="1">
      <alignment horizontal="center"/>
    </xf>
    <xf numFmtId="0" fontId="7" fillId="8" borderId="0" xfId="24" quotePrefix="1" applyFont="1" applyFill="1" applyAlignment="1">
      <alignment horizontal="center"/>
    </xf>
    <xf numFmtId="0" fontId="7" fillId="8" borderId="0" xfId="24" applyFont="1" applyFill="1" applyAlignment="1">
      <alignment horizontal="center"/>
    </xf>
  </cellXfs>
  <cellStyles count="25">
    <cellStyle name="_CC Oil" xfId="2"/>
    <cellStyle name="_DSO Oil" xfId="3"/>
    <cellStyle name="_FLCC Oil" xfId="4"/>
    <cellStyle name="_FLPEGT Oil" xfId="5"/>
    <cellStyle name="_FMCT Oil" xfId="6"/>
    <cellStyle name="_GTDW_DataTemplate" xfId="7"/>
    <cellStyle name="_Gulfstream Gas" xfId="8"/>
    <cellStyle name="_MR .7 Oil" xfId="9"/>
    <cellStyle name="_MR 1 Oil" xfId="10"/>
    <cellStyle name="_MRCT Oil" xfId="11"/>
    <cellStyle name="_MT Gulfstream Gas" xfId="12"/>
    <cellStyle name="_MT Oil" xfId="13"/>
    <cellStyle name="_OLCT Oil" xfId="14"/>
    <cellStyle name="_PE Oil" xfId="15"/>
    <cellStyle name="_PN Oil" xfId="16"/>
    <cellStyle name="_RV Oil" xfId="17"/>
    <cellStyle name="_SHCT Oil" xfId="18"/>
    <cellStyle name="_SN Oil" xfId="19"/>
    <cellStyle name="_TP Oil" xfId="20"/>
    <cellStyle name="Currency" xfId="1" builtinId="4"/>
    <cellStyle name="Normal" xfId="0" builtinId="0"/>
    <cellStyle name="Normal 2" xfId="21"/>
    <cellStyle name="Normal 2 2" xfId="22"/>
    <cellStyle name="Normal 2 3" xfId="23"/>
    <cellStyle name="Normal_060415 RAP Fuel Price Forecast Template - Case 1 (Historical Spread)" xfId="2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Drop" dropLines="3" dropStyle="combo" dx="18" fmlaLink="CONTROL!$C$9" fmlaRange="CONTROL!$B$9:$B$11" sel="2" val="0"/>
</file>

<file path=xl/ctrlProps/ctrlProp2.xml><?xml version="1.0" encoding="utf-8"?>
<formControlPr xmlns="http://schemas.microsoft.com/office/spreadsheetml/2009/9/main" objectType="Drop" dropLines="2" dropStyle="combo" dx="18" fmlaLink="CONTROL!$C$27" fmlaRange="CONTROL!$B$27:$B$28" val="0"/>
</file>

<file path=xl/ctrlProps/ctrlProp3.xml><?xml version="1.0" encoding="utf-8"?>
<formControlPr xmlns="http://schemas.microsoft.com/office/spreadsheetml/2009/9/main" objectType="Drop" dropLines="3" dropStyle="combo" dx="18" fmlaLink="CONTROL!$C$15" fmlaRange="CONTROL!$B$15:$B$17" sel="2" val="0"/>
</file>

<file path=xl/ctrlProps/ctrlProp4.xml><?xml version="1.0" encoding="utf-8"?>
<formControlPr xmlns="http://schemas.microsoft.com/office/spreadsheetml/2009/9/main" objectType="Drop" dropLines="2" dropStyle="combo" dx="18" fmlaLink="CONTROL!$C$38" fmlaRange="CONTROL!$B$38:$B$39" val="0"/>
</file>

<file path=xl/ctrlProps/ctrlProp5.xml><?xml version="1.0" encoding="utf-8"?>
<formControlPr xmlns="http://schemas.microsoft.com/office/spreadsheetml/2009/9/main" objectType="Drop" dropLines="3" dropStyle="combo" dx="18" fmlaLink="CONTROL!$C$32" fmlaRange="CONTROL!$B$32:$B$34" sel="2" val="0"/>
</file>

<file path=xl/ctrlProps/ctrlProp6.xml><?xml version="1.0" encoding="utf-8"?>
<formControlPr xmlns="http://schemas.microsoft.com/office/spreadsheetml/2009/9/main" objectType="Drop" dropLines="3" dropStyle="combo" dx="18" fmlaLink="CONTROL!$C$21" fmlaRange="CONTROL!$B$21:$B$23" sel="2" val="0"/>
</file>

<file path=xl/ctrlProps/ctrlProp7.xml><?xml version="1.0" encoding="utf-8"?>
<formControlPr xmlns="http://schemas.microsoft.com/office/spreadsheetml/2009/9/main" objectType="Drop" dropLines="2" dropStyle="combo" dx="18" fmlaLink="CONTROL!$C$42" fmlaRange="CONTROL!$B$42:$B$43" val="0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7</xdr:row>
          <xdr:rowOff>28575</xdr:rowOff>
        </xdr:from>
        <xdr:to>
          <xdr:col>7</xdr:col>
          <xdr:colOff>123825</xdr:colOff>
          <xdr:row>8</xdr:row>
          <xdr:rowOff>114300</xdr:rowOff>
        </xdr:to>
        <xdr:sp macro="" textlink="">
          <xdr:nvSpPr>
            <xdr:cNvPr id="1025" name="Drop Down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295275</xdr:colOff>
          <xdr:row>7</xdr:row>
          <xdr:rowOff>57150</xdr:rowOff>
        </xdr:from>
        <xdr:to>
          <xdr:col>8</xdr:col>
          <xdr:colOff>314325</xdr:colOff>
          <xdr:row>8</xdr:row>
          <xdr:rowOff>133350</xdr:rowOff>
        </xdr:to>
        <xdr:sp macro="" textlink="">
          <xdr:nvSpPr>
            <xdr:cNvPr id="1026" name="Drop Down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7</xdr:row>
          <xdr:rowOff>133350</xdr:rowOff>
        </xdr:from>
        <xdr:to>
          <xdr:col>8</xdr:col>
          <xdr:colOff>304800</xdr:colOff>
          <xdr:row>9</xdr:row>
          <xdr:rowOff>19050</xdr:rowOff>
        </xdr:to>
        <xdr:sp macro="" textlink="">
          <xdr:nvSpPr>
            <xdr:cNvPr id="2049" name="Drop Down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438150</xdr:colOff>
          <xdr:row>7</xdr:row>
          <xdr:rowOff>133350</xdr:rowOff>
        </xdr:from>
        <xdr:to>
          <xdr:col>9</xdr:col>
          <xdr:colOff>571500</xdr:colOff>
          <xdr:row>9</xdr:row>
          <xdr:rowOff>19050</xdr:rowOff>
        </xdr:to>
        <xdr:sp macro="" textlink="">
          <xdr:nvSpPr>
            <xdr:cNvPr id="2050" name="Drop Down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7</xdr:row>
          <xdr:rowOff>38100</xdr:rowOff>
        </xdr:from>
        <xdr:to>
          <xdr:col>6</xdr:col>
          <xdr:colOff>381000</xdr:colOff>
          <xdr:row>8</xdr:row>
          <xdr:rowOff>95250</xdr:rowOff>
        </xdr:to>
        <xdr:sp macro="" textlink="">
          <xdr:nvSpPr>
            <xdr:cNvPr id="3073" name="Drop Down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285750</xdr:colOff>
          <xdr:row>7</xdr:row>
          <xdr:rowOff>28575</xdr:rowOff>
        </xdr:from>
        <xdr:to>
          <xdr:col>8</xdr:col>
          <xdr:colOff>552450</xdr:colOff>
          <xdr:row>8</xdr:row>
          <xdr:rowOff>114300</xdr:rowOff>
        </xdr:to>
        <xdr:sp macro="" textlink="">
          <xdr:nvSpPr>
            <xdr:cNvPr id="4097" name="Drop Down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7</xdr:row>
          <xdr:rowOff>133350</xdr:rowOff>
        </xdr:from>
        <xdr:to>
          <xdr:col>12</xdr:col>
          <xdr:colOff>266700</xdr:colOff>
          <xdr:row>9</xdr:row>
          <xdr:rowOff>9525</xdr:rowOff>
        </xdr:to>
        <xdr:sp macro="" textlink="">
          <xdr:nvSpPr>
            <xdr:cNvPr id="4098" name="Drop Down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C.Home.RemoteAccess.exu0ocl\040609%20FUEL%20COST%20RECOVERY%20-%20IRP%20SHORT%20&amp;%20LONG-TERM%20FOSSIL%20FUEL%20PRICE%20FORECAS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XD0FJ7\AppData\Local\Temp\Temp1_2014.zip\2014\2.%20February\140203%202014%20-%202100%20LONG-TERM%20FORECAST%20FPL%20METHODOLOGY%20-%20To%20Delete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Index%20Analysi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ower%20REG\GenTrader%20Data\Weekly%20Long%20Run\040914\Inputs\GTDW_DataTemplat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L OIL BACKUP 2"/>
      <sheetName val="GRAPH DATA"/>
      <sheetName val="CURRENT FPL VS. FCR FORECAST"/>
      <sheetName val="CURRENT VS. PREVIOUS FPL FORE."/>
      <sheetName val="CURRENT FPL VS. PIRA FORECAST"/>
      <sheetName val="FPL FORECAST VS. FORWARD CURVE"/>
      <sheetName val="FPL MOST LIKELY OIL BACKUP 1"/>
      <sheetName val="COMPARISON OF DISPATCH PRICES"/>
      <sheetName val="FOSSIL FUEL GRAPH"/>
      <sheetName val="MOST LIKELY OIL FORECAST UPDATE"/>
      <sheetName val="MOST LIKELY OIL PRICE FORECAST"/>
      <sheetName val="LOW PRICE OIL FORECAST"/>
      <sheetName val="HIGH PRICE OIL FORECAST"/>
      <sheetName val="WEEKLY GAS FORECAST UPDATE"/>
      <sheetName val="MOST LIKELY GAS PRICE &amp; AVAIL"/>
      <sheetName val="MOST LIKELY COAL &amp; PET COKE"/>
      <sheetName val="FPL MOST LIKELY GAS BACKUP 2"/>
      <sheetName val="FPL MOST LIKELY GAS BACKUP 1"/>
      <sheetName val="FPL LOW PRICE GAS BACKUP 1"/>
      <sheetName val="FPL HIGH PRICE GAS BACKUP 1"/>
      <sheetName val="LOW PRICE GAS &amp; AVAILABILITY"/>
      <sheetName val="HIGH PRICE GAS &amp; AVAILABIL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Setup_"/>
      <sheetName val="OIL &amp; GAS SEASONALITY"/>
      <sheetName val="FGT PRIMARY FIRM ZONE 1"/>
      <sheetName val="FGT PRIMARY FIRM ZONE 2"/>
      <sheetName val="FGT PRIMARY FIRM ZONE 3"/>
      <sheetName val="FGT FIRM ZONE 3 MOBILE BAY-DES"/>
      <sheetName val="FTS 3  FIRM ZONE 3 MOBILE BAY-D"/>
      <sheetName val="TRANSCO 4A LATERAL TO FTS 3"/>
      <sheetName val="TRANSCO 4 LATERAL TO GULFSTREAM"/>
      <sheetName val="SESH TO FGT FIRM ZONE 3 MOB BAY"/>
      <sheetName val="SESH TO FTS 3"/>
      <sheetName val="SESH TO GULFSTREAM"/>
      <sheetName val="GULFSTREAM FIRM "/>
      <sheetName val="GULFSTREAM NON-FIRM"/>
      <sheetName val="GULFSTREAM NON-FIRM  BACKHAUL "/>
      <sheetName val="UPS REPLACEMENT"/>
      <sheetName val="FUTURE GAS PIPELINE"/>
      <sheetName val="Upload"/>
      <sheetName val="MOST LIKELY COAL &amp; PET COKE"/>
      <sheetName val="GULF SOUTH TO FGT Z3 MOBILE BAY"/>
      <sheetName val="GULF SOUTH TO GULFSTREAM"/>
      <sheetName val="DISTILLATE &amp; RESIDUAL FUEL OIL"/>
      <sheetName val="PIRA - LONG TERM GAS BACKUP"/>
      <sheetName val="FGT NON-FIRM"/>
      <sheetName val="PIRA - LONG TERM OIL BACKUP"/>
      <sheetName val="DW Curves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-Data"/>
      <sheetName val="Misc-Data"/>
      <sheetName val="IndexAnalysis"/>
      <sheetName val="Nat Gas Strips "/>
      <sheetName val="Module2"/>
      <sheetName val="FeedLiveData"/>
    </sheetNames>
    <sheetDataSet>
      <sheetData sheetId="0" refreshError="1">
        <row r="2">
          <cell r="A2" t="str">
            <v>INDEX PRICE LOG</v>
          </cell>
        </row>
        <row r="3">
          <cell r="C3">
            <v>11</v>
          </cell>
          <cell r="D3">
            <v>12</v>
          </cell>
          <cell r="E3">
            <v>1</v>
          </cell>
          <cell r="F3">
            <v>2</v>
          </cell>
          <cell r="G3">
            <v>3</v>
          </cell>
          <cell r="H3">
            <v>4</v>
          </cell>
          <cell r="I3">
            <v>5</v>
          </cell>
          <cell r="J3">
            <v>6</v>
          </cell>
          <cell r="K3">
            <v>7</v>
          </cell>
          <cell r="L3">
            <v>8</v>
          </cell>
          <cell r="M3">
            <v>9</v>
          </cell>
          <cell r="N3">
            <v>10</v>
          </cell>
          <cell r="O3">
            <v>11</v>
          </cell>
          <cell r="P3">
            <v>12</v>
          </cell>
          <cell r="Q3">
            <v>1</v>
          </cell>
          <cell r="R3">
            <v>2</v>
          </cell>
          <cell r="S3">
            <v>3</v>
          </cell>
          <cell r="T3">
            <v>4</v>
          </cell>
          <cell r="U3">
            <v>5</v>
          </cell>
          <cell r="V3">
            <v>6</v>
          </cell>
          <cell r="W3">
            <v>7</v>
          </cell>
          <cell r="X3">
            <v>8</v>
          </cell>
          <cell r="Y3">
            <v>9</v>
          </cell>
          <cell r="Z3">
            <v>10</v>
          </cell>
          <cell r="AA3">
            <v>11</v>
          </cell>
          <cell r="AB3">
            <v>12</v>
          </cell>
          <cell r="AC3">
            <v>1</v>
          </cell>
          <cell r="AD3">
            <v>2</v>
          </cell>
          <cell r="AE3">
            <v>3</v>
          </cell>
          <cell r="AF3">
            <v>4</v>
          </cell>
          <cell r="AG3">
            <v>5</v>
          </cell>
          <cell r="AH3">
            <v>6</v>
          </cell>
          <cell r="AI3">
            <v>7</v>
          </cell>
          <cell r="AJ3">
            <v>8</v>
          </cell>
          <cell r="AK3">
            <v>9</v>
          </cell>
          <cell r="AL3">
            <v>10</v>
          </cell>
          <cell r="AM3">
            <v>11</v>
          </cell>
          <cell r="AN3">
            <v>12</v>
          </cell>
          <cell r="AO3">
            <v>1</v>
          </cell>
          <cell r="AP3">
            <v>2</v>
          </cell>
          <cell r="AQ3">
            <v>3</v>
          </cell>
          <cell r="AR3">
            <v>4</v>
          </cell>
          <cell r="AS3">
            <v>5</v>
          </cell>
          <cell r="AT3">
            <v>6</v>
          </cell>
          <cell r="AU3">
            <v>7</v>
          </cell>
          <cell r="AV3">
            <v>8</v>
          </cell>
          <cell r="AW3">
            <v>9</v>
          </cell>
          <cell r="AX3">
            <v>10</v>
          </cell>
          <cell r="AY3">
            <v>11</v>
          </cell>
          <cell r="AZ3">
            <v>12</v>
          </cell>
          <cell r="BA3">
            <v>1</v>
          </cell>
          <cell r="BB3">
            <v>2</v>
          </cell>
          <cell r="BC3">
            <v>3</v>
          </cell>
          <cell r="BD3">
            <v>4</v>
          </cell>
          <cell r="BE3">
            <v>5</v>
          </cell>
          <cell r="BF3">
            <v>6</v>
          </cell>
          <cell r="BG3">
            <v>7</v>
          </cell>
          <cell r="BH3">
            <v>8</v>
          </cell>
          <cell r="BI3">
            <v>9</v>
          </cell>
          <cell r="BJ3">
            <v>10</v>
          </cell>
          <cell r="BK3">
            <v>11</v>
          </cell>
          <cell r="BL3">
            <v>12</v>
          </cell>
          <cell r="BM3">
            <v>1</v>
          </cell>
          <cell r="BN3">
            <v>2</v>
          </cell>
          <cell r="BO3">
            <v>3</v>
          </cell>
          <cell r="BP3">
            <v>4</v>
          </cell>
          <cell r="BQ3">
            <v>5</v>
          </cell>
          <cell r="BR3">
            <v>6</v>
          </cell>
          <cell r="BS3">
            <v>7</v>
          </cell>
          <cell r="BT3">
            <v>8</v>
          </cell>
          <cell r="BU3">
            <v>9</v>
          </cell>
          <cell r="BV3">
            <v>10</v>
          </cell>
          <cell r="BW3">
            <v>11</v>
          </cell>
          <cell r="BX3">
            <v>12</v>
          </cell>
          <cell r="BY3">
            <v>1</v>
          </cell>
          <cell r="BZ3">
            <v>2</v>
          </cell>
          <cell r="CA3">
            <v>3</v>
          </cell>
          <cell r="CB3">
            <v>4</v>
          </cell>
          <cell r="CC3">
            <v>5</v>
          </cell>
          <cell r="CD3">
            <v>6</v>
          </cell>
          <cell r="CE3">
            <v>7</v>
          </cell>
          <cell r="CF3">
            <v>8</v>
          </cell>
          <cell r="CG3">
            <v>9</v>
          </cell>
        </row>
        <row r="4">
          <cell r="C4">
            <v>33909</v>
          </cell>
          <cell r="D4">
            <v>33939</v>
          </cell>
          <cell r="E4">
            <v>33970</v>
          </cell>
          <cell r="F4">
            <v>34001</v>
          </cell>
          <cell r="G4">
            <v>34029</v>
          </cell>
          <cell r="H4">
            <v>34060</v>
          </cell>
          <cell r="I4">
            <v>34090</v>
          </cell>
          <cell r="J4">
            <v>34121</v>
          </cell>
          <cell r="K4">
            <v>34151</v>
          </cell>
          <cell r="L4">
            <v>34182</v>
          </cell>
          <cell r="M4">
            <v>34213</v>
          </cell>
          <cell r="N4">
            <v>34243</v>
          </cell>
          <cell r="O4">
            <v>34274</v>
          </cell>
          <cell r="P4">
            <v>34304</v>
          </cell>
          <cell r="Q4">
            <v>34335</v>
          </cell>
          <cell r="R4">
            <v>34366</v>
          </cell>
          <cell r="S4">
            <v>34394</v>
          </cell>
          <cell r="T4">
            <v>34425</v>
          </cell>
          <cell r="U4">
            <v>34455</v>
          </cell>
          <cell r="V4">
            <v>34486</v>
          </cell>
          <cell r="W4">
            <v>34516</v>
          </cell>
          <cell r="X4">
            <v>34547</v>
          </cell>
          <cell r="Y4">
            <v>34578</v>
          </cell>
          <cell r="Z4">
            <v>34608</v>
          </cell>
          <cell r="AA4">
            <v>34639</v>
          </cell>
          <cell r="AB4">
            <v>34669</v>
          </cell>
          <cell r="AC4">
            <v>34700</v>
          </cell>
          <cell r="AD4">
            <v>34731</v>
          </cell>
          <cell r="AE4">
            <v>34759</v>
          </cell>
          <cell r="AF4">
            <v>34790</v>
          </cell>
          <cell r="AG4">
            <v>34820</v>
          </cell>
          <cell r="AH4">
            <v>34851</v>
          </cell>
          <cell r="AI4">
            <v>34881</v>
          </cell>
          <cell r="AJ4">
            <v>34912</v>
          </cell>
          <cell r="AK4">
            <v>34943</v>
          </cell>
          <cell r="AL4">
            <v>34973</v>
          </cell>
          <cell r="AM4">
            <v>35004</v>
          </cell>
          <cell r="AN4">
            <v>35034</v>
          </cell>
          <cell r="AO4">
            <v>35065</v>
          </cell>
          <cell r="AP4">
            <v>35096</v>
          </cell>
          <cell r="AQ4">
            <v>35125</v>
          </cell>
          <cell r="AR4">
            <v>35156</v>
          </cell>
          <cell r="AS4">
            <v>35186</v>
          </cell>
          <cell r="AT4">
            <v>35217</v>
          </cell>
          <cell r="AU4">
            <v>35247</v>
          </cell>
          <cell r="AV4">
            <v>35278</v>
          </cell>
          <cell r="AW4">
            <v>35309</v>
          </cell>
          <cell r="AX4">
            <v>35339</v>
          </cell>
          <cell r="AY4">
            <v>35370</v>
          </cell>
          <cell r="AZ4">
            <v>35400</v>
          </cell>
          <cell r="BA4">
            <v>35431</v>
          </cell>
          <cell r="BB4">
            <v>35462</v>
          </cell>
          <cell r="BC4">
            <v>35490</v>
          </cell>
          <cell r="BD4">
            <v>35521</v>
          </cell>
          <cell r="BE4">
            <v>35551</v>
          </cell>
          <cell r="BF4">
            <v>35582</v>
          </cell>
          <cell r="BG4">
            <v>35612</v>
          </cell>
          <cell r="BH4">
            <v>35643</v>
          </cell>
          <cell r="BI4">
            <v>35674</v>
          </cell>
          <cell r="BJ4">
            <v>35704</v>
          </cell>
          <cell r="BK4">
            <v>35735</v>
          </cell>
          <cell r="BL4">
            <v>35765</v>
          </cell>
          <cell r="BM4">
            <v>35796</v>
          </cell>
          <cell r="BN4">
            <v>35827</v>
          </cell>
          <cell r="BO4">
            <v>35855</v>
          </cell>
          <cell r="BP4">
            <v>35886</v>
          </cell>
          <cell r="BQ4">
            <v>35916</v>
          </cell>
          <cell r="BR4">
            <v>35947</v>
          </cell>
          <cell r="BS4">
            <v>35977</v>
          </cell>
          <cell r="BT4">
            <v>36008</v>
          </cell>
          <cell r="BU4">
            <v>36039</v>
          </cell>
          <cell r="BV4">
            <v>36069</v>
          </cell>
          <cell r="BW4">
            <v>36100</v>
          </cell>
          <cell r="BX4">
            <v>36130</v>
          </cell>
          <cell r="BY4">
            <v>36161</v>
          </cell>
          <cell r="BZ4">
            <v>36192</v>
          </cell>
          <cell r="CA4">
            <v>36220</v>
          </cell>
          <cell r="CB4">
            <v>36251</v>
          </cell>
          <cell r="CC4">
            <v>36281</v>
          </cell>
          <cell r="CD4">
            <v>36312</v>
          </cell>
          <cell r="CE4">
            <v>36342</v>
          </cell>
          <cell r="CF4">
            <v>36373</v>
          </cell>
          <cell r="CG4">
            <v>36404</v>
          </cell>
        </row>
        <row r="5">
          <cell r="A5" t="str">
            <v>3D</v>
          </cell>
          <cell r="B5">
            <v>2</v>
          </cell>
          <cell r="C5">
            <v>2.46</v>
          </cell>
          <cell r="D5">
            <v>2.3719999999999999</v>
          </cell>
          <cell r="E5">
            <v>2.0419999999999998</v>
          </cell>
          <cell r="F5">
            <v>1.647</v>
          </cell>
          <cell r="G5">
            <v>1.859</v>
          </cell>
          <cell r="H5">
            <v>2.1280000000000001</v>
          </cell>
          <cell r="I5">
            <v>2.706</v>
          </cell>
          <cell r="J5">
            <v>2.2519999999999998</v>
          </cell>
          <cell r="K5">
            <v>2.06633333333333</v>
          </cell>
          <cell r="L5">
            <v>2.1040000000000001</v>
          </cell>
          <cell r="M5">
            <v>2.4263333333333299</v>
          </cell>
          <cell r="N5">
            <v>2.1539999999999999</v>
          </cell>
          <cell r="O5">
            <v>2.1323333333333334</v>
          </cell>
          <cell r="P5">
            <v>2.3386666666666667</v>
          </cell>
          <cell r="Q5">
            <v>2.0653333333333332</v>
          </cell>
          <cell r="R5">
            <v>2.3416666666666668</v>
          </cell>
          <cell r="S5">
            <v>2.3826666666666667</v>
          </cell>
          <cell r="T5">
            <v>2.0550000000000002</v>
          </cell>
          <cell r="U5">
            <v>2.1156666666666668</v>
          </cell>
          <cell r="V5">
            <v>1.9039999999999999</v>
          </cell>
          <cell r="W5">
            <v>2.0226666666666668</v>
          </cell>
          <cell r="X5">
            <v>1.8333333333333333</v>
          </cell>
          <cell r="Y5">
            <v>1.5403333333333333</v>
          </cell>
          <cell r="Z5">
            <v>1.4453333333333334</v>
          </cell>
          <cell r="AA5">
            <v>1.61</v>
          </cell>
          <cell r="AB5">
            <v>1.6546666666666667</v>
          </cell>
          <cell r="AC5">
            <v>1.6013333333333333</v>
          </cell>
          <cell r="AD5">
            <v>1.41</v>
          </cell>
          <cell r="AE5">
            <v>1.4153333333333333</v>
          </cell>
          <cell r="AF5">
            <v>1.56</v>
          </cell>
          <cell r="AG5">
            <v>1.6943333333333332</v>
          </cell>
          <cell r="AH5">
            <v>1.7423333333333333</v>
          </cell>
          <cell r="AI5">
            <v>1.554</v>
          </cell>
          <cell r="AJ5">
            <v>1.429</v>
          </cell>
          <cell r="AK5">
            <v>1.57</v>
          </cell>
          <cell r="AL5">
            <v>1.6180000000000001</v>
          </cell>
          <cell r="AM5">
            <v>1.7629999999999999</v>
          </cell>
          <cell r="AN5">
            <v>2.141</v>
          </cell>
          <cell r="AO5">
            <v>3.129</v>
          </cell>
          <cell r="AP5">
            <v>2.4260000000000002</v>
          </cell>
          <cell r="AQ5">
            <v>2.6053000000000002</v>
          </cell>
          <cell r="AR5">
            <v>2.794</v>
          </cell>
          <cell r="AS5">
            <v>2.2839999999999998</v>
          </cell>
          <cell r="AT5">
            <v>2.3422999999999998</v>
          </cell>
          <cell r="AU5">
            <v>2.6343000000000001</v>
          </cell>
          <cell r="AV5">
            <v>2.3570000000000002</v>
          </cell>
          <cell r="AW5">
            <v>1.9079999999999999</v>
          </cell>
          <cell r="AX5">
            <v>1.887</v>
          </cell>
          <cell r="AY5">
            <v>2.5710000000000002</v>
          </cell>
          <cell r="AZ5">
            <v>3.6110000000000002</v>
          </cell>
          <cell r="BA5">
            <v>4.2539999999999996</v>
          </cell>
          <cell r="BB5">
            <v>2.8679999999999999</v>
          </cell>
          <cell r="BC5">
            <v>1.879</v>
          </cell>
          <cell r="BD5">
            <v>1.8460000000000001</v>
          </cell>
          <cell r="BE5">
            <v>2.0979999999999999</v>
          </cell>
          <cell r="BF5">
            <v>2.331</v>
          </cell>
          <cell r="BG5">
            <v>2.2189999999999999</v>
          </cell>
          <cell r="BH5">
            <v>2.1629999999999998</v>
          </cell>
          <cell r="BI5">
            <v>2.5059999999999998</v>
          </cell>
          <cell r="BJ5">
            <v>3.2210000000000001</v>
          </cell>
          <cell r="BK5">
            <v>3.5059999999999998</v>
          </cell>
          <cell r="BL5">
            <v>2.6819999999999999</v>
          </cell>
          <cell r="BM5">
            <v>2.2690000000000001</v>
          </cell>
          <cell r="BN5">
            <v>2.036</v>
          </cell>
          <cell r="BO5">
            <v>2.2270000000000003</v>
          </cell>
          <cell r="BP5">
            <v>2.3340000000000001</v>
          </cell>
          <cell r="BQ5">
            <v>2.2900000000000005</v>
          </cell>
          <cell r="BR5">
            <v>2.0686666666666667</v>
          </cell>
          <cell r="BS5">
            <v>2.3525999999999998</v>
          </cell>
          <cell r="BT5">
            <v>1.9530000000000001</v>
          </cell>
          <cell r="BU5">
            <v>1.754</v>
          </cell>
          <cell r="BV5">
            <v>2.13</v>
          </cell>
          <cell r="BW5">
            <v>2.1259999999999999</v>
          </cell>
          <cell r="BX5">
            <v>2.1360000000000001</v>
          </cell>
          <cell r="BY5">
            <v>1.8109999999999999</v>
          </cell>
          <cell r="BZ5">
            <v>1.746</v>
          </cell>
          <cell r="CA5">
            <v>1.6933333333333334</v>
          </cell>
          <cell r="CB5">
            <v>1.8470000000000002</v>
          </cell>
          <cell r="CC5">
            <v>2.3260000000000001</v>
          </cell>
          <cell r="CD5">
            <v>2.2010000000000001</v>
          </cell>
          <cell r="CE5">
            <v>2.2719999999999998</v>
          </cell>
          <cell r="CF5">
            <v>2.5720000000000001</v>
          </cell>
          <cell r="CG5">
            <v>2.9630000000000001</v>
          </cell>
        </row>
        <row r="6">
          <cell r="A6" t="str">
            <v>FD</v>
          </cell>
          <cell r="B6">
            <v>3</v>
          </cell>
          <cell r="C6">
            <v>2.4990000000000001</v>
          </cell>
          <cell r="D6">
            <v>2.3319999999999999</v>
          </cell>
          <cell r="E6">
            <v>2.0030000000000001</v>
          </cell>
          <cell r="F6">
            <v>1.6339999999999999</v>
          </cell>
          <cell r="G6">
            <v>1.9059999999999999</v>
          </cell>
          <cell r="H6">
            <v>2.2240000000000002</v>
          </cell>
          <cell r="I6">
            <v>2.758</v>
          </cell>
          <cell r="J6">
            <v>2.1190000000000002</v>
          </cell>
          <cell r="K6">
            <v>1.9179999999999999</v>
          </cell>
          <cell r="L6">
            <v>2.121</v>
          </cell>
          <cell r="M6">
            <v>2.4009999999999998</v>
          </cell>
          <cell r="N6">
            <v>2.0659999999999998</v>
          </cell>
          <cell r="O6">
            <v>2.1549999999999998</v>
          </cell>
          <cell r="P6">
            <v>2.3849999999999998</v>
          </cell>
          <cell r="Q6">
            <v>2.0219999999999998</v>
          </cell>
          <cell r="R6">
            <v>2.4700000000000002</v>
          </cell>
          <cell r="S6">
            <v>2.4180000000000001</v>
          </cell>
          <cell r="T6">
            <v>1.9810000000000001</v>
          </cell>
          <cell r="U6">
            <v>2.0760000000000001</v>
          </cell>
          <cell r="V6">
            <v>1.851</v>
          </cell>
          <cell r="W6">
            <v>1.966</v>
          </cell>
          <cell r="X6">
            <v>1.7889999999999999</v>
          </cell>
          <cell r="Y6">
            <v>1.484</v>
          </cell>
          <cell r="Z6">
            <v>1.4059999999999999</v>
          </cell>
          <cell r="AA6">
            <v>1.6830000000000001</v>
          </cell>
          <cell r="AB6">
            <v>1.661</v>
          </cell>
          <cell r="AC6">
            <v>1.639</v>
          </cell>
          <cell r="AD6">
            <v>1.4159999999999999</v>
          </cell>
          <cell r="AE6">
            <v>1.4279999999999999</v>
          </cell>
          <cell r="AF6">
            <v>1.5660000000000001</v>
          </cell>
          <cell r="AG6">
            <v>1.6719999999999999</v>
          </cell>
          <cell r="AH6">
            <v>1.7569999999999999</v>
          </cell>
          <cell r="AI6">
            <v>1.532</v>
          </cell>
          <cell r="AJ6">
            <v>1.385</v>
          </cell>
          <cell r="AK6">
            <v>1.575</v>
          </cell>
          <cell r="AL6">
            <v>1.6439999999999999</v>
          </cell>
          <cell r="AM6">
            <v>1.772</v>
          </cell>
          <cell r="AN6">
            <v>2.2410000000000001</v>
          </cell>
          <cell r="AO6">
            <v>3.448</v>
          </cell>
          <cell r="AP6">
            <v>2.34</v>
          </cell>
          <cell r="AQ6">
            <v>2.746</v>
          </cell>
          <cell r="AR6">
            <v>2.7789999999999999</v>
          </cell>
          <cell r="AS6">
            <v>2.2410000000000001</v>
          </cell>
          <cell r="AT6">
            <v>2.3610000000000002</v>
          </cell>
          <cell r="AU6">
            <v>2.6459999999999999</v>
          </cell>
          <cell r="AV6">
            <v>2.3220000000000001</v>
          </cell>
          <cell r="AW6">
            <v>1.853</v>
          </cell>
          <cell r="AX6">
            <v>1.8280000000000001</v>
          </cell>
          <cell r="AY6">
            <v>2.6520000000000001</v>
          </cell>
          <cell r="AZ6">
            <v>3.9009999999999998</v>
          </cell>
          <cell r="BA6">
            <v>3.9980000000000002</v>
          </cell>
          <cell r="BB6">
            <v>2.9860000000000002</v>
          </cell>
          <cell r="BC6">
            <v>1.78</v>
          </cell>
          <cell r="BD6">
            <v>1.8069999999999999</v>
          </cell>
          <cell r="BE6">
            <v>2.1219999999999999</v>
          </cell>
          <cell r="BF6">
            <v>2.3460000000000001</v>
          </cell>
          <cell r="BG6">
            <v>2.145</v>
          </cell>
          <cell r="BH6">
            <v>2.161</v>
          </cell>
          <cell r="BI6">
            <v>2.5150000000000001</v>
          </cell>
          <cell r="BJ6">
            <v>3.3460000000000001</v>
          </cell>
          <cell r="BK6">
            <v>3.266</v>
          </cell>
          <cell r="BL6">
            <v>2.577</v>
          </cell>
          <cell r="BM6">
            <v>2.3090000000000002</v>
          </cell>
          <cell r="BN6">
            <v>2.0009999999999999</v>
          </cell>
          <cell r="BO6">
            <v>2.286</v>
          </cell>
          <cell r="BP6">
            <v>2.2999999999999998</v>
          </cell>
          <cell r="BQ6">
            <v>2.262</v>
          </cell>
          <cell r="BR6">
            <v>2.0169999999999999</v>
          </cell>
          <cell r="BS6">
            <v>2.3580000000000001</v>
          </cell>
          <cell r="BT6">
            <v>1.9419999999999999</v>
          </cell>
          <cell r="BU6">
            <v>1.6719999999999999</v>
          </cell>
          <cell r="BV6">
            <v>2.0310000000000001</v>
          </cell>
          <cell r="BW6">
            <v>1.972</v>
          </cell>
          <cell r="BX6">
            <v>2.149</v>
          </cell>
          <cell r="BY6">
            <v>1.7649999999999999</v>
          </cell>
          <cell r="BZ6">
            <v>1.81</v>
          </cell>
          <cell r="CA6">
            <v>1.6659999999999999</v>
          </cell>
          <cell r="CB6">
            <v>1.8520000000000001</v>
          </cell>
          <cell r="CC6">
            <v>2.3479999999999999</v>
          </cell>
          <cell r="CD6">
            <v>2.226</v>
          </cell>
          <cell r="CE6">
            <v>2.262</v>
          </cell>
          <cell r="CF6">
            <v>2.601</v>
          </cell>
          <cell r="CG6">
            <v>2.9119999999999999</v>
          </cell>
        </row>
        <row r="7">
          <cell r="A7" t="str">
            <v>AECO-NT</v>
          </cell>
          <cell r="B7">
            <v>4</v>
          </cell>
          <cell r="C7">
            <v>1.1599999999999999</v>
          </cell>
          <cell r="D7">
            <v>1.48</v>
          </cell>
          <cell r="E7">
            <v>2.44</v>
          </cell>
          <cell r="F7">
            <v>1.46</v>
          </cell>
          <cell r="G7">
            <v>1.84</v>
          </cell>
          <cell r="H7">
            <v>1.77</v>
          </cell>
          <cell r="I7">
            <v>2.58</v>
          </cell>
          <cell r="J7">
            <v>1.35</v>
          </cell>
          <cell r="K7">
            <v>1.46</v>
          </cell>
          <cell r="L7">
            <v>1.23</v>
          </cell>
          <cell r="M7">
            <v>1.5</v>
          </cell>
          <cell r="N7">
            <v>1.39</v>
          </cell>
          <cell r="O7">
            <v>1.7927</v>
          </cell>
          <cell r="P7">
            <v>2.3016999999999999</v>
          </cell>
          <cell r="Q7">
            <v>1.9076</v>
          </cell>
          <cell r="R7">
            <v>1.6994</v>
          </cell>
          <cell r="S7">
            <v>1.9172</v>
          </cell>
          <cell r="T7">
            <v>1.5564</v>
          </cell>
          <cell r="U7">
            <v>1.5331999999999999</v>
          </cell>
          <cell r="V7">
            <v>1.4004000000000001</v>
          </cell>
          <cell r="W7">
            <v>1.4108000000000001</v>
          </cell>
          <cell r="X7">
            <v>1.3223100000000001</v>
          </cell>
          <cell r="Y7">
            <v>1.2150000000000001</v>
          </cell>
          <cell r="Z7">
            <v>1.1120000000000001</v>
          </cell>
          <cell r="AA7">
            <v>1.3184</v>
          </cell>
          <cell r="AB7">
            <v>1.3363</v>
          </cell>
          <cell r="AC7">
            <v>0.96619999999999995</v>
          </cell>
          <cell r="AD7">
            <v>0.72240000000000004</v>
          </cell>
          <cell r="AE7">
            <v>0.68799999999999994</v>
          </cell>
          <cell r="AF7">
            <v>0.76910000000000001</v>
          </cell>
          <cell r="AG7">
            <v>0.92100000000000004</v>
          </cell>
          <cell r="AH7">
            <v>0.94450000000000001</v>
          </cell>
          <cell r="AI7">
            <v>0.8347</v>
          </cell>
          <cell r="AJ7">
            <v>0.75749999999999995</v>
          </cell>
          <cell r="AK7">
            <v>0.81489999999999996</v>
          </cell>
          <cell r="AL7">
            <v>0.85150000000000003</v>
          </cell>
          <cell r="AM7">
            <v>0.94089999999999996</v>
          </cell>
          <cell r="AN7">
            <v>0.95679999999999998</v>
          </cell>
          <cell r="AO7">
            <v>1.0471999999999999</v>
          </cell>
          <cell r="AP7">
            <v>1.1489</v>
          </cell>
          <cell r="AQ7">
            <v>1.1039000000000001</v>
          </cell>
          <cell r="AR7">
            <v>1.0159</v>
          </cell>
          <cell r="AS7">
            <v>0.91900000000000004</v>
          </cell>
          <cell r="AT7">
            <v>0.82889999999999997</v>
          </cell>
          <cell r="AU7">
            <v>0.84</v>
          </cell>
          <cell r="AV7">
            <v>0.89829999999999999</v>
          </cell>
          <cell r="AW7">
            <v>0.87909999999999999</v>
          </cell>
          <cell r="AX7">
            <v>0.90549999999999997</v>
          </cell>
          <cell r="AY7">
            <v>1.1100000000000001</v>
          </cell>
          <cell r="AZ7">
            <v>1.58</v>
          </cell>
          <cell r="BA7">
            <v>1.68</v>
          </cell>
          <cell r="BC7">
            <v>1.78</v>
          </cell>
        </row>
        <row r="8">
          <cell r="A8" t="str">
            <v>ANR-LA</v>
          </cell>
          <cell r="B8">
            <v>5</v>
          </cell>
          <cell r="C8">
            <v>2.31</v>
          </cell>
          <cell r="D8">
            <v>2.2799999999999998</v>
          </cell>
          <cell r="E8">
            <v>1.9</v>
          </cell>
          <cell r="F8">
            <v>1.62</v>
          </cell>
          <cell r="G8">
            <v>1.85</v>
          </cell>
          <cell r="H8">
            <v>2.13</v>
          </cell>
          <cell r="I8">
            <v>2.7</v>
          </cell>
          <cell r="J8">
            <v>2.08</v>
          </cell>
          <cell r="K8">
            <v>1.95</v>
          </cell>
          <cell r="L8">
            <v>2.0299999999999998</v>
          </cell>
          <cell r="M8">
            <v>2.37</v>
          </cell>
          <cell r="N8">
            <v>2.06</v>
          </cell>
          <cell r="O8">
            <v>2.09</v>
          </cell>
          <cell r="P8">
            <v>2.31</v>
          </cell>
          <cell r="Q8">
            <v>2.04</v>
          </cell>
          <cell r="R8">
            <v>2.33</v>
          </cell>
          <cell r="S8">
            <v>2.3199999999999998</v>
          </cell>
          <cell r="T8">
            <v>1.93</v>
          </cell>
          <cell r="U8">
            <v>2.0099999999999998</v>
          </cell>
          <cell r="V8">
            <v>1.74</v>
          </cell>
          <cell r="W8">
            <v>1.85</v>
          </cell>
          <cell r="X8">
            <v>1.7</v>
          </cell>
          <cell r="Y8">
            <v>1.4</v>
          </cell>
          <cell r="Z8">
            <v>1.35</v>
          </cell>
          <cell r="AA8">
            <v>1.61</v>
          </cell>
          <cell r="AB8">
            <v>1.6</v>
          </cell>
          <cell r="AC8">
            <v>1.54</v>
          </cell>
          <cell r="AD8">
            <v>1.35</v>
          </cell>
          <cell r="AE8">
            <v>1.37</v>
          </cell>
          <cell r="AF8">
            <v>1.48</v>
          </cell>
          <cell r="AG8">
            <v>1.61</v>
          </cell>
          <cell r="AH8">
            <v>1.66</v>
          </cell>
          <cell r="AI8">
            <v>1.45</v>
          </cell>
          <cell r="AJ8">
            <v>1.3</v>
          </cell>
          <cell r="AK8">
            <v>1.51</v>
          </cell>
          <cell r="AL8">
            <v>1.6</v>
          </cell>
          <cell r="AM8">
            <v>1.76</v>
          </cell>
          <cell r="AN8">
            <v>2.1800000000000002</v>
          </cell>
          <cell r="AO8">
            <v>3.25</v>
          </cell>
          <cell r="AP8">
            <v>2.2999999999999998</v>
          </cell>
          <cell r="AQ8">
            <v>2.73</v>
          </cell>
          <cell r="AR8">
            <v>2.66</v>
          </cell>
          <cell r="AS8">
            <v>2.12</v>
          </cell>
          <cell r="AT8">
            <v>2.25</v>
          </cell>
          <cell r="AU8">
            <v>2.5499999999999998</v>
          </cell>
          <cell r="AV8">
            <v>2.2200000000000002</v>
          </cell>
          <cell r="AW8">
            <v>1.74</v>
          </cell>
          <cell r="AX8">
            <v>1.75</v>
          </cell>
          <cell r="AY8">
            <v>2.63</v>
          </cell>
          <cell r="AZ8">
            <v>3.74</v>
          </cell>
          <cell r="BA8">
            <v>3.85</v>
          </cell>
          <cell r="BB8">
            <v>2.81</v>
          </cell>
          <cell r="BC8">
            <v>1.78</v>
          </cell>
          <cell r="BD8">
            <v>1.75</v>
          </cell>
          <cell r="BE8">
            <v>2.06</v>
          </cell>
          <cell r="BF8">
            <v>2.2400000000000002</v>
          </cell>
          <cell r="BG8">
            <v>2.08</v>
          </cell>
          <cell r="BH8">
            <v>2.12</v>
          </cell>
          <cell r="BI8">
            <v>2.4900000000000002</v>
          </cell>
          <cell r="BJ8">
            <v>3.06</v>
          </cell>
          <cell r="BK8">
            <v>3.18</v>
          </cell>
          <cell r="BL8">
            <v>2.4300000000000002</v>
          </cell>
          <cell r="BM8">
            <v>2.17</v>
          </cell>
          <cell r="BN8">
            <v>1.91</v>
          </cell>
          <cell r="BO8">
            <v>2.1800000000000002</v>
          </cell>
          <cell r="BP8">
            <v>2.2200000000000002</v>
          </cell>
          <cell r="BQ8">
            <v>2.19</v>
          </cell>
          <cell r="BR8">
            <v>1.95</v>
          </cell>
          <cell r="BS8">
            <v>2.27</v>
          </cell>
          <cell r="BT8">
            <v>1.83</v>
          </cell>
          <cell r="BU8">
            <v>1.51</v>
          </cell>
          <cell r="BV8">
            <v>1.94</v>
          </cell>
          <cell r="BW8">
            <v>1.91</v>
          </cell>
          <cell r="BX8">
            <v>2.06</v>
          </cell>
          <cell r="BY8">
            <v>1.71</v>
          </cell>
          <cell r="BZ8">
            <v>1.75</v>
          </cell>
          <cell r="CA8">
            <v>1.58</v>
          </cell>
          <cell r="CB8">
            <v>1.83</v>
          </cell>
          <cell r="CC8">
            <v>2.2999999999999998</v>
          </cell>
          <cell r="CD8">
            <v>2.16</v>
          </cell>
          <cell r="CE8">
            <v>2.2000000000000002</v>
          </cell>
          <cell r="CF8">
            <v>2.5499999999999998</v>
          </cell>
          <cell r="CG8">
            <v>2.83</v>
          </cell>
        </row>
        <row r="9">
          <cell r="A9" t="str">
            <v>ANR-OK</v>
          </cell>
          <cell r="B9">
            <v>6</v>
          </cell>
          <cell r="C9">
            <v>2.15</v>
          </cell>
          <cell r="D9">
            <v>2.0499999999999998</v>
          </cell>
          <cell r="E9">
            <v>1.9</v>
          </cell>
          <cell r="F9">
            <v>1.6</v>
          </cell>
          <cell r="G9">
            <v>1.82</v>
          </cell>
          <cell r="H9">
            <v>2.08</v>
          </cell>
          <cell r="I9">
            <v>2.62</v>
          </cell>
          <cell r="J9">
            <v>1.95</v>
          </cell>
          <cell r="K9">
            <v>1.79</v>
          </cell>
          <cell r="L9">
            <v>1.91</v>
          </cell>
          <cell r="M9">
            <v>2.2000000000000002</v>
          </cell>
          <cell r="N9">
            <v>1.9</v>
          </cell>
          <cell r="O9">
            <v>1.9</v>
          </cell>
          <cell r="P9">
            <v>2.23</v>
          </cell>
          <cell r="Q9">
            <v>1.96</v>
          </cell>
          <cell r="R9">
            <v>2.12</v>
          </cell>
          <cell r="S9">
            <v>2.14</v>
          </cell>
          <cell r="T9">
            <v>1.81</v>
          </cell>
          <cell r="U9">
            <v>1.84</v>
          </cell>
          <cell r="V9">
            <v>1.59</v>
          </cell>
          <cell r="W9">
            <v>1.67</v>
          </cell>
          <cell r="X9">
            <v>1.57</v>
          </cell>
          <cell r="Y9">
            <v>1.4</v>
          </cell>
          <cell r="Z9">
            <v>1.3</v>
          </cell>
          <cell r="AA9">
            <v>1.51</v>
          </cell>
          <cell r="AB9">
            <v>1.6</v>
          </cell>
          <cell r="AC9">
            <v>1.51</v>
          </cell>
          <cell r="AD9">
            <v>1.27</v>
          </cell>
          <cell r="AE9">
            <v>1.26</v>
          </cell>
          <cell r="AF9">
            <v>1.34</v>
          </cell>
          <cell r="AG9">
            <v>1.45</v>
          </cell>
          <cell r="AH9">
            <v>1.46</v>
          </cell>
          <cell r="AI9">
            <v>1.25</v>
          </cell>
          <cell r="AJ9">
            <v>1.19</v>
          </cell>
          <cell r="AK9">
            <v>1.41</v>
          </cell>
          <cell r="AL9">
            <v>1.5</v>
          </cell>
          <cell r="AM9">
            <v>1.61</v>
          </cell>
          <cell r="AN9">
            <v>1.88</v>
          </cell>
          <cell r="AO9">
            <v>2.02</v>
          </cell>
          <cell r="AP9">
            <v>1.79</v>
          </cell>
          <cell r="AQ9">
            <v>1.9</v>
          </cell>
          <cell r="AR9">
            <v>2.14</v>
          </cell>
          <cell r="AS9">
            <v>2.0099999999999998</v>
          </cell>
          <cell r="AT9">
            <v>2.0499999999999998</v>
          </cell>
          <cell r="AU9">
            <v>2.1800000000000002</v>
          </cell>
          <cell r="AV9">
            <v>2.14</v>
          </cell>
          <cell r="AW9">
            <v>1.67</v>
          </cell>
          <cell r="AX9">
            <v>1.69</v>
          </cell>
          <cell r="AY9">
            <v>2.5</v>
          </cell>
          <cell r="AZ9">
            <v>3.6</v>
          </cell>
          <cell r="BA9">
            <v>4.2</v>
          </cell>
          <cell r="BB9">
            <v>2.77</v>
          </cell>
          <cell r="BC9">
            <v>1.63</v>
          </cell>
          <cell r="BD9">
            <v>1.71</v>
          </cell>
          <cell r="BE9">
            <v>1.96</v>
          </cell>
          <cell r="BF9">
            <v>2.13</v>
          </cell>
          <cell r="BG9">
            <v>2.0099999999999998</v>
          </cell>
          <cell r="BH9">
            <v>2.06</v>
          </cell>
          <cell r="BI9">
            <v>2.42</v>
          </cell>
          <cell r="BJ9">
            <v>3</v>
          </cell>
          <cell r="BK9">
            <v>3.16</v>
          </cell>
          <cell r="BL9">
            <v>2.35</v>
          </cell>
          <cell r="BM9">
            <v>2.16</v>
          </cell>
          <cell r="BN9">
            <v>1.92</v>
          </cell>
          <cell r="BO9">
            <v>2.15</v>
          </cell>
          <cell r="BP9">
            <v>2.19</v>
          </cell>
          <cell r="BQ9">
            <v>2.1800000000000002</v>
          </cell>
          <cell r="BR9">
            <v>1.95</v>
          </cell>
          <cell r="BS9">
            <v>2.27</v>
          </cell>
          <cell r="BT9">
            <v>1.84</v>
          </cell>
          <cell r="BU9">
            <v>1.56</v>
          </cell>
          <cell r="BV9">
            <v>1.92</v>
          </cell>
          <cell r="BW9">
            <v>1.96</v>
          </cell>
          <cell r="BX9">
            <v>2.06</v>
          </cell>
          <cell r="BY9">
            <v>1.78</v>
          </cell>
          <cell r="BZ9">
            <v>1.76</v>
          </cell>
          <cell r="CA9">
            <v>1.57</v>
          </cell>
          <cell r="CB9">
            <v>1.75</v>
          </cell>
          <cell r="CC9">
            <v>2.23</v>
          </cell>
          <cell r="CD9">
            <v>2.12</v>
          </cell>
          <cell r="CE9">
            <v>2.1800000000000002</v>
          </cell>
          <cell r="CF9">
            <v>2.5099999999999998</v>
          </cell>
          <cell r="CG9">
            <v>2.77</v>
          </cell>
        </row>
        <row r="10">
          <cell r="A10" t="str">
            <v>CG-APP</v>
          </cell>
          <cell r="B10">
            <v>7</v>
          </cell>
          <cell r="C10">
            <v>2.62</v>
          </cell>
          <cell r="D10">
            <v>2.7</v>
          </cell>
          <cell r="E10">
            <v>2.4300000000000002</v>
          </cell>
          <cell r="F10">
            <v>1.95</v>
          </cell>
          <cell r="G10">
            <v>2.17</v>
          </cell>
          <cell r="H10">
            <v>2.34</v>
          </cell>
          <cell r="I10">
            <v>2.93</v>
          </cell>
          <cell r="J10">
            <v>2.2999999999999998</v>
          </cell>
          <cell r="K10">
            <v>2.1</v>
          </cell>
          <cell r="L10">
            <v>2.2000000000000002</v>
          </cell>
          <cell r="M10">
            <v>2.52</v>
          </cell>
          <cell r="N10">
            <v>2.2000000000000002</v>
          </cell>
          <cell r="O10">
            <v>2.31</v>
          </cell>
          <cell r="P10">
            <v>2.63</v>
          </cell>
          <cell r="Q10">
            <v>2.2999999999999998</v>
          </cell>
          <cell r="R10">
            <v>2.68</v>
          </cell>
          <cell r="S10">
            <v>2.78</v>
          </cell>
          <cell r="T10">
            <v>2.2400000000000002</v>
          </cell>
          <cell r="U10">
            <v>2.2799999999999998</v>
          </cell>
          <cell r="V10">
            <v>1.98</v>
          </cell>
          <cell r="W10">
            <v>2.06</v>
          </cell>
          <cell r="X10">
            <v>1.88</v>
          </cell>
          <cell r="Y10">
            <v>1.56</v>
          </cell>
          <cell r="Z10">
            <v>1.51</v>
          </cell>
          <cell r="AA10">
            <v>1.84</v>
          </cell>
          <cell r="AB10">
            <v>1.93</v>
          </cell>
          <cell r="AC10">
            <v>1.88</v>
          </cell>
          <cell r="AD10">
            <v>1.64</v>
          </cell>
          <cell r="AE10">
            <v>1.6</v>
          </cell>
          <cell r="AF10">
            <v>1.67</v>
          </cell>
          <cell r="AG10">
            <v>1.81</v>
          </cell>
          <cell r="AH10">
            <v>1.84</v>
          </cell>
          <cell r="AI10">
            <v>1.6</v>
          </cell>
          <cell r="AJ10">
            <v>1.46</v>
          </cell>
          <cell r="AK10">
            <v>1.67</v>
          </cell>
          <cell r="AL10">
            <v>1.76</v>
          </cell>
          <cell r="AM10">
            <v>1.95</v>
          </cell>
          <cell r="AN10">
            <v>2.5</v>
          </cell>
          <cell r="AO10">
            <v>3.7</v>
          </cell>
          <cell r="AP10">
            <v>3.67</v>
          </cell>
          <cell r="AQ10">
            <v>4.5599999999999996</v>
          </cell>
          <cell r="AR10">
            <v>3.06</v>
          </cell>
          <cell r="AS10">
            <v>2.4300000000000002</v>
          </cell>
          <cell r="AT10">
            <v>2.5299999999999998</v>
          </cell>
          <cell r="AU10">
            <v>2.86</v>
          </cell>
          <cell r="AV10">
            <v>2.5</v>
          </cell>
          <cell r="AW10">
            <v>1.93</v>
          </cell>
          <cell r="AX10">
            <v>1.99</v>
          </cell>
          <cell r="AY10">
            <v>2.94</v>
          </cell>
          <cell r="AZ10">
            <v>4.2300000000000004</v>
          </cell>
          <cell r="BA10">
            <v>4.3</v>
          </cell>
          <cell r="BB10">
            <v>3.06</v>
          </cell>
          <cell r="BC10">
            <v>1.87</v>
          </cell>
          <cell r="BD10">
            <v>2</v>
          </cell>
          <cell r="BE10">
            <v>2.31</v>
          </cell>
          <cell r="BF10">
            <v>2.46</v>
          </cell>
          <cell r="BG10">
            <v>2.29</v>
          </cell>
          <cell r="BH10">
            <v>2.31</v>
          </cell>
          <cell r="BI10">
            <v>2.69</v>
          </cell>
          <cell r="BJ10">
            <v>3.29</v>
          </cell>
          <cell r="BK10">
            <v>3.52</v>
          </cell>
          <cell r="BL10">
            <v>2.66</v>
          </cell>
          <cell r="BM10">
            <v>2.38</v>
          </cell>
          <cell r="BN10">
            <v>2.12</v>
          </cell>
          <cell r="BO10">
            <v>2.37</v>
          </cell>
          <cell r="BP10">
            <v>2.4500000000000002</v>
          </cell>
          <cell r="BQ10">
            <v>2.42</v>
          </cell>
          <cell r="BR10">
            <v>2.16</v>
          </cell>
          <cell r="BS10">
            <v>2.4700000000000002</v>
          </cell>
          <cell r="BT10">
            <v>2.0499999999999998</v>
          </cell>
          <cell r="BU10">
            <v>1.77</v>
          </cell>
          <cell r="BV10">
            <v>2.2000000000000002</v>
          </cell>
          <cell r="BW10">
            <v>2.2400000000000002</v>
          </cell>
          <cell r="BX10">
            <v>2.25</v>
          </cell>
          <cell r="BY10">
            <v>1.92</v>
          </cell>
          <cell r="BZ10">
            <v>1.92</v>
          </cell>
          <cell r="CA10">
            <v>1.73</v>
          </cell>
          <cell r="CB10">
            <v>2.0499999999999998</v>
          </cell>
          <cell r="CC10">
            <v>2.5</v>
          </cell>
          <cell r="CD10">
            <v>2.35</v>
          </cell>
          <cell r="CE10">
            <v>2.39</v>
          </cell>
          <cell r="CF10">
            <v>2.78</v>
          </cell>
          <cell r="CG10">
            <v>3.03</v>
          </cell>
        </row>
        <row r="11">
          <cell r="A11" t="str">
            <v>CGLF-LA</v>
          </cell>
          <cell r="B11">
            <v>8</v>
          </cell>
          <cell r="C11">
            <v>2.36</v>
          </cell>
          <cell r="D11">
            <v>2.2999999999999998</v>
          </cell>
          <cell r="E11">
            <v>1.93</v>
          </cell>
          <cell r="F11">
            <v>1.62</v>
          </cell>
          <cell r="G11">
            <v>1.88</v>
          </cell>
          <cell r="H11">
            <v>2.2000000000000002</v>
          </cell>
          <cell r="I11">
            <v>2.7</v>
          </cell>
          <cell r="J11">
            <v>2.1</v>
          </cell>
          <cell r="K11">
            <v>1.95</v>
          </cell>
          <cell r="L11">
            <v>2.0699999999999998</v>
          </cell>
          <cell r="M11">
            <v>2.37</v>
          </cell>
          <cell r="N11">
            <v>2.0499999999999998</v>
          </cell>
          <cell r="O11">
            <v>2.12</v>
          </cell>
          <cell r="P11">
            <v>2.38</v>
          </cell>
          <cell r="Q11">
            <v>2.0499999999999998</v>
          </cell>
          <cell r="R11">
            <v>2.36</v>
          </cell>
          <cell r="S11">
            <v>2.35</v>
          </cell>
          <cell r="T11">
            <v>1.99</v>
          </cell>
          <cell r="U11">
            <v>2.0499999999999998</v>
          </cell>
          <cell r="V11">
            <v>1.81</v>
          </cell>
          <cell r="W11">
            <v>1.94</v>
          </cell>
          <cell r="X11">
            <v>1.77</v>
          </cell>
          <cell r="Y11">
            <v>1.45</v>
          </cell>
          <cell r="Z11">
            <v>1.39</v>
          </cell>
          <cell r="AA11">
            <v>1.67</v>
          </cell>
          <cell r="AB11">
            <v>1.65</v>
          </cell>
          <cell r="AC11">
            <v>1.59</v>
          </cell>
          <cell r="AD11">
            <v>1.38</v>
          </cell>
          <cell r="AE11">
            <v>1.42</v>
          </cell>
          <cell r="AF11">
            <v>1.53</v>
          </cell>
          <cell r="AG11">
            <v>1.64</v>
          </cell>
          <cell r="AH11">
            <v>1.69</v>
          </cell>
          <cell r="AI11">
            <v>1.46</v>
          </cell>
          <cell r="AJ11">
            <v>1.34</v>
          </cell>
          <cell r="AK11">
            <v>1.54</v>
          </cell>
          <cell r="AL11">
            <v>1.62</v>
          </cell>
          <cell r="AM11">
            <v>1.75</v>
          </cell>
          <cell r="AN11">
            <v>2.2400000000000002</v>
          </cell>
          <cell r="AO11">
            <v>3.35</v>
          </cell>
          <cell r="AP11">
            <v>2.34</v>
          </cell>
          <cell r="AQ11">
            <v>2.85</v>
          </cell>
          <cell r="AR11">
            <v>2.62</v>
          </cell>
          <cell r="AS11">
            <v>2.2000000000000002</v>
          </cell>
          <cell r="AT11">
            <v>2.33</v>
          </cell>
          <cell r="AU11">
            <v>2.62</v>
          </cell>
          <cell r="AV11">
            <v>2.27</v>
          </cell>
          <cell r="AW11">
            <v>1.77</v>
          </cell>
          <cell r="AX11">
            <v>1.81</v>
          </cell>
          <cell r="AY11">
            <v>2.65</v>
          </cell>
          <cell r="AZ11">
            <v>3.82</v>
          </cell>
          <cell r="BA11">
            <v>3.94</v>
          </cell>
          <cell r="BB11">
            <v>2.89</v>
          </cell>
          <cell r="BC11">
            <v>1.74</v>
          </cell>
          <cell r="BD11">
            <v>1.8</v>
          </cell>
          <cell r="BE11">
            <v>2.1</v>
          </cell>
          <cell r="BF11">
            <v>2.27</v>
          </cell>
          <cell r="BG11">
            <v>2.13</v>
          </cell>
          <cell r="BH11">
            <v>2.15</v>
          </cell>
          <cell r="BI11">
            <v>2.5099999999999998</v>
          </cell>
          <cell r="BJ11">
            <v>3.09</v>
          </cell>
          <cell r="BK11">
            <v>3.26</v>
          </cell>
          <cell r="BL11">
            <v>2.5</v>
          </cell>
          <cell r="BM11">
            <v>2.2400000000000002</v>
          </cell>
          <cell r="BN11">
            <v>1.99</v>
          </cell>
          <cell r="BO11">
            <v>2.2200000000000002</v>
          </cell>
          <cell r="BP11">
            <v>2.29</v>
          </cell>
          <cell r="BQ11">
            <v>2.25</v>
          </cell>
          <cell r="BR11">
            <v>2</v>
          </cell>
          <cell r="BS11">
            <v>2.33</v>
          </cell>
          <cell r="BT11">
            <v>1.9</v>
          </cell>
          <cell r="BU11">
            <v>1.58</v>
          </cell>
          <cell r="BV11">
            <v>2.02</v>
          </cell>
          <cell r="BW11">
            <v>1.96</v>
          </cell>
          <cell r="BX11">
            <v>2.08</v>
          </cell>
          <cell r="BY11">
            <v>1.75</v>
          </cell>
          <cell r="BZ11">
            <v>1.77</v>
          </cell>
          <cell r="CA11">
            <v>1.6</v>
          </cell>
          <cell r="CB11">
            <v>1.86</v>
          </cell>
          <cell r="CC11">
            <v>2.33</v>
          </cell>
          <cell r="CD11">
            <v>2.2000000000000002</v>
          </cell>
          <cell r="CE11">
            <v>2.2400000000000002</v>
          </cell>
          <cell r="CF11">
            <v>2.58</v>
          </cell>
          <cell r="CG11">
            <v>2.86</v>
          </cell>
        </row>
        <row r="12">
          <cell r="A12" t="str">
            <v>CGLF-OFS</v>
          </cell>
          <cell r="B12">
            <v>9</v>
          </cell>
          <cell r="C12">
            <v>2.23</v>
          </cell>
          <cell r="E12">
            <v>1.83</v>
          </cell>
          <cell r="F12">
            <v>1.54</v>
          </cell>
          <cell r="G12">
            <v>1.79</v>
          </cell>
          <cell r="H12">
            <v>2.1</v>
          </cell>
          <cell r="I12">
            <v>2.6</v>
          </cell>
          <cell r="J12">
            <v>2.0299999999999998</v>
          </cell>
          <cell r="K12">
            <v>1.86</v>
          </cell>
          <cell r="L12">
            <v>1.98</v>
          </cell>
          <cell r="M12">
            <v>2.2799999999999998</v>
          </cell>
          <cell r="N12">
            <v>1.97</v>
          </cell>
          <cell r="O12">
            <v>2.0299999999999998</v>
          </cell>
          <cell r="P12">
            <v>2.2999999999999998</v>
          </cell>
          <cell r="Q12">
            <v>2.02</v>
          </cell>
          <cell r="S12">
            <v>2.2799999999999998</v>
          </cell>
          <cell r="T12">
            <v>1.91</v>
          </cell>
          <cell r="V12">
            <v>1.73</v>
          </cell>
          <cell r="W12">
            <v>1.87</v>
          </cell>
          <cell r="X12">
            <v>1.71</v>
          </cell>
          <cell r="Z12">
            <v>1.29</v>
          </cell>
          <cell r="AB12">
            <v>1.56</v>
          </cell>
          <cell r="AC12">
            <v>1.49</v>
          </cell>
          <cell r="AD12">
            <v>1.3</v>
          </cell>
          <cell r="AE12">
            <v>1.35</v>
          </cell>
          <cell r="AF12">
            <v>1.44</v>
          </cell>
          <cell r="AG12">
            <v>1.58</v>
          </cell>
          <cell r="AH12">
            <v>1.6</v>
          </cell>
          <cell r="BB12">
            <v>2.79</v>
          </cell>
          <cell r="BC12">
            <v>1.66</v>
          </cell>
          <cell r="BD12">
            <v>1.81</v>
          </cell>
          <cell r="BE12">
            <v>2.0299999999999998</v>
          </cell>
          <cell r="BF12">
            <v>2.17</v>
          </cell>
          <cell r="BG12">
            <v>2.1800000000000002</v>
          </cell>
          <cell r="BH12">
            <v>2.19</v>
          </cell>
        </row>
        <row r="13">
          <cell r="A13" t="str">
            <v>CHIC</v>
          </cell>
          <cell r="B13">
            <v>10</v>
          </cell>
          <cell r="C13">
            <v>2.46</v>
          </cell>
          <cell r="D13">
            <v>2.4</v>
          </cell>
          <cell r="E13">
            <v>2.2200000000000002</v>
          </cell>
          <cell r="F13">
            <v>1.83</v>
          </cell>
          <cell r="G13">
            <v>2.11</v>
          </cell>
          <cell r="H13">
            <v>2.41</v>
          </cell>
          <cell r="I13">
            <v>2.92</v>
          </cell>
          <cell r="J13">
            <v>2.15</v>
          </cell>
          <cell r="K13">
            <v>2.14</v>
          </cell>
          <cell r="L13">
            <v>2.2799999999999998</v>
          </cell>
          <cell r="M13">
            <v>2.5299999999999998</v>
          </cell>
          <cell r="N13">
            <v>2.31</v>
          </cell>
          <cell r="O13">
            <v>2.29</v>
          </cell>
          <cell r="P13">
            <v>2.5299999999999998</v>
          </cell>
          <cell r="Q13">
            <v>2.21</v>
          </cell>
          <cell r="R13">
            <v>2.5499999999999998</v>
          </cell>
          <cell r="S13">
            <v>2.61</v>
          </cell>
          <cell r="T13">
            <v>2.17</v>
          </cell>
          <cell r="U13">
            <v>2.1800000000000002</v>
          </cell>
          <cell r="V13">
            <v>1.92</v>
          </cell>
          <cell r="W13">
            <v>2.0299999999999998</v>
          </cell>
          <cell r="X13">
            <v>1.87</v>
          </cell>
          <cell r="Y13">
            <v>1.59</v>
          </cell>
          <cell r="Z13">
            <v>1.51</v>
          </cell>
          <cell r="AA13">
            <v>1.81</v>
          </cell>
          <cell r="AB13">
            <v>1.81</v>
          </cell>
          <cell r="AC13">
            <v>1.73</v>
          </cell>
          <cell r="AD13">
            <v>1.5</v>
          </cell>
          <cell r="AE13">
            <v>1.47</v>
          </cell>
          <cell r="AF13">
            <v>1.56</v>
          </cell>
          <cell r="AG13">
            <v>1.7</v>
          </cell>
          <cell r="AH13">
            <v>1.75</v>
          </cell>
          <cell r="AI13">
            <v>1.55</v>
          </cell>
          <cell r="AJ13">
            <v>1.41</v>
          </cell>
          <cell r="AK13">
            <v>1.61</v>
          </cell>
          <cell r="AL13">
            <v>1.72</v>
          </cell>
          <cell r="AM13">
            <v>1.91</v>
          </cell>
          <cell r="AN13">
            <v>2.41</v>
          </cell>
          <cell r="AO13">
            <v>3.31</v>
          </cell>
          <cell r="AP13">
            <v>2.64</v>
          </cell>
          <cell r="AQ13">
            <v>3.2</v>
          </cell>
          <cell r="AR13">
            <v>2.81</v>
          </cell>
          <cell r="AS13">
            <v>2.2999999999999998</v>
          </cell>
          <cell r="AT13">
            <v>2.4</v>
          </cell>
          <cell r="AU13">
            <v>2.64</v>
          </cell>
          <cell r="AV13">
            <v>2.36</v>
          </cell>
          <cell r="AW13">
            <v>1.94</v>
          </cell>
          <cell r="AX13">
            <v>1.98</v>
          </cell>
          <cell r="AY13">
            <v>2.95</v>
          </cell>
          <cell r="AZ13">
            <v>4.25</v>
          </cell>
          <cell r="BA13">
            <v>4.53</v>
          </cell>
          <cell r="BB13">
            <v>3.36</v>
          </cell>
          <cell r="BC13">
            <v>1.91</v>
          </cell>
          <cell r="BD13">
            <v>1.95</v>
          </cell>
          <cell r="BE13">
            <v>2.19</v>
          </cell>
          <cell r="BF13">
            <v>2.38</v>
          </cell>
          <cell r="BG13">
            <v>2.2400000000000002</v>
          </cell>
          <cell r="BH13">
            <v>2.23</v>
          </cell>
          <cell r="BI13">
            <v>2.63</v>
          </cell>
          <cell r="BJ13">
            <v>3.34</v>
          </cell>
          <cell r="BK13">
            <v>3.55</v>
          </cell>
          <cell r="BL13">
            <v>3.55</v>
          </cell>
          <cell r="BM13">
            <v>2.37</v>
          </cell>
          <cell r="BN13">
            <v>2.09</v>
          </cell>
          <cell r="BO13">
            <v>2.2999999999999998</v>
          </cell>
          <cell r="BP13">
            <v>2.38</v>
          </cell>
          <cell r="BQ13">
            <v>2.36</v>
          </cell>
          <cell r="BR13">
            <v>2.13</v>
          </cell>
          <cell r="BS13">
            <v>2.42</v>
          </cell>
          <cell r="CG13">
            <v>2.96</v>
          </cell>
        </row>
        <row r="14">
          <cell r="A14" t="str">
            <v>CIG-ROCK</v>
          </cell>
          <cell r="B14">
            <v>11</v>
          </cell>
          <cell r="C14">
            <v>1.83</v>
          </cell>
          <cell r="D14">
            <v>1.88</v>
          </cell>
          <cell r="E14">
            <v>2.15</v>
          </cell>
          <cell r="F14">
            <v>1.6</v>
          </cell>
          <cell r="G14">
            <v>1.73</v>
          </cell>
          <cell r="H14">
            <v>1.8</v>
          </cell>
          <cell r="I14">
            <v>2.2000000000000002</v>
          </cell>
          <cell r="J14">
            <v>1.56</v>
          </cell>
          <cell r="K14">
            <v>1.5</v>
          </cell>
          <cell r="L14">
            <v>1.65</v>
          </cell>
          <cell r="M14">
            <v>1.88</v>
          </cell>
          <cell r="N14">
            <v>1.71</v>
          </cell>
          <cell r="O14">
            <v>1.7</v>
          </cell>
          <cell r="P14">
            <v>2.23</v>
          </cell>
          <cell r="Q14">
            <v>1.88</v>
          </cell>
          <cell r="R14">
            <v>1.76</v>
          </cell>
          <cell r="S14">
            <v>1.86</v>
          </cell>
          <cell r="T14">
            <v>1.52</v>
          </cell>
          <cell r="U14">
            <v>1.55</v>
          </cell>
          <cell r="V14">
            <v>1.32</v>
          </cell>
          <cell r="W14">
            <v>1.39</v>
          </cell>
          <cell r="X14">
            <v>1.39</v>
          </cell>
          <cell r="Y14">
            <v>1.33</v>
          </cell>
          <cell r="Z14">
            <v>1.1599999999999999</v>
          </cell>
          <cell r="AA14">
            <v>1.44</v>
          </cell>
          <cell r="AB14">
            <v>1.57</v>
          </cell>
          <cell r="AC14">
            <v>1.35</v>
          </cell>
          <cell r="AD14">
            <v>1.06</v>
          </cell>
          <cell r="AE14">
            <v>1.05</v>
          </cell>
          <cell r="AF14">
            <v>1.05</v>
          </cell>
          <cell r="AG14">
            <v>1.07</v>
          </cell>
          <cell r="AH14">
            <v>1.1399999999999999</v>
          </cell>
          <cell r="AI14">
            <v>0.98</v>
          </cell>
          <cell r="AJ14">
            <v>0.84</v>
          </cell>
          <cell r="AK14">
            <v>0.95</v>
          </cell>
          <cell r="AL14">
            <v>1.04</v>
          </cell>
          <cell r="AM14">
            <v>1.25</v>
          </cell>
          <cell r="AN14">
            <v>1.31</v>
          </cell>
          <cell r="AO14">
            <v>1.26</v>
          </cell>
          <cell r="AP14">
            <v>1.1599999999999999</v>
          </cell>
          <cell r="AQ14">
            <v>1.1599999999999999</v>
          </cell>
          <cell r="AR14">
            <v>1.06</v>
          </cell>
          <cell r="AS14">
            <v>1.06</v>
          </cell>
          <cell r="AT14">
            <v>1.06</v>
          </cell>
          <cell r="AU14">
            <v>1.18</v>
          </cell>
          <cell r="AV14">
            <v>1.21</v>
          </cell>
          <cell r="AW14">
            <v>1.19</v>
          </cell>
          <cell r="AX14">
            <v>1.25</v>
          </cell>
          <cell r="AY14">
            <v>2.25</v>
          </cell>
          <cell r="AZ14">
            <v>3.5</v>
          </cell>
          <cell r="BA14">
            <v>4.18</v>
          </cell>
          <cell r="BB14">
            <v>2.5299999999999998</v>
          </cell>
          <cell r="BC14">
            <v>1.39</v>
          </cell>
          <cell r="BD14">
            <v>1.45</v>
          </cell>
          <cell r="BE14">
            <v>1.63</v>
          </cell>
          <cell r="BF14">
            <v>1.43</v>
          </cell>
          <cell r="BG14">
            <v>1.44</v>
          </cell>
          <cell r="BH14">
            <v>1.38</v>
          </cell>
          <cell r="BI14">
            <v>1.47</v>
          </cell>
          <cell r="BJ14">
            <v>2.1</v>
          </cell>
          <cell r="BK14">
            <v>2.99</v>
          </cell>
          <cell r="BL14">
            <v>1.94</v>
          </cell>
          <cell r="BM14">
            <v>2.04</v>
          </cell>
          <cell r="BN14">
            <v>1.7</v>
          </cell>
          <cell r="BO14">
            <v>1.88</v>
          </cell>
          <cell r="BP14">
            <v>1.9</v>
          </cell>
          <cell r="BQ14">
            <v>1.96</v>
          </cell>
          <cell r="BR14">
            <v>1.64</v>
          </cell>
          <cell r="BS14">
            <v>1.61</v>
          </cell>
          <cell r="BT14">
            <v>1.73</v>
          </cell>
          <cell r="BU14">
            <v>1.55</v>
          </cell>
          <cell r="BV14">
            <v>1.65</v>
          </cell>
          <cell r="BW14">
            <v>1.97</v>
          </cell>
          <cell r="BX14">
            <v>1.96</v>
          </cell>
          <cell r="BY14">
            <v>1.75</v>
          </cell>
          <cell r="BZ14">
            <v>1.61</v>
          </cell>
          <cell r="CA14">
            <v>1.49</v>
          </cell>
          <cell r="CB14">
            <v>1.53</v>
          </cell>
          <cell r="CC14">
            <v>1.98</v>
          </cell>
          <cell r="CD14">
            <v>1.93</v>
          </cell>
          <cell r="CE14">
            <v>1.97</v>
          </cell>
          <cell r="CF14">
            <v>2.16</v>
          </cell>
          <cell r="CG14">
            <v>2.52</v>
          </cell>
        </row>
        <row r="15">
          <cell r="A15" t="str">
            <v>CNG</v>
          </cell>
          <cell r="B15">
            <v>12</v>
          </cell>
          <cell r="H15">
            <v>2.54</v>
          </cell>
          <cell r="I15">
            <v>3</v>
          </cell>
          <cell r="J15">
            <v>2.25</v>
          </cell>
          <cell r="K15">
            <v>2.13</v>
          </cell>
          <cell r="L15">
            <v>2.23</v>
          </cell>
          <cell r="M15">
            <v>2.5299999999999998</v>
          </cell>
          <cell r="N15">
            <v>2.23</v>
          </cell>
          <cell r="O15">
            <v>2.36</v>
          </cell>
          <cell r="P15">
            <v>2.68</v>
          </cell>
          <cell r="Q15">
            <v>2.33</v>
          </cell>
          <cell r="R15">
            <v>2.75</v>
          </cell>
          <cell r="S15">
            <v>2.78</v>
          </cell>
          <cell r="T15">
            <v>2.23</v>
          </cell>
          <cell r="U15">
            <v>2.29</v>
          </cell>
          <cell r="V15">
            <v>1.99</v>
          </cell>
          <cell r="W15">
            <v>2.1</v>
          </cell>
          <cell r="X15">
            <v>1.9</v>
          </cell>
          <cell r="Y15">
            <v>1.55</v>
          </cell>
          <cell r="Z15">
            <v>1.5</v>
          </cell>
          <cell r="AA15">
            <v>1.83</v>
          </cell>
          <cell r="AB15">
            <v>1.93</v>
          </cell>
          <cell r="AC15">
            <v>1.87</v>
          </cell>
          <cell r="AD15">
            <v>1.65</v>
          </cell>
          <cell r="AE15">
            <v>1.62</v>
          </cell>
          <cell r="AF15">
            <v>1.68</v>
          </cell>
          <cell r="AG15">
            <v>1.83</v>
          </cell>
          <cell r="AH15">
            <v>1.86</v>
          </cell>
          <cell r="AI15">
            <v>1.62</v>
          </cell>
          <cell r="AJ15">
            <v>1.49</v>
          </cell>
          <cell r="AK15">
            <v>1.68</v>
          </cell>
          <cell r="AL15">
            <v>1.77</v>
          </cell>
          <cell r="AM15">
            <v>1.97</v>
          </cell>
          <cell r="AN15">
            <v>2.5299999999999998</v>
          </cell>
          <cell r="AO15">
            <v>3.8</v>
          </cell>
          <cell r="AP15">
            <v>3.67</v>
          </cell>
          <cell r="AQ15">
            <v>4.95</v>
          </cell>
          <cell r="AR15">
            <v>3.21</v>
          </cell>
          <cell r="AS15">
            <v>2.4300000000000002</v>
          </cell>
          <cell r="AT15">
            <v>2.54</v>
          </cell>
          <cell r="AU15">
            <v>2.86</v>
          </cell>
          <cell r="AV15">
            <v>2.5</v>
          </cell>
          <cell r="AW15">
            <v>1.94</v>
          </cell>
          <cell r="AX15">
            <v>1.99</v>
          </cell>
          <cell r="AY15">
            <v>3.05</v>
          </cell>
          <cell r="AZ15">
            <v>4.5</v>
          </cell>
          <cell r="BA15">
            <v>4.5</v>
          </cell>
          <cell r="BB15">
            <v>3.2</v>
          </cell>
          <cell r="BC15">
            <v>1.93</v>
          </cell>
          <cell r="BD15">
            <v>2.02</v>
          </cell>
          <cell r="BE15">
            <v>2.33</v>
          </cell>
          <cell r="BF15">
            <v>2.46</v>
          </cell>
          <cell r="BG15">
            <v>2.31</v>
          </cell>
          <cell r="BH15">
            <v>2.33</v>
          </cell>
          <cell r="BI15">
            <v>2.71</v>
          </cell>
          <cell r="BJ15">
            <v>3.32</v>
          </cell>
          <cell r="BK15">
            <v>3.59</v>
          </cell>
          <cell r="BL15">
            <v>2.7</v>
          </cell>
          <cell r="BM15">
            <v>2.44</v>
          </cell>
          <cell r="BN15">
            <v>2.15</v>
          </cell>
          <cell r="BO15">
            <v>2.4</v>
          </cell>
          <cell r="BP15">
            <v>2.5</v>
          </cell>
          <cell r="BQ15">
            <v>2.46</v>
          </cell>
          <cell r="BR15">
            <v>2.19</v>
          </cell>
          <cell r="BS15">
            <v>2.4700000000000002</v>
          </cell>
          <cell r="BT15">
            <v>2.06</v>
          </cell>
          <cell r="BU15">
            <v>1.79</v>
          </cell>
          <cell r="BV15">
            <v>2.2200000000000002</v>
          </cell>
          <cell r="BW15">
            <v>2.25</v>
          </cell>
          <cell r="BX15">
            <v>2.23</v>
          </cell>
          <cell r="BY15">
            <v>1.95</v>
          </cell>
          <cell r="BZ15">
            <v>1.95</v>
          </cell>
          <cell r="CA15">
            <v>1.78</v>
          </cell>
          <cell r="CB15">
            <v>2.09</v>
          </cell>
          <cell r="CC15">
            <v>2.5099999999999998</v>
          </cell>
          <cell r="CD15">
            <v>2.35</v>
          </cell>
          <cell r="CE15">
            <v>2.42</v>
          </cell>
          <cell r="CF15">
            <v>2.8</v>
          </cell>
          <cell r="CG15">
            <v>3.07</v>
          </cell>
        </row>
        <row r="16">
          <cell r="A16" t="str">
            <v>EPNG-PERM</v>
          </cell>
          <cell r="B16">
            <v>13</v>
          </cell>
          <cell r="C16">
            <v>2.12</v>
          </cell>
          <cell r="D16">
            <v>2.04</v>
          </cell>
          <cell r="E16">
            <v>2.04</v>
          </cell>
          <cell r="F16">
            <v>1.57</v>
          </cell>
          <cell r="G16">
            <v>1.83</v>
          </cell>
          <cell r="H16">
            <v>1.89</v>
          </cell>
          <cell r="I16">
            <v>2.2000000000000002</v>
          </cell>
          <cell r="J16">
            <v>1.65</v>
          </cell>
          <cell r="K16">
            <v>1.78</v>
          </cell>
          <cell r="L16">
            <v>1.88</v>
          </cell>
          <cell r="M16">
            <v>2.0299999999999998</v>
          </cell>
          <cell r="N16">
            <v>1.77</v>
          </cell>
          <cell r="O16">
            <v>1.77</v>
          </cell>
          <cell r="P16">
            <v>2.25</v>
          </cell>
          <cell r="Q16">
            <v>1.93</v>
          </cell>
          <cell r="R16">
            <v>1.88</v>
          </cell>
          <cell r="S16">
            <v>2</v>
          </cell>
          <cell r="T16">
            <v>1.75</v>
          </cell>
          <cell r="U16">
            <v>1.75</v>
          </cell>
          <cell r="V16">
            <v>1.5</v>
          </cell>
          <cell r="W16">
            <v>1.65</v>
          </cell>
          <cell r="X16">
            <v>1.57</v>
          </cell>
          <cell r="Y16">
            <v>1.44</v>
          </cell>
          <cell r="Z16">
            <v>1.22</v>
          </cell>
          <cell r="AA16">
            <v>1.47</v>
          </cell>
          <cell r="AB16">
            <v>1.64</v>
          </cell>
          <cell r="AC16">
            <v>1.46</v>
          </cell>
          <cell r="AD16">
            <v>1.17</v>
          </cell>
          <cell r="AE16">
            <v>1.17</v>
          </cell>
          <cell r="AF16">
            <v>1.25</v>
          </cell>
          <cell r="AG16">
            <v>1.35</v>
          </cell>
          <cell r="AH16">
            <v>1.38</v>
          </cell>
          <cell r="AI16">
            <v>1.19</v>
          </cell>
          <cell r="AJ16">
            <v>1.18</v>
          </cell>
          <cell r="AK16">
            <v>1.36</v>
          </cell>
          <cell r="AL16">
            <v>1.41</v>
          </cell>
          <cell r="AM16">
            <v>1.54</v>
          </cell>
          <cell r="AN16">
            <v>1.74</v>
          </cell>
          <cell r="AO16">
            <v>1.92</v>
          </cell>
          <cell r="AP16">
            <v>1.68</v>
          </cell>
          <cell r="AQ16">
            <v>1.75</v>
          </cell>
          <cell r="AR16">
            <v>2.0099999999999998</v>
          </cell>
          <cell r="AS16">
            <v>1.95</v>
          </cell>
          <cell r="AT16">
            <v>2.0099999999999998</v>
          </cell>
          <cell r="AU16">
            <v>2.09</v>
          </cell>
          <cell r="AV16">
            <v>2.0699999999999998</v>
          </cell>
          <cell r="AW16">
            <v>1.59</v>
          </cell>
          <cell r="AX16">
            <v>1.64</v>
          </cell>
          <cell r="AY16">
            <v>2.48</v>
          </cell>
          <cell r="AZ16">
            <v>3.59</v>
          </cell>
          <cell r="BA16">
            <v>4.0999999999999996</v>
          </cell>
          <cell r="BB16">
            <v>2.5499999999999998</v>
          </cell>
          <cell r="BC16">
            <v>1.54</v>
          </cell>
          <cell r="BD16">
            <v>1.63</v>
          </cell>
          <cell r="BE16">
            <v>1.91</v>
          </cell>
          <cell r="BF16">
            <v>2.0699999999999998</v>
          </cell>
          <cell r="BG16">
            <v>2</v>
          </cell>
          <cell r="BH16">
            <v>2.0499999999999998</v>
          </cell>
          <cell r="BI16">
            <v>2.36</v>
          </cell>
          <cell r="BJ16">
            <v>2.9</v>
          </cell>
          <cell r="BK16">
            <v>3.18</v>
          </cell>
          <cell r="BL16">
            <v>2.21</v>
          </cell>
          <cell r="BM16">
            <v>2.08</v>
          </cell>
          <cell r="BN16">
            <v>1.84</v>
          </cell>
          <cell r="BO16">
            <v>2.04</v>
          </cell>
          <cell r="BP16">
            <v>2.12</v>
          </cell>
          <cell r="BQ16">
            <v>2.1</v>
          </cell>
          <cell r="BR16">
            <v>1.86</v>
          </cell>
          <cell r="BS16">
            <v>2.1800000000000002</v>
          </cell>
          <cell r="BT16">
            <v>1.9</v>
          </cell>
          <cell r="BU16">
            <v>1.59</v>
          </cell>
          <cell r="BV16">
            <v>1.82</v>
          </cell>
          <cell r="BW16">
            <v>1.92</v>
          </cell>
          <cell r="BX16">
            <v>1.99</v>
          </cell>
          <cell r="BY16">
            <v>1.73</v>
          </cell>
          <cell r="BZ16">
            <v>1.66</v>
          </cell>
          <cell r="CA16">
            <v>1.54</v>
          </cell>
          <cell r="CB16">
            <v>1.66</v>
          </cell>
          <cell r="CC16">
            <v>2.16</v>
          </cell>
          <cell r="CD16">
            <v>2.08</v>
          </cell>
          <cell r="CE16">
            <v>2.17</v>
          </cell>
          <cell r="CF16">
            <v>2.46</v>
          </cell>
          <cell r="CG16">
            <v>2.78</v>
          </cell>
        </row>
        <row r="17">
          <cell r="A17" t="str">
            <v>EPNG-SJ</v>
          </cell>
          <cell r="B17">
            <v>14</v>
          </cell>
          <cell r="C17">
            <v>2.11</v>
          </cell>
          <cell r="D17">
            <v>2.04</v>
          </cell>
          <cell r="E17">
            <v>2.1</v>
          </cell>
          <cell r="F17">
            <v>1.58</v>
          </cell>
          <cell r="G17">
            <v>1.84</v>
          </cell>
          <cell r="H17">
            <v>1.89</v>
          </cell>
          <cell r="I17">
            <v>2.2000000000000002</v>
          </cell>
          <cell r="J17">
            <v>1.65</v>
          </cell>
          <cell r="K17">
            <v>1.76</v>
          </cell>
          <cell r="L17">
            <v>1.84</v>
          </cell>
          <cell r="M17">
            <v>2.0099999999999998</v>
          </cell>
          <cell r="N17">
            <v>1.76</v>
          </cell>
          <cell r="O17">
            <v>1.76</v>
          </cell>
          <cell r="P17">
            <v>2.2400000000000002</v>
          </cell>
          <cell r="Q17">
            <v>1.94</v>
          </cell>
          <cell r="R17">
            <v>1.82</v>
          </cell>
          <cell r="S17">
            <v>1.98</v>
          </cell>
          <cell r="T17">
            <v>1.73</v>
          </cell>
          <cell r="U17">
            <v>1.74</v>
          </cell>
          <cell r="V17">
            <v>1.48</v>
          </cell>
          <cell r="W17">
            <v>1.58</v>
          </cell>
          <cell r="X17">
            <v>1.54</v>
          </cell>
          <cell r="Y17">
            <v>1.43</v>
          </cell>
          <cell r="Z17">
            <v>1.2</v>
          </cell>
          <cell r="AA17">
            <v>1.46</v>
          </cell>
          <cell r="AB17">
            <v>1.63</v>
          </cell>
          <cell r="AC17">
            <v>1.45</v>
          </cell>
          <cell r="AD17">
            <v>1.0900000000000001</v>
          </cell>
          <cell r="AE17">
            <v>1.08</v>
          </cell>
          <cell r="AF17">
            <v>1.0900000000000001</v>
          </cell>
          <cell r="AG17">
            <v>1.17</v>
          </cell>
          <cell r="AH17">
            <v>1.17</v>
          </cell>
          <cell r="AI17">
            <v>1.05</v>
          </cell>
          <cell r="AJ17">
            <v>1.02</v>
          </cell>
          <cell r="AK17">
            <v>1.19</v>
          </cell>
          <cell r="AL17">
            <v>1.24</v>
          </cell>
          <cell r="AM17">
            <v>1.25</v>
          </cell>
          <cell r="AN17">
            <v>1.34</v>
          </cell>
          <cell r="AO17">
            <v>1.39</v>
          </cell>
          <cell r="AP17">
            <v>1.26</v>
          </cell>
          <cell r="AQ17">
            <v>1.18</v>
          </cell>
          <cell r="AR17">
            <v>1.1200000000000001</v>
          </cell>
          <cell r="AS17">
            <v>1.1200000000000001</v>
          </cell>
          <cell r="AT17">
            <v>1.18</v>
          </cell>
          <cell r="AU17">
            <v>1.47</v>
          </cell>
          <cell r="AV17">
            <v>2</v>
          </cell>
          <cell r="AW17">
            <v>1.55</v>
          </cell>
          <cell r="AX17">
            <v>1.59</v>
          </cell>
          <cell r="AY17">
            <v>2.4500000000000002</v>
          </cell>
          <cell r="AZ17">
            <v>3.55</v>
          </cell>
          <cell r="BA17">
            <v>4.05</v>
          </cell>
          <cell r="BB17">
            <v>2.48</v>
          </cell>
          <cell r="BC17">
            <v>1.46</v>
          </cell>
          <cell r="BD17">
            <v>1.59</v>
          </cell>
          <cell r="BE17">
            <v>1.87</v>
          </cell>
          <cell r="BF17">
            <v>2.02</v>
          </cell>
          <cell r="BG17">
            <v>1.97</v>
          </cell>
          <cell r="BH17">
            <v>2</v>
          </cell>
          <cell r="BI17">
            <v>2.2799999999999998</v>
          </cell>
          <cell r="BJ17">
            <v>2.83</v>
          </cell>
          <cell r="BK17">
            <v>3.11</v>
          </cell>
          <cell r="BL17">
            <v>2.16</v>
          </cell>
          <cell r="BM17">
            <v>2.06</v>
          </cell>
          <cell r="BN17">
            <v>1.76</v>
          </cell>
          <cell r="BO17">
            <v>2.0099999999999998</v>
          </cell>
          <cell r="BP17">
            <v>2.06</v>
          </cell>
          <cell r="BQ17">
            <v>2</v>
          </cell>
          <cell r="BR17">
            <v>1.75</v>
          </cell>
          <cell r="BS17">
            <v>1.86</v>
          </cell>
          <cell r="BT17">
            <v>1.81</v>
          </cell>
          <cell r="BU17">
            <v>1.55</v>
          </cell>
          <cell r="BV17">
            <v>1.67</v>
          </cell>
          <cell r="BW17">
            <v>1.88</v>
          </cell>
          <cell r="BX17">
            <v>1.96</v>
          </cell>
          <cell r="BY17">
            <v>1.72</v>
          </cell>
          <cell r="BZ17">
            <v>1.63</v>
          </cell>
          <cell r="CA17">
            <v>1.51</v>
          </cell>
          <cell r="CB17">
            <v>1.59</v>
          </cell>
          <cell r="CC17">
            <v>2.0299999999999998</v>
          </cell>
          <cell r="CD17">
            <v>1.96</v>
          </cell>
          <cell r="CE17">
            <v>2.0499999999999998</v>
          </cell>
          <cell r="CF17">
            <v>2.2599999999999998</v>
          </cell>
          <cell r="CG17">
            <v>2.63</v>
          </cell>
        </row>
        <row r="18">
          <cell r="A18" t="str">
            <v>FGT-Z1</v>
          </cell>
          <cell r="B18">
            <v>15</v>
          </cell>
          <cell r="C18">
            <v>2.36</v>
          </cell>
          <cell r="D18">
            <v>2.2000000000000002</v>
          </cell>
          <cell r="E18">
            <v>1.9</v>
          </cell>
          <cell r="F18">
            <v>1.59</v>
          </cell>
          <cell r="G18">
            <v>1.85</v>
          </cell>
          <cell r="H18">
            <v>2.15</v>
          </cell>
          <cell r="I18">
            <v>2.68</v>
          </cell>
          <cell r="J18">
            <v>2.13</v>
          </cell>
          <cell r="K18">
            <v>1.89</v>
          </cell>
          <cell r="L18">
            <v>2.0299999999999998</v>
          </cell>
          <cell r="M18">
            <v>2.34</v>
          </cell>
          <cell r="N18">
            <v>2</v>
          </cell>
          <cell r="O18">
            <v>2.0499999999999998</v>
          </cell>
          <cell r="P18">
            <v>2.2999999999999998</v>
          </cell>
          <cell r="Q18">
            <v>2.0299999999999998</v>
          </cell>
          <cell r="R18">
            <v>2.25</v>
          </cell>
          <cell r="S18">
            <v>2.2000000000000002</v>
          </cell>
          <cell r="T18">
            <v>1.88</v>
          </cell>
          <cell r="U18">
            <v>1.98</v>
          </cell>
          <cell r="V18">
            <v>1.74</v>
          </cell>
          <cell r="W18">
            <v>1.88</v>
          </cell>
          <cell r="X18">
            <v>1.71</v>
          </cell>
          <cell r="Y18">
            <v>1.54</v>
          </cell>
          <cell r="Z18">
            <v>1.36</v>
          </cell>
          <cell r="AA18">
            <v>1.57</v>
          </cell>
          <cell r="AB18">
            <v>1.61</v>
          </cell>
          <cell r="AC18">
            <v>1.54</v>
          </cell>
          <cell r="AD18">
            <v>1.34</v>
          </cell>
          <cell r="AE18">
            <v>1.36</v>
          </cell>
          <cell r="AF18">
            <v>1.49</v>
          </cell>
          <cell r="AG18">
            <v>1.6</v>
          </cell>
          <cell r="AH18">
            <v>1.65</v>
          </cell>
          <cell r="AI18">
            <v>1.44</v>
          </cell>
          <cell r="AJ18">
            <v>1.31</v>
          </cell>
          <cell r="AK18">
            <v>1.48</v>
          </cell>
          <cell r="AL18">
            <v>1.56</v>
          </cell>
          <cell r="AM18">
            <v>1.7</v>
          </cell>
          <cell r="AN18">
            <v>2.1</v>
          </cell>
          <cell r="AO18">
            <v>2.1800000000000002</v>
          </cell>
          <cell r="AP18">
            <v>1.87</v>
          </cell>
          <cell r="AQ18">
            <v>2.0299999999999998</v>
          </cell>
          <cell r="AR18">
            <v>2.2599999999999998</v>
          </cell>
          <cell r="AS18">
            <v>2.15</v>
          </cell>
          <cell r="AT18">
            <v>2.25</v>
          </cell>
          <cell r="AU18">
            <v>2.5299999999999998</v>
          </cell>
          <cell r="AV18">
            <v>2.25</v>
          </cell>
          <cell r="AW18">
            <v>1.75</v>
          </cell>
          <cell r="AX18">
            <v>1.75</v>
          </cell>
          <cell r="AY18">
            <v>2.54</v>
          </cell>
          <cell r="AZ18">
            <v>3.72</v>
          </cell>
          <cell r="BA18">
            <v>3.98</v>
          </cell>
          <cell r="BB18">
            <v>2.8</v>
          </cell>
          <cell r="BC18">
            <v>1.69</v>
          </cell>
          <cell r="BD18">
            <v>1.74</v>
          </cell>
          <cell r="BE18">
            <v>2.06</v>
          </cell>
          <cell r="BF18">
            <v>2.21</v>
          </cell>
          <cell r="BG18">
            <v>2.12</v>
          </cell>
          <cell r="BH18">
            <v>2.14</v>
          </cell>
          <cell r="BI18">
            <v>2.5099999999999998</v>
          </cell>
          <cell r="BJ18">
            <v>3.1</v>
          </cell>
          <cell r="BK18">
            <v>3.2</v>
          </cell>
          <cell r="BL18">
            <v>2.4500000000000002</v>
          </cell>
          <cell r="BM18">
            <v>2.21</v>
          </cell>
          <cell r="BN18">
            <v>1.94</v>
          </cell>
          <cell r="BO18">
            <v>2.19</v>
          </cell>
          <cell r="BP18">
            <v>2.25</v>
          </cell>
          <cell r="BQ18">
            <v>2.2000000000000002</v>
          </cell>
          <cell r="BR18">
            <v>1.98</v>
          </cell>
          <cell r="BS18">
            <v>2.31</v>
          </cell>
          <cell r="BT18">
            <v>1.86</v>
          </cell>
          <cell r="BU18">
            <v>1.57</v>
          </cell>
          <cell r="BV18">
            <v>1.98</v>
          </cell>
          <cell r="BW18">
            <v>1.92</v>
          </cell>
          <cell r="BX18">
            <v>2.0699999999999998</v>
          </cell>
          <cell r="BY18">
            <v>1.73</v>
          </cell>
          <cell r="BZ18">
            <v>1.74</v>
          </cell>
          <cell r="CA18">
            <v>1.59</v>
          </cell>
          <cell r="CB18">
            <v>1.84</v>
          </cell>
          <cell r="CC18">
            <v>2.2999999999999998</v>
          </cell>
          <cell r="CD18">
            <v>2.2000000000000002</v>
          </cell>
          <cell r="CE18">
            <v>2.2400000000000002</v>
          </cell>
          <cell r="CF18">
            <v>2.57</v>
          </cell>
          <cell r="CG18">
            <v>2.86</v>
          </cell>
        </row>
        <row r="19">
          <cell r="A19" t="str">
            <v>FGT-Z2</v>
          </cell>
          <cell r="B19">
            <v>16</v>
          </cell>
          <cell r="C19">
            <v>2.4</v>
          </cell>
          <cell r="D19">
            <v>2.25</v>
          </cell>
          <cell r="E19">
            <v>2.02</v>
          </cell>
          <cell r="F19">
            <v>1.64</v>
          </cell>
          <cell r="G19">
            <v>1.88</v>
          </cell>
          <cell r="H19">
            <v>2.2200000000000002</v>
          </cell>
          <cell r="I19">
            <v>2.73</v>
          </cell>
          <cell r="J19">
            <v>2.15</v>
          </cell>
          <cell r="K19">
            <v>1.95</v>
          </cell>
          <cell r="L19">
            <v>2.0699999999999998</v>
          </cell>
          <cell r="M19">
            <v>2.37</v>
          </cell>
          <cell r="N19">
            <v>2.0499999999999998</v>
          </cell>
          <cell r="O19">
            <v>2.11</v>
          </cell>
          <cell r="P19">
            <v>2.35</v>
          </cell>
          <cell r="Q19">
            <v>2.08</v>
          </cell>
          <cell r="R19">
            <v>2.34</v>
          </cell>
          <cell r="S19">
            <v>2.33</v>
          </cell>
          <cell r="T19">
            <v>1.93</v>
          </cell>
          <cell r="U19">
            <v>2.0499999999999998</v>
          </cell>
          <cell r="V19">
            <v>1.83</v>
          </cell>
          <cell r="W19">
            <v>1.94</v>
          </cell>
          <cell r="X19">
            <v>1.78</v>
          </cell>
          <cell r="Y19">
            <v>1.47</v>
          </cell>
          <cell r="Z19">
            <v>1.41</v>
          </cell>
          <cell r="AA19">
            <v>1.68</v>
          </cell>
          <cell r="AB19">
            <v>1.67</v>
          </cell>
          <cell r="AC19">
            <v>1.58</v>
          </cell>
          <cell r="AD19">
            <v>1.4</v>
          </cell>
          <cell r="AE19">
            <v>1.43</v>
          </cell>
          <cell r="AF19">
            <v>1.54</v>
          </cell>
          <cell r="AG19">
            <v>1.66</v>
          </cell>
          <cell r="AH19">
            <v>1.71</v>
          </cell>
          <cell r="AI19">
            <v>1.5</v>
          </cell>
          <cell r="AJ19">
            <v>1.37</v>
          </cell>
          <cell r="AK19">
            <v>1.54</v>
          </cell>
          <cell r="AL19">
            <v>1.62</v>
          </cell>
          <cell r="AM19">
            <v>1.76</v>
          </cell>
          <cell r="AN19">
            <v>2.23</v>
          </cell>
          <cell r="AO19">
            <v>3.4</v>
          </cell>
          <cell r="AP19">
            <v>2.35</v>
          </cell>
          <cell r="AQ19">
            <v>2.85</v>
          </cell>
          <cell r="AR19">
            <v>2.69</v>
          </cell>
          <cell r="AS19">
            <v>2.21</v>
          </cell>
          <cell r="AT19">
            <v>2.34</v>
          </cell>
          <cell r="AU19">
            <v>2.62</v>
          </cell>
          <cell r="AV19">
            <v>2.3199999999999998</v>
          </cell>
          <cell r="AW19">
            <v>1.81</v>
          </cell>
          <cell r="AX19">
            <v>1.82</v>
          </cell>
          <cell r="AY19">
            <v>2.56</v>
          </cell>
          <cell r="AZ19">
            <v>3.85</v>
          </cell>
          <cell r="BA19">
            <v>4.0999999999999996</v>
          </cell>
          <cell r="BB19">
            <v>2.92</v>
          </cell>
          <cell r="BC19">
            <v>1.84</v>
          </cell>
          <cell r="BD19">
            <v>1.81</v>
          </cell>
          <cell r="BE19">
            <v>2.13</v>
          </cell>
          <cell r="BF19">
            <v>2.2999999999999998</v>
          </cell>
          <cell r="BG19">
            <v>2.17</v>
          </cell>
          <cell r="BH19">
            <v>2.1800000000000002</v>
          </cell>
          <cell r="BI19">
            <v>2.54</v>
          </cell>
          <cell r="BJ19">
            <v>3.13</v>
          </cell>
          <cell r="BK19">
            <v>3.26</v>
          </cell>
          <cell r="BL19">
            <v>2.5499999999999998</v>
          </cell>
          <cell r="BM19">
            <v>2.2799999999999998</v>
          </cell>
          <cell r="BN19">
            <v>2.02</v>
          </cell>
          <cell r="BO19">
            <v>2.25</v>
          </cell>
          <cell r="BP19">
            <v>2.29</v>
          </cell>
          <cell r="BQ19">
            <v>2.25</v>
          </cell>
          <cell r="BR19">
            <v>2.0299999999999998</v>
          </cell>
          <cell r="BS19">
            <v>2.36</v>
          </cell>
          <cell r="BT19">
            <v>1.92</v>
          </cell>
          <cell r="BU19">
            <v>1.61</v>
          </cell>
          <cell r="BV19">
            <v>2.0299999999999998</v>
          </cell>
          <cell r="BW19">
            <v>1.99</v>
          </cell>
          <cell r="BX19">
            <v>2.12</v>
          </cell>
          <cell r="BY19">
            <v>1.78</v>
          </cell>
          <cell r="BZ19">
            <v>1.77</v>
          </cell>
          <cell r="CA19">
            <v>1.63</v>
          </cell>
          <cell r="CB19">
            <v>1.88</v>
          </cell>
          <cell r="CC19">
            <v>2.35</v>
          </cell>
          <cell r="CD19">
            <v>2.23</v>
          </cell>
          <cell r="CE19">
            <v>2.27</v>
          </cell>
          <cell r="CF19">
            <v>2.61</v>
          </cell>
          <cell r="CG19">
            <v>2.9</v>
          </cell>
        </row>
        <row r="20">
          <cell r="A20" t="str">
            <v>FGT-Z3</v>
          </cell>
          <cell r="B20">
            <v>17</v>
          </cell>
          <cell r="C20">
            <v>2.4700000000000002</v>
          </cell>
          <cell r="D20">
            <v>2.36</v>
          </cell>
          <cell r="E20">
            <v>2.0699999999999998</v>
          </cell>
          <cell r="F20">
            <v>1.65</v>
          </cell>
          <cell r="G20">
            <v>1.94</v>
          </cell>
          <cell r="H20">
            <v>2.2200000000000002</v>
          </cell>
          <cell r="I20">
            <v>2.8</v>
          </cell>
          <cell r="J20">
            <v>2.1800000000000002</v>
          </cell>
          <cell r="K20">
            <v>1.98</v>
          </cell>
          <cell r="L20">
            <v>2.11</v>
          </cell>
          <cell r="M20">
            <v>2.38</v>
          </cell>
          <cell r="N20">
            <v>2.1</v>
          </cell>
          <cell r="O20">
            <v>2.15</v>
          </cell>
          <cell r="P20">
            <v>2.41</v>
          </cell>
          <cell r="Q20">
            <v>2.13</v>
          </cell>
          <cell r="R20">
            <v>2.39</v>
          </cell>
          <cell r="S20">
            <v>2.39</v>
          </cell>
          <cell r="T20">
            <v>1.96</v>
          </cell>
          <cell r="U20">
            <v>2.1</v>
          </cell>
          <cell r="V20">
            <v>1.89</v>
          </cell>
          <cell r="W20">
            <v>1.98</v>
          </cell>
          <cell r="X20">
            <v>1.84</v>
          </cell>
          <cell r="Y20">
            <v>1.52</v>
          </cell>
          <cell r="Z20">
            <v>1.45</v>
          </cell>
          <cell r="AA20">
            <v>1.72</v>
          </cell>
          <cell r="AB20">
            <v>1.71</v>
          </cell>
          <cell r="AC20">
            <v>1.62</v>
          </cell>
          <cell r="AD20">
            <v>1.47</v>
          </cell>
          <cell r="AE20">
            <v>1.46</v>
          </cell>
          <cell r="AF20">
            <v>1.56</v>
          </cell>
          <cell r="AG20">
            <v>1.67</v>
          </cell>
          <cell r="AH20">
            <v>1.72</v>
          </cell>
          <cell r="AI20">
            <v>1.49</v>
          </cell>
          <cell r="AJ20">
            <v>1.37</v>
          </cell>
          <cell r="AK20">
            <v>1.55</v>
          </cell>
          <cell r="AL20">
            <v>1.62</v>
          </cell>
          <cell r="AM20">
            <v>1.76</v>
          </cell>
          <cell r="AN20">
            <v>2.2400000000000002</v>
          </cell>
          <cell r="AO20">
            <v>3.37</v>
          </cell>
          <cell r="AP20">
            <v>2.35</v>
          </cell>
          <cell r="AQ20">
            <v>2.82</v>
          </cell>
          <cell r="AR20">
            <v>2.69</v>
          </cell>
          <cell r="AS20">
            <v>2.2000000000000002</v>
          </cell>
          <cell r="AT20">
            <v>2.33</v>
          </cell>
          <cell r="AU20">
            <v>2.61</v>
          </cell>
          <cell r="AV20">
            <v>2.2999999999999998</v>
          </cell>
          <cell r="AW20">
            <v>1.79</v>
          </cell>
          <cell r="AX20">
            <v>1.8</v>
          </cell>
          <cell r="AY20">
            <v>2.6</v>
          </cell>
          <cell r="AZ20">
            <v>3.81</v>
          </cell>
          <cell r="BA20">
            <v>3.95</v>
          </cell>
          <cell r="BB20">
            <v>2.87</v>
          </cell>
          <cell r="BC20">
            <v>1.79</v>
          </cell>
          <cell r="BD20">
            <v>1.76</v>
          </cell>
          <cell r="BE20">
            <v>2.1</v>
          </cell>
          <cell r="BF20">
            <v>2.25</v>
          </cell>
          <cell r="BG20">
            <v>2.12</v>
          </cell>
          <cell r="BH20">
            <v>2.13</v>
          </cell>
          <cell r="BI20">
            <v>2.4700000000000002</v>
          </cell>
          <cell r="BJ20">
            <v>3.05</v>
          </cell>
          <cell r="BK20">
            <v>3.2</v>
          </cell>
          <cell r="BL20">
            <v>2.4900000000000002</v>
          </cell>
          <cell r="BM20">
            <v>2.23</v>
          </cell>
          <cell r="BN20">
            <v>1.96</v>
          </cell>
          <cell r="BO20">
            <v>2.19</v>
          </cell>
          <cell r="BP20">
            <v>2.27</v>
          </cell>
          <cell r="BQ20">
            <v>2.2200000000000002</v>
          </cell>
          <cell r="BR20">
            <v>1.98</v>
          </cell>
          <cell r="BS20">
            <v>2.29</v>
          </cell>
          <cell r="BT20">
            <v>1.86</v>
          </cell>
          <cell r="BU20">
            <v>1.57</v>
          </cell>
          <cell r="BV20">
            <v>1.97</v>
          </cell>
          <cell r="BW20">
            <v>1.91</v>
          </cell>
          <cell r="BX20">
            <v>2.0699999999999998</v>
          </cell>
          <cell r="BY20">
            <v>1.73</v>
          </cell>
          <cell r="BZ20">
            <v>1.74</v>
          </cell>
          <cell r="CA20">
            <v>1.6</v>
          </cell>
          <cell r="CB20">
            <v>1.85</v>
          </cell>
          <cell r="CC20">
            <v>2.2999999999999998</v>
          </cell>
          <cell r="CD20">
            <v>2.21</v>
          </cell>
          <cell r="CE20">
            <v>2.2400000000000002</v>
          </cell>
          <cell r="CF20">
            <v>2.57</v>
          </cell>
          <cell r="CG20">
            <v>2.86</v>
          </cell>
        </row>
        <row r="21">
          <cell r="A21" t="str">
            <v>HSC</v>
          </cell>
          <cell r="B21">
            <v>18</v>
          </cell>
          <cell r="C21">
            <v>2.2400000000000002</v>
          </cell>
          <cell r="D21">
            <v>2.1800000000000002</v>
          </cell>
          <cell r="E21">
            <v>1.98</v>
          </cell>
          <cell r="F21">
            <v>1.64</v>
          </cell>
          <cell r="G21">
            <v>1.93</v>
          </cell>
          <cell r="H21">
            <v>2.23</v>
          </cell>
          <cell r="I21">
            <v>2.6</v>
          </cell>
          <cell r="J21">
            <v>1.93</v>
          </cell>
          <cell r="K21">
            <v>1.97</v>
          </cell>
          <cell r="L21">
            <v>2.19</v>
          </cell>
          <cell r="M21">
            <v>2.36</v>
          </cell>
          <cell r="N21">
            <v>2.02</v>
          </cell>
          <cell r="O21">
            <v>2.12</v>
          </cell>
          <cell r="P21">
            <v>2.4</v>
          </cell>
          <cell r="Q21">
            <v>2.04</v>
          </cell>
          <cell r="R21">
            <v>2.19</v>
          </cell>
          <cell r="S21">
            <v>2.2599999999999998</v>
          </cell>
          <cell r="T21">
            <v>1.98</v>
          </cell>
          <cell r="U21">
            <v>2.0499999999999998</v>
          </cell>
          <cell r="V21">
            <v>1.77</v>
          </cell>
          <cell r="W21">
            <v>1.98</v>
          </cell>
          <cell r="X21">
            <v>1.78</v>
          </cell>
          <cell r="Y21">
            <v>1.5</v>
          </cell>
          <cell r="Z21">
            <v>1.39</v>
          </cell>
          <cell r="AA21">
            <v>1.66</v>
          </cell>
          <cell r="AB21">
            <v>1.67</v>
          </cell>
          <cell r="AC21">
            <v>1.56</v>
          </cell>
          <cell r="AD21">
            <v>1.36</v>
          </cell>
          <cell r="AE21">
            <v>1.39</v>
          </cell>
          <cell r="AF21">
            <v>1.52</v>
          </cell>
          <cell r="AG21">
            <v>1.63</v>
          </cell>
          <cell r="AH21">
            <v>1.67</v>
          </cell>
          <cell r="AI21">
            <v>1.48</v>
          </cell>
          <cell r="AJ21">
            <v>1.37</v>
          </cell>
          <cell r="AK21">
            <v>1.54</v>
          </cell>
          <cell r="AL21">
            <v>1.6</v>
          </cell>
          <cell r="AM21">
            <v>1.73</v>
          </cell>
          <cell r="AN21">
            <v>2.08</v>
          </cell>
          <cell r="AO21">
            <v>2.17</v>
          </cell>
          <cell r="AP21">
            <v>1.86</v>
          </cell>
          <cell r="AQ21">
            <v>1.99</v>
          </cell>
          <cell r="AR21">
            <v>2.29</v>
          </cell>
          <cell r="AS21">
            <v>2.19</v>
          </cell>
          <cell r="AT21">
            <v>2.31</v>
          </cell>
          <cell r="AU21">
            <v>2.58</v>
          </cell>
          <cell r="AV21">
            <v>2.2999999999999998</v>
          </cell>
          <cell r="AW21">
            <v>1.85</v>
          </cell>
          <cell r="AX21">
            <v>1.83</v>
          </cell>
          <cell r="AY21">
            <v>2.61</v>
          </cell>
          <cell r="AZ21">
            <v>3.7</v>
          </cell>
          <cell r="BA21">
            <v>3.9</v>
          </cell>
          <cell r="BB21">
            <v>2.82</v>
          </cell>
          <cell r="BC21">
            <v>1.74</v>
          </cell>
          <cell r="BD21">
            <v>1.81</v>
          </cell>
          <cell r="BE21">
            <v>2.09</v>
          </cell>
          <cell r="BF21">
            <v>2.29</v>
          </cell>
          <cell r="BG21">
            <v>2.16</v>
          </cell>
          <cell r="BH21">
            <v>2.1800000000000002</v>
          </cell>
          <cell r="BI21">
            <v>2.5</v>
          </cell>
          <cell r="BJ21">
            <v>3.11</v>
          </cell>
          <cell r="BK21">
            <v>3.27</v>
          </cell>
          <cell r="BL21">
            <v>2.4500000000000002</v>
          </cell>
          <cell r="BM21">
            <v>2.2200000000000002</v>
          </cell>
          <cell r="BN21">
            <v>2.0099999999999998</v>
          </cell>
          <cell r="BO21">
            <v>2.23</v>
          </cell>
          <cell r="BP21">
            <v>2.29</v>
          </cell>
          <cell r="BQ21">
            <v>2.27</v>
          </cell>
          <cell r="BR21">
            <v>2.0499999999999998</v>
          </cell>
          <cell r="BS21">
            <v>2.38</v>
          </cell>
          <cell r="BT21">
            <v>1.96</v>
          </cell>
          <cell r="BU21">
            <v>1.66</v>
          </cell>
          <cell r="BV21">
            <v>2.04</v>
          </cell>
          <cell r="BW21">
            <v>1.99</v>
          </cell>
          <cell r="BX21">
            <v>2.08</v>
          </cell>
          <cell r="BY21">
            <v>1.78</v>
          </cell>
          <cell r="BZ21">
            <v>1.78</v>
          </cell>
          <cell r="CA21">
            <v>1.65</v>
          </cell>
          <cell r="CB21">
            <v>1.86</v>
          </cell>
          <cell r="CC21">
            <v>2.35</v>
          </cell>
          <cell r="CD21">
            <v>2.2400000000000002</v>
          </cell>
          <cell r="CE21">
            <v>2.2799999999999998</v>
          </cell>
          <cell r="CF21">
            <v>2.62</v>
          </cell>
          <cell r="CG21">
            <v>2.91</v>
          </cell>
        </row>
        <row r="22">
          <cell r="A22" t="str">
            <v>HUB</v>
          </cell>
          <cell r="B22">
            <v>19</v>
          </cell>
          <cell r="C22">
            <v>2.2999999999999998</v>
          </cell>
          <cell r="D22">
            <v>2.2999999999999998</v>
          </cell>
          <cell r="E22">
            <v>1.95</v>
          </cell>
          <cell r="F22">
            <v>1.62</v>
          </cell>
          <cell r="G22">
            <v>1.89</v>
          </cell>
          <cell r="H22">
            <v>2.23</v>
          </cell>
          <cell r="I22">
            <v>2.69</v>
          </cell>
          <cell r="J22">
            <v>1.98</v>
          </cell>
          <cell r="K22">
            <v>1.92</v>
          </cell>
          <cell r="L22">
            <v>2.11</v>
          </cell>
          <cell r="M22">
            <v>2.37</v>
          </cell>
          <cell r="N22">
            <v>2.0099999999999998</v>
          </cell>
          <cell r="O22">
            <v>2.12</v>
          </cell>
          <cell r="P22">
            <v>2.4</v>
          </cell>
          <cell r="Q22">
            <v>2.02</v>
          </cell>
          <cell r="R22">
            <v>2.39</v>
          </cell>
          <cell r="S22">
            <v>2.38</v>
          </cell>
          <cell r="T22">
            <v>1.98</v>
          </cell>
          <cell r="U22">
            <v>2.06</v>
          </cell>
          <cell r="V22">
            <v>1.82</v>
          </cell>
          <cell r="W22">
            <v>1.97</v>
          </cell>
          <cell r="X22">
            <v>1.8</v>
          </cell>
          <cell r="Y22">
            <v>1.48</v>
          </cell>
          <cell r="Z22">
            <v>1.41</v>
          </cell>
          <cell r="AA22">
            <v>1.69</v>
          </cell>
          <cell r="AB22">
            <v>1.69</v>
          </cell>
          <cell r="AC22">
            <v>1.62</v>
          </cell>
          <cell r="AD22">
            <v>1.42</v>
          </cell>
          <cell r="AE22">
            <v>1.44</v>
          </cell>
          <cell r="AF22">
            <v>1.57</v>
          </cell>
          <cell r="AG22">
            <v>1.68</v>
          </cell>
          <cell r="AH22">
            <v>1.75</v>
          </cell>
          <cell r="AI22">
            <v>1.51</v>
          </cell>
          <cell r="AJ22">
            <v>1.38</v>
          </cell>
          <cell r="AK22">
            <v>1.58</v>
          </cell>
          <cell r="AL22">
            <v>1.65</v>
          </cell>
          <cell r="AM22">
            <v>1.78</v>
          </cell>
          <cell r="AN22">
            <v>2.2599999999999998</v>
          </cell>
          <cell r="AO22">
            <v>3.42</v>
          </cell>
          <cell r="AP22">
            <v>2.4</v>
          </cell>
          <cell r="AQ22">
            <v>2.94</v>
          </cell>
          <cell r="AR22">
            <v>2.7</v>
          </cell>
          <cell r="AS22">
            <v>2.21</v>
          </cell>
          <cell r="AT22">
            <v>2.38</v>
          </cell>
          <cell r="AU22">
            <v>2.66</v>
          </cell>
          <cell r="AV22">
            <v>2.2999999999999998</v>
          </cell>
          <cell r="AW22">
            <v>1.83</v>
          </cell>
          <cell r="AX22">
            <v>1.85</v>
          </cell>
          <cell r="AY22">
            <v>2.72</v>
          </cell>
          <cell r="AZ22">
            <v>3.9</v>
          </cell>
          <cell r="BA22">
            <v>4.09</v>
          </cell>
          <cell r="BB22">
            <v>2.96</v>
          </cell>
          <cell r="BC22">
            <v>1.78</v>
          </cell>
          <cell r="BD22">
            <v>1.85</v>
          </cell>
          <cell r="BE22">
            <v>2.15</v>
          </cell>
          <cell r="BF22">
            <v>2.31</v>
          </cell>
          <cell r="BG22">
            <v>2.16</v>
          </cell>
          <cell r="BH22">
            <v>2.19</v>
          </cell>
          <cell r="BI22">
            <v>2.57</v>
          </cell>
          <cell r="BJ22">
            <v>3.16</v>
          </cell>
          <cell r="BK22">
            <v>3.3</v>
          </cell>
          <cell r="BL22">
            <v>2.5499999999999998</v>
          </cell>
          <cell r="BM22">
            <v>2.27</v>
          </cell>
          <cell r="BN22">
            <v>2.04</v>
          </cell>
          <cell r="BO22">
            <v>2.2599999999999998</v>
          </cell>
          <cell r="BP22">
            <v>2.3199999999999998</v>
          </cell>
          <cell r="BQ22">
            <v>2.27</v>
          </cell>
          <cell r="BR22">
            <v>2.0299999999999998</v>
          </cell>
          <cell r="BS22">
            <v>2.37</v>
          </cell>
          <cell r="BT22">
            <v>1.93</v>
          </cell>
          <cell r="BU22">
            <v>1.63</v>
          </cell>
          <cell r="BV22">
            <v>2.0699999999999998</v>
          </cell>
          <cell r="BW22">
            <v>2</v>
          </cell>
          <cell r="BX22">
            <v>2.12</v>
          </cell>
          <cell r="BY22">
            <v>1.8</v>
          </cell>
          <cell r="BZ22">
            <v>1.81</v>
          </cell>
          <cell r="CA22">
            <v>1.64</v>
          </cell>
          <cell r="CB22">
            <v>1.88</v>
          </cell>
          <cell r="CC22">
            <v>2.35</v>
          </cell>
          <cell r="CD22">
            <v>2.23</v>
          </cell>
          <cell r="CE22">
            <v>2.2799999999999998</v>
          </cell>
          <cell r="CF22">
            <v>2.62</v>
          </cell>
          <cell r="CG22">
            <v>2.9</v>
          </cell>
        </row>
        <row r="23">
          <cell r="A23" t="str">
            <v>KERN</v>
          </cell>
          <cell r="B23">
            <v>20</v>
          </cell>
          <cell r="C23">
            <v>1.85</v>
          </cell>
          <cell r="D23">
            <v>1.9</v>
          </cell>
          <cell r="E23">
            <v>2.3199999999999998</v>
          </cell>
          <cell r="F23">
            <v>1.6</v>
          </cell>
          <cell r="G23">
            <v>1.78</v>
          </cell>
          <cell r="H23">
            <v>1.82</v>
          </cell>
          <cell r="I23">
            <v>2.2999999999999998</v>
          </cell>
          <cell r="J23">
            <v>1.68</v>
          </cell>
          <cell r="K23">
            <v>1.64</v>
          </cell>
          <cell r="L23">
            <v>1.69</v>
          </cell>
          <cell r="M23">
            <v>1.96</v>
          </cell>
          <cell r="N23">
            <v>1.78</v>
          </cell>
          <cell r="O23">
            <v>1.8</v>
          </cell>
          <cell r="P23">
            <v>2.33</v>
          </cell>
          <cell r="Q23">
            <v>1.97</v>
          </cell>
          <cell r="R23">
            <v>1.78</v>
          </cell>
          <cell r="S23">
            <v>1.94</v>
          </cell>
          <cell r="T23">
            <v>1.63</v>
          </cell>
          <cell r="U23">
            <v>1.64</v>
          </cell>
          <cell r="V23">
            <v>1.38</v>
          </cell>
          <cell r="W23">
            <v>1.5</v>
          </cell>
          <cell r="X23">
            <v>1.46</v>
          </cell>
          <cell r="Y23">
            <v>1.36</v>
          </cell>
          <cell r="Z23">
            <v>1.18</v>
          </cell>
          <cell r="AA23">
            <v>1.5</v>
          </cell>
          <cell r="AB23">
            <v>1.63</v>
          </cell>
          <cell r="AC23">
            <v>1.39</v>
          </cell>
          <cell r="AD23">
            <v>1.07</v>
          </cell>
          <cell r="AE23">
            <v>1.07</v>
          </cell>
          <cell r="AF23">
            <v>1.06</v>
          </cell>
          <cell r="AG23">
            <v>1.07</v>
          </cell>
          <cell r="AH23">
            <v>1.1499999999999999</v>
          </cell>
          <cell r="AI23">
            <v>1</v>
          </cell>
          <cell r="AJ23">
            <v>0.84</v>
          </cell>
          <cell r="AK23">
            <v>0.95</v>
          </cell>
          <cell r="AL23">
            <v>1.04</v>
          </cell>
          <cell r="AM23">
            <v>1.25</v>
          </cell>
          <cell r="AN23">
            <v>1.31</v>
          </cell>
          <cell r="AO23">
            <v>1.27</v>
          </cell>
          <cell r="AP23">
            <v>1.17</v>
          </cell>
          <cell r="AQ23">
            <v>1.17</v>
          </cell>
          <cell r="AR23">
            <v>1.06</v>
          </cell>
          <cell r="AS23">
            <v>1.06</v>
          </cell>
          <cell r="AT23">
            <v>1.07</v>
          </cell>
          <cell r="AU23">
            <v>1.19</v>
          </cell>
          <cell r="AV23">
            <v>1.23</v>
          </cell>
          <cell r="AW23">
            <v>1.2</v>
          </cell>
          <cell r="AX23">
            <v>1.26</v>
          </cell>
          <cell r="AY23">
            <v>2.23</v>
          </cell>
          <cell r="AZ23">
            <v>3.48</v>
          </cell>
          <cell r="BA23">
            <v>4.2300000000000004</v>
          </cell>
          <cell r="BB23">
            <v>2.5</v>
          </cell>
          <cell r="BC23">
            <v>1.39</v>
          </cell>
          <cell r="BD23">
            <v>1.44</v>
          </cell>
          <cell r="BE23">
            <v>1.64</v>
          </cell>
          <cell r="BF23">
            <v>1.47</v>
          </cell>
          <cell r="BG23">
            <v>1.43</v>
          </cell>
          <cell r="BH23">
            <v>1.37</v>
          </cell>
          <cell r="BI23">
            <v>1.48</v>
          </cell>
          <cell r="BJ23">
            <v>2.09</v>
          </cell>
          <cell r="BK23">
            <v>3</v>
          </cell>
          <cell r="BL23">
            <v>1.93</v>
          </cell>
          <cell r="BM23">
            <v>2.04</v>
          </cell>
          <cell r="BN23">
            <v>1.69</v>
          </cell>
          <cell r="BO23">
            <v>1.88</v>
          </cell>
          <cell r="BP23">
            <v>1.9</v>
          </cell>
          <cell r="BQ23">
            <v>1.97</v>
          </cell>
          <cell r="BR23">
            <v>1.65</v>
          </cell>
          <cell r="BS23">
            <v>1.62</v>
          </cell>
          <cell r="BT23">
            <v>1.73</v>
          </cell>
          <cell r="BU23">
            <v>1.59</v>
          </cell>
          <cell r="BV23">
            <v>1.64</v>
          </cell>
          <cell r="BW23">
            <v>2.0099999999999998</v>
          </cell>
          <cell r="BX23">
            <v>2</v>
          </cell>
          <cell r="BY23">
            <v>1.8</v>
          </cell>
          <cell r="BZ23">
            <v>1.64</v>
          </cell>
          <cell r="CA23">
            <v>1.51</v>
          </cell>
          <cell r="CB23">
            <v>1.54</v>
          </cell>
          <cell r="CC23">
            <v>1.99</v>
          </cell>
          <cell r="CD23">
            <v>1.94</v>
          </cell>
          <cell r="CE23">
            <v>2</v>
          </cell>
          <cell r="CF23">
            <v>2.1800000000000002</v>
          </cell>
          <cell r="CG23">
            <v>2.56</v>
          </cell>
        </row>
        <row r="24">
          <cell r="A24" t="str">
            <v>KRS (SOCAL)-NGI</v>
          </cell>
          <cell r="B24">
            <v>21</v>
          </cell>
          <cell r="AD24">
            <v>1.23</v>
          </cell>
          <cell r="AE24">
            <v>1.21</v>
          </cell>
          <cell r="AF24">
            <v>1.23</v>
          </cell>
          <cell r="AG24">
            <v>1.32</v>
          </cell>
          <cell r="AH24">
            <v>1.32</v>
          </cell>
          <cell r="AI24">
            <v>1.24</v>
          </cell>
          <cell r="AJ24">
            <v>1.23</v>
          </cell>
          <cell r="AK24">
            <v>1.44</v>
          </cell>
          <cell r="AL24">
            <v>1.46</v>
          </cell>
          <cell r="AM24">
            <v>1.56</v>
          </cell>
          <cell r="AN24">
            <v>1.62</v>
          </cell>
          <cell r="AO24">
            <v>1.49</v>
          </cell>
          <cell r="AP24">
            <v>1.42</v>
          </cell>
          <cell r="AQ24">
            <v>1.39</v>
          </cell>
          <cell r="AR24">
            <v>1.28</v>
          </cell>
          <cell r="AS24">
            <v>1.28</v>
          </cell>
          <cell r="AT24">
            <v>1.37</v>
          </cell>
          <cell r="AU24">
            <v>1.68</v>
          </cell>
          <cell r="AV24">
            <v>2.15</v>
          </cell>
          <cell r="AW24">
            <v>1.71</v>
          </cell>
          <cell r="AX24">
            <v>1.72</v>
          </cell>
          <cell r="AY24">
            <v>2.61</v>
          </cell>
          <cell r="AZ24">
            <v>3.68</v>
          </cell>
          <cell r="BA24">
            <v>4.25</v>
          </cell>
          <cell r="BB24">
            <v>2.64</v>
          </cell>
          <cell r="BC24">
            <v>1.6</v>
          </cell>
          <cell r="BD24">
            <v>1.72</v>
          </cell>
          <cell r="BE24">
            <v>2.0299999999999998</v>
          </cell>
          <cell r="BF24">
            <v>2.1800000000000002</v>
          </cell>
          <cell r="BG24">
            <v>2.17</v>
          </cell>
          <cell r="BH24">
            <v>2.19</v>
          </cell>
          <cell r="BI24">
            <v>2.4900000000000002</v>
          </cell>
          <cell r="BJ24">
            <v>3.04</v>
          </cell>
          <cell r="BK24">
            <v>3.27</v>
          </cell>
          <cell r="BL24">
            <v>2.3199999999999998</v>
          </cell>
          <cell r="BM24">
            <v>2.2799999999999998</v>
          </cell>
          <cell r="BN24">
            <v>2.1</v>
          </cell>
        </row>
        <row r="25">
          <cell r="A25" t="str">
            <v>KOCH-LA</v>
          </cell>
          <cell r="B25">
            <v>22</v>
          </cell>
          <cell r="C25">
            <v>2.2200000000000002</v>
          </cell>
          <cell r="D25">
            <v>2.15</v>
          </cell>
          <cell r="E25">
            <v>1.85</v>
          </cell>
          <cell r="F25">
            <v>1.54</v>
          </cell>
          <cell r="G25">
            <v>1.85</v>
          </cell>
          <cell r="H25">
            <v>2.1</v>
          </cell>
          <cell r="I25">
            <v>2.56</v>
          </cell>
          <cell r="J25">
            <v>1.92</v>
          </cell>
          <cell r="K25">
            <v>1.85</v>
          </cell>
          <cell r="L25">
            <v>2.04</v>
          </cell>
          <cell r="M25">
            <v>2.27</v>
          </cell>
          <cell r="N25">
            <v>1.9</v>
          </cell>
          <cell r="O25">
            <v>1.98</v>
          </cell>
          <cell r="P25">
            <v>2.2999999999999998</v>
          </cell>
          <cell r="Q25">
            <v>1.92</v>
          </cell>
          <cell r="R25">
            <v>2.14</v>
          </cell>
          <cell r="S25">
            <v>2.19</v>
          </cell>
          <cell r="T25">
            <v>1.89</v>
          </cell>
          <cell r="U25">
            <v>1.94</v>
          </cell>
          <cell r="V25">
            <v>1.7</v>
          </cell>
          <cell r="W25">
            <v>1.85</v>
          </cell>
          <cell r="X25">
            <v>1.68</v>
          </cell>
          <cell r="Y25">
            <v>1.39</v>
          </cell>
          <cell r="Z25">
            <v>1.31</v>
          </cell>
          <cell r="AA25">
            <v>1.57</v>
          </cell>
          <cell r="AB25">
            <v>1.58</v>
          </cell>
          <cell r="AC25">
            <v>1.52</v>
          </cell>
          <cell r="AD25">
            <v>1.36</v>
          </cell>
          <cell r="AE25">
            <v>1.35</v>
          </cell>
          <cell r="AF25">
            <v>1.46</v>
          </cell>
          <cell r="AG25">
            <v>1.57</v>
          </cell>
          <cell r="AH25">
            <v>1.62</v>
          </cell>
          <cell r="AI25">
            <v>1.43</v>
          </cell>
          <cell r="AJ25">
            <v>1.28</v>
          </cell>
          <cell r="AK25">
            <v>1.48</v>
          </cell>
          <cell r="AL25">
            <v>1.56</v>
          </cell>
          <cell r="AM25">
            <v>1.69</v>
          </cell>
          <cell r="AN25">
            <v>2.12</v>
          </cell>
          <cell r="AO25">
            <v>2.52</v>
          </cell>
          <cell r="AP25">
            <v>2.11</v>
          </cell>
          <cell r="AQ25">
            <v>2.57</v>
          </cell>
          <cell r="AR25">
            <v>2.4500000000000002</v>
          </cell>
          <cell r="AS25">
            <v>2.1</v>
          </cell>
          <cell r="AT25">
            <v>2.2200000000000002</v>
          </cell>
          <cell r="AU25">
            <v>2.52</v>
          </cell>
          <cell r="AV25">
            <v>2.23</v>
          </cell>
          <cell r="AW25">
            <v>1.7</v>
          </cell>
          <cell r="AX25">
            <v>1.74</v>
          </cell>
          <cell r="AY25">
            <v>2.6</v>
          </cell>
          <cell r="AZ25">
            <v>3.82</v>
          </cell>
          <cell r="BA25">
            <v>3.85</v>
          </cell>
          <cell r="BB25">
            <v>2.85</v>
          </cell>
          <cell r="BC25">
            <v>1.72</v>
          </cell>
          <cell r="BD25">
            <v>1.77</v>
          </cell>
          <cell r="BE25">
            <v>2.0099999999999998</v>
          </cell>
          <cell r="BF25">
            <v>2.2599999999999998</v>
          </cell>
          <cell r="BG25">
            <v>2.09</v>
          </cell>
          <cell r="BH25">
            <v>2.12</v>
          </cell>
          <cell r="BI25">
            <v>2.4700000000000002</v>
          </cell>
          <cell r="BJ25">
            <v>3.03</v>
          </cell>
          <cell r="BK25">
            <v>3.2</v>
          </cell>
          <cell r="BL25">
            <v>2.4700000000000002</v>
          </cell>
          <cell r="BM25">
            <v>2.17</v>
          </cell>
          <cell r="BN25">
            <v>1.92</v>
          </cell>
          <cell r="BO25">
            <v>2.15</v>
          </cell>
          <cell r="BP25">
            <v>2.2200000000000002</v>
          </cell>
          <cell r="BQ25">
            <v>2.17</v>
          </cell>
          <cell r="BR25">
            <v>1.94</v>
          </cell>
          <cell r="BS25">
            <v>2.2599999999999998</v>
          </cell>
          <cell r="BT25">
            <v>1.85</v>
          </cell>
          <cell r="BU25">
            <v>1.54</v>
          </cell>
          <cell r="BV25">
            <v>1.95</v>
          </cell>
          <cell r="BW25">
            <v>1.89</v>
          </cell>
          <cell r="BX25">
            <v>2.0099999999999998</v>
          </cell>
          <cell r="BY25">
            <v>1.65</v>
          </cell>
          <cell r="BZ25">
            <v>1.7</v>
          </cell>
          <cell r="CA25">
            <v>1.52</v>
          </cell>
          <cell r="CB25">
            <v>1.76</v>
          </cell>
          <cell r="CC25">
            <v>2.2400000000000002</v>
          </cell>
          <cell r="CD25">
            <v>2.11</v>
          </cell>
          <cell r="CE25">
            <v>2.16</v>
          </cell>
          <cell r="CF25">
            <v>2.4900000000000002</v>
          </cell>
          <cell r="CG25">
            <v>2.78</v>
          </cell>
        </row>
        <row r="26">
          <cell r="A26" t="str">
            <v>KOCH-TX</v>
          </cell>
          <cell r="B26">
            <v>23</v>
          </cell>
          <cell r="C26">
            <v>2.17</v>
          </cell>
          <cell r="D26">
            <v>2.1</v>
          </cell>
          <cell r="E26">
            <v>1.82</v>
          </cell>
          <cell r="F26">
            <v>1.53</v>
          </cell>
          <cell r="G26">
            <v>1.78</v>
          </cell>
          <cell r="H26">
            <v>2.1</v>
          </cell>
          <cell r="I26">
            <v>2.56</v>
          </cell>
          <cell r="J26">
            <v>1.89</v>
          </cell>
          <cell r="K26">
            <v>1.85</v>
          </cell>
          <cell r="L26">
            <v>2</v>
          </cell>
          <cell r="M26">
            <v>2.25</v>
          </cell>
          <cell r="N26">
            <v>1.88</v>
          </cell>
          <cell r="O26">
            <v>1.95</v>
          </cell>
          <cell r="P26">
            <v>2.2599999999999998</v>
          </cell>
          <cell r="Q26">
            <v>1.87</v>
          </cell>
          <cell r="R26">
            <v>2.1</v>
          </cell>
          <cell r="S26">
            <v>2.09</v>
          </cell>
          <cell r="T26">
            <v>1.83</v>
          </cell>
          <cell r="U26">
            <v>1.9</v>
          </cell>
          <cell r="V26">
            <v>1.65</v>
          </cell>
          <cell r="W26">
            <v>1.8</v>
          </cell>
          <cell r="X26">
            <v>1.64</v>
          </cell>
          <cell r="Y26">
            <v>1.37</v>
          </cell>
          <cell r="Z26">
            <v>1.3</v>
          </cell>
          <cell r="AA26">
            <v>1.53</v>
          </cell>
          <cell r="AB26">
            <v>1.54</v>
          </cell>
          <cell r="AC26">
            <v>1.46</v>
          </cell>
          <cell r="AD26">
            <v>1.27</v>
          </cell>
          <cell r="AE26">
            <v>1.3</v>
          </cell>
          <cell r="AF26">
            <v>1.44</v>
          </cell>
          <cell r="AG26">
            <v>1.52</v>
          </cell>
          <cell r="AH26">
            <v>1.58</v>
          </cell>
          <cell r="AI26">
            <v>1.37</v>
          </cell>
          <cell r="AJ26">
            <v>1.26</v>
          </cell>
          <cell r="AK26">
            <v>1.44</v>
          </cell>
          <cell r="AL26">
            <v>1.53</v>
          </cell>
          <cell r="AM26">
            <v>1.65</v>
          </cell>
          <cell r="AN26">
            <v>2.06</v>
          </cell>
          <cell r="AO26">
            <v>2.06</v>
          </cell>
          <cell r="AP26">
            <v>1.78</v>
          </cell>
          <cell r="AQ26">
            <v>1.92</v>
          </cell>
          <cell r="AR26">
            <v>2.2400000000000002</v>
          </cell>
          <cell r="AS26">
            <v>2.0499999999999998</v>
          </cell>
          <cell r="AT26">
            <v>2.21</v>
          </cell>
          <cell r="AU26">
            <v>2.48</v>
          </cell>
          <cell r="AV26">
            <v>2.19</v>
          </cell>
          <cell r="AW26">
            <v>1.69</v>
          </cell>
          <cell r="AX26">
            <v>1.72</v>
          </cell>
          <cell r="AY26">
            <v>2.58</v>
          </cell>
          <cell r="AZ26">
            <v>3.59</v>
          </cell>
          <cell r="BA26">
            <v>3.6</v>
          </cell>
          <cell r="BB26">
            <v>2.64</v>
          </cell>
          <cell r="BC26">
            <v>1.63</v>
          </cell>
          <cell r="BD26">
            <v>1.68</v>
          </cell>
          <cell r="BE26">
            <v>2.0099999999999998</v>
          </cell>
          <cell r="BF26">
            <v>2.17</v>
          </cell>
          <cell r="BG26">
            <v>2.02</v>
          </cell>
          <cell r="BH26">
            <v>2.04</v>
          </cell>
          <cell r="BI26">
            <v>2.4</v>
          </cell>
          <cell r="BJ26">
            <v>2.88</v>
          </cell>
          <cell r="BK26">
            <v>3.04</v>
          </cell>
          <cell r="BL26">
            <v>2.25</v>
          </cell>
          <cell r="BM26">
            <v>2.04</v>
          </cell>
          <cell r="BN26">
            <v>1.82</v>
          </cell>
          <cell r="BO26">
            <v>2.0699999999999998</v>
          </cell>
          <cell r="BP26">
            <v>2.15</v>
          </cell>
          <cell r="BQ26">
            <v>2.09</v>
          </cell>
          <cell r="BR26">
            <v>1.89</v>
          </cell>
          <cell r="BS26">
            <v>2.2000000000000002</v>
          </cell>
          <cell r="BT26">
            <v>1.79</v>
          </cell>
          <cell r="BU26">
            <v>1.47</v>
          </cell>
          <cell r="BV26">
            <v>1.87</v>
          </cell>
          <cell r="BW26">
            <v>1.84</v>
          </cell>
          <cell r="BX26">
            <v>1.96</v>
          </cell>
          <cell r="BY26">
            <v>1.61</v>
          </cell>
          <cell r="BZ26">
            <v>1.63</v>
          </cell>
          <cell r="CA26">
            <v>1.47</v>
          </cell>
          <cell r="CB26">
            <v>1.7</v>
          </cell>
          <cell r="CC26">
            <v>2.1800000000000002</v>
          </cell>
          <cell r="CD26">
            <v>2.06</v>
          </cell>
          <cell r="CE26">
            <v>2.1</v>
          </cell>
          <cell r="CF26">
            <v>2.4500000000000002</v>
          </cell>
          <cell r="CG26">
            <v>2.73</v>
          </cell>
        </row>
        <row r="27">
          <cell r="A27" t="str">
            <v>MALIN-400</v>
          </cell>
          <cell r="B27">
            <v>24</v>
          </cell>
          <cell r="AA27">
            <v>1.63</v>
          </cell>
          <cell r="AB27">
            <v>1.76</v>
          </cell>
          <cell r="AC27">
            <v>1.37</v>
          </cell>
          <cell r="AD27">
            <v>1.1000000000000001</v>
          </cell>
          <cell r="AE27">
            <v>1.0900000000000001</v>
          </cell>
          <cell r="AF27">
            <v>1.1100000000000001</v>
          </cell>
          <cell r="AG27">
            <v>1.2</v>
          </cell>
          <cell r="AH27">
            <v>1.21</v>
          </cell>
          <cell r="AI27">
            <v>1.05</v>
          </cell>
          <cell r="AJ27">
            <v>1.02</v>
          </cell>
          <cell r="AK27">
            <v>1.17</v>
          </cell>
          <cell r="AL27">
            <v>1.23</v>
          </cell>
          <cell r="AM27">
            <v>1.32</v>
          </cell>
          <cell r="AN27">
            <v>1.39</v>
          </cell>
          <cell r="AO27">
            <v>1.38</v>
          </cell>
          <cell r="AP27">
            <v>1.39</v>
          </cell>
          <cell r="AQ27">
            <v>1.32</v>
          </cell>
          <cell r="AR27">
            <v>1.23</v>
          </cell>
          <cell r="AS27">
            <v>1.1499999999999999</v>
          </cell>
          <cell r="AT27">
            <v>1.07</v>
          </cell>
          <cell r="AU27">
            <v>1.19</v>
          </cell>
          <cell r="AV27">
            <v>1.58</v>
          </cell>
          <cell r="AW27">
            <v>1.29</v>
          </cell>
          <cell r="AX27">
            <v>1.34</v>
          </cell>
          <cell r="AY27">
            <v>2.33</v>
          </cell>
          <cell r="AZ27">
            <v>3.62</v>
          </cell>
          <cell r="BA27">
            <v>4.1100000000000003</v>
          </cell>
          <cell r="BB27">
            <v>2.5</v>
          </cell>
          <cell r="BC27">
            <v>1.33</v>
          </cell>
          <cell r="BD27">
            <v>1.46</v>
          </cell>
          <cell r="BE27">
            <v>1.73</v>
          </cell>
          <cell r="BF27">
            <v>1.72</v>
          </cell>
          <cell r="BG27">
            <v>1.59</v>
          </cell>
          <cell r="BH27">
            <v>1.54</v>
          </cell>
          <cell r="BI27">
            <v>1.72</v>
          </cell>
          <cell r="BJ27">
            <v>2.2799999999999998</v>
          </cell>
          <cell r="BK27">
            <v>3.05</v>
          </cell>
          <cell r="BL27">
            <v>1.92</v>
          </cell>
          <cell r="BM27">
            <v>2.1</v>
          </cell>
          <cell r="BN27">
            <v>1.76</v>
          </cell>
          <cell r="BO27">
            <v>1.88</v>
          </cell>
          <cell r="BZ27">
            <v>1.74</v>
          </cell>
          <cell r="CA27">
            <v>1.62</v>
          </cell>
          <cell r="CB27">
            <v>1.64</v>
          </cell>
        </row>
        <row r="28">
          <cell r="A28" t="str">
            <v>MALIN-401</v>
          </cell>
          <cell r="B28">
            <v>25</v>
          </cell>
          <cell r="AC28">
            <v>1.1399999999999999</v>
          </cell>
          <cell r="AD28">
            <v>0.89</v>
          </cell>
          <cell r="AE28">
            <v>0.92</v>
          </cell>
          <cell r="AF28">
            <v>0.95</v>
          </cell>
          <cell r="AG28">
            <v>1.04</v>
          </cell>
          <cell r="AH28">
            <v>1.1000000000000001</v>
          </cell>
          <cell r="AI28">
            <v>0.91</v>
          </cell>
          <cell r="AJ28">
            <v>0.91</v>
          </cell>
          <cell r="AK28">
            <v>1.05</v>
          </cell>
          <cell r="AL28">
            <v>1.1100000000000001</v>
          </cell>
          <cell r="AM28">
            <v>1.17</v>
          </cell>
          <cell r="AN28">
            <v>1.27</v>
          </cell>
          <cell r="AO28">
            <v>1.23</v>
          </cell>
          <cell r="AP28">
            <v>1.24</v>
          </cell>
          <cell r="AQ28">
            <v>1.18</v>
          </cell>
          <cell r="AR28">
            <v>1.1000000000000001</v>
          </cell>
          <cell r="AS28">
            <v>1.03</v>
          </cell>
          <cell r="AT28">
            <v>1</v>
          </cell>
          <cell r="AU28">
            <v>1.19</v>
          </cell>
          <cell r="AV28">
            <v>1.56</v>
          </cell>
          <cell r="AW28">
            <v>1.25</v>
          </cell>
          <cell r="AX28">
            <v>1.29</v>
          </cell>
          <cell r="AY28">
            <v>2.2400000000000002</v>
          </cell>
          <cell r="AZ28">
            <v>3.52</v>
          </cell>
          <cell r="BA28">
            <v>4.0599999999999996</v>
          </cell>
          <cell r="BB28">
            <v>2.44</v>
          </cell>
          <cell r="BC28">
            <v>1.28</v>
          </cell>
          <cell r="BD28">
            <v>1.39</v>
          </cell>
          <cell r="BE28">
            <v>1.67</v>
          </cell>
          <cell r="BF28">
            <v>1.68</v>
          </cell>
          <cell r="BG28">
            <v>1.49</v>
          </cell>
          <cell r="BH28">
            <v>1.5</v>
          </cell>
          <cell r="BI28">
            <v>1.69</v>
          </cell>
          <cell r="BJ28">
            <v>2.25</v>
          </cell>
          <cell r="BK28">
            <v>2.88</v>
          </cell>
          <cell r="BL28">
            <v>1.8</v>
          </cell>
          <cell r="BM28">
            <v>1.96</v>
          </cell>
          <cell r="BN28">
            <v>1.7</v>
          </cell>
          <cell r="BO28">
            <v>2.3199999999999998</v>
          </cell>
        </row>
        <row r="29">
          <cell r="A29" t="str">
            <v>MICH</v>
          </cell>
          <cell r="B29">
            <v>26</v>
          </cell>
          <cell r="D29">
            <v>2.5</v>
          </cell>
          <cell r="E29">
            <v>2.29</v>
          </cell>
          <cell r="F29">
            <v>1.98</v>
          </cell>
          <cell r="G29">
            <v>2.12</v>
          </cell>
          <cell r="H29">
            <v>2.4900000000000002</v>
          </cell>
          <cell r="I29">
            <v>3.03</v>
          </cell>
          <cell r="J29">
            <v>2.36</v>
          </cell>
          <cell r="K29">
            <v>2.2200000000000002</v>
          </cell>
          <cell r="L29">
            <v>2.29</v>
          </cell>
          <cell r="M29">
            <v>2.61</v>
          </cell>
          <cell r="N29">
            <v>2.2000000000000002</v>
          </cell>
          <cell r="O29">
            <v>2.23</v>
          </cell>
          <cell r="P29">
            <v>2.54</v>
          </cell>
          <cell r="Q29">
            <v>2.25</v>
          </cell>
          <cell r="R29">
            <v>2.64</v>
          </cell>
          <cell r="S29">
            <v>2.77</v>
          </cell>
          <cell r="T29">
            <v>2.23</v>
          </cell>
          <cell r="U29">
            <v>2.23</v>
          </cell>
          <cell r="V29">
            <v>1.97</v>
          </cell>
          <cell r="W29">
            <v>2.0699999999999998</v>
          </cell>
          <cell r="X29">
            <v>1.91</v>
          </cell>
          <cell r="Y29">
            <v>1.61</v>
          </cell>
          <cell r="Z29">
            <v>1.49</v>
          </cell>
          <cell r="AA29">
            <v>1.85</v>
          </cell>
          <cell r="AB29">
            <v>1.86</v>
          </cell>
          <cell r="AC29">
            <v>1.75</v>
          </cell>
          <cell r="AD29">
            <v>1.52</v>
          </cell>
          <cell r="AE29">
            <v>1.5</v>
          </cell>
          <cell r="AF29">
            <v>1.64</v>
          </cell>
          <cell r="AG29">
            <v>1.76</v>
          </cell>
          <cell r="AH29">
            <v>1.82</v>
          </cell>
          <cell r="AI29">
            <v>1.59</v>
          </cell>
          <cell r="AJ29">
            <v>1.46</v>
          </cell>
          <cell r="AK29">
            <v>1.68</v>
          </cell>
          <cell r="AL29">
            <v>1.75</v>
          </cell>
          <cell r="AM29">
            <v>1.92</v>
          </cell>
          <cell r="AN29">
            <v>2.35</v>
          </cell>
          <cell r="AO29">
            <v>3.43</v>
          </cell>
          <cell r="AP29">
            <v>3.06</v>
          </cell>
          <cell r="AQ29">
            <v>4.8</v>
          </cell>
          <cell r="AR29">
            <v>3.01</v>
          </cell>
          <cell r="AS29">
            <v>2.38</v>
          </cell>
          <cell r="AT29">
            <v>2.6</v>
          </cell>
          <cell r="AU29">
            <v>2.9</v>
          </cell>
          <cell r="AV29">
            <v>2.5</v>
          </cell>
          <cell r="AW29">
            <v>2.0299999999999998</v>
          </cell>
          <cell r="AX29">
            <v>2.16</v>
          </cell>
          <cell r="AY29">
            <v>3.05</v>
          </cell>
          <cell r="AZ29">
            <v>4.08</v>
          </cell>
          <cell r="BA29">
            <v>4.38</v>
          </cell>
          <cell r="BB29">
            <v>3.36</v>
          </cell>
          <cell r="BC29">
            <v>1.94</v>
          </cell>
          <cell r="BD29">
            <v>2.12</v>
          </cell>
          <cell r="BE29">
            <v>2.2999999999999998</v>
          </cell>
          <cell r="BF29">
            <v>2.5299999999999998</v>
          </cell>
          <cell r="BG29">
            <v>2.3199999999999998</v>
          </cell>
          <cell r="BH29">
            <v>2.31</v>
          </cell>
          <cell r="BI29">
            <v>2.71</v>
          </cell>
          <cell r="BJ29">
            <v>3.37</v>
          </cell>
          <cell r="BK29">
            <v>3.54</v>
          </cell>
          <cell r="BL29">
            <v>3.54</v>
          </cell>
          <cell r="BM29">
            <v>2.38</v>
          </cell>
          <cell r="BN29">
            <v>2.1800000000000002</v>
          </cell>
          <cell r="BO29">
            <v>2.37</v>
          </cell>
          <cell r="BP29">
            <v>2.4700000000000002</v>
          </cell>
          <cell r="BQ29">
            <v>2.41</v>
          </cell>
          <cell r="BR29">
            <v>2.17</v>
          </cell>
          <cell r="BS29">
            <v>2.4300000000000002</v>
          </cell>
          <cell r="CE29">
            <v>2.34</v>
          </cell>
          <cell r="CF29">
            <v>2.7</v>
          </cell>
          <cell r="CG29">
            <v>2.98</v>
          </cell>
        </row>
        <row r="30">
          <cell r="A30" t="str">
            <v>MRC</v>
          </cell>
          <cell r="B30">
            <v>27</v>
          </cell>
          <cell r="C30">
            <v>2.36</v>
          </cell>
          <cell r="D30">
            <v>2.31</v>
          </cell>
          <cell r="E30">
            <v>2.04</v>
          </cell>
          <cell r="F30">
            <v>1.66</v>
          </cell>
          <cell r="G30">
            <v>1.99</v>
          </cell>
          <cell r="H30">
            <v>2.2799999999999998</v>
          </cell>
          <cell r="I30">
            <v>2.7</v>
          </cell>
          <cell r="J30">
            <v>2</v>
          </cell>
          <cell r="K30">
            <v>2.0299999999999998</v>
          </cell>
          <cell r="L30">
            <v>2.1800000000000002</v>
          </cell>
          <cell r="M30">
            <v>2.42</v>
          </cell>
          <cell r="N30">
            <v>2.08</v>
          </cell>
          <cell r="O30">
            <v>2.16</v>
          </cell>
          <cell r="P30">
            <v>2.4700000000000002</v>
          </cell>
          <cell r="Q30">
            <v>2.08</v>
          </cell>
          <cell r="R30">
            <v>2.4</v>
          </cell>
          <cell r="S30">
            <v>2.4300000000000002</v>
          </cell>
          <cell r="T30">
            <v>2.04</v>
          </cell>
          <cell r="U30">
            <v>2.1</v>
          </cell>
          <cell r="V30">
            <v>1.86</v>
          </cell>
          <cell r="W30">
            <v>1.99</v>
          </cell>
          <cell r="X30">
            <v>1.82</v>
          </cell>
          <cell r="Y30">
            <v>1.52</v>
          </cell>
          <cell r="Z30">
            <v>1.45</v>
          </cell>
          <cell r="AA30">
            <v>1.71</v>
          </cell>
          <cell r="AB30">
            <v>1.7</v>
          </cell>
          <cell r="AC30">
            <v>1.65</v>
          </cell>
          <cell r="AD30">
            <v>1.44</v>
          </cell>
          <cell r="AE30">
            <v>1.51</v>
          </cell>
          <cell r="AF30">
            <v>1.61</v>
          </cell>
          <cell r="AG30">
            <v>1.69</v>
          </cell>
          <cell r="AH30">
            <v>1.75</v>
          </cell>
          <cell r="AI30">
            <v>1.55</v>
          </cell>
          <cell r="AJ30">
            <v>1.41</v>
          </cell>
          <cell r="AK30">
            <v>1.59</v>
          </cell>
          <cell r="AL30">
            <v>1.67</v>
          </cell>
          <cell r="AM30">
            <v>1.82</v>
          </cell>
          <cell r="AN30">
            <v>2.31</v>
          </cell>
          <cell r="AO30">
            <v>3.47</v>
          </cell>
          <cell r="AP30">
            <v>2.4300000000000002</v>
          </cell>
          <cell r="AQ30">
            <v>2.86</v>
          </cell>
          <cell r="AR30">
            <v>2.74</v>
          </cell>
          <cell r="AS30">
            <v>2.25</v>
          </cell>
          <cell r="AT30">
            <v>2.42</v>
          </cell>
          <cell r="AU30">
            <v>2.69</v>
          </cell>
          <cell r="AV30">
            <v>2.37</v>
          </cell>
          <cell r="AW30">
            <v>1.87</v>
          </cell>
          <cell r="AX30">
            <v>1.9</v>
          </cell>
          <cell r="AY30">
            <v>2.75</v>
          </cell>
          <cell r="AZ30">
            <v>3.94</v>
          </cell>
          <cell r="BA30">
            <v>4.1500000000000004</v>
          </cell>
          <cell r="BB30">
            <v>2.99</v>
          </cell>
          <cell r="BC30">
            <v>1.76</v>
          </cell>
          <cell r="BD30">
            <v>1.87</v>
          </cell>
          <cell r="BE30">
            <v>2.16</v>
          </cell>
          <cell r="BF30">
            <v>2.36</v>
          </cell>
          <cell r="BG30">
            <v>2.21</v>
          </cell>
          <cell r="BH30">
            <v>2.23</v>
          </cell>
          <cell r="BI30">
            <v>2.58</v>
          </cell>
          <cell r="BJ30">
            <v>3.15</v>
          </cell>
          <cell r="BK30">
            <v>3.32</v>
          </cell>
          <cell r="BL30">
            <v>2.58</v>
          </cell>
          <cell r="BM30">
            <v>2.3199999999999998</v>
          </cell>
          <cell r="BN30">
            <v>2.06</v>
          </cell>
        </row>
        <row r="31">
          <cell r="A31" t="str">
            <v>NGPL-LA</v>
          </cell>
          <cell r="B31">
            <v>28</v>
          </cell>
          <cell r="C31">
            <v>2.2999999999999998</v>
          </cell>
          <cell r="D31">
            <v>2.2000000000000002</v>
          </cell>
          <cell r="E31">
            <v>1.92</v>
          </cell>
          <cell r="F31">
            <v>1.62</v>
          </cell>
          <cell r="G31">
            <v>1.86</v>
          </cell>
          <cell r="H31">
            <v>2.16</v>
          </cell>
          <cell r="I31">
            <v>2.67</v>
          </cell>
          <cell r="J31">
            <v>1.98</v>
          </cell>
          <cell r="K31">
            <v>1.9</v>
          </cell>
          <cell r="L31">
            <v>2.04</v>
          </cell>
          <cell r="M31">
            <v>2.33</v>
          </cell>
          <cell r="N31">
            <v>1.97</v>
          </cell>
          <cell r="O31">
            <v>2.08</v>
          </cell>
          <cell r="P31">
            <v>2.33</v>
          </cell>
          <cell r="Q31">
            <v>1.98</v>
          </cell>
          <cell r="R31">
            <v>2.2799999999999998</v>
          </cell>
          <cell r="S31">
            <v>2.25</v>
          </cell>
          <cell r="T31">
            <v>1.92</v>
          </cell>
          <cell r="U31">
            <v>2</v>
          </cell>
          <cell r="V31">
            <v>1.74</v>
          </cell>
          <cell r="W31">
            <v>1.86</v>
          </cell>
          <cell r="X31">
            <v>1.72</v>
          </cell>
          <cell r="Y31">
            <v>1.43</v>
          </cell>
          <cell r="Z31">
            <v>1.36</v>
          </cell>
          <cell r="AA31">
            <v>1.61</v>
          </cell>
          <cell r="AB31">
            <v>1.61</v>
          </cell>
          <cell r="AC31">
            <v>1.55</v>
          </cell>
          <cell r="AD31">
            <v>1.35</v>
          </cell>
          <cell r="AE31">
            <v>1.37</v>
          </cell>
          <cell r="AF31">
            <v>1.49</v>
          </cell>
          <cell r="AG31">
            <v>1.61</v>
          </cell>
          <cell r="AH31">
            <v>1.65</v>
          </cell>
          <cell r="AI31">
            <v>1.44</v>
          </cell>
          <cell r="AJ31">
            <v>1.31</v>
          </cell>
          <cell r="AK31">
            <v>1.51</v>
          </cell>
          <cell r="AL31">
            <v>1.59</v>
          </cell>
          <cell r="AM31">
            <v>1.72</v>
          </cell>
          <cell r="AN31">
            <v>2.15</v>
          </cell>
          <cell r="AO31">
            <v>2.13</v>
          </cell>
          <cell r="AP31">
            <v>1.9</v>
          </cell>
          <cell r="AQ31">
            <v>2.15</v>
          </cell>
          <cell r="AR31">
            <v>2.4</v>
          </cell>
          <cell r="AS31">
            <v>2.12</v>
          </cell>
          <cell r="AT31">
            <v>2.25</v>
          </cell>
          <cell r="AU31">
            <v>2.57</v>
          </cell>
          <cell r="AV31">
            <v>2.2200000000000002</v>
          </cell>
          <cell r="AW31">
            <v>1.74</v>
          </cell>
          <cell r="AX31">
            <v>1.78</v>
          </cell>
          <cell r="AY31">
            <v>2.61</v>
          </cell>
          <cell r="AZ31">
            <v>3.72</v>
          </cell>
          <cell r="BA31">
            <v>4</v>
          </cell>
          <cell r="BB31">
            <v>2.82</v>
          </cell>
          <cell r="BC31">
            <v>1.69</v>
          </cell>
          <cell r="BD31">
            <v>1.74</v>
          </cell>
          <cell r="BE31">
            <v>2.04</v>
          </cell>
          <cell r="BF31">
            <v>2.23</v>
          </cell>
          <cell r="BG31">
            <v>2.09</v>
          </cell>
          <cell r="BH31">
            <v>2.11</v>
          </cell>
          <cell r="BI31">
            <v>2.4700000000000002</v>
          </cell>
          <cell r="BJ31">
            <v>3.05</v>
          </cell>
          <cell r="BK31">
            <v>3.17</v>
          </cell>
          <cell r="BL31">
            <v>2.37</v>
          </cell>
          <cell r="BM31">
            <v>2.15</v>
          </cell>
          <cell r="BN31">
            <v>1.92</v>
          </cell>
          <cell r="BO31">
            <v>2.1800000000000002</v>
          </cell>
          <cell r="BP31">
            <v>2.23</v>
          </cell>
          <cell r="BQ31">
            <v>2.2000000000000002</v>
          </cell>
          <cell r="BR31">
            <v>1.97</v>
          </cell>
          <cell r="BS31">
            <v>2.31</v>
          </cell>
          <cell r="BT31">
            <v>1.86</v>
          </cell>
          <cell r="BU31">
            <v>1.56</v>
          </cell>
          <cell r="BV31">
            <v>1.96</v>
          </cell>
          <cell r="BW31">
            <v>1.95</v>
          </cell>
          <cell r="BX31">
            <v>2.08</v>
          </cell>
          <cell r="BY31">
            <v>1.72</v>
          </cell>
          <cell r="BZ31">
            <v>1.75</v>
          </cell>
          <cell r="CA31">
            <v>1.58</v>
          </cell>
          <cell r="CB31">
            <v>1.83</v>
          </cell>
          <cell r="CC31">
            <v>2.2999999999999998</v>
          </cell>
          <cell r="CD31">
            <v>2.1800000000000002</v>
          </cell>
          <cell r="CE31">
            <v>2.21</v>
          </cell>
          <cell r="CF31">
            <v>2.57</v>
          </cell>
          <cell r="CG31">
            <v>2.84</v>
          </cell>
        </row>
        <row r="32">
          <cell r="A32" t="str">
            <v>NGPL-MC</v>
          </cell>
          <cell r="B32">
            <v>29</v>
          </cell>
          <cell r="AQ32">
            <v>1.9</v>
          </cell>
          <cell r="AR32">
            <v>2.14</v>
          </cell>
          <cell r="AS32">
            <v>2.0099999999999998</v>
          </cell>
          <cell r="AT32">
            <v>2.0499999999999998</v>
          </cell>
          <cell r="AU32">
            <v>2.1800000000000002</v>
          </cell>
          <cell r="AV32">
            <v>2.14</v>
          </cell>
          <cell r="AW32">
            <v>1.67</v>
          </cell>
          <cell r="AX32">
            <v>1.69</v>
          </cell>
          <cell r="AY32">
            <v>2.4900000000000002</v>
          </cell>
          <cell r="AZ32">
            <v>3.62</v>
          </cell>
          <cell r="BA32">
            <v>3.95</v>
          </cell>
          <cell r="BB32">
            <v>2.76</v>
          </cell>
          <cell r="BC32">
            <v>1.62</v>
          </cell>
          <cell r="BD32">
            <v>1.71</v>
          </cell>
          <cell r="BE32">
            <v>1.95</v>
          </cell>
          <cell r="BF32">
            <v>2.13</v>
          </cell>
          <cell r="BG32">
            <v>2.0099999999999998</v>
          </cell>
          <cell r="BH32">
            <v>2.06</v>
          </cell>
          <cell r="BI32">
            <v>2.41</v>
          </cell>
          <cell r="BJ32">
            <v>3</v>
          </cell>
          <cell r="BK32">
            <v>3.12</v>
          </cell>
          <cell r="BL32">
            <v>2.3199999999999998</v>
          </cell>
          <cell r="BM32">
            <v>2.14</v>
          </cell>
          <cell r="BN32">
            <v>1.92</v>
          </cell>
          <cell r="BO32">
            <v>2.15</v>
          </cell>
          <cell r="BP32">
            <v>2.19</v>
          </cell>
          <cell r="BQ32">
            <v>2.17</v>
          </cell>
          <cell r="BR32">
            <v>1.94</v>
          </cell>
          <cell r="BS32">
            <v>2.27</v>
          </cell>
          <cell r="BT32">
            <v>1.84</v>
          </cell>
          <cell r="BU32">
            <v>1.56</v>
          </cell>
          <cell r="BV32">
            <v>1.9</v>
          </cell>
          <cell r="BW32">
            <v>1.95</v>
          </cell>
          <cell r="BX32">
            <v>2.0499999999999998</v>
          </cell>
          <cell r="BY32">
            <v>1.74</v>
          </cell>
          <cell r="BZ32">
            <v>1.73</v>
          </cell>
          <cell r="CA32">
            <v>1.55</v>
          </cell>
          <cell r="CB32">
            <v>1.74</v>
          </cell>
          <cell r="CC32">
            <v>2.21</v>
          </cell>
          <cell r="CD32">
            <v>2.11</v>
          </cell>
          <cell r="CE32">
            <v>2.16</v>
          </cell>
          <cell r="CF32">
            <v>2.5</v>
          </cell>
          <cell r="CG32">
            <v>2.76</v>
          </cell>
        </row>
        <row r="33">
          <cell r="A33" t="str">
            <v>NGPL-OK</v>
          </cell>
          <cell r="B33">
            <v>30</v>
          </cell>
          <cell r="C33">
            <v>2.0499999999999998</v>
          </cell>
          <cell r="D33">
            <v>2.02</v>
          </cell>
          <cell r="E33">
            <v>1.91</v>
          </cell>
          <cell r="F33">
            <v>1.6</v>
          </cell>
          <cell r="G33">
            <v>1.84</v>
          </cell>
          <cell r="H33">
            <v>2.08</v>
          </cell>
          <cell r="I33">
            <v>2.58</v>
          </cell>
          <cell r="J33">
            <v>1.8</v>
          </cell>
          <cell r="K33">
            <v>1.8</v>
          </cell>
          <cell r="L33">
            <v>1.93</v>
          </cell>
          <cell r="M33">
            <v>2.17</v>
          </cell>
          <cell r="N33">
            <v>1.85</v>
          </cell>
          <cell r="O33">
            <v>1.88</v>
          </cell>
          <cell r="P33">
            <v>2.2200000000000002</v>
          </cell>
          <cell r="Q33">
            <v>1.93</v>
          </cell>
          <cell r="R33">
            <v>2.09</v>
          </cell>
          <cell r="S33">
            <v>2.14</v>
          </cell>
          <cell r="T33">
            <v>1.8</v>
          </cell>
          <cell r="U33">
            <v>1.84</v>
          </cell>
          <cell r="V33">
            <v>1.56</v>
          </cell>
          <cell r="W33">
            <v>1.68</v>
          </cell>
          <cell r="X33">
            <v>1.59</v>
          </cell>
          <cell r="Y33">
            <v>1.4</v>
          </cell>
          <cell r="Z33">
            <v>1.3</v>
          </cell>
          <cell r="AA33">
            <v>1.52</v>
          </cell>
          <cell r="AB33">
            <v>1.6</v>
          </cell>
          <cell r="AC33">
            <v>1.5</v>
          </cell>
          <cell r="AD33">
            <v>1.26</v>
          </cell>
          <cell r="AE33">
            <v>1.27</v>
          </cell>
          <cell r="AF33">
            <v>1.34</v>
          </cell>
          <cell r="AG33">
            <v>1.44</v>
          </cell>
          <cell r="AH33">
            <v>1.45</v>
          </cell>
          <cell r="AI33">
            <v>1.24</v>
          </cell>
          <cell r="AJ33">
            <v>1.2</v>
          </cell>
          <cell r="AK33">
            <v>1.41</v>
          </cell>
          <cell r="AL33">
            <v>1.5</v>
          </cell>
          <cell r="AM33">
            <v>1.7</v>
          </cell>
          <cell r="AN33">
            <v>1.88</v>
          </cell>
          <cell r="AO33">
            <v>2</v>
          </cell>
          <cell r="AP33">
            <v>1.79</v>
          </cell>
          <cell r="BB33">
            <v>2.83</v>
          </cell>
          <cell r="BC33">
            <v>1.65</v>
          </cell>
          <cell r="BD33">
            <v>1.74</v>
          </cell>
          <cell r="BE33">
            <v>1.96</v>
          </cell>
          <cell r="BF33">
            <v>2.13</v>
          </cell>
          <cell r="BG33">
            <v>2.02</v>
          </cell>
          <cell r="BH33">
            <v>2.08</v>
          </cell>
          <cell r="BI33">
            <v>2.4300000000000002</v>
          </cell>
        </row>
        <row r="34">
          <cell r="A34" t="str">
            <v>NGPL-TOK</v>
          </cell>
          <cell r="B34">
            <v>31</v>
          </cell>
          <cell r="AQ34">
            <v>1.97</v>
          </cell>
          <cell r="AR34">
            <v>2.23</v>
          </cell>
          <cell r="AS34">
            <v>2.14</v>
          </cell>
          <cell r="AT34">
            <v>2.2400000000000002</v>
          </cell>
          <cell r="AU34">
            <v>2.5099999999999998</v>
          </cell>
          <cell r="AV34">
            <v>2.23</v>
          </cell>
          <cell r="AW34">
            <v>1.75</v>
          </cell>
          <cell r="AX34">
            <v>1.76</v>
          </cell>
          <cell r="AY34">
            <v>2.57</v>
          </cell>
          <cell r="AZ34">
            <v>3.69</v>
          </cell>
          <cell r="BA34">
            <v>3.8</v>
          </cell>
          <cell r="BB34">
            <v>2.75</v>
          </cell>
          <cell r="BC34">
            <v>1.64</v>
          </cell>
          <cell r="BD34">
            <v>1.74</v>
          </cell>
          <cell r="BE34">
            <v>2.0299999999999998</v>
          </cell>
          <cell r="BF34">
            <v>2.2400000000000002</v>
          </cell>
          <cell r="BG34">
            <v>2.08</v>
          </cell>
          <cell r="BH34">
            <v>2.12</v>
          </cell>
          <cell r="BI34">
            <v>2.46</v>
          </cell>
          <cell r="BJ34">
            <v>3.07</v>
          </cell>
          <cell r="BK34">
            <v>3.18</v>
          </cell>
          <cell r="BL34">
            <v>2.35</v>
          </cell>
          <cell r="BM34">
            <v>2.16</v>
          </cell>
          <cell r="BN34">
            <v>1.96</v>
          </cell>
          <cell r="BO34">
            <v>2.19</v>
          </cell>
          <cell r="BP34">
            <v>2.23</v>
          </cell>
          <cell r="BQ34">
            <v>2.2200000000000002</v>
          </cell>
          <cell r="BR34">
            <v>1.98</v>
          </cell>
          <cell r="BS34">
            <v>2.31</v>
          </cell>
          <cell r="BT34">
            <v>1.88</v>
          </cell>
          <cell r="BU34">
            <v>1.58</v>
          </cell>
          <cell r="BV34">
            <v>1.95</v>
          </cell>
          <cell r="BW34">
            <v>1.96</v>
          </cell>
          <cell r="BX34">
            <v>2.06</v>
          </cell>
          <cell r="BY34">
            <v>1.74</v>
          </cell>
          <cell r="BZ34">
            <v>1.75</v>
          </cell>
          <cell r="CA34">
            <v>1.57</v>
          </cell>
          <cell r="CB34">
            <v>1.8</v>
          </cell>
          <cell r="CC34">
            <v>2.2799999999999998</v>
          </cell>
          <cell r="CD34">
            <v>2.1800000000000002</v>
          </cell>
          <cell r="CE34">
            <v>2.2200000000000002</v>
          </cell>
          <cell r="CF34">
            <v>2.5499999999999998</v>
          </cell>
          <cell r="CG34">
            <v>2.83</v>
          </cell>
        </row>
        <row r="35">
          <cell r="A35" t="str">
            <v>NGPL-STX</v>
          </cell>
          <cell r="B35">
            <v>32</v>
          </cell>
          <cell r="C35">
            <v>2.2000000000000002</v>
          </cell>
          <cell r="D35">
            <v>2.1</v>
          </cell>
          <cell r="E35">
            <v>1.92</v>
          </cell>
          <cell r="F35">
            <v>1.58</v>
          </cell>
          <cell r="G35">
            <v>1.85</v>
          </cell>
          <cell r="H35">
            <v>2.15</v>
          </cell>
          <cell r="I35">
            <v>2.6</v>
          </cell>
          <cell r="J35">
            <v>1.9</v>
          </cell>
          <cell r="K35">
            <v>1.89</v>
          </cell>
          <cell r="L35">
            <v>2.02</v>
          </cell>
          <cell r="M35">
            <v>2.3199999999999998</v>
          </cell>
          <cell r="N35">
            <v>1.95</v>
          </cell>
          <cell r="O35">
            <v>2.04</v>
          </cell>
          <cell r="P35">
            <v>2.2999999999999998</v>
          </cell>
          <cell r="Q35">
            <v>1.97</v>
          </cell>
          <cell r="R35">
            <v>2.23</v>
          </cell>
          <cell r="S35">
            <v>2.2400000000000002</v>
          </cell>
          <cell r="T35">
            <v>1.86</v>
          </cell>
          <cell r="U35">
            <v>1.97</v>
          </cell>
          <cell r="V35">
            <v>1.72</v>
          </cell>
          <cell r="W35">
            <v>1.88</v>
          </cell>
          <cell r="X35">
            <v>1.72</v>
          </cell>
          <cell r="Y35">
            <v>1.41</v>
          </cell>
          <cell r="Z35">
            <v>1.34</v>
          </cell>
          <cell r="AA35">
            <v>1.6</v>
          </cell>
          <cell r="AB35">
            <v>1.61</v>
          </cell>
          <cell r="AC35">
            <v>1.52</v>
          </cell>
          <cell r="AD35">
            <v>1.32</v>
          </cell>
          <cell r="AE35">
            <v>1.34</v>
          </cell>
          <cell r="AF35">
            <v>1.48</v>
          </cell>
          <cell r="AG35">
            <v>1.59</v>
          </cell>
          <cell r="AH35">
            <v>1.63</v>
          </cell>
          <cell r="AI35">
            <v>1.41</v>
          </cell>
          <cell r="AJ35">
            <v>1.3</v>
          </cell>
          <cell r="AK35">
            <v>1.51</v>
          </cell>
          <cell r="AL35">
            <v>1.58</v>
          </cell>
          <cell r="AM35">
            <v>1.7</v>
          </cell>
          <cell r="AN35">
            <v>2.1</v>
          </cell>
          <cell r="AO35">
            <v>2.0499999999999998</v>
          </cell>
          <cell r="AP35">
            <v>1.8</v>
          </cell>
          <cell r="AQ35">
            <v>1.97</v>
          </cell>
          <cell r="AR35">
            <v>2.25</v>
          </cell>
          <cell r="AS35">
            <v>2.11</v>
          </cell>
          <cell r="AT35">
            <v>2.2400000000000002</v>
          </cell>
          <cell r="AU35">
            <v>2.52</v>
          </cell>
          <cell r="AV35">
            <v>2.23</v>
          </cell>
          <cell r="AW35">
            <v>1.73</v>
          </cell>
          <cell r="AX35">
            <v>1.75</v>
          </cell>
          <cell r="AY35">
            <v>2.61</v>
          </cell>
          <cell r="AZ35">
            <v>3.66</v>
          </cell>
          <cell r="BA35">
            <v>3.85</v>
          </cell>
          <cell r="BB35">
            <v>2.73</v>
          </cell>
          <cell r="BC35">
            <v>1.64</v>
          </cell>
          <cell r="BD35">
            <v>1.75</v>
          </cell>
          <cell r="BE35">
            <v>2.04</v>
          </cell>
          <cell r="BF35">
            <v>2.2200000000000002</v>
          </cell>
          <cell r="BG35">
            <v>2.09</v>
          </cell>
          <cell r="BH35">
            <v>2.1</v>
          </cell>
          <cell r="BI35">
            <v>2.4500000000000002</v>
          </cell>
          <cell r="BJ35">
            <v>3.05</v>
          </cell>
          <cell r="BK35">
            <v>3.18</v>
          </cell>
          <cell r="BL35">
            <v>2.35</v>
          </cell>
          <cell r="BM35">
            <v>2.16</v>
          </cell>
          <cell r="BN35">
            <v>1.93</v>
          </cell>
          <cell r="BO35">
            <v>2.17</v>
          </cell>
          <cell r="BP35">
            <v>2.23</v>
          </cell>
          <cell r="BQ35">
            <v>2.2000000000000002</v>
          </cell>
          <cell r="BR35">
            <v>1.96</v>
          </cell>
          <cell r="BS35">
            <v>2.29</v>
          </cell>
          <cell r="BT35">
            <v>1.85</v>
          </cell>
          <cell r="BU35">
            <v>1.53</v>
          </cell>
          <cell r="BV35">
            <v>1.93</v>
          </cell>
          <cell r="BW35">
            <v>1.88</v>
          </cell>
          <cell r="BX35">
            <v>2.02</v>
          </cell>
          <cell r="BY35">
            <v>1.69</v>
          </cell>
          <cell r="BZ35">
            <v>1.73</v>
          </cell>
          <cell r="CA35">
            <v>1.56</v>
          </cell>
          <cell r="CB35">
            <v>1.8</v>
          </cell>
          <cell r="CC35">
            <v>2.2799999999999998</v>
          </cell>
          <cell r="CD35">
            <v>2.15</v>
          </cell>
          <cell r="CE35">
            <v>2.19</v>
          </cell>
          <cell r="CF35">
            <v>2.5499999999999998</v>
          </cell>
          <cell r="CG35">
            <v>2.82</v>
          </cell>
        </row>
        <row r="36">
          <cell r="A36" t="str">
            <v>NNG-DEMARC</v>
          </cell>
          <cell r="B36">
            <v>33</v>
          </cell>
          <cell r="M36">
            <v>2.1</v>
          </cell>
          <cell r="N36">
            <v>1.9</v>
          </cell>
          <cell r="O36">
            <v>1.89</v>
          </cell>
          <cell r="Q36">
            <v>1.95</v>
          </cell>
          <cell r="R36">
            <v>2.0499999999999998</v>
          </cell>
          <cell r="S36">
            <v>2.14</v>
          </cell>
          <cell r="T36">
            <v>1.77</v>
          </cell>
          <cell r="U36">
            <v>1.77</v>
          </cell>
          <cell r="V36">
            <v>1.5</v>
          </cell>
          <cell r="W36">
            <v>1.61</v>
          </cell>
          <cell r="X36">
            <v>1.55</v>
          </cell>
          <cell r="Y36">
            <v>1.39</v>
          </cell>
          <cell r="Z36">
            <v>1.39</v>
          </cell>
          <cell r="AA36">
            <v>1.47</v>
          </cell>
          <cell r="AB36">
            <v>1.6</v>
          </cell>
          <cell r="AC36">
            <v>1.5</v>
          </cell>
          <cell r="AD36">
            <v>1.25</v>
          </cell>
          <cell r="AE36">
            <v>1.24</v>
          </cell>
          <cell r="AF36">
            <v>1.28</v>
          </cell>
          <cell r="AG36">
            <v>1.41</v>
          </cell>
          <cell r="AH36">
            <v>1.42</v>
          </cell>
          <cell r="AI36">
            <v>1.23</v>
          </cell>
          <cell r="AJ36">
            <v>1.19</v>
          </cell>
          <cell r="AK36">
            <v>1.41</v>
          </cell>
          <cell r="AL36">
            <v>1.5</v>
          </cell>
          <cell r="AM36">
            <v>1.63</v>
          </cell>
          <cell r="AN36">
            <v>1.9</v>
          </cell>
          <cell r="AO36">
            <v>2.0499999999999998</v>
          </cell>
          <cell r="AP36">
            <v>1.86</v>
          </cell>
          <cell r="AQ36">
            <v>1.98</v>
          </cell>
          <cell r="AR36">
            <v>2.16</v>
          </cell>
          <cell r="AS36">
            <v>1.99</v>
          </cell>
          <cell r="AT36">
            <v>2.0299999999999998</v>
          </cell>
          <cell r="AU36">
            <v>2.17</v>
          </cell>
          <cell r="AV36">
            <v>2.08</v>
          </cell>
          <cell r="AW36">
            <v>1.63</v>
          </cell>
          <cell r="AX36">
            <v>1.71</v>
          </cell>
          <cell r="AY36">
            <v>2.59</v>
          </cell>
          <cell r="AZ36">
            <v>3.62</v>
          </cell>
          <cell r="BA36">
            <v>4.22</v>
          </cell>
          <cell r="BB36">
            <v>2.87</v>
          </cell>
          <cell r="BC36">
            <v>1.65</v>
          </cell>
          <cell r="BD36">
            <v>1.73</v>
          </cell>
          <cell r="BE36">
            <v>1.94</v>
          </cell>
          <cell r="BF36">
            <v>2.11</v>
          </cell>
          <cell r="BG36">
            <v>2.0099999999999998</v>
          </cell>
          <cell r="BH36">
            <v>2.0499999999999998</v>
          </cell>
          <cell r="BI36">
            <v>2.42</v>
          </cell>
          <cell r="BJ36">
            <v>3.02</v>
          </cell>
          <cell r="BK36">
            <v>3.29</v>
          </cell>
          <cell r="BL36">
            <v>2.4500000000000002</v>
          </cell>
          <cell r="BM36">
            <v>2.1800000000000002</v>
          </cell>
          <cell r="BN36">
            <v>1.95</v>
          </cell>
          <cell r="BO36">
            <v>2.16</v>
          </cell>
          <cell r="BP36">
            <v>2.1800000000000002</v>
          </cell>
          <cell r="BQ36">
            <v>2.16</v>
          </cell>
          <cell r="BR36">
            <v>1.93</v>
          </cell>
          <cell r="BS36">
            <v>2.27</v>
          </cell>
          <cell r="BT36">
            <v>1.86</v>
          </cell>
          <cell r="BU36">
            <v>1.57</v>
          </cell>
          <cell r="BV36">
            <v>1.92</v>
          </cell>
          <cell r="BW36">
            <v>2</v>
          </cell>
          <cell r="BX36">
            <v>2.12</v>
          </cell>
          <cell r="BY36">
            <v>1.83</v>
          </cell>
          <cell r="BZ36">
            <v>1.8</v>
          </cell>
          <cell r="CA36">
            <v>1.59</v>
          </cell>
          <cell r="CB36">
            <v>1.76</v>
          </cell>
          <cell r="CC36">
            <v>2.21</v>
          </cell>
          <cell r="CD36">
            <v>2.14</v>
          </cell>
          <cell r="CE36">
            <v>2.19</v>
          </cell>
          <cell r="CF36">
            <v>2.5299999999999998</v>
          </cell>
          <cell r="CG36">
            <v>2.78</v>
          </cell>
        </row>
        <row r="37">
          <cell r="A37" t="str">
            <v>NNG-TOK</v>
          </cell>
          <cell r="B37">
            <v>34</v>
          </cell>
          <cell r="C37">
            <v>1.96</v>
          </cell>
          <cell r="D37">
            <v>1.92</v>
          </cell>
          <cell r="E37">
            <v>1.9</v>
          </cell>
          <cell r="F37">
            <v>1.5</v>
          </cell>
          <cell r="G37">
            <v>1.75</v>
          </cell>
          <cell r="H37">
            <v>1.95</v>
          </cell>
          <cell r="I37">
            <v>2.4500000000000002</v>
          </cell>
          <cell r="J37">
            <v>1.71</v>
          </cell>
          <cell r="K37">
            <v>1.71</v>
          </cell>
          <cell r="L37">
            <v>1.81</v>
          </cell>
          <cell r="M37">
            <v>2.0499999999999998</v>
          </cell>
          <cell r="N37">
            <v>1.8</v>
          </cell>
          <cell r="O37">
            <v>1.81</v>
          </cell>
          <cell r="P37">
            <v>2.2599999999999998</v>
          </cell>
          <cell r="Q37">
            <v>1.89</v>
          </cell>
          <cell r="R37">
            <v>1.97</v>
          </cell>
          <cell r="S37">
            <v>2.0299999999999998</v>
          </cell>
          <cell r="T37">
            <v>1.73</v>
          </cell>
          <cell r="U37">
            <v>1.73</v>
          </cell>
          <cell r="V37">
            <v>1.47</v>
          </cell>
          <cell r="W37">
            <v>1.6</v>
          </cell>
          <cell r="X37">
            <v>1.53</v>
          </cell>
          <cell r="Y37">
            <v>1.36</v>
          </cell>
          <cell r="Z37">
            <v>1.22</v>
          </cell>
          <cell r="AA37">
            <v>1.44</v>
          </cell>
          <cell r="AB37">
            <v>1.57</v>
          </cell>
          <cell r="AC37">
            <v>1.46</v>
          </cell>
          <cell r="AD37">
            <v>1.21</v>
          </cell>
          <cell r="AE37">
            <v>1.2</v>
          </cell>
          <cell r="AF37">
            <v>1.26</v>
          </cell>
          <cell r="AG37">
            <v>1.37</v>
          </cell>
          <cell r="AH37">
            <v>1.39</v>
          </cell>
          <cell r="AI37">
            <v>1.2</v>
          </cell>
          <cell r="AJ37">
            <v>1.17</v>
          </cell>
          <cell r="AK37">
            <v>1.38</v>
          </cell>
          <cell r="AL37">
            <v>1.46</v>
          </cell>
          <cell r="AM37">
            <v>1.57</v>
          </cell>
          <cell r="AN37">
            <v>1.84</v>
          </cell>
          <cell r="AO37">
            <v>1.93</v>
          </cell>
          <cell r="AP37">
            <v>1.73</v>
          </cell>
          <cell r="AQ37">
            <v>1.87</v>
          </cell>
          <cell r="AR37">
            <v>2.06</v>
          </cell>
          <cell r="AS37">
            <v>1.95</v>
          </cell>
          <cell r="AT37">
            <v>1.98</v>
          </cell>
          <cell r="AU37">
            <v>2.1</v>
          </cell>
          <cell r="AV37">
            <v>2.0299999999999998</v>
          </cell>
          <cell r="AW37">
            <v>1.57</v>
          </cell>
          <cell r="AX37">
            <v>1.64</v>
          </cell>
          <cell r="AY37">
            <v>2.48</v>
          </cell>
          <cell r="AZ37">
            <v>3.52</v>
          </cell>
          <cell r="BA37">
            <v>3.8</v>
          </cell>
          <cell r="BB37">
            <v>2.73</v>
          </cell>
          <cell r="BC37">
            <v>1.56</v>
          </cell>
          <cell r="BD37">
            <v>1.63</v>
          </cell>
          <cell r="BE37">
            <v>1.85</v>
          </cell>
          <cell r="BF37">
            <v>2.04</v>
          </cell>
          <cell r="BG37">
            <v>1.91</v>
          </cell>
          <cell r="BH37">
            <v>1.96</v>
          </cell>
          <cell r="BI37">
            <v>2.33</v>
          </cell>
          <cell r="BJ37">
            <v>2.86</v>
          </cell>
          <cell r="BK37">
            <v>3.09</v>
          </cell>
          <cell r="BL37">
            <v>2.2799999999999998</v>
          </cell>
          <cell r="BM37">
            <v>2.0499999999999998</v>
          </cell>
          <cell r="BN37">
            <v>1.86</v>
          </cell>
          <cell r="BO37">
            <v>2.06</v>
          </cell>
          <cell r="BP37">
            <v>2.06</v>
          </cell>
          <cell r="BQ37">
            <v>2.0499999999999998</v>
          </cell>
          <cell r="BR37">
            <v>1.84</v>
          </cell>
          <cell r="BS37">
            <v>2.15</v>
          </cell>
          <cell r="BT37">
            <v>1.79</v>
          </cell>
          <cell r="BU37">
            <v>1.5</v>
          </cell>
          <cell r="BV37">
            <v>1.78</v>
          </cell>
          <cell r="BW37">
            <v>1.86</v>
          </cell>
          <cell r="BX37">
            <v>1.98</v>
          </cell>
          <cell r="BY37">
            <v>1.74</v>
          </cell>
          <cell r="BZ37">
            <v>1.72</v>
          </cell>
          <cell r="CA37">
            <v>1.48</v>
          </cell>
          <cell r="CB37">
            <v>1.67</v>
          </cell>
          <cell r="CC37">
            <v>2.13</v>
          </cell>
          <cell r="CD37">
            <v>2.06</v>
          </cell>
          <cell r="CE37">
            <v>2.1</v>
          </cell>
          <cell r="CF37">
            <v>2.44</v>
          </cell>
          <cell r="CG37">
            <v>2.7</v>
          </cell>
        </row>
        <row r="38">
          <cell r="A38" t="str">
            <v>NNG-VENT</v>
          </cell>
          <cell r="B38">
            <v>35</v>
          </cell>
          <cell r="C38">
            <v>2.0499999999999998</v>
          </cell>
          <cell r="D38">
            <v>2.0499999999999998</v>
          </cell>
          <cell r="E38">
            <v>1.96</v>
          </cell>
          <cell r="F38">
            <v>1.6</v>
          </cell>
          <cell r="G38">
            <v>1.86</v>
          </cell>
          <cell r="H38">
            <v>2.09</v>
          </cell>
          <cell r="I38">
            <v>2.59</v>
          </cell>
          <cell r="J38">
            <v>1.8</v>
          </cell>
          <cell r="K38">
            <v>1.78</v>
          </cell>
          <cell r="L38">
            <v>1.8</v>
          </cell>
          <cell r="M38">
            <v>2.15</v>
          </cell>
          <cell r="N38">
            <v>1.9</v>
          </cell>
          <cell r="O38">
            <v>1.88</v>
          </cell>
          <cell r="P38">
            <v>2.3199999999999998</v>
          </cell>
          <cell r="Q38">
            <v>1.93</v>
          </cell>
          <cell r="R38">
            <v>2.0499999999999998</v>
          </cell>
          <cell r="S38">
            <v>2.14</v>
          </cell>
          <cell r="T38">
            <v>1.75</v>
          </cell>
          <cell r="U38">
            <v>1.8</v>
          </cell>
          <cell r="V38">
            <v>1.5</v>
          </cell>
          <cell r="W38">
            <v>1.61</v>
          </cell>
          <cell r="X38">
            <v>1.54</v>
          </cell>
          <cell r="Y38">
            <v>1.39</v>
          </cell>
          <cell r="Z38">
            <v>1.27</v>
          </cell>
          <cell r="AA38">
            <v>1.48</v>
          </cell>
          <cell r="AB38">
            <v>1.62</v>
          </cell>
          <cell r="AC38">
            <v>1.49</v>
          </cell>
          <cell r="AD38">
            <v>1.25</v>
          </cell>
          <cell r="AE38">
            <v>1.23</v>
          </cell>
          <cell r="AF38">
            <v>1.28</v>
          </cell>
          <cell r="AG38">
            <v>1.39</v>
          </cell>
          <cell r="AH38">
            <v>1.41</v>
          </cell>
          <cell r="AI38">
            <v>1.18</v>
          </cell>
          <cell r="AJ38">
            <v>1.0900000000000001</v>
          </cell>
          <cell r="AK38">
            <v>1.33</v>
          </cell>
          <cell r="AL38">
            <v>1.48</v>
          </cell>
          <cell r="AM38">
            <v>1.61</v>
          </cell>
          <cell r="AN38">
            <v>1.84</v>
          </cell>
          <cell r="AO38">
            <v>2</v>
          </cell>
          <cell r="AP38">
            <v>1.84</v>
          </cell>
          <cell r="AQ38">
            <v>1.94</v>
          </cell>
          <cell r="AR38">
            <v>2.11</v>
          </cell>
          <cell r="AS38">
            <v>1.91</v>
          </cell>
          <cell r="AT38">
            <v>1.96</v>
          </cell>
          <cell r="AU38">
            <v>2.0699999999999998</v>
          </cell>
          <cell r="AV38">
            <v>2.0699999999999998</v>
          </cell>
          <cell r="AW38">
            <v>1.62</v>
          </cell>
          <cell r="AX38">
            <v>1.71</v>
          </cell>
          <cell r="AY38">
            <v>2.5499999999999998</v>
          </cell>
          <cell r="AZ38">
            <v>3.61</v>
          </cell>
          <cell r="BA38">
            <v>4.2</v>
          </cell>
          <cell r="BB38">
            <v>2.85</v>
          </cell>
          <cell r="BC38">
            <v>1.63</v>
          </cell>
          <cell r="BD38">
            <v>1.71</v>
          </cell>
          <cell r="BE38">
            <v>1.94</v>
          </cell>
          <cell r="BF38">
            <v>2.1</v>
          </cell>
          <cell r="BG38">
            <v>1.97</v>
          </cell>
          <cell r="BH38">
            <v>2.0499999999999998</v>
          </cell>
          <cell r="BI38">
            <v>2.41</v>
          </cell>
          <cell r="BJ38">
            <v>3.03</v>
          </cell>
          <cell r="BK38">
            <v>3.29</v>
          </cell>
          <cell r="BL38">
            <v>2.44</v>
          </cell>
          <cell r="BM38">
            <v>2.17</v>
          </cell>
          <cell r="BN38">
            <v>1.96</v>
          </cell>
          <cell r="BO38">
            <v>2.15</v>
          </cell>
          <cell r="BP38">
            <v>2.1800000000000002</v>
          </cell>
          <cell r="BQ38">
            <v>2.15</v>
          </cell>
          <cell r="BR38">
            <v>1.92</v>
          </cell>
          <cell r="BS38">
            <v>2.2599999999999998</v>
          </cell>
          <cell r="BT38">
            <v>1.84</v>
          </cell>
          <cell r="BU38">
            <v>1.56</v>
          </cell>
          <cell r="BV38">
            <v>1.91</v>
          </cell>
          <cell r="BW38">
            <v>2</v>
          </cell>
          <cell r="BX38">
            <v>2.13</v>
          </cell>
          <cell r="BY38">
            <v>1.84</v>
          </cell>
          <cell r="BZ38">
            <v>1.8</v>
          </cell>
          <cell r="CA38">
            <v>1.6</v>
          </cell>
          <cell r="CB38">
            <v>1.75</v>
          </cell>
          <cell r="CC38">
            <v>2.2000000000000002</v>
          </cell>
          <cell r="CD38">
            <v>2.12</v>
          </cell>
          <cell r="CE38">
            <v>2.1800000000000002</v>
          </cell>
          <cell r="CF38">
            <v>2.5</v>
          </cell>
          <cell r="CG38">
            <v>2.76</v>
          </cell>
        </row>
        <row r="39">
          <cell r="A39" t="str">
            <v>NOR-EAST</v>
          </cell>
          <cell r="B39">
            <v>36</v>
          </cell>
          <cell r="AE39">
            <v>1.33</v>
          </cell>
          <cell r="AF39">
            <v>1.44</v>
          </cell>
          <cell r="AG39">
            <v>1.57</v>
          </cell>
          <cell r="AH39">
            <v>1.61</v>
          </cell>
          <cell r="AI39">
            <v>1.4</v>
          </cell>
          <cell r="AJ39">
            <v>1.3</v>
          </cell>
          <cell r="AK39">
            <v>1.5</v>
          </cell>
          <cell r="AL39">
            <v>1.54</v>
          </cell>
          <cell r="AM39">
            <v>1.68</v>
          </cell>
          <cell r="AN39">
            <v>2.02</v>
          </cell>
          <cell r="AO39">
            <v>2.09</v>
          </cell>
          <cell r="AP39">
            <v>1.89</v>
          </cell>
          <cell r="AQ39">
            <v>1.93</v>
          </cell>
          <cell r="AR39">
            <v>2.23</v>
          </cell>
          <cell r="AS39">
            <v>2.12</v>
          </cell>
          <cell r="AT39">
            <v>2.1800000000000002</v>
          </cell>
          <cell r="AU39">
            <v>2.31</v>
          </cell>
          <cell r="AV39">
            <v>2.25</v>
          </cell>
          <cell r="AW39">
            <v>1.75</v>
          </cell>
          <cell r="AX39">
            <v>1.74</v>
          </cell>
          <cell r="AY39">
            <v>2.4700000000000002</v>
          </cell>
          <cell r="AZ39">
            <v>3.61</v>
          </cell>
          <cell r="BA39">
            <v>4.1500000000000004</v>
          </cell>
          <cell r="BB39">
            <v>2.78</v>
          </cell>
          <cell r="BC39">
            <v>1.65</v>
          </cell>
          <cell r="BD39">
            <v>1.74</v>
          </cell>
          <cell r="BE39">
            <v>2.0099999999999998</v>
          </cell>
          <cell r="BF39">
            <v>2.19</v>
          </cell>
          <cell r="BG39">
            <v>2.0699999999999998</v>
          </cell>
          <cell r="BH39">
            <v>2.11</v>
          </cell>
          <cell r="BI39">
            <v>2.44</v>
          </cell>
          <cell r="BJ39">
            <v>3.05</v>
          </cell>
          <cell r="BK39">
            <v>3.17</v>
          </cell>
          <cell r="BL39">
            <v>2.37</v>
          </cell>
          <cell r="BM39">
            <v>2.16</v>
          </cell>
          <cell r="BN39">
            <v>1.94</v>
          </cell>
          <cell r="BO39">
            <v>2.16</v>
          </cell>
          <cell r="BP39">
            <v>2.2000000000000002</v>
          </cell>
          <cell r="BQ39">
            <v>2.1800000000000002</v>
          </cell>
          <cell r="BR39">
            <v>1.96</v>
          </cell>
          <cell r="BS39">
            <v>2.2999999999999998</v>
          </cell>
          <cell r="BT39">
            <v>1.86</v>
          </cell>
          <cell r="BU39">
            <v>1.57</v>
          </cell>
          <cell r="BV39">
            <v>1.94</v>
          </cell>
          <cell r="BW39">
            <v>1.93</v>
          </cell>
          <cell r="BX39">
            <v>2.0299999999999998</v>
          </cell>
          <cell r="BY39">
            <v>1.74</v>
          </cell>
          <cell r="BZ39">
            <v>1.74</v>
          </cell>
          <cell r="CA39">
            <v>1.56</v>
          </cell>
          <cell r="CB39">
            <v>1.77</v>
          </cell>
          <cell r="CC39">
            <v>2.27</v>
          </cell>
          <cell r="CD39">
            <v>2.17</v>
          </cell>
          <cell r="CE39">
            <v>2.21</v>
          </cell>
          <cell r="CF39">
            <v>2.5499999999999998</v>
          </cell>
          <cell r="CG39">
            <v>2.82</v>
          </cell>
        </row>
        <row r="40">
          <cell r="A40" t="str">
            <v>NOR-WEST</v>
          </cell>
          <cell r="B40">
            <v>37</v>
          </cell>
          <cell r="AE40">
            <v>1.28</v>
          </cell>
          <cell r="AF40">
            <v>1.35</v>
          </cell>
          <cell r="AG40">
            <v>1.46</v>
          </cell>
          <cell r="AH40">
            <v>1.48</v>
          </cell>
          <cell r="AI40">
            <v>1.28</v>
          </cell>
          <cell r="AJ40">
            <v>1.22</v>
          </cell>
          <cell r="AK40">
            <v>1.43</v>
          </cell>
          <cell r="AL40">
            <v>1.5</v>
          </cell>
          <cell r="AM40">
            <v>1.62</v>
          </cell>
          <cell r="AN40">
            <v>1.89</v>
          </cell>
          <cell r="AO40">
            <v>2.0099999999999998</v>
          </cell>
          <cell r="AP40">
            <v>1.83</v>
          </cell>
          <cell r="AQ40">
            <v>1.9</v>
          </cell>
          <cell r="AR40">
            <v>2.15</v>
          </cell>
          <cell r="AS40">
            <v>2.02</v>
          </cell>
          <cell r="AT40">
            <v>2.0699999999999998</v>
          </cell>
          <cell r="AU40">
            <v>2.2000000000000002</v>
          </cell>
          <cell r="AV40">
            <v>2.16</v>
          </cell>
          <cell r="AW40">
            <v>1.68</v>
          </cell>
          <cell r="AX40">
            <v>1.69</v>
          </cell>
          <cell r="AY40">
            <v>2.4300000000000002</v>
          </cell>
          <cell r="AZ40">
            <v>3.55</v>
          </cell>
          <cell r="BA40">
            <v>4.1100000000000003</v>
          </cell>
          <cell r="BB40">
            <v>2.73</v>
          </cell>
          <cell r="BC40">
            <v>1.61</v>
          </cell>
          <cell r="BD40">
            <v>1.72</v>
          </cell>
          <cell r="BE40">
            <v>1.96</v>
          </cell>
          <cell r="BF40">
            <v>2.15</v>
          </cell>
          <cell r="BG40">
            <v>2.0099999999999998</v>
          </cell>
          <cell r="BH40">
            <v>2.0699999999999998</v>
          </cell>
          <cell r="BI40">
            <v>2.41</v>
          </cell>
          <cell r="BJ40">
            <v>2.98</v>
          </cell>
          <cell r="BK40">
            <v>3.1</v>
          </cell>
          <cell r="BL40">
            <v>2.3199999999999998</v>
          </cell>
          <cell r="BM40">
            <v>2.15</v>
          </cell>
          <cell r="BN40">
            <v>1.92</v>
          </cell>
          <cell r="BO40">
            <v>2.14</v>
          </cell>
          <cell r="BP40">
            <v>2.17</v>
          </cell>
          <cell r="BQ40">
            <v>2.15</v>
          </cell>
          <cell r="BR40">
            <v>1.92</v>
          </cell>
          <cell r="BS40">
            <v>2.2599999999999998</v>
          </cell>
          <cell r="BT40">
            <v>1.83</v>
          </cell>
          <cell r="BU40">
            <v>1.52</v>
          </cell>
          <cell r="BV40">
            <v>1.89</v>
          </cell>
          <cell r="BW40">
            <v>1.9</v>
          </cell>
          <cell r="BX40">
            <v>2.0099999999999998</v>
          </cell>
          <cell r="BY40">
            <v>1.73</v>
          </cell>
          <cell r="BZ40">
            <v>1.73</v>
          </cell>
          <cell r="CA40">
            <v>1.54</v>
          </cell>
          <cell r="CB40">
            <v>1.74</v>
          </cell>
          <cell r="CC40">
            <v>2.2200000000000002</v>
          </cell>
          <cell r="CD40">
            <v>2.12</v>
          </cell>
          <cell r="CE40">
            <v>2.1800000000000002</v>
          </cell>
          <cell r="CF40">
            <v>2.5099999999999998</v>
          </cell>
          <cell r="CG40">
            <v>2.77</v>
          </cell>
        </row>
        <row r="41">
          <cell r="A41" t="str">
            <v>NWPL-CAN</v>
          </cell>
          <cell r="B41">
            <v>38</v>
          </cell>
          <cell r="C41">
            <v>1.5</v>
          </cell>
          <cell r="D41">
            <v>1.74</v>
          </cell>
          <cell r="E41">
            <v>2.25</v>
          </cell>
          <cell r="F41">
            <v>1.74</v>
          </cell>
          <cell r="G41">
            <v>1.8</v>
          </cell>
          <cell r="H41">
            <v>1.8</v>
          </cell>
          <cell r="I41">
            <v>2.25</v>
          </cell>
          <cell r="J41">
            <v>1.58</v>
          </cell>
          <cell r="K41">
            <v>1.55</v>
          </cell>
          <cell r="L41">
            <v>1.65</v>
          </cell>
          <cell r="M41">
            <v>1.92</v>
          </cell>
          <cell r="N41">
            <v>1.75</v>
          </cell>
          <cell r="O41">
            <v>1.8</v>
          </cell>
          <cell r="P41">
            <v>2.4</v>
          </cell>
          <cell r="Q41">
            <v>2.1800000000000002</v>
          </cell>
          <cell r="R41">
            <v>1.79</v>
          </cell>
          <cell r="S41">
            <v>1.98</v>
          </cell>
          <cell r="T41">
            <v>1.62</v>
          </cell>
          <cell r="U41">
            <v>1.6</v>
          </cell>
          <cell r="V41">
            <v>1.39</v>
          </cell>
          <cell r="W41">
            <v>1.48</v>
          </cell>
          <cell r="X41">
            <v>1.45</v>
          </cell>
          <cell r="Y41">
            <v>1.36</v>
          </cell>
          <cell r="Z41">
            <v>1.18</v>
          </cell>
          <cell r="AA41">
            <v>1.52</v>
          </cell>
          <cell r="AB41">
            <v>1.63</v>
          </cell>
          <cell r="AC41">
            <v>1.4</v>
          </cell>
          <cell r="AD41">
            <v>1.03</v>
          </cell>
          <cell r="AE41">
            <v>1</v>
          </cell>
          <cell r="AF41">
            <v>0.97</v>
          </cell>
          <cell r="AG41">
            <v>0.99</v>
          </cell>
          <cell r="AH41">
            <v>0.97</v>
          </cell>
          <cell r="AI41">
            <v>0.85</v>
          </cell>
          <cell r="AJ41">
            <v>0.75</v>
          </cell>
          <cell r="AK41">
            <v>0.85</v>
          </cell>
          <cell r="AL41">
            <v>0.96</v>
          </cell>
          <cell r="AM41">
            <v>1.26</v>
          </cell>
          <cell r="AN41">
            <v>1.29</v>
          </cell>
          <cell r="AO41">
            <v>1.24</v>
          </cell>
          <cell r="AP41">
            <v>1.2</v>
          </cell>
          <cell r="AQ41">
            <v>1.1499999999999999</v>
          </cell>
          <cell r="AR41">
            <v>0.93</v>
          </cell>
          <cell r="AS41">
            <v>0.93</v>
          </cell>
          <cell r="AT41">
            <v>0.9</v>
          </cell>
          <cell r="AU41">
            <v>0.96</v>
          </cell>
          <cell r="AV41">
            <v>1.01</v>
          </cell>
          <cell r="AW41">
            <v>1.01</v>
          </cell>
          <cell r="AX41">
            <v>1.1000000000000001</v>
          </cell>
          <cell r="AY41">
            <v>2.17</v>
          </cell>
          <cell r="AZ41">
            <v>3.55</v>
          </cell>
          <cell r="BA41">
            <v>4.1500000000000004</v>
          </cell>
          <cell r="BB41">
            <v>2.37</v>
          </cell>
          <cell r="BC41">
            <v>1.05</v>
          </cell>
          <cell r="BD41">
            <v>1.1100000000000001</v>
          </cell>
          <cell r="BE41">
            <v>1.33</v>
          </cell>
          <cell r="BF41">
            <v>1.38</v>
          </cell>
          <cell r="BG41">
            <v>1.22</v>
          </cell>
          <cell r="BH41">
            <v>1.08</v>
          </cell>
          <cell r="BI41">
            <v>1.19</v>
          </cell>
          <cell r="BJ41">
            <v>1.48</v>
          </cell>
          <cell r="BK41">
            <v>2.7</v>
          </cell>
          <cell r="BL41">
            <v>1.4</v>
          </cell>
          <cell r="BM41">
            <v>1.85</v>
          </cell>
          <cell r="BN41">
            <v>1.43</v>
          </cell>
          <cell r="BO41">
            <v>1.1200000000000001</v>
          </cell>
          <cell r="BP41">
            <v>1.43</v>
          </cell>
          <cell r="BQ41">
            <v>1.7</v>
          </cell>
          <cell r="BR41">
            <v>1.38</v>
          </cell>
          <cell r="BS41">
            <v>1.45</v>
          </cell>
          <cell r="BT41">
            <v>1.57</v>
          </cell>
          <cell r="BU41">
            <v>1.46</v>
          </cell>
          <cell r="BV41">
            <v>1.67</v>
          </cell>
          <cell r="BW41">
            <v>2.14</v>
          </cell>
          <cell r="BX41">
            <v>2.09</v>
          </cell>
          <cell r="BY41">
            <v>2.88</v>
          </cell>
          <cell r="BZ41">
            <v>1.77</v>
          </cell>
          <cell r="CA41">
            <v>1.5</v>
          </cell>
          <cell r="CB41">
            <v>1.51</v>
          </cell>
          <cell r="CC41">
            <v>1.95</v>
          </cell>
          <cell r="CD41">
            <v>1.91</v>
          </cell>
          <cell r="CE41">
            <v>1.94</v>
          </cell>
          <cell r="CF41">
            <v>2.21</v>
          </cell>
          <cell r="CG41">
            <v>2.5</v>
          </cell>
        </row>
        <row r="42">
          <cell r="A42" t="str">
            <v>NWPL-ROCK</v>
          </cell>
          <cell r="B42">
            <v>39</v>
          </cell>
          <cell r="C42">
            <v>1.79</v>
          </cell>
          <cell r="D42">
            <v>1.95</v>
          </cell>
          <cell r="E42">
            <v>2.2999999999999998</v>
          </cell>
          <cell r="F42">
            <v>1.61</v>
          </cell>
          <cell r="G42">
            <v>1.78</v>
          </cell>
          <cell r="H42">
            <v>1.79</v>
          </cell>
          <cell r="I42">
            <v>2.25</v>
          </cell>
          <cell r="J42">
            <v>1.58</v>
          </cell>
          <cell r="K42">
            <v>1.55</v>
          </cell>
          <cell r="L42">
            <v>1.65</v>
          </cell>
          <cell r="M42">
            <v>1.92</v>
          </cell>
          <cell r="N42">
            <v>1.75</v>
          </cell>
          <cell r="O42">
            <v>1.74</v>
          </cell>
          <cell r="P42">
            <v>2.35</v>
          </cell>
          <cell r="Q42">
            <v>1.92</v>
          </cell>
          <cell r="R42">
            <v>1.78</v>
          </cell>
          <cell r="S42">
            <v>1.95</v>
          </cell>
          <cell r="T42">
            <v>1.61</v>
          </cell>
          <cell r="U42">
            <v>1.6</v>
          </cell>
          <cell r="V42">
            <v>1.37</v>
          </cell>
          <cell r="W42">
            <v>1.46</v>
          </cell>
          <cell r="X42">
            <v>1.45</v>
          </cell>
          <cell r="Y42">
            <v>1.36</v>
          </cell>
          <cell r="Z42">
            <v>1.18</v>
          </cell>
          <cell r="AA42">
            <v>1.48</v>
          </cell>
          <cell r="AB42">
            <v>1.61</v>
          </cell>
          <cell r="AC42">
            <v>1.37</v>
          </cell>
          <cell r="AD42">
            <v>1.06</v>
          </cell>
          <cell r="AE42">
            <v>1.05</v>
          </cell>
          <cell r="AF42">
            <v>1.05</v>
          </cell>
          <cell r="AG42">
            <v>1.06</v>
          </cell>
          <cell r="AH42">
            <v>1.1399999999999999</v>
          </cell>
          <cell r="AI42">
            <v>0.98</v>
          </cell>
          <cell r="AJ42">
            <v>0.84</v>
          </cell>
          <cell r="AK42">
            <v>0.96</v>
          </cell>
          <cell r="AL42">
            <v>1.05</v>
          </cell>
          <cell r="AM42">
            <v>1.25</v>
          </cell>
          <cell r="AN42">
            <v>1.31</v>
          </cell>
          <cell r="AO42">
            <v>1.25</v>
          </cell>
          <cell r="AP42">
            <v>1.19</v>
          </cell>
          <cell r="AQ42">
            <v>1.17</v>
          </cell>
          <cell r="AR42">
            <v>1.06</v>
          </cell>
          <cell r="AS42">
            <v>1.05</v>
          </cell>
          <cell r="AT42">
            <v>1.07</v>
          </cell>
          <cell r="AU42">
            <v>1.19</v>
          </cell>
          <cell r="AV42">
            <v>1.23</v>
          </cell>
          <cell r="AW42">
            <v>1.18</v>
          </cell>
          <cell r="AX42">
            <v>1.26</v>
          </cell>
          <cell r="AY42">
            <v>2.29</v>
          </cell>
          <cell r="AZ42">
            <v>3.52</v>
          </cell>
          <cell r="BA42">
            <v>4.2</v>
          </cell>
          <cell r="BB42">
            <v>2.48</v>
          </cell>
          <cell r="BC42">
            <v>1.39</v>
          </cell>
          <cell r="BD42">
            <v>1.44</v>
          </cell>
          <cell r="BE42">
            <v>1.64</v>
          </cell>
          <cell r="BF42">
            <v>1.48</v>
          </cell>
          <cell r="BG42">
            <v>1.44</v>
          </cell>
          <cell r="BH42">
            <v>1.38</v>
          </cell>
          <cell r="BI42">
            <v>1.48</v>
          </cell>
          <cell r="BJ42">
            <v>2.12</v>
          </cell>
          <cell r="BK42">
            <v>3</v>
          </cell>
          <cell r="BL42">
            <v>1.94</v>
          </cell>
          <cell r="BM42">
            <v>2.06</v>
          </cell>
          <cell r="BN42">
            <v>1.69</v>
          </cell>
          <cell r="BO42">
            <v>1.87</v>
          </cell>
          <cell r="BP42">
            <v>1.9</v>
          </cell>
          <cell r="BQ42">
            <v>1.98</v>
          </cell>
          <cell r="BR42">
            <v>1.64</v>
          </cell>
          <cell r="BS42">
            <v>1.62</v>
          </cell>
          <cell r="BT42">
            <v>1.73</v>
          </cell>
          <cell r="BU42">
            <v>1.57</v>
          </cell>
          <cell r="BV42">
            <v>1.65</v>
          </cell>
          <cell r="BW42">
            <v>2.02</v>
          </cell>
          <cell r="BX42">
            <v>2</v>
          </cell>
          <cell r="BY42">
            <v>1.82</v>
          </cell>
          <cell r="BZ42">
            <v>1.63</v>
          </cell>
          <cell r="CA42">
            <v>1.51</v>
          </cell>
          <cell r="CB42">
            <v>1.54</v>
          </cell>
          <cell r="CC42">
            <v>2</v>
          </cell>
          <cell r="CD42">
            <v>1.94</v>
          </cell>
          <cell r="CE42">
            <v>1.99</v>
          </cell>
          <cell r="CF42">
            <v>2.1800000000000002</v>
          </cell>
          <cell r="CG42">
            <v>2.56</v>
          </cell>
        </row>
        <row r="43">
          <cell r="A43" t="str">
            <v>ONG-OKL</v>
          </cell>
          <cell r="B43">
            <v>40</v>
          </cell>
          <cell r="C43">
            <v>1.97</v>
          </cell>
          <cell r="D43">
            <v>1.98</v>
          </cell>
          <cell r="E43">
            <v>1.92</v>
          </cell>
          <cell r="F43">
            <v>1.62</v>
          </cell>
          <cell r="G43">
            <v>1.81</v>
          </cell>
          <cell r="H43">
            <v>2.0699999999999998</v>
          </cell>
          <cell r="I43">
            <v>2.4</v>
          </cell>
          <cell r="J43">
            <v>1.78</v>
          </cell>
          <cell r="K43">
            <v>1.76</v>
          </cell>
          <cell r="L43">
            <v>1.91</v>
          </cell>
          <cell r="M43">
            <v>2.16</v>
          </cell>
          <cell r="N43">
            <v>1.85</v>
          </cell>
          <cell r="O43">
            <v>1.88</v>
          </cell>
          <cell r="P43">
            <v>2.2400000000000002</v>
          </cell>
          <cell r="Q43">
            <v>1.92</v>
          </cell>
          <cell r="R43">
            <v>2.1</v>
          </cell>
          <cell r="S43">
            <v>2.12</v>
          </cell>
          <cell r="T43">
            <v>1.78</v>
          </cell>
          <cell r="U43">
            <v>1.83</v>
          </cell>
          <cell r="V43">
            <v>1.58</v>
          </cell>
          <cell r="W43">
            <v>1.68</v>
          </cell>
          <cell r="X43">
            <v>1.59</v>
          </cell>
          <cell r="Y43">
            <v>1.39</v>
          </cell>
          <cell r="Z43">
            <v>1.3</v>
          </cell>
          <cell r="AA43">
            <v>1.49</v>
          </cell>
          <cell r="AB43">
            <v>1.59</v>
          </cell>
          <cell r="AC43">
            <v>1.51</v>
          </cell>
          <cell r="AD43">
            <v>1.29</v>
          </cell>
          <cell r="AE43">
            <v>1.29</v>
          </cell>
          <cell r="AF43">
            <v>1.35</v>
          </cell>
          <cell r="AG43">
            <v>1.45</v>
          </cell>
          <cell r="AH43">
            <v>1.48</v>
          </cell>
          <cell r="AI43">
            <v>1.28</v>
          </cell>
          <cell r="AJ43">
            <v>1.22</v>
          </cell>
          <cell r="AK43">
            <v>1.44</v>
          </cell>
          <cell r="AL43">
            <v>1.5</v>
          </cell>
          <cell r="AM43">
            <v>1.61</v>
          </cell>
          <cell r="AN43">
            <v>1.89</v>
          </cell>
          <cell r="AO43">
            <v>2.02</v>
          </cell>
          <cell r="AP43">
            <v>1.81</v>
          </cell>
          <cell r="AQ43">
            <v>1.91</v>
          </cell>
          <cell r="AR43">
            <v>2.15</v>
          </cell>
          <cell r="AS43">
            <v>2.02</v>
          </cell>
          <cell r="AT43">
            <v>2.06</v>
          </cell>
          <cell r="AU43">
            <v>2.2000000000000002</v>
          </cell>
          <cell r="AV43">
            <v>2.17</v>
          </cell>
          <cell r="AW43">
            <v>1.68</v>
          </cell>
          <cell r="AX43">
            <v>1.7</v>
          </cell>
          <cell r="AY43">
            <v>2.5099999999999998</v>
          </cell>
          <cell r="AZ43">
            <v>3.61</v>
          </cell>
          <cell r="BA43">
            <v>4.3</v>
          </cell>
          <cell r="BB43">
            <v>2.77</v>
          </cell>
          <cell r="BC43">
            <v>1.65</v>
          </cell>
          <cell r="BD43">
            <v>1.71</v>
          </cell>
          <cell r="BE43">
            <v>1.95</v>
          </cell>
          <cell r="BF43">
            <v>2.14</v>
          </cell>
          <cell r="BG43">
            <v>2.06</v>
          </cell>
          <cell r="BH43">
            <v>2.06</v>
          </cell>
          <cell r="BI43">
            <v>2.39</v>
          </cell>
          <cell r="BJ43">
            <v>3.01</v>
          </cell>
          <cell r="BK43">
            <v>3.16</v>
          </cell>
          <cell r="BL43">
            <v>2.36</v>
          </cell>
          <cell r="BM43">
            <v>2.15</v>
          </cell>
          <cell r="BN43">
            <v>1.93</v>
          </cell>
          <cell r="BO43">
            <v>2.16</v>
          </cell>
          <cell r="BP43">
            <v>2.19</v>
          </cell>
          <cell r="BQ43">
            <v>2.17</v>
          </cell>
          <cell r="BR43">
            <v>1.95</v>
          </cell>
          <cell r="BS43">
            <v>2.29</v>
          </cell>
          <cell r="BT43">
            <v>1.86</v>
          </cell>
          <cell r="BU43">
            <v>1.58</v>
          </cell>
          <cell r="BV43">
            <v>1.93</v>
          </cell>
          <cell r="BW43">
            <v>1.95</v>
          </cell>
          <cell r="BX43">
            <v>2.06</v>
          </cell>
          <cell r="BY43">
            <v>1.77</v>
          </cell>
          <cell r="BZ43">
            <v>1.75</v>
          </cell>
          <cell r="CA43">
            <v>1.58</v>
          </cell>
          <cell r="CB43">
            <v>1.76</v>
          </cell>
          <cell r="CC43">
            <v>2.23</v>
          </cell>
          <cell r="CD43">
            <v>2.13</v>
          </cell>
          <cell r="CE43">
            <v>2.1800000000000002</v>
          </cell>
          <cell r="CF43">
            <v>2.5099999999999998</v>
          </cell>
          <cell r="CG43">
            <v>2.78</v>
          </cell>
        </row>
        <row r="44">
          <cell r="A44" t="str">
            <v>PEPL-FZ</v>
          </cell>
          <cell r="B44">
            <v>41</v>
          </cell>
          <cell r="C44">
            <v>2.0699999999999998</v>
          </cell>
          <cell r="D44">
            <v>2.0299999999999998</v>
          </cell>
          <cell r="E44">
            <v>1.95</v>
          </cell>
          <cell r="F44">
            <v>1.61</v>
          </cell>
          <cell r="G44">
            <v>1.83</v>
          </cell>
          <cell r="H44">
            <v>2.1</v>
          </cell>
          <cell r="I44">
            <v>2.5499999999999998</v>
          </cell>
          <cell r="J44">
            <v>1.85</v>
          </cell>
          <cell r="K44">
            <v>1.79</v>
          </cell>
          <cell r="L44">
            <v>1.93</v>
          </cell>
          <cell r="M44">
            <v>2.1800000000000002</v>
          </cell>
          <cell r="N44">
            <v>1.9</v>
          </cell>
          <cell r="O44">
            <v>1.9</v>
          </cell>
          <cell r="P44">
            <v>2.23</v>
          </cell>
          <cell r="Q44">
            <v>1.97</v>
          </cell>
          <cell r="R44">
            <v>2.12</v>
          </cell>
          <cell r="S44">
            <v>2.14</v>
          </cell>
          <cell r="T44">
            <v>1.8</v>
          </cell>
          <cell r="U44">
            <v>1.84</v>
          </cell>
          <cell r="V44">
            <v>1.57</v>
          </cell>
          <cell r="W44">
            <v>1.65</v>
          </cell>
          <cell r="X44">
            <v>1.57</v>
          </cell>
          <cell r="Y44">
            <v>1.41</v>
          </cell>
          <cell r="Z44">
            <v>1.31</v>
          </cell>
          <cell r="AA44">
            <v>1.52</v>
          </cell>
          <cell r="AB44">
            <v>1.6</v>
          </cell>
          <cell r="AC44">
            <v>1.51</v>
          </cell>
          <cell r="AD44">
            <v>1.27</v>
          </cell>
          <cell r="AE44">
            <v>1.27</v>
          </cell>
          <cell r="AF44">
            <v>1.34</v>
          </cell>
          <cell r="AG44">
            <v>1.45</v>
          </cell>
          <cell r="AH44">
            <v>1.47</v>
          </cell>
          <cell r="AI44">
            <v>1.25</v>
          </cell>
          <cell r="AJ44">
            <v>1.2</v>
          </cell>
          <cell r="AK44">
            <v>1.41</v>
          </cell>
          <cell r="AL44">
            <v>1.5</v>
          </cell>
          <cell r="AM44">
            <v>1.61</v>
          </cell>
          <cell r="AN44">
            <v>1.89</v>
          </cell>
          <cell r="AO44">
            <v>2</v>
          </cell>
          <cell r="AP44">
            <v>1.81</v>
          </cell>
          <cell r="AQ44">
            <v>1.9</v>
          </cell>
          <cell r="AR44">
            <v>2.14</v>
          </cell>
          <cell r="AS44">
            <v>2</v>
          </cell>
          <cell r="AT44">
            <v>2.0499999999999998</v>
          </cell>
          <cell r="AU44">
            <v>2.1800000000000002</v>
          </cell>
          <cell r="AV44">
            <v>2.13</v>
          </cell>
          <cell r="AW44">
            <v>1.67</v>
          </cell>
          <cell r="AX44">
            <v>1.69</v>
          </cell>
          <cell r="AY44">
            <v>2.5099999999999998</v>
          </cell>
          <cell r="AZ44">
            <v>3.61</v>
          </cell>
          <cell r="BA44">
            <v>4.0999999999999996</v>
          </cell>
          <cell r="BB44">
            <v>2.84</v>
          </cell>
          <cell r="BC44">
            <v>1.64</v>
          </cell>
          <cell r="BD44">
            <v>1.73</v>
          </cell>
          <cell r="BE44">
            <v>1.95</v>
          </cell>
          <cell r="BF44">
            <v>2.13</v>
          </cell>
          <cell r="BG44">
            <v>2.0099999999999998</v>
          </cell>
          <cell r="BH44">
            <v>2.06</v>
          </cell>
          <cell r="BI44">
            <v>2.42</v>
          </cell>
          <cell r="BJ44">
            <v>3.01</v>
          </cell>
          <cell r="BK44">
            <v>3.16</v>
          </cell>
          <cell r="BL44">
            <v>2.35</v>
          </cell>
          <cell r="BM44">
            <v>2.15</v>
          </cell>
          <cell r="BN44">
            <v>1.93</v>
          </cell>
          <cell r="BO44">
            <v>2.15</v>
          </cell>
          <cell r="BP44">
            <v>2.19</v>
          </cell>
          <cell r="BQ44">
            <v>2.1800000000000002</v>
          </cell>
          <cell r="BR44">
            <v>1.94</v>
          </cell>
          <cell r="BS44">
            <v>2.27</v>
          </cell>
          <cell r="BT44">
            <v>1.84</v>
          </cell>
          <cell r="BU44">
            <v>1.56</v>
          </cell>
          <cell r="BV44">
            <v>1.9</v>
          </cell>
          <cell r="BW44">
            <v>1.95</v>
          </cell>
          <cell r="BX44">
            <v>2.06</v>
          </cell>
          <cell r="BY44">
            <v>1.78</v>
          </cell>
          <cell r="BZ44">
            <v>1.76</v>
          </cell>
          <cell r="CA44">
            <v>1.58</v>
          </cell>
          <cell r="CB44">
            <v>1.76</v>
          </cell>
          <cell r="CC44">
            <v>2.2200000000000002</v>
          </cell>
          <cell r="CD44">
            <v>2.12</v>
          </cell>
          <cell r="CE44">
            <v>2.17</v>
          </cell>
          <cell r="CF44">
            <v>2.5099999999999998</v>
          </cell>
          <cell r="CG44">
            <v>2.77</v>
          </cell>
        </row>
        <row r="45">
          <cell r="A45" t="str">
            <v>QUEST</v>
          </cell>
          <cell r="B45">
            <v>42</v>
          </cell>
          <cell r="C45">
            <v>1.87</v>
          </cell>
          <cell r="D45">
            <v>1.88</v>
          </cell>
          <cell r="E45">
            <v>2.2599999999999998</v>
          </cell>
          <cell r="F45">
            <v>1.59</v>
          </cell>
          <cell r="G45">
            <v>1.7</v>
          </cell>
          <cell r="H45">
            <v>1.75</v>
          </cell>
          <cell r="I45">
            <v>2.2000000000000002</v>
          </cell>
          <cell r="J45">
            <v>1.58</v>
          </cell>
          <cell r="K45">
            <v>1.56</v>
          </cell>
          <cell r="L45">
            <v>1.65</v>
          </cell>
          <cell r="M45">
            <v>1.88</v>
          </cell>
          <cell r="N45">
            <v>1.72</v>
          </cell>
          <cell r="O45">
            <v>1.71</v>
          </cell>
          <cell r="P45">
            <v>2.2599999999999998</v>
          </cell>
          <cell r="Q45">
            <v>1.86</v>
          </cell>
          <cell r="R45">
            <v>1.77</v>
          </cell>
          <cell r="S45">
            <v>1.88</v>
          </cell>
          <cell r="T45">
            <v>1.55</v>
          </cell>
          <cell r="U45">
            <v>1.55</v>
          </cell>
          <cell r="V45">
            <v>1.31</v>
          </cell>
          <cell r="W45">
            <v>1.42</v>
          </cell>
          <cell r="X45">
            <v>1.41</v>
          </cell>
          <cell r="Y45">
            <v>1.34</v>
          </cell>
          <cell r="Z45">
            <v>1.1499999999999999</v>
          </cell>
          <cell r="AA45">
            <v>1.45</v>
          </cell>
          <cell r="AB45">
            <v>1.57</v>
          </cell>
          <cell r="AC45">
            <v>1.35</v>
          </cell>
          <cell r="AD45">
            <v>1.06</v>
          </cell>
          <cell r="AE45">
            <v>1.05</v>
          </cell>
          <cell r="AF45">
            <v>1.05</v>
          </cell>
          <cell r="AG45">
            <v>1.07</v>
          </cell>
          <cell r="AH45">
            <v>1.1299999999999999</v>
          </cell>
          <cell r="AI45">
            <v>0.98</v>
          </cell>
          <cell r="AJ45">
            <v>0.85</v>
          </cell>
          <cell r="AK45">
            <v>0.95</v>
          </cell>
          <cell r="AL45">
            <v>1.04</v>
          </cell>
          <cell r="AM45">
            <v>1.23</v>
          </cell>
          <cell r="AN45">
            <v>1.31</v>
          </cell>
          <cell r="AO45">
            <v>1.26</v>
          </cell>
          <cell r="AP45">
            <v>1.17</v>
          </cell>
          <cell r="AQ45">
            <v>1.1599999999999999</v>
          </cell>
          <cell r="AR45">
            <v>1.05</v>
          </cell>
          <cell r="AS45">
            <v>1.05</v>
          </cell>
          <cell r="AT45">
            <v>1.06</v>
          </cell>
          <cell r="AU45">
            <v>1.17</v>
          </cell>
          <cell r="AV45">
            <v>1.19</v>
          </cell>
          <cell r="AW45">
            <v>1.18</v>
          </cell>
          <cell r="AX45">
            <v>1.25</v>
          </cell>
          <cell r="AY45">
            <v>2.2000000000000002</v>
          </cell>
          <cell r="AZ45">
            <v>3.36</v>
          </cell>
          <cell r="BA45">
            <v>4.2</v>
          </cell>
          <cell r="BB45">
            <v>2.4500000000000002</v>
          </cell>
          <cell r="BC45">
            <v>1.38</v>
          </cell>
          <cell r="BD45">
            <v>1.42</v>
          </cell>
          <cell r="BE45">
            <v>1.61</v>
          </cell>
          <cell r="BF45">
            <v>1.45</v>
          </cell>
          <cell r="BG45">
            <v>1.42</v>
          </cell>
          <cell r="BH45">
            <v>1.38</v>
          </cell>
          <cell r="BI45">
            <v>1.47</v>
          </cell>
          <cell r="BJ45">
            <v>2.1</v>
          </cell>
          <cell r="BK45">
            <v>2.99</v>
          </cell>
          <cell r="BL45">
            <v>1.93</v>
          </cell>
          <cell r="BM45">
            <v>2.04</v>
          </cell>
          <cell r="BN45">
            <v>1.68</v>
          </cell>
          <cell r="BO45">
            <v>1.86</v>
          </cell>
          <cell r="BP45">
            <v>1.89</v>
          </cell>
          <cell r="BQ45">
            <v>1.97</v>
          </cell>
          <cell r="BR45">
            <v>1.62</v>
          </cell>
          <cell r="BS45">
            <v>1.61</v>
          </cell>
          <cell r="BT45">
            <v>1.73</v>
          </cell>
          <cell r="BU45">
            <v>1.53</v>
          </cell>
          <cell r="BV45">
            <v>1.64</v>
          </cell>
          <cell r="BW45">
            <v>1.91</v>
          </cell>
          <cell r="BX45">
            <v>2</v>
          </cell>
          <cell r="BY45">
            <v>1.73</v>
          </cell>
          <cell r="BZ45">
            <v>1.58</v>
          </cell>
          <cell r="CA45">
            <v>1.45</v>
          </cell>
          <cell r="CB45">
            <v>1.43</v>
          </cell>
          <cell r="CC45">
            <v>1.9</v>
          </cell>
          <cell r="CD45">
            <v>1.85</v>
          </cell>
          <cell r="CE45">
            <v>1.92</v>
          </cell>
          <cell r="CF45">
            <v>2.12</v>
          </cell>
          <cell r="CG45">
            <v>2.48</v>
          </cell>
        </row>
        <row r="46">
          <cell r="A46" t="str">
            <v>NGI-SOCAL</v>
          </cell>
          <cell r="B46">
            <v>43</v>
          </cell>
          <cell r="C46">
            <v>2.42</v>
          </cell>
          <cell r="D46">
            <v>2.3199999999999998</v>
          </cell>
          <cell r="E46">
            <v>2.33</v>
          </cell>
          <cell r="F46">
            <v>1.82</v>
          </cell>
          <cell r="G46">
            <v>2.04</v>
          </cell>
          <cell r="H46">
            <v>2.1800000000000002</v>
          </cell>
          <cell r="I46">
            <v>2.58</v>
          </cell>
          <cell r="J46">
            <v>1.92</v>
          </cell>
          <cell r="K46">
            <v>2.04</v>
          </cell>
          <cell r="L46">
            <v>2.29</v>
          </cell>
          <cell r="M46">
            <v>2.4300000000000002</v>
          </cell>
          <cell r="N46">
            <v>2.2000000000000002</v>
          </cell>
          <cell r="O46">
            <v>2.0699999999999998</v>
          </cell>
          <cell r="P46">
            <v>2.5499999999999998</v>
          </cell>
          <cell r="Q46">
            <v>2.23</v>
          </cell>
          <cell r="R46">
            <v>2</v>
          </cell>
          <cell r="S46">
            <v>2.19</v>
          </cell>
          <cell r="T46">
            <v>1.93</v>
          </cell>
          <cell r="U46">
            <v>1.92</v>
          </cell>
          <cell r="V46">
            <v>1.66</v>
          </cell>
          <cell r="W46">
            <v>1.76</v>
          </cell>
          <cell r="X46">
            <v>1.74</v>
          </cell>
          <cell r="Y46">
            <v>1.64</v>
          </cell>
          <cell r="Z46">
            <v>1.4</v>
          </cell>
          <cell r="AA46">
            <v>1.69</v>
          </cell>
          <cell r="AB46">
            <v>1.85</v>
          </cell>
          <cell r="AC46">
            <v>1.66</v>
          </cell>
          <cell r="AD46">
            <v>1.27</v>
          </cell>
          <cell r="AE46">
            <v>1.23</v>
          </cell>
          <cell r="AF46">
            <v>1.25</v>
          </cell>
          <cell r="AG46">
            <v>1.34</v>
          </cell>
          <cell r="AH46">
            <v>1.38</v>
          </cell>
          <cell r="AI46">
            <v>1.25</v>
          </cell>
          <cell r="AJ46">
            <v>1.24</v>
          </cell>
          <cell r="AK46">
            <v>1.46</v>
          </cell>
          <cell r="AL46">
            <v>1.53</v>
          </cell>
          <cell r="AM46">
            <v>1.56</v>
          </cell>
          <cell r="AN46">
            <v>1.63</v>
          </cell>
          <cell r="AO46">
            <v>1.48</v>
          </cell>
          <cell r="AP46">
            <v>1.42</v>
          </cell>
          <cell r="AQ46">
            <v>1.39</v>
          </cell>
          <cell r="AR46">
            <v>1.29</v>
          </cell>
          <cell r="AS46">
            <v>1.29</v>
          </cell>
          <cell r="AT46">
            <v>1.37</v>
          </cell>
          <cell r="AU46">
            <v>1.69</v>
          </cell>
          <cell r="AV46">
            <v>2.16</v>
          </cell>
          <cell r="AW46">
            <v>1.72</v>
          </cell>
          <cell r="AX46">
            <v>1.73</v>
          </cell>
          <cell r="AY46">
            <v>2.62</v>
          </cell>
          <cell r="AZ46">
            <v>3.7</v>
          </cell>
          <cell r="BA46">
            <v>4.2699999999999996</v>
          </cell>
          <cell r="BB46">
            <v>2.65</v>
          </cell>
          <cell r="BC46">
            <v>1.61</v>
          </cell>
          <cell r="BD46">
            <v>1.74</v>
          </cell>
          <cell r="BE46">
            <v>2.0499999999999998</v>
          </cell>
          <cell r="BF46">
            <v>2.2000000000000002</v>
          </cell>
          <cell r="BG46">
            <v>2.19</v>
          </cell>
          <cell r="BH46">
            <v>2.2200000000000002</v>
          </cell>
          <cell r="BI46">
            <v>2.5</v>
          </cell>
          <cell r="BJ46">
            <v>3.08</v>
          </cell>
          <cell r="BK46">
            <v>3.34</v>
          </cell>
          <cell r="BL46">
            <v>2.36</v>
          </cell>
          <cell r="BM46">
            <v>2.2799999999999998</v>
          </cell>
          <cell r="BN46">
            <v>2.11</v>
          </cell>
        </row>
        <row r="47">
          <cell r="A47" t="str">
            <v>SONAT-LA</v>
          </cell>
          <cell r="B47">
            <v>44</v>
          </cell>
          <cell r="C47">
            <v>2.2599999999999998</v>
          </cell>
          <cell r="D47">
            <v>2.2000000000000002</v>
          </cell>
          <cell r="E47">
            <v>1.91</v>
          </cell>
          <cell r="F47">
            <v>1.61</v>
          </cell>
          <cell r="G47">
            <v>1.9</v>
          </cell>
          <cell r="H47">
            <v>2.1800000000000002</v>
          </cell>
          <cell r="I47">
            <v>2.6</v>
          </cell>
          <cell r="J47">
            <v>1.95</v>
          </cell>
          <cell r="K47">
            <v>1.9</v>
          </cell>
          <cell r="L47">
            <v>2.0499999999999998</v>
          </cell>
          <cell r="M47">
            <v>2.31</v>
          </cell>
          <cell r="N47">
            <v>1.95</v>
          </cell>
          <cell r="O47">
            <v>2.0499999999999998</v>
          </cell>
          <cell r="P47">
            <v>2.2999999999999998</v>
          </cell>
          <cell r="Q47">
            <v>2.0099999999999998</v>
          </cell>
          <cell r="R47">
            <v>2.31</v>
          </cell>
          <cell r="S47">
            <v>2.3199999999999998</v>
          </cell>
          <cell r="T47">
            <v>1.91</v>
          </cell>
          <cell r="U47">
            <v>1.92</v>
          </cell>
          <cell r="V47">
            <v>1.75</v>
          </cell>
          <cell r="W47">
            <v>1.85</v>
          </cell>
          <cell r="X47">
            <v>1.73</v>
          </cell>
          <cell r="Y47">
            <v>1.44</v>
          </cell>
          <cell r="Z47">
            <v>1.38</v>
          </cell>
          <cell r="AA47">
            <v>1.62</v>
          </cell>
          <cell r="AB47">
            <v>1.65</v>
          </cell>
          <cell r="AC47">
            <v>1.57</v>
          </cell>
          <cell r="AD47">
            <v>1.38</v>
          </cell>
          <cell r="AE47">
            <v>1.41</v>
          </cell>
          <cell r="AF47">
            <v>1.53</v>
          </cell>
          <cell r="AG47">
            <v>1.64</v>
          </cell>
          <cell r="AH47">
            <v>1.66</v>
          </cell>
          <cell r="AI47">
            <v>1.46</v>
          </cell>
          <cell r="AJ47">
            <v>1.34</v>
          </cell>
          <cell r="AK47">
            <v>1.54</v>
          </cell>
          <cell r="AL47">
            <v>1.61</v>
          </cell>
          <cell r="AM47">
            <v>1.76</v>
          </cell>
          <cell r="AN47">
            <v>2.2400000000000002</v>
          </cell>
          <cell r="AO47">
            <v>3.38</v>
          </cell>
          <cell r="AP47">
            <v>2.34</v>
          </cell>
          <cell r="AQ47">
            <v>2.84</v>
          </cell>
          <cell r="AR47">
            <v>2.65</v>
          </cell>
          <cell r="AS47">
            <v>2.17</v>
          </cell>
          <cell r="AT47">
            <v>2.2999999999999998</v>
          </cell>
          <cell r="AU47">
            <v>2.61</v>
          </cell>
          <cell r="AV47">
            <v>2.2599999999999998</v>
          </cell>
          <cell r="AW47">
            <v>1.74</v>
          </cell>
          <cell r="AX47">
            <v>1.78</v>
          </cell>
          <cell r="AY47">
            <v>2.66</v>
          </cell>
          <cell r="AZ47">
            <v>3.84</v>
          </cell>
          <cell r="BA47">
            <v>3.95</v>
          </cell>
          <cell r="BB47">
            <v>2.88</v>
          </cell>
          <cell r="BC47">
            <v>1.74</v>
          </cell>
          <cell r="BD47">
            <v>1.78</v>
          </cell>
          <cell r="BE47">
            <v>2.08</v>
          </cell>
          <cell r="BF47">
            <v>2.2799999999999998</v>
          </cell>
          <cell r="BG47">
            <v>2.1</v>
          </cell>
          <cell r="BH47">
            <v>2.14</v>
          </cell>
          <cell r="BI47">
            <v>2.5</v>
          </cell>
          <cell r="BJ47">
            <v>3.05</v>
          </cell>
          <cell r="BK47">
            <v>3.25</v>
          </cell>
          <cell r="BL47">
            <v>2.52</v>
          </cell>
          <cell r="BM47">
            <v>2.27</v>
          </cell>
          <cell r="BN47">
            <v>2.02</v>
          </cell>
          <cell r="BO47">
            <v>2.23</v>
          </cell>
          <cell r="BP47">
            <v>2.2799999999999998</v>
          </cell>
          <cell r="BQ47">
            <v>2.25</v>
          </cell>
          <cell r="BR47">
            <v>2.0099999999999998</v>
          </cell>
          <cell r="BS47">
            <v>2.35</v>
          </cell>
          <cell r="BT47">
            <v>1.91</v>
          </cell>
          <cell r="BU47">
            <v>1.6</v>
          </cell>
          <cell r="BV47">
            <v>2.02</v>
          </cell>
          <cell r="BW47">
            <v>1.96</v>
          </cell>
          <cell r="BX47">
            <v>2.09</v>
          </cell>
          <cell r="BY47">
            <v>1.76</v>
          </cell>
          <cell r="BZ47">
            <v>1.78</v>
          </cell>
          <cell r="CA47">
            <v>1.62</v>
          </cell>
          <cell r="CB47">
            <v>1.87</v>
          </cell>
          <cell r="CC47">
            <v>2.2999999999999998</v>
          </cell>
          <cell r="CD47">
            <v>2.21</v>
          </cell>
          <cell r="CE47">
            <v>2.2599999999999998</v>
          </cell>
          <cell r="CF47">
            <v>2.6</v>
          </cell>
          <cell r="CG47">
            <v>2.87</v>
          </cell>
        </row>
        <row r="48">
          <cell r="A48" t="str">
            <v>TANG</v>
          </cell>
          <cell r="B48">
            <v>45</v>
          </cell>
          <cell r="C48">
            <v>2.2090000000000001</v>
          </cell>
          <cell r="D48">
            <v>2.1240000000000001</v>
          </cell>
          <cell r="E48">
            <v>1.85</v>
          </cell>
          <cell r="F48">
            <v>1.5489999999999999</v>
          </cell>
          <cell r="G48">
            <v>1.806</v>
          </cell>
          <cell r="H48">
            <v>2.109</v>
          </cell>
          <cell r="I48">
            <v>2.581</v>
          </cell>
          <cell r="J48">
            <v>1.927</v>
          </cell>
          <cell r="K48">
            <v>1.8540000000000001</v>
          </cell>
          <cell r="L48">
            <v>2.0030000000000001</v>
          </cell>
          <cell r="M48">
            <v>2.2959999999999998</v>
          </cell>
          <cell r="N48">
            <v>1.9379999999999999</v>
          </cell>
          <cell r="O48">
            <v>2.0230000000000001</v>
          </cell>
          <cell r="P48">
            <v>2.3010000000000002</v>
          </cell>
          <cell r="Q48">
            <v>1.9690000000000001</v>
          </cell>
          <cell r="R48">
            <v>2.1930000000000001</v>
          </cell>
          <cell r="S48">
            <v>2.198</v>
          </cell>
          <cell r="T48">
            <v>1.871</v>
          </cell>
          <cell r="U48">
            <v>1.9670000000000001</v>
          </cell>
          <cell r="V48">
            <v>1.7090000000000001</v>
          </cell>
          <cell r="W48">
            <v>1.86</v>
          </cell>
          <cell r="X48">
            <v>1.7</v>
          </cell>
          <cell r="Y48">
            <v>1.397</v>
          </cell>
          <cell r="Z48">
            <v>1.333</v>
          </cell>
          <cell r="AA48">
            <v>1.5920000000000001</v>
          </cell>
          <cell r="AB48">
            <v>1.601</v>
          </cell>
          <cell r="AC48">
            <v>1.514</v>
          </cell>
          <cell r="AD48">
            <v>1.3120000000000001</v>
          </cell>
          <cell r="AE48">
            <v>1.3380000000000001</v>
          </cell>
          <cell r="AF48">
            <v>1.4610000000000001</v>
          </cell>
          <cell r="AG48">
            <v>1.577</v>
          </cell>
          <cell r="AH48">
            <v>1.6180000000000001</v>
          </cell>
          <cell r="AI48">
            <v>1.399</v>
          </cell>
          <cell r="AJ48">
            <v>1.288</v>
          </cell>
          <cell r="AK48">
            <v>1.4810000000000001</v>
          </cell>
          <cell r="AL48">
            <v>1.544</v>
          </cell>
          <cell r="AM48">
            <v>1.6779999999999999</v>
          </cell>
          <cell r="AN48">
            <v>2.0640000000000001</v>
          </cell>
          <cell r="AO48">
            <v>2.0859999999999999</v>
          </cell>
          <cell r="AP48">
            <v>1.806</v>
          </cell>
          <cell r="AQ48">
            <v>1.92</v>
          </cell>
          <cell r="AR48">
            <v>2.2050000000000001</v>
          </cell>
          <cell r="AS48">
            <v>2.1040000000000001</v>
          </cell>
          <cell r="AT48">
            <v>2.2410000000000001</v>
          </cell>
          <cell r="AU48">
            <v>2.5099999999999998</v>
          </cell>
          <cell r="AV48">
            <v>2.1619999999999999</v>
          </cell>
          <cell r="AW48">
            <v>1.6859999999999999</v>
          </cell>
          <cell r="AX48">
            <v>1.7270000000000001</v>
          </cell>
          <cell r="AY48">
            <v>2.5539999999999998</v>
          </cell>
          <cell r="AZ48">
            <v>3.6459999999999999</v>
          </cell>
          <cell r="BA48">
            <v>3.7229999999999999</v>
          </cell>
          <cell r="BB48">
            <v>2.706</v>
          </cell>
          <cell r="BC48">
            <v>1.62</v>
          </cell>
          <cell r="BD48">
            <v>1.716</v>
          </cell>
          <cell r="BE48">
            <v>2.0179999999999998</v>
          </cell>
        </row>
        <row r="49">
          <cell r="A49" t="str">
            <v>TENN-Z0</v>
          </cell>
          <cell r="B49">
            <v>46</v>
          </cell>
          <cell r="C49">
            <v>2.2799999999999998</v>
          </cell>
          <cell r="D49">
            <v>2.12</v>
          </cell>
          <cell r="E49">
            <v>1.82</v>
          </cell>
          <cell r="F49">
            <v>1.54</v>
          </cell>
          <cell r="G49">
            <v>1.8</v>
          </cell>
          <cell r="H49">
            <v>2.1</v>
          </cell>
          <cell r="I49">
            <v>2.58</v>
          </cell>
          <cell r="J49">
            <v>1.83</v>
          </cell>
          <cell r="K49">
            <v>1.73</v>
          </cell>
          <cell r="L49">
            <v>1.89</v>
          </cell>
          <cell r="M49">
            <v>2.23</v>
          </cell>
          <cell r="N49">
            <v>1.88</v>
          </cell>
          <cell r="O49">
            <v>2.02</v>
          </cell>
          <cell r="P49">
            <v>2.29</v>
          </cell>
          <cell r="Q49">
            <v>1.94</v>
          </cell>
          <cell r="R49">
            <v>2.1800000000000002</v>
          </cell>
          <cell r="S49">
            <v>2.17</v>
          </cell>
          <cell r="T49">
            <v>1.85</v>
          </cell>
          <cell r="U49">
            <v>1.98</v>
          </cell>
          <cell r="V49">
            <v>1.7</v>
          </cell>
          <cell r="W49">
            <v>1.84</v>
          </cell>
          <cell r="X49">
            <v>1.68</v>
          </cell>
          <cell r="Y49">
            <v>1.38</v>
          </cell>
          <cell r="Z49">
            <v>1.33</v>
          </cell>
          <cell r="AA49">
            <v>1.62</v>
          </cell>
          <cell r="AB49">
            <v>1.6</v>
          </cell>
          <cell r="AC49">
            <v>1.5</v>
          </cell>
          <cell r="AD49">
            <v>1.32</v>
          </cell>
          <cell r="AE49">
            <v>1.35</v>
          </cell>
          <cell r="AF49">
            <v>1.47</v>
          </cell>
          <cell r="AG49">
            <v>1.58</v>
          </cell>
          <cell r="AH49">
            <v>1.63</v>
          </cell>
          <cell r="AI49">
            <v>1.4</v>
          </cell>
          <cell r="AJ49">
            <v>1.28</v>
          </cell>
          <cell r="AK49">
            <v>1.48</v>
          </cell>
          <cell r="AL49">
            <v>1.56</v>
          </cell>
          <cell r="AM49">
            <v>1.7</v>
          </cell>
          <cell r="AN49">
            <v>2.08</v>
          </cell>
          <cell r="AO49">
            <v>2.11</v>
          </cell>
          <cell r="AP49">
            <v>1.8</v>
          </cell>
          <cell r="AQ49">
            <v>1.97</v>
          </cell>
          <cell r="AR49">
            <v>2.2200000000000002</v>
          </cell>
          <cell r="AS49">
            <v>2.11</v>
          </cell>
          <cell r="AT49">
            <v>2.2599999999999998</v>
          </cell>
          <cell r="AU49">
            <v>2.5299999999999998</v>
          </cell>
          <cell r="AV49">
            <v>2.19</v>
          </cell>
          <cell r="AW49">
            <v>1.69</v>
          </cell>
          <cell r="AX49">
            <v>1.73</v>
          </cell>
          <cell r="AY49">
            <v>2.59</v>
          </cell>
          <cell r="AZ49">
            <v>3.68</v>
          </cell>
          <cell r="BA49">
            <v>3.82</v>
          </cell>
          <cell r="BB49">
            <v>2.73</v>
          </cell>
          <cell r="BC49">
            <v>1.62</v>
          </cell>
          <cell r="BD49">
            <v>1.74</v>
          </cell>
          <cell r="BE49">
            <v>2.02</v>
          </cell>
          <cell r="BF49">
            <v>2.23</v>
          </cell>
          <cell r="BG49">
            <v>2.06</v>
          </cell>
          <cell r="BH49">
            <v>2.1</v>
          </cell>
          <cell r="BI49">
            <v>2.4300000000000002</v>
          </cell>
          <cell r="BJ49">
            <v>2.99</v>
          </cell>
          <cell r="BK49">
            <v>3.17</v>
          </cell>
          <cell r="BL49">
            <v>2.36</v>
          </cell>
          <cell r="BM49">
            <v>2.14</v>
          </cell>
          <cell r="BN49">
            <v>1.92</v>
          </cell>
          <cell r="BO49">
            <v>2.16</v>
          </cell>
          <cell r="BP49">
            <v>2.2200000000000002</v>
          </cell>
          <cell r="BQ49">
            <v>2.2000000000000002</v>
          </cell>
          <cell r="BR49">
            <v>1.95</v>
          </cell>
          <cell r="BS49">
            <v>2.27</v>
          </cell>
          <cell r="BT49">
            <v>1.83</v>
          </cell>
          <cell r="BU49">
            <v>1.53</v>
          </cell>
          <cell r="BV49">
            <v>1.92</v>
          </cell>
          <cell r="BW49">
            <v>1.89</v>
          </cell>
          <cell r="BX49">
            <v>2.02</v>
          </cell>
          <cell r="BY49">
            <v>1.69</v>
          </cell>
          <cell r="BZ49">
            <v>1.74</v>
          </cell>
          <cell r="CA49">
            <v>1.56</v>
          </cell>
          <cell r="CB49">
            <v>1.83</v>
          </cell>
          <cell r="CC49">
            <v>2.2799999999999998</v>
          </cell>
          <cell r="CD49">
            <v>2.14</v>
          </cell>
          <cell r="CE49">
            <v>2.19</v>
          </cell>
          <cell r="CF49">
            <v>2.5299999999999998</v>
          </cell>
          <cell r="CG49">
            <v>2.8</v>
          </cell>
        </row>
        <row r="50">
          <cell r="A50" t="str">
            <v>TENN-Z1</v>
          </cell>
          <cell r="B50">
            <v>47</v>
          </cell>
          <cell r="C50">
            <v>2.2999999999999998</v>
          </cell>
          <cell r="D50">
            <v>2.1800000000000002</v>
          </cell>
          <cell r="E50">
            <v>1.88</v>
          </cell>
          <cell r="F50">
            <v>1.59</v>
          </cell>
          <cell r="G50">
            <v>1.84</v>
          </cell>
          <cell r="H50">
            <v>2.14</v>
          </cell>
          <cell r="I50">
            <v>2.6</v>
          </cell>
          <cell r="J50">
            <v>1.86</v>
          </cell>
          <cell r="K50">
            <v>1.81</v>
          </cell>
          <cell r="L50">
            <v>1.95</v>
          </cell>
          <cell r="M50">
            <v>2.27</v>
          </cell>
          <cell r="N50">
            <v>1.92</v>
          </cell>
          <cell r="O50">
            <v>2.0499999999999998</v>
          </cell>
          <cell r="P50">
            <v>2.33</v>
          </cell>
          <cell r="Q50">
            <v>1.98</v>
          </cell>
          <cell r="R50">
            <v>2.31</v>
          </cell>
          <cell r="S50">
            <v>2.3199999999999998</v>
          </cell>
          <cell r="T50">
            <v>1.92</v>
          </cell>
          <cell r="U50">
            <v>2</v>
          </cell>
          <cell r="V50">
            <v>1.73</v>
          </cell>
          <cell r="W50">
            <v>1.87</v>
          </cell>
          <cell r="X50">
            <v>1.7</v>
          </cell>
          <cell r="Y50">
            <v>1.4</v>
          </cell>
          <cell r="Z50">
            <v>1.35</v>
          </cell>
          <cell r="AA50">
            <v>1.62</v>
          </cell>
          <cell r="AB50">
            <v>1.64</v>
          </cell>
          <cell r="AC50">
            <v>1.57</v>
          </cell>
          <cell r="AD50">
            <v>1.37</v>
          </cell>
          <cell r="AE50">
            <v>1.42</v>
          </cell>
          <cell r="AF50">
            <v>1.5</v>
          </cell>
          <cell r="AG50">
            <v>1.6</v>
          </cell>
          <cell r="AH50">
            <v>1.64</v>
          </cell>
          <cell r="AI50">
            <v>1.42</v>
          </cell>
          <cell r="AJ50">
            <v>1.3</v>
          </cell>
          <cell r="AK50">
            <v>1.5</v>
          </cell>
          <cell r="AL50">
            <v>1.58</v>
          </cell>
          <cell r="AM50">
            <v>1.73</v>
          </cell>
          <cell r="AN50">
            <v>2.2400000000000002</v>
          </cell>
          <cell r="AO50">
            <v>3.25</v>
          </cell>
          <cell r="AP50">
            <v>2.33</v>
          </cell>
          <cell r="AQ50">
            <v>2.81</v>
          </cell>
          <cell r="AR50">
            <v>2.58</v>
          </cell>
          <cell r="AS50">
            <v>2.1</v>
          </cell>
          <cell r="AT50">
            <v>2.2799999999999998</v>
          </cell>
          <cell r="AU50">
            <v>2.57</v>
          </cell>
          <cell r="AV50">
            <v>2.2200000000000002</v>
          </cell>
          <cell r="AW50">
            <v>1.72</v>
          </cell>
          <cell r="AX50">
            <v>1.75</v>
          </cell>
          <cell r="AY50">
            <v>2.63</v>
          </cell>
          <cell r="AZ50">
            <v>3.73</v>
          </cell>
          <cell r="BA50">
            <v>3.84</v>
          </cell>
          <cell r="BB50">
            <v>2.79</v>
          </cell>
          <cell r="BC50">
            <v>1.66</v>
          </cell>
          <cell r="BD50">
            <v>1.76</v>
          </cell>
          <cell r="BE50">
            <v>2.04</v>
          </cell>
          <cell r="BF50">
            <v>2.2400000000000002</v>
          </cell>
          <cell r="BG50">
            <v>2.0699999999999998</v>
          </cell>
          <cell r="BH50">
            <v>2.11</v>
          </cell>
          <cell r="BI50">
            <v>2.46</v>
          </cell>
          <cell r="BJ50">
            <v>3.02</v>
          </cell>
          <cell r="BK50">
            <v>3.2</v>
          </cell>
          <cell r="BL50">
            <v>2.4500000000000002</v>
          </cell>
          <cell r="BM50">
            <v>2.19</v>
          </cell>
          <cell r="BN50">
            <v>1.93</v>
          </cell>
          <cell r="BO50">
            <v>2.19</v>
          </cell>
          <cell r="BP50">
            <v>2.2400000000000002</v>
          </cell>
          <cell r="BQ50">
            <v>2.21</v>
          </cell>
          <cell r="BR50">
            <v>1.96</v>
          </cell>
          <cell r="BS50">
            <v>2.29</v>
          </cell>
          <cell r="BT50">
            <v>1.85</v>
          </cell>
          <cell r="BU50">
            <v>1.53</v>
          </cell>
          <cell r="BV50">
            <v>1.95</v>
          </cell>
          <cell r="BW50">
            <v>1.93</v>
          </cell>
          <cell r="BX50">
            <v>2.0499999999999998</v>
          </cell>
          <cell r="BY50">
            <v>1.71</v>
          </cell>
          <cell r="BZ50">
            <v>1.75</v>
          </cell>
          <cell r="CA50">
            <v>1.57</v>
          </cell>
          <cell r="CB50">
            <v>1.84</v>
          </cell>
          <cell r="CC50">
            <v>2.2999999999999998</v>
          </cell>
          <cell r="CD50">
            <v>2.16</v>
          </cell>
          <cell r="CE50">
            <v>2.21</v>
          </cell>
          <cell r="CF50">
            <v>2.54</v>
          </cell>
          <cell r="CG50">
            <v>2.83</v>
          </cell>
        </row>
        <row r="51">
          <cell r="A51" t="str">
            <v>TET-ELA</v>
          </cell>
          <cell r="B51">
            <v>48</v>
          </cell>
          <cell r="L51">
            <v>2.0499999999999998</v>
          </cell>
          <cell r="M51">
            <v>2.35</v>
          </cell>
          <cell r="N51">
            <v>2</v>
          </cell>
          <cell r="O51">
            <v>2.1</v>
          </cell>
          <cell r="P51">
            <v>2.35</v>
          </cell>
          <cell r="Q51">
            <v>2</v>
          </cell>
          <cell r="R51">
            <v>2.35</v>
          </cell>
          <cell r="S51">
            <v>2.35</v>
          </cell>
          <cell r="T51">
            <v>1.96</v>
          </cell>
          <cell r="U51">
            <v>2.0499999999999998</v>
          </cell>
          <cell r="V51">
            <v>1.81</v>
          </cell>
          <cell r="W51">
            <v>1.93</v>
          </cell>
          <cell r="X51">
            <v>1.76</v>
          </cell>
          <cell r="Y51">
            <v>1.45</v>
          </cell>
          <cell r="Z51">
            <v>1.38</v>
          </cell>
          <cell r="AA51">
            <v>1.66</v>
          </cell>
          <cell r="AB51">
            <v>1.65</v>
          </cell>
          <cell r="AC51">
            <v>1.59</v>
          </cell>
          <cell r="AD51">
            <v>1.4</v>
          </cell>
          <cell r="AE51">
            <v>1.43</v>
          </cell>
          <cell r="AF51">
            <v>1.54</v>
          </cell>
          <cell r="AG51">
            <v>1.65</v>
          </cell>
          <cell r="AH51">
            <v>1.69</v>
          </cell>
          <cell r="AI51">
            <v>1.46</v>
          </cell>
          <cell r="AJ51">
            <v>1.34</v>
          </cell>
          <cell r="AK51">
            <v>1.54</v>
          </cell>
          <cell r="AL51">
            <v>1.61</v>
          </cell>
          <cell r="AM51">
            <v>1.76</v>
          </cell>
          <cell r="AN51">
            <v>2.2599999999999998</v>
          </cell>
          <cell r="AO51">
            <v>3.5</v>
          </cell>
          <cell r="AP51">
            <v>2.5</v>
          </cell>
          <cell r="AQ51">
            <v>2.92</v>
          </cell>
          <cell r="AR51">
            <v>2.65</v>
          </cell>
          <cell r="AS51">
            <v>2.1800000000000002</v>
          </cell>
          <cell r="AT51">
            <v>2.34</v>
          </cell>
          <cell r="AU51">
            <v>2.61</v>
          </cell>
          <cell r="AV51">
            <v>2.25</v>
          </cell>
          <cell r="AW51">
            <v>1.73</v>
          </cell>
          <cell r="AX51">
            <v>1.78</v>
          </cell>
          <cell r="AY51">
            <v>2.65</v>
          </cell>
          <cell r="AZ51">
            <v>3.83</v>
          </cell>
          <cell r="BA51">
            <v>3.9</v>
          </cell>
          <cell r="BB51">
            <v>2.85</v>
          </cell>
          <cell r="BC51">
            <v>1.7</v>
          </cell>
          <cell r="BD51">
            <v>1.78</v>
          </cell>
          <cell r="BE51">
            <v>2.0699999999999998</v>
          </cell>
          <cell r="BF51">
            <v>2.2400000000000002</v>
          </cell>
          <cell r="BG51">
            <v>2.1</v>
          </cell>
          <cell r="BH51">
            <v>2.13</v>
          </cell>
          <cell r="BI51">
            <v>2.48</v>
          </cell>
          <cell r="BJ51">
            <v>3.04</v>
          </cell>
          <cell r="BK51">
            <v>3.23</v>
          </cell>
          <cell r="BL51">
            <v>2.48</v>
          </cell>
          <cell r="BM51">
            <v>2.2200000000000002</v>
          </cell>
          <cell r="BN51">
            <v>1.97</v>
          </cell>
          <cell r="BO51">
            <v>2.2000000000000002</v>
          </cell>
          <cell r="BP51">
            <v>2.2599999999999998</v>
          </cell>
          <cell r="BQ51">
            <v>2.23</v>
          </cell>
          <cell r="BR51">
            <v>1.98</v>
          </cell>
          <cell r="BS51">
            <v>2.31</v>
          </cell>
          <cell r="BT51">
            <v>1.87</v>
          </cell>
          <cell r="BU51">
            <v>1.56</v>
          </cell>
          <cell r="BV51">
            <v>1.98</v>
          </cell>
          <cell r="BW51">
            <v>1.96</v>
          </cell>
          <cell r="BX51">
            <v>2.0499999999999998</v>
          </cell>
          <cell r="BY51">
            <v>1.72</v>
          </cell>
          <cell r="BZ51">
            <v>1.77</v>
          </cell>
          <cell r="CA51">
            <v>1.58</v>
          </cell>
          <cell r="CB51">
            <v>1.86</v>
          </cell>
          <cell r="CC51">
            <v>2.3199999999999998</v>
          </cell>
          <cell r="CD51">
            <v>2.1800000000000002</v>
          </cell>
          <cell r="CE51">
            <v>2.23</v>
          </cell>
          <cell r="CF51">
            <v>2.57</v>
          </cell>
          <cell r="CG51">
            <v>2.82</v>
          </cell>
        </row>
        <row r="52">
          <cell r="A52" t="str">
            <v>TET-ETX</v>
          </cell>
          <cell r="B52">
            <v>49</v>
          </cell>
          <cell r="L52">
            <v>2.02</v>
          </cell>
          <cell r="M52">
            <v>2.31</v>
          </cell>
          <cell r="N52">
            <v>1.96</v>
          </cell>
          <cell r="O52">
            <v>2.0499999999999998</v>
          </cell>
          <cell r="P52">
            <v>2.3199999999999998</v>
          </cell>
          <cell r="Q52">
            <v>1.95</v>
          </cell>
          <cell r="R52">
            <v>2.25</v>
          </cell>
          <cell r="S52">
            <v>2.2400000000000002</v>
          </cell>
          <cell r="T52">
            <v>1.9</v>
          </cell>
          <cell r="U52">
            <v>1.98</v>
          </cell>
          <cell r="V52">
            <v>1.74</v>
          </cell>
          <cell r="W52">
            <v>1.88</v>
          </cell>
          <cell r="X52">
            <v>1.73</v>
          </cell>
          <cell r="Y52">
            <v>1.41</v>
          </cell>
          <cell r="Z52">
            <v>1.34</v>
          </cell>
          <cell r="AA52">
            <v>1.6</v>
          </cell>
          <cell r="AB52">
            <v>1.6</v>
          </cell>
          <cell r="AC52">
            <v>1.54</v>
          </cell>
          <cell r="AD52">
            <v>1.33</v>
          </cell>
          <cell r="AE52">
            <v>1.35</v>
          </cell>
          <cell r="AF52">
            <v>1.48</v>
          </cell>
          <cell r="AG52">
            <v>1.6</v>
          </cell>
          <cell r="AH52">
            <v>1.64</v>
          </cell>
          <cell r="AI52">
            <v>1.41</v>
          </cell>
          <cell r="AJ52">
            <v>1.3</v>
          </cell>
          <cell r="AK52">
            <v>1.5</v>
          </cell>
          <cell r="AL52">
            <v>1.58</v>
          </cell>
          <cell r="AM52">
            <v>1.7</v>
          </cell>
          <cell r="AN52">
            <v>2.11</v>
          </cell>
          <cell r="AO52">
            <v>2.0499999999999998</v>
          </cell>
          <cell r="AP52">
            <v>1.82</v>
          </cell>
          <cell r="AQ52">
            <v>1.96</v>
          </cell>
          <cell r="AR52">
            <v>2.23</v>
          </cell>
          <cell r="AS52">
            <v>2.13</v>
          </cell>
          <cell r="AT52">
            <v>2.25</v>
          </cell>
          <cell r="AU52">
            <v>2.56</v>
          </cell>
          <cell r="AV52">
            <v>2.19</v>
          </cell>
          <cell r="AW52">
            <v>1.69</v>
          </cell>
          <cell r="AX52">
            <v>1.73</v>
          </cell>
          <cell r="AY52">
            <v>2.61</v>
          </cell>
          <cell r="AZ52">
            <v>3.69</v>
          </cell>
          <cell r="BA52">
            <v>3.92</v>
          </cell>
          <cell r="BB52">
            <v>2.75</v>
          </cell>
          <cell r="BC52">
            <v>1.63</v>
          </cell>
          <cell r="BD52">
            <v>1.73</v>
          </cell>
          <cell r="BE52">
            <v>2.0299999999999998</v>
          </cell>
          <cell r="BF52">
            <v>2.2000000000000002</v>
          </cell>
          <cell r="BG52">
            <v>2.06</v>
          </cell>
          <cell r="BH52">
            <v>2.1</v>
          </cell>
          <cell r="BI52">
            <v>2.4500000000000002</v>
          </cell>
          <cell r="BJ52">
            <v>2.93</v>
          </cell>
          <cell r="BK52">
            <v>3.17</v>
          </cell>
          <cell r="BL52">
            <v>2.38</v>
          </cell>
          <cell r="BM52">
            <v>2.16</v>
          </cell>
          <cell r="BN52">
            <v>1.92</v>
          </cell>
          <cell r="BO52">
            <v>2.16</v>
          </cell>
          <cell r="BP52">
            <v>2.2200000000000002</v>
          </cell>
          <cell r="BQ52">
            <v>2.2200000000000002</v>
          </cell>
          <cell r="BR52">
            <v>1.95</v>
          </cell>
          <cell r="BS52">
            <v>2.2799999999999998</v>
          </cell>
          <cell r="BT52">
            <v>1.88</v>
          </cell>
          <cell r="BU52">
            <v>1.54</v>
          </cell>
          <cell r="BV52">
            <v>1.95</v>
          </cell>
          <cell r="BW52">
            <v>1.91</v>
          </cell>
          <cell r="BX52">
            <v>2.0299999999999998</v>
          </cell>
          <cell r="BY52">
            <v>1.68</v>
          </cell>
          <cell r="BZ52">
            <v>1.74</v>
          </cell>
          <cell r="CA52">
            <v>1.56</v>
          </cell>
          <cell r="CB52">
            <v>1.81</v>
          </cell>
          <cell r="CC52">
            <v>2.29</v>
          </cell>
          <cell r="CD52">
            <v>2.15</v>
          </cell>
          <cell r="CE52">
            <v>2.2000000000000002</v>
          </cell>
          <cell r="CF52">
            <v>2.5299999999999998</v>
          </cell>
          <cell r="CG52">
            <v>2.79</v>
          </cell>
        </row>
        <row r="53">
          <cell r="A53" t="str">
            <v>TET-STX</v>
          </cell>
          <cell r="B53">
            <v>50</v>
          </cell>
          <cell r="L53">
            <v>2.04</v>
          </cell>
          <cell r="M53">
            <v>2.31</v>
          </cell>
          <cell r="N53">
            <v>1.96</v>
          </cell>
          <cell r="O53">
            <v>2.0699999999999998</v>
          </cell>
          <cell r="P53">
            <v>2.3199999999999998</v>
          </cell>
          <cell r="Q53">
            <v>1.94</v>
          </cell>
          <cell r="R53">
            <v>2.2000000000000002</v>
          </cell>
          <cell r="S53">
            <v>2.1800000000000002</v>
          </cell>
          <cell r="T53">
            <v>1.87</v>
          </cell>
          <cell r="U53">
            <v>1.99</v>
          </cell>
          <cell r="V53">
            <v>1.73</v>
          </cell>
          <cell r="W53">
            <v>1.88</v>
          </cell>
          <cell r="X53">
            <v>1.71</v>
          </cell>
          <cell r="Y53">
            <v>1.41</v>
          </cell>
          <cell r="Z53">
            <v>1.34</v>
          </cell>
          <cell r="AA53">
            <v>1.6</v>
          </cell>
          <cell r="AB53">
            <v>1.61</v>
          </cell>
          <cell r="AC53">
            <v>1.53</v>
          </cell>
          <cell r="AD53">
            <v>1.32</v>
          </cell>
          <cell r="AE53">
            <v>1.36</v>
          </cell>
          <cell r="AF53">
            <v>1.47</v>
          </cell>
          <cell r="AG53">
            <v>1.58</v>
          </cell>
          <cell r="AH53">
            <v>1.62</v>
          </cell>
          <cell r="AI53">
            <v>1.41</v>
          </cell>
          <cell r="AJ53">
            <v>1.29</v>
          </cell>
          <cell r="AK53">
            <v>1.48</v>
          </cell>
          <cell r="AL53">
            <v>1.56</v>
          </cell>
          <cell r="AM53">
            <v>1.69</v>
          </cell>
          <cell r="AN53">
            <v>2.09</v>
          </cell>
          <cell r="AO53">
            <v>2.1</v>
          </cell>
          <cell r="AP53">
            <v>1.78</v>
          </cell>
          <cell r="AQ53">
            <v>1.95</v>
          </cell>
          <cell r="AR53">
            <v>2.2200000000000002</v>
          </cell>
          <cell r="AS53">
            <v>2.12</v>
          </cell>
          <cell r="AT53">
            <v>2.2400000000000002</v>
          </cell>
          <cell r="AU53">
            <v>2.54</v>
          </cell>
          <cell r="AV53">
            <v>2.2000000000000002</v>
          </cell>
          <cell r="AW53">
            <v>1.69</v>
          </cell>
          <cell r="AX53">
            <v>1.73</v>
          </cell>
          <cell r="AY53">
            <v>2.6</v>
          </cell>
          <cell r="AZ53">
            <v>3.68</v>
          </cell>
          <cell r="BA53">
            <v>3.8</v>
          </cell>
          <cell r="BB53">
            <v>2.73</v>
          </cell>
          <cell r="BC53">
            <v>1.62</v>
          </cell>
          <cell r="BD53">
            <v>1.75</v>
          </cell>
          <cell r="BE53">
            <v>2.0299999999999998</v>
          </cell>
          <cell r="BF53">
            <v>2.21</v>
          </cell>
          <cell r="BG53">
            <v>2.0699999999999998</v>
          </cell>
          <cell r="BH53">
            <v>2.1</v>
          </cell>
          <cell r="BI53">
            <v>2.44</v>
          </cell>
          <cell r="BJ53">
            <v>2.96</v>
          </cell>
          <cell r="BK53">
            <v>3.16</v>
          </cell>
          <cell r="BL53">
            <v>2.33</v>
          </cell>
          <cell r="BM53">
            <v>2.15</v>
          </cell>
          <cell r="BN53">
            <v>1.92</v>
          </cell>
          <cell r="BO53">
            <v>2.15</v>
          </cell>
          <cell r="BP53">
            <v>2.21</v>
          </cell>
          <cell r="BQ53">
            <v>2.19</v>
          </cell>
          <cell r="BR53">
            <v>1.95</v>
          </cell>
          <cell r="BS53">
            <v>2.2799999999999998</v>
          </cell>
          <cell r="BT53">
            <v>1.85</v>
          </cell>
          <cell r="BU53">
            <v>1.52</v>
          </cell>
          <cell r="BV53">
            <v>1.94</v>
          </cell>
          <cell r="BW53">
            <v>1.92</v>
          </cell>
          <cell r="BX53">
            <v>2.02</v>
          </cell>
          <cell r="BY53">
            <v>1.69</v>
          </cell>
          <cell r="BZ53">
            <v>1.74</v>
          </cell>
          <cell r="CA53">
            <v>1.556</v>
          </cell>
          <cell r="CB53">
            <v>1.81</v>
          </cell>
          <cell r="CC53">
            <v>2.2799999999999998</v>
          </cell>
          <cell r="CD53">
            <v>2.14</v>
          </cell>
          <cell r="CE53">
            <v>2.1800000000000002</v>
          </cell>
          <cell r="CF53">
            <v>2.52</v>
          </cell>
          <cell r="CG53">
            <v>2.8</v>
          </cell>
        </row>
        <row r="54">
          <cell r="A54" t="str">
            <v>TET-WLA</v>
          </cell>
          <cell r="B54">
            <v>51</v>
          </cell>
          <cell r="L54">
            <v>2.0499999999999998</v>
          </cell>
          <cell r="M54">
            <v>2.33</v>
          </cell>
          <cell r="N54">
            <v>2</v>
          </cell>
          <cell r="O54">
            <v>2.09</v>
          </cell>
          <cell r="P54">
            <v>2.34</v>
          </cell>
          <cell r="Q54">
            <v>2</v>
          </cell>
          <cell r="R54">
            <v>2.3199999999999998</v>
          </cell>
          <cell r="S54">
            <v>2.3199999999999998</v>
          </cell>
          <cell r="T54">
            <v>1.94</v>
          </cell>
          <cell r="U54">
            <v>2.04</v>
          </cell>
          <cell r="V54">
            <v>1.8</v>
          </cell>
          <cell r="W54">
            <v>1.92</v>
          </cell>
          <cell r="X54">
            <v>1.75</v>
          </cell>
          <cell r="Y54">
            <v>1.44</v>
          </cell>
          <cell r="Z54">
            <v>1.37</v>
          </cell>
          <cell r="AA54">
            <v>1.65</v>
          </cell>
          <cell r="AB54">
            <v>1.63</v>
          </cell>
          <cell r="AC54">
            <v>1.56</v>
          </cell>
          <cell r="AD54">
            <v>1.36</v>
          </cell>
          <cell r="AE54">
            <v>1.4</v>
          </cell>
          <cell r="AF54">
            <v>1.51</v>
          </cell>
          <cell r="AG54">
            <v>1.63</v>
          </cell>
          <cell r="AH54">
            <v>1.68</v>
          </cell>
          <cell r="AI54">
            <v>1.44</v>
          </cell>
          <cell r="AJ54">
            <v>1.33</v>
          </cell>
          <cell r="AK54">
            <v>1.52</v>
          </cell>
          <cell r="AL54">
            <v>1.59</v>
          </cell>
          <cell r="AM54">
            <v>1.74</v>
          </cell>
          <cell r="AN54">
            <v>2.2200000000000002</v>
          </cell>
          <cell r="AO54">
            <v>2.85</v>
          </cell>
          <cell r="AP54">
            <v>2.2000000000000002</v>
          </cell>
          <cell r="AQ54">
            <v>2.73</v>
          </cell>
          <cell r="AR54">
            <v>2.56</v>
          </cell>
          <cell r="AS54">
            <v>2.16</v>
          </cell>
          <cell r="AT54">
            <v>2.31</v>
          </cell>
          <cell r="AU54">
            <v>2.58</v>
          </cell>
          <cell r="AV54">
            <v>2.2200000000000002</v>
          </cell>
          <cell r="AW54">
            <v>1.72</v>
          </cell>
          <cell r="AX54">
            <v>1.77</v>
          </cell>
          <cell r="AY54">
            <v>2.64</v>
          </cell>
          <cell r="AZ54">
            <v>3.81</v>
          </cell>
          <cell r="BA54">
            <v>3.87</v>
          </cell>
          <cell r="BB54">
            <v>2.83</v>
          </cell>
          <cell r="BC54">
            <v>1.68</v>
          </cell>
          <cell r="BD54">
            <v>1.75</v>
          </cell>
          <cell r="BE54">
            <v>2.0499999999999998</v>
          </cell>
          <cell r="BF54">
            <v>2.23</v>
          </cell>
          <cell r="BG54">
            <v>2.08</v>
          </cell>
          <cell r="BH54">
            <v>2.12</v>
          </cell>
          <cell r="BI54">
            <v>2.46</v>
          </cell>
          <cell r="BJ54">
            <v>3.02</v>
          </cell>
          <cell r="BK54">
            <v>3.21</v>
          </cell>
          <cell r="BL54">
            <v>2.46</v>
          </cell>
          <cell r="BM54">
            <v>2.2000000000000002</v>
          </cell>
          <cell r="BN54">
            <v>1.94</v>
          </cell>
          <cell r="BO54">
            <v>2.19</v>
          </cell>
          <cell r="BP54">
            <v>2.2400000000000002</v>
          </cell>
          <cell r="BQ54">
            <v>2.2200000000000002</v>
          </cell>
          <cell r="BR54">
            <v>1.96</v>
          </cell>
          <cell r="BS54">
            <v>2.2999999999999998</v>
          </cell>
          <cell r="BT54">
            <v>1.86</v>
          </cell>
          <cell r="BU54">
            <v>1.54</v>
          </cell>
          <cell r="BV54">
            <v>1.97</v>
          </cell>
          <cell r="BW54">
            <v>1.93</v>
          </cell>
          <cell r="BX54">
            <v>2.0499999999999998</v>
          </cell>
          <cell r="BY54">
            <v>1.72</v>
          </cell>
          <cell r="BZ54">
            <v>1.75</v>
          </cell>
          <cell r="CA54">
            <v>1.57</v>
          </cell>
          <cell r="CB54">
            <v>1.85</v>
          </cell>
          <cell r="CC54">
            <v>2.31</v>
          </cell>
          <cell r="CD54">
            <v>2.16</v>
          </cell>
          <cell r="CE54">
            <v>2.2200000000000002</v>
          </cell>
          <cell r="CF54">
            <v>2.5499999999999998</v>
          </cell>
          <cell r="CG54">
            <v>2.81</v>
          </cell>
        </row>
        <row r="55">
          <cell r="A55" t="str">
            <v>TET-M3</v>
          </cell>
          <cell r="B55">
            <v>52</v>
          </cell>
          <cell r="AU55">
            <v>2.93</v>
          </cell>
          <cell r="AV55">
            <v>2.5499999999999998</v>
          </cell>
          <cell r="AW55">
            <v>2.04</v>
          </cell>
          <cell r="AX55">
            <v>2.08</v>
          </cell>
          <cell r="AY55">
            <v>3.26</v>
          </cell>
          <cell r="AZ55">
            <v>4.9800000000000004</v>
          </cell>
          <cell r="BA55">
            <v>5.15</v>
          </cell>
          <cell r="BB55">
            <v>3.58</v>
          </cell>
          <cell r="BC55">
            <v>2.1</v>
          </cell>
          <cell r="BD55">
            <v>2.13</v>
          </cell>
          <cell r="BE55">
            <v>2.41</v>
          </cell>
          <cell r="BF55">
            <v>2.57</v>
          </cell>
          <cell r="BG55">
            <v>2.41</v>
          </cell>
          <cell r="BH55">
            <v>2.4</v>
          </cell>
          <cell r="BI55">
            <v>2.75</v>
          </cell>
          <cell r="BJ55">
            <v>3.45</v>
          </cell>
          <cell r="BK55">
            <v>3.75</v>
          </cell>
          <cell r="BL55">
            <v>3.24</v>
          </cell>
          <cell r="BM55">
            <v>2.83</v>
          </cell>
          <cell r="BN55">
            <v>2.33</v>
          </cell>
          <cell r="BO55">
            <v>2.4700000000000002</v>
          </cell>
          <cell r="BP55">
            <v>2.57</v>
          </cell>
          <cell r="BQ55">
            <v>2.52</v>
          </cell>
          <cell r="BR55">
            <v>2.25</v>
          </cell>
          <cell r="BS55">
            <v>2.58</v>
          </cell>
          <cell r="BT55">
            <v>2.15</v>
          </cell>
          <cell r="BU55">
            <v>1.78</v>
          </cell>
          <cell r="BV55">
            <v>2.27</v>
          </cell>
          <cell r="BW55">
            <v>2.38</v>
          </cell>
          <cell r="BX55">
            <v>2.4300000000000002</v>
          </cell>
          <cell r="BY55">
            <v>2.19</v>
          </cell>
          <cell r="BZ55">
            <v>2.16</v>
          </cell>
          <cell r="CA55">
            <v>1.84</v>
          </cell>
          <cell r="CB55">
            <v>2.11</v>
          </cell>
          <cell r="CC55">
            <v>2.54</v>
          </cell>
          <cell r="CD55">
            <v>2.42</v>
          </cell>
          <cell r="CE55">
            <v>2.4900000000000002</v>
          </cell>
          <cell r="CF55">
            <v>2.86</v>
          </cell>
          <cell r="CG55">
            <v>3.12</v>
          </cell>
        </row>
        <row r="56">
          <cell r="A56" t="str">
            <v>TRAN-Z1</v>
          </cell>
          <cell r="B56">
            <v>53</v>
          </cell>
          <cell r="C56">
            <v>2.35</v>
          </cell>
          <cell r="D56">
            <v>2.25</v>
          </cell>
          <cell r="E56">
            <v>1.86</v>
          </cell>
          <cell r="F56">
            <v>1.56</v>
          </cell>
          <cell r="G56">
            <v>1.847</v>
          </cell>
          <cell r="H56">
            <v>2.15</v>
          </cell>
          <cell r="I56">
            <v>2.68</v>
          </cell>
          <cell r="J56">
            <v>2.08</v>
          </cell>
          <cell r="K56">
            <v>1.89</v>
          </cell>
          <cell r="L56">
            <v>2.02</v>
          </cell>
          <cell r="M56">
            <v>2.33</v>
          </cell>
          <cell r="N56">
            <v>2.04</v>
          </cell>
          <cell r="O56">
            <v>2.09</v>
          </cell>
          <cell r="P56">
            <v>2.34</v>
          </cell>
          <cell r="Q56">
            <v>2.02</v>
          </cell>
          <cell r="R56">
            <v>2.3199999999999998</v>
          </cell>
          <cell r="S56">
            <v>2.3199999999999998</v>
          </cell>
          <cell r="T56">
            <v>1.93</v>
          </cell>
          <cell r="U56">
            <v>2.02</v>
          </cell>
          <cell r="V56">
            <v>1.81</v>
          </cell>
          <cell r="W56">
            <v>1.92</v>
          </cell>
          <cell r="X56">
            <v>1.76</v>
          </cell>
          <cell r="Y56">
            <v>1.43</v>
          </cell>
          <cell r="Z56">
            <v>1.35</v>
          </cell>
          <cell r="AA56">
            <v>1.61</v>
          </cell>
          <cell r="AB56">
            <v>1.65</v>
          </cell>
          <cell r="AC56">
            <v>1.56</v>
          </cell>
          <cell r="AD56">
            <v>1.36</v>
          </cell>
          <cell r="AE56">
            <v>1.38</v>
          </cell>
          <cell r="AF56">
            <v>1.49</v>
          </cell>
          <cell r="AG56">
            <v>1.6</v>
          </cell>
          <cell r="AH56">
            <v>1.65</v>
          </cell>
          <cell r="AI56">
            <v>1.43</v>
          </cell>
          <cell r="AJ56">
            <v>1.29</v>
          </cell>
          <cell r="AK56">
            <v>1.49</v>
          </cell>
          <cell r="AL56">
            <v>1.56</v>
          </cell>
          <cell r="AM56">
            <v>1.72</v>
          </cell>
          <cell r="AN56">
            <v>2.12</v>
          </cell>
          <cell r="AO56">
            <v>2.15</v>
          </cell>
          <cell r="AP56">
            <v>1.8</v>
          </cell>
          <cell r="AQ56">
            <v>1.96</v>
          </cell>
          <cell r="AR56">
            <v>2.25</v>
          </cell>
          <cell r="AS56">
            <v>2.12</v>
          </cell>
          <cell r="AT56">
            <v>2.27</v>
          </cell>
          <cell r="AU56">
            <v>2.54</v>
          </cell>
          <cell r="AV56">
            <v>2.2200000000000002</v>
          </cell>
          <cell r="AW56">
            <v>1.7</v>
          </cell>
          <cell r="AX56">
            <v>1.73</v>
          </cell>
          <cell r="AY56">
            <v>2.57</v>
          </cell>
          <cell r="AZ56">
            <v>3.67</v>
          </cell>
          <cell r="BA56">
            <v>3.81</v>
          </cell>
          <cell r="BB56">
            <v>2.77</v>
          </cell>
          <cell r="BC56">
            <v>1.62</v>
          </cell>
          <cell r="BD56">
            <v>1.74</v>
          </cell>
          <cell r="BE56">
            <v>2.02</v>
          </cell>
          <cell r="BF56">
            <v>2.2000000000000002</v>
          </cell>
          <cell r="BG56">
            <v>2.06</v>
          </cell>
          <cell r="BH56">
            <v>2.1</v>
          </cell>
          <cell r="BI56">
            <v>2.4500000000000002</v>
          </cell>
          <cell r="BJ56">
            <v>2.97</v>
          </cell>
          <cell r="BK56">
            <v>3.17</v>
          </cell>
          <cell r="BL56">
            <v>2.4</v>
          </cell>
          <cell r="BM56">
            <v>2.17</v>
          </cell>
          <cell r="BN56">
            <v>1.91</v>
          </cell>
          <cell r="BO56">
            <v>2.16</v>
          </cell>
          <cell r="BP56">
            <v>2.23</v>
          </cell>
          <cell r="BQ56">
            <v>2.2000000000000002</v>
          </cell>
          <cell r="BR56">
            <v>1.95</v>
          </cell>
          <cell r="BS56">
            <v>2.29</v>
          </cell>
          <cell r="BT56">
            <v>1.85</v>
          </cell>
          <cell r="BU56">
            <v>1.53</v>
          </cell>
          <cell r="BV56">
            <v>1.96</v>
          </cell>
          <cell r="BW56">
            <v>1.91</v>
          </cell>
          <cell r="BX56">
            <v>2.04</v>
          </cell>
          <cell r="BY56">
            <v>1.71</v>
          </cell>
          <cell r="BZ56">
            <v>1.75</v>
          </cell>
          <cell r="CA56">
            <v>1.58</v>
          </cell>
          <cell r="CB56">
            <v>1.81</v>
          </cell>
          <cell r="CC56">
            <v>2.29</v>
          </cell>
          <cell r="CD56">
            <v>2.16</v>
          </cell>
          <cell r="CE56">
            <v>2.21</v>
          </cell>
          <cell r="CF56">
            <v>2.56</v>
          </cell>
          <cell r="CG56">
            <v>2.83</v>
          </cell>
        </row>
        <row r="57">
          <cell r="A57" t="str">
            <v>TRAN-Z2</v>
          </cell>
          <cell r="B57">
            <v>54</v>
          </cell>
          <cell r="C57">
            <v>2.36</v>
          </cell>
          <cell r="D57">
            <v>2.2799999999999998</v>
          </cell>
          <cell r="E57">
            <v>1.88</v>
          </cell>
          <cell r="F57">
            <v>1.6</v>
          </cell>
          <cell r="G57">
            <v>1.86</v>
          </cell>
          <cell r="H57">
            <v>2.16</v>
          </cell>
          <cell r="I57">
            <v>2.69</v>
          </cell>
          <cell r="J57">
            <v>2.11</v>
          </cell>
          <cell r="K57">
            <v>1.93</v>
          </cell>
          <cell r="L57">
            <v>2.0499999999999998</v>
          </cell>
          <cell r="M57">
            <v>2.36</v>
          </cell>
          <cell r="N57">
            <v>2.06</v>
          </cell>
          <cell r="O57">
            <v>2.11</v>
          </cell>
          <cell r="P57">
            <v>2.37</v>
          </cell>
          <cell r="Q57">
            <v>2.0299999999999998</v>
          </cell>
          <cell r="R57">
            <v>2.36</v>
          </cell>
          <cell r="S57">
            <v>2.36</v>
          </cell>
          <cell r="T57">
            <v>1.97</v>
          </cell>
          <cell r="U57">
            <v>2.04</v>
          </cell>
          <cell r="V57">
            <v>1.83</v>
          </cell>
          <cell r="W57">
            <v>1.93</v>
          </cell>
          <cell r="X57">
            <v>1.8</v>
          </cell>
          <cell r="Y57">
            <v>1.47</v>
          </cell>
          <cell r="Z57">
            <v>1.39</v>
          </cell>
          <cell r="AA57">
            <v>1.66</v>
          </cell>
          <cell r="AB57">
            <v>1.66</v>
          </cell>
          <cell r="AC57">
            <v>1.59</v>
          </cell>
          <cell r="AD57">
            <v>1.4</v>
          </cell>
          <cell r="AE57">
            <v>1.42</v>
          </cell>
          <cell r="AF57">
            <v>1.53</v>
          </cell>
          <cell r="AG57">
            <v>1.64</v>
          </cell>
          <cell r="AH57">
            <v>1.7</v>
          </cell>
          <cell r="AI57">
            <v>1.48</v>
          </cell>
          <cell r="AJ57">
            <v>1.33</v>
          </cell>
          <cell r="AK57">
            <v>1.55</v>
          </cell>
          <cell r="AL57">
            <v>1.61</v>
          </cell>
          <cell r="AM57">
            <v>1.77</v>
          </cell>
          <cell r="AN57">
            <v>2.23</v>
          </cell>
          <cell r="AO57">
            <v>3.29</v>
          </cell>
          <cell r="AP57">
            <v>2.2999999999999998</v>
          </cell>
          <cell r="AQ57">
            <v>2.7</v>
          </cell>
          <cell r="AR57">
            <v>2.58</v>
          </cell>
          <cell r="AS57">
            <v>2.16</v>
          </cell>
          <cell r="AT57">
            <v>2.31</v>
          </cell>
          <cell r="AU57">
            <v>2.6</v>
          </cell>
          <cell r="AV57">
            <v>2.27</v>
          </cell>
          <cell r="AW57">
            <v>1.77</v>
          </cell>
          <cell r="AX57">
            <v>1.8</v>
          </cell>
          <cell r="AY57">
            <v>2.64</v>
          </cell>
          <cell r="AZ57">
            <v>3.77</v>
          </cell>
          <cell r="BA57">
            <v>3.9</v>
          </cell>
          <cell r="BB57">
            <v>2.87</v>
          </cell>
          <cell r="BC57">
            <v>1.71</v>
          </cell>
          <cell r="BD57">
            <v>1.77</v>
          </cell>
          <cell r="BE57">
            <v>2.09</v>
          </cell>
          <cell r="BF57">
            <v>2.25</v>
          </cell>
          <cell r="BG57">
            <v>2.1</v>
          </cell>
          <cell r="BH57">
            <v>2.13</v>
          </cell>
          <cell r="BI57">
            <v>2.48</v>
          </cell>
          <cell r="BJ57">
            <v>3.02</v>
          </cell>
          <cell r="BK57">
            <v>3.21</v>
          </cell>
          <cell r="BL57">
            <v>2.4900000000000002</v>
          </cell>
          <cell r="BM57">
            <v>2.2200000000000002</v>
          </cell>
          <cell r="BN57">
            <v>1.97</v>
          </cell>
          <cell r="BO57">
            <v>2.2200000000000002</v>
          </cell>
          <cell r="BP57">
            <v>2.2799999999999998</v>
          </cell>
          <cell r="BQ57">
            <v>2.25</v>
          </cell>
          <cell r="BR57">
            <v>2</v>
          </cell>
          <cell r="BS57">
            <v>2.33</v>
          </cell>
          <cell r="BT57">
            <v>1.89</v>
          </cell>
          <cell r="BU57">
            <v>1.6</v>
          </cell>
          <cell r="BV57">
            <v>2.04</v>
          </cell>
          <cell r="BW57">
            <v>1.95</v>
          </cell>
          <cell r="BX57">
            <v>2.08</v>
          </cell>
          <cell r="BY57">
            <v>1.74</v>
          </cell>
          <cell r="BZ57">
            <v>1.78</v>
          </cell>
          <cell r="CA57">
            <v>1.61</v>
          </cell>
          <cell r="CB57">
            <v>1.84</v>
          </cell>
          <cell r="CC57">
            <v>2.3199999999999998</v>
          </cell>
          <cell r="CD57">
            <v>2.19</v>
          </cell>
          <cell r="CE57">
            <v>2.2400000000000002</v>
          </cell>
          <cell r="CF57">
            <v>2.58</v>
          </cell>
          <cell r="CG57">
            <v>2.86</v>
          </cell>
        </row>
        <row r="58">
          <cell r="A58" t="str">
            <v>TRAN-Z3</v>
          </cell>
          <cell r="B58">
            <v>55</v>
          </cell>
          <cell r="C58">
            <v>2.38</v>
          </cell>
          <cell r="D58">
            <v>2.29</v>
          </cell>
          <cell r="E58">
            <v>1.9</v>
          </cell>
          <cell r="F58">
            <v>1.62</v>
          </cell>
          <cell r="G58">
            <v>1.86</v>
          </cell>
          <cell r="H58">
            <v>2.19</v>
          </cell>
          <cell r="I58">
            <v>2.7</v>
          </cell>
          <cell r="J58">
            <v>2.16</v>
          </cell>
          <cell r="K58">
            <v>1.95</v>
          </cell>
          <cell r="L58">
            <v>2.0699999999999998</v>
          </cell>
          <cell r="M58">
            <v>2.37</v>
          </cell>
          <cell r="N58">
            <v>2.08</v>
          </cell>
          <cell r="O58">
            <v>2.15</v>
          </cell>
          <cell r="P58">
            <v>2.38</v>
          </cell>
          <cell r="Q58">
            <v>2.0499999999999998</v>
          </cell>
          <cell r="R58">
            <v>2.38</v>
          </cell>
          <cell r="S58">
            <v>2.38</v>
          </cell>
          <cell r="T58">
            <v>2</v>
          </cell>
          <cell r="U58">
            <v>2.06</v>
          </cell>
          <cell r="V58">
            <v>1.86</v>
          </cell>
          <cell r="W58">
            <v>1.96</v>
          </cell>
          <cell r="X58">
            <v>1.82</v>
          </cell>
          <cell r="Y58">
            <v>1.48</v>
          </cell>
          <cell r="Z58">
            <v>1.42</v>
          </cell>
          <cell r="AA58">
            <v>1.7</v>
          </cell>
          <cell r="AB58">
            <v>1.69</v>
          </cell>
          <cell r="AC58">
            <v>1.62</v>
          </cell>
          <cell r="AD58">
            <v>1.43</v>
          </cell>
          <cell r="AE58">
            <v>1.46</v>
          </cell>
          <cell r="AF58">
            <v>1.56</v>
          </cell>
          <cell r="AG58">
            <v>1.67</v>
          </cell>
          <cell r="AH58">
            <v>1.73</v>
          </cell>
          <cell r="AI58">
            <v>1.5</v>
          </cell>
          <cell r="AJ58">
            <v>1.36</v>
          </cell>
          <cell r="AK58">
            <v>1.59</v>
          </cell>
          <cell r="AL58">
            <v>1.64</v>
          </cell>
          <cell r="AM58">
            <v>1.8</v>
          </cell>
          <cell r="AN58">
            <v>2.27</v>
          </cell>
          <cell r="AO58">
            <v>3.38</v>
          </cell>
          <cell r="AP58">
            <v>2.36</v>
          </cell>
          <cell r="AQ58">
            <v>2.81</v>
          </cell>
          <cell r="AR58">
            <v>2.69</v>
          </cell>
          <cell r="AS58">
            <v>2.2000000000000002</v>
          </cell>
          <cell r="AT58">
            <v>2.37</v>
          </cell>
          <cell r="AU58">
            <v>2.65</v>
          </cell>
          <cell r="AV58">
            <v>2.2999999999999998</v>
          </cell>
          <cell r="AW58">
            <v>1.81</v>
          </cell>
          <cell r="AX58">
            <v>1.85</v>
          </cell>
          <cell r="AY58">
            <v>2.69</v>
          </cell>
          <cell r="AZ58">
            <v>3.82</v>
          </cell>
          <cell r="BA58">
            <v>3.98</v>
          </cell>
          <cell r="BB58">
            <v>2.9</v>
          </cell>
          <cell r="BC58">
            <v>1.77</v>
          </cell>
          <cell r="BD58">
            <v>1.81</v>
          </cell>
          <cell r="BE58">
            <v>2.15</v>
          </cell>
          <cell r="BF58">
            <v>2.2999999999999998</v>
          </cell>
          <cell r="BG58">
            <v>2.15</v>
          </cell>
          <cell r="BH58">
            <v>2.17</v>
          </cell>
          <cell r="BI58">
            <v>2.5299999999999998</v>
          </cell>
          <cell r="BJ58">
            <v>3.1</v>
          </cell>
          <cell r="BK58">
            <v>3.27</v>
          </cell>
          <cell r="BL58">
            <v>2.54</v>
          </cell>
          <cell r="BM58">
            <v>2.2799999999999998</v>
          </cell>
          <cell r="BN58">
            <v>2.0299999999999998</v>
          </cell>
          <cell r="BO58">
            <v>2.27</v>
          </cell>
          <cell r="BP58">
            <v>2.3199999999999998</v>
          </cell>
          <cell r="BQ58">
            <v>2.29</v>
          </cell>
          <cell r="BR58">
            <v>2.0299999999999998</v>
          </cell>
          <cell r="BS58">
            <v>2.37</v>
          </cell>
          <cell r="BT58">
            <v>1.93</v>
          </cell>
          <cell r="BU58">
            <v>1.63</v>
          </cell>
          <cell r="BV58">
            <v>2.08</v>
          </cell>
          <cell r="BW58">
            <v>2.0099999999999998</v>
          </cell>
          <cell r="BX58">
            <v>2.11</v>
          </cell>
          <cell r="BY58">
            <v>1.78</v>
          </cell>
          <cell r="BZ58">
            <v>1.81</v>
          </cell>
          <cell r="CA58">
            <v>1.63</v>
          </cell>
          <cell r="CB58">
            <v>1.88</v>
          </cell>
          <cell r="CC58">
            <v>2.36</v>
          </cell>
          <cell r="CD58">
            <v>2.23</v>
          </cell>
          <cell r="CE58">
            <v>2.2599999999999998</v>
          </cell>
          <cell r="CF58">
            <v>2.61</v>
          </cell>
          <cell r="CG58">
            <v>2.89</v>
          </cell>
        </row>
        <row r="59">
          <cell r="A59" t="str">
            <v>TRAN-Z4</v>
          </cell>
          <cell r="B59">
            <v>56</v>
          </cell>
          <cell r="C59">
            <v>2.44</v>
          </cell>
          <cell r="D59">
            <v>2.3199999999999998</v>
          </cell>
          <cell r="E59">
            <v>1.91</v>
          </cell>
          <cell r="F59">
            <v>1.66</v>
          </cell>
          <cell r="G59">
            <v>1.92</v>
          </cell>
          <cell r="H59">
            <v>2.23</v>
          </cell>
          <cell r="I59">
            <v>2.72</v>
          </cell>
          <cell r="J59">
            <v>2.1</v>
          </cell>
          <cell r="K59">
            <v>1.94</v>
          </cell>
          <cell r="L59">
            <v>2.11</v>
          </cell>
          <cell r="M59">
            <v>2.39</v>
          </cell>
          <cell r="N59">
            <v>2.09</v>
          </cell>
          <cell r="O59">
            <v>2.17</v>
          </cell>
          <cell r="P59">
            <v>2.42</v>
          </cell>
          <cell r="Q59">
            <v>2.0699999999999998</v>
          </cell>
          <cell r="R59">
            <v>2.41</v>
          </cell>
          <cell r="S59">
            <v>2.4</v>
          </cell>
          <cell r="T59">
            <v>2</v>
          </cell>
          <cell r="U59">
            <v>2.08</v>
          </cell>
          <cell r="V59">
            <v>1.85</v>
          </cell>
          <cell r="W59">
            <v>1.98</v>
          </cell>
          <cell r="X59">
            <v>1.82</v>
          </cell>
          <cell r="Y59">
            <v>1.49</v>
          </cell>
          <cell r="Z59">
            <v>1.44</v>
          </cell>
          <cell r="AA59">
            <v>1.71</v>
          </cell>
          <cell r="AB59">
            <v>1.69</v>
          </cell>
          <cell r="AC59">
            <v>1.62</v>
          </cell>
          <cell r="AD59">
            <v>1.45</v>
          </cell>
          <cell r="AE59">
            <v>1.45</v>
          </cell>
          <cell r="AF59">
            <v>1.58</v>
          </cell>
          <cell r="AG59">
            <v>1.68</v>
          </cell>
          <cell r="AH59">
            <v>1.74</v>
          </cell>
          <cell r="AI59">
            <v>1.51</v>
          </cell>
          <cell r="AJ59">
            <v>1.39</v>
          </cell>
          <cell r="AK59">
            <v>1.59</v>
          </cell>
          <cell r="AL59">
            <v>1.65</v>
          </cell>
          <cell r="AM59">
            <v>1.82</v>
          </cell>
          <cell r="AN59">
            <v>2.29</v>
          </cell>
          <cell r="AO59">
            <v>3.44</v>
          </cell>
          <cell r="AP59">
            <v>2.41</v>
          </cell>
          <cell r="AQ59">
            <v>2.82</v>
          </cell>
          <cell r="AR59">
            <v>2.74</v>
          </cell>
          <cell r="AS59">
            <v>2.2000000000000002</v>
          </cell>
          <cell r="AT59">
            <v>2.38</v>
          </cell>
          <cell r="AU59">
            <v>2.66</v>
          </cell>
          <cell r="AV59">
            <v>2.34</v>
          </cell>
          <cell r="AW59">
            <v>1.8</v>
          </cell>
          <cell r="AX59">
            <v>1.83</v>
          </cell>
          <cell r="AY59">
            <v>2.69</v>
          </cell>
          <cell r="AZ59">
            <v>3.84</v>
          </cell>
          <cell r="BA59">
            <v>3.8</v>
          </cell>
          <cell r="BB59">
            <v>2.9</v>
          </cell>
          <cell r="BC59">
            <v>1.76</v>
          </cell>
          <cell r="BD59">
            <v>1.81</v>
          </cell>
          <cell r="BE59">
            <v>2.15</v>
          </cell>
          <cell r="BF59">
            <v>2.31</v>
          </cell>
          <cell r="BG59">
            <v>2.15</v>
          </cell>
          <cell r="BH59">
            <v>2.1800000000000002</v>
          </cell>
          <cell r="BI59">
            <v>2.5</v>
          </cell>
          <cell r="BJ59">
            <v>3.01</v>
          </cell>
          <cell r="BK59">
            <v>3.27</v>
          </cell>
          <cell r="BL59">
            <v>2.58</v>
          </cell>
          <cell r="BM59">
            <v>2.34</v>
          </cell>
          <cell r="BN59">
            <v>2.08</v>
          </cell>
          <cell r="BO59">
            <v>2.2999999999999998</v>
          </cell>
          <cell r="BP59">
            <v>2.33</v>
          </cell>
          <cell r="BQ59">
            <v>2.29</v>
          </cell>
          <cell r="BR59">
            <v>2.02</v>
          </cell>
          <cell r="BS59">
            <v>2.37</v>
          </cell>
          <cell r="BT59">
            <v>1.94</v>
          </cell>
          <cell r="BU59">
            <v>1.63</v>
          </cell>
          <cell r="BV59">
            <v>2.09</v>
          </cell>
          <cell r="BW59">
            <v>2.02</v>
          </cell>
          <cell r="BX59">
            <v>2.12</v>
          </cell>
          <cell r="BY59">
            <v>1.81</v>
          </cell>
          <cell r="BZ59">
            <v>1.84</v>
          </cell>
          <cell r="CA59">
            <v>1.66</v>
          </cell>
          <cell r="CB59">
            <v>1.88</v>
          </cell>
          <cell r="CC59">
            <v>2.37</v>
          </cell>
          <cell r="CD59">
            <v>2.2400000000000002</v>
          </cell>
          <cell r="CE59">
            <v>2.27</v>
          </cell>
          <cell r="CF59">
            <v>2.62</v>
          </cell>
          <cell r="CG59">
            <v>2.9</v>
          </cell>
        </row>
        <row r="60">
          <cell r="A60" t="str">
            <v>TRAN-Z6</v>
          </cell>
          <cell r="B60">
            <v>57</v>
          </cell>
          <cell r="AU60">
            <v>2.93</v>
          </cell>
          <cell r="AV60">
            <v>2.58</v>
          </cell>
          <cell r="AW60">
            <v>2.0499999999999998</v>
          </cell>
          <cell r="AX60">
            <v>2.1</v>
          </cell>
          <cell r="AY60">
            <v>3.33</v>
          </cell>
          <cell r="AZ60">
            <v>5.14</v>
          </cell>
          <cell r="BA60">
            <v>5.25</v>
          </cell>
          <cell r="BB60">
            <v>3.65</v>
          </cell>
          <cell r="BC60">
            <v>2.15</v>
          </cell>
          <cell r="BD60">
            <v>2.15</v>
          </cell>
          <cell r="BE60">
            <v>2.42</v>
          </cell>
          <cell r="BF60">
            <v>2.59</v>
          </cell>
          <cell r="BG60">
            <v>2.4300000000000002</v>
          </cell>
          <cell r="BH60">
            <v>2.42</v>
          </cell>
          <cell r="BI60">
            <v>2.75</v>
          </cell>
          <cell r="BJ60">
            <v>3.47</v>
          </cell>
          <cell r="BK60">
            <v>3.76</v>
          </cell>
          <cell r="BL60">
            <v>3.29</v>
          </cell>
          <cell r="BM60">
            <v>2.95</v>
          </cell>
          <cell r="BN60">
            <v>2.4</v>
          </cell>
          <cell r="BO60">
            <v>2.4900000000000002</v>
          </cell>
          <cell r="BP60">
            <v>2.56</v>
          </cell>
          <cell r="BQ60">
            <v>2.5299999999999998</v>
          </cell>
          <cell r="BR60">
            <v>2.2599999999999998</v>
          </cell>
          <cell r="BS60">
            <v>2.59</v>
          </cell>
          <cell r="BT60">
            <v>2.17</v>
          </cell>
          <cell r="BU60">
            <v>1.8</v>
          </cell>
          <cell r="BV60">
            <v>2.2999999999999998</v>
          </cell>
          <cell r="BW60">
            <v>2.41</v>
          </cell>
          <cell r="BX60">
            <v>2.5</v>
          </cell>
          <cell r="BY60">
            <v>2.36</v>
          </cell>
          <cell r="BZ60">
            <v>2.31</v>
          </cell>
          <cell r="CA60">
            <v>1.96</v>
          </cell>
          <cell r="CB60">
            <v>2.15</v>
          </cell>
          <cell r="CC60">
            <v>2.56</v>
          </cell>
          <cell r="CD60">
            <v>2.42</v>
          </cell>
          <cell r="CE60">
            <v>2.5</v>
          </cell>
          <cell r="CF60">
            <v>2.9</v>
          </cell>
          <cell r="CG60">
            <v>3.14</v>
          </cell>
        </row>
        <row r="61">
          <cell r="A61" t="str">
            <v>TRUNK-FZ</v>
          </cell>
          <cell r="B61">
            <v>58</v>
          </cell>
          <cell r="C61">
            <v>2.2599999999999998</v>
          </cell>
          <cell r="D61">
            <v>2.2000000000000002</v>
          </cell>
          <cell r="E61">
            <v>1.9</v>
          </cell>
          <cell r="F61">
            <v>1.6</v>
          </cell>
          <cell r="G61">
            <v>1.85</v>
          </cell>
          <cell r="H61">
            <v>2.15</v>
          </cell>
          <cell r="I61">
            <v>2.67</v>
          </cell>
          <cell r="J61">
            <v>1.95</v>
          </cell>
          <cell r="K61">
            <v>1.92</v>
          </cell>
          <cell r="L61">
            <v>2.0299999999999998</v>
          </cell>
          <cell r="M61">
            <v>2.2999999999999998</v>
          </cell>
          <cell r="N61">
            <v>2</v>
          </cell>
          <cell r="O61">
            <v>2.08</v>
          </cell>
          <cell r="P61">
            <v>2.35</v>
          </cell>
          <cell r="Q61">
            <v>1.99</v>
          </cell>
          <cell r="R61">
            <v>2.2799999999999998</v>
          </cell>
          <cell r="S61">
            <v>2.2999999999999998</v>
          </cell>
          <cell r="T61">
            <v>1.94</v>
          </cell>
          <cell r="U61">
            <v>2.0099999999999998</v>
          </cell>
          <cell r="V61">
            <v>1.75</v>
          </cell>
          <cell r="W61">
            <v>1.87</v>
          </cell>
          <cell r="X61">
            <v>1.71</v>
          </cell>
          <cell r="Y61">
            <v>1.41</v>
          </cell>
          <cell r="Z61">
            <v>1.37</v>
          </cell>
          <cell r="AA61">
            <v>1.6</v>
          </cell>
          <cell r="AB61">
            <v>1.6</v>
          </cell>
          <cell r="AC61">
            <v>1.53</v>
          </cell>
          <cell r="AD61">
            <v>1.33</v>
          </cell>
          <cell r="AE61">
            <v>1.35</v>
          </cell>
          <cell r="AF61">
            <v>1.5</v>
          </cell>
          <cell r="AG61">
            <v>1.61</v>
          </cell>
          <cell r="AH61">
            <v>1.65</v>
          </cell>
          <cell r="AI61">
            <v>1.44</v>
          </cell>
          <cell r="AJ61">
            <v>1.3</v>
          </cell>
          <cell r="AK61">
            <v>1.5</v>
          </cell>
          <cell r="AL61">
            <v>1.59</v>
          </cell>
          <cell r="AM61">
            <v>1.73</v>
          </cell>
          <cell r="AN61">
            <v>2.2000000000000002</v>
          </cell>
          <cell r="AO61">
            <v>3.15</v>
          </cell>
          <cell r="AP61">
            <v>2.27</v>
          </cell>
          <cell r="AQ61">
            <v>2.68</v>
          </cell>
          <cell r="BB61">
            <v>2.83</v>
          </cell>
          <cell r="BD61">
            <v>1.73</v>
          </cell>
          <cell r="BE61">
            <v>2.02</v>
          </cell>
          <cell r="BF61">
            <v>2.23</v>
          </cell>
          <cell r="BG61">
            <v>2.08</v>
          </cell>
          <cell r="BH61">
            <v>2.11</v>
          </cell>
          <cell r="BI61">
            <v>2.46</v>
          </cell>
        </row>
        <row r="62">
          <cell r="A62" t="str">
            <v>TRUNK-LA</v>
          </cell>
          <cell r="B62">
            <v>59</v>
          </cell>
          <cell r="AO62">
            <v>3.2</v>
          </cell>
          <cell r="AP62">
            <v>2.3199999999999998</v>
          </cell>
          <cell r="AQ62">
            <v>2.74</v>
          </cell>
          <cell r="AR62">
            <v>2.6</v>
          </cell>
          <cell r="AS62">
            <v>2.16</v>
          </cell>
          <cell r="AT62">
            <v>2.2999999999999998</v>
          </cell>
          <cell r="AU62">
            <v>2.6</v>
          </cell>
          <cell r="AV62">
            <v>2.2599999999999998</v>
          </cell>
          <cell r="AW62">
            <v>1.76</v>
          </cell>
          <cell r="AX62">
            <v>1.77</v>
          </cell>
          <cell r="AY62">
            <v>2.63</v>
          </cell>
          <cell r="AZ62">
            <v>3.74</v>
          </cell>
          <cell r="BA62">
            <v>3.8</v>
          </cell>
          <cell r="BB62">
            <v>2.76</v>
          </cell>
          <cell r="BC62">
            <v>1.67</v>
          </cell>
          <cell r="BD62">
            <v>1.76</v>
          </cell>
          <cell r="BE62">
            <v>2.06</v>
          </cell>
          <cell r="BF62">
            <v>2.2400000000000002</v>
          </cell>
          <cell r="BG62">
            <v>2.08</v>
          </cell>
          <cell r="BH62">
            <v>2.13</v>
          </cell>
          <cell r="BI62">
            <v>2.4700000000000002</v>
          </cell>
          <cell r="BJ62">
            <v>3.07</v>
          </cell>
          <cell r="BK62">
            <v>3.18</v>
          </cell>
          <cell r="BL62">
            <v>2.44</v>
          </cell>
          <cell r="BM62">
            <v>2.16</v>
          </cell>
          <cell r="BN62">
            <v>1.93</v>
          </cell>
          <cell r="BO62">
            <v>2.1800000000000002</v>
          </cell>
          <cell r="BP62">
            <v>2.2200000000000002</v>
          </cell>
          <cell r="BQ62">
            <v>2.19</v>
          </cell>
          <cell r="BR62">
            <v>1.94</v>
          </cell>
          <cell r="BS62">
            <v>2.2799999999999998</v>
          </cell>
          <cell r="BT62">
            <v>1.84</v>
          </cell>
          <cell r="BU62">
            <v>1.53</v>
          </cell>
          <cell r="BV62">
            <v>1.94</v>
          </cell>
          <cell r="BW62">
            <v>1.91</v>
          </cell>
          <cell r="BX62">
            <v>2.0499999999999998</v>
          </cell>
          <cell r="BY62">
            <v>1.71</v>
          </cell>
          <cell r="BZ62">
            <v>1.75</v>
          </cell>
          <cell r="CA62">
            <v>1.56</v>
          </cell>
          <cell r="CB62">
            <v>1.83</v>
          </cell>
          <cell r="CC62">
            <v>2.2999999999999998</v>
          </cell>
          <cell r="CD62">
            <v>2.16</v>
          </cell>
          <cell r="CE62">
            <v>2.2200000000000002</v>
          </cell>
          <cell r="CF62">
            <v>2.56</v>
          </cell>
          <cell r="CG62">
            <v>2.85</v>
          </cell>
        </row>
        <row r="63">
          <cell r="A63" t="str">
            <v>TRUNK-TX</v>
          </cell>
          <cell r="B63">
            <v>60</v>
          </cell>
          <cell r="AO63">
            <v>2.0499999999999998</v>
          </cell>
          <cell r="AP63">
            <v>1.78</v>
          </cell>
          <cell r="AQ63">
            <v>1.92</v>
          </cell>
          <cell r="AR63">
            <v>2.23</v>
          </cell>
          <cell r="AS63">
            <v>2.11</v>
          </cell>
          <cell r="AT63">
            <v>2.2599999999999998</v>
          </cell>
          <cell r="AU63">
            <v>2.5299999999999998</v>
          </cell>
          <cell r="AV63">
            <v>2.21</v>
          </cell>
          <cell r="AW63">
            <v>1.7</v>
          </cell>
          <cell r="AX63">
            <v>1.74</v>
          </cell>
          <cell r="AY63">
            <v>2.61</v>
          </cell>
          <cell r="AZ63">
            <v>3.68</v>
          </cell>
          <cell r="BA63">
            <v>3.59</v>
          </cell>
          <cell r="BB63">
            <v>2.7</v>
          </cell>
          <cell r="BC63">
            <v>1.64</v>
          </cell>
          <cell r="BD63">
            <v>1.73</v>
          </cell>
          <cell r="BE63">
            <v>2.02</v>
          </cell>
          <cell r="BF63">
            <v>2.2200000000000002</v>
          </cell>
          <cell r="BG63">
            <v>2.0699999999999998</v>
          </cell>
          <cell r="BH63">
            <v>2.11</v>
          </cell>
          <cell r="BI63">
            <v>2.46</v>
          </cell>
          <cell r="BJ63">
            <v>3</v>
          </cell>
          <cell r="BK63">
            <v>3.16</v>
          </cell>
          <cell r="BL63">
            <v>2.35</v>
          </cell>
          <cell r="BM63">
            <v>2.15</v>
          </cell>
          <cell r="BN63">
            <v>1.92</v>
          </cell>
          <cell r="BO63">
            <v>2.17</v>
          </cell>
          <cell r="BP63">
            <v>2.2200000000000002</v>
          </cell>
          <cell r="BQ63">
            <v>2.2000000000000002</v>
          </cell>
          <cell r="BR63">
            <v>1.95</v>
          </cell>
          <cell r="BS63">
            <v>2.2799999999999998</v>
          </cell>
          <cell r="BT63">
            <v>1.83</v>
          </cell>
          <cell r="BU63">
            <v>1.54</v>
          </cell>
          <cell r="BV63">
            <v>1.94</v>
          </cell>
          <cell r="BW63">
            <v>1.89</v>
          </cell>
          <cell r="BX63">
            <v>2.0299999999999998</v>
          </cell>
          <cell r="BY63">
            <v>1.69</v>
          </cell>
          <cell r="BZ63">
            <v>1.74</v>
          </cell>
          <cell r="CA63">
            <v>1.56</v>
          </cell>
          <cell r="CB63">
            <v>1.82</v>
          </cell>
          <cell r="CC63">
            <v>2.2799999999999998</v>
          </cell>
          <cell r="CD63">
            <v>2.14</v>
          </cell>
          <cell r="CE63">
            <v>2.2000000000000002</v>
          </cell>
          <cell r="CF63">
            <v>2.5299999999999998</v>
          </cell>
          <cell r="CG63">
            <v>2.81</v>
          </cell>
        </row>
        <row r="64">
          <cell r="A64" t="str">
            <v>TW-PERM</v>
          </cell>
          <cell r="B64">
            <v>61</v>
          </cell>
          <cell r="C64">
            <v>2.11</v>
          </cell>
          <cell r="D64">
            <v>2.0299999999999998</v>
          </cell>
          <cell r="E64">
            <v>2.0299999999999998</v>
          </cell>
          <cell r="F64">
            <v>1.57</v>
          </cell>
          <cell r="G64">
            <v>1.84</v>
          </cell>
          <cell r="H64">
            <v>1.9</v>
          </cell>
          <cell r="I64">
            <v>2.21</v>
          </cell>
          <cell r="J64">
            <v>1.65</v>
          </cell>
          <cell r="K64">
            <v>1.76</v>
          </cell>
          <cell r="L64">
            <v>1.88</v>
          </cell>
          <cell r="M64">
            <v>2.0299999999999998</v>
          </cell>
          <cell r="N64">
            <v>1.73</v>
          </cell>
          <cell r="O64">
            <v>1.76</v>
          </cell>
          <cell r="P64">
            <v>2.27</v>
          </cell>
          <cell r="Q64">
            <v>1.91</v>
          </cell>
          <cell r="R64">
            <v>1.88</v>
          </cell>
          <cell r="S64">
            <v>2.0099999999999998</v>
          </cell>
          <cell r="T64">
            <v>1.73</v>
          </cell>
          <cell r="U64">
            <v>1.73</v>
          </cell>
          <cell r="V64">
            <v>1.48</v>
          </cell>
          <cell r="W64">
            <v>1.64</v>
          </cell>
          <cell r="X64">
            <v>1.56</v>
          </cell>
          <cell r="Y64">
            <v>1.38</v>
          </cell>
          <cell r="Z64">
            <v>1.21</v>
          </cell>
          <cell r="AA64">
            <v>1.47</v>
          </cell>
          <cell r="AB64">
            <v>1.63</v>
          </cell>
          <cell r="AC64">
            <v>1.44</v>
          </cell>
          <cell r="AD64">
            <v>1.1599999999999999</v>
          </cell>
          <cell r="AE64">
            <v>1.18</v>
          </cell>
          <cell r="AF64">
            <v>1.26</v>
          </cell>
          <cell r="AG64">
            <v>1.35</v>
          </cell>
          <cell r="AH64">
            <v>1.38</v>
          </cell>
          <cell r="AI64">
            <v>1.19</v>
          </cell>
          <cell r="AJ64">
            <v>1.18</v>
          </cell>
          <cell r="AK64">
            <v>1.36</v>
          </cell>
          <cell r="AL64">
            <v>1.42</v>
          </cell>
          <cell r="AM64">
            <v>1.53</v>
          </cell>
          <cell r="AN64">
            <v>1.74</v>
          </cell>
          <cell r="AO64">
            <v>1.89</v>
          </cell>
          <cell r="AP64">
            <v>1.66</v>
          </cell>
          <cell r="AQ64">
            <v>1.76</v>
          </cell>
          <cell r="AR64">
            <v>1.96</v>
          </cell>
          <cell r="AS64">
            <v>1.89</v>
          </cell>
          <cell r="AT64">
            <v>1.95</v>
          </cell>
          <cell r="AU64">
            <v>2.02</v>
          </cell>
          <cell r="AV64">
            <v>2.0099999999999998</v>
          </cell>
          <cell r="AW64">
            <v>1.55</v>
          </cell>
          <cell r="AX64">
            <v>1.62</v>
          </cell>
          <cell r="AY64">
            <v>2.44</v>
          </cell>
          <cell r="AZ64">
            <v>3.5</v>
          </cell>
          <cell r="BA64">
            <v>4.0999999999999996</v>
          </cell>
          <cell r="BB64">
            <v>2.5</v>
          </cell>
          <cell r="BC64">
            <v>1.52</v>
          </cell>
          <cell r="BD64">
            <v>1.61</v>
          </cell>
          <cell r="BE64">
            <v>1.89</v>
          </cell>
          <cell r="BF64">
            <v>2.0499999999999998</v>
          </cell>
          <cell r="BG64">
            <v>1.99</v>
          </cell>
          <cell r="BH64">
            <v>2.0499999999999998</v>
          </cell>
          <cell r="BI64">
            <v>2.35</v>
          </cell>
          <cell r="BJ64">
            <v>2.84</v>
          </cell>
          <cell r="BK64">
            <v>3.06</v>
          </cell>
          <cell r="BL64">
            <v>2.2000000000000002</v>
          </cell>
          <cell r="BM64">
            <v>2.09</v>
          </cell>
          <cell r="BN64">
            <v>1.87</v>
          </cell>
          <cell r="BO64">
            <v>2.0699999999999998</v>
          </cell>
          <cell r="BP64">
            <v>2.15</v>
          </cell>
          <cell r="BQ64">
            <v>2.12</v>
          </cell>
          <cell r="BR64">
            <v>1.89</v>
          </cell>
          <cell r="BS64">
            <v>2.17</v>
          </cell>
          <cell r="BT64">
            <v>1.94</v>
          </cell>
          <cell r="BU64">
            <v>1.59</v>
          </cell>
          <cell r="BV64">
            <v>1.83</v>
          </cell>
          <cell r="BW64">
            <v>1.99</v>
          </cell>
          <cell r="BX64">
            <v>1.99</v>
          </cell>
          <cell r="BY64">
            <v>1.74</v>
          </cell>
          <cell r="BZ64">
            <v>1.67</v>
          </cell>
          <cell r="CA64">
            <v>1.57</v>
          </cell>
          <cell r="CB64">
            <v>1.66</v>
          </cell>
          <cell r="CC64">
            <v>2.16</v>
          </cell>
          <cell r="CD64">
            <v>2.08</v>
          </cell>
          <cell r="CE64">
            <v>2.17</v>
          </cell>
          <cell r="CF64">
            <v>2.4500000000000002</v>
          </cell>
          <cell r="CG64">
            <v>2.77</v>
          </cell>
        </row>
        <row r="65">
          <cell r="A65" t="str">
            <v>TXG-Z1</v>
          </cell>
          <cell r="B65">
            <v>62</v>
          </cell>
          <cell r="C65">
            <v>2.33</v>
          </cell>
          <cell r="D65">
            <v>2.25</v>
          </cell>
          <cell r="E65">
            <v>1.92</v>
          </cell>
          <cell r="F65">
            <v>1.61</v>
          </cell>
          <cell r="G65">
            <v>1.85</v>
          </cell>
          <cell r="H65">
            <v>2.16</v>
          </cell>
          <cell r="I65">
            <v>2.65</v>
          </cell>
          <cell r="J65">
            <v>2</v>
          </cell>
          <cell r="K65">
            <v>1.89</v>
          </cell>
          <cell r="L65">
            <v>2.04</v>
          </cell>
          <cell r="M65">
            <v>2.2999999999999998</v>
          </cell>
          <cell r="N65">
            <v>1.98</v>
          </cell>
          <cell r="O65">
            <v>2.09</v>
          </cell>
          <cell r="P65">
            <v>2.2999999999999998</v>
          </cell>
          <cell r="Q65">
            <v>2.02</v>
          </cell>
          <cell r="R65">
            <v>2.2999999999999998</v>
          </cell>
          <cell r="S65">
            <v>2.33</v>
          </cell>
          <cell r="T65">
            <v>1.94</v>
          </cell>
          <cell r="U65">
            <v>2.02</v>
          </cell>
          <cell r="V65">
            <v>1.78</v>
          </cell>
          <cell r="W65">
            <v>1.91</v>
          </cell>
          <cell r="X65">
            <v>1.76</v>
          </cell>
          <cell r="Y65">
            <v>1.44</v>
          </cell>
          <cell r="Z65">
            <v>1.39</v>
          </cell>
          <cell r="AA65">
            <v>1.63</v>
          </cell>
          <cell r="AB65">
            <v>1.64</v>
          </cell>
          <cell r="AC65">
            <v>1.58</v>
          </cell>
          <cell r="AD65">
            <v>1.38</v>
          </cell>
          <cell r="AE65">
            <v>1.41</v>
          </cell>
          <cell r="AF65">
            <v>1.51</v>
          </cell>
          <cell r="AG65">
            <v>1.62</v>
          </cell>
          <cell r="AH65">
            <v>1.66</v>
          </cell>
          <cell r="AI65">
            <v>1.46</v>
          </cell>
          <cell r="AJ65">
            <v>1.33</v>
          </cell>
          <cell r="AK65">
            <v>1.53</v>
          </cell>
          <cell r="AL65">
            <v>1.62</v>
          </cell>
          <cell r="AM65">
            <v>1.76</v>
          </cell>
          <cell r="AN65">
            <v>2.25</v>
          </cell>
          <cell r="AO65">
            <v>3.32</v>
          </cell>
          <cell r="AP65">
            <v>2.35</v>
          </cell>
          <cell r="AQ65">
            <v>2.74</v>
          </cell>
          <cell r="AR65">
            <v>2.7</v>
          </cell>
          <cell r="AS65">
            <v>2.17</v>
          </cell>
          <cell r="AT65">
            <v>2.2999999999999998</v>
          </cell>
          <cell r="AU65">
            <v>2.61</v>
          </cell>
          <cell r="AV65">
            <v>2.2799999999999998</v>
          </cell>
          <cell r="AW65">
            <v>1.81</v>
          </cell>
          <cell r="AX65">
            <v>1.8</v>
          </cell>
          <cell r="AY65">
            <v>2.62</v>
          </cell>
          <cell r="AZ65">
            <v>3.81</v>
          </cell>
          <cell r="BA65">
            <v>4.01</v>
          </cell>
          <cell r="BB65">
            <v>2.88</v>
          </cell>
          <cell r="BC65">
            <v>1.76</v>
          </cell>
          <cell r="BD65">
            <v>1.78</v>
          </cell>
          <cell r="BE65">
            <v>2.08</v>
          </cell>
          <cell r="BF65">
            <v>2.2999999999999998</v>
          </cell>
          <cell r="BG65">
            <v>2.13</v>
          </cell>
          <cell r="BH65">
            <v>2.17</v>
          </cell>
          <cell r="BI65">
            <v>2.54</v>
          </cell>
          <cell r="BJ65">
            <v>3.08</v>
          </cell>
          <cell r="BK65">
            <v>3.24</v>
          </cell>
          <cell r="BL65">
            <v>2.4700000000000002</v>
          </cell>
          <cell r="BM65">
            <v>2.2400000000000002</v>
          </cell>
          <cell r="BN65">
            <v>1.99</v>
          </cell>
          <cell r="BO65">
            <v>2.2200000000000002</v>
          </cell>
          <cell r="BP65">
            <v>2.2400000000000002</v>
          </cell>
          <cell r="BQ65">
            <v>2.25</v>
          </cell>
          <cell r="BR65">
            <v>2</v>
          </cell>
          <cell r="BS65">
            <v>2.33</v>
          </cell>
          <cell r="BT65">
            <v>1.91</v>
          </cell>
          <cell r="BU65">
            <v>1.59</v>
          </cell>
          <cell r="BV65">
            <v>2.0299999999999998</v>
          </cell>
          <cell r="BW65">
            <v>1.98</v>
          </cell>
          <cell r="BX65">
            <v>2.09</v>
          </cell>
          <cell r="BY65">
            <v>1.74</v>
          </cell>
          <cell r="BZ65">
            <v>1.81</v>
          </cell>
          <cell r="CA65">
            <v>1.62</v>
          </cell>
          <cell r="CB65">
            <v>1.87</v>
          </cell>
          <cell r="CC65">
            <v>2.35</v>
          </cell>
          <cell r="CD65">
            <v>2.21</v>
          </cell>
          <cell r="CE65">
            <v>2.25</v>
          </cell>
          <cell r="CF65">
            <v>2.6</v>
          </cell>
          <cell r="CG65">
            <v>2.88</v>
          </cell>
        </row>
        <row r="66">
          <cell r="A66" t="str">
            <v>TXG-ZSL</v>
          </cell>
          <cell r="B66">
            <v>63</v>
          </cell>
          <cell r="C66">
            <v>2.3199999999999998</v>
          </cell>
          <cell r="D66">
            <v>2.2400000000000002</v>
          </cell>
          <cell r="E66">
            <v>1.9</v>
          </cell>
          <cell r="F66">
            <v>1.6</v>
          </cell>
          <cell r="G66">
            <v>1.85</v>
          </cell>
          <cell r="H66">
            <v>2.15</v>
          </cell>
          <cell r="I66">
            <v>2.65</v>
          </cell>
          <cell r="J66">
            <v>1.98</v>
          </cell>
          <cell r="K66">
            <v>1.87</v>
          </cell>
          <cell r="L66">
            <v>2.0499999999999998</v>
          </cell>
          <cell r="M66">
            <v>2.3199999999999998</v>
          </cell>
          <cell r="N66">
            <v>1.98</v>
          </cell>
          <cell r="O66">
            <v>2.09</v>
          </cell>
          <cell r="P66">
            <v>2.3199999999999998</v>
          </cell>
          <cell r="Q66">
            <v>2.0299999999999998</v>
          </cell>
          <cell r="R66">
            <v>2.3199999999999998</v>
          </cell>
          <cell r="S66">
            <v>2.3199999999999998</v>
          </cell>
          <cell r="T66">
            <v>1.93</v>
          </cell>
          <cell r="U66">
            <v>2.0299999999999998</v>
          </cell>
          <cell r="V66">
            <v>1.77</v>
          </cell>
          <cell r="W66">
            <v>1.91</v>
          </cell>
          <cell r="X66">
            <v>1.75</v>
          </cell>
          <cell r="Y66">
            <v>1.44</v>
          </cell>
          <cell r="Z66">
            <v>1.37</v>
          </cell>
          <cell r="AA66">
            <v>1.63</v>
          </cell>
          <cell r="AB66">
            <v>1.64</v>
          </cell>
          <cell r="AC66">
            <v>1.57</v>
          </cell>
          <cell r="AD66">
            <v>1.38</v>
          </cell>
          <cell r="AE66">
            <v>1.4</v>
          </cell>
          <cell r="AF66">
            <v>1.51</v>
          </cell>
          <cell r="AG66">
            <v>1.62</v>
          </cell>
          <cell r="AH66">
            <v>1.67</v>
          </cell>
          <cell r="AI66">
            <v>1.46</v>
          </cell>
          <cell r="AJ66">
            <v>1.32</v>
          </cell>
          <cell r="AK66">
            <v>1.53</v>
          </cell>
          <cell r="AL66">
            <v>1.61</v>
          </cell>
          <cell r="AM66">
            <v>1.76</v>
          </cell>
          <cell r="AN66">
            <v>2.2400000000000002</v>
          </cell>
          <cell r="AO66">
            <v>3.35</v>
          </cell>
          <cell r="AP66">
            <v>2.35</v>
          </cell>
          <cell r="AQ66">
            <v>2.8</v>
          </cell>
          <cell r="AR66">
            <v>2.72</v>
          </cell>
          <cell r="AS66">
            <v>2.19</v>
          </cell>
          <cell r="AT66">
            <v>2.3199999999999998</v>
          </cell>
          <cell r="AU66">
            <v>2.62</v>
          </cell>
          <cell r="AV66">
            <v>2.2999999999999998</v>
          </cell>
          <cell r="AW66">
            <v>1.79</v>
          </cell>
          <cell r="AX66">
            <v>1.81</v>
          </cell>
          <cell r="AY66">
            <v>2.64</v>
          </cell>
          <cell r="AZ66">
            <v>3.84</v>
          </cell>
          <cell r="BA66">
            <v>4.0199999999999996</v>
          </cell>
          <cell r="BB66">
            <v>2.88</v>
          </cell>
          <cell r="BC66">
            <v>1.77</v>
          </cell>
          <cell r="BD66">
            <v>1.79</v>
          </cell>
          <cell r="BE66">
            <v>2.1</v>
          </cell>
          <cell r="BF66">
            <v>2.31</v>
          </cell>
          <cell r="BG66">
            <v>2.13</v>
          </cell>
          <cell r="BH66">
            <v>2.16</v>
          </cell>
          <cell r="BI66">
            <v>2.5299999999999998</v>
          </cell>
          <cell r="BJ66">
            <v>3.08</v>
          </cell>
          <cell r="BK66">
            <v>3.26</v>
          </cell>
          <cell r="BL66">
            <v>2.5099999999999998</v>
          </cell>
          <cell r="BM66">
            <v>2.25</v>
          </cell>
          <cell r="BN66">
            <v>1.99</v>
          </cell>
          <cell r="BO66">
            <v>2.23</v>
          </cell>
          <cell r="BP66">
            <v>2.2200000000000002</v>
          </cell>
          <cell r="BQ66">
            <v>2.25</v>
          </cell>
          <cell r="BR66">
            <v>2</v>
          </cell>
          <cell r="BS66">
            <v>2.33</v>
          </cell>
          <cell r="BT66">
            <v>1.91</v>
          </cell>
          <cell r="BU66">
            <v>1.58</v>
          </cell>
          <cell r="BV66">
            <v>2.02</v>
          </cell>
          <cell r="BW66">
            <v>1.96</v>
          </cell>
          <cell r="BX66">
            <v>2.0699999999999998</v>
          </cell>
          <cell r="BY66">
            <v>1.74</v>
          </cell>
          <cell r="BZ66">
            <v>1.79</v>
          </cell>
          <cell r="CA66">
            <v>1.61</v>
          </cell>
          <cell r="CB66">
            <v>1.87</v>
          </cell>
          <cell r="CC66">
            <v>2.34</v>
          </cell>
          <cell r="CD66">
            <v>2.2000000000000002</v>
          </cell>
          <cell r="CE66">
            <v>2.2400000000000002</v>
          </cell>
          <cell r="CF66">
            <v>2.59</v>
          </cell>
          <cell r="CG66">
            <v>2.87</v>
          </cell>
        </row>
        <row r="67">
          <cell r="A67" t="str">
            <v>VAL-TX</v>
          </cell>
          <cell r="B67">
            <v>64</v>
          </cell>
          <cell r="C67">
            <v>2.04</v>
          </cell>
          <cell r="D67">
            <v>2.0499999999999998</v>
          </cell>
          <cell r="E67">
            <v>1.9</v>
          </cell>
          <cell r="F67">
            <v>1.56</v>
          </cell>
          <cell r="G67">
            <v>1.8</v>
          </cell>
          <cell r="H67">
            <v>2.15</v>
          </cell>
          <cell r="I67">
            <v>2.5</v>
          </cell>
          <cell r="J67">
            <v>1.81</v>
          </cell>
          <cell r="K67">
            <v>1.82</v>
          </cell>
          <cell r="L67">
            <v>2.02</v>
          </cell>
          <cell r="M67">
            <v>2.2400000000000002</v>
          </cell>
          <cell r="N67">
            <v>1.85</v>
          </cell>
          <cell r="O67">
            <v>1.95</v>
          </cell>
          <cell r="P67">
            <v>2.2999999999999998</v>
          </cell>
          <cell r="Q67">
            <v>1.91</v>
          </cell>
          <cell r="R67">
            <v>2</v>
          </cell>
          <cell r="S67">
            <v>2.09</v>
          </cell>
          <cell r="T67">
            <v>1.84</v>
          </cell>
          <cell r="U67">
            <v>1.9</v>
          </cell>
          <cell r="V67">
            <v>1.64</v>
          </cell>
          <cell r="W67">
            <v>1.85</v>
          </cell>
          <cell r="X67">
            <v>1.65</v>
          </cell>
          <cell r="Y67">
            <v>1.39</v>
          </cell>
          <cell r="Z67">
            <v>1.29</v>
          </cell>
          <cell r="AA67">
            <v>1.56</v>
          </cell>
          <cell r="AB67">
            <v>1.58</v>
          </cell>
          <cell r="AC67">
            <v>1.45</v>
          </cell>
          <cell r="AD67">
            <v>1.26</v>
          </cell>
          <cell r="AE67">
            <v>1.28</v>
          </cell>
          <cell r="AF67">
            <v>1.38</v>
          </cell>
          <cell r="AG67">
            <v>1.5</v>
          </cell>
          <cell r="AH67">
            <v>1.53</v>
          </cell>
          <cell r="AI67">
            <v>1.36</v>
          </cell>
          <cell r="AJ67">
            <v>1.26</v>
          </cell>
          <cell r="AK67">
            <v>1.43</v>
          </cell>
          <cell r="AL67">
            <v>1.5</v>
          </cell>
          <cell r="AM67">
            <v>1.61</v>
          </cell>
          <cell r="AN67">
            <v>1.97</v>
          </cell>
          <cell r="AO67">
            <v>2.04</v>
          </cell>
          <cell r="AP67">
            <v>1.77</v>
          </cell>
          <cell r="AQ67">
            <v>1.89</v>
          </cell>
          <cell r="AR67">
            <v>2.1800000000000002</v>
          </cell>
          <cell r="AS67">
            <v>2.06</v>
          </cell>
          <cell r="AT67">
            <v>2.1800000000000002</v>
          </cell>
          <cell r="AU67">
            <v>2.37</v>
          </cell>
          <cell r="AV67">
            <v>2.16</v>
          </cell>
          <cell r="AW67">
            <v>1.74</v>
          </cell>
          <cell r="AX67">
            <v>1.71</v>
          </cell>
          <cell r="AY67">
            <v>2.4900000000000002</v>
          </cell>
          <cell r="AZ67">
            <v>3.55</v>
          </cell>
          <cell r="BA67">
            <v>3.76</v>
          </cell>
          <cell r="BB67">
            <v>2.64</v>
          </cell>
          <cell r="BC67">
            <v>1.6</v>
          </cell>
          <cell r="BD67">
            <v>1.69</v>
          </cell>
          <cell r="BE67">
            <v>1.96</v>
          </cell>
          <cell r="BF67">
            <v>2.17</v>
          </cell>
          <cell r="BG67">
            <v>2.0299999999999998</v>
          </cell>
          <cell r="BH67">
            <v>2.0699999999999998</v>
          </cell>
          <cell r="BI67">
            <v>2.38</v>
          </cell>
          <cell r="BJ67">
            <v>3</v>
          </cell>
          <cell r="BK67">
            <v>3.15</v>
          </cell>
          <cell r="BL67">
            <v>2.31</v>
          </cell>
          <cell r="BM67">
            <v>2.09</v>
          </cell>
          <cell r="BN67">
            <v>1.88</v>
          </cell>
          <cell r="BO67">
            <v>2.11</v>
          </cell>
          <cell r="BP67">
            <v>2.1800000000000002</v>
          </cell>
          <cell r="BQ67">
            <v>2.17</v>
          </cell>
          <cell r="BR67">
            <v>1.93</v>
          </cell>
        </row>
        <row r="68">
          <cell r="A68" t="str">
            <v>WILL-TOK</v>
          </cell>
          <cell r="B68">
            <v>65</v>
          </cell>
          <cell r="C68">
            <v>1.98</v>
          </cell>
          <cell r="D68">
            <v>2</v>
          </cell>
          <cell r="E68">
            <v>2.0299999999999998</v>
          </cell>
          <cell r="F68">
            <v>1.65</v>
          </cell>
          <cell r="G68">
            <v>1.85</v>
          </cell>
          <cell r="H68">
            <v>2.0699999999999998</v>
          </cell>
          <cell r="I68">
            <v>2.57</v>
          </cell>
          <cell r="J68">
            <v>1.75</v>
          </cell>
          <cell r="K68">
            <v>1.73</v>
          </cell>
          <cell r="L68">
            <v>1.86</v>
          </cell>
          <cell r="M68">
            <v>2.1</v>
          </cell>
          <cell r="N68">
            <v>1.83</v>
          </cell>
          <cell r="O68">
            <v>1.83</v>
          </cell>
          <cell r="P68">
            <v>2.25</v>
          </cell>
          <cell r="Q68">
            <v>1.94</v>
          </cell>
          <cell r="R68">
            <v>2.1</v>
          </cell>
          <cell r="S68">
            <v>2.11</v>
          </cell>
          <cell r="T68">
            <v>1.76</v>
          </cell>
          <cell r="U68">
            <v>1.77</v>
          </cell>
          <cell r="V68">
            <v>1.53</v>
          </cell>
          <cell r="W68">
            <v>1.61</v>
          </cell>
          <cell r="X68">
            <v>1.55</v>
          </cell>
          <cell r="Y68">
            <v>1.33</v>
          </cell>
          <cell r="Z68">
            <v>1.24</v>
          </cell>
          <cell r="AA68">
            <v>1.45</v>
          </cell>
          <cell r="AB68">
            <v>1.6</v>
          </cell>
          <cell r="AC68">
            <v>1.51</v>
          </cell>
          <cell r="AD68">
            <v>1.23</v>
          </cell>
          <cell r="AE68">
            <v>1.24</v>
          </cell>
          <cell r="AF68">
            <v>1.27</v>
          </cell>
          <cell r="AG68">
            <v>1.4</v>
          </cell>
          <cell r="AH68">
            <v>1.44</v>
          </cell>
          <cell r="AI68">
            <v>1.23</v>
          </cell>
          <cell r="AJ68">
            <v>1.18</v>
          </cell>
          <cell r="AK68">
            <v>1.42</v>
          </cell>
          <cell r="AL68">
            <v>1.49</v>
          </cell>
          <cell r="AM68">
            <v>1.6</v>
          </cell>
          <cell r="AN68">
            <v>1.88</v>
          </cell>
          <cell r="AO68">
            <v>2.0299999999999998</v>
          </cell>
          <cell r="AP68">
            <v>1.84</v>
          </cell>
          <cell r="AQ68">
            <v>1.9</v>
          </cell>
          <cell r="AR68">
            <v>2.15</v>
          </cell>
          <cell r="AS68">
            <v>2</v>
          </cell>
          <cell r="AT68">
            <v>2.0299999999999998</v>
          </cell>
          <cell r="AU68">
            <v>2.1800000000000002</v>
          </cell>
          <cell r="AV68">
            <v>2.14</v>
          </cell>
          <cell r="AW68">
            <v>1.67</v>
          </cell>
          <cell r="AX68">
            <v>1.68</v>
          </cell>
          <cell r="AY68">
            <v>2.5</v>
          </cell>
          <cell r="AZ68">
            <v>3.68</v>
          </cell>
          <cell r="BA68">
            <v>4.3</v>
          </cell>
          <cell r="BB68">
            <v>2.81</v>
          </cell>
          <cell r="BC68">
            <v>2.81</v>
          </cell>
          <cell r="BD68">
            <v>1.7</v>
          </cell>
          <cell r="BE68">
            <v>1.92</v>
          </cell>
          <cell r="BG68">
            <v>2.04</v>
          </cell>
          <cell r="BH68">
            <v>2.0499999999999998</v>
          </cell>
          <cell r="BI68">
            <v>2.38</v>
          </cell>
          <cell r="BJ68">
            <v>2.98</v>
          </cell>
          <cell r="BK68">
            <v>3.15</v>
          </cell>
          <cell r="BL68">
            <v>2.37</v>
          </cell>
          <cell r="BM68">
            <v>2.15</v>
          </cell>
          <cell r="BN68">
            <v>1.92</v>
          </cell>
          <cell r="BO68">
            <v>2.15</v>
          </cell>
          <cell r="BP68">
            <v>2.1800000000000002</v>
          </cell>
          <cell r="BQ68">
            <v>2.16</v>
          </cell>
          <cell r="BR68">
            <v>1.93</v>
          </cell>
          <cell r="BS68">
            <v>2.27</v>
          </cell>
          <cell r="BT68">
            <v>1.85</v>
          </cell>
          <cell r="BU68">
            <v>1.56</v>
          </cell>
          <cell r="BV68">
            <v>1.9</v>
          </cell>
          <cell r="BW68">
            <v>1.94</v>
          </cell>
          <cell r="BX68">
            <v>2.0499999999999998</v>
          </cell>
          <cell r="BY68">
            <v>1.78</v>
          </cell>
          <cell r="BZ68">
            <v>1.75</v>
          </cell>
          <cell r="CA68">
            <v>1.57</v>
          </cell>
          <cell r="CB68">
            <v>1.74</v>
          </cell>
          <cell r="CC68">
            <v>2.2200000000000002</v>
          </cell>
          <cell r="CD68">
            <v>2.12</v>
          </cell>
          <cell r="CE68">
            <v>2.17</v>
          </cell>
          <cell r="CF68">
            <v>2.5</v>
          </cell>
          <cell r="CG68">
            <v>2.77</v>
          </cell>
        </row>
      </sheetData>
      <sheetData sheetId="1" refreshError="1">
        <row r="2">
          <cell r="A2">
            <v>33909</v>
          </cell>
          <cell r="B2">
            <v>3</v>
          </cell>
          <cell r="D2" t="str">
            <v>3D</v>
          </cell>
          <cell r="E2" t="str">
            <v>3D Avg</v>
          </cell>
          <cell r="F2">
            <v>2</v>
          </cell>
        </row>
        <row r="3">
          <cell r="A3">
            <v>33939</v>
          </cell>
          <cell r="B3">
            <v>4</v>
          </cell>
          <cell r="D3" t="str">
            <v>2D</v>
          </cell>
          <cell r="E3" t="str">
            <v>2D Avg</v>
          </cell>
          <cell r="F3">
            <v>3</v>
          </cell>
        </row>
        <row r="4">
          <cell r="A4">
            <v>33970</v>
          </cell>
          <cell r="B4">
            <v>5</v>
          </cell>
          <cell r="D4" t="str">
            <v>FD</v>
          </cell>
          <cell r="E4" t="str">
            <v>Settle</v>
          </cell>
          <cell r="F4">
            <v>4</v>
          </cell>
        </row>
        <row r="5">
          <cell r="A5">
            <v>34001</v>
          </cell>
          <cell r="B5">
            <v>6</v>
          </cell>
          <cell r="D5" t="str">
            <v>AECO-NT</v>
          </cell>
          <cell r="E5" t="str">
            <v>AECO Hub</v>
          </cell>
          <cell r="F5">
            <v>5</v>
          </cell>
        </row>
        <row r="6">
          <cell r="A6">
            <v>34029</v>
          </cell>
          <cell r="B6">
            <v>7</v>
          </cell>
          <cell r="D6" t="str">
            <v>ANR-LA</v>
          </cell>
          <cell r="E6" t="str">
            <v>ANR-Louisiana</v>
          </cell>
          <cell r="F6">
            <v>6</v>
          </cell>
        </row>
        <row r="7">
          <cell r="A7">
            <v>34060</v>
          </cell>
          <cell r="B7">
            <v>8</v>
          </cell>
          <cell r="D7" t="str">
            <v>ANR-OFF</v>
          </cell>
          <cell r="E7" t="str">
            <v>ANR-Offshore</v>
          </cell>
          <cell r="F7">
            <v>7</v>
          </cell>
        </row>
        <row r="8">
          <cell r="A8">
            <v>34090</v>
          </cell>
          <cell r="B8">
            <v>9</v>
          </cell>
          <cell r="D8" t="str">
            <v>ANR-OK</v>
          </cell>
          <cell r="E8" t="str">
            <v>ANR-Oklahoma</v>
          </cell>
          <cell r="F8">
            <v>8</v>
          </cell>
        </row>
        <row r="9">
          <cell r="A9">
            <v>34121</v>
          </cell>
          <cell r="B9">
            <v>10</v>
          </cell>
          <cell r="D9" t="str">
            <v>CG-APP</v>
          </cell>
          <cell r="E9" t="str">
            <v>Columbia Gas-App</v>
          </cell>
          <cell r="F9">
            <v>9</v>
          </cell>
        </row>
        <row r="10">
          <cell r="A10">
            <v>34151</v>
          </cell>
          <cell r="B10">
            <v>11</v>
          </cell>
          <cell r="D10" t="str">
            <v>CGLF-LA</v>
          </cell>
          <cell r="E10" t="str">
            <v>Columbia Gulf-Louisiana</v>
          </cell>
          <cell r="F10">
            <v>10</v>
          </cell>
        </row>
        <row r="11">
          <cell r="A11">
            <v>34182</v>
          </cell>
          <cell r="B11">
            <v>12</v>
          </cell>
          <cell r="D11" t="str">
            <v>CGLF-OFS</v>
          </cell>
          <cell r="E11" t="str">
            <v>Columbia Gulf-Offshore</v>
          </cell>
          <cell r="F11">
            <v>11</v>
          </cell>
        </row>
        <row r="12">
          <cell r="A12">
            <v>34213</v>
          </cell>
          <cell r="B12">
            <v>13</v>
          </cell>
          <cell r="D12" t="str">
            <v>CHIC</v>
          </cell>
          <cell r="E12" t="str">
            <v>Chicago City Gate</v>
          </cell>
          <cell r="F12">
            <v>12</v>
          </cell>
        </row>
        <row r="13">
          <cell r="A13">
            <v>34243</v>
          </cell>
          <cell r="B13">
            <v>14</v>
          </cell>
          <cell r="D13" t="str">
            <v>CIG-ROCK</v>
          </cell>
          <cell r="E13" t="str">
            <v>CIG-Rocky Mtn</v>
          </cell>
          <cell r="F13">
            <v>13</v>
          </cell>
        </row>
        <row r="14">
          <cell r="A14">
            <v>34274</v>
          </cell>
          <cell r="B14">
            <v>15</v>
          </cell>
          <cell r="D14" t="str">
            <v>CNG</v>
          </cell>
          <cell r="E14" t="str">
            <v>CNG-Appalacian</v>
          </cell>
          <cell r="F14">
            <v>14</v>
          </cell>
        </row>
        <row r="15">
          <cell r="A15">
            <v>34304</v>
          </cell>
          <cell r="B15">
            <v>16</v>
          </cell>
          <cell r="D15" t="str">
            <v>EPNG-ANAD</v>
          </cell>
          <cell r="E15" t="str">
            <v>El Paso-Anadarko</v>
          </cell>
          <cell r="F15">
            <v>15</v>
          </cell>
        </row>
        <row r="16">
          <cell r="A16">
            <v>34335</v>
          </cell>
          <cell r="B16">
            <v>17</v>
          </cell>
          <cell r="D16" t="str">
            <v>EPNG-PERM</v>
          </cell>
          <cell r="E16" t="str">
            <v>El Paso-Permian</v>
          </cell>
          <cell r="F16">
            <v>16</v>
          </cell>
        </row>
        <row r="17">
          <cell r="A17">
            <v>34366</v>
          </cell>
          <cell r="B17">
            <v>18</v>
          </cell>
          <cell r="D17" t="str">
            <v>EPNG-SJ</v>
          </cell>
          <cell r="E17" t="str">
            <v>El Paso-San Juan</v>
          </cell>
          <cell r="F17">
            <v>17</v>
          </cell>
        </row>
        <row r="18">
          <cell r="A18">
            <v>34394</v>
          </cell>
          <cell r="B18">
            <v>19</v>
          </cell>
          <cell r="D18" t="str">
            <v>FGT-Z1</v>
          </cell>
          <cell r="E18" t="str">
            <v>Florida-Zone 1</v>
          </cell>
          <cell r="F18">
            <v>18</v>
          </cell>
        </row>
        <row r="19">
          <cell r="A19">
            <v>34425</v>
          </cell>
          <cell r="B19">
            <v>20</v>
          </cell>
          <cell r="D19" t="str">
            <v>FGT-Z2</v>
          </cell>
          <cell r="E19" t="str">
            <v>Florida-Zone 2</v>
          </cell>
          <cell r="F19">
            <v>19</v>
          </cell>
        </row>
        <row r="20">
          <cell r="A20">
            <v>34455</v>
          </cell>
          <cell r="B20">
            <v>21</v>
          </cell>
          <cell r="D20" t="str">
            <v>FGT-Z3</v>
          </cell>
          <cell r="E20" t="str">
            <v>Florida-Zone 3</v>
          </cell>
          <cell r="F20">
            <v>20</v>
          </cell>
        </row>
        <row r="21">
          <cell r="A21">
            <v>34486</v>
          </cell>
          <cell r="B21">
            <v>22</v>
          </cell>
          <cell r="D21" t="str">
            <v>HSC</v>
          </cell>
          <cell r="E21" t="str">
            <v>Hous Ship Chan</v>
          </cell>
          <cell r="F21">
            <v>21</v>
          </cell>
        </row>
        <row r="22">
          <cell r="A22">
            <v>34516</v>
          </cell>
          <cell r="B22">
            <v>23</v>
          </cell>
          <cell r="D22" t="str">
            <v>HUB</v>
          </cell>
          <cell r="E22" t="str">
            <v>Henry Hub</v>
          </cell>
          <cell r="F22">
            <v>22</v>
          </cell>
        </row>
        <row r="23">
          <cell r="A23">
            <v>34547</v>
          </cell>
          <cell r="B23">
            <v>24</v>
          </cell>
          <cell r="D23" t="str">
            <v>KERN</v>
          </cell>
          <cell r="E23" t="str">
            <v>Kern River</v>
          </cell>
          <cell r="F23">
            <v>23</v>
          </cell>
        </row>
        <row r="24">
          <cell r="A24">
            <v>34578</v>
          </cell>
          <cell r="B24">
            <v>25</v>
          </cell>
          <cell r="D24" t="str">
            <v>KERN-NGI</v>
          </cell>
          <cell r="E24" t="str">
            <v>Kern River-NGI</v>
          </cell>
          <cell r="F24">
            <v>24</v>
          </cell>
        </row>
        <row r="25">
          <cell r="A25">
            <v>34608</v>
          </cell>
          <cell r="B25">
            <v>26</v>
          </cell>
          <cell r="D25" t="str">
            <v>KOCH-LA</v>
          </cell>
          <cell r="E25" t="str">
            <v>Koch Gateway-LA</v>
          </cell>
          <cell r="F25">
            <v>25</v>
          </cell>
        </row>
        <row r="26">
          <cell r="A26">
            <v>34639</v>
          </cell>
          <cell r="B26">
            <v>27</v>
          </cell>
          <cell r="D26" t="str">
            <v>KOCH-TX</v>
          </cell>
          <cell r="E26" t="str">
            <v>Koch Gateway-TX</v>
          </cell>
          <cell r="F26">
            <v>26</v>
          </cell>
        </row>
        <row r="27">
          <cell r="A27">
            <v>34669</v>
          </cell>
          <cell r="B27">
            <v>28</v>
          </cell>
          <cell r="D27" t="str">
            <v>MALIN-400</v>
          </cell>
          <cell r="E27" t="str">
            <v>Malin-400 Border</v>
          </cell>
          <cell r="F27">
            <v>27</v>
          </cell>
        </row>
        <row r="28">
          <cell r="A28">
            <v>34700</v>
          </cell>
          <cell r="B28">
            <v>29</v>
          </cell>
          <cell r="D28" t="str">
            <v>MALIN-401</v>
          </cell>
          <cell r="E28" t="str">
            <v>Malin-401 Border</v>
          </cell>
          <cell r="F28">
            <v>28</v>
          </cell>
        </row>
        <row r="29">
          <cell r="A29">
            <v>34731</v>
          </cell>
          <cell r="B29">
            <v>30</v>
          </cell>
          <cell r="D29" t="str">
            <v>MICH</v>
          </cell>
          <cell r="E29" t="str">
            <v>MichCon</v>
          </cell>
          <cell r="F29">
            <v>29</v>
          </cell>
        </row>
        <row r="30">
          <cell r="A30">
            <v>34759</v>
          </cell>
          <cell r="B30">
            <v>31</v>
          </cell>
          <cell r="D30" t="str">
            <v>MRC</v>
          </cell>
          <cell r="E30" t="str">
            <v>Miss River Corr</v>
          </cell>
          <cell r="F30">
            <v>30</v>
          </cell>
        </row>
        <row r="31">
          <cell r="A31">
            <v>34790</v>
          </cell>
          <cell r="B31">
            <v>32</v>
          </cell>
          <cell r="D31" t="str">
            <v>NGPL-LA</v>
          </cell>
          <cell r="E31" t="str">
            <v>NGPL-Louisiana</v>
          </cell>
          <cell r="F31">
            <v>31</v>
          </cell>
        </row>
        <row r="32">
          <cell r="A32">
            <v>34820</v>
          </cell>
          <cell r="B32">
            <v>33</v>
          </cell>
          <cell r="D32" t="str">
            <v>NGPL-MC</v>
          </cell>
          <cell r="E32" t="str">
            <v>NGPL-MidContinent</v>
          </cell>
          <cell r="F32">
            <v>32</v>
          </cell>
        </row>
        <row r="33">
          <cell r="A33">
            <v>34851</v>
          </cell>
          <cell r="B33">
            <v>34</v>
          </cell>
          <cell r="D33" t="str">
            <v>NGPL-OK</v>
          </cell>
          <cell r="E33" t="str">
            <v>NGPL-Oklahoma</v>
          </cell>
          <cell r="F33">
            <v>33</v>
          </cell>
        </row>
        <row r="34">
          <cell r="A34">
            <v>34881</v>
          </cell>
          <cell r="B34">
            <v>35</v>
          </cell>
          <cell r="D34" t="str">
            <v>NGPL-STX</v>
          </cell>
          <cell r="E34" t="str">
            <v>NGPL-Texas</v>
          </cell>
          <cell r="F34">
            <v>34</v>
          </cell>
        </row>
        <row r="35">
          <cell r="A35">
            <v>34912</v>
          </cell>
          <cell r="B35">
            <v>36</v>
          </cell>
          <cell r="D35" t="str">
            <v>NNG-DEMARC</v>
          </cell>
          <cell r="E35" t="str">
            <v>Northern-Demarc</v>
          </cell>
          <cell r="F35">
            <v>35</v>
          </cell>
        </row>
        <row r="36">
          <cell r="A36">
            <v>34943</v>
          </cell>
          <cell r="B36">
            <v>37</v>
          </cell>
          <cell r="D36" t="str">
            <v>NNG-TOK</v>
          </cell>
          <cell r="E36" t="str">
            <v>Northern-TOK</v>
          </cell>
          <cell r="F36">
            <v>36</v>
          </cell>
        </row>
        <row r="37">
          <cell r="A37">
            <v>34973</v>
          </cell>
          <cell r="B37">
            <v>38</v>
          </cell>
          <cell r="D37" t="str">
            <v>NNG-VENT</v>
          </cell>
          <cell r="E37" t="str">
            <v>Northern-Ventura</v>
          </cell>
          <cell r="F37">
            <v>37</v>
          </cell>
        </row>
        <row r="38">
          <cell r="A38">
            <v>35004</v>
          </cell>
          <cell r="B38">
            <v>39</v>
          </cell>
          <cell r="D38" t="str">
            <v>NOR-AM</v>
          </cell>
          <cell r="E38" t="str">
            <v>Noram</v>
          </cell>
          <cell r="F38">
            <v>38</v>
          </cell>
        </row>
        <row r="39">
          <cell r="A39">
            <v>35034</v>
          </cell>
          <cell r="B39">
            <v>40</v>
          </cell>
          <cell r="D39" t="str">
            <v>NOR-EAST</v>
          </cell>
          <cell r="E39" t="str">
            <v>Noram East</v>
          </cell>
          <cell r="F39">
            <v>39</v>
          </cell>
        </row>
        <row r="40">
          <cell r="A40">
            <v>35065</v>
          </cell>
          <cell r="B40">
            <v>41</v>
          </cell>
          <cell r="D40" t="str">
            <v>NOR-WEST</v>
          </cell>
          <cell r="E40" t="str">
            <v>Noram West</v>
          </cell>
          <cell r="F40">
            <v>40</v>
          </cell>
        </row>
        <row r="41">
          <cell r="A41">
            <v>35096</v>
          </cell>
          <cell r="B41">
            <v>42</v>
          </cell>
          <cell r="D41" t="str">
            <v>NWPL-CAN</v>
          </cell>
          <cell r="E41" t="str">
            <v>Northwest-Canada</v>
          </cell>
          <cell r="F41">
            <v>41</v>
          </cell>
        </row>
        <row r="42">
          <cell r="A42">
            <v>35125</v>
          </cell>
          <cell r="B42">
            <v>43</v>
          </cell>
          <cell r="D42" t="str">
            <v>NWPL-ROCK</v>
          </cell>
          <cell r="E42" t="str">
            <v>Northwest-Rock Mtn</v>
          </cell>
          <cell r="F42">
            <v>42</v>
          </cell>
        </row>
        <row r="43">
          <cell r="A43">
            <v>35156</v>
          </cell>
          <cell r="B43">
            <v>44</v>
          </cell>
          <cell r="D43" t="str">
            <v>ONG-OKL</v>
          </cell>
          <cell r="E43" t="str">
            <v>ONG-Oklahoma</v>
          </cell>
          <cell r="F43">
            <v>43</v>
          </cell>
        </row>
        <row r="44">
          <cell r="A44">
            <v>35186</v>
          </cell>
          <cell r="B44">
            <v>45</v>
          </cell>
          <cell r="D44" t="str">
            <v>PEPL-FZ</v>
          </cell>
          <cell r="E44" t="str">
            <v>Panhandle-Field Zone</v>
          </cell>
          <cell r="F44">
            <v>44</v>
          </cell>
        </row>
        <row r="45">
          <cell r="A45">
            <v>35217</v>
          </cell>
          <cell r="B45">
            <v>46</v>
          </cell>
          <cell r="D45" t="str">
            <v>QUEST</v>
          </cell>
          <cell r="E45" t="str">
            <v>Questar</v>
          </cell>
          <cell r="F45">
            <v>45</v>
          </cell>
        </row>
        <row r="46">
          <cell r="A46">
            <v>35247</v>
          </cell>
          <cell r="B46">
            <v>47</v>
          </cell>
          <cell r="D46" t="str">
            <v>NGI-Socal</v>
          </cell>
          <cell r="E46" t="str">
            <v>So Cal Border</v>
          </cell>
          <cell r="F46">
            <v>46</v>
          </cell>
        </row>
        <row r="47">
          <cell r="A47">
            <v>35278</v>
          </cell>
          <cell r="B47">
            <v>48</v>
          </cell>
          <cell r="D47" t="str">
            <v>SONAT-LA</v>
          </cell>
          <cell r="E47" t="str">
            <v>Southern-Louisiana</v>
          </cell>
          <cell r="F47">
            <v>47</v>
          </cell>
        </row>
        <row r="48">
          <cell r="A48">
            <v>35309</v>
          </cell>
          <cell r="B48">
            <v>49</v>
          </cell>
          <cell r="D48" t="str">
            <v>TANG</v>
          </cell>
          <cell r="E48" t="str">
            <v>Transamerican</v>
          </cell>
          <cell r="F48">
            <v>48</v>
          </cell>
        </row>
        <row r="49">
          <cell r="A49">
            <v>35339</v>
          </cell>
          <cell r="B49">
            <v>50</v>
          </cell>
          <cell r="D49" t="str">
            <v>TENN-Z0</v>
          </cell>
          <cell r="E49" t="str">
            <v>Tennessee-Zone 0</v>
          </cell>
          <cell r="F49">
            <v>49</v>
          </cell>
        </row>
        <row r="50">
          <cell r="A50">
            <v>35370</v>
          </cell>
          <cell r="B50">
            <v>51</v>
          </cell>
          <cell r="D50" t="str">
            <v>TENN-Z1</v>
          </cell>
          <cell r="E50" t="str">
            <v>Tennessee-Zone 1</v>
          </cell>
          <cell r="F50">
            <v>50</v>
          </cell>
        </row>
        <row r="51">
          <cell r="A51">
            <v>35400</v>
          </cell>
          <cell r="B51">
            <v>52</v>
          </cell>
          <cell r="D51" t="str">
            <v>TET-ELA</v>
          </cell>
          <cell r="E51" t="str">
            <v>Texas Eastern-ELA</v>
          </cell>
          <cell r="F51">
            <v>51</v>
          </cell>
        </row>
        <row r="52">
          <cell r="A52">
            <v>35431</v>
          </cell>
          <cell r="B52">
            <v>53</v>
          </cell>
          <cell r="D52" t="str">
            <v>TET-ETX</v>
          </cell>
          <cell r="E52" t="str">
            <v>Texas Eastern-ETX</v>
          </cell>
          <cell r="F52">
            <v>52</v>
          </cell>
        </row>
        <row r="53">
          <cell r="A53">
            <v>35462</v>
          </cell>
          <cell r="B53">
            <v>54</v>
          </cell>
          <cell r="D53" t="str">
            <v>TET-M3</v>
          </cell>
          <cell r="E53" t="str">
            <v>Texas Eastern-M3</v>
          </cell>
          <cell r="F53">
            <v>53</v>
          </cell>
        </row>
        <row r="54">
          <cell r="A54">
            <v>35490</v>
          </cell>
          <cell r="B54">
            <v>55</v>
          </cell>
          <cell r="D54" t="str">
            <v>TET-STX</v>
          </cell>
          <cell r="E54" t="str">
            <v>Texas Eastern-STX</v>
          </cell>
          <cell r="F54">
            <v>54</v>
          </cell>
        </row>
        <row r="55">
          <cell r="A55">
            <v>35521</v>
          </cell>
          <cell r="B55">
            <v>56</v>
          </cell>
          <cell r="D55" t="str">
            <v>TET-WLA</v>
          </cell>
          <cell r="E55" t="str">
            <v>Texas Eastern-WLA</v>
          </cell>
          <cell r="F55">
            <v>55</v>
          </cell>
        </row>
        <row r="56">
          <cell r="A56">
            <v>35551</v>
          </cell>
          <cell r="B56">
            <v>57</v>
          </cell>
          <cell r="D56" t="str">
            <v>TRAN-Z1</v>
          </cell>
          <cell r="E56" t="str">
            <v>Transco-Zone 1</v>
          </cell>
          <cell r="F56">
            <v>56</v>
          </cell>
        </row>
        <row r="57">
          <cell r="A57">
            <v>35582</v>
          </cell>
          <cell r="B57">
            <v>58</v>
          </cell>
          <cell r="D57" t="str">
            <v>TRAN-Z2</v>
          </cell>
          <cell r="E57" t="str">
            <v>Transco-Zone 2</v>
          </cell>
          <cell r="F57">
            <v>57</v>
          </cell>
        </row>
        <row r="58">
          <cell r="A58">
            <v>35612</v>
          </cell>
          <cell r="B58">
            <v>59</v>
          </cell>
          <cell r="D58" t="str">
            <v>TRAN-Z3</v>
          </cell>
          <cell r="E58" t="str">
            <v>Transco-Zone 3</v>
          </cell>
          <cell r="F58">
            <v>58</v>
          </cell>
        </row>
        <row r="59">
          <cell r="A59">
            <v>35643</v>
          </cell>
          <cell r="B59">
            <v>60</v>
          </cell>
          <cell r="D59" t="str">
            <v>TRAN-Z4</v>
          </cell>
          <cell r="E59" t="str">
            <v>Transco-Zone 4</v>
          </cell>
          <cell r="F59">
            <v>59</v>
          </cell>
        </row>
        <row r="60">
          <cell r="A60">
            <v>35674</v>
          </cell>
          <cell r="B60">
            <v>61</v>
          </cell>
          <cell r="D60" t="str">
            <v>TRAN-Z6</v>
          </cell>
          <cell r="E60" t="str">
            <v>Transco-Zone 6</v>
          </cell>
          <cell r="F60">
            <v>60</v>
          </cell>
        </row>
        <row r="61">
          <cell r="A61">
            <v>35704</v>
          </cell>
          <cell r="B61">
            <v>62</v>
          </cell>
          <cell r="D61" t="str">
            <v>TRUNK-FZ</v>
          </cell>
          <cell r="E61" t="str">
            <v>Trunkline-Field Zone</v>
          </cell>
          <cell r="F61">
            <v>61</v>
          </cell>
        </row>
        <row r="62">
          <cell r="A62">
            <v>35735</v>
          </cell>
          <cell r="B62">
            <v>63</v>
          </cell>
          <cell r="D62" t="str">
            <v>TRUNK-LA</v>
          </cell>
          <cell r="E62" t="str">
            <v>Trunkline-Louisiana</v>
          </cell>
          <cell r="F62">
            <v>62</v>
          </cell>
        </row>
        <row r="63">
          <cell r="A63">
            <v>35765</v>
          </cell>
          <cell r="B63">
            <v>64</v>
          </cell>
          <cell r="D63" t="str">
            <v>TRUNK-TX</v>
          </cell>
          <cell r="E63" t="str">
            <v>Trunkline-Texas</v>
          </cell>
          <cell r="F63">
            <v>63</v>
          </cell>
        </row>
        <row r="64">
          <cell r="A64">
            <v>35796</v>
          </cell>
          <cell r="B64">
            <v>65</v>
          </cell>
          <cell r="D64" t="str">
            <v>TW-PERM</v>
          </cell>
          <cell r="E64" t="str">
            <v>Transwestern-Permian</v>
          </cell>
          <cell r="F64">
            <v>64</v>
          </cell>
        </row>
        <row r="65">
          <cell r="A65">
            <v>35827</v>
          </cell>
          <cell r="B65">
            <v>66</v>
          </cell>
          <cell r="D65" t="str">
            <v>TXG-Z1</v>
          </cell>
          <cell r="E65" t="str">
            <v>Texas Gas-Zone 1</v>
          </cell>
          <cell r="F65">
            <v>65</v>
          </cell>
        </row>
        <row r="66">
          <cell r="A66">
            <v>35855</v>
          </cell>
          <cell r="B66">
            <v>67</v>
          </cell>
          <cell r="D66" t="str">
            <v>TXG-ZSL</v>
          </cell>
          <cell r="E66" t="str">
            <v>Texas Gas-Zone SL</v>
          </cell>
          <cell r="F66">
            <v>66</v>
          </cell>
        </row>
        <row r="67">
          <cell r="A67">
            <v>35886</v>
          </cell>
          <cell r="B67">
            <v>68</v>
          </cell>
          <cell r="D67" t="str">
            <v>VAL-TX</v>
          </cell>
          <cell r="E67" t="str">
            <v>Valero-TX</v>
          </cell>
          <cell r="F67">
            <v>67</v>
          </cell>
        </row>
        <row r="68">
          <cell r="A68">
            <v>35916</v>
          </cell>
          <cell r="B68">
            <v>69</v>
          </cell>
          <cell r="D68" t="str">
            <v>KRS (SOCAL)-NGI</v>
          </cell>
          <cell r="E68" t="str">
            <v>Kern River Station</v>
          </cell>
          <cell r="F68">
            <v>68</v>
          </cell>
        </row>
        <row r="69">
          <cell r="A69">
            <v>35947</v>
          </cell>
          <cell r="B69">
            <v>70</v>
          </cell>
        </row>
        <row r="70">
          <cell r="A70">
            <v>35977</v>
          </cell>
          <cell r="B70">
            <v>71</v>
          </cell>
        </row>
        <row r="71">
          <cell r="A71">
            <v>36008</v>
          </cell>
          <cell r="B71">
            <v>72</v>
          </cell>
        </row>
        <row r="72">
          <cell r="A72">
            <v>36039</v>
          </cell>
          <cell r="B72">
            <v>73</v>
          </cell>
        </row>
        <row r="73">
          <cell r="A73">
            <v>36069</v>
          </cell>
          <cell r="B73">
            <v>74</v>
          </cell>
        </row>
        <row r="74">
          <cell r="A74">
            <v>36100</v>
          </cell>
          <cell r="B74">
            <v>75</v>
          </cell>
        </row>
        <row r="75">
          <cell r="A75">
            <v>36130</v>
          </cell>
          <cell r="B75">
            <v>76</v>
          </cell>
        </row>
        <row r="76">
          <cell r="A76">
            <v>36161</v>
          </cell>
          <cell r="B76">
            <v>77</v>
          </cell>
        </row>
        <row r="77">
          <cell r="A77">
            <v>36192</v>
          </cell>
          <cell r="B77">
            <v>78</v>
          </cell>
        </row>
        <row r="78">
          <cell r="A78">
            <v>36220</v>
          </cell>
          <cell r="B78">
            <v>79</v>
          </cell>
        </row>
        <row r="79">
          <cell r="A79">
            <v>36251</v>
          </cell>
          <cell r="B79">
            <v>80</v>
          </cell>
        </row>
        <row r="80">
          <cell r="A80">
            <v>36281</v>
          </cell>
          <cell r="B80">
            <v>81</v>
          </cell>
        </row>
        <row r="81">
          <cell r="A81">
            <v>36312</v>
          </cell>
          <cell r="B81">
            <v>82</v>
          </cell>
        </row>
        <row r="82">
          <cell r="A82">
            <v>36342</v>
          </cell>
          <cell r="B82">
            <v>83</v>
          </cell>
        </row>
        <row r="83">
          <cell r="A83">
            <v>36373</v>
          </cell>
          <cell r="B83">
            <v>84</v>
          </cell>
        </row>
        <row r="84">
          <cell r="A84">
            <v>36404</v>
          </cell>
          <cell r="B84">
            <v>85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DWtoGTdirectSetup_"/>
      <sheetName val="_UnregulatedCurves_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ctrlProp" Target="../ctrlProps/ctrlProp5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7.xml"/><Relationship Id="rId4" Type="http://schemas.openxmlformats.org/officeDocument/2006/relationships/ctrlProp" Target="../ctrlProps/ctrlProp6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C43"/>
  <sheetViews>
    <sheetView showGridLines="0" tabSelected="1" zoomScale="70" zoomScaleNormal="70" workbookViewId="0">
      <selection sqref="A1:A6"/>
    </sheetView>
  </sheetViews>
  <sheetFormatPr defaultColWidth="8.88671875" defaultRowHeight="15.75" x14ac:dyDescent="0.25"/>
  <cols>
    <col min="1" max="1" width="8.88671875" style="1"/>
    <col min="2" max="2" width="15.5546875" style="1" bestFit="1" customWidth="1"/>
    <col min="3" max="3" width="9.5546875" style="1" bestFit="1" customWidth="1"/>
    <col min="4" max="16384" width="8.88671875" style="1"/>
  </cols>
  <sheetData>
    <row r="1" spans="1:3" x14ac:dyDescent="0.25">
      <c r="A1" s="101" t="s">
        <v>91</v>
      </c>
    </row>
    <row r="2" spans="1:3" x14ac:dyDescent="0.25">
      <c r="A2" s="101" t="s">
        <v>92</v>
      </c>
    </row>
    <row r="3" spans="1:3" x14ac:dyDescent="0.25">
      <c r="A3" s="101" t="s">
        <v>93</v>
      </c>
    </row>
    <row r="4" spans="1:3" x14ac:dyDescent="0.25">
      <c r="A4" s="101" t="s">
        <v>94</v>
      </c>
    </row>
    <row r="5" spans="1:3" s="100" customFormat="1" x14ac:dyDescent="0.25">
      <c r="A5" s="101" t="s">
        <v>96</v>
      </c>
    </row>
    <row r="6" spans="1:3" s="100" customFormat="1" x14ac:dyDescent="0.25">
      <c r="A6" s="101" t="s">
        <v>95</v>
      </c>
    </row>
    <row r="8" spans="1:3" x14ac:dyDescent="0.25">
      <c r="B8" s="4" t="s">
        <v>13</v>
      </c>
      <c r="C8" s="4" t="s">
        <v>2</v>
      </c>
    </row>
    <row r="9" spans="1:3" x14ac:dyDescent="0.25">
      <c r="B9" s="6" t="s">
        <v>9</v>
      </c>
      <c r="C9" s="102">
        <v>2</v>
      </c>
    </row>
    <row r="10" spans="1:3" x14ac:dyDescent="0.25">
      <c r="B10" s="6" t="s">
        <v>8</v>
      </c>
      <c r="C10" s="104"/>
    </row>
    <row r="11" spans="1:3" x14ac:dyDescent="0.25">
      <c r="B11" s="5" t="s">
        <v>7</v>
      </c>
      <c r="C11" s="103"/>
    </row>
    <row r="14" spans="1:3" x14ac:dyDescent="0.25">
      <c r="B14" s="4" t="s">
        <v>12</v>
      </c>
      <c r="C14" s="4" t="s">
        <v>2</v>
      </c>
    </row>
    <row r="15" spans="1:3" x14ac:dyDescent="0.25">
      <c r="B15" s="6" t="s">
        <v>9</v>
      </c>
      <c r="C15" s="102">
        <v>2</v>
      </c>
    </row>
    <row r="16" spans="1:3" x14ac:dyDescent="0.25">
      <c r="B16" s="6" t="s">
        <v>8</v>
      </c>
      <c r="C16" s="104"/>
    </row>
    <row r="17" spans="2:3" x14ac:dyDescent="0.25">
      <c r="B17" s="5" t="s">
        <v>7</v>
      </c>
      <c r="C17" s="103"/>
    </row>
    <row r="20" spans="2:3" x14ac:dyDescent="0.25">
      <c r="B20" s="4" t="s">
        <v>3</v>
      </c>
      <c r="C20" s="4" t="s">
        <v>2</v>
      </c>
    </row>
    <row r="21" spans="2:3" x14ac:dyDescent="0.25">
      <c r="B21" s="6" t="s">
        <v>9</v>
      </c>
      <c r="C21" s="102">
        <v>2</v>
      </c>
    </row>
    <row r="22" spans="2:3" x14ac:dyDescent="0.25">
      <c r="B22" s="6" t="s">
        <v>8</v>
      </c>
      <c r="C22" s="104"/>
    </row>
    <row r="23" spans="2:3" x14ac:dyDescent="0.25">
      <c r="B23" s="5" t="s">
        <v>7</v>
      </c>
      <c r="C23" s="103"/>
    </row>
    <row r="26" spans="2:3" x14ac:dyDescent="0.25">
      <c r="B26" s="7" t="s">
        <v>11</v>
      </c>
      <c r="C26" s="7" t="s">
        <v>2</v>
      </c>
    </row>
    <row r="27" spans="2:3" x14ac:dyDescent="0.25">
      <c r="B27" s="3" t="s">
        <v>5</v>
      </c>
      <c r="C27" s="102">
        <v>1</v>
      </c>
    </row>
    <row r="28" spans="2:3" x14ac:dyDescent="0.25">
      <c r="B28" s="2" t="s">
        <v>4</v>
      </c>
      <c r="C28" s="103"/>
    </row>
    <row r="31" spans="2:3" x14ac:dyDescent="0.25">
      <c r="B31" s="4" t="s">
        <v>10</v>
      </c>
      <c r="C31" s="4" t="s">
        <v>2</v>
      </c>
    </row>
    <row r="32" spans="2:3" x14ac:dyDescent="0.25">
      <c r="B32" s="6" t="s">
        <v>9</v>
      </c>
      <c r="C32" s="102">
        <v>2</v>
      </c>
    </row>
    <row r="33" spans="2:3" x14ac:dyDescent="0.25">
      <c r="B33" s="6" t="s">
        <v>8</v>
      </c>
      <c r="C33" s="104"/>
    </row>
    <row r="34" spans="2:3" x14ac:dyDescent="0.25">
      <c r="B34" s="5" t="s">
        <v>7</v>
      </c>
      <c r="C34" s="103"/>
    </row>
    <row r="37" spans="2:3" x14ac:dyDescent="0.25">
      <c r="B37" s="4" t="s">
        <v>6</v>
      </c>
      <c r="C37" s="4" t="s">
        <v>2</v>
      </c>
    </row>
    <row r="38" spans="2:3" x14ac:dyDescent="0.25">
      <c r="B38" s="3" t="s">
        <v>5</v>
      </c>
      <c r="C38" s="102">
        <v>1</v>
      </c>
    </row>
    <row r="39" spans="2:3" x14ac:dyDescent="0.25">
      <c r="B39" s="2" t="s">
        <v>4</v>
      </c>
      <c r="C39" s="103"/>
    </row>
    <row r="41" spans="2:3" x14ac:dyDescent="0.25">
      <c r="B41" s="4" t="s">
        <v>3</v>
      </c>
      <c r="C41" s="4" t="s">
        <v>2</v>
      </c>
    </row>
    <row r="42" spans="2:3" x14ac:dyDescent="0.25">
      <c r="B42" s="3" t="s">
        <v>1</v>
      </c>
      <c r="C42" s="102">
        <v>1</v>
      </c>
    </row>
    <row r="43" spans="2:3" x14ac:dyDescent="0.25">
      <c r="B43" s="2" t="s">
        <v>0</v>
      </c>
      <c r="C43" s="103"/>
    </row>
  </sheetData>
  <mergeCells count="7">
    <mergeCell ref="C42:C43"/>
    <mergeCell ref="C32:C34"/>
    <mergeCell ref="C38:C39"/>
    <mergeCell ref="C9:C11"/>
    <mergeCell ref="C15:C17"/>
    <mergeCell ref="C21:C23"/>
    <mergeCell ref="C27:C28"/>
  </mergeCells>
  <pageMargins left="0.25" right="0.25" top="0.5" bottom="0.5" header="0.25" footer="0.25"/>
  <pageSetup scale="70" orientation="landscape" r:id="rId1"/>
  <headerFooter alignWithMargins="0">
    <oddFooter>&amp;R&amp;A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6"/>
  <dimension ref="A1:Q1163"/>
  <sheetViews>
    <sheetView zoomScale="70" zoomScaleNormal="70" workbookViewId="0">
      <pane xSplit="1" ySplit="11" topLeftCell="B12" activePane="bottomRight" state="frozen"/>
      <selection activeCell="A6" sqref="A6"/>
      <selection pane="topRight" activeCell="A6" sqref="A6"/>
      <selection pane="bottomLeft" activeCell="A6" sqref="A6"/>
      <selection pane="bottomRight" activeCell="B12" sqref="B12"/>
    </sheetView>
  </sheetViews>
  <sheetFormatPr defaultColWidth="7.109375" defaultRowHeight="12.75" x14ac:dyDescent="0.2"/>
  <cols>
    <col min="1" max="1" width="19.77734375" style="9" customWidth="1"/>
    <col min="2" max="4" width="16.109375" style="9" customWidth="1"/>
    <col min="5" max="5" width="21" style="9" customWidth="1"/>
    <col min="6" max="9" width="16.109375" style="9" customWidth="1"/>
    <col min="10" max="10" width="12.33203125" style="8" customWidth="1"/>
    <col min="11" max="11" width="10.77734375" style="8" customWidth="1"/>
    <col min="12" max="12" width="11.6640625" style="8" customWidth="1"/>
    <col min="13" max="16384" width="7.109375" style="8"/>
  </cols>
  <sheetData>
    <row r="1" spans="1:17" ht="15.75" x14ac:dyDescent="0.25">
      <c r="A1" s="101" t="s">
        <v>91</v>
      </c>
    </row>
    <row r="2" spans="1:17" ht="15.75" x14ac:dyDescent="0.25">
      <c r="A2" s="101" t="s">
        <v>92</v>
      </c>
    </row>
    <row r="3" spans="1:17" ht="15.75" x14ac:dyDescent="0.25">
      <c r="A3" s="101" t="s">
        <v>93</v>
      </c>
    </row>
    <row r="4" spans="1:17" ht="15.75" x14ac:dyDescent="0.25">
      <c r="A4" s="101" t="s">
        <v>94</v>
      </c>
    </row>
    <row r="5" spans="1:17" ht="15.75" x14ac:dyDescent="0.25">
      <c r="A5" s="101" t="s">
        <v>96</v>
      </c>
    </row>
    <row r="6" spans="1:17" ht="15.75" x14ac:dyDescent="0.25">
      <c r="A6" s="101" t="s">
        <v>97</v>
      </c>
    </row>
    <row r="8" spans="1:17" ht="15.75" x14ac:dyDescent="0.25">
      <c r="A8" s="25" t="s">
        <v>28</v>
      </c>
      <c r="B8" s="8"/>
      <c r="C8" s="8"/>
      <c r="D8" s="8"/>
      <c r="E8" s="8"/>
      <c r="F8" s="8"/>
      <c r="G8" s="8"/>
      <c r="H8" s="8"/>
      <c r="I8" s="8"/>
    </row>
    <row r="9" spans="1:17" ht="15.75" x14ac:dyDescent="0.25">
      <c r="A9" s="25"/>
      <c r="B9" s="24"/>
      <c r="C9" s="23" t="s">
        <v>27</v>
      </c>
      <c r="D9" s="22">
        <f>1-0.263</f>
        <v>0.73699999999999999</v>
      </c>
      <c r="E9" s="23" t="s">
        <v>26</v>
      </c>
      <c r="F9" s="22">
        <f>1+0.263</f>
        <v>1.2629999999999999</v>
      </c>
      <c r="G9" s="8"/>
      <c r="H9" s="8"/>
      <c r="I9" s="8"/>
    </row>
    <row r="10" spans="1:17" s="18" customFormat="1" ht="27" customHeight="1" x14ac:dyDescent="0.25">
      <c r="B10" s="19" t="s">
        <v>25</v>
      </c>
      <c r="C10" s="19" t="s">
        <v>24</v>
      </c>
      <c r="D10" s="19" t="s">
        <v>23</v>
      </c>
      <c r="E10" s="21" t="s">
        <v>22</v>
      </c>
      <c r="F10" s="19" t="s">
        <v>21</v>
      </c>
      <c r="G10" s="21" t="s">
        <v>20</v>
      </c>
      <c r="H10" s="21" t="s">
        <v>19</v>
      </c>
      <c r="I10" s="19" t="s">
        <v>18</v>
      </c>
      <c r="J10" s="19" t="s">
        <v>17</v>
      </c>
      <c r="K10" s="19" t="s">
        <v>16</v>
      </c>
      <c r="L10" s="19"/>
    </row>
    <row r="11" spans="1:17" s="18" customFormat="1" ht="25.15" customHeight="1" x14ac:dyDescent="0.25">
      <c r="A11" s="20" t="s">
        <v>15</v>
      </c>
      <c r="B11" s="19" t="s">
        <v>14</v>
      </c>
      <c r="C11" s="19" t="s">
        <v>14</v>
      </c>
      <c r="D11" s="19" t="s">
        <v>14</v>
      </c>
      <c r="E11" s="19" t="s">
        <v>14</v>
      </c>
      <c r="F11" s="19" t="s">
        <v>14</v>
      </c>
      <c r="G11" s="19" t="s">
        <v>14</v>
      </c>
      <c r="H11" s="19" t="s">
        <v>14</v>
      </c>
      <c r="I11" s="19" t="s">
        <v>14</v>
      </c>
      <c r="J11" s="19" t="s">
        <v>14</v>
      </c>
      <c r="K11" s="19" t="s">
        <v>14</v>
      </c>
      <c r="L11" s="19"/>
    </row>
    <row r="12" spans="1:17" ht="15" x14ac:dyDescent="0.2">
      <c r="A12" s="16">
        <v>41640</v>
      </c>
      <c r="B12" s="10">
        <v>24.5270274442539</v>
      </c>
      <c r="C12" s="10">
        <v>24.0947804459691</v>
      </c>
      <c r="D12" s="10">
        <v>24.0947804459691</v>
      </c>
      <c r="E12" s="10">
        <v>23.958121955403101</v>
      </c>
      <c r="F12" s="10">
        <v>23.958121955403101</v>
      </c>
      <c r="G12" s="10">
        <v>24.229497427101201</v>
      </c>
      <c r="H12" s="10">
        <v>24.0947804459691</v>
      </c>
      <c r="I12" s="10">
        <v>24.0947804459691</v>
      </c>
      <c r="J12" s="10">
        <v>23.734574614065199</v>
      </c>
      <c r="K12" s="10">
        <v>24.0947804459691</v>
      </c>
      <c r="L12" s="10"/>
      <c r="M12" s="17"/>
      <c r="N12" s="17"/>
      <c r="O12" s="17"/>
      <c r="P12" s="17"/>
      <c r="Q12" s="17"/>
    </row>
    <row r="13" spans="1:17" ht="15" x14ac:dyDescent="0.2">
      <c r="A13" s="16">
        <v>41671</v>
      </c>
      <c r="B13" s="10">
        <v>25.060852487135499</v>
      </c>
      <c r="C13" s="10">
        <v>24.628605488850798</v>
      </c>
      <c r="D13" s="10">
        <v>24.628605488850798</v>
      </c>
      <c r="E13" s="10">
        <v>24.4919469982847</v>
      </c>
      <c r="F13" s="10">
        <v>24.4919469982847</v>
      </c>
      <c r="G13" s="10">
        <v>24.7633224699828</v>
      </c>
      <c r="H13" s="10">
        <v>24.628605488850798</v>
      </c>
      <c r="I13" s="10">
        <v>24.628605488850798</v>
      </c>
      <c r="J13" s="10">
        <v>24.268399656946801</v>
      </c>
      <c r="K13" s="10">
        <v>24.628605488850798</v>
      </c>
      <c r="L13" s="10"/>
      <c r="M13" s="17"/>
      <c r="N13" s="17"/>
      <c r="O13" s="17"/>
      <c r="P13" s="17"/>
      <c r="Q13" s="17"/>
    </row>
    <row r="14" spans="1:17" ht="15" x14ac:dyDescent="0.2">
      <c r="A14" s="16">
        <v>41699</v>
      </c>
      <c r="B14" s="10">
        <f>23.9587 * CHOOSE(CONTROL!$C$9, $D$9, 100%, $F$9) + CHOOSE(CONTROL!$C$27, 0.0021, 0)</f>
        <v>23.960799999999999</v>
      </c>
      <c r="C14" s="10">
        <f>23.5265 * CHOOSE(CONTROL!$C$9, $D$9, 100%, $F$9) + CHOOSE(CONTROL!$C$27, 0.0021, 0)</f>
        <v>23.528599999999997</v>
      </c>
      <c r="D14" s="10">
        <f>23.5265 * CHOOSE(CONTROL!$C$9, $D$9, 100%, $F$9) + CHOOSE(CONTROL!$C$27, 0.0021, 0)</f>
        <v>23.528599999999997</v>
      </c>
      <c r="E14" s="10">
        <f>23.3898 * CHOOSE(CONTROL!$C$9, $D$9, 100%, $F$9) + CHOOSE(CONTROL!$C$27, 0.0021, 0)</f>
        <v>23.3919</v>
      </c>
      <c r="F14" s="10">
        <f>23.3898 * CHOOSE(CONTROL!$C$9, $D$9, 100%, $F$9) + CHOOSE(CONTROL!$C$27, 0.0021, 0)</f>
        <v>23.3919</v>
      </c>
      <c r="G14" s="10">
        <f>23.6612 * CHOOSE(CONTROL!$C$9, $D$9, 100%, $F$9) + CHOOSE(CONTROL!$C$27, 0.0021, 0)</f>
        <v>23.6633</v>
      </c>
      <c r="H14" s="10">
        <f>23.5265 * CHOOSE(CONTROL!$C$9, $D$9, 100%, $F$9) + CHOOSE(CONTROL!$C$27, 0.0021, 0)</f>
        <v>23.528599999999997</v>
      </c>
      <c r="I14" s="10">
        <f>23.5265 * CHOOSE(CONTROL!$C$9, $D$9, 100%, $F$9) + CHOOSE(CONTROL!$C$27, 0.0021, 0)</f>
        <v>23.528599999999997</v>
      </c>
      <c r="J14" s="10">
        <f>23.1663 * CHOOSE(CONTROL!$C$9, $D$9, 100%, $F$9) + CHOOSE(CONTROL!$C$27, 0.0021, 0)</f>
        <v>23.168399999999998</v>
      </c>
      <c r="K14" s="10">
        <f>23.5265 * CHOOSE(CONTROL!$C$9, $D$9, 100%, $F$9) + CHOOSE(CONTROL!$C$27, 0.0021, 0)</f>
        <v>23.528599999999997</v>
      </c>
      <c r="L14" s="10"/>
      <c r="M14" s="17"/>
      <c r="N14" s="17"/>
      <c r="O14" s="17"/>
      <c r="P14" s="17"/>
      <c r="Q14" s="17"/>
    </row>
    <row r="15" spans="1:17" ht="15" x14ac:dyDescent="0.2">
      <c r="A15" s="16">
        <v>41730</v>
      </c>
      <c r="B15" s="10">
        <f>23.4393 * CHOOSE(CONTROL!$C$9, $D$9, 100%, $F$9) + CHOOSE(CONTROL!$C$27, 0.0021, 0)</f>
        <v>23.441399999999998</v>
      </c>
      <c r="C15" s="10">
        <f>23.0071 * CHOOSE(CONTROL!$C$9, $D$9, 100%, $F$9) + CHOOSE(CONTROL!$C$27, 0.0021, 0)</f>
        <v>23.0092</v>
      </c>
      <c r="D15" s="10">
        <f>23.0071 * CHOOSE(CONTROL!$C$9, $D$9, 100%, $F$9) + CHOOSE(CONTROL!$C$27, 0.0021, 0)</f>
        <v>23.0092</v>
      </c>
      <c r="E15" s="10">
        <f>22.8704 * CHOOSE(CONTROL!$C$9, $D$9, 100%, $F$9) + CHOOSE(CONTROL!$C$27, 0.0021, 0)</f>
        <v>22.872499999999999</v>
      </c>
      <c r="F15" s="10">
        <f>22.8704 * CHOOSE(CONTROL!$C$9, $D$9, 100%, $F$9) + CHOOSE(CONTROL!$C$27, 0.0021, 0)</f>
        <v>22.872499999999999</v>
      </c>
      <c r="G15" s="10">
        <f>23.1418 * CHOOSE(CONTROL!$C$9, $D$9, 100%, $F$9) + CHOOSE(CONTROL!$C$27, 0.0021, 0)</f>
        <v>23.143899999999999</v>
      </c>
      <c r="H15" s="10">
        <f>23.0071 * CHOOSE(CONTROL!$C$9, $D$9, 100%, $F$9) + CHOOSE(CONTROL!$C$27, 0.0021, 0)</f>
        <v>23.0092</v>
      </c>
      <c r="I15" s="10">
        <f>23.0071 * CHOOSE(CONTROL!$C$9, $D$9, 100%, $F$9) + CHOOSE(CONTROL!$C$27, 0.0021, 0)</f>
        <v>23.0092</v>
      </c>
      <c r="J15" s="10">
        <f>22.6469 * CHOOSE(CONTROL!$C$9, $D$9, 100%, $F$9) + CHOOSE(CONTROL!$C$27, 0.0021, 0)</f>
        <v>22.648999999999997</v>
      </c>
      <c r="K15" s="10">
        <f>23.0071 * CHOOSE(CONTROL!$C$9, $D$9, 100%, $F$9) + CHOOSE(CONTROL!$C$27, 0.0021, 0)</f>
        <v>23.0092</v>
      </c>
      <c r="L15" s="10"/>
      <c r="M15" s="17"/>
      <c r="N15" s="17"/>
      <c r="O15" s="17"/>
      <c r="P15" s="17"/>
      <c r="Q15" s="17"/>
    </row>
    <row r="16" spans="1:17" ht="15" x14ac:dyDescent="0.2">
      <c r="A16" s="16">
        <v>41760</v>
      </c>
      <c r="B16" s="10">
        <f>23.2679 * CHOOSE(CONTROL!$C$9, $D$9, 100%, $F$9) + CHOOSE(CONTROL!$C$27, 0.0021, 0)</f>
        <v>23.27</v>
      </c>
      <c r="C16" s="10">
        <f>22.8356 * CHOOSE(CONTROL!$C$9, $D$9, 100%, $F$9) + CHOOSE(CONTROL!$C$27, 0.0021, 0)</f>
        <v>22.837699999999998</v>
      </c>
      <c r="D16" s="10">
        <f>22.8356 * CHOOSE(CONTROL!$C$9, $D$9, 100%, $F$9) + CHOOSE(CONTROL!$C$27, 0.0021, 0)</f>
        <v>22.837699999999998</v>
      </c>
      <c r="E16" s="10">
        <f>22.699 * CHOOSE(CONTROL!$C$9, $D$9, 100%, $F$9) + CHOOSE(CONTROL!$C$27, 0.0021, 0)</f>
        <v>22.7011</v>
      </c>
      <c r="F16" s="10">
        <f>22.699 * CHOOSE(CONTROL!$C$9, $D$9, 100%, $F$9) + CHOOSE(CONTROL!$C$27, 0.0021, 0)</f>
        <v>22.7011</v>
      </c>
      <c r="G16" s="10">
        <f>22.9703 * CHOOSE(CONTROL!$C$9, $D$9, 100%, $F$9) + CHOOSE(CONTROL!$C$27, 0.0021, 0)</f>
        <v>22.9724</v>
      </c>
      <c r="H16" s="10">
        <f>22.8356 * CHOOSE(CONTROL!$C$9, $D$9, 100%, $F$9) + CHOOSE(CONTROL!$C$27, 0.0021, 0)</f>
        <v>22.837699999999998</v>
      </c>
      <c r="I16" s="10">
        <f>22.8356 * CHOOSE(CONTROL!$C$9, $D$9, 100%, $F$9) + CHOOSE(CONTROL!$C$27, 0.0021, 0)</f>
        <v>22.837699999999998</v>
      </c>
      <c r="J16" s="10">
        <f>22.4754 * CHOOSE(CONTROL!$C$9, $D$9, 100%, $F$9) + CHOOSE(CONTROL!$C$27, 0.0021, 0)</f>
        <v>22.477499999999999</v>
      </c>
      <c r="K16" s="10">
        <f>22.8356 * CHOOSE(CONTROL!$C$9, $D$9, 100%, $F$9) + CHOOSE(CONTROL!$C$27, 0.0021, 0)</f>
        <v>22.837699999999998</v>
      </c>
      <c r="L16" s="10"/>
      <c r="M16" s="17"/>
      <c r="N16" s="17"/>
      <c r="O16" s="17"/>
      <c r="P16" s="17"/>
      <c r="Q16" s="17"/>
    </row>
    <row r="17" spans="1:17" ht="15" x14ac:dyDescent="0.2">
      <c r="A17" s="16">
        <v>41791</v>
      </c>
      <c r="B17" s="10">
        <f>23.1735 * CHOOSE(CONTROL!$C$9, $D$9, 100%, $F$9) + CHOOSE(CONTROL!$C$27, 0.0021, 0)</f>
        <v>23.175599999999999</v>
      </c>
      <c r="C17" s="10">
        <f>22.7412 * CHOOSE(CONTROL!$C$9, $D$9, 100%, $F$9) + CHOOSE(CONTROL!$C$27, 0.0021, 0)</f>
        <v>22.743299999999998</v>
      </c>
      <c r="D17" s="10">
        <f>22.7412 * CHOOSE(CONTROL!$C$9, $D$9, 100%, $F$9) + CHOOSE(CONTROL!$C$27, 0.0021, 0)</f>
        <v>22.743299999999998</v>
      </c>
      <c r="E17" s="10">
        <f>22.6046 * CHOOSE(CONTROL!$C$9, $D$9, 100%, $F$9) + CHOOSE(CONTROL!$C$27, 0.0021, 0)</f>
        <v>22.6067</v>
      </c>
      <c r="F17" s="10">
        <f>22.6046 * CHOOSE(CONTROL!$C$9, $D$9, 100%, $F$9) + CHOOSE(CONTROL!$C$27, 0.0021, 0)</f>
        <v>22.6067</v>
      </c>
      <c r="G17" s="10">
        <f>22.876 * CHOOSE(CONTROL!$C$9, $D$9, 100%, $F$9) + CHOOSE(CONTROL!$C$27, 0.0021, 0)</f>
        <v>22.8781</v>
      </c>
      <c r="H17" s="10">
        <f>22.7412 * CHOOSE(CONTROL!$C$9, $D$9, 100%, $F$9) + CHOOSE(CONTROL!$C$27, 0.0021, 0)</f>
        <v>22.743299999999998</v>
      </c>
      <c r="I17" s="10">
        <f>22.7412 * CHOOSE(CONTROL!$C$9, $D$9, 100%, $F$9) + CHOOSE(CONTROL!$C$27, 0.0021, 0)</f>
        <v>22.743299999999998</v>
      </c>
      <c r="J17" s="10">
        <f>22.381 * CHOOSE(CONTROL!$C$9, $D$9, 100%, $F$9) + CHOOSE(CONTROL!$C$27, 0.0021, 0)</f>
        <v>22.383099999999999</v>
      </c>
      <c r="K17" s="10">
        <f>22.7412 * CHOOSE(CONTROL!$C$9, $D$9, 100%, $F$9) + CHOOSE(CONTROL!$C$27, 0.0021, 0)</f>
        <v>22.743299999999998</v>
      </c>
      <c r="L17" s="10"/>
      <c r="M17" s="17"/>
      <c r="N17" s="17"/>
      <c r="O17" s="17"/>
      <c r="P17" s="17"/>
      <c r="Q17" s="17"/>
    </row>
    <row r="18" spans="1:17" ht="15" x14ac:dyDescent="0.2">
      <c r="A18" s="16">
        <v>41821</v>
      </c>
      <c r="B18" s="10">
        <f>23.1094 * CHOOSE(CONTROL!$C$9, $D$9, 100%, $F$9) + CHOOSE(CONTROL!$C$27, 0.0021, 0)</f>
        <v>23.111499999999999</v>
      </c>
      <c r="C18" s="10">
        <f>22.6771 * CHOOSE(CONTROL!$C$9, $D$9, 100%, $F$9) + CHOOSE(CONTROL!$C$27, 0.0021, 0)</f>
        <v>22.679199999999998</v>
      </c>
      <c r="D18" s="10">
        <f>22.6771 * CHOOSE(CONTROL!$C$9, $D$9, 100%, $F$9) + CHOOSE(CONTROL!$C$27, 0.0021, 0)</f>
        <v>22.679199999999998</v>
      </c>
      <c r="E18" s="10">
        <f>22.5405 * CHOOSE(CONTROL!$C$9, $D$9, 100%, $F$9) + CHOOSE(CONTROL!$C$27, 0.0021, 0)</f>
        <v>22.5426</v>
      </c>
      <c r="F18" s="10">
        <f>22.5405 * CHOOSE(CONTROL!$C$9, $D$9, 100%, $F$9) + CHOOSE(CONTROL!$C$27, 0.0021, 0)</f>
        <v>22.5426</v>
      </c>
      <c r="G18" s="10">
        <f>22.8118 * CHOOSE(CONTROL!$C$9, $D$9, 100%, $F$9) + CHOOSE(CONTROL!$C$27, 0.0021, 0)</f>
        <v>22.8139</v>
      </c>
      <c r="H18" s="10">
        <f>22.6771 * CHOOSE(CONTROL!$C$9, $D$9, 100%, $F$9) + CHOOSE(CONTROL!$C$27, 0.0021, 0)</f>
        <v>22.679199999999998</v>
      </c>
      <c r="I18" s="10">
        <f>22.6771 * CHOOSE(CONTROL!$C$9, $D$9, 100%, $F$9) + CHOOSE(CONTROL!$C$27, 0.0021, 0)</f>
        <v>22.679199999999998</v>
      </c>
      <c r="J18" s="10">
        <f>22.3169 * CHOOSE(CONTROL!$C$9, $D$9, 100%, $F$9) + CHOOSE(CONTROL!$C$27, 0.0021, 0)</f>
        <v>22.318999999999999</v>
      </c>
      <c r="K18" s="10">
        <f>22.6771 * CHOOSE(CONTROL!$C$9, $D$9, 100%, $F$9) + CHOOSE(CONTROL!$C$27, 0.0021, 0)</f>
        <v>22.679199999999998</v>
      </c>
      <c r="L18" s="10"/>
      <c r="M18" s="17"/>
      <c r="N18" s="17"/>
      <c r="O18" s="17"/>
      <c r="P18" s="17"/>
      <c r="Q18" s="17"/>
    </row>
    <row r="19" spans="1:17" ht="15" x14ac:dyDescent="0.2">
      <c r="A19" s="16">
        <v>41852</v>
      </c>
      <c r="B19" s="10">
        <f>23.0654 * CHOOSE(CONTROL!$C$9, $D$9, 100%, $F$9) + CHOOSE(CONTROL!$C$27, 0.0021, 0)</f>
        <v>23.067499999999999</v>
      </c>
      <c r="C19" s="10">
        <f>22.6332 * CHOOSE(CONTROL!$C$9, $D$9, 100%, $F$9) + CHOOSE(CONTROL!$C$27, 0.0021, 0)</f>
        <v>22.635299999999997</v>
      </c>
      <c r="D19" s="10">
        <f>22.6332 * CHOOSE(CONTROL!$C$9, $D$9, 100%, $F$9) + CHOOSE(CONTROL!$C$27, 0.0021, 0)</f>
        <v>22.635299999999997</v>
      </c>
      <c r="E19" s="10">
        <f>22.4965 * CHOOSE(CONTROL!$C$9, $D$9, 100%, $F$9) + CHOOSE(CONTROL!$C$27, 0.0021, 0)</f>
        <v>22.4986</v>
      </c>
      <c r="F19" s="10">
        <f>22.4965 * CHOOSE(CONTROL!$C$9, $D$9, 100%, $F$9) + CHOOSE(CONTROL!$C$27, 0.0021, 0)</f>
        <v>22.4986</v>
      </c>
      <c r="G19" s="10">
        <f>22.7679 * CHOOSE(CONTROL!$C$9, $D$9, 100%, $F$9) + CHOOSE(CONTROL!$C$27, 0.0021, 0)</f>
        <v>22.77</v>
      </c>
      <c r="H19" s="10">
        <f>22.6332 * CHOOSE(CONTROL!$C$9, $D$9, 100%, $F$9) + CHOOSE(CONTROL!$C$27, 0.0021, 0)</f>
        <v>22.635299999999997</v>
      </c>
      <c r="I19" s="10">
        <f>22.6332 * CHOOSE(CONTROL!$C$9, $D$9, 100%, $F$9) + CHOOSE(CONTROL!$C$27, 0.0021, 0)</f>
        <v>22.635299999999997</v>
      </c>
      <c r="J19" s="10">
        <f>22.273 * CHOOSE(CONTROL!$C$9, $D$9, 100%, $F$9) + CHOOSE(CONTROL!$C$27, 0.0021, 0)</f>
        <v>22.275099999999998</v>
      </c>
      <c r="K19" s="10">
        <f>22.6332 * CHOOSE(CONTROL!$C$9, $D$9, 100%, $F$9) + CHOOSE(CONTROL!$C$27, 0.0021, 0)</f>
        <v>22.635299999999997</v>
      </c>
      <c r="L19" s="10"/>
      <c r="M19" s="17"/>
      <c r="N19" s="17"/>
      <c r="O19" s="17"/>
      <c r="P19" s="17"/>
      <c r="Q19" s="17"/>
    </row>
    <row r="20" spans="1:17" ht="15" x14ac:dyDescent="0.2">
      <c r="A20" s="16">
        <v>41883</v>
      </c>
      <c r="B20" s="10">
        <f>23.0409 * CHOOSE(CONTROL!$C$9, $D$9, 100%, $F$9) + CHOOSE(CONTROL!$C$27, 0.0021, 0)</f>
        <v>23.042999999999999</v>
      </c>
      <c r="C20" s="10">
        <f>22.6087 * CHOOSE(CONTROL!$C$9, $D$9, 100%, $F$9) + CHOOSE(CONTROL!$C$27, 0.0021, 0)</f>
        <v>22.610799999999998</v>
      </c>
      <c r="D20" s="10">
        <f>22.6087 * CHOOSE(CONTROL!$C$9, $D$9, 100%, $F$9) + CHOOSE(CONTROL!$C$27, 0.0021, 0)</f>
        <v>22.610799999999998</v>
      </c>
      <c r="E20" s="10">
        <f>22.472 * CHOOSE(CONTROL!$C$9, $D$9, 100%, $F$9) + CHOOSE(CONTROL!$C$27, 0.0021, 0)</f>
        <v>22.4741</v>
      </c>
      <c r="F20" s="10">
        <f>22.472 * CHOOSE(CONTROL!$C$9, $D$9, 100%, $F$9) + CHOOSE(CONTROL!$C$27, 0.0021, 0)</f>
        <v>22.4741</v>
      </c>
      <c r="G20" s="10">
        <f>22.7434 * CHOOSE(CONTROL!$C$9, $D$9, 100%, $F$9) + CHOOSE(CONTROL!$C$27, 0.0021, 0)</f>
        <v>22.7455</v>
      </c>
      <c r="H20" s="10">
        <f>22.6087 * CHOOSE(CONTROL!$C$9, $D$9, 100%, $F$9) + CHOOSE(CONTROL!$C$27, 0.0021, 0)</f>
        <v>22.610799999999998</v>
      </c>
      <c r="I20" s="10">
        <f>22.6087 * CHOOSE(CONTROL!$C$9, $D$9, 100%, $F$9) + CHOOSE(CONTROL!$C$27, 0.0021, 0)</f>
        <v>22.610799999999998</v>
      </c>
      <c r="J20" s="10">
        <f>22.2485 * CHOOSE(CONTROL!$C$9, $D$9, 100%, $F$9) + CHOOSE(CONTROL!$C$27, 0.0021, 0)</f>
        <v>22.250599999999999</v>
      </c>
      <c r="K20" s="10">
        <f>22.6087 * CHOOSE(CONTROL!$C$9, $D$9, 100%, $F$9) + CHOOSE(CONTROL!$C$27, 0.0021, 0)</f>
        <v>22.610799999999998</v>
      </c>
      <c r="L20" s="10"/>
      <c r="M20" s="17"/>
      <c r="N20" s="17"/>
      <c r="O20" s="17"/>
      <c r="P20" s="17"/>
      <c r="Q20" s="17"/>
    </row>
    <row r="21" spans="1:17" ht="15" x14ac:dyDescent="0.2">
      <c r="A21" s="16">
        <v>41913</v>
      </c>
      <c r="B21" s="10">
        <f>23.0179 * CHOOSE(CONTROL!$C$9, $D$9, 100%, $F$9) + CHOOSE(CONTROL!$C$27, 0.0021, 0)</f>
        <v>23.02</v>
      </c>
      <c r="C21" s="10">
        <f>22.5856 * CHOOSE(CONTROL!$C$9, $D$9, 100%, $F$9) + CHOOSE(CONTROL!$C$27, 0.0021, 0)</f>
        <v>22.587699999999998</v>
      </c>
      <c r="D21" s="10">
        <f>22.5856 * CHOOSE(CONTROL!$C$9, $D$9, 100%, $F$9) + CHOOSE(CONTROL!$C$27, 0.0021, 0)</f>
        <v>22.587699999999998</v>
      </c>
      <c r="E21" s="10">
        <f>22.449 * CHOOSE(CONTROL!$C$9, $D$9, 100%, $F$9) + CHOOSE(CONTROL!$C$27, 0.0021, 0)</f>
        <v>22.4511</v>
      </c>
      <c r="F21" s="10">
        <f>22.449 * CHOOSE(CONTROL!$C$9, $D$9, 100%, $F$9) + CHOOSE(CONTROL!$C$27, 0.0021, 0)</f>
        <v>22.4511</v>
      </c>
      <c r="G21" s="10">
        <f>22.7203 * CHOOSE(CONTROL!$C$9, $D$9, 100%, $F$9) + CHOOSE(CONTROL!$C$27, 0.0021, 0)</f>
        <v>22.7224</v>
      </c>
      <c r="H21" s="10">
        <f>22.5856 * CHOOSE(CONTROL!$C$9, $D$9, 100%, $F$9) + CHOOSE(CONTROL!$C$27, 0.0021, 0)</f>
        <v>22.587699999999998</v>
      </c>
      <c r="I21" s="10">
        <f>22.5856 * CHOOSE(CONTROL!$C$9, $D$9, 100%, $F$9) + CHOOSE(CONTROL!$C$27, 0.0021, 0)</f>
        <v>22.587699999999998</v>
      </c>
      <c r="J21" s="10">
        <f>22.2254 * CHOOSE(CONTROL!$C$9, $D$9, 100%, $F$9) + CHOOSE(CONTROL!$C$27, 0.0021, 0)</f>
        <v>22.227499999999999</v>
      </c>
      <c r="K21" s="10">
        <f>22.5856 * CHOOSE(CONTROL!$C$9, $D$9, 100%, $F$9) + CHOOSE(CONTROL!$C$27, 0.0021, 0)</f>
        <v>22.587699999999998</v>
      </c>
      <c r="L21" s="10"/>
      <c r="M21" s="17"/>
      <c r="N21" s="17"/>
      <c r="O21" s="17"/>
      <c r="P21" s="17"/>
      <c r="Q21" s="17"/>
    </row>
    <row r="22" spans="1:17" ht="15" x14ac:dyDescent="0.2">
      <c r="A22" s="16">
        <v>41944</v>
      </c>
      <c r="B22" s="10">
        <f>22.9941 * CHOOSE(CONTROL!$C$9, $D$9, 100%, $F$9) + CHOOSE(CONTROL!$C$27, 0.0021, 0)</f>
        <v>22.996199999999998</v>
      </c>
      <c r="C22" s="10">
        <f>22.5619 * CHOOSE(CONTROL!$C$9, $D$9, 100%, $F$9) + CHOOSE(CONTROL!$C$27, 0.0021, 0)</f>
        <v>22.564</v>
      </c>
      <c r="D22" s="10">
        <f>22.5619 * CHOOSE(CONTROL!$C$9, $D$9, 100%, $F$9) + CHOOSE(CONTROL!$C$27, 0.0021, 0)</f>
        <v>22.564</v>
      </c>
      <c r="E22" s="10">
        <f>22.4252 * CHOOSE(CONTROL!$C$9, $D$9, 100%, $F$9) + CHOOSE(CONTROL!$C$27, 0.0021, 0)</f>
        <v>22.427299999999999</v>
      </c>
      <c r="F22" s="10">
        <f>22.4252 * CHOOSE(CONTROL!$C$9, $D$9, 100%, $F$9) + CHOOSE(CONTROL!$C$27, 0.0021, 0)</f>
        <v>22.427299999999999</v>
      </c>
      <c r="G22" s="10">
        <f>22.6966 * CHOOSE(CONTROL!$C$9, $D$9, 100%, $F$9) + CHOOSE(CONTROL!$C$27, 0.0021, 0)</f>
        <v>22.698699999999999</v>
      </c>
      <c r="H22" s="10">
        <f>22.5619 * CHOOSE(CONTROL!$C$9, $D$9, 100%, $F$9) + CHOOSE(CONTROL!$C$27, 0.0021, 0)</f>
        <v>22.564</v>
      </c>
      <c r="I22" s="10">
        <f>22.5619 * CHOOSE(CONTROL!$C$9, $D$9, 100%, $F$9) + CHOOSE(CONTROL!$C$27, 0.0021, 0)</f>
        <v>22.564</v>
      </c>
      <c r="J22" s="10">
        <f>22.2016 * CHOOSE(CONTROL!$C$9, $D$9, 100%, $F$9) + CHOOSE(CONTROL!$C$27, 0.0021, 0)</f>
        <v>22.203699999999998</v>
      </c>
      <c r="K22" s="10">
        <f>22.5619 * CHOOSE(CONTROL!$C$9, $D$9, 100%, $F$9) + CHOOSE(CONTROL!$C$27, 0.0021, 0)</f>
        <v>22.564</v>
      </c>
      <c r="L22" s="10"/>
      <c r="M22" s="17"/>
      <c r="N22" s="17"/>
      <c r="O22" s="17"/>
      <c r="P22" s="17"/>
      <c r="Q22" s="17"/>
    </row>
    <row r="23" spans="1:17" ht="15" x14ac:dyDescent="0.2">
      <c r="A23" s="16">
        <v>41974</v>
      </c>
      <c r="B23" s="10">
        <f>22.9667 * CHOOSE(CONTROL!$C$9, $D$9, 100%, $F$9) + CHOOSE(CONTROL!$C$27, 0.0021, 0)</f>
        <v>22.968799999999998</v>
      </c>
      <c r="C23" s="10">
        <f>22.5345 * CHOOSE(CONTROL!$C$9, $D$9, 100%, $F$9) + CHOOSE(CONTROL!$C$27, 0.0021, 0)</f>
        <v>22.5366</v>
      </c>
      <c r="D23" s="10">
        <f>22.5345 * CHOOSE(CONTROL!$C$9, $D$9, 100%, $F$9) + CHOOSE(CONTROL!$C$27, 0.0021, 0)</f>
        <v>22.5366</v>
      </c>
      <c r="E23" s="10">
        <f>22.3978 * CHOOSE(CONTROL!$C$9, $D$9, 100%, $F$9) + CHOOSE(CONTROL!$C$27, 0.0021, 0)</f>
        <v>22.399899999999999</v>
      </c>
      <c r="F23" s="10">
        <f>22.3978 * CHOOSE(CONTROL!$C$9, $D$9, 100%, $F$9) + CHOOSE(CONTROL!$C$27, 0.0021, 0)</f>
        <v>22.399899999999999</v>
      </c>
      <c r="G23" s="10">
        <f>22.6692 * CHOOSE(CONTROL!$C$9, $D$9, 100%, $F$9) + CHOOSE(CONTROL!$C$27, 0.0021, 0)</f>
        <v>22.671299999999999</v>
      </c>
      <c r="H23" s="10">
        <f>22.5345 * CHOOSE(CONTROL!$C$9, $D$9, 100%, $F$9) + CHOOSE(CONTROL!$C$27, 0.0021, 0)</f>
        <v>22.5366</v>
      </c>
      <c r="I23" s="10">
        <f>22.5345 * CHOOSE(CONTROL!$C$9, $D$9, 100%, $F$9) + CHOOSE(CONTROL!$C$27, 0.0021, 0)</f>
        <v>22.5366</v>
      </c>
      <c r="J23" s="10">
        <f>22.1743 * CHOOSE(CONTROL!$C$9, $D$9, 100%, $F$9) + CHOOSE(CONTROL!$C$27, 0.0021, 0)</f>
        <v>22.176399999999997</v>
      </c>
      <c r="K23" s="10">
        <f>22.5345 * CHOOSE(CONTROL!$C$9, $D$9, 100%, $F$9) + CHOOSE(CONTROL!$C$27, 0.0021, 0)</f>
        <v>22.5366</v>
      </c>
      <c r="L23" s="10"/>
      <c r="M23" s="17"/>
      <c r="N23" s="17"/>
      <c r="O23" s="17"/>
      <c r="P23" s="17"/>
      <c r="Q23" s="17"/>
    </row>
    <row r="24" spans="1:17" ht="15" x14ac:dyDescent="0.2">
      <c r="A24" s="16">
        <v>42005</v>
      </c>
      <c r="B24" s="10">
        <f>22.9372 * CHOOSE(CONTROL!$C$9, $D$9, 100%, $F$9) + CHOOSE(CONTROL!$C$27, 0.0021, 0)</f>
        <v>22.939299999999999</v>
      </c>
      <c r="C24" s="10">
        <f>22.5049 * CHOOSE(CONTROL!$C$9, $D$9, 100%, $F$9) + CHOOSE(CONTROL!$C$27, 0.0021, 0)</f>
        <v>22.506999999999998</v>
      </c>
      <c r="D24" s="10">
        <f>22.5049 * CHOOSE(CONTROL!$C$9, $D$9, 100%, $F$9) + CHOOSE(CONTROL!$C$27, 0.0021, 0)</f>
        <v>22.506999999999998</v>
      </c>
      <c r="E24" s="10">
        <f>22.3683 * CHOOSE(CONTROL!$C$9, $D$9, 100%, $F$9) + CHOOSE(CONTROL!$C$27, 0.0021, 0)</f>
        <v>22.3704</v>
      </c>
      <c r="F24" s="10">
        <f>22.3683 * CHOOSE(CONTROL!$C$9, $D$9, 100%, $F$9) + CHOOSE(CONTROL!$C$27, 0.0021, 0)</f>
        <v>22.3704</v>
      </c>
      <c r="G24" s="10">
        <f>22.6397 * CHOOSE(CONTROL!$C$9, $D$9, 100%, $F$9) + CHOOSE(CONTROL!$C$27, 0.0021, 0)</f>
        <v>22.6418</v>
      </c>
      <c r="H24" s="10">
        <f>22.5049 * CHOOSE(CONTROL!$C$9, $D$9, 100%, $F$9) + CHOOSE(CONTROL!$C$27, 0.0021, 0)</f>
        <v>22.506999999999998</v>
      </c>
      <c r="I24" s="10">
        <f>22.5049 * CHOOSE(CONTROL!$C$9, $D$9, 100%, $F$9) + CHOOSE(CONTROL!$C$27, 0.0021, 0)</f>
        <v>22.506999999999998</v>
      </c>
      <c r="J24" s="10">
        <f>22.5049 * CHOOSE(CONTROL!$C$9, $D$9, 100%, $F$9) + CHOOSE(CONTROL!$C$27, 0.0021, 0)</f>
        <v>22.506999999999998</v>
      </c>
      <c r="K24" s="10">
        <f>22.5049 * CHOOSE(CONTROL!$C$9, $D$9, 100%, $F$9) + CHOOSE(CONTROL!$C$27, 0.0021, 0)</f>
        <v>22.506999999999998</v>
      </c>
      <c r="L24" s="10"/>
      <c r="M24" s="17"/>
      <c r="N24" s="17"/>
      <c r="O24" s="17"/>
      <c r="P24" s="17"/>
      <c r="Q24" s="17"/>
    </row>
    <row r="25" spans="1:17" ht="15" x14ac:dyDescent="0.2">
      <c r="A25" s="16">
        <v>42036</v>
      </c>
      <c r="B25" s="10">
        <f>22.8608 * CHOOSE(CONTROL!$C$9, $D$9, 100%, $F$9) + CHOOSE(CONTROL!$C$27, 0.0021, 0)</f>
        <v>22.8629</v>
      </c>
      <c r="C25" s="10">
        <f>22.4286 * CHOOSE(CONTROL!$C$9, $D$9, 100%, $F$9) + CHOOSE(CONTROL!$C$27, 0.0021, 0)</f>
        <v>22.430699999999998</v>
      </c>
      <c r="D25" s="10">
        <f>22.4286 * CHOOSE(CONTROL!$C$9, $D$9, 100%, $F$9) + CHOOSE(CONTROL!$C$27, 0.0021, 0)</f>
        <v>22.430699999999998</v>
      </c>
      <c r="E25" s="10">
        <f>22.2919 * CHOOSE(CONTROL!$C$9, $D$9, 100%, $F$9) + CHOOSE(CONTROL!$C$27, 0.0021, 0)</f>
        <v>22.293999999999997</v>
      </c>
      <c r="F25" s="10">
        <f>22.2919 * CHOOSE(CONTROL!$C$9, $D$9, 100%, $F$9) + CHOOSE(CONTROL!$C$27, 0.0021, 0)</f>
        <v>22.293999999999997</v>
      </c>
      <c r="G25" s="10">
        <f>22.5633 * CHOOSE(CONTROL!$C$9, $D$9, 100%, $F$9) + CHOOSE(CONTROL!$C$27, 0.0021, 0)</f>
        <v>22.5654</v>
      </c>
      <c r="H25" s="10">
        <f>22.4286 * CHOOSE(CONTROL!$C$9, $D$9, 100%, $F$9) + CHOOSE(CONTROL!$C$27, 0.0021, 0)</f>
        <v>22.430699999999998</v>
      </c>
      <c r="I25" s="10">
        <f>22.4286 * CHOOSE(CONTROL!$C$9, $D$9, 100%, $F$9) + CHOOSE(CONTROL!$C$27, 0.0021, 0)</f>
        <v>22.430699999999998</v>
      </c>
      <c r="J25" s="10">
        <f>22.4286 * CHOOSE(CONTROL!$C$9, $D$9, 100%, $F$9) + CHOOSE(CONTROL!$C$27, 0.0021, 0)</f>
        <v>22.430699999999998</v>
      </c>
      <c r="K25" s="10">
        <f>22.4286 * CHOOSE(CONTROL!$C$9, $D$9, 100%, $F$9) + CHOOSE(CONTROL!$C$27, 0.0021, 0)</f>
        <v>22.430699999999998</v>
      </c>
      <c r="L25" s="10"/>
      <c r="M25" s="17"/>
      <c r="N25" s="17"/>
      <c r="O25" s="17"/>
      <c r="P25" s="17"/>
      <c r="Q25" s="17"/>
    </row>
    <row r="26" spans="1:17" ht="15" x14ac:dyDescent="0.2">
      <c r="A26" s="16">
        <v>42064</v>
      </c>
      <c r="B26" s="10">
        <f>22.7239 * CHOOSE(CONTROL!$C$9, $D$9, 100%, $F$9) + CHOOSE(CONTROL!$C$27, 0.0021, 0)</f>
        <v>22.725999999999999</v>
      </c>
      <c r="C26" s="10">
        <f>22.2917 * CHOOSE(CONTROL!$C$9, $D$9, 100%, $F$9) + CHOOSE(CONTROL!$C$27, 0.0021, 0)</f>
        <v>22.293799999999997</v>
      </c>
      <c r="D26" s="10">
        <f>22.2917 * CHOOSE(CONTROL!$C$9, $D$9, 100%, $F$9) + CHOOSE(CONTROL!$C$27, 0.0021, 0)</f>
        <v>22.293799999999997</v>
      </c>
      <c r="E26" s="10">
        <f>22.155 * CHOOSE(CONTROL!$C$9, $D$9, 100%, $F$9) + CHOOSE(CONTROL!$C$27, 0.0021, 0)</f>
        <v>22.1571</v>
      </c>
      <c r="F26" s="10">
        <f>22.155 * CHOOSE(CONTROL!$C$9, $D$9, 100%, $F$9) + CHOOSE(CONTROL!$C$27, 0.0021, 0)</f>
        <v>22.1571</v>
      </c>
      <c r="G26" s="10">
        <f>22.4264 * CHOOSE(CONTROL!$C$9, $D$9, 100%, $F$9) + CHOOSE(CONTROL!$C$27, 0.0021, 0)</f>
        <v>22.4285</v>
      </c>
      <c r="H26" s="10">
        <f>22.2917 * CHOOSE(CONTROL!$C$9, $D$9, 100%, $F$9) + CHOOSE(CONTROL!$C$27, 0.0021, 0)</f>
        <v>22.293799999999997</v>
      </c>
      <c r="I26" s="10">
        <f>22.2917 * CHOOSE(CONTROL!$C$9, $D$9, 100%, $F$9) + CHOOSE(CONTROL!$C$27, 0.0021, 0)</f>
        <v>22.293799999999997</v>
      </c>
      <c r="J26" s="10">
        <f>22.2917 * CHOOSE(CONTROL!$C$9, $D$9, 100%, $F$9) + CHOOSE(CONTROL!$C$27, 0.0021, 0)</f>
        <v>22.293799999999997</v>
      </c>
      <c r="K26" s="10">
        <f>22.2917 * CHOOSE(CONTROL!$C$9, $D$9, 100%, $F$9) + CHOOSE(CONTROL!$C$27, 0.0021, 0)</f>
        <v>22.293799999999997</v>
      </c>
      <c r="L26" s="10"/>
      <c r="M26" s="17"/>
      <c r="N26" s="17"/>
      <c r="O26" s="17"/>
      <c r="P26" s="17"/>
      <c r="Q26" s="17"/>
    </row>
    <row r="27" spans="1:17" ht="15" x14ac:dyDescent="0.2">
      <c r="A27" s="16">
        <v>42095</v>
      </c>
      <c r="B27" s="10">
        <f>22.5849 * CHOOSE(CONTROL!$C$9, $D$9, 100%, $F$9) + CHOOSE(CONTROL!$C$27, 0.0021, 0)</f>
        <v>22.587</v>
      </c>
      <c r="C27" s="10">
        <f>22.1527 * CHOOSE(CONTROL!$C$9, $D$9, 100%, $F$9) + CHOOSE(CONTROL!$C$27, 0.0021, 0)</f>
        <v>22.154799999999998</v>
      </c>
      <c r="D27" s="10">
        <f>22.1527 * CHOOSE(CONTROL!$C$9, $D$9, 100%, $F$9) + CHOOSE(CONTROL!$C$27, 0.0021, 0)</f>
        <v>22.154799999999998</v>
      </c>
      <c r="E27" s="10">
        <f>22.016 * CHOOSE(CONTROL!$C$9, $D$9, 100%, $F$9) + CHOOSE(CONTROL!$C$27, 0.0021, 0)</f>
        <v>22.018099999999997</v>
      </c>
      <c r="F27" s="10">
        <f>22.016 * CHOOSE(CONTROL!$C$9, $D$9, 100%, $F$9) + CHOOSE(CONTROL!$C$27, 0.0021, 0)</f>
        <v>22.018099999999997</v>
      </c>
      <c r="G27" s="10">
        <f>22.2874 * CHOOSE(CONTROL!$C$9, $D$9, 100%, $F$9) + CHOOSE(CONTROL!$C$27, 0.0021, 0)</f>
        <v>22.2895</v>
      </c>
      <c r="H27" s="10">
        <f>22.1527 * CHOOSE(CONTROL!$C$9, $D$9, 100%, $F$9) + CHOOSE(CONTROL!$C$27, 0.0021, 0)</f>
        <v>22.154799999999998</v>
      </c>
      <c r="I27" s="10">
        <f>22.1527 * CHOOSE(CONTROL!$C$9, $D$9, 100%, $F$9) + CHOOSE(CONTROL!$C$27, 0.0021, 0)</f>
        <v>22.154799999999998</v>
      </c>
      <c r="J27" s="10">
        <f>22.1527 * CHOOSE(CONTROL!$C$9, $D$9, 100%, $F$9) + CHOOSE(CONTROL!$C$27, 0.0021, 0)</f>
        <v>22.154799999999998</v>
      </c>
      <c r="K27" s="10">
        <f>22.1527 * CHOOSE(CONTROL!$C$9, $D$9, 100%, $F$9) + CHOOSE(CONTROL!$C$27, 0.0021, 0)</f>
        <v>22.154799999999998</v>
      </c>
      <c r="L27" s="10"/>
      <c r="M27" s="17"/>
      <c r="N27" s="17"/>
      <c r="O27" s="17"/>
      <c r="P27" s="17"/>
      <c r="Q27" s="17"/>
    </row>
    <row r="28" spans="1:17" ht="15" x14ac:dyDescent="0.2">
      <c r="A28" s="16">
        <v>42125</v>
      </c>
      <c r="B28" s="10">
        <f>22.448 * CHOOSE(CONTROL!$C$9, $D$9, 100%, $F$9) + CHOOSE(CONTROL!$C$27, 0.0021, 0)</f>
        <v>22.450099999999999</v>
      </c>
      <c r="C28" s="10">
        <f>22.0158 * CHOOSE(CONTROL!$C$9, $D$9, 100%, $F$9) + CHOOSE(CONTROL!$C$27, 0.0021, 0)</f>
        <v>22.017899999999997</v>
      </c>
      <c r="D28" s="10">
        <f>22.0158 * CHOOSE(CONTROL!$C$9, $D$9, 100%, $F$9) + CHOOSE(CONTROL!$C$27, 0.0021, 0)</f>
        <v>22.017899999999997</v>
      </c>
      <c r="E28" s="10">
        <f>21.8791 * CHOOSE(CONTROL!$C$9, $D$9, 100%, $F$9) + CHOOSE(CONTROL!$C$27, 0.0021, 0)</f>
        <v>21.8812</v>
      </c>
      <c r="F28" s="10">
        <f>21.8791 * CHOOSE(CONTROL!$C$9, $D$9, 100%, $F$9) + CHOOSE(CONTROL!$C$27, 0.0021, 0)</f>
        <v>21.8812</v>
      </c>
      <c r="G28" s="10">
        <f>22.1505 * CHOOSE(CONTROL!$C$9, $D$9, 100%, $F$9) + CHOOSE(CONTROL!$C$27, 0.0021, 0)</f>
        <v>22.1526</v>
      </c>
      <c r="H28" s="10">
        <f>22.0158 * CHOOSE(CONTROL!$C$9, $D$9, 100%, $F$9) + CHOOSE(CONTROL!$C$27, 0.0021, 0)</f>
        <v>22.017899999999997</v>
      </c>
      <c r="I28" s="10">
        <f>22.0158 * CHOOSE(CONTROL!$C$9, $D$9, 100%, $F$9) + CHOOSE(CONTROL!$C$27, 0.0021, 0)</f>
        <v>22.017899999999997</v>
      </c>
      <c r="J28" s="10">
        <f>22.0158 * CHOOSE(CONTROL!$C$9, $D$9, 100%, $F$9) + CHOOSE(CONTROL!$C$27, 0.0021, 0)</f>
        <v>22.017899999999997</v>
      </c>
      <c r="K28" s="10">
        <f>22.0158 * CHOOSE(CONTROL!$C$9, $D$9, 100%, $F$9) + CHOOSE(CONTROL!$C$27, 0.0021, 0)</f>
        <v>22.017899999999997</v>
      </c>
      <c r="L28" s="10"/>
      <c r="M28" s="17"/>
      <c r="N28" s="17"/>
      <c r="O28" s="17"/>
      <c r="P28" s="17"/>
      <c r="Q28" s="17"/>
    </row>
    <row r="29" spans="1:17" ht="15" x14ac:dyDescent="0.2">
      <c r="A29" s="16">
        <v>42156</v>
      </c>
      <c r="B29" s="10">
        <f>22.3364 * CHOOSE(CONTROL!$C$9, $D$9, 100%, $F$9) + CHOOSE(CONTROL!$C$27, 0.0021, 0)</f>
        <v>22.3385</v>
      </c>
      <c r="C29" s="10">
        <f>21.9041 * CHOOSE(CONTROL!$C$9, $D$9, 100%, $F$9) + CHOOSE(CONTROL!$C$27, 0.0021, 0)</f>
        <v>21.906199999999998</v>
      </c>
      <c r="D29" s="10">
        <f>21.9041 * CHOOSE(CONTROL!$C$9, $D$9, 100%, $F$9) + CHOOSE(CONTROL!$C$27, 0.0021, 0)</f>
        <v>21.906199999999998</v>
      </c>
      <c r="E29" s="10">
        <f>21.7675 * CHOOSE(CONTROL!$C$9, $D$9, 100%, $F$9) + CHOOSE(CONTROL!$C$27, 0.0021, 0)</f>
        <v>21.769599999999997</v>
      </c>
      <c r="F29" s="10">
        <f>21.7675 * CHOOSE(CONTROL!$C$9, $D$9, 100%, $F$9) + CHOOSE(CONTROL!$C$27, 0.0021, 0)</f>
        <v>21.769599999999997</v>
      </c>
      <c r="G29" s="10">
        <f>22.0388 * CHOOSE(CONTROL!$C$9, $D$9, 100%, $F$9) + CHOOSE(CONTROL!$C$27, 0.0021, 0)</f>
        <v>22.040899999999997</v>
      </c>
      <c r="H29" s="10">
        <f>21.9041 * CHOOSE(CONTROL!$C$9, $D$9, 100%, $F$9) + CHOOSE(CONTROL!$C$27, 0.0021, 0)</f>
        <v>21.906199999999998</v>
      </c>
      <c r="I29" s="10">
        <f>21.9041 * CHOOSE(CONTROL!$C$9, $D$9, 100%, $F$9) + CHOOSE(CONTROL!$C$27, 0.0021, 0)</f>
        <v>21.906199999999998</v>
      </c>
      <c r="J29" s="10">
        <f>21.9041 * CHOOSE(CONTROL!$C$9, $D$9, 100%, $F$9) + CHOOSE(CONTROL!$C$27, 0.0021, 0)</f>
        <v>21.906199999999998</v>
      </c>
      <c r="K29" s="10">
        <f>21.9041 * CHOOSE(CONTROL!$C$9, $D$9, 100%, $F$9) + CHOOSE(CONTROL!$C$27, 0.0021, 0)</f>
        <v>21.906199999999998</v>
      </c>
      <c r="L29" s="10"/>
      <c r="M29" s="17"/>
      <c r="N29" s="17"/>
      <c r="O29" s="17"/>
      <c r="P29" s="17"/>
      <c r="Q29" s="17"/>
    </row>
    <row r="30" spans="1:17" ht="15" x14ac:dyDescent="0.2">
      <c r="A30" s="16">
        <v>42186</v>
      </c>
      <c r="B30" s="10">
        <f>22.3003 * CHOOSE(CONTROL!$C$9, $D$9, 100%, $F$9) + CHOOSE(CONTROL!$C$27, 0.0021, 0)</f>
        <v>22.302399999999999</v>
      </c>
      <c r="C30" s="10">
        <f>21.8681 * CHOOSE(CONTROL!$C$9, $D$9, 100%, $F$9) + CHOOSE(CONTROL!$C$27, 0.0021, 0)</f>
        <v>21.870199999999997</v>
      </c>
      <c r="D30" s="10">
        <f>21.8681 * CHOOSE(CONTROL!$C$9, $D$9, 100%, $F$9) + CHOOSE(CONTROL!$C$27, 0.0021, 0)</f>
        <v>21.870199999999997</v>
      </c>
      <c r="E30" s="10">
        <f>21.7314 * CHOOSE(CONTROL!$C$9, $D$9, 100%, $F$9) + CHOOSE(CONTROL!$C$27, 0.0021, 0)</f>
        <v>21.733499999999999</v>
      </c>
      <c r="F30" s="10">
        <f>21.7314 * CHOOSE(CONTROL!$C$9, $D$9, 100%, $F$9) + CHOOSE(CONTROL!$C$27, 0.0021, 0)</f>
        <v>21.733499999999999</v>
      </c>
      <c r="G30" s="10">
        <f>22.0028 * CHOOSE(CONTROL!$C$9, $D$9, 100%, $F$9) + CHOOSE(CONTROL!$C$27, 0.0021, 0)</f>
        <v>22.004899999999999</v>
      </c>
      <c r="H30" s="10">
        <f>21.8681 * CHOOSE(CONTROL!$C$9, $D$9, 100%, $F$9) + CHOOSE(CONTROL!$C$27, 0.0021, 0)</f>
        <v>21.870199999999997</v>
      </c>
      <c r="I30" s="10">
        <f>21.8681 * CHOOSE(CONTROL!$C$9, $D$9, 100%, $F$9) + CHOOSE(CONTROL!$C$27, 0.0021, 0)</f>
        <v>21.870199999999997</v>
      </c>
      <c r="J30" s="10">
        <f>21.8681 * CHOOSE(CONTROL!$C$9, $D$9, 100%, $F$9) + CHOOSE(CONTROL!$C$27, 0.0021, 0)</f>
        <v>21.870199999999997</v>
      </c>
      <c r="K30" s="10">
        <f>21.8681 * CHOOSE(CONTROL!$C$9, $D$9, 100%, $F$9) + CHOOSE(CONTROL!$C$27, 0.0021, 0)</f>
        <v>21.870199999999997</v>
      </c>
      <c r="L30" s="10"/>
      <c r="M30" s="17"/>
      <c r="N30" s="17"/>
      <c r="O30" s="17"/>
      <c r="P30" s="17"/>
      <c r="Q30" s="17"/>
    </row>
    <row r="31" spans="1:17" ht="15" x14ac:dyDescent="0.2">
      <c r="A31" s="16">
        <v>42217</v>
      </c>
      <c r="B31" s="10">
        <f>22.2679 * CHOOSE(CONTROL!$C$9, $D$9, 100%, $F$9) + CHOOSE(CONTROL!$C$27, 0.0021, 0)</f>
        <v>22.27</v>
      </c>
      <c r="C31" s="10">
        <f>21.8357 * CHOOSE(CONTROL!$C$9, $D$9, 100%, $F$9) + CHOOSE(CONTROL!$C$27, 0.0021, 0)</f>
        <v>21.837799999999998</v>
      </c>
      <c r="D31" s="10">
        <f>21.8357 * CHOOSE(CONTROL!$C$9, $D$9, 100%, $F$9) + CHOOSE(CONTROL!$C$27, 0.0021, 0)</f>
        <v>21.837799999999998</v>
      </c>
      <c r="E31" s="10">
        <f>21.699 * CHOOSE(CONTROL!$C$9, $D$9, 100%, $F$9) + CHOOSE(CONTROL!$C$27, 0.0021, 0)</f>
        <v>21.7011</v>
      </c>
      <c r="F31" s="10">
        <f>21.699 * CHOOSE(CONTROL!$C$9, $D$9, 100%, $F$9) + CHOOSE(CONTROL!$C$27, 0.0021, 0)</f>
        <v>21.7011</v>
      </c>
      <c r="G31" s="10">
        <f>21.9704 * CHOOSE(CONTROL!$C$9, $D$9, 100%, $F$9) + CHOOSE(CONTROL!$C$27, 0.0021, 0)</f>
        <v>21.9725</v>
      </c>
      <c r="H31" s="10">
        <f>21.8357 * CHOOSE(CONTROL!$C$9, $D$9, 100%, $F$9) + CHOOSE(CONTROL!$C$27, 0.0021, 0)</f>
        <v>21.837799999999998</v>
      </c>
      <c r="I31" s="10">
        <f>21.8357 * CHOOSE(CONTROL!$C$9, $D$9, 100%, $F$9) + CHOOSE(CONTROL!$C$27, 0.0021, 0)</f>
        <v>21.837799999999998</v>
      </c>
      <c r="J31" s="10">
        <f>21.8357 * CHOOSE(CONTROL!$C$9, $D$9, 100%, $F$9) + CHOOSE(CONTROL!$C$27, 0.0021, 0)</f>
        <v>21.837799999999998</v>
      </c>
      <c r="K31" s="10">
        <f>21.8357 * CHOOSE(CONTROL!$C$9, $D$9, 100%, $F$9) + CHOOSE(CONTROL!$C$27, 0.0021, 0)</f>
        <v>21.837799999999998</v>
      </c>
      <c r="L31" s="10"/>
      <c r="M31" s="17"/>
      <c r="N31" s="17"/>
      <c r="O31" s="17"/>
      <c r="P31" s="17"/>
      <c r="Q31" s="17"/>
    </row>
    <row r="32" spans="1:17" ht="15" x14ac:dyDescent="0.2">
      <c r="A32" s="16">
        <v>42248</v>
      </c>
      <c r="B32" s="10">
        <f>22.2355 * CHOOSE(CONTROL!$C$9, $D$9, 100%, $F$9) + CHOOSE(CONTROL!$C$27, 0.0021, 0)</f>
        <v>22.237599999999997</v>
      </c>
      <c r="C32" s="10">
        <f>21.8033 * CHOOSE(CONTROL!$C$9, $D$9, 100%, $F$9) + CHOOSE(CONTROL!$C$27, 0.0021, 0)</f>
        <v>21.805399999999999</v>
      </c>
      <c r="D32" s="10">
        <f>21.8033 * CHOOSE(CONTROL!$C$9, $D$9, 100%, $F$9) + CHOOSE(CONTROL!$C$27, 0.0021, 0)</f>
        <v>21.805399999999999</v>
      </c>
      <c r="E32" s="10">
        <f>21.6666 * CHOOSE(CONTROL!$C$9, $D$9, 100%, $F$9) + CHOOSE(CONTROL!$C$27, 0.0021, 0)</f>
        <v>21.668699999999998</v>
      </c>
      <c r="F32" s="10">
        <f>21.6666 * CHOOSE(CONTROL!$C$9, $D$9, 100%, $F$9) + CHOOSE(CONTROL!$C$27, 0.0021, 0)</f>
        <v>21.668699999999998</v>
      </c>
      <c r="G32" s="10">
        <f>21.938 * CHOOSE(CONTROL!$C$9, $D$9, 100%, $F$9) + CHOOSE(CONTROL!$C$27, 0.0021, 0)</f>
        <v>21.940099999999997</v>
      </c>
      <c r="H32" s="10">
        <f>21.8033 * CHOOSE(CONTROL!$C$9, $D$9, 100%, $F$9) + CHOOSE(CONTROL!$C$27, 0.0021, 0)</f>
        <v>21.805399999999999</v>
      </c>
      <c r="I32" s="10">
        <f>21.8033 * CHOOSE(CONTROL!$C$9, $D$9, 100%, $F$9) + CHOOSE(CONTROL!$C$27, 0.0021, 0)</f>
        <v>21.805399999999999</v>
      </c>
      <c r="J32" s="10">
        <f>21.8033 * CHOOSE(CONTROL!$C$9, $D$9, 100%, $F$9) + CHOOSE(CONTROL!$C$27, 0.0021, 0)</f>
        <v>21.805399999999999</v>
      </c>
      <c r="K32" s="10">
        <f>21.8033 * CHOOSE(CONTROL!$C$9, $D$9, 100%, $F$9) + CHOOSE(CONTROL!$C$27, 0.0021, 0)</f>
        <v>21.805399999999999</v>
      </c>
      <c r="L32" s="10"/>
      <c r="M32" s="17"/>
      <c r="N32" s="17"/>
      <c r="O32" s="17"/>
      <c r="P32" s="17"/>
      <c r="Q32" s="17"/>
    </row>
    <row r="33" spans="1:17" ht="15" x14ac:dyDescent="0.2">
      <c r="A33" s="16">
        <v>42278</v>
      </c>
      <c r="B33" s="10">
        <f>22.1959 * CHOOSE(CONTROL!$C$9, $D$9, 100%, $F$9) + CHOOSE(CONTROL!$C$27, 0.0021, 0)</f>
        <v>22.198</v>
      </c>
      <c r="C33" s="10">
        <f>21.7636 * CHOOSE(CONTROL!$C$9, $D$9, 100%, $F$9) + CHOOSE(CONTROL!$C$27, 0.0021, 0)</f>
        <v>21.765699999999999</v>
      </c>
      <c r="D33" s="10">
        <f>21.7636 * CHOOSE(CONTROL!$C$9, $D$9, 100%, $F$9) + CHOOSE(CONTROL!$C$27, 0.0021, 0)</f>
        <v>21.765699999999999</v>
      </c>
      <c r="E33" s="10">
        <f>21.627 * CHOOSE(CONTROL!$C$9, $D$9, 100%, $F$9) + CHOOSE(CONTROL!$C$27, 0.0021, 0)</f>
        <v>21.629099999999998</v>
      </c>
      <c r="F33" s="10">
        <f>21.627 * CHOOSE(CONTROL!$C$9, $D$9, 100%, $F$9) + CHOOSE(CONTROL!$C$27, 0.0021, 0)</f>
        <v>21.629099999999998</v>
      </c>
      <c r="G33" s="10">
        <f>21.8984 * CHOOSE(CONTROL!$C$9, $D$9, 100%, $F$9) + CHOOSE(CONTROL!$C$27, 0.0021, 0)</f>
        <v>21.900499999999997</v>
      </c>
      <c r="H33" s="10">
        <f>21.7636 * CHOOSE(CONTROL!$C$9, $D$9, 100%, $F$9) + CHOOSE(CONTROL!$C$27, 0.0021, 0)</f>
        <v>21.765699999999999</v>
      </c>
      <c r="I33" s="10">
        <f>21.7636 * CHOOSE(CONTROL!$C$9, $D$9, 100%, $F$9) + CHOOSE(CONTROL!$C$27, 0.0021, 0)</f>
        <v>21.765699999999999</v>
      </c>
      <c r="J33" s="10">
        <f>21.7636 * CHOOSE(CONTROL!$C$9, $D$9, 100%, $F$9) + CHOOSE(CONTROL!$C$27, 0.0021, 0)</f>
        <v>21.765699999999999</v>
      </c>
      <c r="K33" s="10">
        <f>21.7636 * CHOOSE(CONTROL!$C$9, $D$9, 100%, $F$9) + CHOOSE(CONTROL!$C$27, 0.0021, 0)</f>
        <v>21.765699999999999</v>
      </c>
      <c r="L33" s="10"/>
      <c r="M33" s="17"/>
      <c r="N33" s="17"/>
      <c r="O33" s="17"/>
      <c r="P33" s="17"/>
      <c r="Q33" s="17"/>
    </row>
    <row r="34" spans="1:17" ht="15" x14ac:dyDescent="0.2">
      <c r="A34" s="16">
        <v>42309</v>
      </c>
      <c r="B34" s="10">
        <f>22.1455 * CHOOSE(CONTROL!$C$9, $D$9, 100%, $F$9) + CHOOSE(CONTROL!$C$27, 0.0021, 0)</f>
        <v>22.147599999999997</v>
      </c>
      <c r="C34" s="10">
        <f>21.7132 * CHOOSE(CONTROL!$C$9, $D$9, 100%, $F$9) + CHOOSE(CONTROL!$C$27, 0.0021, 0)</f>
        <v>21.715299999999999</v>
      </c>
      <c r="D34" s="10">
        <f>21.7132 * CHOOSE(CONTROL!$C$9, $D$9, 100%, $F$9) + CHOOSE(CONTROL!$C$27, 0.0021, 0)</f>
        <v>21.715299999999999</v>
      </c>
      <c r="E34" s="10">
        <f>21.5765 * CHOOSE(CONTROL!$C$9, $D$9, 100%, $F$9) + CHOOSE(CONTROL!$C$27, 0.0021, 0)</f>
        <v>21.578599999999998</v>
      </c>
      <c r="F34" s="10">
        <f>21.5765 * CHOOSE(CONTROL!$C$9, $D$9, 100%, $F$9) + CHOOSE(CONTROL!$C$27, 0.0021, 0)</f>
        <v>21.578599999999998</v>
      </c>
      <c r="G34" s="10">
        <f>21.8479 * CHOOSE(CONTROL!$C$9, $D$9, 100%, $F$9) + CHOOSE(CONTROL!$C$27, 0.0021, 0)</f>
        <v>21.849999999999998</v>
      </c>
      <c r="H34" s="10">
        <f>21.7132 * CHOOSE(CONTROL!$C$9, $D$9, 100%, $F$9) + CHOOSE(CONTROL!$C$27, 0.0021, 0)</f>
        <v>21.715299999999999</v>
      </c>
      <c r="I34" s="10">
        <f>21.7132 * CHOOSE(CONTROL!$C$9, $D$9, 100%, $F$9) + CHOOSE(CONTROL!$C$27, 0.0021, 0)</f>
        <v>21.715299999999999</v>
      </c>
      <c r="J34" s="10">
        <f>21.7132 * CHOOSE(CONTROL!$C$9, $D$9, 100%, $F$9) + CHOOSE(CONTROL!$C$27, 0.0021, 0)</f>
        <v>21.715299999999999</v>
      </c>
      <c r="K34" s="10">
        <f>21.7132 * CHOOSE(CONTROL!$C$9, $D$9, 100%, $F$9) + CHOOSE(CONTROL!$C$27, 0.0021, 0)</f>
        <v>21.715299999999999</v>
      </c>
      <c r="L34" s="10"/>
      <c r="M34" s="17"/>
      <c r="N34" s="17"/>
      <c r="O34" s="17"/>
      <c r="P34" s="17"/>
      <c r="Q34" s="17"/>
    </row>
    <row r="35" spans="1:17" ht="15" x14ac:dyDescent="0.2">
      <c r="A35" s="16">
        <v>42339</v>
      </c>
      <c r="B35" s="10">
        <f>22.0878 * CHOOSE(CONTROL!$C$9, $D$9, 100%, $F$9) + CHOOSE(CONTROL!$C$27, 0.0021, 0)</f>
        <v>22.0899</v>
      </c>
      <c r="C35" s="10">
        <f>21.6556 * CHOOSE(CONTROL!$C$9, $D$9, 100%, $F$9) + CHOOSE(CONTROL!$C$27, 0.0021, 0)</f>
        <v>21.657699999999998</v>
      </c>
      <c r="D35" s="10">
        <f>21.6556 * CHOOSE(CONTROL!$C$9, $D$9, 100%, $F$9) + CHOOSE(CONTROL!$C$27, 0.0021, 0)</f>
        <v>21.657699999999998</v>
      </c>
      <c r="E35" s="10">
        <f>21.5189 * CHOOSE(CONTROL!$C$9, $D$9, 100%, $F$9) + CHOOSE(CONTROL!$C$27, 0.0021, 0)</f>
        <v>21.520999999999997</v>
      </c>
      <c r="F35" s="10">
        <f>21.5189 * CHOOSE(CONTROL!$C$9, $D$9, 100%, $F$9) + CHOOSE(CONTROL!$C$27, 0.0021, 0)</f>
        <v>21.520999999999997</v>
      </c>
      <c r="G35" s="10">
        <f>21.7903 * CHOOSE(CONTROL!$C$9, $D$9, 100%, $F$9) + CHOOSE(CONTROL!$C$27, 0.0021, 0)</f>
        <v>21.792399999999997</v>
      </c>
      <c r="H35" s="10">
        <f>21.6556 * CHOOSE(CONTROL!$C$9, $D$9, 100%, $F$9) + CHOOSE(CONTROL!$C$27, 0.0021, 0)</f>
        <v>21.657699999999998</v>
      </c>
      <c r="I35" s="10">
        <f>21.6556 * CHOOSE(CONTROL!$C$9, $D$9, 100%, $F$9) + CHOOSE(CONTROL!$C$27, 0.0021, 0)</f>
        <v>21.657699999999998</v>
      </c>
      <c r="J35" s="10">
        <f>21.6556 * CHOOSE(CONTROL!$C$9, $D$9, 100%, $F$9) + CHOOSE(CONTROL!$C$27, 0.0021, 0)</f>
        <v>21.657699999999998</v>
      </c>
      <c r="K35" s="10">
        <f>21.6556 * CHOOSE(CONTROL!$C$9, $D$9, 100%, $F$9) + CHOOSE(CONTROL!$C$27, 0.0021, 0)</f>
        <v>21.657699999999998</v>
      </c>
      <c r="L35" s="10"/>
      <c r="M35" s="17"/>
      <c r="N35" s="17"/>
      <c r="O35" s="17"/>
      <c r="P35" s="17"/>
      <c r="Q35" s="17"/>
    </row>
    <row r="36" spans="1:17" ht="15" x14ac:dyDescent="0.2">
      <c r="A36" s="16">
        <v>42370</v>
      </c>
      <c r="B36" s="10">
        <f>22.0518 * CHOOSE(CONTROL!$C$9, $D$9, 100%, $F$9) + CHOOSE(CONTROL!$C$27, 0.0021, 0)</f>
        <v>22.053899999999999</v>
      </c>
      <c r="C36" s="10">
        <f>21.6196 * CHOOSE(CONTROL!$C$9, $D$9, 100%, $F$9) + CHOOSE(CONTROL!$C$27, 0.0021, 0)</f>
        <v>21.621699999999997</v>
      </c>
      <c r="D36" s="10">
        <f>21.6196 * CHOOSE(CONTROL!$C$9, $D$9, 100%, $F$9) + CHOOSE(CONTROL!$C$27, 0.0021, 0)</f>
        <v>21.621699999999997</v>
      </c>
      <c r="E36" s="10">
        <f>21.4829 * CHOOSE(CONTROL!$C$9, $D$9, 100%, $F$9) + CHOOSE(CONTROL!$C$27, 0.0021, 0)</f>
        <v>21.484999999999999</v>
      </c>
      <c r="F36" s="10">
        <f>21.4829 * CHOOSE(CONTROL!$C$9, $D$9, 100%, $F$9) + CHOOSE(CONTROL!$C$27, 0.0021, 0)</f>
        <v>21.484999999999999</v>
      </c>
      <c r="G36" s="10">
        <f>21.7543 * CHOOSE(CONTROL!$C$9, $D$9, 100%, $F$9) + CHOOSE(CONTROL!$C$27, 0.0021, 0)</f>
        <v>21.756399999999999</v>
      </c>
      <c r="H36" s="10">
        <f>21.6196 * CHOOSE(CONTROL!$C$9, $D$9, 100%, $F$9) + CHOOSE(CONTROL!$C$27, 0.0021, 0)</f>
        <v>21.621699999999997</v>
      </c>
      <c r="I36" s="10">
        <f>21.6196 * CHOOSE(CONTROL!$C$9, $D$9, 100%, $F$9) + CHOOSE(CONTROL!$C$27, 0.0021, 0)</f>
        <v>21.621699999999997</v>
      </c>
      <c r="J36" s="10">
        <f>21.6196 * CHOOSE(CONTROL!$C$9, $D$9, 100%, $F$9) + CHOOSE(CONTROL!$C$27, 0.0021, 0)</f>
        <v>21.621699999999997</v>
      </c>
      <c r="K36" s="10">
        <f>21.6196 * CHOOSE(CONTROL!$C$9, $D$9, 100%, $F$9) + CHOOSE(CONTROL!$C$27, 0.0021, 0)</f>
        <v>21.621699999999997</v>
      </c>
      <c r="L36" s="10"/>
    </row>
    <row r="37" spans="1:17" ht="15" x14ac:dyDescent="0.2">
      <c r="A37" s="16">
        <v>42401</v>
      </c>
      <c r="B37" s="10">
        <f>21.987 * CHOOSE(CONTROL!$C$9, $D$9, 100%, $F$9) + CHOOSE(CONTROL!$C$27, 0.0021, 0)</f>
        <v>21.989099999999997</v>
      </c>
      <c r="C37" s="10">
        <f>21.5547 * CHOOSE(CONTROL!$C$9, $D$9, 100%, $F$9) + CHOOSE(CONTROL!$C$27, 0.0021, 0)</f>
        <v>21.556799999999999</v>
      </c>
      <c r="D37" s="10">
        <f>21.5547 * CHOOSE(CONTROL!$C$9, $D$9, 100%, $F$9) + CHOOSE(CONTROL!$C$27, 0.0021, 0)</f>
        <v>21.556799999999999</v>
      </c>
      <c r="E37" s="10">
        <f>21.4181 * CHOOSE(CONTROL!$C$9, $D$9, 100%, $F$9) + CHOOSE(CONTROL!$C$27, 0.0021, 0)</f>
        <v>21.420199999999998</v>
      </c>
      <c r="F37" s="10">
        <f>21.4181 * CHOOSE(CONTROL!$C$9, $D$9, 100%, $F$9) + CHOOSE(CONTROL!$C$27, 0.0021, 0)</f>
        <v>21.420199999999998</v>
      </c>
      <c r="G37" s="10">
        <f>21.6894 * CHOOSE(CONTROL!$C$9, $D$9, 100%, $F$9) + CHOOSE(CONTROL!$C$27, 0.0021, 0)</f>
        <v>21.691499999999998</v>
      </c>
      <c r="H37" s="10">
        <f>21.5547 * CHOOSE(CONTROL!$C$9, $D$9, 100%, $F$9) + CHOOSE(CONTROL!$C$27, 0.0021, 0)</f>
        <v>21.556799999999999</v>
      </c>
      <c r="I37" s="10">
        <f>21.5547 * CHOOSE(CONTROL!$C$9, $D$9, 100%, $F$9) + CHOOSE(CONTROL!$C$27, 0.0021, 0)</f>
        <v>21.556799999999999</v>
      </c>
      <c r="J37" s="10">
        <f>21.5547 * CHOOSE(CONTROL!$C$9, $D$9, 100%, $F$9) + CHOOSE(CONTROL!$C$27, 0.0021, 0)</f>
        <v>21.556799999999999</v>
      </c>
      <c r="K37" s="10">
        <f>21.5547 * CHOOSE(CONTROL!$C$9, $D$9, 100%, $F$9) + CHOOSE(CONTROL!$C$27, 0.0021, 0)</f>
        <v>21.556799999999999</v>
      </c>
      <c r="L37" s="10"/>
    </row>
    <row r="38" spans="1:17" ht="15" x14ac:dyDescent="0.2">
      <c r="A38" s="16">
        <v>42430</v>
      </c>
      <c r="B38" s="10">
        <f>21.9005 * CHOOSE(CONTROL!$C$9, $D$9, 100%, $F$9) + CHOOSE(CONTROL!$C$27, 0.0021, 0)</f>
        <v>21.9026</v>
      </c>
      <c r="C38" s="10">
        <f>21.4683 * CHOOSE(CONTROL!$C$9, $D$9, 100%, $F$9) + CHOOSE(CONTROL!$C$27, 0.0021, 0)</f>
        <v>21.470399999999998</v>
      </c>
      <c r="D38" s="10">
        <f>21.4683 * CHOOSE(CONTROL!$C$9, $D$9, 100%, $F$9) + CHOOSE(CONTROL!$C$27, 0.0021, 0)</f>
        <v>21.470399999999998</v>
      </c>
      <c r="E38" s="10">
        <f>21.3316 * CHOOSE(CONTROL!$C$9, $D$9, 100%, $F$9) + CHOOSE(CONTROL!$C$27, 0.0021, 0)</f>
        <v>21.3337</v>
      </c>
      <c r="F38" s="10">
        <f>21.3316 * CHOOSE(CONTROL!$C$9, $D$9, 100%, $F$9) + CHOOSE(CONTROL!$C$27, 0.0021, 0)</f>
        <v>21.3337</v>
      </c>
      <c r="G38" s="10">
        <f>21.603 * CHOOSE(CONTROL!$C$9, $D$9, 100%, $F$9) + CHOOSE(CONTROL!$C$27, 0.0021, 0)</f>
        <v>21.6051</v>
      </c>
      <c r="H38" s="10">
        <f>21.4683 * CHOOSE(CONTROL!$C$9, $D$9, 100%, $F$9) + CHOOSE(CONTROL!$C$27, 0.0021, 0)</f>
        <v>21.470399999999998</v>
      </c>
      <c r="I38" s="10">
        <f>21.4683 * CHOOSE(CONTROL!$C$9, $D$9, 100%, $F$9) + CHOOSE(CONTROL!$C$27, 0.0021, 0)</f>
        <v>21.470399999999998</v>
      </c>
      <c r="J38" s="10">
        <f>21.4683 * CHOOSE(CONTROL!$C$9, $D$9, 100%, $F$9) + CHOOSE(CONTROL!$C$27, 0.0021, 0)</f>
        <v>21.470399999999998</v>
      </c>
      <c r="K38" s="10">
        <f>21.4683 * CHOOSE(CONTROL!$C$9, $D$9, 100%, $F$9) + CHOOSE(CONTROL!$C$27, 0.0021, 0)</f>
        <v>21.470399999999998</v>
      </c>
      <c r="L38" s="10"/>
    </row>
    <row r="39" spans="1:17" ht="15" x14ac:dyDescent="0.2">
      <c r="A39" s="16">
        <v>42461</v>
      </c>
      <c r="B39" s="10">
        <f>21.7925 * CHOOSE(CONTROL!$C$9, $D$9, 100%, $F$9) + CHOOSE(CONTROL!$C$27, 0.0021, 0)</f>
        <v>21.794599999999999</v>
      </c>
      <c r="C39" s="10">
        <f>21.3602 * CHOOSE(CONTROL!$C$9, $D$9, 100%, $F$9) + CHOOSE(CONTROL!$C$27, 0.0021, 0)</f>
        <v>21.362299999999998</v>
      </c>
      <c r="D39" s="10">
        <f>21.3602 * CHOOSE(CONTROL!$C$9, $D$9, 100%, $F$9) + CHOOSE(CONTROL!$C$27, 0.0021, 0)</f>
        <v>21.362299999999998</v>
      </c>
      <c r="E39" s="10">
        <f>21.2235 * CHOOSE(CONTROL!$C$9, $D$9, 100%, $F$9) + CHOOSE(CONTROL!$C$27, 0.0021, 0)</f>
        <v>21.2256</v>
      </c>
      <c r="F39" s="10">
        <f>21.2235 * CHOOSE(CONTROL!$C$9, $D$9, 100%, $F$9) + CHOOSE(CONTROL!$C$27, 0.0021, 0)</f>
        <v>21.2256</v>
      </c>
      <c r="G39" s="10">
        <f>21.4949 * CHOOSE(CONTROL!$C$9, $D$9, 100%, $F$9) + CHOOSE(CONTROL!$C$27, 0.0021, 0)</f>
        <v>21.497</v>
      </c>
      <c r="H39" s="10">
        <f>21.3602 * CHOOSE(CONTROL!$C$9, $D$9, 100%, $F$9) + CHOOSE(CONTROL!$C$27, 0.0021, 0)</f>
        <v>21.362299999999998</v>
      </c>
      <c r="I39" s="10">
        <f>21.3602 * CHOOSE(CONTROL!$C$9, $D$9, 100%, $F$9) + CHOOSE(CONTROL!$C$27, 0.0021, 0)</f>
        <v>21.362299999999998</v>
      </c>
      <c r="J39" s="10">
        <f>21.3602 * CHOOSE(CONTROL!$C$9, $D$9, 100%, $F$9) + CHOOSE(CONTROL!$C$27, 0.0021, 0)</f>
        <v>21.362299999999998</v>
      </c>
      <c r="K39" s="10">
        <f>21.3602 * CHOOSE(CONTROL!$C$9, $D$9, 100%, $F$9) + CHOOSE(CONTROL!$C$27, 0.0021, 0)</f>
        <v>21.362299999999998</v>
      </c>
      <c r="L39" s="10"/>
    </row>
    <row r="40" spans="1:17" ht="15" x14ac:dyDescent="0.2">
      <c r="A40" s="16">
        <v>42491</v>
      </c>
      <c r="B40" s="10">
        <f>21.6916 * CHOOSE(CONTROL!$C$9, $D$9, 100%, $F$9) + CHOOSE(CONTROL!$C$27, 0.0021, 0)</f>
        <v>21.6937</v>
      </c>
      <c r="C40" s="10">
        <f>21.2593 * CHOOSE(CONTROL!$C$9, $D$9, 100%, $F$9) + CHOOSE(CONTROL!$C$27, 0.0021, 0)</f>
        <v>21.261399999999998</v>
      </c>
      <c r="D40" s="10">
        <f>21.2593 * CHOOSE(CONTROL!$C$9, $D$9, 100%, $F$9) + CHOOSE(CONTROL!$C$27, 0.0021, 0)</f>
        <v>21.261399999999998</v>
      </c>
      <c r="E40" s="10">
        <f>21.1227 * CHOOSE(CONTROL!$C$9, $D$9, 100%, $F$9) + CHOOSE(CONTROL!$C$27, 0.0021, 0)</f>
        <v>21.124799999999997</v>
      </c>
      <c r="F40" s="10">
        <f>21.1227 * CHOOSE(CONTROL!$C$9, $D$9, 100%, $F$9) + CHOOSE(CONTROL!$C$27, 0.0021, 0)</f>
        <v>21.124799999999997</v>
      </c>
      <c r="G40" s="10">
        <f>21.3941 * CHOOSE(CONTROL!$C$9, $D$9, 100%, $F$9) + CHOOSE(CONTROL!$C$27, 0.0021, 0)</f>
        <v>21.3962</v>
      </c>
      <c r="H40" s="10">
        <f>21.2593 * CHOOSE(CONTROL!$C$9, $D$9, 100%, $F$9) + CHOOSE(CONTROL!$C$27, 0.0021, 0)</f>
        <v>21.261399999999998</v>
      </c>
      <c r="I40" s="10">
        <f>21.2593 * CHOOSE(CONTROL!$C$9, $D$9, 100%, $F$9) + CHOOSE(CONTROL!$C$27, 0.0021, 0)</f>
        <v>21.261399999999998</v>
      </c>
      <c r="J40" s="10">
        <f>21.2593 * CHOOSE(CONTROL!$C$9, $D$9, 100%, $F$9) + CHOOSE(CONTROL!$C$27, 0.0021, 0)</f>
        <v>21.261399999999998</v>
      </c>
      <c r="K40" s="10">
        <f>21.2593 * CHOOSE(CONTROL!$C$9, $D$9, 100%, $F$9) + CHOOSE(CONTROL!$C$27, 0.0021, 0)</f>
        <v>21.261399999999998</v>
      </c>
      <c r="L40" s="10"/>
    </row>
    <row r="41" spans="1:17" ht="15" x14ac:dyDescent="0.2">
      <c r="A41" s="16">
        <v>42522</v>
      </c>
      <c r="B41" s="10">
        <f>21.5943 * CHOOSE(CONTROL!$C$9, $D$9, 100%, $F$9) + CHOOSE(CONTROL!$C$27, 0.0021, 0)</f>
        <v>21.596399999999999</v>
      </c>
      <c r="C41" s="10">
        <f>21.1621 * CHOOSE(CONTROL!$C$9, $D$9, 100%, $F$9) + CHOOSE(CONTROL!$C$27, 0.0021, 0)</f>
        <v>21.164199999999997</v>
      </c>
      <c r="D41" s="10">
        <f>21.1621 * CHOOSE(CONTROL!$C$9, $D$9, 100%, $F$9) + CHOOSE(CONTROL!$C$27, 0.0021, 0)</f>
        <v>21.164199999999997</v>
      </c>
      <c r="E41" s="10">
        <f>21.0254 * CHOOSE(CONTROL!$C$9, $D$9, 100%, $F$9) + CHOOSE(CONTROL!$C$27, 0.0021, 0)</f>
        <v>21.0275</v>
      </c>
      <c r="F41" s="10">
        <f>21.0254 * CHOOSE(CONTROL!$C$9, $D$9, 100%, $F$9) + CHOOSE(CONTROL!$C$27, 0.0021, 0)</f>
        <v>21.0275</v>
      </c>
      <c r="G41" s="10">
        <f>21.2968 * CHOOSE(CONTROL!$C$9, $D$9, 100%, $F$9) + CHOOSE(CONTROL!$C$27, 0.0021, 0)</f>
        <v>21.2989</v>
      </c>
      <c r="H41" s="10">
        <f>21.1621 * CHOOSE(CONTROL!$C$9, $D$9, 100%, $F$9) + CHOOSE(CONTROL!$C$27, 0.0021, 0)</f>
        <v>21.164199999999997</v>
      </c>
      <c r="I41" s="10">
        <f>21.1621 * CHOOSE(CONTROL!$C$9, $D$9, 100%, $F$9) + CHOOSE(CONTROL!$C$27, 0.0021, 0)</f>
        <v>21.164199999999997</v>
      </c>
      <c r="J41" s="10">
        <f>21.1621 * CHOOSE(CONTROL!$C$9, $D$9, 100%, $F$9) + CHOOSE(CONTROL!$C$27, 0.0021, 0)</f>
        <v>21.164199999999997</v>
      </c>
      <c r="K41" s="10">
        <f>21.1621 * CHOOSE(CONTROL!$C$9, $D$9, 100%, $F$9) + CHOOSE(CONTROL!$C$27, 0.0021, 0)</f>
        <v>21.164199999999997</v>
      </c>
      <c r="L41" s="10"/>
    </row>
    <row r="42" spans="1:17" ht="15" x14ac:dyDescent="0.2">
      <c r="A42" s="16">
        <v>42552</v>
      </c>
      <c r="B42" s="10">
        <f>21.5331 * CHOOSE(CONTROL!$C$9, $D$9, 100%, $F$9) + CHOOSE(CONTROL!$C$27, 0.0021, 0)</f>
        <v>21.5352</v>
      </c>
      <c r="C42" s="10">
        <f>21.1009 * CHOOSE(CONTROL!$C$9, $D$9, 100%, $F$9) + CHOOSE(CONTROL!$C$27, 0.0021, 0)</f>
        <v>21.102999999999998</v>
      </c>
      <c r="D42" s="10">
        <f>21.1009 * CHOOSE(CONTROL!$C$9, $D$9, 100%, $F$9) + CHOOSE(CONTROL!$C$27, 0.0021, 0)</f>
        <v>21.102999999999998</v>
      </c>
      <c r="E42" s="10">
        <f>20.9642 * CHOOSE(CONTROL!$C$9, $D$9, 100%, $F$9) + CHOOSE(CONTROL!$C$27, 0.0021, 0)</f>
        <v>20.9663</v>
      </c>
      <c r="F42" s="10">
        <f>20.9642 * CHOOSE(CONTROL!$C$9, $D$9, 100%, $F$9) + CHOOSE(CONTROL!$C$27, 0.0021, 0)</f>
        <v>20.9663</v>
      </c>
      <c r="G42" s="10">
        <f>21.2356 * CHOOSE(CONTROL!$C$9, $D$9, 100%, $F$9) + CHOOSE(CONTROL!$C$27, 0.0021, 0)</f>
        <v>21.2377</v>
      </c>
      <c r="H42" s="10">
        <f>21.1009 * CHOOSE(CONTROL!$C$9, $D$9, 100%, $F$9) + CHOOSE(CONTROL!$C$27, 0.0021, 0)</f>
        <v>21.102999999999998</v>
      </c>
      <c r="I42" s="10">
        <f>21.1009 * CHOOSE(CONTROL!$C$9, $D$9, 100%, $F$9) + CHOOSE(CONTROL!$C$27, 0.0021, 0)</f>
        <v>21.102999999999998</v>
      </c>
      <c r="J42" s="10">
        <f>21.1009 * CHOOSE(CONTROL!$C$9, $D$9, 100%, $F$9) + CHOOSE(CONTROL!$C$27, 0.0021, 0)</f>
        <v>21.102999999999998</v>
      </c>
      <c r="K42" s="10">
        <f>21.1009 * CHOOSE(CONTROL!$C$9, $D$9, 100%, $F$9) + CHOOSE(CONTROL!$C$27, 0.0021, 0)</f>
        <v>21.102999999999998</v>
      </c>
      <c r="L42" s="10"/>
    </row>
    <row r="43" spans="1:17" ht="15" x14ac:dyDescent="0.2">
      <c r="A43" s="16">
        <v>42583</v>
      </c>
      <c r="B43" s="10">
        <f>21.4719 * CHOOSE(CONTROL!$C$9, $D$9, 100%, $F$9) + CHOOSE(CONTROL!$C$27, 0.0021, 0)</f>
        <v>21.474</v>
      </c>
      <c r="C43" s="10">
        <f>21.0396 * CHOOSE(CONTROL!$C$9, $D$9, 100%, $F$9) + CHOOSE(CONTROL!$C$27, 0.0021, 0)</f>
        <v>21.041699999999999</v>
      </c>
      <c r="D43" s="10">
        <f>21.0396 * CHOOSE(CONTROL!$C$9, $D$9, 100%, $F$9) + CHOOSE(CONTROL!$C$27, 0.0021, 0)</f>
        <v>21.041699999999999</v>
      </c>
      <c r="E43" s="10">
        <f>20.903 * CHOOSE(CONTROL!$C$9, $D$9, 100%, $F$9) + CHOOSE(CONTROL!$C$27, 0.0021, 0)</f>
        <v>20.905099999999997</v>
      </c>
      <c r="F43" s="10">
        <f>20.903 * CHOOSE(CONTROL!$C$9, $D$9, 100%, $F$9) + CHOOSE(CONTROL!$C$27, 0.0021, 0)</f>
        <v>20.905099999999997</v>
      </c>
      <c r="G43" s="10">
        <f>21.1743 * CHOOSE(CONTROL!$C$9, $D$9, 100%, $F$9) + CHOOSE(CONTROL!$C$27, 0.0021, 0)</f>
        <v>21.176399999999997</v>
      </c>
      <c r="H43" s="10">
        <f>21.0396 * CHOOSE(CONTROL!$C$9, $D$9, 100%, $F$9) + CHOOSE(CONTROL!$C$27, 0.0021, 0)</f>
        <v>21.041699999999999</v>
      </c>
      <c r="I43" s="10">
        <f>21.0396 * CHOOSE(CONTROL!$C$9, $D$9, 100%, $F$9) + CHOOSE(CONTROL!$C$27, 0.0021, 0)</f>
        <v>21.041699999999999</v>
      </c>
      <c r="J43" s="10">
        <f>21.0396 * CHOOSE(CONTROL!$C$9, $D$9, 100%, $F$9) + CHOOSE(CONTROL!$C$27, 0.0021, 0)</f>
        <v>21.041699999999999</v>
      </c>
      <c r="K43" s="10">
        <f>21.0396 * CHOOSE(CONTROL!$C$9, $D$9, 100%, $F$9) + CHOOSE(CONTROL!$C$27, 0.0021, 0)</f>
        <v>21.041699999999999</v>
      </c>
      <c r="L43" s="10"/>
    </row>
    <row r="44" spans="1:17" ht="15" x14ac:dyDescent="0.2">
      <c r="A44" s="16">
        <v>42614</v>
      </c>
      <c r="B44" s="10">
        <f>21.4214 * CHOOSE(CONTROL!$C$9, $D$9, 100%, $F$9) + CHOOSE(CONTROL!$C$27, 0.0021, 0)</f>
        <v>21.423499999999997</v>
      </c>
      <c r="C44" s="10">
        <f>20.9892 * CHOOSE(CONTROL!$C$9, $D$9, 100%, $F$9) + CHOOSE(CONTROL!$C$27, 0.0021, 0)</f>
        <v>20.991299999999999</v>
      </c>
      <c r="D44" s="10">
        <f>20.9892 * CHOOSE(CONTROL!$C$9, $D$9, 100%, $F$9) + CHOOSE(CONTROL!$C$27, 0.0021, 0)</f>
        <v>20.991299999999999</v>
      </c>
      <c r="E44" s="10">
        <f>20.8525 * CHOOSE(CONTROL!$C$9, $D$9, 100%, $F$9) + CHOOSE(CONTROL!$C$27, 0.0021, 0)</f>
        <v>20.854599999999998</v>
      </c>
      <c r="F44" s="10">
        <f>20.8525 * CHOOSE(CONTROL!$C$9, $D$9, 100%, $F$9) + CHOOSE(CONTROL!$C$27, 0.0021, 0)</f>
        <v>20.854599999999998</v>
      </c>
      <c r="G44" s="10">
        <f>21.1239 * CHOOSE(CONTROL!$C$9, $D$9, 100%, $F$9) + CHOOSE(CONTROL!$C$27, 0.0021, 0)</f>
        <v>21.125999999999998</v>
      </c>
      <c r="H44" s="10">
        <f>20.9892 * CHOOSE(CONTROL!$C$9, $D$9, 100%, $F$9) + CHOOSE(CONTROL!$C$27, 0.0021, 0)</f>
        <v>20.991299999999999</v>
      </c>
      <c r="I44" s="10">
        <f>20.9892 * CHOOSE(CONTROL!$C$9, $D$9, 100%, $F$9) + CHOOSE(CONTROL!$C$27, 0.0021, 0)</f>
        <v>20.991299999999999</v>
      </c>
      <c r="J44" s="10">
        <f>20.9892 * CHOOSE(CONTROL!$C$9, $D$9, 100%, $F$9) + CHOOSE(CONTROL!$C$27, 0.0021, 0)</f>
        <v>20.991299999999999</v>
      </c>
      <c r="K44" s="10">
        <f>20.9892 * CHOOSE(CONTROL!$C$9, $D$9, 100%, $F$9) + CHOOSE(CONTROL!$C$27, 0.0021, 0)</f>
        <v>20.991299999999999</v>
      </c>
      <c r="L44" s="10"/>
    </row>
    <row r="45" spans="1:17" ht="15" x14ac:dyDescent="0.2">
      <c r="A45" s="16">
        <v>42644</v>
      </c>
      <c r="B45" s="10">
        <f>21.371 * CHOOSE(CONTROL!$C$9, $D$9, 100%, $F$9) + CHOOSE(CONTROL!$C$27, 0.0021, 0)</f>
        <v>21.373099999999997</v>
      </c>
      <c r="C45" s="10">
        <f>20.9388 * CHOOSE(CONTROL!$C$9, $D$9, 100%, $F$9) + CHOOSE(CONTROL!$C$27, 0.0021, 0)</f>
        <v>20.940899999999999</v>
      </c>
      <c r="D45" s="10">
        <f>20.9388 * CHOOSE(CONTROL!$C$9, $D$9, 100%, $F$9) + CHOOSE(CONTROL!$C$27, 0.0021, 0)</f>
        <v>20.940899999999999</v>
      </c>
      <c r="E45" s="10">
        <f>20.8021 * CHOOSE(CONTROL!$C$9, $D$9, 100%, $F$9) + CHOOSE(CONTROL!$C$27, 0.0021, 0)</f>
        <v>20.804199999999998</v>
      </c>
      <c r="F45" s="10">
        <f>20.8021 * CHOOSE(CONTROL!$C$9, $D$9, 100%, $F$9) + CHOOSE(CONTROL!$C$27, 0.0021, 0)</f>
        <v>20.804199999999998</v>
      </c>
      <c r="G45" s="10">
        <f>21.0735 * CHOOSE(CONTROL!$C$9, $D$9, 100%, $F$9) + CHOOSE(CONTROL!$C$27, 0.0021, 0)</f>
        <v>21.075599999999998</v>
      </c>
      <c r="H45" s="10">
        <f>20.9388 * CHOOSE(CONTROL!$C$9, $D$9, 100%, $F$9) + CHOOSE(CONTROL!$C$27, 0.0021, 0)</f>
        <v>20.940899999999999</v>
      </c>
      <c r="I45" s="10">
        <f>20.9388 * CHOOSE(CONTROL!$C$9, $D$9, 100%, $F$9) + CHOOSE(CONTROL!$C$27, 0.0021, 0)</f>
        <v>20.940899999999999</v>
      </c>
      <c r="J45" s="10">
        <f>20.9388 * CHOOSE(CONTROL!$C$9, $D$9, 100%, $F$9) + CHOOSE(CONTROL!$C$27, 0.0021, 0)</f>
        <v>20.940899999999999</v>
      </c>
      <c r="K45" s="10">
        <f>20.9388 * CHOOSE(CONTROL!$C$9, $D$9, 100%, $F$9) + CHOOSE(CONTROL!$C$27, 0.0021, 0)</f>
        <v>20.940899999999999</v>
      </c>
      <c r="L45" s="10"/>
    </row>
    <row r="46" spans="1:17" ht="15" x14ac:dyDescent="0.2">
      <c r="A46" s="16">
        <v>42675</v>
      </c>
      <c r="B46" s="10">
        <f>21.3242 * CHOOSE(CONTROL!$C$9, $D$9, 100%, $F$9) + CHOOSE(CONTROL!$C$27, 0.0021, 0)</f>
        <v>21.3263</v>
      </c>
      <c r="C46" s="10">
        <f>20.8919 * CHOOSE(CONTROL!$C$9, $D$9, 100%, $F$9) + CHOOSE(CONTROL!$C$27, 0.0021, 0)</f>
        <v>20.893999999999998</v>
      </c>
      <c r="D46" s="10">
        <f>20.8919 * CHOOSE(CONTROL!$C$9, $D$9, 100%, $F$9) + CHOOSE(CONTROL!$C$27, 0.0021, 0)</f>
        <v>20.893999999999998</v>
      </c>
      <c r="E46" s="10">
        <f>20.7553 * CHOOSE(CONTROL!$C$9, $D$9, 100%, $F$9) + CHOOSE(CONTROL!$C$27, 0.0021, 0)</f>
        <v>20.757399999999997</v>
      </c>
      <c r="F46" s="10">
        <f>20.7553 * CHOOSE(CONTROL!$C$9, $D$9, 100%, $F$9) + CHOOSE(CONTROL!$C$27, 0.0021, 0)</f>
        <v>20.757399999999997</v>
      </c>
      <c r="G46" s="10">
        <f>21.0267 * CHOOSE(CONTROL!$C$9, $D$9, 100%, $F$9) + CHOOSE(CONTROL!$C$27, 0.0021, 0)</f>
        <v>21.0288</v>
      </c>
      <c r="H46" s="10">
        <f>20.8919 * CHOOSE(CONTROL!$C$9, $D$9, 100%, $F$9) + CHOOSE(CONTROL!$C$27, 0.0021, 0)</f>
        <v>20.893999999999998</v>
      </c>
      <c r="I46" s="10">
        <f>20.8919 * CHOOSE(CONTROL!$C$9, $D$9, 100%, $F$9) + CHOOSE(CONTROL!$C$27, 0.0021, 0)</f>
        <v>20.893999999999998</v>
      </c>
      <c r="J46" s="10">
        <f>20.8919 * CHOOSE(CONTROL!$C$9, $D$9, 100%, $F$9) + CHOOSE(CONTROL!$C$27, 0.0021, 0)</f>
        <v>20.893999999999998</v>
      </c>
      <c r="K46" s="10">
        <f>20.8919 * CHOOSE(CONTROL!$C$9, $D$9, 100%, $F$9) + CHOOSE(CONTROL!$C$27, 0.0021, 0)</f>
        <v>20.893999999999998</v>
      </c>
      <c r="L46" s="10"/>
    </row>
    <row r="47" spans="1:17" ht="15" x14ac:dyDescent="0.2">
      <c r="A47" s="16">
        <v>42705</v>
      </c>
      <c r="B47" s="10">
        <f>21.281 * CHOOSE(CONTROL!$C$9, $D$9, 100%, $F$9) + CHOOSE(CONTROL!$C$27, 0.0021, 0)</f>
        <v>21.283099999999997</v>
      </c>
      <c r="C47" s="10">
        <f>20.8487 * CHOOSE(CONTROL!$C$9, $D$9, 100%, $F$9) + CHOOSE(CONTROL!$C$27, 0.0021, 0)</f>
        <v>20.8508</v>
      </c>
      <c r="D47" s="10">
        <f>20.8487 * CHOOSE(CONTROL!$C$9, $D$9, 100%, $F$9) + CHOOSE(CONTROL!$C$27, 0.0021, 0)</f>
        <v>20.8508</v>
      </c>
      <c r="E47" s="10">
        <f>20.7121 * CHOOSE(CONTROL!$C$9, $D$9, 100%, $F$9) + CHOOSE(CONTROL!$C$27, 0.0021, 0)</f>
        <v>20.714199999999998</v>
      </c>
      <c r="F47" s="10">
        <f>20.7121 * CHOOSE(CONTROL!$C$9, $D$9, 100%, $F$9) + CHOOSE(CONTROL!$C$27, 0.0021, 0)</f>
        <v>20.714199999999998</v>
      </c>
      <c r="G47" s="10">
        <f>20.9834 * CHOOSE(CONTROL!$C$9, $D$9, 100%, $F$9) + CHOOSE(CONTROL!$C$27, 0.0021, 0)</f>
        <v>20.985499999999998</v>
      </c>
      <c r="H47" s="10">
        <f>20.8487 * CHOOSE(CONTROL!$C$9, $D$9, 100%, $F$9) + CHOOSE(CONTROL!$C$27, 0.0021, 0)</f>
        <v>20.8508</v>
      </c>
      <c r="I47" s="10">
        <f>20.8487 * CHOOSE(CONTROL!$C$9, $D$9, 100%, $F$9) + CHOOSE(CONTROL!$C$27, 0.0021, 0)</f>
        <v>20.8508</v>
      </c>
      <c r="J47" s="10">
        <f>20.8487 * CHOOSE(CONTROL!$C$9, $D$9, 100%, $F$9) + CHOOSE(CONTROL!$C$27, 0.0021, 0)</f>
        <v>20.8508</v>
      </c>
      <c r="K47" s="10">
        <f>20.8487 * CHOOSE(CONTROL!$C$9, $D$9, 100%, $F$9) + CHOOSE(CONTROL!$C$27, 0.0021, 0)</f>
        <v>20.8508</v>
      </c>
      <c r="L47" s="10"/>
    </row>
    <row r="48" spans="1:17" ht="15" x14ac:dyDescent="0.2">
      <c r="A48" s="16">
        <v>42736</v>
      </c>
      <c r="B48" s="10">
        <f>21.7155 * CHOOSE(CONTROL!$C$9, $D$9, 100%, $F$9) + CHOOSE(CONTROL!$C$27, 0.0021, 0)</f>
        <v>21.717599999999997</v>
      </c>
      <c r="C48" s="10">
        <f>21.2832 * CHOOSE(CONTROL!$C$9, $D$9, 100%, $F$9) + CHOOSE(CONTROL!$C$27, 0.0021, 0)</f>
        <v>21.285299999999999</v>
      </c>
      <c r="D48" s="10">
        <f>21.2832 * CHOOSE(CONTROL!$C$9, $D$9, 100%, $F$9) + CHOOSE(CONTROL!$C$27, 0.0021, 0)</f>
        <v>21.285299999999999</v>
      </c>
      <c r="E48" s="10">
        <f>21.1466 * CHOOSE(CONTROL!$C$9, $D$9, 100%, $F$9) + CHOOSE(CONTROL!$C$27, 0.0021, 0)</f>
        <v>21.148699999999998</v>
      </c>
      <c r="F48" s="10">
        <f>21.1466 * CHOOSE(CONTROL!$C$9, $D$9, 100%, $F$9) + CHOOSE(CONTROL!$C$27, 0.0021, 0)</f>
        <v>21.148699999999998</v>
      </c>
      <c r="G48" s="10">
        <f>21.4179 * CHOOSE(CONTROL!$C$9, $D$9, 100%, $F$9) + CHOOSE(CONTROL!$C$27, 0.0021, 0)</f>
        <v>21.419999999999998</v>
      </c>
      <c r="H48" s="10">
        <f>21.2832 * CHOOSE(CONTROL!$C$9, $D$9, 100%, $F$9) + CHOOSE(CONTROL!$C$27, 0.0021, 0)</f>
        <v>21.285299999999999</v>
      </c>
      <c r="I48" s="10">
        <f>21.2832 * CHOOSE(CONTROL!$C$9, $D$9, 100%, $F$9) + CHOOSE(CONTROL!$C$27, 0.0021, 0)</f>
        <v>21.285299999999999</v>
      </c>
      <c r="J48" s="10">
        <f>21.2832 * CHOOSE(CONTROL!$C$9, $D$9, 100%, $F$9) + CHOOSE(CONTROL!$C$27, 0.0021, 0)</f>
        <v>21.285299999999999</v>
      </c>
      <c r="K48" s="10">
        <f>21.2832 * CHOOSE(CONTROL!$C$9, $D$9, 100%, $F$9) + CHOOSE(CONTROL!$C$27, 0.0021, 0)</f>
        <v>21.285299999999999</v>
      </c>
      <c r="L48" s="10"/>
    </row>
    <row r="49" spans="1:12" ht="15" x14ac:dyDescent="0.2">
      <c r="A49" s="16">
        <v>42767</v>
      </c>
      <c r="B49" s="10">
        <f>21.1661 * CHOOSE(CONTROL!$C$9, $D$9, 100%, $F$9) + CHOOSE(CONTROL!$C$27, 0.0021, 0)</f>
        <v>21.168199999999999</v>
      </c>
      <c r="C49" s="10">
        <f>20.7338 * CHOOSE(CONTROL!$C$9, $D$9, 100%, $F$9) + CHOOSE(CONTROL!$C$27, 0.0021, 0)</f>
        <v>20.735899999999997</v>
      </c>
      <c r="D49" s="10">
        <f>20.7338 * CHOOSE(CONTROL!$C$9, $D$9, 100%, $F$9) + CHOOSE(CONTROL!$C$27, 0.0021, 0)</f>
        <v>20.735899999999997</v>
      </c>
      <c r="E49" s="10">
        <f>20.5972 * CHOOSE(CONTROL!$C$9, $D$9, 100%, $F$9) + CHOOSE(CONTROL!$C$27, 0.0021, 0)</f>
        <v>20.599299999999999</v>
      </c>
      <c r="F49" s="10">
        <f>20.5972 * CHOOSE(CONTROL!$C$9, $D$9, 100%, $F$9) + CHOOSE(CONTROL!$C$27, 0.0021, 0)</f>
        <v>20.599299999999999</v>
      </c>
      <c r="G49" s="10">
        <f>20.8685 * CHOOSE(CONTROL!$C$9, $D$9, 100%, $F$9) + CHOOSE(CONTROL!$C$27, 0.0021, 0)</f>
        <v>20.8706</v>
      </c>
      <c r="H49" s="10">
        <f>20.7338 * CHOOSE(CONTROL!$C$9, $D$9, 100%, $F$9) + CHOOSE(CONTROL!$C$27, 0.0021, 0)</f>
        <v>20.735899999999997</v>
      </c>
      <c r="I49" s="10">
        <f>20.7338 * CHOOSE(CONTROL!$C$9, $D$9, 100%, $F$9) + CHOOSE(CONTROL!$C$27, 0.0021, 0)</f>
        <v>20.735899999999997</v>
      </c>
      <c r="J49" s="10">
        <f>20.7338 * CHOOSE(CONTROL!$C$9, $D$9, 100%, $F$9) + CHOOSE(CONTROL!$C$27, 0.0021, 0)</f>
        <v>20.735899999999997</v>
      </c>
      <c r="K49" s="10">
        <f>20.7338 * CHOOSE(CONTROL!$C$9, $D$9, 100%, $F$9) + CHOOSE(CONTROL!$C$27, 0.0021, 0)</f>
        <v>20.735899999999997</v>
      </c>
      <c r="L49" s="10"/>
    </row>
    <row r="50" spans="1:12" ht="15" x14ac:dyDescent="0.2">
      <c r="A50" s="16">
        <v>42795</v>
      </c>
      <c r="B50" s="10">
        <f>20.9393 * CHOOSE(CONTROL!$C$9, $D$9, 100%, $F$9) + CHOOSE(CONTROL!$C$27, 0.0021, 0)</f>
        <v>20.941399999999998</v>
      </c>
      <c r="C50" s="10">
        <f>20.507 * CHOOSE(CONTROL!$C$9, $D$9, 100%, $F$9) + CHOOSE(CONTROL!$C$27, 0.0021, 0)</f>
        <v>20.5091</v>
      </c>
      <c r="D50" s="10">
        <f>20.507 * CHOOSE(CONTROL!$C$9, $D$9, 100%, $F$9) + CHOOSE(CONTROL!$C$27, 0.0021, 0)</f>
        <v>20.5091</v>
      </c>
      <c r="E50" s="10">
        <f>20.3704 * CHOOSE(CONTROL!$C$9, $D$9, 100%, $F$9) + CHOOSE(CONTROL!$C$27, 0.0021, 0)</f>
        <v>20.372499999999999</v>
      </c>
      <c r="F50" s="10">
        <f>20.3704 * CHOOSE(CONTROL!$C$9, $D$9, 100%, $F$9) + CHOOSE(CONTROL!$C$27, 0.0021, 0)</f>
        <v>20.372499999999999</v>
      </c>
      <c r="G50" s="10">
        <f>20.6418 * CHOOSE(CONTROL!$C$9, $D$9, 100%, $F$9) + CHOOSE(CONTROL!$C$27, 0.0021, 0)</f>
        <v>20.643899999999999</v>
      </c>
      <c r="H50" s="10">
        <f>20.507 * CHOOSE(CONTROL!$C$9, $D$9, 100%, $F$9) + CHOOSE(CONTROL!$C$27, 0.0021, 0)</f>
        <v>20.5091</v>
      </c>
      <c r="I50" s="10">
        <f>20.507 * CHOOSE(CONTROL!$C$9, $D$9, 100%, $F$9) + CHOOSE(CONTROL!$C$27, 0.0021, 0)</f>
        <v>20.5091</v>
      </c>
      <c r="J50" s="10">
        <f>20.507 * CHOOSE(CONTROL!$C$9, $D$9, 100%, $F$9) + CHOOSE(CONTROL!$C$27, 0.0021, 0)</f>
        <v>20.5091</v>
      </c>
      <c r="K50" s="10">
        <f>20.507 * CHOOSE(CONTROL!$C$9, $D$9, 100%, $F$9) + CHOOSE(CONTROL!$C$27, 0.0021, 0)</f>
        <v>20.5091</v>
      </c>
      <c r="L50" s="10"/>
    </row>
    <row r="51" spans="1:12" ht="15" x14ac:dyDescent="0.2">
      <c r="A51" s="16">
        <v>42826</v>
      </c>
      <c r="B51" s="10">
        <f>20.6685 * CHOOSE(CONTROL!$C$9, $D$9, 100%, $F$9) + CHOOSE(CONTROL!$C$27, 0.0021, 0)</f>
        <v>20.6706</v>
      </c>
      <c r="C51" s="10">
        <f>20.2362 * CHOOSE(CONTROL!$C$9, $D$9, 100%, $F$9) + CHOOSE(CONTROL!$C$27, 0.0021, 0)</f>
        <v>20.238299999999999</v>
      </c>
      <c r="D51" s="10">
        <f>20.2362 * CHOOSE(CONTROL!$C$9, $D$9, 100%, $F$9) + CHOOSE(CONTROL!$C$27, 0.0021, 0)</f>
        <v>20.238299999999999</v>
      </c>
      <c r="E51" s="10">
        <f>20.0996 * CHOOSE(CONTROL!$C$9, $D$9, 100%, $F$9) + CHOOSE(CONTROL!$C$27, 0.0021, 0)</f>
        <v>20.101699999999997</v>
      </c>
      <c r="F51" s="10">
        <f>20.0996 * CHOOSE(CONTROL!$C$9, $D$9, 100%, $F$9) + CHOOSE(CONTROL!$C$27, 0.0021, 0)</f>
        <v>20.101699999999997</v>
      </c>
      <c r="G51" s="10">
        <f>20.371 * CHOOSE(CONTROL!$C$9, $D$9, 100%, $F$9) + CHOOSE(CONTROL!$C$27, 0.0021, 0)</f>
        <v>20.373099999999997</v>
      </c>
      <c r="H51" s="10">
        <f>20.2362 * CHOOSE(CONTROL!$C$9, $D$9, 100%, $F$9) + CHOOSE(CONTROL!$C$27, 0.0021, 0)</f>
        <v>20.238299999999999</v>
      </c>
      <c r="I51" s="10">
        <f>20.2362 * CHOOSE(CONTROL!$C$9, $D$9, 100%, $F$9) + CHOOSE(CONTROL!$C$27, 0.0021, 0)</f>
        <v>20.238299999999999</v>
      </c>
      <c r="J51" s="10">
        <f>20.2362 * CHOOSE(CONTROL!$C$9, $D$9, 100%, $F$9) + CHOOSE(CONTROL!$C$27, 0.0021, 0)</f>
        <v>20.238299999999999</v>
      </c>
      <c r="K51" s="10">
        <f>20.2362 * CHOOSE(CONTROL!$C$9, $D$9, 100%, $F$9) + CHOOSE(CONTROL!$C$27, 0.0021, 0)</f>
        <v>20.238299999999999</v>
      </c>
      <c r="L51" s="10"/>
    </row>
    <row r="52" spans="1:12" ht="15" x14ac:dyDescent="0.2">
      <c r="A52" s="16">
        <v>42856</v>
      </c>
      <c r="B52" s="10">
        <f>21.0544 * CHOOSE(CONTROL!$C$9, $D$9, 100%, $F$9) + CHOOSE(CONTROL!$C$27, 0.0021, 0)</f>
        <v>21.0565</v>
      </c>
      <c r="C52" s="10">
        <f>20.6222 * CHOOSE(CONTROL!$C$9, $D$9, 100%, $F$9) + CHOOSE(CONTROL!$C$27, 0.0021, 0)</f>
        <v>20.624299999999998</v>
      </c>
      <c r="D52" s="10">
        <f>20.6222 * CHOOSE(CONTROL!$C$9, $D$9, 100%, $F$9) + CHOOSE(CONTROL!$C$27, 0.0021, 0)</f>
        <v>20.624299999999998</v>
      </c>
      <c r="E52" s="10">
        <f>20.4855 * CHOOSE(CONTROL!$C$9, $D$9, 100%, $F$9) + CHOOSE(CONTROL!$C$27, 0.0021, 0)</f>
        <v>20.487599999999997</v>
      </c>
      <c r="F52" s="10">
        <f>20.4855 * CHOOSE(CONTROL!$C$9, $D$9, 100%, $F$9) + CHOOSE(CONTROL!$C$27, 0.0021, 0)</f>
        <v>20.487599999999997</v>
      </c>
      <c r="G52" s="10">
        <f>20.7569 * CHOOSE(CONTROL!$C$9, $D$9, 100%, $F$9) + CHOOSE(CONTROL!$C$27, 0.0021, 0)</f>
        <v>20.759</v>
      </c>
      <c r="H52" s="10">
        <f>20.6222 * CHOOSE(CONTROL!$C$9, $D$9, 100%, $F$9) + CHOOSE(CONTROL!$C$27, 0.0021, 0)</f>
        <v>20.624299999999998</v>
      </c>
      <c r="I52" s="10">
        <f>20.6222 * CHOOSE(CONTROL!$C$9, $D$9, 100%, $F$9) + CHOOSE(CONTROL!$C$27, 0.0021, 0)</f>
        <v>20.624299999999998</v>
      </c>
      <c r="J52" s="10">
        <f>20.6222 * CHOOSE(CONTROL!$C$9, $D$9, 100%, $F$9) + CHOOSE(CONTROL!$C$27, 0.0021, 0)</f>
        <v>20.624299999999998</v>
      </c>
      <c r="K52" s="10">
        <f>20.6222 * CHOOSE(CONTROL!$C$9, $D$9, 100%, $F$9) + CHOOSE(CONTROL!$C$27, 0.0021, 0)</f>
        <v>20.624299999999998</v>
      </c>
      <c r="L52" s="10"/>
    </row>
    <row r="53" spans="1:12" ht="15" x14ac:dyDescent="0.2">
      <c r="A53" s="16">
        <v>42887</v>
      </c>
      <c r="B53" s="10">
        <f>21.2855 * CHOOSE(CONTROL!$C$9, $D$9, 100%, $F$9) + CHOOSE(CONTROL!$C$27, 0.0021, 0)</f>
        <v>21.287599999999998</v>
      </c>
      <c r="C53" s="10">
        <f>20.8533 * CHOOSE(CONTROL!$C$9, $D$9, 100%, $F$9) + CHOOSE(CONTROL!$C$27, 0.0021, 0)</f>
        <v>20.855399999999999</v>
      </c>
      <c r="D53" s="10">
        <f>20.8533 * CHOOSE(CONTROL!$C$9, $D$9, 100%, $F$9) + CHOOSE(CONTROL!$C$27, 0.0021, 0)</f>
        <v>20.855399999999999</v>
      </c>
      <c r="E53" s="10">
        <f>20.7166 * CHOOSE(CONTROL!$C$9, $D$9, 100%, $F$9) + CHOOSE(CONTROL!$C$27, 0.0021, 0)</f>
        <v>20.718699999999998</v>
      </c>
      <c r="F53" s="10">
        <f>20.7166 * CHOOSE(CONTROL!$C$9, $D$9, 100%, $F$9) + CHOOSE(CONTROL!$C$27, 0.0021, 0)</f>
        <v>20.718699999999998</v>
      </c>
      <c r="G53" s="10">
        <f>20.988 * CHOOSE(CONTROL!$C$9, $D$9, 100%, $F$9) + CHOOSE(CONTROL!$C$27, 0.0021, 0)</f>
        <v>20.990099999999998</v>
      </c>
      <c r="H53" s="10">
        <f>20.8533 * CHOOSE(CONTROL!$C$9, $D$9, 100%, $F$9) + CHOOSE(CONTROL!$C$27, 0.0021, 0)</f>
        <v>20.855399999999999</v>
      </c>
      <c r="I53" s="10">
        <f>20.8533 * CHOOSE(CONTROL!$C$9, $D$9, 100%, $F$9) + CHOOSE(CONTROL!$C$27, 0.0021, 0)</f>
        <v>20.855399999999999</v>
      </c>
      <c r="J53" s="10">
        <f>20.8533 * CHOOSE(CONTROL!$C$9, $D$9, 100%, $F$9) + CHOOSE(CONTROL!$C$27, 0.0021, 0)</f>
        <v>20.855399999999999</v>
      </c>
      <c r="K53" s="10">
        <f>20.8533 * CHOOSE(CONTROL!$C$9, $D$9, 100%, $F$9) + CHOOSE(CONTROL!$C$27, 0.0021, 0)</f>
        <v>20.855399999999999</v>
      </c>
      <c r="L53" s="10"/>
    </row>
    <row r="54" spans="1:12" ht="15" x14ac:dyDescent="0.2">
      <c r="A54" s="16">
        <v>42917</v>
      </c>
      <c r="B54" s="10">
        <f>21.6668 * CHOOSE(CONTROL!$C$9, $D$9, 100%, $F$9) + CHOOSE(CONTROL!$C$27, 0.0021, 0)</f>
        <v>21.668899999999997</v>
      </c>
      <c r="C54" s="10">
        <f>21.2346 * CHOOSE(CONTROL!$C$9, $D$9, 100%, $F$9) + CHOOSE(CONTROL!$C$27, 0.0021, 0)</f>
        <v>21.236699999999999</v>
      </c>
      <c r="D54" s="10">
        <f>21.2346 * CHOOSE(CONTROL!$C$9, $D$9, 100%, $F$9) + CHOOSE(CONTROL!$C$27, 0.0021, 0)</f>
        <v>21.236699999999999</v>
      </c>
      <c r="E54" s="10">
        <f>21.0979 * CHOOSE(CONTROL!$C$9, $D$9, 100%, $F$9) + CHOOSE(CONTROL!$C$27, 0.0021, 0)</f>
        <v>21.099999999999998</v>
      </c>
      <c r="F54" s="10">
        <f>21.0979 * CHOOSE(CONTROL!$C$9, $D$9, 100%, $F$9) + CHOOSE(CONTROL!$C$27, 0.0021, 0)</f>
        <v>21.099999999999998</v>
      </c>
      <c r="G54" s="10">
        <f>21.3693 * CHOOSE(CONTROL!$C$9, $D$9, 100%, $F$9) + CHOOSE(CONTROL!$C$27, 0.0021, 0)</f>
        <v>21.371399999999998</v>
      </c>
      <c r="H54" s="10">
        <f>21.2346 * CHOOSE(CONTROL!$C$9, $D$9, 100%, $F$9) + CHOOSE(CONTROL!$C$27, 0.0021, 0)</f>
        <v>21.236699999999999</v>
      </c>
      <c r="I54" s="10">
        <f>21.2346 * CHOOSE(CONTROL!$C$9, $D$9, 100%, $F$9) + CHOOSE(CONTROL!$C$27, 0.0021, 0)</f>
        <v>21.236699999999999</v>
      </c>
      <c r="J54" s="10">
        <f>21.2346 * CHOOSE(CONTROL!$C$9, $D$9, 100%, $F$9) + CHOOSE(CONTROL!$C$27, 0.0021, 0)</f>
        <v>21.236699999999999</v>
      </c>
      <c r="K54" s="10">
        <f>21.2346 * CHOOSE(CONTROL!$C$9, $D$9, 100%, $F$9) + CHOOSE(CONTROL!$C$27, 0.0021, 0)</f>
        <v>21.236699999999999</v>
      </c>
      <c r="L54" s="10"/>
    </row>
    <row r="55" spans="1:12" ht="15" x14ac:dyDescent="0.2">
      <c r="A55" s="16">
        <v>42948</v>
      </c>
      <c r="B55" s="10">
        <f>21.7832 * CHOOSE(CONTROL!$C$9, $D$9, 100%, $F$9) + CHOOSE(CONTROL!$C$27, 0.0021, 0)</f>
        <v>21.785299999999999</v>
      </c>
      <c r="C55" s="10">
        <f>21.351 * CHOOSE(CONTROL!$C$9, $D$9, 100%, $F$9) + CHOOSE(CONTROL!$C$27, 0.0021, 0)</f>
        <v>21.353099999999998</v>
      </c>
      <c r="D55" s="10">
        <f>21.351 * CHOOSE(CONTROL!$C$9, $D$9, 100%, $F$9) + CHOOSE(CONTROL!$C$27, 0.0021, 0)</f>
        <v>21.353099999999998</v>
      </c>
      <c r="E55" s="10">
        <f>21.2143 * CHOOSE(CONTROL!$C$9, $D$9, 100%, $F$9) + CHOOSE(CONTROL!$C$27, 0.0021, 0)</f>
        <v>21.2164</v>
      </c>
      <c r="F55" s="10">
        <f>21.2143 * CHOOSE(CONTROL!$C$9, $D$9, 100%, $F$9) + CHOOSE(CONTROL!$C$27, 0.0021, 0)</f>
        <v>21.2164</v>
      </c>
      <c r="G55" s="10">
        <f>21.4857 * CHOOSE(CONTROL!$C$9, $D$9, 100%, $F$9) + CHOOSE(CONTROL!$C$27, 0.0021, 0)</f>
        <v>21.4878</v>
      </c>
      <c r="H55" s="10">
        <f>21.351 * CHOOSE(CONTROL!$C$9, $D$9, 100%, $F$9) + CHOOSE(CONTROL!$C$27, 0.0021, 0)</f>
        <v>21.353099999999998</v>
      </c>
      <c r="I55" s="10">
        <f>21.351 * CHOOSE(CONTROL!$C$9, $D$9, 100%, $F$9) + CHOOSE(CONTROL!$C$27, 0.0021, 0)</f>
        <v>21.353099999999998</v>
      </c>
      <c r="J55" s="10">
        <f>21.351 * CHOOSE(CONTROL!$C$9, $D$9, 100%, $F$9) + CHOOSE(CONTROL!$C$27, 0.0021, 0)</f>
        <v>21.353099999999998</v>
      </c>
      <c r="K55" s="10">
        <f>21.351 * CHOOSE(CONTROL!$C$9, $D$9, 100%, $F$9) + CHOOSE(CONTROL!$C$27, 0.0021, 0)</f>
        <v>21.353099999999998</v>
      </c>
      <c r="L55" s="10"/>
    </row>
    <row r="56" spans="1:12" ht="15" x14ac:dyDescent="0.2">
      <c r="A56" s="16">
        <v>42979</v>
      </c>
      <c r="B56" s="10">
        <f>22.1796 * CHOOSE(CONTROL!$C$9, $D$9, 100%, $F$9) + CHOOSE(CONTROL!$C$27, 0.0021, 0)</f>
        <v>22.181699999999999</v>
      </c>
      <c r="C56" s="10">
        <f>21.7473 * CHOOSE(CONTROL!$C$9, $D$9, 100%, $F$9) + CHOOSE(CONTROL!$C$27, 0.0021, 0)</f>
        <v>21.749399999999998</v>
      </c>
      <c r="D56" s="10">
        <f>21.7473 * CHOOSE(CONTROL!$C$9, $D$9, 100%, $F$9) + CHOOSE(CONTROL!$C$27, 0.0021, 0)</f>
        <v>21.749399999999998</v>
      </c>
      <c r="E56" s="10">
        <f>21.6107 * CHOOSE(CONTROL!$C$9, $D$9, 100%, $F$9) + CHOOSE(CONTROL!$C$27, 0.0021, 0)</f>
        <v>21.6128</v>
      </c>
      <c r="F56" s="10">
        <f>21.6107 * CHOOSE(CONTROL!$C$9, $D$9, 100%, $F$9) + CHOOSE(CONTROL!$C$27, 0.0021, 0)</f>
        <v>21.6128</v>
      </c>
      <c r="G56" s="10">
        <f>21.882 * CHOOSE(CONTROL!$C$9, $D$9, 100%, $F$9) + CHOOSE(CONTROL!$C$27, 0.0021, 0)</f>
        <v>21.8841</v>
      </c>
      <c r="H56" s="10">
        <f>21.7473 * CHOOSE(CONTROL!$C$9, $D$9, 100%, $F$9) + CHOOSE(CONTROL!$C$27, 0.0021, 0)</f>
        <v>21.749399999999998</v>
      </c>
      <c r="I56" s="10">
        <f>21.7473 * CHOOSE(CONTROL!$C$9, $D$9, 100%, $F$9) + CHOOSE(CONTROL!$C$27, 0.0021, 0)</f>
        <v>21.749399999999998</v>
      </c>
      <c r="J56" s="10">
        <f>21.7473 * CHOOSE(CONTROL!$C$9, $D$9, 100%, $F$9) + CHOOSE(CONTROL!$C$27, 0.0021, 0)</f>
        <v>21.749399999999998</v>
      </c>
      <c r="K56" s="10">
        <f>21.7473 * CHOOSE(CONTROL!$C$9, $D$9, 100%, $F$9) + CHOOSE(CONTROL!$C$27, 0.0021, 0)</f>
        <v>21.749399999999998</v>
      </c>
      <c r="L56" s="10"/>
    </row>
    <row r="57" spans="1:12" ht="15" x14ac:dyDescent="0.2">
      <c r="A57" s="16">
        <v>43009</v>
      </c>
      <c r="B57" s="10">
        <f>22.6813 * CHOOSE(CONTROL!$C$9, $D$9, 100%, $F$9) + CHOOSE(CONTROL!$C$27, 0.0021, 0)</f>
        <v>22.683399999999999</v>
      </c>
      <c r="C57" s="10">
        <f>22.249 * CHOOSE(CONTROL!$C$9, $D$9, 100%, $F$9) + CHOOSE(CONTROL!$C$27, 0.0021, 0)</f>
        <v>22.251099999999997</v>
      </c>
      <c r="D57" s="10">
        <f>22.249 * CHOOSE(CONTROL!$C$9, $D$9, 100%, $F$9) + CHOOSE(CONTROL!$C$27, 0.0021, 0)</f>
        <v>22.251099999999997</v>
      </c>
      <c r="E57" s="10">
        <f>22.1124 * CHOOSE(CONTROL!$C$9, $D$9, 100%, $F$9) + CHOOSE(CONTROL!$C$27, 0.0021, 0)</f>
        <v>22.1145</v>
      </c>
      <c r="F57" s="10">
        <f>22.1124 * CHOOSE(CONTROL!$C$9, $D$9, 100%, $F$9) + CHOOSE(CONTROL!$C$27, 0.0021, 0)</f>
        <v>22.1145</v>
      </c>
      <c r="G57" s="10">
        <f>22.3838 * CHOOSE(CONTROL!$C$9, $D$9, 100%, $F$9) + CHOOSE(CONTROL!$C$27, 0.0021, 0)</f>
        <v>22.385899999999999</v>
      </c>
      <c r="H57" s="10">
        <f>22.249 * CHOOSE(CONTROL!$C$9, $D$9, 100%, $F$9) + CHOOSE(CONTROL!$C$27, 0.0021, 0)</f>
        <v>22.251099999999997</v>
      </c>
      <c r="I57" s="10">
        <f>22.249 * CHOOSE(CONTROL!$C$9, $D$9, 100%, $F$9) + CHOOSE(CONTROL!$C$27, 0.0021, 0)</f>
        <v>22.251099999999997</v>
      </c>
      <c r="J57" s="10">
        <f>22.249 * CHOOSE(CONTROL!$C$9, $D$9, 100%, $F$9) + CHOOSE(CONTROL!$C$27, 0.0021, 0)</f>
        <v>22.251099999999997</v>
      </c>
      <c r="K57" s="10">
        <f>22.249 * CHOOSE(CONTROL!$C$9, $D$9, 100%, $F$9) + CHOOSE(CONTROL!$C$27, 0.0021, 0)</f>
        <v>22.251099999999997</v>
      </c>
      <c r="L57" s="10"/>
    </row>
    <row r="58" spans="1:12" ht="15" x14ac:dyDescent="0.2">
      <c r="A58" s="16">
        <v>43040</v>
      </c>
      <c r="B58" s="10">
        <f>22.7284 * CHOOSE(CONTROL!$C$9, $D$9, 100%, $F$9) + CHOOSE(CONTROL!$C$27, 0.0021, 0)</f>
        <v>22.730499999999999</v>
      </c>
      <c r="C58" s="10">
        <f>22.2961 * CHOOSE(CONTROL!$C$9, $D$9, 100%, $F$9) + CHOOSE(CONTROL!$C$27, 0.0021, 0)</f>
        <v>22.298199999999998</v>
      </c>
      <c r="D58" s="10">
        <f>22.2961 * CHOOSE(CONTROL!$C$9, $D$9, 100%, $F$9) + CHOOSE(CONTROL!$C$27, 0.0021, 0)</f>
        <v>22.298199999999998</v>
      </c>
      <c r="E58" s="10">
        <f>22.1595 * CHOOSE(CONTROL!$C$9, $D$9, 100%, $F$9) + CHOOSE(CONTROL!$C$27, 0.0021, 0)</f>
        <v>22.1616</v>
      </c>
      <c r="F58" s="10">
        <f>22.1595 * CHOOSE(CONTROL!$C$9, $D$9, 100%, $F$9) + CHOOSE(CONTROL!$C$27, 0.0021, 0)</f>
        <v>22.1616</v>
      </c>
      <c r="G58" s="10">
        <f>22.4309 * CHOOSE(CONTROL!$C$9, $D$9, 100%, $F$9) + CHOOSE(CONTROL!$C$27, 0.0021, 0)</f>
        <v>22.433</v>
      </c>
      <c r="H58" s="10">
        <f>22.2961 * CHOOSE(CONTROL!$C$9, $D$9, 100%, $F$9) + CHOOSE(CONTROL!$C$27, 0.0021, 0)</f>
        <v>22.298199999999998</v>
      </c>
      <c r="I58" s="10">
        <f>22.2961 * CHOOSE(CONTROL!$C$9, $D$9, 100%, $F$9) + CHOOSE(CONTROL!$C$27, 0.0021, 0)</f>
        <v>22.298199999999998</v>
      </c>
      <c r="J58" s="10">
        <f>22.2961 * CHOOSE(CONTROL!$C$9, $D$9, 100%, $F$9) + CHOOSE(CONTROL!$C$27, 0.0021, 0)</f>
        <v>22.298199999999998</v>
      </c>
      <c r="K58" s="10">
        <f>22.2961 * CHOOSE(CONTROL!$C$9, $D$9, 100%, $F$9) + CHOOSE(CONTROL!$C$27, 0.0021, 0)</f>
        <v>22.298199999999998</v>
      </c>
      <c r="L58" s="10"/>
    </row>
    <row r="59" spans="1:12" ht="15" x14ac:dyDescent="0.2">
      <c r="A59" s="16">
        <v>43070</v>
      </c>
      <c r="B59" s="10">
        <f>22.3277 * CHOOSE(CONTROL!$C$9, $D$9, 100%, $F$9) + CHOOSE(CONTROL!$C$27, 0.0021, 0)</f>
        <v>22.329799999999999</v>
      </c>
      <c r="C59" s="10">
        <f>21.8954 * CHOOSE(CONTROL!$C$9, $D$9, 100%, $F$9) + CHOOSE(CONTROL!$C$27, 0.0021, 0)</f>
        <v>21.897499999999997</v>
      </c>
      <c r="D59" s="10">
        <f>21.8954 * CHOOSE(CONTROL!$C$9, $D$9, 100%, $F$9) + CHOOSE(CONTROL!$C$27, 0.0021, 0)</f>
        <v>21.897499999999997</v>
      </c>
      <c r="E59" s="10">
        <f>21.7588 * CHOOSE(CONTROL!$C$9, $D$9, 100%, $F$9) + CHOOSE(CONTROL!$C$27, 0.0021, 0)</f>
        <v>21.760899999999999</v>
      </c>
      <c r="F59" s="10">
        <f>21.7588 * CHOOSE(CONTROL!$C$9, $D$9, 100%, $F$9) + CHOOSE(CONTROL!$C$27, 0.0021, 0)</f>
        <v>21.760899999999999</v>
      </c>
      <c r="G59" s="10">
        <f>22.0301 * CHOOSE(CONTROL!$C$9, $D$9, 100%, $F$9) + CHOOSE(CONTROL!$C$27, 0.0021, 0)</f>
        <v>22.0322</v>
      </c>
      <c r="H59" s="10">
        <f>21.8954 * CHOOSE(CONTROL!$C$9, $D$9, 100%, $F$9) + CHOOSE(CONTROL!$C$27, 0.0021, 0)</f>
        <v>21.897499999999997</v>
      </c>
      <c r="I59" s="10">
        <f>21.8954 * CHOOSE(CONTROL!$C$9, $D$9, 100%, $F$9) + CHOOSE(CONTROL!$C$27, 0.0021, 0)</f>
        <v>21.897499999999997</v>
      </c>
      <c r="J59" s="10">
        <f>21.8954 * CHOOSE(CONTROL!$C$9, $D$9, 100%, $F$9) + CHOOSE(CONTROL!$C$27, 0.0021, 0)</f>
        <v>21.897499999999997</v>
      </c>
      <c r="K59" s="10">
        <f>21.8954 * CHOOSE(CONTROL!$C$9, $D$9, 100%, $F$9) + CHOOSE(CONTROL!$C$27, 0.0021, 0)</f>
        <v>21.897499999999997</v>
      </c>
      <c r="L59" s="10"/>
    </row>
    <row r="60" spans="1:12" ht="15" x14ac:dyDescent="0.2">
      <c r="A60" s="16">
        <v>43101</v>
      </c>
      <c r="B60" s="10">
        <f>22.3463 * CHOOSE(CONTROL!$C$9, $D$9, 100%, $F$9) + CHOOSE(CONTROL!$C$27, 0.0021, 0)</f>
        <v>22.348399999999998</v>
      </c>
      <c r="C60" s="10">
        <f>21.9141 * CHOOSE(CONTROL!$C$9, $D$9, 100%, $F$9) + CHOOSE(CONTROL!$C$27, 0.0021, 0)</f>
        <v>21.9162</v>
      </c>
      <c r="D60" s="10">
        <f>21.9141 * CHOOSE(CONTROL!$C$9, $D$9, 100%, $F$9) + CHOOSE(CONTROL!$C$27, 0.0021, 0)</f>
        <v>21.9162</v>
      </c>
      <c r="E60" s="10">
        <f>21.7774 * CHOOSE(CONTROL!$C$9, $D$9, 100%, $F$9) + CHOOSE(CONTROL!$C$27, 0.0021, 0)</f>
        <v>21.779499999999999</v>
      </c>
      <c r="F60" s="10">
        <f>21.7774 * CHOOSE(CONTROL!$C$9, $D$9, 100%, $F$9) + CHOOSE(CONTROL!$C$27, 0.0021, 0)</f>
        <v>21.779499999999999</v>
      </c>
      <c r="G60" s="10">
        <f>22.0488 * CHOOSE(CONTROL!$C$9, $D$9, 100%, $F$9) + CHOOSE(CONTROL!$C$27, 0.0021, 0)</f>
        <v>22.050899999999999</v>
      </c>
      <c r="H60" s="10">
        <f>21.9141 * CHOOSE(CONTROL!$C$9, $D$9, 100%, $F$9) + CHOOSE(CONTROL!$C$27, 0.0021, 0)</f>
        <v>21.9162</v>
      </c>
      <c r="I60" s="10">
        <f>21.9141 * CHOOSE(CONTROL!$C$9, $D$9, 100%, $F$9) + CHOOSE(CONTROL!$C$27, 0.0021, 0)</f>
        <v>21.9162</v>
      </c>
      <c r="J60" s="10">
        <f>21.9141 * CHOOSE(CONTROL!$C$9, $D$9, 100%, $F$9) + CHOOSE(CONTROL!$C$27, 0.0021, 0)</f>
        <v>21.9162</v>
      </c>
      <c r="K60" s="10">
        <f>21.9141 * CHOOSE(CONTROL!$C$9, $D$9, 100%, $F$9) + CHOOSE(CONTROL!$C$27, 0.0021, 0)</f>
        <v>21.9162</v>
      </c>
      <c r="L60" s="10"/>
    </row>
    <row r="61" spans="1:12" ht="15" x14ac:dyDescent="0.2">
      <c r="A61" s="16">
        <v>43132</v>
      </c>
      <c r="B61" s="10">
        <f>21.7791 * CHOOSE(CONTROL!$C$9, $D$9, 100%, $F$9) + CHOOSE(CONTROL!$C$27, 0.0021, 0)</f>
        <v>21.781199999999998</v>
      </c>
      <c r="C61" s="10">
        <f>21.3468 * CHOOSE(CONTROL!$C$9, $D$9, 100%, $F$9) + CHOOSE(CONTROL!$C$27, 0.0021, 0)</f>
        <v>21.3489</v>
      </c>
      <c r="D61" s="10">
        <f>21.3468 * CHOOSE(CONTROL!$C$9, $D$9, 100%, $F$9) + CHOOSE(CONTROL!$C$27, 0.0021, 0)</f>
        <v>21.3489</v>
      </c>
      <c r="E61" s="10">
        <f>21.2102 * CHOOSE(CONTROL!$C$9, $D$9, 100%, $F$9) + CHOOSE(CONTROL!$C$27, 0.0021, 0)</f>
        <v>21.212299999999999</v>
      </c>
      <c r="F61" s="10">
        <f>21.2102 * CHOOSE(CONTROL!$C$9, $D$9, 100%, $F$9) + CHOOSE(CONTROL!$C$27, 0.0021, 0)</f>
        <v>21.212299999999999</v>
      </c>
      <c r="G61" s="10">
        <f>21.4816 * CHOOSE(CONTROL!$C$9, $D$9, 100%, $F$9) + CHOOSE(CONTROL!$C$27, 0.0021, 0)</f>
        <v>21.483699999999999</v>
      </c>
      <c r="H61" s="10">
        <f>21.3468 * CHOOSE(CONTROL!$C$9, $D$9, 100%, $F$9) + CHOOSE(CONTROL!$C$27, 0.0021, 0)</f>
        <v>21.3489</v>
      </c>
      <c r="I61" s="10">
        <f>21.3468 * CHOOSE(CONTROL!$C$9, $D$9, 100%, $F$9) + CHOOSE(CONTROL!$C$27, 0.0021, 0)</f>
        <v>21.3489</v>
      </c>
      <c r="J61" s="10">
        <f>21.3468 * CHOOSE(CONTROL!$C$9, $D$9, 100%, $F$9) + CHOOSE(CONTROL!$C$27, 0.0021, 0)</f>
        <v>21.3489</v>
      </c>
      <c r="K61" s="10">
        <f>21.3468 * CHOOSE(CONTROL!$C$9, $D$9, 100%, $F$9) + CHOOSE(CONTROL!$C$27, 0.0021, 0)</f>
        <v>21.3489</v>
      </c>
      <c r="L61" s="10"/>
    </row>
    <row r="62" spans="1:12" ht="15" x14ac:dyDescent="0.2">
      <c r="A62" s="16">
        <v>43160</v>
      </c>
      <c r="B62" s="10">
        <f>21.5449 * CHOOSE(CONTROL!$C$9, $D$9, 100%, $F$9) + CHOOSE(CONTROL!$C$27, 0.0021, 0)</f>
        <v>21.546999999999997</v>
      </c>
      <c r="C62" s="10">
        <f>21.1127 * CHOOSE(CONTROL!$C$9, $D$9, 100%, $F$9) + CHOOSE(CONTROL!$C$27, 0.0021, 0)</f>
        <v>21.114799999999999</v>
      </c>
      <c r="D62" s="10">
        <f>21.1127 * CHOOSE(CONTROL!$C$9, $D$9, 100%, $F$9) + CHOOSE(CONTROL!$C$27, 0.0021, 0)</f>
        <v>21.114799999999999</v>
      </c>
      <c r="E62" s="10">
        <f>20.976 * CHOOSE(CONTROL!$C$9, $D$9, 100%, $F$9) + CHOOSE(CONTROL!$C$27, 0.0021, 0)</f>
        <v>20.978099999999998</v>
      </c>
      <c r="F62" s="10">
        <f>20.976 * CHOOSE(CONTROL!$C$9, $D$9, 100%, $F$9) + CHOOSE(CONTROL!$C$27, 0.0021, 0)</f>
        <v>20.978099999999998</v>
      </c>
      <c r="G62" s="10">
        <f>21.2474 * CHOOSE(CONTROL!$C$9, $D$9, 100%, $F$9) + CHOOSE(CONTROL!$C$27, 0.0021, 0)</f>
        <v>21.249499999999998</v>
      </c>
      <c r="H62" s="10">
        <f>21.1127 * CHOOSE(CONTROL!$C$9, $D$9, 100%, $F$9) + CHOOSE(CONTROL!$C$27, 0.0021, 0)</f>
        <v>21.114799999999999</v>
      </c>
      <c r="I62" s="10">
        <f>21.1127 * CHOOSE(CONTROL!$C$9, $D$9, 100%, $F$9) + CHOOSE(CONTROL!$C$27, 0.0021, 0)</f>
        <v>21.114799999999999</v>
      </c>
      <c r="J62" s="10">
        <f>21.1127 * CHOOSE(CONTROL!$C$9, $D$9, 100%, $F$9) + CHOOSE(CONTROL!$C$27, 0.0021, 0)</f>
        <v>21.114799999999999</v>
      </c>
      <c r="K62" s="10">
        <f>21.1127 * CHOOSE(CONTROL!$C$9, $D$9, 100%, $F$9) + CHOOSE(CONTROL!$C$27, 0.0021, 0)</f>
        <v>21.114799999999999</v>
      </c>
      <c r="L62" s="10"/>
    </row>
    <row r="63" spans="1:12" ht="15" x14ac:dyDescent="0.2">
      <c r="A63" s="16">
        <v>43191</v>
      </c>
      <c r="B63" s="10">
        <f>21.2653 * CHOOSE(CONTROL!$C$9, $D$9, 100%, $F$9) + CHOOSE(CONTROL!$C$27, 0.0021, 0)</f>
        <v>21.267399999999999</v>
      </c>
      <c r="C63" s="10">
        <f>20.8331 * CHOOSE(CONTROL!$C$9, $D$9, 100%, $F$9) + CHOOSE(CONTROL!$C$27, 0.0021, 0)</f>
        <v>20.8352</v>
      </c>
      <c r="D63" s="10">
        <f>20.8331 * CHOOSE(CONTROL!$C$9, $D$9, 100%, $F$9) + CHOOSE(CONTROL!$C$27, 0.0021, 0)</f>
        <v>20.8352</v>
      </c>
      <c r="E63" s="10">
        <f>20.6964 * CHOOSE(CONTROL!$C$9, $D$9, 100%, $F$9) + CHOOSE(CONTROL!$C$27, 0.0021, 0)</f>
        <v>20.698499999999999</v>
      </c>
      <c r="F63" s="10">
        <f>20.6964 * CHOOSE(CONTROL!$C$9, $D$9, 100%, $F$9) + CHOOSE(CONTROL!$C$27, 0.0021, 0)</f>
        <v>20.698499999999999</v>
      </c>
      <c r="G63" s="10">
        <f>20.9678 * CHOOSE(CONTROL!$C$9, $D$9, 100%, $F$9) + CHOOSE(CONTROL!$C$27, 0.0021, 0)</f>
        <v>20.969899999999999</v>
      </c>
      <c r="H63" s="10">
        <f>20.8331 * CHOOSE(CONTROL!$C$9, $D$9, 100%, $F$9) + CHOOSE(CONTROL!$C$27, 0.0021, 0)</f>
        <v>20.8352</v>
      </c>
      <c r="I63" s="10">
        <f>20.8331 * CHOOSE(CONTROL!$C$9, $D$9, 100%, $F$9) + CHOOSE(CONTROL!$C$27, 0.0021, 0)</f>
        <v>20.8352</v>
      </c>
      <c r="J63" s="10">
        <f>20.8331 * CHOOSE(CONTROL!$C$9, $D$9, 100%, $F$9) + CHOOSE(CONTROL!$C$27, 0.0021, 0)</f>
        <v>20.8352</v>
      </c>
      <c r="K63" s="10">
        <f>20.8331 * CHOOSE(CONTROL!$C$9, $D$9, 100%, $F$9) + CHOOSE(CONTROL!$C$27, 0.0021, 0)</f>
        <v>20.8352</v>
      </c>
      <c r="L63" s="10"/>
    </row>
    <row r="64" spans="1:12" ht="15" x14ac:dyDescent="0.2">
      <c r="A64" s="16">
        <v>43221</v>
      </c>
      <c r="B64" s="10">
        <f>21.6638 * CHOOSE(CONTROL!$C$9, $D$9, 100%, $F$9) + CHOOSE(CONTROL!$C$27, 0.0021, 0)</f>
        <v>21.665899999999997</v>
      </c>
      <c r="C64" s="10">
        <f>21.2315 * CHOOSE(CONTROL!$C$9, $D$9, 100%, $F$9) + CHOOSE(CONTROL!$C$27, 0.0021, 0)</f>
        <v>21.233599999999999</v>
      </c>
      <c r="D64" s="10">
        <f>21.2315 * CHOOSE(CONTROL!$C$9, $D$9, 100%, $F$9) + CHOOSE(CONTROL!$C$27, 0.0021, 0)</f>
        <v>21.233599999999999</v>
      </c>
      <c r="E64" s="10">
        <f>21.0949 * CHOOSE(CONTROL!$C$9, $D$9, 100%, $F$9) + CHOOSE(CONTROL!$C$27, 0.0021, 0)</f>
        <v>21.096999999999998</v>
      </c>
      <c r="F64" s="10">
        <f>21.0949 * CHOOSE(CONTROL!$C$9, $D$9, 100%, $F$9) + CHOOSE(CONTROL!$C$27, 0.0021, 0)</f>
        <v>21.096999999999998</v>
      </c>
      <c r="G64" s="10">
        <f>21.3663 * CHOOSE(CONTROL!$C$9, $D$9, 100%, $F$9) + CHOOSE(CONTROL!$C$27, 0.0021, 0)</f>
        <v>21.368399999999998</v>
      </c>
      <c r="H64" s="10">
        <f>21.2315 * CHOOSE(CONTROL!$C$9, $D$9, 100%, $F$9) + CHOOSE(CONTROL!$C$27, 0.0021, 0)</f>
        <v>21.233599999999999</v>
      </c>
      <c r="I64" s="10">
        <f>21.2315 * CHOOSE(CONTROL!$C$9, $D$9, 100%, $F$9) + CHOOSE(CONTROL!$C$27, 0.0021, 0)</f>
        <v>21.233599999999999</v>
      </c>
      <c r="J64" s="10">
        <f>21.2315 * CHOOSE(CONTROL!$C$9, $D$9, 100%, $F$9) + CHOOSE(CONTROL!$C$27, 0.0021, 0)</f>
        <v>21.233599999999999</v>
      </c>
      <c r="K64" s="10">
        <f>21.2315 * CHOOSE(CONTROL!$C$9, $D$9, 100%, $F$9) + CHOOSE(CONTROL!$C$27, 0.0021, 0)</f>
        <v>21.233599999999999</v>
      </c>
      <c r="L64" s="10"/>
    </row>
    <row r="65" spans="1:12" ht="15" x14ac:dyDescent="0.2">
      <c r="A65" s="16">
        <v>43252</v>
      </c>
      <c r="B65" s="10">
        <f>21.9024 * CHOOSE(CONTROL!$C$9, $D$9, 100%, $F$9) + CHOOSE(CONTROL!$C$27, 0.0021, 0)</f>
        <v>21.904499999999999</v>
      </c>
      <c r="C65" s="10">
        <f>21.4702 * CHOOSE(CONTROL!$C$9, $D$9, 100%, $F$9) + CHOOSE(CONTROL!$C$27, 0.0021, 0)</f>
        <v>21.472299999999997</v>
      </c>
      <c r="D65" s="10">
        <f>21.4702 * CHOOSE(CONTROL!$C$9, $D$9, 100%, $F$9) + CHOOSE(CONTROL!$C$27, 0.0021, 0)</f>
        <v>21.472299999999997</v>
      </c>
      <c r="E65" s="10">
        <f>21.3335 * CHOOSE(CONTROL!$C$9, $D$9, 100%, $F$9) + CHOOSE(CONTROL!$C$27, 0.0021, 0)</f>
        <v>21.335599999999999</v>
      </c>
      <c r="F65" s="10">
        <f>21.3335 * CHOOSE(CONTROL!$C$9, $D$9, 100%, $F$9) + CHOOSE(CONTROL!$C$27, 0.0021, 0)</f>
        <v>21.335599999999999</v>
      </c>
      <c r="G65" s="10">
        <f>21.6049 * CHOOSE(CONTROL!$C$9, $D$9, 100%, $F$9) + CHOOSE(CONTROL!$C$27, 0.0021, 0)</f>
        <v>21.606999999999999</v>
      </c>
      <c r="H65" s="10">
        <f>21.4702 * CHOOSE(CONTROL!$C$9, $D$9, 100%, $F$9) + CHOOSE(CONTROL!$C$27, 0.0021, 0)</f>
        <v>21.472299999999997</v>
      </c>
      <c r="I65" s="10">
        <f>21.4702 * CHOOSE(CONTROL!$C$9, $D$9, 100%, $F$9) + CHOOSE(CONTROL!$C$27, 0.0021, 0)</f>
        <v>21.472299999999997</v>
      </c>
      <c r="J65" s="10">
        <f>21.4702 * CHOOSE(CONTROL!$C$9, $D$9, 100%, $F$9) + CHOOSE(CONTROL!$C$27, 0.0021, 0)</f>
        <v>21.472299999999997</v>
      </c>
      <c r="K65" s="10">
        <f>21.4702 * CHOOSE(CONTROL!$C$9, $D$9, 100%, $F$9) + CHOOSE(CONTROL!$C$27, 0.0021, 0)</f>
        <v>21.472299999999997</v>
      </c>
      <c r="L65" s="10"/>
    </row>
    <row r="66" spans="1:12" ht="15" x14ac:dyDescent="0.2">
      <c r="A66" s="16">
        <v>43282</v>
      </c>
      <c r="B66" s="10">
        <f>22.2961 * CHOOSE(CONTROL!$C$9, $D$9, 100%, $F$9) + CHOOSE(CONTROL!$C$27, 0.0021, 0)</f>
        <v>22.298199999999998</v>
      </c>
      <c r="C66" s="10">
        <f>21.8639 * CHOOSE(CONTROL!$C$9, $D$9, 100%, $F$9) + CHOOSE(CONTROL!$C$27, 0.0021, 0)</f>
        <v>21.866</v>
      </c>
      <c r="D66" s="10">
        <f>21.8639 * CHOOSE(CONTROL!$C$9, $D$9, 100%, $F$9) + CHOOSE(CONTROL!$C$27, 0.0021, 0)</f>
        <v>21.866</v>
      </c>
      <c r="E66" s="10">
        <f>21.7272 * CHOOSE(CONTROL!$C$9, $D$9, 100%, $F$9) + CHOOSE(CONTROL!$C$27, 0.0021, 0)</f>
        <v>21.729299999999999</v>
      </c>
      <c r="F66" s="10">
        <f>21.7272 * CHOOSE(CONTROL!$C$9, $D$9, 100%, $F$9) + CHOOSE(CONTROL!$C$27, 0.0021, 0)</f>
        <v>21.729299999999999</v>
      </c>
      <c r="G66" s="10">
        <f>21.9986 * CHOOSE(CONTROL!$C$9, $D$9, 100%, $F$9) + CHOOSE(CONTROL!$C$27, 0.0021, 0)</f>
        <v>22.000699999999998</v>
      </c>
      <c r="H66" s="10">
        <f>21.8639 * CHOOSE(CONTROL!$C$9, $D$9, 100%, $F$9) + CHOOSE(CONTROL!$C$27, 0.0021, 0)</f>
        <v>21.866</v>
      </c>
      <c r="I66" s="10">
        <f>21.8639 * CHOOSE(CONTROL!$C$9, $D$9, 100%, $F$9) + CHOOSE(CONTROL!$C$27, 0.0021, 0)</f>
        <v>21.866</v>
      </c>
      <c r="J66" s="10">
        <f>21.8639 * CHOOSE(CONTROL!$C$9, $D$9, 100%, $F$9) + CHOOSE(CONTROL!$C$27, 0.0021, 0)</f>
        <v>21.866</v>
      </c>
      <c r="K66" s="10">
        <f>21.8639 * CHOOSE(CONTROL!$C$9, $D$9, 100%, $F$9) + CHOOSE(CONTROL!$C$27, 0.0021, 0)</f>
        <v>21.866</v>
      </c>
      <c r="L66" s="10"/>
    </row>
    <row r="67" spans="1:12" ht="15" x14ac:dyDescent="0.2">
      <c r="A67" s="16">
        <v>43313</v>
      </c>
      <c r="B67" s="10">
        <f>22.4163 * CHOOSE(CONTROL!$C$9, $D$9, 100%, $F$9) + CHOOSE(CONTROL!$C$27, 0.0021, 0)</f>
        <v>22.418399999999998</v>
      </c>
      <c r="C67" s="10">
        <f>21.984 * CHOOSE(CONTROL!$C$9, $D$9, 100%, $F$9) + CHOOSE(CONTROL!$C$27, 0.0021, 0)</f>
        <v>21.9861</v>
      </c>
      <c r="D67" s="10">
        <f>21.984 * CHOOSE(CONTROL!$C$9, $D$9, 100%, $F$9) + CHOOSE(CONTROL!$C$27, 0.0021, 0)</f>
        <v>21.9861</v>
      </c>
      <c r="E67" s="10">
        <f>21.8474 * CHOOSE(CONTROL!$C$9, $D$9, 100%, $F$9) + CHOOSE(CONTROL!$C$27, 0.0021, 0)</f>
        <v>21.849499999999999</v>
      </c>
      <c r="F67" s="10">
        <f>21.8474 * CHOOSE(CONTROL!$C$9, $D$9, 100%, $F$9) + CHOOSE(CONTROL!$C$27, 0.0021, 0)</f>
        <v>21.849499999999999</v>
      </c>
      <c r="G67" s="10">
        <f>22.1188 * CHOOSE(CONTROL!$C$9, $D$9, 100%, $F$9) + CHOOSE(CONTROL!$C$27, 0.0021, 0)</f>
        <v>22.120899999999999</v>
      </c>
      <c r="H67" s="10">
        <f>21.984 * CHOOSE(CONTROL!$C$9, $D$9, 100%, $F$9) + CHOOSE(CONTROL!$C$27, 0.0021, 0)</f>
        <v>21.9861</v>
      </c>
      <c r="I67" s="10">
        <f>21.984 * CHOOSE(CONTROL!$C$9, $D$9, 100%, $F$9) + CHOOSE(CONTROL!$C$27, 0.0021, 0)</f>
        <v>21.9861</v>
      </c>
      <c r="J67" s="10">
        <f>21.984 * CHOOSE(CONTROL!$C$9, $D$9, 100%, $F$9) + CHOOSE(CONTROL!$C$27, 0.0021, 0)</f>
        <v>21.9861</v>
      </c>
      <c r="K67" s="10">
        <f>21.984 * CHOOSE(CONTROL!$C$9, $D$9, 100%, $F$9) + CHOOSE(CONTROL!$C$27, 0.0021, 0)</f>
        <v>21.9861</v>
      </c>
      <c r="L67" s="10"/>
    </row>
    <row r="68" spans="1:12" ht="15" x14ac:dyDescent="0.2">
      <c r="A68" s="16">
        <v>43344</v>
      </c>
      <c r="B68" s="10">
        <f>22.8255 * CHOOSE(CONTROL!$C$9, $D$9, 100%, $F$9) + CHOOSE(CONTROL!$C$27, 0.0021, 0)</f>
        <v>22.8276</v>
      </c>
      <c r="C68" s="10">
        <f>22.3933 * CHOOSE(CONTROL!$C$9, $D$9, 100%, $F$9) + CHOOSE(CONTROL!$C$27, 0.0021, 0)</f>
        <v>22.395399999999999</v>
      </c>
      <c r="D68" s="10">
        <f>22.3933 * CHOOSE(CONTROL!$C$9, $D$9, 100%, $F$9) + CHOOSE(CONTROL!$C$27, 0.0021, 0)</f>
        <v>22.395399999999999</v>
      </c>
      <c r="E68" s="10">
        <f>22.2566 * CHOOSE(CONTROL!$C$9, $D$9, 100%, $F$9) + CHOOSE(CONTROL!$C$27, 0.0021, 0)</f>
        <v>22.258699999999997</v>
      </c>
      <c r="F68" s="10">
        <f>22.2566 * CHOOSE(CONTROL!$C$9, $D$9, 100%, $F$9) + CHOOSE(CONTROL!$C$27, 0.0021, 0)</f>
        <v>22.258699999999997</v>
      </c>
      <c r="G68" s="10">
        <f>22.528 * CHOOSE(CONTROL!$C$9, $D$9, 100%, $F$9) + CHOOSE(CONTROL!$C$27, 0.0021, 0)</f>
        <v>22.530099999999997</v>
      </c>
      <c r="H68" s="10">
        <f>22.3933 * CHOOSE(CONTROL!$C$9, $D$9, 100%, $F$9) + CHOOSE(CONTROL!$C$27, 0.0021, 0)</f>
        <v>22.395399999999999</v>
      </c>
      <c r="I68" s="10">
        <f>22.3933 * CHOOSE(CONTROL!$C$9, $D$9, 100%, $F$9) + CHOOSE(CONTROL!$C$27, 0.0021, 0)</f>
        <v>22.395399999999999</v>
      </c>
      <c r="J68" s="10">
        <f>22.3933 * CHOOSE(CONTROL!$C$9, $D$9, 100%, $F$9) + CHOOSE(CONTROL!$C$27, 0.0021, 0)</f>
        <v>22.395399999999999</v>
      </c>
      <c r="K68" s="10">
        <f>22.3933 * CHOOSE(CONTROL!$C$9, $D$9, 100%, $F$9) + CHOOSE(CONTROL!$C$27, 0.0021, 0)</f>
        <v>22.395399999999999</v>
      </c>
      <c r="L68" s="10"/>
    </row>
    <row r="69" spans="1:12" ht="15" x14ac:dyDescent="0.2">
      <c r="A69" s="16">
        <v>43374</v>
      </c>
      <c r="B69" s="10">
        <f>23.3435 * CHOOSE(CONTROL!$C$9, $D$9, 100%, $F$9) + CHOOSE(CONTROL!$C$27, 0.0021, 0)</f>
        <v>23.345599999999997</v>
      </c>
      <c r="C69" s="10">
        <f>22.9113 * CHOOSE(CONTROL!$C$9, $D$9, 100%, $F$9) + CHOOSE(CONTROL!$C$27, 0.0021, 0)</f>
        <v>22.913399999999999</v>
      </c>
      <c r="D69" s="10">
        <f>22.9113 * CHOOSE(CONTROL!$C$9, $D$9, 100%, $F$9) + CHOOSE(CONTROL!$C$27, 0.0021, 0)</f>
        <v>22.913399999999999</v>
      </c>
      <c r="E69" s="10">
        <f>22.7746 * CHOOSE(CONTROL!$C$9, $D$9, 100%, $F$9) + CHOOSE(CONTROL!$C$27, 0.0021, 0)</f>
        <v>22.776699999999998</v>
      </c>
      <c r="F69" s="10">
        <f>22.7746 * CHOOSE(CONTROL!$C$9, $D$9, 100%, $F$9) + CHOOSE(CONTROL!$C$27, 0.0021, 0)</f>
        <v>22.776699999999998</v>
      </c>
      <c r="G69" s="10">
        <f>23.046 * CHOOSE(CONTROL!$C$9, $D$9, 100%, $F$9) + CHOOSE(CONTROL!$C$27, 0.0021, 0)</f>
        <v>23.048099999999998</v>
      </c>
      <c r="H69" s="10">
        <f>22.9113 * CHOOSE(CONTROL!$C$9, $D$9, 100%, $F$9) + CHOOSE(CONTROL!$C$27, 0.0021, 0)</f>
        <v>22.913399999999999</v>
      </c>
      <c r="I69" s="10">
        <f>22.9113 * CHOOSE(CONTROL!$C$9, $D$9, 100%, $F$9) + CHOOSE(CONTROL!$C$27, 0.0021, 0)</f>
        <v>22.913399999999999</v>
      </c>
      <c r="J69" s="10">
        <f>22.9113 * CHOOSE(CONTROL!$C$9, $D$9, 100%, $F$9) + CHOOSE(CONTROL!$C$27, 0.0021, 0)</f>
        <v>22.913399999999999</v>
      </c>
      <c r="K69" s="10">
        <f>22.9113 * CHOOSE(CONTROL!$C$9, $D$9, 100%, $F$9) + CHOOSE(CONTROL!$C$27, 0.0021, 0)</f>
        <v>22.913399999999999</v>
      </c>
      <c r="L69" s="10"/>
    </row>
    <row r="70" spans="1:12" ht="15" x14ac:dyDescent="0.2">
      <c r="A70" s="16">
        <v>43405</v>
      </c>
      <c r="B70" s="10">
        <f>23.3921 * CHOOSE(CONTROL!$C$9, $D$9, 100%, $F$9) + CHOOSE(CONTROL!$C$27, 0.0021, 0)</f>
        <v>23.394199999999998</v>
      </c>
      <c r="C70" s="10">
        <f>22.9599 * CHOOSE(CONTROL!$C$9, $D$9, 100%, $F$9) + CHOOSE(CONTROL!$C$27, 0.0021, 0)</f>
        <v>22.962</v>
      </c>
      <c r="D70" s="10">
        <f>22.9599 * CHOOSE(CONTROL!$C$9, $D$9, 100%, $F$9) + CHOOSE(CONTROL!$C$27, 0.0021, 0)</f>
        <v>22.962</v>
      </c>
      <c r="E70" s="10">
        <f>22.8232 * CHOOSE(CONTROL!$C$9, $D$9, 100%, $F$9) + CHOOSE(CONTROL!$C$27, 0.0021, 0)</f>
        <v>22.825299999999999</v>
      </c>
      <c r="F70" s="10">
        <f>22.8232 * CHOOSE(CONTROL!$C$9, $D$9, 100%, $F$9) + CHOOSE(CONTROL!$C$27, 0.0021, 0)</f>
        <v>22.825299999999999</v>
      </c>
      <c r="G70" s="10">
        <f>23.0946 * CHOOSE(CONTROL!$C$9, $D$9, 100%, $F$9) + CHOOSE(CONTROL!$C$27, 0.0021, 0)</f>
        <v>23.096699999999998</v>
      </c>
      <c r="H70" s="10">
        <f>22.9599 * CHOOSE(CONTROL!$C$9, $D$9, 100%, $F$9) + CHOOSE(CONTROL!$C$27, 0.0021, 0)</f>
        <v>22.962</v>
      </c>
      <c r="I70" s="10">
        <f>22.9599 * CHOOSE(CONTROL!$C$9, $D$9, 100%, $F$9) + CHOOSE(CONTROL!$C$27, 0.0021, 0)</f>
        <v>22.962</v>
      </c>
      <c r="J70" s="10">
        <f>22.9599 * CHOOSE(CONTROL!$C$9, $D$9, 100%, $F$9) + CHOOSE(CONTROL!$C$27, 0.0021, 0)</f>
        <v>22.962</v>
      </c>
      <c r="K70" s="10">
        <f>22.9599 * CHOOSE(CONTROL!$C$9, $D$9, 100%, $F$9) + CHOOSE(CONTROL!$C$27, 0.0021, 0)</f>
        <v>22.962</v>
      </c>
      <c r="L70" s="10"/>
    </row>
    <row r="71" spans="1:12" ht="15" x14ac:dyDescent="0.2">
      <c r="A71" s="16">
        <v>43435</v>
      </c>
      <c r="B71" s="10">
        <f>22.9784 * CHOOSE(CONTROL!$C$9, $D$9, 100%, $F$9) + CHOOSE(CONTROL!$C$27, 0.0021, 0)</f>
        <v>22.980499999999999</v>
      </c>
      <c r="C71" s="10">
        <f>22.5462 * CHOOSE(CONTROL!$C$9, $D$9, 100%, $F$9) + CHOOSE(CONTROL!$C$27, 0.0021, 0)</f>
        <v>22.548299999999998</v>
      </c>
      <c r="D71" s="10">
        <f>22.5462 * CHOOSE(CONTROL!$C$9, $D$9, 100%, $F$9) + CHOOSE(CONTROL!$C$27, 0.0021, 0)</f>
        <v>22.548299999999998</v>
      </c>
      <c r="E71" s="10">
        <f>22.4095 * CHOOSE(CONTROL!$C$9, $D$9, 100%, $F$9) + CHOOSE(CONTROL!$C$27, 0.0021, 0)</f>
        <v>22.4116</v>
      </c>
      <c r="F71" s="10">
        <f>22.4095 * CHOOSE(CONTROL!$C$9, $D$9, 100%, $F$9) + CHOOSE(CONTROL!$C$27, 0.0021, 0)</f>
        <v>22.4116</v>
      </c>
      <c r="G71" s="10">
        <f>22.6809 * CHOOSE(CONTROL!$C$9, $D$9, 100%, $F$9) + CHOOSE(CONTROL!$C$27, 0.0021, 0)</f>
        <v>22.683</v>
      </c>
      <c r="H71" s="10">
        <f>22.5462 * CHOOSE(CONTROL!$C$9, $D$9, 100%, $F$9) + CHOOSE(CONTROL!$C$27, 0.0021, 0)</f>
        <v>22.548299999999998</v>
      </c>
      <c r="I71" s="10">
        <f>22.5462 * CHOOSE(CONTROL!$C$9, $D$9, 100%, $F$9) + CHOOSE(CONTROL!$C$27, 0.0021, 0)</f>
        <v>22.548299999999998</v>
      </c>
      <c r="J71" s="10">
        <f>22.5462 * CHOOSE(CONTROL!$C$9, $D$9, 100%, $F$9) + CHOOSE(CONTROL!$C$27, 0.0021, 0)</f>
        <v>22.548299999999998</v>
      </c>
      <c r="K71" s="10">
        <f>22.5462 * CHOOSE(CONTROL!$C$9, $D$9, 100%, $F$9) + CHOOSE(CONTROL!$C$27, 0.0021, 0)</f>
        <v>22.548299999999998</v>
      </c>
      <c r="L71" s="10"/>
    </row>
    <row r="72" spans="1:12" ht="15" x14ac:dyDescent="0.2">
      <c r="A72" s="16">
        <v>43466</v>
      </c>
      <c r="B72" s="10">
        <f>24.1109 * CHOOSE(CONTROL!$C$9, $D$9, 100%, $F$9) + CHOOSE(CONTROL!$C$27, 0.0021, 0)</f>
        <v>24.113</v>
      </c>
      <c r="C72" s="10">
        <f>23.6787 * CHOOSE(CONTROL!$C$9, $D$9, 100%, $F$9) + CHOOSE(CONTROL!$C$27, 0.0021, 0)</f>
        <v>23.680799999999998</v>
      </c>
      <c r="D72" s="10">
        <f>23.6787 * CHOOSE(CONTROL!$C$9, $D$9, 100%, $F$9) + CHOOSE(CONTROL!$C$27, 0.0021, 0)</f>
        <v>23.680799999999998</v>
      </c>
      <c r="E72" s="10">
        <f>23.542 * CHOOSE(CONTROL!$C$9, $D$9, 100%, $F$9) + CHOOSE(CONTROL!$C$27, 0.0021, 0)</f>
        <v>23.5441</v>
      </c>
      <c r="F72" s="10">
        <f>23.542 * CHOOSE(CONTROL!$C$9, $D$9, 100%, $F$9) + CHOOSE(CONTROL!$C$27, 0.0021, 0)</f>
        <v>23.5441</v>
      </c>
      <c r="G72" s="10">
        <f>23.8134 * CHOOSE(CONTROL!$C$9, $D$9, 100%, $F$9) + CHOOSE(CONTROL!$C$27, 0.0021, 0)</f>
        <v>23.8155</v>
      </c>
      <c r="H72" s="10">
        <f>23.6787 * CHOOSE(CONTROL!$C$9, $D$9, 100%, $F$9) + CHOOSE(CONTROL!$C$27, 0.0021, 0)</f>
        <v>23.680799999999998</v>
      </c>
      <c r="I72" s="10">
        <f>23.6787 * CHOOSE(CONTROL!$C$9, $D$9, 100%, $F$9) + CHOOSE(CONTROL!$C$27, 0.0021, 0)</f>
        <v>23.680799999999998</v>
      </c>
      <c r="J72" s="10">
        <f>23.6787 * CHOOSE(CONTROL!$C$9, $D$9, 100%, $F$9) + CHOOSE(CONTROL!$C$27, 0.0021, 0)</f>
        <v>23.680799999999998</v>
      </c>
      <c r="K72" s="10">
        <f>23.6787 * CHOOSE(CONTROL!$C$9, $D$9, 100%, $F$9) + CHOOSE(CONTROL!$C$27, 0.0021, 0)</f>
        <v>23.680799999999998</v>
      </c>
      <c r="L72" s="10"/>
    </row>
    <row r="73" spans="1:12" ht="15" x14ac:dyDescent="0.2">
      <c r="A73" s="16">
        <v>43497</v>
      </c>
      <c r="B73" s="10">
        <f>23.4938 * CHOOSE(CONTROL!$C$9, $D$9, 100%, $F$9) + CHOOSE(CONTROL!$C$27, 0.0021, 0)</f>
        <v>23.495899999999999</v>
      </c>
      <c r="C73" s="10">
        <f>23.0615 * CHOOSE(CONTROL!$C$9, $D$9, 100%, $F$9) + CHOOSE(CONTROL!$C$27, 0.0021, 0)</f>
        <v>23.063599999999997</v>
      </c>
      <c r="D73" s="10">
        <f>23.0615 * CHOOSE(CONTROL!$C$9, $D$9, 100%, $F$9) + CHOOSE(CONTROL!$C$27, 0.0021, 0)</f>
        <v>23.063599999999997</v>
      </c>
      <c r="E73" s="10">
        <f>22.9249 * CHOOSE(CONTROL!$C$9, $D$9, 100%, $F$9) + CHOOSE(CONTROL!$C$27, 0.0021, 0)</f>
        <v>22.927</v>
      </c>
      <c r="F73" s="10">
        <f>22.9249 * CHOOSE(CONTROL!$C$9, $D$9, 100%, $F$9) + CHOOSE(CONTROL!$C$27, 0.0021, 0)</f>
        <v>22.927</v>
      </c>
      <c r="G73" s="10">
        <f>23.1963 * CHOOSE(CONTROL!$C$9, $D$9, 100%, $F$9) + CHOOSE(CONTROL!$C$27, 0.0021, 0)</f>
        <v>23.198399999999999</v>
      </c>
      <c r="H73" s="10">
        <f>23.0615 * CHOOSE(CONTROL!$C$9, $D$9, 100%, $F$9) + CHOOSE(CONTROL!$C$27, 0.0021, 0)</f>
        <v>23.063599999999997</v>
      </c>
      <c r="I73" s="10">
        <f>23.0615 * CHOOSE(CONTROL!$C$9, $D$9, 100%, $F$9) + CHOOSE(CONTROL!$C$27, 0.0021, 0)</f>
        <v>23.063599999999997</v>
      </c>
      <c r="J73" s="10">
        <f>23.0615 * CHOOSE(CONTROL!$C$9, $D$9, 100%, $F$9) + CHOOSE(CONTROL!$C$27, 0.0021, 0)</f>
        <v>23.063599999999997</v>
      </c>
      <c r="K73" s="10">
        <f>23.0615 * CHOOSE(CONTROL!$C$9, $D$9, 100%, $F$9) + CHOOSE(CONTROL!$C$27, 0.0021, 0)</f>
        <v>23.063599999999997</v>
      </c>
      <c r="L73" s="10"/>
    </row>
    <row r="74" spans="1:12" ht="15" x14ac:dyDescent="0.2">
      <c r="A74" s="16">
        <v>43525</v>
      </c>
      <c r="B74" s="10">
        <f>23.239 * CHOOSE(CONTROL!$C$9, $D$9, 100%, $F$9) + CHOOSE(CONTROL!$C$27, 0.0021, 0)</f>
        <v>23.241099999999999</v>
      </c>
      <c r="C74" s="10">
        <f>22.8068 * CHOOSE(CONTROL!$C$9, $D$9, 100%, $F$9) + CHOOSE(CONTROL!$C$27, 0.0021, 0)</f>
        <v>22.808899999999998</v>
      </c>
      <c r="D74" s="10">
        <f>22.8068 * CHOOSE(CONTROL!$C$9, $D$9, 100%, $F$9) + CHOOSE(CONTROL!$C$27, 0.0021, 0)</f>
        <v>22.808899999999998</v>
      </c>
      <c r="E74" s="10">
        <f>22.6701 * CHOOSE(CONTROL!$C$9, $D$9, 100%, $F$9) + CHOOSE(CONTROL!$C$27, 0.0021, 0)</f>
        <v>22.6722</v>
      </c>
      <c r="F74" s="10">
        <f>22.6701 * CHOOSE(CONTROL!$C$9, $D$9, 100%, $F$9) + CHOOSE(CONTROL!$C$27, 0.0021, 0)</f>
        <v>22.6722</v>
      </c>
      <c r="G74" s="10">
        <f>22.9415 * CHOOSE(CONTROL!$C$9, $D$9, 100%, $F$9) + CHOOSE(CONTROL!$C$27, 0.0021, 0)</f>
        <v>22.9436</v>
      </c>
      <c r="H74" s="10">
        <f>22.8068 * CHOOSE(CONTROL!$C$9, $D$9, 100%, $F$9) + CHOOSE(CONTROL!$C$27, 0.0021, 0)</f>
        <v>22.808899999999998</v>
      </c>
      <c r="I74" s="10">
        <f>22.8068 * CHOOSE(CONTROL!$C$9, $D$9, 100%, $F$9) + CHOOSE(CONTROL!$C$27, 0.0021, 0)</f>
        <v>22.808899999999998</v>
      </c>
      <c r="J74" s="10">
        <f>22.8068 * CHOOSE(CONTROL!$C$9, $D$9, 100%, $F$9) + CHOOSE(CONTROL!$C$27, 0.0021, 0)</f>
        <v>22.808899999999998</v>
      </c>
      <c r="K74" s="10">
        <f>22.8068 * CHOOSE(CONTROL!$C$9, $D$9, 100%, $F$9) + CHOOSE(CONTROL!$C$27, 0.0021, 0)</f>
        <v>22.808899999999998</v>
      </c>
      <c r="L74" s="10"/>
    </row>
    <row r="75" spans="1:12" ht="15" x14ac:dyDescent="0.2">
      <c r="A75" s="16">
        <v>43556</v>
      </c>
      <c r="B75" s="10">
        <f>22.9348 * CHOOSE(CONTROL!$C$9, $D$9, 100%, $F$9) + CHOOSE(CONTROL!$C$27, 0.0021, 0)</f>
        <v>22.936899999999998</v>
      </c>
      <c r="C75" s="10">
        <f>22.5026 * CHOOSE(CONTROL!$C$9, $D$9, 100%, $F$9) + CHOOSE(CONTROL!$C$27, 0.0021, 0)</f>
        <v>22.5047</v>
      </c>
      <c r="D75" s="10">
        <f>22.5026 * CHOOSE(CONTROL!$C$9, $D$9, 100%, $F$9) + CHOOSE(CONTROL!$C$27, 0.0021, 0)</f>
        <v>22.5047</v>
      </c>
      <c r="E75" s="10">
        <f>22.3659 * CHOOSE(CONTROL!$C$9, $D$9, 100%, $F$9) + CHOOSE(CONTROL!$C$27, 0.0021, 0)</f>
        <v>22.367999999999999</v>
      </c>
      <c r="F75" s="10">
        <f>22.3659 * CHOOSE(CONTROL!$C$9, $D$9, 100%, $F$9) + CHOOSE(CONTROL!$C$27, 0.0021, 0)</f>
        <v>22.367999999999999</v>
      </c>
      <c r="G75" s="10">
        <f>22.6373 * CHOOSE(CONTROL!$C$9, $D$9, 100%, $F$9) + CHOOSE(CONTROL!$C$27, 0.0021, 0)</f>
        <v>22.639399999999998</v>
      </c>
      <c r="H75" s="10">
        <f>22.5026 * CHOOSE(CONTROL!$C$9, $D$9, 100%, $F$9) + CHOOSE(CONTROL!$C$27, 0.0021, 0)</f>
        <v>22.5047</v>
      </c>
      <c r="I75" s="10">
        <f>22.5026 * CHOOSE(CONTROL!$C$9, $D$9, 100%, $F$9) + CHOOSE(CONTROL!$C$27, 0.0021, 0)</f>
        <v>22.5047</v>
      </c>
      <c r="J75" s="10">
        <f>22.5026 * CHOOSE(CONTROL!$C$9, $D$9, 100%, $F$9) + CHOOSE(CONTROL!$C$27, 0.0021, 0)</f>
        <v>22.5047</v>
      </c>
      <c r="K75" s="10">
        <f>22.5026 * CHOOSE(CONTROL!$C$9, $D$9, 100%, $F$9) + CHOOSE(CONTROL!$C$27, 0.0021, 0)</f>
        <v>22.5047</v>
      </c>
      <c r="L75" s="10"/>
    </row>
    <row r="76" spans="1:12" ht="15" x14ac:dyDescent="0.2">
      <c r="A76" s="16">
        <v>43586</v>
      </c>
      <c r="B76" s="10">
        <f>23.3683 * CHOOSE(CONTROL!$C$9, $D$9, 100%, $F$9) + CHOOSE(CONTROL!$C$27, 0.0021, 0)</f>
        <v>23.3704</v>
      </c>
      <c r="C76" s="10">
        <f>22.9361 * CHOOSE(CONTROL!$C$9, $D$9, 100%, $F$9) + CHOOSE(CONTROL!$C$27, 0.0021, 0)</f>
        <v>22.938199999999998</v>
      </c>
      <c r="D76" s="10">
        <f>22.9361 * CHOOSE(CONTROL!$C$9, $D$9, 100%, $F$9) + CHOOSE(CONTROL!$C$27, 0.0021, 0)</f>
        <v>22.938199999999998</v>
      </c>
      <c r="E76" s="10">
        <f>22.7994 * CHOOSE(CONTROL!$C$9, $D$9, 100%, $F$9) + CHOOSE(CONTROL!$C$27, 0.0021, 0)</f>
        <v>22.801499999999997</v>
      </c>
      <c r="F76" s="10">
        <f>22.7994 * CHOOSE(CONTROL!$C$9, $D$9, 100%, $F$9) + CHOOSE(CONTROL!$C$27, 0.0021, 0)</f>
        <v>22.801499999999997</v>
      </c>
      <c r="G76" s="10">
        <f>23.0708 * CHOOSE(CONTROL!$C$9, $D$9, 100%, $F$9) + CHOOSE(CONTROL!$C$27, 0.0021, 0)</f>
        <v>23.072899999999997</v>
      </c>
      <c r="H76" s="10">
        <f>22.9361 * CHOOSE(CONTROL!$C$9, $D$9, 100%, $F$9) + CHOOSE(CONTROL!$C$27, 0.0021, 0)</f>
        <v>22.938199999999998</v>
      </c>
      <c r="I76" s="10">
        <f>22.9361 * CHOOSE(CONTROL!$C$9, $D$9, 100%, $F$9) + CHOOSE(CONTROL!$C$27, 0.0021, 0)</f>
        <v>22.938199999999998</v>
      </c>
      <c r="J76" s="10">
        <f>22.9361 * CHOOSE(CONTROL!$C$9, $D$9, 100%, $F$9) + CHOOSE(CONTROL!$C$27, 0.0021, 0)</f>
        <v>22.938199999999998</v>
      </c>
      <c r="K76" s="10">
        <f>22.9361 * CHOOSE(CONTROL!$C$9, $D$9, 100%, $F$9) + CHOOSE(CONTROL!$C$27, 0.0021, 0)</f>
        <v>22.938199999999998</v>
      </c>
      <c r="L76" s="10"/>
    </row>
    <row r="77" spans="1:12" ht="15" x14ac:dyDescent="0.2">
      <c r="A77" s="16">
        <v>43617</v>
      </c>
      <c r="B77" s="10">
        <f>23.628 * CHOOSE(CONTROL!$C$9, $D$9, 100%, $F$9) + CHOOSE(CONTROL!$C$27, 0.0021, 0)</f>
        <v>23.630099999999999</v>
      </c>
      <c r="C77" s="10">
        <f>23.1957 * CHOOSE(CONTROL!$C$9, $D$9, 100%, $F$9) + CHOOSE(CONTROL!$C$27, 0.0021, 0)</f>
        <v>23.197799999999997</v>
      </c>
      <c r="D77" s="10">
        <f>23.1957 * CHOOSE(CONTROL!$C$9, $D$9, 100%, $F$9) + CHOOSE(CONTROL!$C$27, 0.0021, 0)</f>
        <v>23.197799999999997</v>
      </c>
      <c r="E77" s="10">
        <f>23.0591 * CHOOSE(CONTROL!$C$9, $D$9, 100%, $F$9) + CHOOSE(CONTROL!$C$27, 0.0021, 0)</f>
        <v>23.061199999999999</v>
      </c>
      <c r="F77" s="10">
        <f>23.0591 * CHOOSE(CONTROL!$C$9, $D$9, 100%, $F$9) + CHOOSE(CONTROL!$C$27, 0.0021, 0)</f>
        <v>23.061199999999999</v>
      </c>
      <c r="G77" s="10">
        <f>23.3305 * CHOOSE(CONTROL!$C$9, $D$9, 100%, $F$9) + CHOOSE(CONTROL!$C$27, 0.0021, 0)</f>
        <v>23.332599999999999</v>
      </c>
      <c r="H77" s="10">
        <f>23.1957 * CHOOSE(CONTROL!$C$9, $D$9, 100%, $F$9) + CHOOSE(CONTROL!$C$27, 0.0021, 0)</f>
        <v>23.197799999999997</v>
      </c>
      <c r="I77" s="10">
        <f>23.1957 * CHOOSE(CONTROL!$C$9, $D$9, 100%, $F$9) + CHOOSE(CONTROL!$C$27, 0.0021, 0)</f>
        <v>23.197799999999997</v>
      </c>
      <c r="J77" s="10">
        <f>23.1957 * CHOOSE(CONTROL!$C$9, $D$9, 100%, $F$9) + CHOOSE(CONTROL!$C$27, 0.0021, 0)</f>
        <v>23.197799999999997</v>
      </c>
      <c r="K77" s="10">
        <f>23.1957 * CHOOSE(CONTROL!$C$9, $D$9, 100%, $F$9) + CHOOSE(CONTROL!$C$27, 0.0021, 0)</f>
        <v>23.197799999999997</v>
      </c>
      <c r="L77" s="10"/>
    </row>
    <row r="78" spans="1:12" ht="15" x14ac:dyDescent="0.2">
      <c r="A78" s="16">
        <v>43647</v>
      </c>
      <c r="B78" s="10">
        <f>24.0563 * CHOOSE(CONTROL!$C$9, $D$9, 100%, $F$9) + CHOOSE(CONTROL!$C$27, 0.0021, 0)</f>
        <v>24.058399999999999</v>
      </c>
      <c r="C78" s="10">
        <f>23.6241 * CHOOSE(CONTROL!$C$9, $D$9, 100%, $F$9) + CHOOSE(CONTROL!$C$27, 0.0021, 0)</f>
        <v>23.626199999999997</v>
      </c>
      <c r="D78" s="10">
        <f>23.6241 * CHOOSE(CONTROL!$C$9, $D$9, 100%, $F$9) + CHOOSE(CONTROL!$C$27, 0.0021, 0)</f>
        <v>23.626199999999997</v>
      </c>
      <c r="E78" s="10">
        <f>23.4874 * CHOOSE(CONTROL!$C$9, $D$9, 100%, $F$9) + CHOOSE(CONTROL!$C$27, 0.0021, 0)</f>
        <v>23.4895</v>
      </c>
      <c r="F78" s="10">
        <f>23.4874 * CHOOSE(CONTROL!$C$9, $D$9, 100%, $F$9) + CHOOSE(CONTROL!$C$27, 0.0021, 0)</f>
        <v>23.4895</v>
      </c>
      <c r="G78" s="10">
        <f>23.7588 * CHOOSE(CONTROL!$C$9, $D$9, 100%, $F$9) + CHOOSE(CONTROL!$C$27, 0.0021, 0)</f>
        <v>23.760899999999999</v>
      </c>
      <c r="H78" s="10">
        <f>23.6241 * CHOOSE(CONTROL!$C$9, $D$9, 100%, $F$9) + CHOOSE(CONTROL!$C$27, 0.0021, 0)</f>
        <v>23.626199999999997</v>
      </c>
      <c r="I78" s="10">
        <f>23.6241 * CHOOSE(CONTROL!$C$9, $D$9, 100%, $F$9) + CHOOSE(CONTROL!$C$27, 0.0021, 0)</f>
        <v>23.626199999999997</v>
      </c>
      <c r="J78" s="10">
        <f>23.6241 * CHOOSE(CONTROL!$C$9, $D$9, 100%, $F$9) + CHOOSE(CONTROL!$C$27, 0.0021, 0)</f>
        <v>23.626199999999997</v>
      </c>
      <c r="K78" s="10">
        <f>23.6241 * CHOOSE(CONTROL!$C$9, $D$9, 100%, $F$9) + CHOOSE(CONTROL!$C$27, 0.0021, 0)</f>
        <v>23.626199999999997</v>
      </c>
      <c r="L78" s="10"/>
    </row>
    <row r="79" spans="1:12" ht="15" x14ac:dyDescent="0.2">
      <c r="A79" s="16">
        <v>43678</v>
      </c>
      <c r="B79" s="10">
        <f>24.1871 * CHOOSE(CONTROL!$C$9, $D$9, 100%, $F$9) + CHOOSE(CONTROL!$C$27, 0.0021, 0)</f>
        <v>24.1892</v>
      </c>
      <c r="C79" s="10">
        <f>23.7548 * CHOOSE(CONTROL!$C$9, $D$9, 100%, $F$9) + CHOOSE(CONTROL!$C$27, 0.0021, 0)</f>
        <v>23.756899999999998</v>
      </c>
      <c r="D79" s="10">
        <f>23.7548 * CHOOSE(CONTROL!$C$9, $D$9, 100%, $F$9) + CHOOSE(CONTROL!$C$27, 0.0021, 0)</f>
        <v>23.756899999999998</v>
      </c>
      <c r="E79" s="10">
        <f>23.6182 * CHOOSE(CONTROL!$C$9, $D$9, 100%, $F$9) + CHOOSE(CONTROL!$C$27, 0.0021, 0)</f>
        <v>23.6203</v>
      </c>
      <c r="F79" s="10">
        <f>23.6182 * CHOOSE(CONTROL!$C$9, $D$9, 100%, $F$9) + CHOOSE(CONTROL!$C$27, 0.0021, 0)</f>
        <v>23.6203</v>
      </c>
      <c r="G79" s="10">
        <f>23.8895 * CHOOSE(CONTROL!$C$9, $D$9, 100%, $F$9) + CHOOSE(CONTROL!$C$27, 0.0021, 0)</f>
        <v>23.8916</v>
      </c>
      <c r="H79" s="10">
        <f>23.7548 * CHOOSE(CONTROL!$C$9, $D$9, 100%, $F$9) + CHOOSE(CONTROL!$C$27, 0.0021, 0)</f>
        <v>23.756899999999998</v>
      </c>
      <c r="I79" s="10">
        <f>23.7548 * CHOOSE(CONTROL!$C$9, $D$9, 100%, $F$9) + CHOOSE(CONTROL!$C$27, 0.0021, 0)</f>
        <v>23.756899999999998</v>
      </c>
      <c r="J79" s="10">
        <f>23.7548 * CHOOSE(CONTROL!$C$9, $D$9, 100%, $F$9) + CHOOSE(CONTROL!$C$27, 0.0021, 0)</f>
        <v>23.756899999999998</v>
      </c>
      <c r="K79" s="10">
        <f>23.7548 * CHOOSE(CONTROL!$C$9, $D$9, 100%, $F$9) + CHOOSE(CONTROL!$C$27, 0.0021, 0)</f>
        <v>23.756899999999998</v>
      </c>
      <c r="L79" s="10"/>
    </row>
    <row r="80" spans="1:12" ht="15" x14ac:dyDescent="0.2">
      <c r="A80" s="16">
        <v>43709</v>
      </c>
      <c r="B80" s="10">
        <f>24.6323 * CHOOSE(CONTROL!$C$9, $D$9, 100%, $F$9) + CHOOSE(CONTROL!$C$27, 0.0021, 0)</f>
        <v>24.634399999999999</v>
      </c>
      <c r="C80" s="10">
        <f>24.2 * CHOOSE(CONTROL!$C$9, $D$9, 100%, $F$9) + CHOOSE(CONTROL!$C$27, 0.0021, 0)</f>
        <v>24.202099999999998</v>
      </c>
      <c r="D80" s="10">
        <f>24.2 * CHOOSE(CONTROL!$C$9, $D$9, 100%, $F$9) + CHOOSE(CONTROL!$C$27, 0.0021, 0)</f>
        <v>24.202099999999998</v>
      </c>
      <c r="E80" s="10">
        <f>24.0634 * CHOOSE(CONTROL!$C$9, $D$9, 100%, $F$9) + CHOOSE(CONTROL!$C$27, 0.0021, 0)</f>
        <v>24.0655</v>
      </c>
      <c r="F80" s="10">
        <f>24.0634 * CHOOSE(CONTROL!$C$9, $D$9, 100%, $F$9) + CHOOSE(CONTROL!$C$27, 0.0021, 0)</f>
        <v>24.0655</v>
      </c>
      <c r="G80" s="10">
        <f>24.3348 * CHOOSE(CONTROL!$C$9, $D$9, 100%, $F$9) + CHOOSE(CONTROL!$C$27, 0.0021, 0)</f>
        <v>24.3369</v>
      </c>
      <c r="H80" s="10">
        <f>24.2 * CHOOSE(CONTROL!$C$9, $D$9, 100%, $F$9) + CHOOSE(CONTROL!$C$27, 0.0021, 0)</f>
        <v>24.202099999999998</v>
      </c>
      <c r="I80" s="10">
        <f>24.2 * CHOOSE(CONTROL!$C$9, $D$9, 100%, $F$9) + CHOOSE(CONTROL!$C$27, 0.0021, 0)</f>
        <v>24.202099999999998</v>
      </c>
      <c r="J80" s="10">
        <f>24.2 * CHOOSE(CONTROL!$C$9, $D$9, 100%, $F$9) + CHOOSE(CONTROL!$C$27, 0.0021, 0)</f>
        <v>24.202099999999998</v>
      </c>
      <c r="K80" s="10">
        <f>24.2 * CHOOSE(CONTROL!$C$9, $D$9, 100%, $F$9) + CHOOSE(CONTROL!$C$27, 0.0021, 0)</f>
        <v>24.202099999999998</v>
      </c>
      <c r="L80" s="10"/>
    </row>
    <row r="81" spans="1:12" ht="15" x14ac:dyDescent="0.2">
      <c r="A81" s="16">
        <v>43739</v>
      </c>
      <c r="B81" s="10">
        <f>25.1959 * CHOOSE(CONTROL!$C$9, $D$9, 100%, $F$9) + CHOOSE(CONTROL!$C$27, 0.0021, 0)</f>
        <v>25.198</v>
      </c>
      <c r="C81" s="10">
        <f>24.7636 * CHOOSE(CONTROL!$C$9, $D$9, 100%, $F$9) + CHOOSE(CONTROL!$C$27, 0.0021, 0)</f>
        <v>24.765699999999999</v>
      </c>
      <c r="D81" s="10">
        <f>24.7636 * CHOOSE(CONTROL!$C$9, $D$9, 100%, $F$9) + CHOOSE(CONTROL!$C$27, 0.0021, 0)</f>
        <v>24.765699999999999</v>
      </c>
      <c r="E81" s="10">
        <f>24.627 * CHOOSE(CONTROL!$C$9, $D$9, 100%, $F$9) + CHOOSE(CONTROL!$C$27, 0.0021, 0)</f>
        <v>24.629099999999998</v>
      </c>
      <c r="F81" s="10">
        <f>24.627 * CHOOSE(CONTROL!$C$9, $D$9, 100%, $F$9) + CHOOSE(CONTROL!$C$27, 0.0021, 0)</f>
        <v>24.629099999999998</v>
      </c>
      <c r="G81" s="10">
        <f>24.8983 * CHOOSE(CONTROL!$C$9, $D$9, 100%, $F$9) + CHOOSE(CONTROL!$C$27, 0.0021, 0)</f>
        <v>24.900399999999998</v>
      </c>
      <c r="H81" s="10">
        <f>24.7636 * CHOOSE(CONTROL!$C$9, $D$9, 100%, $F$9) + CHOOSE(CONTROL!$C$27, 0.0021, 0)</f>
        <v>24.765699999999999</v>
      </c>
      <c r="I81" s="10">
        <f>24.7636 * CHOOSE(CONTROL!$C$9, $D$9, 100%, $F$9) + CHOOSE(CONTROL!$C$27, 0.0021, 0)</f>
        <v>24.765699999999999</v>
      </c>
      <c r="J81" s="10">
        <f>24.7636 * CHOOSE(CONTROL!$C$9, $D$9, 100%, $F$9) + CHOOSE(CONTROL!$C$27, 0.0021, 0)</f>
        <v>24.765699999999999</v>
      </c>
      <c r="K81" s="10">
        <f>24.7636 * CHOOSE(CONTROL!$C$9, $D$9, 100%, $F$9) + CHOOSE(CONTROL!$C$27, 0.0021, 0)</f>
        <v>24.765699999999999</v>
      </c>
      <c r="L81" s="10"/>
    </row>
    <row r="82" spans="1:12" ht="15" x14ac:dyDescent="0.2">
      <c r="A82" s="16">
        <v>43770</v>
      </c>
      <c r="B82" s="10">
        <f>25.2488 * CHOOSE(CONTROL!$C$9, $D$9, 100%, $F$9) + CHOOSE(CONTROL!$C$27, 0.0021, 0)</f>
        <v>25.250899999999998</v>
      </c>
      <c r="C82" s="10">
        <f>24.8165 * CHOOSE(CONTROL!$C$9, $D$9, 100%, $F$9) + CHOOSE(CONTROL!$C$27, 0.0021, 0)</f>
        <v>24.8186</v>
      </c>
      <c r="D82" s="10">
        <f>24.8165 * CHOOSE(CONTROL!$C$9, $D$9, 100%, $F$9) + CHOOSE(CONTROL!$C$27, 0.0021, 0)</f>
        <v>24.8186</v>
      </c>
      <c r="E82" s="10">
        <f>24.6799 * CHOOSE(CONTROL!$C$9, $D$9, 100%, $F$9) + CHOOSE(CONTROL!$C$27, 0.0021, 0)</f>
        <v>24.681999999999999</v>
      </c>
      <c r="F82" s="10">
        <f>24.6799 * CHOOSE(CONTROL!$C$9, $D$9, 100%, $F$9) + CHOOSE(CONTROL!$C$27, 0.0021, 0)</f>
        <v>24.681999999999999</v>
      </c>
      <c r="G82" s="10">
        <f>24.9512 * CHOOSE(CONTROL!$C$9, $D$9, 100%, $F$9) + CHOOSE(CONTROL!$C$27, 0.0021, 0)</f>
        <v>24.953299999999999</v>
      </c>
      <c r="H82" s="10">
        <f>24.8165 * CHOOSE(CONTROL!$C$9, $D$9, 100%, $F$9) + CHOOSE(CONTROL!$C$27, 0.0021, 0)</f>
        <v>24.8186</v>
      </c>
      <c r="I82" s="10">
        <f>24.8165 * CHOOSE(CONTROL!$C$9, $D$9, 100%, $F$9) + CHOOSE(CONTROL!$C$27, 0.0021, 0)</f>
        <v>24.8186</v>
      </c>
      <c r="J82" s="10">
        <f>24.8165 * CHOOSE(CONTROL!$C$9, $D$9, 100%, $F$9) + CHOOSE(CONTROL!$C$27, 0.0021, 0)</f>
        <v>24.8186</v>
      </c>
      <c r="K82" s="10">
        <f>24.8165 * CHOOSE(CONTROL!$C$9, $D$9, 100%, $F$9) + CHOOSE(CONTROL!$C$27, 0.0021, 0)</f>
        <v>24.8186</v>
      </c>
      <c r="L82" s="10"/>
    </row>
    <row r="83" spans="1:12" ht="15" x14ac:dyDescent="0.2">
      <c r="A83" s="16">
        <v>43800</v>
      </c>
      <c r="B83" s="10">
        <f>24.7987 * CHOOSE(CONTROL!$C$9, $D$9, 100%, $F$9) + CHOOSE(CONTROL!$C$27, 0.0021, 0)</f>
        <v>24.800799999999999</v>
      </c>
      <c r="C83" s="10">
        <f>24.3664 * CHOOSE(CONTROL!$C$9, $D$9, 100%, $F$9) + CHOOSE(CONTROL!$C$27, 0.0021, 0)</f>
        <v>24.368499999999997</v>
      </c>
      <c r="D83" s="10">
        <f>24.3664 * CHOOSE(CONTROL!$C$9, $D$9, 100%, $F$9) + CHOOSE(CONTROL!$C$27, 0.0021, 0)</f>
        <v>24.368499999999997</v>
      </c>
      <c r="E83" s="10">
        <f>24.2297 * CHOOSE(CONTROL!$C$9, $D$9, 100%, $F$9) + CHOOSE(CONTROL!$C$27, 0.0021, 0)</f>
        <v>24.2318</v>
      </c>
      <c r="F83" s="10">
        <f>24.2297 * CHOOSE(CONTROL!$C$9, $D$9, 100%, $F$9) + CHOOSE(CONTROL!$C$27, 0.0021, 0)</f>
        <v>24.2318</v>
      </c>
      <c r="G83" s="10">
        <f>24.5011 * CHOOSE(CONTROL!$C$9, $D$9, 100%, $F$9) + CHOOSE(CONTROL!$C$27, 0.0021, 0)</f>
        <v>24.5032</v>
      </c>
      <c r="H83" s="10">
        <f>24.3664 * CHOOSE(CONTROL!$C$9, $D$9, 100%, $F$9) + CHOOSE(CONTROL!$C$27, 0.0021, 0)</f>
        <v>24.368499999999997</v>
      </c>
      <c r="I83" s="10">
        <f>24.3664 * CHOOSE(CONTROL!$C$9, $D$9, 100%, $F$9) + CHOOSE(CONTROL!$C$27, 0.0021, 0)</f>
        <v>24.368499999999997</v>
      </c>
      <c r="J83" s="10">
        <f>24.3664 * CHOOSE(CONTROL!$C$9, $D$9, 100%, $F$9) + CHOOSE(CONTROL!$C$27, 0.0021, 0)</f>
        <v>24.368499999999997</v>
      </c>
      <c r="K83" s="10">
        <f>24.3664 * CHOOSE(CONTROL!$C$9, $D$9, 100%, $F$9) + CHOOSE(CONTROL!$C$27, 0.0021, 0)</f>
        <v>24.368499999999997</v>
      </c>
      <c r="L83" s="10"/>
    </row>
    <row r="84" spans="1:12" ht="15" x14ac:dyDescent="0.2">
      <c r="A84" s="16">
        <v>43831</v>
      </c>
      <c r="B84" s="10">
        <f>25.1057 * CHOOSE(CONTROL!$C$9, $D$9, 100%, $F$9) + CHOOSE(CONTROL!$C$27, 0.0021, 0)</f>
        <v>25.107799999999997</v>
      </c>
      <c r="C84" s="10">
        <f>24.6735 * CHOOSE(CONTROL!$C$9, $D$9, 100%, $F$9) + CHOOSE(CONTROL!$C$27, 0.0021, 0)</f>
        <v>24.675599999999999</v>
      </c>
      <c r="D84" s="10">
        <f>24.6735 * CHOOSE(CONTROL!$C$9, $D$9, 100%, $F$9) + CHOOSE(CONTROL!$C$27, 0.0021, 0)</f>
        <v>24.675599999999999</v>
      </c>
      <c r="E84" s="10">
        <f>24.5368 * CHOOSE(CONTROL!$C$9, $D$9, 100%, $F$9) + CHOOSE(CONTROL!$C$27, 0.0021, 0)</f>
        <v>24.538899999999998</v>
      </c>
      <c r="F84" s="10">
        <f>24.5368 * CHOOSE(CONTROL!$C$9, $D$9, 100%, $F$9) + CHOOSE(CONTROL!$C$27, 0.0021, 0)</f>
        <v>24.538899999999998</v>
      </c>
      <c r="G84" s="10">
        <f>24.8082 * CHOOSE(CONTROL!$C$9, $D$9, 100%, $F$9) + CHOOSE(CONTROL!$C$27, 0.0021, 0)</f>
        <v>24.810299999999998</v>
      </c>
      <c r="H84" s="10">
        <f>24.6735 * CHOOSE(CONTROL!$C$9, $D$9, 100%, $F$9) + CHOOSE(CONTROL!$C$27, 0.0021, 0)</f>
        <v>24.675599999999999</v>
      </c>
      <c r="I84" s="10">
        <f>24.6735 * CHOOSE(CONTROL!$C$9, $D$9, 100%, $F$9) + CHOOSE(CONTROL!$C$27, 0.0021, 0)</f>
        <v>24.675599999999999</v>
      </c>
      <c r="J84" s="10">
        <f>24.6735 * CHOOSE(CONTROL!$C$9, $D$9, 100%, $F$9) + CHOOSE(CONTROL!$C$27, 0.0021, 0)</f>
        <v>24.675599999999999</v>
      </c>
      <c r="K84" s="10">
        <f>24.6735 * CHOOSE(CONTROL!$C$9, $D$9, 100%, $F$9) + CHOOSE(CONTROL!$C$27, 0.0021, 0)</f>
        <v>24.675599999999999</v>
      </c>
      <c r="L84" s="10"/>
    </row>
    <row r="85" spans="1:12" ht="15" x14ac:dyDescent="0.2">
      <c r="A85" s="16">
        <v>43862</v>
      </c>
      <c r="B85" s="10">
        <f>24.4604 * CHOOSE(CONTROL!$C$9, $D$9, 100%, $F$9) + CHOOSE(CONTROL!$C$27, 0.0021, 0)</f>
        <v>24.462499999999999</v>
      </c>
      <c r="C85" s="10">
        <f>24.0282 * CHOOSE(CONTROL!$C$9, $D$9, 100%, $F$9) + CHOOSE(CONTROL!$C$27, 0.0021, 0)</f>
        <v>24.030299999999997</v>
      </c>
      <c r="D85" s="10">
        <f>24.0282 * CHOOSE(CONTROL!$C$9, $D$9, 100%, $F$9) + CHOOSE(CONTROL!$C$27, 0.0021, 0)</f>
        <v>24.030299999999997</v>
      </c>
      <c r="E85" s="10">
        <f>23.8915 * CHOOSE(CONTROL!$C$9, $D$9, 100%, $F$9) + CHOOSE(CONTROL!$C$27, 0.0021, 0)</f>
        <v>23.893599999999999</v>
      </c>
      <c r="F85" s="10">
        <f>23.8915 * CHOOSE(CONTROL!$C$9, $D$9, 100%, $F$9) + CHOOSE(CONTROL!$C$27, 0.0021, 0)</f>
        <v>23.893599999999999</v>
      </c>
      <c r="G85" s="10">
        <f>24.1629 * CHOOSE(CONTROL!$C$9, $D$9, 100%, $F$9) + CHOOSE(CONTROL!$C$27, 0.0021, 0)</f>
        <v>24.164999999999999</v>
      </c>
      <c r="H85" s="10">
        <f>24.0282 * CHOOSE(CONTROL!$C$9, $D$9, 100%, $F$9) + CHOOSE(CONTROL!$C$27, 0.0021, 0)</f>
        <v>24.030299999999997</v>
      </c>
      <c r="I85" s="10">
        <f>24.0282 * CHOOSE(CONTROL!$C$9, $D$9, 100%, $F$9) + CHOOSE(CONTROL!$C$27, 0.0021, 0)</f>
        <v>24.030299999999997</v>
      </c>
      <c r="J85" s="10">
        <f>24.0282 * CHOOSE(CONTROL!$C$9, $D$9, 100%, $F$9) + CHOOSE(CONTROL!$C$27, 0.0021, 0)</f>
        <v>24.030299999999997</v>
      </c>
      <c r="K85" s="10">
        <f>24.0282 * CHOOSE(CONTROL!$C$9, $D$9, 100%, $F$9) + CHOOSE(CONTROL!$C$27, 0.0021, 0)</f>
        <v>24.030299999999997</v>
      </c>
      <c r="L85" s="10"/>
    </row>
    <row r="86" spans="1:12" ht="15" x14ac:dyDescent="0.2">
      <c r="A86" s="16">
        <v>43891</v>
      </c>
      <c r="B86" s="10">
        <f>24.1941 * CHOOSE(CONTROL!$C$9, $D$9, 100%, $F$9) + CHOOSE(CONTROL!$C$27, 0.0021, 0)</f>
        <v>24.196199999999997</v>
      </c>
      <c r="C86" s="10">
        <f>23.7618 * CHOOSE(CONTROL!$C$9, $D$9, 100%, $F$9) + CHOOSE(CONTROL!$C$27, 0.0021, 0)</f>
        <v>23.7639</v>
      </c>
      <c r="D86" s="10">
        <f>23.7618 * CHOOSE(CONTROL!$C$9, $D$9, 100%, $F$9) + CHOOSE(CONTROL!$C$27, 0.0021, 0)</f>
        <v>23.7639</v>
      </c>
      <c r="E86" s="10">
        <f>23.6252 * CHOOSE(CONTROL!$C$9, $D$9, 100%, $F$9) + CHOOSE(CONTROL!$C$27, 0.0021, 0)</f>
        <v>23.627299999999998</v>
      </c>
      <c r="F86" s="10">
        <f>23.6252 * CHOOSE(CONTROL!$C$9, $D$9, 100%, $F$9) + CHOOSE(CONTROL!$C$27, 0.0021, 0)</f>
        <v>23.627299999999998</v>
      </c>
      <c r="G86" s="10">
        <f>23.8965 * CHOOSE(CONTROL!$C$9, $D$9, 100%, $F$9) + CHOOSE(CONTROL!$C$27, 0.0021, 0)</f>
        <v>23.898599999999998</v>
      </c>
      <c r="H86" s="10">
        <f>23.7618 * CHOOSE(CONTROL!$C$9, $D$9, 100%, $F$9) + CHOOSE(CONTROL!$C$27, 0.0021, 0)</f>
        <v>23.7639</v>
      </c>
      <c r="I86" s="10">
        <f>23.7618 * CHOOSE(CONTROL!$C$9, $D$9, 100%, $F$9) + CHOOSE(CONTROL!$C$27, 0.0021, 0)</f>
        <v>23.7639</v>
      </c>
      <c r="J86" s="10">
        <f>23.7618 * CHOOSE(CONTROL!$C$9, $D$9, 100%, $F$9) + CHOOSE(CONTROL!$C$27, 0.0021, 0)</f>
        <v>23.7639</v>
      </c>
      <c r="K86" s="10">
        <f>23.7618 * CHOOSE(CONTROL!$C$9, $D$9, 100%, $F$9) + CHOOSE(CONTROL!$C$27, 0.0021, 0)</f>
        <v>23.7639</v>
      </c>
      <c r="L86" s="10"/>
    </row>
    <row r="87" spans="1:12" ht="15" x14ac:dyDescent="0.2">
      <c r="A87" s="16">
        <v>43922</v>
      </c>
      <c r="B87" s="10">
        <f>23.876 * CHOOSE(CONTROL!$C$9, $D$9, 100%, $F$9) + CHOOSE(CONTROL!$C$27, 0.0021, 0)</f>
        <v>23.8781</v>
      </c>
      <c r="C87" s="10">
        <f>23.4438 * CHOOSE(CONTROL!$C$9, $D$9, 100%, $F$9) + CHOOSE(CONTROL!$C$27, 0.0021, 0)</f>
        <v>23.445899999999998</v>
      </c>
      <c r="D87" s="10">
        <f>23.4438 * CHOOSE(CONTROL!$C$9, $D$9, 100%, $F$9) + CHOOSE(CONTROL!$C$27, 0.0021, 0)</f>
        <v>23.445899999999998</v>
      </c>
      <c r="E87" s="10">
        <f>23.3071 * CHOOSE(CONTROL!$C$9, $D$9, 100%, $F$9) + CHOOSE(CONTROL!$C$27, 0.0021, 0)</f>
        <v>23.309199999999997</v>
      </c>
      <c r="F87" s="10">
        <f>23.3071 * CHOOSE(CONTROL!$C$9, $D$9, 100%, $F$9) + CHOOSE(CONTROL!$C$27, 0.0021, 0)</f>
        <v>23.309199999999997</v>
      </c>
      <c r="G87" s="10">
        <f>23.5785 * CHOOSE(CONTROL!$C$9, $D$9, 100%, $F$9) + CHOOSE(CONTROL!$C$27, 0.0021, 0)</f>
        <v>23.580599999999997</v>
      </c>
      <c r="H87" s="10">
        <f>23.4438 * CHOOSE(CONTROL!$C$9, $D$9, 100%, $F$9) + CHOOSE(CONTROL!$C$27, 0.0021, 0)</f>
        <v>23.445899999999998</v>
      </c>
      <c r="I87" s="10">
        <f>23.4438 * CHOOSE(CONTROL!$C$9, $D$9, 100%, $F$9) + CHOOSE(CONTROL!$C$27, 0.0021, 0)</f>
        <v>23.445899999999998</v>
      </c>
      <c r="J87" s="10">
        <f>23.4438 * CHOOSE(CONTROL!$C$9, $D$9, 100%, $F$9) + CHOOSE(CONTROL!$C$27, 0.0021, 0)</f>
        <v>23.445899999999998</v>
      </c>
      <c r="K87" s="10">
        <f>23.4438 * CHOOSE(CONTROL!$C$9, $D$9, 100%, $F$9) + CHOOSE(CONTROL!$C$27, 0.0021, 0)</f>
        <v>23.445899999999998</v>
      </c>
      <c r="L87" s="10"/>
    </row>
    <row r="88" spans="1:12" ht="15" x14ac:dyDescent="0.2">
      <c r="A88" s="16">
        <v>43952</v>
      </c>
      <c r="B88" s="10">
        <f>24.3293 * CHOOSE(CONTROL!$C$9, $D$9, 100%, $F$9) + CHOOSE(CONTROL!$C$27, 0.0021, 0)</f>
        <v>24.331399999999999</v>
      </c>
      <c r="C88" s="10">
        <f>23.897 * CHOOSE(CONTROL!$C$9, $D$9, 100%, $F$9) + CHOOSE(CONTROL!$C$27, 0.0021, 0)</f>
        <v>23.899099999999997</v>
      </c>
      <c r="D88" s="10">
        <f>23.897 * CHOOSE(CONTROL!$C$9, $D$9, 100%, $F$9) + CHOOSE(CONTROL!$C$27, 0.0021, 0)</f>
        <v>23.899099999999997</v>
      </c>
      <c r="E88" s="10">
        <f>23.7604 * CHOOSE(CONTROL!$C$9, $D$9, 100%, $F$9) + CHOOSE(CONTROL!$C$27, 0.0021, 0)</f>
        <v>23.762499999999999</v>
      </c>
      <c r="F88" s="10">
        <f>23.7604 * CHOOSE(CONTROL!$C$9, $D$9, 100%, $F$9) + CHOOSE(CONTROL!$C$27, 0.0021, 0)</f>
        <v>23.762499999999999</v>
      </c>
      <c r="G88" s="10">
        <f>24.0318 * CHOOSE(CONTROL!$C$9, $D$9, 100%, $F$9) + CHOOSE(CONTROL!$C$27, 0.0021, 0)</f>
        <v>24.033899999999999</v>
      </c>
      <c r="H88" s="10">
        <f>23.897 * CHOOSE(CONTROL!$C$9, $D$9, 100%, $F$9) + CHOOSE(CONTROL!$C$27, 0.0021, 0)</f>
        <v>23.899099999999997</v>
      </c>
      <c r="I88" s="10">
        <f>23.897 * CHOOSE(CONTROL!$C$9, $D$9, 100%, $F$9) + CHOOSE(CONTROL!$C$27, 0.0021, 0)</f>
        <v>23.899099999999997</v>
      </c>
      <c r="J88" s="10">
        <f>23.897 * CHOOSE(CONTROL!$C$9, $D$9, 100%, $F$9) + CHOOSE(CONTROL!$C$27, 0.0021, 0)</f>
        <v>23.899099999999997</v>
      </c>
      <c r="K88" s="10">
        <f>23.897 * CHOOSE(CONTROL!$C$9, $D$9, 100%, $F$9) + CHOOSE(CONTROL!$C$27, 0.0021, 0)</f>
        <v>23.899099999999997</v>
      </c>
      <c r="L88" s="10"/>
    </row>
    <row r="89" spans="1:12" ht="15" x14ac:dyDescent="0.2">
      <c r="A89" s="16">
        <v>43983</v>
      </c>
      <c r="B89" s="10">
        <f>24.6008 * CHOOSE(CONTROL!$C$9, $D$9, 100%, $F$9) + CHOOSE(CONTROL!$C$27, 0.0021, 0)</f>
        <v>24.602899999999998</v>
      </c>
      <c r="C89" s="10">
        <f>24.1685 * CHOOSE(CONTROL!$C$9, $D$9, 100%, $F$9) + CHOOSE(CONTROL!$C$27, 0.0021, 0)</f>
        <v>24.1706</v>
      </c>
      <c r="D89" s="10">
        <f>24.1685 * CHOOSE(CONTROL!$C$9, $D$9, 100%, $F$9) + CHOOSE(CONTROL!$C$27, 0.0021, 0)</f>
        <v>24.1706</v>
      </c>
      <c r="E89" s="10">
        <f>24.0319 * CHOOSE(CONTROL!$C$9, $D$9, 100%, $F$9) + CHOOSE(CONTROL!$C$27, 0.0021, 0)</f>
        <v>24.033999999999999</v>
      </c>
      <c r="F89" s="10">
        <f>24.0319 * CHOOSE(CONTROL!$C$9, $D$9, 100%, $F$9) + CHOOSE(CONTROL!$C$27, 0.0021, 0)</f>
        <v>24.033999999999999</v>
      </c>
      <c r="G89" s="10">
        <f>24.3032 * CHOOSE(CONTROL!$C$9, $D$9, 100%, $F$9) + CHOOSE(CONTROL!$C$27, 0.0021, 0)</f>
        <v>24.305299999999999</v>
      </c>
      <c r="H89" s="10">
        <f>24.1685 * CHOOSE(CONTROL!$C$9, $D$9, 100%, $F$9) + CHOOSE(CONTROL!$C$27, 0.0021, 0)</f>
        <v>24.1706</v>
      </c>
      <c r="I89" s="10">
        <f>24.1685 * CHOOSE(CONTROL!$C$9, $D$9, 100%, $F$9) + CHOOSE(CONTROL!$C$27, 0.0021, 0)</f>
        <v>24.1706</v>
      </c>
      <c r="J89" s="10">
        <f>24.1685 * CHOOSE(CONTROL!$C$9, $D$9, 100%, $F$9) + CHOOSE(CONTROL!$C$27, 0.0021, 0)</f>
        <v>24.1706</v>
      </c>
      <c r="K89" s="10">
        <f>24.1685 * CHOOSE(CONTROL!$C$9, $D$9, 100%, $F$9) + CHOOSE(CONTROL!$C$27, 0.0021, 0)</f>
        <v>24.1706</v>
      </c>
      <c r="L89" s="10"/>
    </row>
    <row r="90" spans="1:12" ht="15" x14ac:dyDescent="0.2">
      <c r="A90" s="16">
        <v>44013</v>
      </c>
      <c r="B90" s="10">
        <f>25.0486 * CHOOSE(CONTROL!$C$9, $D$9, 100%, $F$9) + CHOOSE(CONTROL!$C$27, 0.0021, 0)</f>
        <v>25.050699999999999</v>
      </c>
      <c r="C90" s="10">
        <f>24.6164 * CHOOSE(CONTROL!$C$9, $D$9, 100%, $F$9) + CHOOSE(CONTROL!$C$27, 0.0021, 0)</f>
        <v>24.618499999999997</v>
      </c>
      <c r="D90" s="10">
        <f>24.6164 * CHOOSE(CONTROL!$C$9, $D$9, 100%, $F$9) + CHOOSE(CONTROL!$C$27, 0.0021, 0)</f>
        <v>24.618499999999997</v>
      </c>
      <c r="E90" s="10">
        <f>24.4797 * CHOOSE(CONTROL!$C$9, $D$9, 100%, $F$9) + CHOOSE(CONTROL!$C$27, 0.0021, 0)</f>
        <v>24.4818</v>
      </c>
      <c r="F90" s="10">
        <f>24.4797 * CHOOSE(CONTROL!$C$9, $D$9, 100%, $F$9) + CHOOSE(CONTROL!$C$27, 0.0021, 0)</f>
        <v>24.4818</v>
      </c>
      <c r="G90" s="10">
        <f>24.7511 * CHOOSE(CONTROL!$C$9, $D$9, 100%, $F$9) + CHOOSE(CONTROL!$C$27, 0.0021, 0)</f>
        <v>24.7532</v>
      </c>
      <c r="H90" s="10">
        <f>24.6164 * CHOOSE(CONTROL!$C$9, $D$9, 100%, $F$9) + CHOOSE(CONTROL!$C$27, 0.0021, 0)</f>
        <v>24.618499999999997</v>
      </c>
      <c r="I90" s="10">
        <f>24.6164 * CHOOSE(CONTROL!$C$9, $D$9, 100%, $F$9) + CHOOSE(CONTROL!$C$27, 0.0021, 0)</f>
        <v>24.618499999999997</v>
      </c>
      <c r="J90" s="10">
        <f>24.6164 * CHOOSE(CONTROL!$C$9, $D$9, 100%, $F$9) + CHOOSE(CONTROL!$C$27, 0.0021, 0)</f>
        <v>24.618499999999997</v>
      </c>
      <c r="K90" s="10">
        <f>24.6164 * CHOOSE(CONTROL!$C$9, $D$9, 100%, $F$9) + CHOOSE(CONTROL!$C$27, 0.0021, 0)</f>
        <v>24.618499999999997</v>
      </c>
      <c r="L90" s="10"/>
    </row>
    <row r="91" spans="1:12" ht="15" x14ac:dyDescent="0.2">
      <c r="A91" s="16">
        <v>44044</v>
      </c>
      <c r="B91" s="10">
        <f>25.1853 * CHOOSE(CONTROL!$C$9, $D$9, 100%, $F$9) + CHOOSE(CONTROL!$C$27, 0.0021, 0)</f>
        <v>25.1874</v>
      </c>
      <c r="C91" s="10">
        <f>24.7531 * CHOOSE(CONTROL!$C$9, $D$9, 100%, $F$9) + CHOOSE(CONTROL!$C$27, 0.0021, 0)</f>
        <v>24.755199999999999</v>
      </c>
      <c r="D91" s="10">
        <f>24.7531 * CHOOSE(CONTROL!$C$9, $D$9, 100%, $F$9) + CHOOSE(CONTROL!$C$27, 0.0021, 0)</f>
        <v>24.755199999999999</v>
      </c>
      <c r="E91" s="10">
        <f>24.6164 * CHOOSE(CONTROL!$C$9, $D$9, 100%, $F$9) + CHOOSE(CONTROL!$C$27, 0.0021, 0)</f>
        <v>24.618499999999997</v>
      </c>
      <c r="F91" s="10">
        <f>24.6164 * CHOOSE(CONTROL!$C$9, $D$9, 100%, $F$9) + CHOOSE(CONTROL!$C$27, 0.0021, 0)</f>
        <v>24.618499999999997</v>
      </c>
      <c r="G91" s="10">
        <f>24.8878 * CHOOSE(CONTROL!$C$9, $D$9, 100%, $F$9) + CHOOSE(CONTROL!$C$27, 0.0021, 0)</f>
        <v>24.889899999999997</v>
      </c>
      <c r="H91" s="10">
        <f>24.7531 * CHOOSE(CONTROL!$C$9, $D$9, 100%, $F$9) + CHOOSE(CONTROL!$C$27, 0.0021, 0)</f>
        <v>24.755199999999999</v>
      </c>
      <c r="I91" s="10">
        <f>24.7531 * CHOOSE(CONTROL!$C$9, $D$9, 100%, $F$9) + CHOOSE(CONTROL!$C$27, 0.0021, 0)</f>
        <v>24.755199999999999</v>
      </c>
      <c r="J91" s="10">
        <f>24.7531 * CHOOSE(CONTROL!$C$9, $D$9, 100%, $F$9) + CHOOSE(CONTROL!$C$27, 0.0021, 0)</f>
        <v>24.755199999999999</v>
      </c>
      <c r="K91" s="10">
        <f>24.7531 * CHOOSE(CONTROL!$C$9, $D$9, 100%, $F$9) + CHOOSE(CONTROL!$C$27, 0.0021, 0)</f>
        <v>24.755199999999999</v>
      </c>
      <c r="L91" s="10"/>
    </row>
    <row r="92" spans="1:12" ht="15" x14ac:dyDescent="0.2">
      <c r="A92" s="16">
        <v>44075</v>
      </c>
      <c r="B92" s="10">
        <f>25.6509 * CHOOSE(CONTROL!$C$9, $D$9, 100%, $F$9) + CHOOSE(CONTROL!$C$27, 0.0021, 0)</f>
        <v>25.652999999999999</v>
      </c>
      <c r="C92" s="10">
        <f>25.2186 * CHOOSE(CONTROL!$C$9, $D$9, 100%, $F$9) + CHOOSE(CONTROL!$C$27, 0.0021, 0)</f>
        <v>25.220699999999997</v>
      </c>
      <c r="D92" s="10">
        <f>25.2186 * CHOOSE(CONTROL!$C$9, $D$9, 100%, $F$9) + CHOOSE(CONTROL!$C$27, 0.0021, 0)</f>
        <v>25.220699999999997</v>
      </c>
      <c r="E92" s="10">
        <f>25.082 * CHOOSE(CONTROL!$C$9, $D$9, 100%, $F$9) + CHOOSE(CONTROL!$C$27, 0.0021, 0)</f>
        <v>25.084099999999999</v>
      </c>
      <c r="F92" s="10">
        <f>25.082 * CHOOSE(CONTROL!$C$9, $D$9, 100%, $F$9) + CHOOSE(CONTROL!$C$27, 0.0021, 0)</f>
        <v>25.084099999999999</v>
      </c>
      <c r="G92" s="10">
        <f>25.3533 * CHOOSE(CONTROL!$C$9, $D$9, 100%, $F$9) + CHOOSE(CONTROL!$C$27, 0.0021, 0)</f>
        <v>25.355399999999999</v>
      </c>
      <c r="H92" s="10">
        <f>25.2186 * CHOOSE(CONTROL!$C$9, $D$9, 100%, $F$9) + CHOOSE(CONTROL!$C$27, 0.0021, 0)</f>
        <v>25.220699999999997</v>
      </c>
      <c r="I92" s="10">
        <f>25.2186 * CHOOSE(CONTROL!$C$9, $D$9, 100%, $F$9) + CHOOSE(CONTROL!$C$27, 0.0021, 0)</f>
        <v>25.220699999999997</v>
      </c>
      <c r="J92" s="10">
        <f>25.2186 * CHOOSE(CONTROL!$C$9, $D$9, 100%, $F$9) + CHOOSE(CONTROL!$C$27, 0.0021, 0)</f>
        <v>25.220699999999997</v>
      </c>
      <c r="K92" s="10">
        <f>25.2186 * CHOOSE(CONTROL!$C$9, $D$9, 100%, $F$9) + CHOOSE(CONTROL!$C$27, 0.0021, 0)</f>
        <v>25.220699999999997</v>
      </c>
      <c r="L92" s="10"/>
    </row>
    <row r="93" spans="1:12" ht="15" x14ac:dyDescent="0.2">
      <c r="A93" s="16">
        <v>44105</v>
      </c>
      <c r="B93" s="10">
        <f>26.2401 * CHOOSE(CONTROL!$C$9, $D$9, 100%, $F$9) + CHOOSE(CONTROL!$C$27, 0.0021, 0)</f>
        <v>26.2422</v>
      </c>
      <c r="C93" s="10">
        <f>25.8079 * CHOOSE(CONTROL!$C$9, $D$9, 100%, $F$9) + CHOOSE(CONTROL!$C$27, 0.0021, 0)</f>
        <v>25.81</v>
      </c>
      <c r="D93" s="10">
        <f>25.8079 * CHOOSE(CONTROL!$C$9, $D$9, 100%, $F$9) + CHOOSE(CONTROL!$C$27, 0.0021, 0)</f>
        <v>25.81</v>
      </c>
      <c r="E93" s="10">
        <f>25.6712 * CHOOSE(CONTROL!$C$9, $D$9, 100%, $F$9) + CHOOSE(CONTROL!$C$27, 0.0021, 0)</f>
        <v>25.673299999999998</v>
      </c>
      <c r="F93" s="10">
        <f>25.6712 * CHOOSE(CONTROL!$C$9, $D$9, 100%, $F$9) + CHOOSE(CONTROL!$C$27, 0.0021, 0)</f>
        <v>25.673299999999998</v>
      </c>
      <c r="G93" s="10">
        <f>25.9426 * CHOOSE(CONTROL!$C$9, $D$9, 100%, $F$9) + CHOOSE(CONTROL!$C$27, 0.0021, 0)</f>
        <v>25.944699999999997</v>
      </c>
      <c r="H93" s="10">
        <f>25.8079 * CHOOSE(CONTROL!$C$9, $D$9, 100%, $F$9) + CHOOSE(CONTROL!$C$27, 0.0021, 0)</f>
        <v>25.81</v>
      </c>
      <c r="I93" s="10">
        <f>25.8079 * CHOOSE(CONTROL!$C$9, $D$9, 100%, $F$9) + CHOOSE(CONTROL!$C$27, 0.0021, 0)</f>
        <v>25.81</v>
      </c>
      <c r="J93" s="10">
        <f>25.8079 * CHOOSE(CONTROL!$C$9, $D$9, 100%, $F$9) + CHOOSE(CONTROL!$C$27, 0.0021, 0)</f>
        <v>25.81</v>
      </c>
      <c r="K93" s="10">
        <f>25.8079 * CHOOSE(CONTROL!$C$9, $D$9, 100%, $F$9) + CHOOSE(CONTROL!$C$27, 0.0021, 0)</f>
        <v>25.81</v>
      </c>
      <c r="L93" s="10"/>
    </row>
    <row r="94" spans="1:12" ht="15" x14ac:dyDescent="0.2">
      <c r="A94" s="16">
        <v>44136</v>
      </c>
      <c r="B94" s="10">
        <f>26.2955 * CHOOSE(CONTROL!$C$9, $D$9, 100%, $F$9) + CHOOSE(CONTROL!$C$27, 0.0021, 0)</f>
        <v>26.297599999999999</v>
      </c>
      <c r="C94" s="10">
        <f>25.8632 * CHOOSE(CONTROL!$C$9, $D$9, 100%, $F$9) + CHOOSE(CONTROL!$C$27, 0.0021, 0)</f>
        <v>25.865299999999998</v>
      </c>
      <c r="D94" s="10">
        <f>25.8632 * CHOOSE(CONTROL!$C$9, $D$9, 100%, $F$9) + CHOOSE(CONTROL!$C$27, 0.0021, 0)</f>
        <v>25.865299999999998</v>
      </c>
      <c r="E94" s="10">
        <f>25.7265 * CHOOSE(CONTROL!$C$9, $D$9, 100%, $F$9) + CHOOSE(CONTROL!$C$27, 0.0021, 0)</f>
        <v>25.7286</v>
      </c>
      <c r="F94" s="10">
        <f>25.7265 * CHOOSE(CONTROL!$C$9, $D$9, 100%, $F$9) + CHOOSE(CONTROL!$C$27, 0.0021, 0)</f>
        <v>25.7286</v>
      </c>
      <c r="G94" s="10">
        <f>25.9979 * CHOOSE(CONTROL!$C$9, $D$9, 100%, $F$9) + CHOOSE(CONTROL!$C$27, 0.0021, 0)</f>
        <v>26</v>
      </c>
      <c r="H94" s="10">
        <f>25.8632 * CHOOSE(CONTROL!$C$9, $D$9, 100%, $F$9) + CHOOSE(CONTROL!$C$27, 0.0021, 0)</f>
        <v>25.865299999999998</v>
      </c>
      <c r="I94" s="10">
        <f>25.8632 * CHOOSE(CONTROL!$C$9, $D$9, 100%, $F$9) + CHOOSE(CONTROL!$C$27, 0.0021, 0)</f>
        <v>25.865299999999998</v>
      </c>
      <c r="J94" s="10">
        <f>25.8632 * CHOOSE(CONTROL!$C$9, $D$9, 100%, $F$9) + CHOOSE(CONTROL!$C$27, 0.0021, 0)</f>
        <v>25.865299999999998</v>
      </c>
      <c r="K94" s="10">
        <f>25.8632 * CHOOSE(CONTROL!$C$9, $D$9, 100%, $F$9) + CHOOSE(CONTROL!$C$27, 0.0021, 0)</f>
        <v>25.865299999999998</v>
      </c>
      <c r="L94" s="10"/>
    </row>
    <row r="95" spans="1:12" ht="15" x14ac:dyDescent="0.2">
      <c r="A95" s="16">
        <v>44166</v>
      </c>
      <c r="B95" s="10">
        <f>25.8248 * CHOOSE(CONTROL!$C$9, $D$9, 100%, $F$9) + CHOOSE(CONTROL!$C$27, 0.0021, 0)</f>
        <v>25.826899999999998</v>
      </c>
      <c r="C95" s="10">
        <f>25.3926 * CHOOSE(CONTROL!$C$9, $D$9, 100%, $F$9) + CHOOSE(CONTROL!$C$27, 0.0021, 0)</f>
        <v>25.3947</v>
      </c>
      <c r="D95" s="10">
        <f>25.3926 * CHOOSE(CONTROL!$C$9, $D$9, 100%, $F$9) + CHOOSE(CONTROL!$C$27, 0.0021, 0)</f>
        <v>25.3947</v>
      </c>
      <c r="E95" s="10">
        <f>25.2559 * CHOOSE(CONTROL!$C$9, $D$9, 100%, $F$9) + CHOOSE(CONTROL!$C$27, 0.0021, 0)</f>
        <v>25.257999999999999</v>
      </c>
      <c r="F95" s="10">
        <f>25.2559 * CHOOSE(CONTROL!$C$9, $D$9, 100%, $F$9) + CHOOSE(CONTROL!$C$27, 0.0021, 0)</f>
        <v>25.257999999999999</v>
      </c>
      <c r="G95" s="10">
        <f>25.5273 * CHOOSE(CONTROL!$C$9, $D$9, 100%, $F$9) + CHOOSE(CONTROL!$C$27, 0.0021, 0)</f>
        <v>25.529399999999999</v>
      </c>
      <c r="H95" s="10">
        <f>25.3926 * CHOOSE(CONTROL!$C$9, $D$9, 100%, $F$9) + CHOOSE(CONTROL!$C$27, 0.0021, 0)</f>
        <v>25.3947</v>
      </c>
      <c r="I95" s="10">
        <f>25.3926 * CHOOSE(CONTROL!$C$9, $D$9, 100%, $F$9) + CHOOSE(CONTROL!$C$27, 0.0021, 0)</f>
        <v>25.3947</v>
      </c>
      <c r="J95" s="10">
        <f>25.3926 * CHOOSE(CONTROL!$C$9, $D$9, 100%, $F$9) + CHOOSE(CONTROL!$C$27, 0.0021, 0)</f>
        <v>25.3947</v>
      </c>
      <c r="K95" s="10">
        <f>25.3926 * CHOOSE(CONTROL!$C$9, $D$9, 100%, $F$9) + CHOOSE(CONTROL!$C$27, 0.0021, 0)</f>
        <v>25.3947</v>
      </c>
      <c r="L95" s="10"/>
    </row>
    <row r="96" spans="1:12" ht="15" x14ac:dyDescent="0.2">
      <c r="A96" s="16">
        <v>44197</v>
      </c>
      <c r="B96" s="10">
        <f>26.1143 * CHOOSE(CONTROL!$C$9, $D$9, 100%, $F$9) + CHOOSE(CONTROL!$C$27, 0.0021, 0)</f>
        <v>26.116399999999999</v>
      </c>
      <c r="C96" s="10">
        <f>25.682 * CHOOSE(CONTROL!$C$9, $D$9, 100%, $F$9) + CHOOSE(CONTROL!$C$27, 0.0021, 0)</f>
        <v>25.684099999999997</v>
      </c>
      <c r="D96" s="10">
        <f>25.682 * CHOOSE(CONTROL!$C$9, $D$9, 100%, $F$9) + CHOOSE(CONTROL!$C$27, 0.0021, 0)</f>
        <v>25.684099999999997</v>
      </c>
      <c r="E96" s="10">
        <f>25.5454 * CHOOSE(CONTROL!$C$9, $D$9, 100%, $F$9) + CHOOSE(CONTROL!$C$27, 0.0021, 0)</f>
        <v>25.547499999999999</v>
      </c>
      <c r="F96" s="10">
        <f>25.5454 * CHOOSE(CONTROL!$C$9, $D$9, 100%, $F$9) + CHOOSE(CONTROL!$C$27, 0.0021, 0)</f>
        <v>25.547499999999999</v>
      </c>
      <c r="G96" s="10">
        <f>25.8167 * CHOOSE(CONTROL!$C$9, $D$9, 100%, $F$9) + CHOOSE(CONTROL!$C$27, 0.0021, 0)</f>
        <v>25.8188</v>
      </c>
      <c r="H96" s="10">
        <f>25.682 * CHOOSE(CONTROL!$C$9, $D$9, 100%, $F$9) + CHOOSE(CONTROL!$C$27, 0.0021, 0)</f>
        <v>25.684099999999997</v>
      </c>
      <c r="I96" s="10">
        <f>25.682 * CHOOSE(CONTROL!$C$9, $D$9, 100%, $F$9) + CHOOSE(CONTROL!$C$27, 0.0021, 0)</f>
        <v>25.684099999999997</v>
      </c>
      <c r="J96" s="10">
        <f>25.682 * CHOOSE(CONTROL!$C$9, $D$9, 100%, $F$9) + CHOOSE(CONTROL!$C$27, 0.0021, 0)</f>
        <v>25.684099999999997</v>
      </c>
      <c r="K96" s="10">
        <f>25.682 * CHOOSE(CONTROL!$C$9, $D$9, 100%, $F$9) + CHOOSE(CONTROL!$C$27, 0.0021, 0)</f>
        <v>25.684099999999997</v>
      </c>
      <c r="L96" s="10"/>
    </row>
    <row r="97" spans="1:12" ht="15" x14ac:dyDescent="0.2">
      <c r="A97" s="16">
        <v>44228</v>
      </c>
      <c r="B97" s="10">
        <f>25.4405 * CHOOSE(CONTROL!$C$9, $D$9, 100%, $F$9) + CHOOSE(CONTROL!$C$27, 0.0021, 0)</f>
        <v>25.442599999999999</v>
      </c>
      <c r="C97" s="10">
        <f>25.0082 * CHOOSE(CONTROL!$C$9, $D$9, 100%, $F$9) + CHOOSE(CONTROL!$C$27, 0.0021, 0)</f>
        <v>25.010299999999997</v>
      </c>
      <c r="D97" s="10">
        <f>25.0082 * CHOOSE(CONTROL!$C$9, $D$9, 100%, $F$9) + CHOOSE(CONTROL!$C$27, 0.0021, 0)</f>
        <v>25.010299999999997</v>
      </c>
      <c r="E97" s="10">
        <f>24.8716 * CHOOSE(CONTROL!$C$9, $D$9, 100%, $F$9) + CHOOSE(CONTROL!$C$27, 0.0021, 0)</f>
        <v>24.873699999999999</v>
      </c>
      <c r="F97" s="10">
        <f>24.8716 * CHOOSE(CONTROL!$C$9, $D$9, 100%, $F$9) + CHOOSE(CONTROL!$C$27, 0.0021, 0)</f>
        <v>24.873699999999999</v>
      </c>
      <c r="G97" s="10">
        <f>25.1429 * CHOOSE(CONTROL!$C$9, $D$9, 100%, $F$9) + CHOOSE(CONTROL!$C$27, 0.0021, 0)</f>
        <v>25.145</v>
      </c>
      <c r="H97" s="10">
        <f>25.0082 * CHOOSE(CONTROL!$C$9, $D$9, 100%, $F$9) + CHOOSE(CONTROL!$C$27, 0.0021, 0)</f>
        <v>25.010299999999997</v>
      </c>
      <c r="I97" s="10">
        <f>25.0082 * CHOOSE(CONTROL!$C$9, $D$9, 100%, $F$9) + CHOOSE(CONTROL!$C$27, 0.0021, 0)</f>
        <v>25.010299999999997</v>
      </c>
      <c r="J97" s="10">
        <f>25.0082 * CHOOSE(CONTROL!$C$9, $D$9, 100%, $F$9) + CHOOSE(CONTROL!$C$27, 0.0021, 0)</f>
        <v>25.010299999999997</v>
      </c>
      <c r="K97" s="10">
        <f>25.0082 * CHOOSE(CONTROL!$C$9, $D$9, 100%, $F$9) + CHOOSE(CONTROL!$C$27, 0.0021, 0)</f>
        <v>25.010299999999997</v>
      </c>
      <c r="L97" s="10"/>
    </row>
    <row r="98" spans="1:12" ht="15" x14ac:dyDescent="0.2">
      <c r="A98" s="16">
        <v>44256</v>
      </c>
      <c r="B98" s="10">
        <f>25.1623 * CHOOSE(CONTROL!$C$9, $D$9, 100%, $F$9) + CHOOSE(CONTROL!$C$27, 0.0021, 0)</f>
        <v>25.164399999999997</v>
      </c>
      <c r="C98" s="10">
        <f>24.7301 * CHOOSE(CONTROL!$C$9, $D$9, 100%, $F$9) + CHOOSE(CONTROL!$C$27, 0.0021, 0)</f>
        <v>24.732199999999999</v>
      </c>
      <c r="D98" s="10">
        <f>24.7301 * CHOOSE(CONTROL!$C$9, $D$9, 100%, $F$9) + CHOOSE(CONTROL!$C$27, 0.0021, 0)</f>
        <v>24.732199999999999</v>
      </c>
      <c r="E98" s="10">
        <f>24.5934 * CHOOSE(CONTROL!$C$9, $D$9, 100%, $F$9) + CHOOSE(CONTROL!$C$27, 0.0021, 0)</f>
        <v>24.595499999999998</v>
      </c>
      <c r="F98" s="10">
        <f>24.5934 * CHOOSE(CONTROL!$C$9, $D$9, 100%, $F$9) + CHOOSE(CONTROL!$C$27, 0.0021, 0)</f>
        <v>24.595499999999998</v>
      </c>
      <c r="G98" s="10">
        <f>24.8648 * CHOOSE(CONTROL!$C$9, $D$9, 100%, $F$9) + CHOOSE(CONTROL!$C$27, 0.0021, 0)</f>
        <v>24.866899999999998</v>
      </c>
      <c r="H98" s="10">
        <f>24.7301 * CHOOSE(CONTROL!$C$9, $D$9, 100%, $F$9) + CHOOSE(CONTROL!$C$27, 0.0021, 0)</f>
        <v>24.732199999999999</v>
      </c>
      <c r="I98" s="10">
        <f>24.7301 * CHOOSE(CONTROL!$C$9, $D$9, 100%, $F$9) + CHOOSE(CONTROL!$C$27, 0.0021, 0)</f>
        <v>24.732199999999999</v>
      </c>
      <c r="J98" s="10">
        <f>24.7301 * CHOOSE(CONTROL!$C$9, $D$9, 100%, $F$9) + CHOOSE(CONTROL!$C$27, 0.0021, 0)</f>
        <v>24.732199999999999</v>
      </c>
      <c r="K98" s="10">
        <f>24.7301 * CHOOSE(CONTROL!$C$9, $D$9, 100%, $F$9) + CHOOSE(CONTROL!$C$27, 0.0021, 0)</f>
        <v>24.732199999999999</v>
      </c>
      <c r="L98" s="10"/>
    </row>
    <row r="99" spans="1:12" ht="15" x14ac:dyDescent="0.2">
      <c r="A99" s="16">
        <v>44287</v>
      </c>
      <c r="B99" s="10">
        <f>24.8302 * CHOOSE(CONTROL!$C$9, $D$9, 100%, $F$9) + CHOOSE(CONTROL!$C$27, 0.0021, 0)</f>
        <v>24.8323</v>
      </c>
      <c r="C99" s="10">
        <f>24.3979 * CHOOSE(CONTROL!$C$9, $D$9, 100%, $F$9) + CHOOSE(CONTROL!$C$27, 0.0021, 0)</f>
        <v>24.4</v>
      </c>
      <c r="D99" s="10">
        <f>24.3979 * CHOOSE(CONTROL!$C$9, $D$9, 100%, $F$9) + CHOOSE(CONTROL!$C$27, 0.0021, 0)</f>
        <v>24.4</v>
      </c>
      <c r="E99" s="10">
        <f>24.2613 * CHOOSE(CONTROL!$C$9, $D$9, 100%, $F$9) + CHOOSE(CONTROL!$C$27, 0.0021, 0)</f>
        <v>24.263399999999997</v>
      </c>
      <c r="F99" s="10">
        <f>24.2613 * CHOOSE(CONTROL!$C$9, $D$9, 100%, $F$9) + CHOOSE(CONTROL!$C$27, 0.0021, 0)</f>
        <v>24.263399999999997</v>
      </c>
      <c r="G99" s="10">
        <f>24.5327 * CHOOSE(CONTROL!$C$9, $D$9, 100%, $F$9) + CHOOSE(CONTROL!$C$27, 0.0021, 0)</f>
        <v>24.534799999999997</v>
      </c>
      <c r="H99" s="10">
        <f>24.3979 * CHOOSE(CONTROL!$C$9, $D$9, 100%, $F$9) + CHOOSE(CONTROL!$C$27, 0.0021, 0)</f>
        <v>24.4</v>
      </c>
      <c r="I99" s="10">
        <f>24.3979 * CHOOSE(CONTROL!$C$9, $D$9, 100%, $F$9) + CHOOSE(CONTROL!$C$27, 0.0021, 0)</f>
        <v>24.4</v>
      </c>
      <c r="J99" s="10">
        <f>24.3979 * CHOOSE(CONTROL!$C$9, $D$9, 100%, $F$9) + CHOOSE(CONTROL!$C$27, 0.0021, 0)</f>
        <v>24.4</v>
      </c>
      <c r="K99" s="10">
        <f>24.3979 * CHOOSE(CONTROL!$C$9, $D$9, 100%, $F$9) + CHOOSE(CONTROL!$C$27, 0.0021, 0)</f>
        <v>24.4</v>
      </c>
      <c r="L99" s="10"/>
    </row>
    <row r="100" spans="1:12" ht="15" x14ac:dyDescent="0.2">
      <c r="A100" s="16">
        <v>44317</v>
      </c>
      <c r="B100" s="10">
        <f>25.3035 * CHOOSE(CONTROL!$C$9, $D$9, 100%, $F$9) + CHOOSE(CONTROL!$C$27, 0.0021, 0)</f>
        <v>25.305599999999998</v>
      </c>
      <c r="C100" s="10">
        <f>24.8713 * CHOOSE(CONTROL!$C$9, $D$9, 100%, $F$9) + CHOOSE(CONTROL!$C$27, 0.0021, 0)</f>
        <v>24.8734</v>
      </c>
      <c r="D100" s="10">
        <f>24.8713 * CHOOSE(CONTROL!$C$9, $D$9, 100%, $F$9) + CHOOSE(CONTROL!$C$27, 0.0021, 0)</f>
        <v>24.8734</v>
      </c>
      <c r="E100" s="10">
        <f>24.7346 * CHOOSE(CONTROL!$C$9, $D$9, 100%, $F$9) + CHOOSE(CONTROL!$C$27, 0.0021, 0)</f>
        <v>24.736699999999999</v>
      </c>
      <c r="F100" s="10">
        <f>24.7346 * CHOOSE(CONTROL!$C$9, $D$9, 100%, $F$9) + CHOOSE(CONTROL!$C$27, 0.0021, 0)</f>
        <v>24.736699999999999</v>
      </c>
      <c r="G100" s="10">
        <f>25.006 * CHOOSE(CONTROL!$C$9, $D$9, 100%, $F$9) + CHOOSE(CONTROL!$C$27, 0.0021, 0)</f>
        <v>25.008099999999999</v>
      </c>
      <c r="H100" s="10">
        <f>24.8713 * CHOOSE(CONTROL!$C$9, $D$9, 100%, $F$9) + CHOOSE(CONTROL!$C$27, 0.0021, 0)</f>
        <v>24.8734</v>
      </c>
      <c r="I100" s="10">
        <f>24.8713 * CHOOSE(CONTROL!$C$9, $D$9, 100%, $F$9) + CHOOSE(CONTROL!$C$27, 0.0021, 0)</f>
        <v>24.8734</v>
      </c>
      <c r="J100" s="10">
        <f>24.8713 * CHOOSE(CONTROL!$C$9, $D$9, 100%, $F$9) + CHOOSE(CONTROL!$C$27, 0.0021, 0)</f>
        <v>24.8734</v>
      </c>
      <c r="K100" s="10">
        <f>24.8713 * CHOOSE(CONTROL!$C$9, $D$9, 100%, $F$9) + CHOOSE(CONTROL!$C$27, 0.0021, 0)</f>
        <v>24.8734</v>
      </c>
      <c r="L100" s="10"/>
    </row>
    <row r="101" spans="1:12" ht="15" x14ac:dyDescent="0.2">
      <c r="A101" s="16">
        <v>44348</v>
      </c>
      <c r="B101" s="10">
        <f>25.587 * CHOOSE(CONTROL!$C$9, $D$9, 100%, $F$9) + CHOOSE(CONTROL!$C$27, 0.0021, 0)</f>
        <v>25.589099999999998</v>
      </c>
      <c r="C101" s="10">
        <f>25.1547 * CHOOSE(CONTROL!$C$9, $D$9, 100%, $F$9) + CHOOSE(CONTROL!$C$27, 0.0021, 0)</f>
        <v>25.156799999999997</v>
      </c>
      <c r="D101" s="10">
        <f>25.1547 * CHOOSE(CONTROL!$C$9, $D$9, 100%, $F$9) + CHOOSE(CONTROL!$C$27, 0.0021, 0)</f>
        <v>25.156799999999997</v>
      </c>
      <c r="E101" s="10">
        <f>25.0181 * CHOOSE(CONTROL!$C$9, $D$9, 100%, $F$9) + CHOOSE(CONTROL!$C$27, 0.0021, 0)</f>
        <v>25.020199999999999</v>
      </c>
      <c r="F101" s="10">
        <f>25.0181 * CHOOSE(CONTROL!$C$9, $D$9, 100%, $F$9) + CHOOSE(CONTROL!$C$27, 0.0021, 0)</f>
        <v>25.020199999999999</v>
      </c>
      <c r="G101" s="10">
        <f>25.2895 * CHOOSE(CONTROL!$C$9, $D$9, 100%, $F$9) + CHOOSE(CONTROL!$C$27, 0.0021, 0)</f>
        <v>25.291599999999999</v>
      </c>
      <c r="H101" s="10">
        <f>25.1547 * CHOOSE(CONTROL!$C$9, $D$9, 100%, $F$9) + CHOOSE(CONTROL!$C$27, 0.0021, 0)</f>
        <v>25.156799999999997</v>
      </c>
      <c r="I101" s="10">
        <f>25.1547 * CHOOSE(CONTROL!$C$9, $D$9, 100%, $F$9) + CHOOSE(CONTROL!$C$27, 0.0021, 0)</f>
        <v>25.156799999999997</v>
      </c>
      <c r="J101" s="10">
        <f>25.1547 * CHOOSE(CONTROL!$C$9, $D$9, 100%, $F$9) + CHOOSE(CONTROL!$C$27, 0.0021, 0)</f>
        <v>25.156799999999997</v>
      </c>
      <c r="K101" s="10">
        <f>25.1547 * CHOOSE(CONTROL!$C$9, $D$9, 100%, $F$9) + CHOOSE(CONTROL!$C$27, 0.0021, 0)</f>
        <v>25.156799999999997</v>
      </c>
      <c r="L101" s="10"/>
    </row>
    <row r="102" spans="1:12" ht="15" x14ac:dyDescent="0.2">
      <c r="A102" s="16">
        <v>44378</v>
      </c>
      <c r="B102" s="10">
        <f>26.0546 * CHOOSE(CONTROL!$C$9, $D$9, 100%, $F$9) + CHOOSE(CONTROL!$C$27, 0.0021, 0)</f>
        <v>26.056699999999999</v>
      </c>
      <c r="C102" s="10">
        <f>25.6224 * CHOOSE(CONTROL!$C$9, $D$9, 100%, $F$9) + CHOOSE(CONTROL!$C$27, 0.0021, 0)</f>
        <v>25.624499999999998</v>
      </c>
      <c r="D102" s="10">
        <f>25.6224 * CHOOSE(CONTROL!$C$9, $D$9, 100%, $F$9) + CHOOSE(CONTROL!$C$27, 0.0021, 0)</f>
        <v>25.624499999999998</v>
      </c>
      <c r="E102" s="10">
        <f>25.4857 * CHOOSE(CONTROL!$C$9, $D$9, 100%, $F$9) + CHOOSE(CONTROL!$C$27, 0.0021, 0)</f>
        <v>25.4878</v>
      </c>
      <c r="F102" s="10">
        <f>25.4857 * CHOOSE(CONTROL!$C$9, $D$9, 100%, $F$9) + CHOOSE(CONTROL!$C$27, 0.0021, 0)</f>
        <v>25.4878</v>
      </c>
      <c r="G102" s="10">
        <f>25.7571 * CHOOSE(CONTROL!$C$9, $D$9, 100%, $F$9) + CHOOSE(CONTROL!$C$27, 0.0021, 0)</f>
        <v>25.7592</v>
      </c>
      <c r="H102" s="10">
        <f>25.6224 * CHOOSE(CONTROL!$C$9, $D$9, 100%, $F$9) + CHOOSE(CONTROL!$C$27, 0.0021, 0)</f>
        <v>25.624499999999998</v>
      </c>
      <c r="I102" s="10">
        <f>25.6224 * CHOOSE(CONTROL!$C$9, $D$9, 100%, $F$9) + CHOOSE(CONTROL!$C$27, 0.0021, 0)</f>
        <v>25.624499999999998</v>
      </c>
      <c r="J102" s="10">
        <f>25.6224 * CHOOSE(CONTROL!$C$9, $D$9, 100%, $F$9) + CHOOSE(CONTROL!$C$27, 0.0021, 0)</f>
        <v>25.624499999999998</v>
      </c>
      <c r="K102" s="10">
        <f>25.6224 * CHOOSE(CONTROL!$C$9, $D$9, 100%, $F$9) + CHOOSE(CONTROL!$C$27, 0.0021, 0)</f>
        <v>25.624499999999998</v>
      </c>
      <c r="L102" s="10"/>
    </row>
    <row r="103" spans="1:12" ht="15" x14ac:dyDescent="0.2">
      <c r="A103" s="16">
        <v>44409</v>
      </c>
      <c r="B103" s="10">
        <f>26.1974 * CHOOSE(CONTROL!$C$9, $D$9, 100%, $F$9) + CHOOSE(CONTROL!$C$27, 0.0021, 0)</f>
        <v>26.199499999999997</v>
      </c>
      <c r="C103" s="10">
        <f>25.7651 * CHOOSE(CONTROL!$C$9, $D$9, 100%, $F$9) + CHOOSE(CONTROL!$C$27, 0.0021, 0)</f>
        <v>25.767199999999999</v>
      </c>
      <c r="D103" s="10">
        <f>25.7651 * CHOOSE(CONTROL!$C$9, $D$9, 100%, $F$9) + CHOOSE(CONTROL!$C$27, 0.0021, 0)</f>
        <v>25.767199999999999</v>
      </c>
      <c r="E103" s="10">
        <f>25.6285 * CHOOSE(CONTROL!$C$9, $D$9, 100%, $F$9) + CHOOSE(CONTROL!$C$27, 0.0021, 0)</f>
        <v>25.630599999999998</v>
      </c>
      <c r="F103" s="10">
        <f>25.6285 * CHOOSE(CONTROL!$C$9, $D$9, 100%, $F$9) + CHOOSE(CONTROL!$C$27, 0.0021, 0)</f>
        <v>25.630599999999998</v>
      </c>
      <c r="G103" s="10">
        <f>25.8999 * CHOOSE(CONTROL!$C$9, $D$9, 100%, $F$9) + CHOOSE(CONTROL!$C$27, 0.0021, 0)</f>
        <v>25.901999999999997</v>
      </c>
      <c r="H103" s="10">
        <f>25.7651 * CHOOSE(CONTROL!$C$9, $D$9, 100%, $F$9) + CHOOSE(CONTROL!$C$27, 0.0021, 0)</f>
        <v>25.767199999999999</v>
      </c>
      <c r="I103" s="10">
        <f>25.7651 * CHOOSE(CONTROL!$C$9, $D$9, 100%, $F$9) + CHOOSE(CONTROL!$C$27, 0.0021, 0)</f>
        <v>25.767199999999999</v>
      </c>
      <c r="J103" s="10">
        <f>25.7651 * CHOOSE(CONTROL!$C$9, $D$9, 100%, $F$9) + CHOOSE(CONTROL!$C$27, 0.0021, 0)</f>
        <v>25.767199999999999</v>
      </c>
      <c r="K103" s="10">
        <f>25.7651 * CHOOSE(CONTROL!$C$9, $D$9, 100%, $F$9) + CHOOSE(CONTROL!$C$27, 0.0021, 0)</f>
        <v>25.767199999999999</v>
      </c>
      <c r="L103" s="10"/>
    </row>
    <row r="104" spans="1:12" ht="15" x14ac:dyDescent="0.2">
      <c r="A104" s="16">
        <v>44440</v>
      </c>
      <c r="B104" s="10">
        <f>26.6835 * CHOOSE(CONTROL!$C$9, $D$9, 100%, $F$9) + CHOOSE(CONTROL!$C$27, 0.0021, 0)</f>
        <v>26.685599999999997</v>
      </c>
      <c r="C104" s="10">
        <f>26.2513 * CHOOSE(CONTROL!$C$9, $D$9, 100%, $F$9) + CHOOSE(CONTROL!$C$27, 0.0021, 0)</f>
        <v>26.253399999999999</v>
      </c>
      <c r="D104" s="10">
        <f>26.2513 * CHOOSE(CONTROL!$C$9, $D$9, 100%, $F$9) + CHOOSE(CONTROL!$C$27, 0.0021, 0)</f>
        <v>26.253399999999999</v>
      </c>
      <c r="E104" s="10">
        <f>26.1146 * CHOOSE(CONTROL!$C$9, $D$9, 100%, $F$9) + CHOOSE(CONTROL!$C$27, 0.0021, 0)</f>
        <v>26.116699999999998</v>
      </c>
      <c r="F104" s="10">
        <f>26.1146 * CHOOSE(CONTROL!$C$9, $D$9, 100%, $F$9) + CHOOSE(CONTROL!$C$27, 0.0021, 0)</f>
        <v>26.116699999999998</v>
      </c>
      <c r="G104" s="10">
        <f>26.386 * CHOOSE(CONTROL!$C$9, $D$9, 100%, $F$9) + CHOOSE(CONTROL!$C$27, 0.0021, 0)</f>
        <v>26.388099999999998</v>
      </c>
      <c r="H104" s="10">
        <f>26.2513 * CHOOSE(CONTROL!$C$9, $D$9, 100%, $F$9) + CHOOSE(CONTROL!$C$27, 0.0021, 0)</f>
        <v>26.253399999999999</v>
      </c>
      <c r="I104" s="10">
        <f>26.2513 * CHOOSE(CONTROL!$C$9, $D$9, 100%, $F$9) + CHOOSE(CONTROL!$C$27, 0.0021, 0)</f>
        <v>26.253399999999999</v>
      </c>
      <c r="J104" s="10">
        <f>26.2513 * CHOOSE(CONTROL!$C$9, $D$9, 100%, $F$9) + CHOOSE(CONTROL!$C$27, 0.0021, 0)</f>
        <v>26.253399999999999</v>
      </c>
      <c r="K104" s="10">
        <f>26.2513 * CHOOSE(CONTROL!$C$9, $D$9, 100%, $F$9) + CHOOSE(CONTROL!$C$27, 0.0021, 0)</f>
        <v>26.253399999999999</v>
      </c>
      <c r="L104" s="10"/>
    </row>
    <row r="105" spans="1:12" ht="15" x14ac:dyDescent="0.2">
      <c r="A105" s="16">
        <v>44470</v>
      </c>
      <c r="B105" s="10">
        <f>27.2988 * CHOOSE(CONTROL!$C$9, $D$9, 100%, $F$9) + CHOOSE(CONTROL!$C$27, 0.0021, 0)</f>
        <v>27.300899999999999</v>
      </c>
      <c r="C105" s="10">
        <f>26.8666 * CHOOSE(CONTROL!$C$9, $D$9, 100%, $F$9) + CHOOSE(CONTROL!$C$27, 0.0021, 0)</f>
        <v>26.868699999999997</v>
      </c>
      <c r="D105" s="10">
        <f>26.8666 * CHOOSE(CONTROL!$C$9, $D$9, 100%, $F$9) + CHOOSE(CONTROL!$C$27, 0.0021, 0)</f>
        <v>26.868699999999997</v>
      </c>
      <c r="E105" s="10">
        <f>26.7299 * CHOOSE(CONTROL!$C$9, $D$9, 100%, $F$9) + CHOOSE(CONTROL!$C$27, 0.0021, 0)</f>
        <v>26.731999999999999</v>
      </c>
      <c r="F105" s="10">
        <f>26.7299 * CHOOSE(CONTROL!$C$9, $D$9, 100%, $F$9) + CHOOSE(CONTROL!$C$27, 0.0021, 0)</f>
        <v>26.731999999999999</v>
      </c>
      <c r="G105" s="10">
        <f>27.0013 * CHOOSE(CONTROL!$C$9, $D$9, 100%, $F$9) + CHOOSE(CONTROL!$C$27, 0.0021, 0)</f>
        <v>27.003399999999999</v>
      </c>
      <c r="H105" s="10">
        <f>26.8666 * CHOOSE(CONTROL!$C$9, $D$9, 100%, $F$9) + CHOOSE(CONTROL!$C$27, 0.0021, 0)</f>
        <v>26.868699999999997</v>
      </c>
      <c r="I105" s="10">
        <f>26.8666 * CHOOSE(CONTROL!$C$9, $D$9, 100%, $F$9) + CHOOSE(CONTROL!$C$27, 0.0021, 0)</f>
        <v>26.868699999999997</v>
      </c>
      <c r="J105" s="10">
        <f>26.8666 * CHOOSE(CONTROL!$C$9, $D$9, 100%, $F$9) + CHOOSE(CONTROL!$C$27, 0.0021, 0)</f>
        <v>26.868699999999997</v>
      </c>
      <c r="K105" s="10">
        <f>26.8666 * CHOOSE(CONTROL!$C$9, $D$9, 100%, $F$9) + CHOOSE(CONTROL!$C$27, 0.0021, 0)</f>
        <v>26.868699999999997</v>
      </c>
      <c r="L105" s="10"/>
    </row>
    <row r="106" spans="1:12" ht="15" x14ac:dyDescent="0.2">
      <c r="A106" s="16">
        <v>44501</v>
      </c>
      <c r="B106" s="10">
        <f>27.3566 * CHOOSE(CONTROL!$C$9, $D$9, 100%, $F$9) + CHOOSE(CONTROL!$C$27, 0.0021, 0)</f>
        <v>27.358699999999999</v>
      </c>
      <c r="C106" s="10">
        <f>26.9243 * CHOOSE(CONTROL!$C$9, $D$9, 100%, $F$9) + CHOOSE(CONTROL!$C$27, 0.0021, 0)</f>
        <v>26.926399999999997</v>
      </c>
      <c r="D106" s="10">
        <f>26.9243 * CHOOSE(CONTROL!$C$9, $D$9, 100%, $F$9) + CHOOSE(CONTROL!$C$27, 0.0021, 0)</f>
        <v>26.926399999999997</v>
      </c>
      <c r="E106" s="10">
        <f>26.7877 * CHOOSE(CONTROL!$C$9, $D$9, 100%, $F$9) + CHOOSE(CONTROL!$C$27, 0.0021, 0)</f>
        <v>26.7898</v>
      </c>
      <c r="F106" s="10">
        <f>26.7877 * CHOOSE(CONTROL!$C$9, $D$9, 100%, $F$9) + CHOOSE(CONTROL!$C$27, 0.0021, 0)</f>
        <v>26.7898</v>
      </c>
      <c r="G106" s="10">
        <f>27.0591 * CHOOSE(CONTROL!$C$9, $D$9, 100%, $F$9) + CHOOSE(CONTROL!$C$27, 0.0021, 0)</f>
        <v>27.061199999999999</v>
      </c>
      <c r="H106" s="10">
        <f>26.9243 * CHOOSE(CONTROL!$C$9, $D$9, 100%, $F$9) + CHOOSE(CONTROL!$C$27, 0.0021, 0)</f>
        <v>26.926399999999997</v>
      </c>
      <c r="I106" s="10">
        <f>26.9243 * CHOOSE(CONTROL!$C$9, $D$9, 100%, $F$9) + CHOOSE(CONTROL!$C$27, 0.0021, 0)</f>
        <v>26.926399999999997</v>
      </c>
      <c r="J106" s="10">
        <f>26.9243 * CHOOSE(CONTROL!$C$9, $D$9, 100%, $F$9) + CHOOSE(CONTROL!$C$27, 0.0021, 0)</f>
        <v>26.926399999999997</v>
      </c>
      <c r="K106" s="10">
        <f>26.9243 * CHOOSE(CONTROL!$C$9, $D$9, 100%, $F$9) + CHOOSE(CONTROL!$C$27, 0.0021, 0)</f>
        <v>26.926399999999997</v>
      </c>
      <c r="L106" s="10"/>
    </row>
    <row r="107" spans="1:12" ht="15" x14ac:dyDescent="0.2">
      <c r="A107" s="16">
        <v>44531</v>
      </c>
      <c r="B107" s="10">
        <f>26.8651 * CHOOSE(CONTROL!$C$9, $D$9, 100%, $F$9) + CHOOSE(CONTROL!$C$27, 0.0021, 0)</f>
        <v>26.8672</v>
      </c>
      <c r="C107" s="10">
        <f>26.4329 * CHOOSE(CONTROL!$C$9, $D$9, 100%, $F$9) + CHOOSE(CONTROL!$C$27, 0.0021, 0)</f>
        <v>26.434999999999999</v>
      </c>
      <c r="D107" s="10">
        <f>26.4329 * CHOOSE(CONTROL!$C$9, $D$9, 100%, $F$9) + CHOOSE(CONTROL!$C$27, 0.0021, 0)</f>
        <v>26.434999999999999</v>
      </c>
      <c r="E107" s="10">
        <f>26.2962 * CHOOSE(CONTROL!$C$9, $D$9, 100%, $F$9) + CHOOSE(CONTROL!$C$27, 0.0021, 0)</f>
        <v>26.298299999999998</v>
      </c>
      <c r="F107" s="10">
        <f>26.2962 * CHOOSE(CONTROL!$C$9, $D$9, 100%, $F$9) + CHOOSE(CONTROL!$C$27, 0.0021, 0)</f>
        <v>26.298299999999998</v>
      </c>
      <c r="G107" s="10">
        <f>26.5676 * CHOOSE(CONTROL!$C$9, $D$9, 100%, $F$9) + CHOOSE(CONTROL!$C$27, 0.0021, 0)</f>
        <v>26.569699999999997</v>
      </c>
      <c r="H107" s="10">
        <f>26.4329 * CHOOSE(CONTROL!$C$9, $D$9, 100%, $F$9) + CHOOSE(CONTROL!$C$27, 0.0021, 0)</f>
        <v>26.434999999999999</v>
      </c>
      <c r="I107" s="10">
        <f>26.4329 * CHOOSE(CONTROL!$C$9, $D$9, 100%, $F$9) + CHOOSE(CONTROL!$C$27, 0.0021, 0)</f>
        <v>26.434999999999999</v>
      </c>
      <c r="J107" s="10">
        <f>26.4329 * CHOOSE(CONTROL!$C$9, $D$9, 100%, $F$9) + CHOOSE(CONTROL!$C$27, 0.0021, 0)</f>
        <v>26.434999999999999</v>
      </c>
      <c r="K107" s="10">
        <f>26.4329 * CHOOSE(CONTROL!$C$9, $D$9, 100%, $F$9) + CHOOSE(CONTROL!$C$27, 0.0021, 0)</f>
        <v>26.434999999999999</v>
      </c>
      <c r="L107" s="10"/>
    </row>
    <row r="108" spans="1:12" ht="15" x14ac:dyDescent="0.2">
      <c r="A108" s="16">
        <v>44562</v>
      </c>
      <c r="B108" s="10">
        <f>27.2723 * CHOOSE(CONTROL!$C$9, $D$9, 100%, $F$9) + CHOOSE(CONTROL!$C$27, 0.0021, 0)</f>
        <v>27.2744</v>
      </c>
      <c r="C108" s="10">
        <f>26.8401 * CHOOSE(CONTROL!$C$9, $D$9, 100%, $F$9) + CHOOSE(CONTROL!$C$27, 0.0021, 0)</f>
        <v>26.842199999999998</v>
      </c>
      <c r="D108" s="10">
        <f>26.8401 * CHOOSE(CONTROL!$C$9, $D$9, 100%, $F$9) + CHOOSE(CONTROL!$C$27, 0.0021, 0)</f>
        <v>26.842199999999998</v>
      </c>
      <c r="E108" s="10">
        <f>26.7034 * CHOOSE(CONTROL!$C$9, $D$9, 100%, $F$9) + CHOOSE(CONTROL!$C$27, 0.0021, 0)</f>
        <v>26.705499999999997</v>
      </c>
      <c r="F108" s="10">
        <f>26.7034 * CHOOSE(CONTROL!$C$9, $D$9, 100%, $F$9) + CHOOSE(CONTROL!$C$27, 0.0021, 0)</f>
        <v>26.705499999999997</v>
      </c>
      <c r="G108" s="10">
        <f>26.9748 * CHOOSE(CONTROL!$C$9, $D$9, 100%, $F$9) + CHOOSE(CONTROL!$C$27, 0.0021, 0)</f>
        <v>26.976899999999997</v>
      </c>
      <c r="H108" s="10">
        <f>26.8401 * CHOOSE(CONTROL!$C$9, $D$9, 100%, $F$9) + CHOOSE(CONTROL!$C$27, 0.0021, 0)</f>
        <v>26.842199999999998</v>
      </c>
      <c r="I108" s="10">
        <f>26.8401 * CHOOSE(CONTROL!$C$9, $D$9, 100%, $F$9) + CHOOSE(CONTROL!$C$27, 0.0021, 0)</f>
        <v>26.842199999999998</v>
      </c>
      <c r="J108" s="10">
        <f>26.8401 * CHOOSE(CONTROL!$C$9, $D$9, 100%, $F$9) + CHOOSE(CONTROL!$C$27, 0.0021, 0)</f>
        <v>26.842199999999998</v>
      </c>
      <c r="K108" s="10">
        <f>26.8401 * CHOOSE(CONTROL!$C$9, $D$9, 100%, $F$9) + CHOOSE(CONTROL!$C$27, 0.0021, 0)</f>
        <v>26.842199999999998</v>
      </c>
      <c r="L108" s="10"/>
    </row>
    <row r="109" spans="1:12" ht="15" x14ac:dyDescent="0.2">
      <c r="A109" s="16">
        <v>44593</v>
      </c>
      <c r="B109" s="10">
        <f>26.5657 * CHOOSE(CONTROL!$C$9, $D$9, 100%, $F$9) + CHOOSE(CONTROL!$C$27, 0.0021, 0)</f>
        <v>26.567799999999998</v>
      </c>
      <c r="C109" s="10">
        <f>26.1335 * CHOOSE(CONTROL!$C$9, $D$9, 100%, $F$9) + CHOOSE(CONTROL!$C$27, 0.0021, 0)</f>
        <v>26.1356</v>
      </c>
      <c r="D109" s="10">
        <f>26.1335 * CHOOSE(CONTROL!$C$9, $D$9, 100%, $F$9) + CHOOSE(CONTROL!$C$27, 0.0021, 0)</f>
        <v>26.1356</v>
      </c>
      <c r="E109" s="10">
        <f>25.9968 * CHOOSE(CONTROL!$C$9, $D$9, 100%, $F$9) + CHOOSE(CONTROL!$C$27, 0.0021, 0)</f>
        <v>25.998899999999999</v>
      </c>
      <c r="F109" s="10">
        <f>25.9968 * CHOOSE(CONTROL!$C$9, $D$9, 100%, $F$9) + CHOOSE(CONTROL!$C$27, 0.0021, 0)</f>
        <v>25.998899999999999</v>
      </c>
      <c r="G109" s="10">
        <f>26.2682 * CHOOSE(CONTROL!$C$9, $D$9, 100%, $F$9) + CHOOSE(CONTROL!$C$27, 0.0021, 0)</f>
        <v>26.270299999999999</v>
      </c>
      <c r="H109" s="10">
        <f>26.1335 * CHOOSE(CONTROL!$C$9, $D$9, 100%, $F$9) + CHOOSE(CONTROL!$C$27, 0.0021, 0)</f>
        <v>26.1356</v>
      </c>
      <c r="I109" s="10">
        <f>26.1335 * CHOOSE(CONTROL!$C$9, $D$9, 100%, $F$9) + CHOOSE(CONTROL!$C$27, 0.0021, 0)</f>
        <v>26.1356</v>
      </c>
      <c r="J109" s="10">
        <f>26.1335 * CHOOSE(CONTROL!$C$9, $D$9, 100%, $F$9) + CHOOSE(CONTROL!$C$27, 0.0021, 0)</f>
        <v>26.1356</v>
      </c>
      <c r="K109" s="10">
        <f>26.1335 * CHOOSE(CONTROL!$C$9, $D$9, 100%, $F$9) + CHOOSE(CONTROL!$C$27, 0.0021, 0)</f>
        <v>26.1356</v>
      </c>
      <c r="L109" s="10"/>
    </row>
    <row r="110" spans="1:12" ht="15" x14ac:dyDescent="0.2">
      <c r="A110" s="16">
        <v>44621</v>
      </c>
      <c r="B110" s="10">
        <f>26.2741 * CHOOSE(CONTROL!$C$9, $D$9, 100%, $F$9) + CHOOSE(CONTROL!$C$27, 0.0021, 0)</f>
        <v>26.276199999999999</v>
      </c>
      <c r="C110" s="10">
        <f>25.8418 * CHOOSE(CONTROL!$C$9, $D$9, 100%, $F$9) + CHOOSE(CONTROL!$C$27, 0.0021, 0)</f>
        <v>25.843899999999998</v>
      </c>
      <c r="D110" s="10">
        <f>25.8418 * CHOOSE(CONTROL!$C$9, $D$9, 100%, $F$9) + CHOOSE(CONTROL!$C$27, 0.0021, 0)</f>
        <v>25.843899999999998</v>
      </c>
      <c r="E110" s="10">
        <f>25.7052 * CHOOSE(CONTROL!$C$9, $D$9, 100%, $F$9) + CHOOSE(CONTROL!$C$27, 0.0021, 0)</f>
        <v>25.7073</v>
      </c>
      <c r="F110" s="10">
        <f>25.7052 * CHOOSE(CONTROL!$C$9, $D$9, 100%, $F$9) + CHOOSE(CONTROL!$C$27, 0.0021, 0)</f>
        <v>25.7073</v>
      </c>
      <c r="G110" s="10">
        <f>25.9765 * CHOOSE(CONTROL!$C$9, $D$9, 100%, $F$9) + CHOOSE(CONTROL!$C$27, 0.0021, 0)</f>
        <v>25.9786</v>
      </c>
      <c r="H110" s="10">
        <f>25.8418 * CHOOSE(CONTROL!$C$9, $D$9, 100%, $F$9) + CHOOSE(CONTROL!$C$27, 0.0021, 0)</f>
        <v>25.843899999999998</v>
      </c>
      <c r="I110" s="10">
        <f>25.8418 * CHOOSE(CONTROL!$C$9, $D$9, 100%, $F$9) + CHOOSE(CONTROL!$C$27, 0.0021, 0)</f>
        <v>25.843899999999998</v>
      </c>
      <c r="J110" s="10">
        <f>25.8418 * CHOOSE(CONTROL!$C$9, $D$9, 100%, $F$9) + CHOOSE(CONTROL!$C$27, 0.0021, 0)</f>
        <v>25.843899999999998</v>
      </c>
      <c r="K110" s="10">
        <f>25.8418 * CHOOSE(CONTROL!$C$9, $D$9, 100%, $F$9) + CHOOSE(CONTROL!$C$27, 0.0021, 0)</f>
        <v>25.843899999999998</v>
      </c>
      <c r="L110" s="10"/>
    </row>
    <row r="111" spans="1:12" ht="15" x14ac:dyDescent="0.2">
      <c r="A111" s="16">
        <v>44652</v>
      </c>
      <c r="B111" s="10">
        <f>25.9258 * CHOOSE(CONTROL!$C$9, $D$9, 100%, $F$9) + CHOOSE(CONTROL!$C$27, 0.0021, 0)</f>
        <v>25.927899999999998</v>
      </c>
      <c r="C111" s="10">
        <f>25.4936 * CHOOSE(CONTROL!$C$9, $D$9, 100%, $F$9) + CHOOSE(CONTROL!$C$27, 0.0021, 0)</f>
        <v>25.495699999999999</v>
      </c>
      <c r="D111" s="10">
        <f>25.4936 * CHOOSE(CONTROL!$C$9, $D$9, 100%, $F$9) + CHOOSE(CONTROL!$C$27, 0.0021, 0)</f>
        <v>25.495699999999999</v>
      </c>
      <c r="E111" s="10">
        <f>25.3569 * CHOOSE(CONTROL!$C$9, $D$9, 100%, $F$9) + CHOOSE(CONTROL!$C$27, 0.0021, 0)</f>
        <v>25.358999999999998</v>
      </c>
      <c r="F111" s="10">
        <f>25.3569 * CHOOSE(CONTROL!$C$9, $D$9, 100%, $F$9) + CHOOSE(CONTROL!$C$27, 0.0021, 0)</f>
        <v>25.358999999999998</v>
      </c>
      <c r="G111" s="10">
        <f>25.6283 * CHOOSE(CONTROL!$C$9, $D$9, 100%, $F$9) + CHOOSE(CONTROL!$C$27, 0.0021, 0)</f>
        <v>25.630399999999998</v>
      </c>
      <c r="H111" s="10">
        <f>25.4936 * CHOOSE(CONTROL!$C$9, $D$9, 100%, $F$9) + CHOOSE(CONTROL!$C$27, 0.0021, 0)</f>
        <v>25.495699999999999</v>
      </c>
      <c r="I111" s="10">
        <f>25.4936 * CHOOSE(CONTROL!$C$9, $D$9, 100%, $F$9) + CHOOSE(CONTROL!$C$27, 0.0021, 0)</f>
        <v>25.495699999999999</v>
      </c>
      <c r="J111" s="10">
        <f>25.4936 * CHOOSE(CONTROL!$C$9, $D$9, 100%, $F$9) + CHOOSE(CONTROL!$C$27, 0.0021, 0)</f>
        <v>25.495699999999999</v>
      </c>
      <c r="K111" s="10">
        <f>25.4936 * CHOOSE(CONTROL!$C$9, $D$9, 100%, $F$9) + CHOOSE(CONTROL!$C$27, 0.0021, 0)</f>
        <v>25.495699999999999</v>
      </c>
      <c r="L111" s="10"/>
    </row>
    <row r="112" spans="1:12" ht="15" x14ac:dyDescent="0.2">
      <c r="A112" s="16">
        <v>44682</v>
      </c>
      <c r="B112" s="10">
        <f>26.4221 * CHOOSE(CONTROL!$C$9, $D$9, 100%, $F$9) + CHOOSE(CONTROL!$C$27, 0.0021, 0)</f>
        <v>26.424199999999999</v>
      </c>
      <c r="C112" s="10">
        <f>25.9899 * CHOOSE(CONTROL!$C$9, $D$9, 100%, $F$9) + CHOOSE(CONTROL!$C$27, 0.0021, 0)</f>
        <v>25.991999999999997</v>
      </c>
      <c r="D112" s="10">
        <f>25.9899 * CHOOSE(CONTROL!$C$9, $D$9, 100%, $F$9) + CHOOSE(CONTROL!$C$27, 0.0021, 0)</f>
        <v>25.991999999999997</v>
      </c>
      <c r="E112" s="10">
        <f>25.8532 * CHOOSE(CONTROL!$C$9, $D$9, 100%, $F$9) + CHOOSE(CONTROL!$C$27, 0.0021, 0)</f>
        <v>25.8553</v>
      </c>
      <c r="F112" s="10">
        <f>25.8532 * CHOOSE(CONTROL!$C$9, $D$9, 100%, $F$9) + CHOOSE(CONTROL!$C$27, 0.0021, 0)</f>
        <v>25.8553</v>
      </c>
      <c r="G112" s="10">
        <f>26.1246 * CHOOSE(CONTROL!$C$9, $D$9, 100%, $F$9) + CHOOSE(CONTROL!$C$27, 0.0021, 0)</f>
        <v>26.1267</v>
      </c>
      <c r="H112" s="10">
        <f>25.9899 * CHOOSE(CONTROL!$C$9, $D$9, 100%, $F$9) + CHOOSE(CONTROL!$C$27, 0.0021, 0)</f>
        <v>25.991999999999997</v>
      </c>
      <c r="I112" s="10">
        <f>25.9899 * CHOOSE(CONTROL!$C$9, $D$9, 100%, $F$9) + CHOOSE(CONTROL!$C$27, 0.0021, 0)</f>
        <v>25.991999999999997</v>
      </c>
      <c r="J112" s="10">
        <f>25.9899 * CHOOSE(CONTROL!$C$9, $D$9, 100%, $F$9) + CHOOSE(CONTROL!$C$27, 0.0021, 0)</f>
        <v>25.991999999999997</v>
      </c>
      <c r="K112" s="10">
        <f>25.9899 * CHOOSE(CONTROL!$C$9, $D$9, 100%, $F$9) + CHOOSE(CONTROL!$C$27, 0.0021, 0)</f>
        <v>25.991999999999997</v>
      </c>
      <c r="L112" s="10"/>
    </row>
    <row r="113" spans="1:12" ht="15" x14ac:dyDescent="0.2">
      <c r="A113" s="16">
        <v>44713</v>
      </c>
      <c r="B113" s="10">
        <f>26.7194 * CHOOSE(CONTROL!$C$9, $D$9, 100%, $F$9) + CHOOSE(CONTROL!$C$27, 0.0021, 0)</f>
        <v>26.721499999999999</v>
      </c>
      <c r="C113" s="10">
        <f>26.2871 * CHOOSE(CONTROL!$C$9, $D$9, 100%, $F$9) + CHOOSE(CONTROL!$C$27, 0.0021, 0)</f>
        <v>26.289199999999997</v>
      </c>
      <c r="D113" s="10">
        <f>26.2871 * CHOOSE(CONTROL!$C$9, $D$9, 100%, $F$9) + CHOOSE(CONTROL!$C$27, 0.0021, 0)</f>
        <v>26.289199999999997</v>
      </c>
      <c r="E113" s="10">
        <f>26.1505 * CHOOSE(CONTROL!$C$9, $D$9, 100%, $F$9) + CHOOSE(CONTROL!$C$27, 0.0021, 0)</f>
        <v>26.1526</v>
      </c>
      <c r="F113" s="10">
        <f>26.1505 * CHOOSE(CONTROL!$C$9, $D$9, 100%, $F$9) + CHOOSE(CONTROL!$C$27, 0.0021, 0)</f>
        <v>26.1526</v>
      </c>
      <c r="G113" s="10">
        <f>26.4219 * CHOOSE(CONTROL!$C$9, $D$9, 100%, $F$9) + CHOOSE(CONTROL!$C$27, 0.0021, 0)</f>
        <v>26.423999999999999</v>
      </c>
      <c r="H113" s="10">
        <f>26.2871 * CHOOSE(CONTROL!$C$9, $D$9, 100%, $F$9) + CHOOSE(CONTROL!$C$27, 0.0021, 0)</f>
        <v>26.289199999999997</v>
      </c>
      <c r="I113" s="10">
        <f>26.2871 * CHOOSE(CONTROL!$C$9, $D$9, 100%, $F$9) + CHOOSE(CONTROL!$C$27, 0.0021, 0)</f>
        <v>26.289199999999997</v>
      </c>
      <c r="J113" s="10">
        <f>26.2871 * CHOOSE(CONTROL!$C$9, $D$9, 100%, $F$9) + CHOOSE(CONTROL!$C$27, 0.0021, 0)</f>
        <v>26.289199999999997</v>
      </c>
      <c r="K113" s="10">
        <f>26.2871 * CHOOSE(CONTROL!$C$9, $D$9, 100%, $F$9) + CHOOSE(CONTROL!$C$27, 0.0021, 0)</f>
        <v>26.289199999999997</v>
      </c>
      <c r="L113" s="10"/>
    </row>
    <row r="114" spans="1:12" ht="15" x14ac:dyDescent="0.2">
      <c r="A114" s="16">
        <v>44743</v>
      </c>
      <c r="B114" s="10">
        <f>27.2098 * CHOOSE(CONTROL!$C$9, $D$9, 100%, $F$9) + CHOOSE(CONTROL!$C$27, 0.0021, 0)</f>
        <v>27.2119</v>
      </c>
      <c r="C114" s="10">
        <f>26.7775 * CHOOSE(CONTROL!$C$9, $D$9, 100%, $F$9) + CHOOSE(CONTROL!$C$27, 0.0021, 0)</f>
        <v>26.779599999999999</v>
      </c>
      <c r="D114" s="10">
        <f>26.7775 * CHOOSE(CONTROL!$C$9, $D$9, 100%, $F$9) + CHOOSE(CONTROL!$C$27, 0.0021, 0)</f>
        <v>26.779599999999999</v>
      </c>
      <c r="E114" s="10">
        <f>26.6409 * CHOOSE(CONTROL!$C$9, $D$9, 100%, $F$9) + CHOOSE(CONTROL!$C$27, 0.0021, 0)</f>
        <v>26.642999999999997</v>
      </c>
      <c r="F114" s="10">
        <f>26.6409 * CHOOSE(CONTROL!$C$9, $D$9, 100%, $F$9) + CHOOSE(CONTROL!$C$27, 0.0021, 0)</f>
        <v>26.642999999999997</v>
      </c>
      <c r="G114" s="10">
        <f>26.9122 * CHOOSE(CONTROL!$C$9, $D$9, 100%, $F$9) + CHOOSE(CONTROL!$C$27, 0.0021, 0)</f>
        <v>26.914299999999997</v>
      </c>
      <c r="H114" s="10">
        <f>26.7775 * CHOOSE(CONTROL!$C$9, $D$9, 100%, $F$9) + CHOOSE(CONTROL!$C$27, 0.0021, 0)</f>
        <v>26.779599999999999</v>
      </c>
      <c r="I114" s="10">
        <f>26.7775 * CHOOSE(CONTROL!$C$9, $D$9, 100%, $F$9) + CHOOSE(CONTROL!$C$27, 0.0021, 0)</f>
        <v>26.779599999999999</v>
      </c>
      <c r="J114" s="10">
        <f>26.7775 * CHOOSE(CONTROL!$C$9, $D$9, 100%, $F$9) + CHOOSE(CONTROL!$C$27, 0.0021, 0)</f>
        <v>26.779599999999999</v>
      </c>
      <c r="K114" s="10">
        <f>26.7775 * CHOOSE(CONTROL!$C$9, $D$9, 100%, $F$9) + CHOOSE(CONTROL!$C$27, 0.0021, 0)</f>
        <v>26.779599999999999</v>
      </c>
      <c r="L114" s="10"/>
    </row>
    <row r="115" spans="1:12" ht="15" x14ac:dyDescent="0.2">
      <c r="A115" s="16">
        <v>44774</v>
      </c>
      <c r="B115" s="10">
        <f>27.3595 * CHOOSE(CONTROL!$C$9, $D$9, 100%, $F$9) + CHOOSE(CONTROL!$C$27, 0.0021, 0)</f>
        <v>27.361599999999999</v>
      </c>
      <c r="C115" s="10">
        <f>26.9272 * CHOOSE(CONTROL!$C$9, $D$9, 100%, $F$9) + CHOOSE(CONTROL!$C$27, 0.0021, 0)</f>
        <v>26.929299999999998</v>
      </c>
      <c r="D115" s="10">
        <f>26.9272 * CHOOSE(CONTROL!$C$9, $D$9, 100%, $F$9) + CHOOSE(CONTROL!$C$27, 0.0021, 0)</f>
        <v>26.929299999999998</v>
      </c>
      <c r="E115" s="10">
        <f>26.7905 * CHOOSE(CONTROL!$C$9, $D$9, 100%, $F$9) + CHOOSE(CONTROL!$C$27, 0.0021, 0)</f>
        <v>26.7926</v>
      </c>
      <c r="F115" s="10">
        <f>26.7905 * CHOOSE(CONTROL!$C$9, $D$9, 100%, $F$9) + CHOOSE(CONTROL!$C$27, 0.0021, 0)</f>
        <v>26.7926</v>
      </c>
      <c r="G115" s="10">
        <f>27.0619 * CHOOSE(CONTROL!$C$9, $D$9, 100%, $F$9) + CHOOSE(CONTROL!$C$27, 0.0021, 0)</f>
        <v>27.064</v>
      </c>
      <c r="H115" s="10">
        <f>26.9272 * CHOOSE(CONTROL!$C$9, $D$9, 100%, $F$9) + CHOOSE(CONTROL!$C$27, 0.0021, 0)</f>
        <v>26.929299999999998</v>
      </c>
      <c r="I115" s="10">
        <f>26.9272 * CHOOSE(CONTROL!$C$9, $D$9, 100%, $F$9) + CHOOSE(CONTROL!$C$27, 0.0021, 0)</f>
        <v>26.929299999999998</v>
      </c>
      <c r="J115" s="10">
        <f>26.9272 * CHOOSE(CONTROL!$C$9, $D$9, 100%, $F$9) + CHOOSE(CONTROL!$C$27, 0.0021, 0)</f>
        <v>26.929299999999998</v>
      </c>
      <c r="K115" s="10">
        <f>26.9272 * CHOOSE(CONTROL!$C$9, $D$9, 100%, $F$9) + CHOOSE(CONTROL!$C$27, 0.0021, 0)</f>
        <v>26.929299999999998</v>
      </c>
      <c r="L115" s="10"/>
    </row>
    <row r="116" spans="1:12" ht="15" x14ac:dyDescent="0.2">
      <c r="A116" s="16">
        <v>44805</v>
      </c>
      <c r="B116" s="10">
        <f>27.8692 * CHOOSE(CONTROL!$C$9, $D$9, 100%, $F$9) + CHOOSE(CONTROL!$C$27, 0.0021, 0)</f>
        <v>27.871299999999998</v>
      </c>
      <c r="C116" s="10">
        <f>27.4369 * CHOOSE(CONTROL!$C$9, $D$9, 100%, $F$9) + CHOOSE(CONTROL!$C$27, 0.0021, 0)</f>
        <v>27.439</v>
      </c>
      <c r="D116" s="10">
        <f>27.4369 * CHOOSE(CONTROL!$C$9, $D$9, 100%, $F$9) + CHOOSE(CONTROL!$C$27, 0.0021, 0)</f>
        <v>27.439</v>
      </c>
      <c r="E116" s="10">
        <f>27.3003 * CHOOSE(CONTROL!$C$9, $D$9, 100%, $F$9) + CHOOSE(CONTROL!$C$27, 0.0021, 0)</f>
        <v>27.302399999999999</v>
      </c>
      <c r="F116" s="10">
        <f>27.3003 * CHOOSE(CONTROL!$C$9, $D$9, 100%, $F$9) + CHOOSE(CONTROL!$C$27, 0.0021, 0)</f>
        <v>27.302399999999999</v>
      </c>
      <c r="G116" s="10">
        <f>27.5717 * CHOOSE(CONTROL!$C$9, $D$9, 100%, $F$9) + CHOOSE(CONTROL!$C$27, 0.0021, 0)</f>
        <v>27.573799999999999</v>
      </c>
      <c r="H116" s="10">
        <f>27.4369 * CHOOSE(CONTROL!$C$9, $D$9, 100%, $F$9) + CHOOSE(CONTROL!$C$27, 0.0021, 0)</f>
        <v>27.439</v>
      </c>
      <c r="I116" s="10">
        <f>27.4369 * CHOOSE(CONTROL!$C$9, $D$9, 100%, $F$9) + CHOOSE(CONTROL!$C$27, 0.0021, 0)</f>
        <v>27.439</v>
      </c>
      <c r="J116" s="10">
        <f>27.4369 * CHOOSE(CONTROL!$C$9, $D$9, 100%, $F$9) + CHOOSE(CONTROL!$C$27, 0.0021, 0)</f>
        <v>27.439</v>
      </c>
      <c r="K116" s="10">
        <f>27.4369 * CHOOSE(CONTROL!$C$9, $D$9, 100%, $F$9) + CHOOSE(CONTROL!$C$27, 0.0021, 0)</f>
        <v>27.439</v>
      </c>
      <c r="L116" s="10"/>
    </row>
    <row r="117" spans="1:12" ht="15" x14ac:dyDescent="0.2">
      <c r="A117" s="16">
        <v>44835</v>
      </c>
      <c r="B117" s="10">
        <f>28.5144 * CHOOSE(CONTROL!$C$9, $D$9, 100%, $F$9) + CHOOSE(CONTROL!$C$27, 0.0021, 0)</f>
        <v>28.516499999999997</v>
      </c>
      <c r="C117" s="10">
        <f>28.0822 * CHOOSE(CONTROL!$C$9, $D$9, 100%, $F$9) + CHOOSE(CONTROL!$C$27, 0.0021, 0)</f>
        <v>28.084299999999999</v>
      </c>
      <c r="D117" s="10">
        <f>28.0822 * CHOOSE(CONTROL!$C$9, $D$9, 100%, $F$9) + CHOOSE(CONTROL!$C$27, 0.0021, 0)</f>
        <v>28.084299999999999</v>
      </c>
      <c r="E117" s="10">
        <f>27.9455 * CHOOSE(CONTROL!$C$9, $D$9, 100%, $F$9) + CHOOSE(CONTROL!$C$27, 0.0021, 0)</f>
        <v>27.947599999999998</v>
      </c>
      <c r="F117" s="10">
        <f>27.9455 * CHOOSE(CONTROL!$C$9, $D$9, 100%, $F$9) + CHOOSE(CONTROL!$C$27, 0.0021, 0)</f>
        <v>27.947599999999998</v>
      </c>
      <c r="G117" s="10">
        <f>28.2169 * CHOOSE(CONTROL!$C$9, $D$9, 100%, $F$9) + CHOOSE(CONTROL!$C$27, 0.0021, 0)</f>
        <v>28.218999999999998</v>
      </c>
      <c r="H117" s="10">
        <f>28.0822 * CHOOSE(CONTROL!$C$9, $D$9, 100%, $F$9) + CHOOSE(CONTROL!$C$27, 0.0021, 0)</f>
        <v>28.084299999999999</v>
      </c>
      <c r="I117" s="10">
        <f>28.0822 * CHOOSE(CONTROL!$C$9, $D$9, 100%, $F$9) + CHOOSE(CONTROL!$C$27, 0.0021, 0)</f>
        <v>28.084299999999999</v>
      </c>
      <c r="J117" s="10">
        <f>28.0822 * CHOOSE(CONTROL!$C$9, $D$9, 100%, $F$9) + CHOOSE(CONTROL!$C$27, 0.0021, 0)</f>
        <v>28.084299999999999</v>
      </c>
      <c r="K117" s="10">
        <f>28.0822 * CHOOSE(CONTROL!$C$9, $D$9, 100%, $F$9) + CHOOSE(CONTROL!$C$27, 0.0021, 0)</f>
        <v>28.084299999999999</v>
      </c>
      <c r="L117" s="10"/>
    </row>
    <row r="118" spans="1:12" ht="15" x14ac:dyDescent="0.2">
      <c r="A118" s="16">
        <v>44866</v>
      </c>
      <c r="B118" s="10">
        <f>28.575 * CHOOSE(CONTROL!$C$9, $D$9, 100%, $F$9) + CHOOSE(CONTROL!$C$27, 0.0021, 0)</f>
        <v>28.577099999999998</v>
      </c>
      <c r="C118" s="10">
        <f>28.1428 * CHOOSE(CONTROL!$C$9, $D$9, 100%, $F$9) + CHOOSE(CONTROL!$C$27, 0.0021, 0)</f>
        <v>28.1449</v>
      </c>
      <c r="D118" s="10">
        <f>28.1428 * CHOOSE(CONTROL!$C$9, $D$9, 100%, $F$9) + CHOOSE(CONTROL!$C$27, 0.0021, 0)</f>
        <v>28.1449</v>
      </c>
      <c r="E118" s="10">
        <f>28.0061 * CHOOSE(CONTROL!$C$9, $D$9, 100%, $F$9) + CHOOSE(CONTROL!$C$27, 0.0021, 0)</f>
        <v>28.008199999999999</v>
      </c>
      <c r="F118" s="10">
        <f>28.0061 * CHOOSE(CONTROL!$C$9, $D$9, 100%, $F$9) + CHOOSE(CONTROL!$C$27, 0.0021, 0)</f>
        <v>28.008199999999999</v>
      </c>
      <c r="G118" s="10">
        <f>28.2775 * CHOOSE(CONTROL!$C$9, $D$9, 100%, $F$9) + CHOOSE(CONTROL!$C$27, 0.0021, 0)</f>
        <v>28.279599999999999</v>
      </c>
      <c r="H118" s="10">
        <f>28.1428 * CHOOSE(CONTROL!$C$9, $D$9, 100%, $F$9) + CHOOSE(CONTROL!$C$27, 0.0021, 0)</f>
        <v>28.1449</v>
      </c>
      <c r="I118" s="10">
        <f>28.1428 * CHOOSE(CONTROL!$C$9, $D$9, 100%, $F$9) + CHOOSE(CONTROL!$C$27, 0.0021, 0)</f>
        <v>28.1449</v>
      </c>
      <c r="J118" s="10">
        <f>28.1428 * CHOOSE(CONTROL!$C$9, $D$9, 100%, $F$9) + CHOOSE(CONTROL!$C$27, 0.0021, 0)</f>
        <v>28.1449</v>
      </c>
      <c r="K118" s="10">
        <f>28.1428 * CHOOSE(CONTROL!$C$9, $D$9, 100%, $F$9) + CHOOSE(CONTROL!$C$27, 0.0021, 0)</f>
        <v>28.1449</v>
      </c>
      <c r="L118" s="10"/>
    </row>
    <row r="119" spans="1:12" ht="15" x14ac:dyDescent="0.2">
      <c r="A119" s="16">
        <v>44896</v>
      </c>
      <c r="B119" s="10">
        <f>28.0597 * CHOOSE(CONTROL!$C$9, $D$9, 100%, $F$9) + CHOOSE(CONTROL!$C$27, 0.0021, 0)</f>
        <v>28.061799999999998</v>
      </c>
      <c r="C119" s="10">
        <f>27.6274 * CHOOSE(CONTROL!$C$9, $D$9, 100%, $F$9) + CHOOSE(CONTROL!$C$27, 0.0021, 0)</f>
        <v>27.6295</v>
      </c>
      <c r="D119" s="10">
        <f>27.6274 * CHOOSE(CONTROL!$C$9, $D$9, 100%, $F$9) + CHOOSE(CONTROL!$C$27, 0.0021, 0)</f>
        <v>27.6295</v>
      </c>
      <c r="E119" s="10">
        <f>27.4908 * CHOOSE(CONTROL!$C$9, $D$9, 100%, $F$9) + CHOOSE(CONTROL!$C$27, 0.0021, 0)</f>
        <v>27.492899999999999</v>
      </c>
      <c r="F119" s="10">
        <f>27.4908 * CHOOSE(CONTROL!$C$9, $D$9, 100%, $F$9) + CHOOSE(CONTROL!$C$27, 0.0021, 0)</f>
        <v>27.492899999999999</v>
      </c>
      <c r="G119" s="10">
        <f>27.7621 * CHOOSE(CONTROL!$C$9, $D$9, 100%, $F$9) + CHOOSE(CONTROL!$C$27, 0.0021, 0)</f>
        <v>27.764199999999999</v>
      </c>
      <c r="H119" s="10">
        <f>27.6274 * CHOOSE(CONTROL!$C$9, $D$9, 100%, $F$9) + CHOOSE(CONTROL!$C$27, 0.0021, 0)</f>
        <v>27.6295</v>
      </c>
      <c r="I119" s="10">
        <f>27.6274 * CHOOSE(CONTROL!$C$9, $D$9, 100%, $F$9) + CHOOSE(CONTROL!$C$27, 0.0021, 0)</f>
        <v>27.6295</v>
      </c>
      <c r="J119" s="10">
        <f>27.6274 * CHOOSE(CONTROL!$C$9, $D$9, 100%, $F$9) + CHOOSE(CONTROL!$C$27, 0.0021, 0)</f>
        <v>27.6295</v>
      </c>
      <c r="K119" s="10">
        <f>27.6274 * CHOOSE(CONTROL!$C$9, $D$9, 100%, $F$9) + CHOOSE(CONTROL!$C$27, 0.0021, 0)</f>
        <v>27.6295</v>
      </c>
      <c r="L119" s="10"/>
    </row>
    <row r="120" spans="1:12" ht="15" x14ac:dyDescent="0.2">
      <c r="A120" s="16">
        <v>44927</v>
      </c>
      <c r="B120" s="10">
        <f>28.3616 * CHOOSE(CONTROL!$C$9, $D$9, 100%, $F$9) + CHOOSE(CONTROL!$C$27, 0.0021, 0)</f>
        <v>28.363699999999998</v>
      </c>
      <c r="C120" s="10">
        <f>27.9293 * CHOOSE(CONTROL!$C$9, $D$9, 100%, $F$9) + CHOOSE(CONTROL!$C$27, 0.0021, 0)</f>
        <v>27.9314</v>
      </c>
      <c r="D120" s="10">
        <f>27.9293 * CHOOSE(CONTROL!$C$9, $D$9, 100%, $F$9) + CHOOSE(CONTROL!$C$27, 0.0021, 0)</f>
        <v>27.9314</v>
      </c>
      <c r="E120" s="10">
        <f>27.7927 * CHOOSE(CONTROL!$C$9, $D$9, 100%, $F$9) + CHOOSE(CONTROL!$C$27, 0.0021, 0)</f>
        <v>27.794799999999999</v>
      </c>
      <c r="F120" s="10">
        <f>27.7927 * CHOOSE(CONTROL!$C$9, $D$9, 100%, $F$9) + CHOOSE(CONTROL!$C$27, 0.0021, 0)</f>
        <v>27.794799999999999</v>
      </c>
      <c r="G120" s="10">
        <f>28.0641 * CHOOSE(CONTROL!$C$9, $D$9, 100%, $F$9) + CHOOSE(CONTROL!$C$27, 0.0021, 0)</f>
        <v>28.066199999999998</v>
      </c>
      <c r="H120" s="10">
        <f>27.9293 * CHOOSE(CONTROL!$C$9, $D$9, 100%, $F$9) + CHOOSE(CONTROL!$C$27, 0.0021, 0)</f>
        <v>27.9314</v>
      </c>
      <c r="I120" s="10">
        <f>27.9293 * CHOOSE(CONTROL!$C$9, $D$9, 100%, $F$9) + CHOOSE(CONTROL!$C$27, 0.0021, 0)</f>
        <v>27.9314</v>
      </c>
      <c r="J120" s="10">
        <f>27.9293 * CHOOSE(CONTROL!$C$9, $D$9, 100%, $F$9) + CHOOSE(CONTROL!$C$27, 0.0021, 0)</f>
        <v>27.9314</v>
      </c>
      <c r="K120" s="10">
        <f>27.9293 * CHOOSE(CONTROL!$C$9, $D$9, 100%, $F$9) + CHOOSE(CONTROL!$C$27, 0.0021, 0)</f>
        <v>27.9314</v>
      </c>
      <c r="L120" s="10"/>
    </row>
    <row r="121" spans="1:12" ht="15" x14ac:dyDescent="0.2">
      <c r="A121" s="16">
        <v>44958</v>
      </c>
      <c r="B121" s="10">
        <f>27.6242 * CHOOSE(CONTROL!$C$9, $D$9, 100%, $F$9) + CHOOSE(CONTROL!$C$27, 0.0021, 0)</f>
        <v>27.626299999999997</v>
      </c>
      <c r="C121" s="10">
        <f>27.192 * CHOOSE(CONTROL!$C$9, $D$9, 100%, $F$9) + CHOOSE(CONTROL!$C$27, 0.0021, 0)</f>
        <v>27.194099999999999</v>
      </c>
      <c r="D121" s="10">
        <f>27.192 * CHOOSE(CONTROL!$C$9, $D$9, 100%, $F$9) + CHOOSE(CONTROL!$C$27, 0.0021, 0)</f>
        <v>27.194099999999999</v>
      </c>
      <c r="E121" s="10">
        <f>27.0553 * CHOOSE(CONTROL!$C$9, $D$9, 100%, $F$9) + CHOOSE(CONTROL!$C$27, 0.0021, 0)</f>
        <v>27.057399999999998</v>
      </c>
      <c r="F121" s="10">
        <f>27.0553 * CHOOSE(CONTROL!$C$9, $D$9, 100%, $F$9) + CHOOSE(CONTROL!$C$27, 0.0021, 0)</f>
        <v>27.057399999999998</v>
      </c>
      <c r="G121" s="10">
        <f>27.3267 * CHOOSE(CONTROL!$C$9, $D$9, 100%, $F$9) + CHOOSE(CONTROL!$C$27, 0.0021, 0)</f>
        <v>27.328799999999998</v>
      </c>
      <c r="H121" s="10">
        <f>27.192 * CHOOSE(CONTROL!$C$9, $D$9, 100%, $F$9) + CHOOSE(CONTROL!$C$27, 0.0021, 0)</f>
        <v>27.194099999999999</v>
      </c>
      <c r="I121" s="10">
        <f>27.192 * CHOOSE(CONTROL!$C$9, $D$9, 100%, $F$9) + CHOOSE(CONTROL!$C$27, 0.0021, 0)</f>
        <v>27.194099999999999</v>
      </c>
      <c r="J121" s="10">
        <f>27.192 * CHOOSE(CONTROL!$C$9, $D$9, 100%, $F$9) + CHOOSE(CONTROL!$C$27, 0.0021, 0)</f>
        <v>27.194099999999999</v>
      </c>
      <c r="K121" s="10">
        <f>27.192 * CHOOSE(CONTROL!$C$9, $D$9, 100%, $F$9) + CHOOSE(CONTROL!$C$27, 0.0021, 0)</f>
        <v>27.194099999999999</v>
      </c>
      <c r="L121" s="10"/>
    </row>
    <row r="122" spans="1:12" ht="15" x14ac:dyDescent="0.2">
      <c r="A122" s="16">
        <v>44986</v>
      </c>
      <c r="B122" s="10">
        <f>27.3198 * CHOOSE(CONTROL!$C$9, $D$9, 100%, $F$9) + CHOOSE(CONTROL!$C$27, 0.0021, 0)</f>
        <v>27.321899999999999</v>
      </c>
      <c r="C122" s="10">
        <f>26.8876 * CHOOSE(CONTROL!$C$9, $D$9, 100%, $F$9) + CHOOSE(CONTROL!$C$27, 0.0021, 0)</f>
        <v>26.889699999999998</v>
      </c>
      <c r="D122" s="10">
        <f>26.8876 * CHOOSE(CONTROL!$C$9, $D$9, 100%, $F$9) + CHOOSE(CONTROL!$C$27, 0.0021, 0)</f>
        <v>26.889699999999998</v>
      </c>
      <c r="E122" s="10">
        <f>26.7509 * CHOOSE(CONTROL!$C$9, $D$9, 100%, $F$9) + CHOOSE(CONTROL!$C$27, 0.0021, 0)</f>
        <v>26.753</v>
      </c>
      <c r="F122" s="10">
        <f>26.7509 * CHOOSE(CONTROL!$C$9, $D$9, 100%, $F$9) + CHOOSE(CONTROL!$C$27, 0.0021, 0)</f>
        <v>26.753</v>
      </c>
      <c r="G122" s="10">
        <f>27.0223 * CHOOSE(CONTROL!$C$9, $D$9, 100%, $F$9) + CHOOSE(CONTROL!$C$27, 0.0021, 0)</f>
        <v>27.0244</v>
      </c>
      <c r="H122" s="10">
        <f>26.8876 * CHOOSE(CONTROL!$C$9, $D$9, 100%, $F$9) + CHOOSE(CONTROL!$C$27, 0.0021, 0)</f>
        <v>26.889699999999998</v>
      </c>
      <c r="I122" s="10">
        <f>26.8876 * CHOOSE(CONTROL!$C$9, $D$9, 100%, $F$9) + CHOOSE(CONTROL!$C$27, 0.0021, 0)</f>
        <v>26.889699999999998</v>
      </c>
      <c r="J122" s="10">
        <f>26.8876 * CHOOSE(CONTROL!$C$9, $D$9, 100%, $F$9) + CHOOSE(CONTROL!$C$27, 0.0021, 0)</f>
        <v>26.889699999999998</v>
      </c>
      <c r="K122" s="10">
        <f>26.8876 * CHOOSE(CONTROL!$C$9, $D$9, 100%, $F$9) + CHOOSE(CONTROL!$C$27, 0.0021, 0)</f>
        <v>26.889699999999998</v>
      </c>
      <c r="L122" s="10"/>
    </row>
    <row r="123" spans="1:12" ht="15" x14ac:dyDescent="0.2">
      <c r="A123" s="16">
        <v>45017</v>
      </c>
      <c r="B123" s="10">
        <f>26.9564 * CHOOSE(CONTROL!$C$9, $D$9, 100%, $F$9) + CHOOSE(CONTROL!$C$27, 0.0021, 0)</f>
        <v>26.958499999999997</v>
      </c>
      <c r="C123" s="10">
        <f>26.5241 * CHOOSE(CONTROL!$C$9, $D$9, 100%, $F$9) + CHOOSE(CONTROL!$C$27, 0.0021, 0)</f>
        <v>26.526199999999999</v>
      </c>
      <c r="D123" s="10">
        <f>26.5241 * CHOOSE(CONTROL!$C$9, $D$9, 100%, $F$9) + CHOOSE(CONTROL!$C$27, 0.0021, 0)</f>
        <v>26.526199999999999</v>
      </c>
      <c r="E123" s="10">
        <f>26.3875 * CHOOSE(CONTROL!$C$9, $D$9, 100%, $F$9) + CHOOSE(CONTROL!$C$27, 0.0021, 0)</f>
        <v>26.389599999999998</v>
      </c>
      <c r="F123" s="10">
        <f>26.3875 * CHOOSE(CONTROL!$C$9, $D$9, 100%, $F$9) + CHOOSE(CONTROL!$C$27, 0.0021, 0)</f>
        <v>26.389599999999998</v>
      </c>
      <c r="G123" s="10">
        <f>26.6588 * CHOOSE(CONTROL!$C$9, $D$9, 100%, $F$9) + CHOOSE(CONTROL!$C$27, 0.0021, 0)</f>
        <v>26.660899999999998</v>
      </c>
      <c r="H123" s="10">
        <f>26.5241 * CHOOSE(CONTROL!$C$9, $D$9, 100%, $F$9) + CHOOSE(CONTROL!$C$27, 0.0021, 0)</f>
        <v>26.526199999999999</v>
      </c>
      <c r="I123" s="10">
        <f>26.5241 * CHOOSE(CONTROL!$C$9, $D$9, 100%, $F$9) + CHOOSE(CONTROL!$C$27, 0.0021, 0)</f>
        <v>26.526199999999999</v>
      </c>
      <c r="J123" s="10">
        <f>26.5241 * CHOOSE(CONTROL!$C$9, $D$9, 100%, $F$9) + CHOOSE(CONTROL!$C$27, 0.0021, 0)</f>
        <v>26.526199999999999</v>
      </c>
      <c r="K123" s="10">
        <f>26.5241 * CHOOSE(CONTROL!$C$9, $D$9, 100%, $F$9) + CHOOSE(CONTROL!$C$27, 0.0021, 0)</f>
        <v>26.526199999999999</v>
      </c>
      <c r="L123" s="10"/>
    </row>
    <row r="124" spans="1:12" ht="15" x14ac:dyDescent="0.2">
      <c r="A124" s="16">
        <v>45047</v>
      </c>
      <c r="B124" s="10">
        <f>27.4743 * CHOOSE(CONTROL!$C$9, $D$9, 100%, $F$9) + CHOOSE(CONTROL!$C$27, 0.0021, 0)</f>
        <v>27.476399999999998</v>
      </c>
      <c r="C124" s="10">
        <f>27.0421 * CHOOSE(CONTROL!$C$9, $D$9, 100%, $F$9) + CHOOSE(CONTROL!$C$27, 0.0021, 0)</f>
        <v>27.0442</v>
      </c>
      <c r="D124" s="10">
        <f>27.0421 * CHOOSE(CONTROL!$C$9, $D$9, 100%, $F$9) + CHOOSE(CONTROL!$C$27, 0.0021, 0)</f>
        <v>27.0442</v>
      </c>
      <c r="E124" s="10">
        <f>26.9054 * CHOOSE(CONTROL!$C$9, $D$9, 100%, $F$9) + CHOOSE(CONTROL!$C$27, 0.0021, 0)</f>
        <v>26.907499999999999</v>
      </c>
      <c r="F124" s="10">
        <f>26.9054 * CHOOSE(CONTROL!$C$9, $D$9, 100%, $F$9) + CHOOSE(CONTROL!$C$27, 0.0021, 0)</f>
        <v>26.907499999999999</v>
      </c>
      <c r="G124" s="10">
        <f>27.1768 * CHOOSE(CONTROL!$C$9, $D$9, 100%, $F$9) + CHOOSE(CONTROL!$C$27, 0.0021, 0)</f>
        <v>27.178899999999999</v>
      </c>
      <c r="H124" s="10">
        <f>27.0421 * CHOOSE(CONTROL!$C$9, $D$9, 100%, $F$9) + CHOOSE(CONTROL!$C$27, 0.0021, 0)</f>
        <v>27.0442</v>
      </c>
      <c r="I124" s="10">
        <f>27.0421 * CHOOSE(CONTROL!$C$9, $D$9, 100%, $F$9) + CHOOSE(CONTROL!$C$27, 0.0021, 0)</f>
        <v>27.0442</v>
      </c>
      <c r="J124" s="10">
        <f>27.0421 * CHOOSE(CONTROL!$C$9, $D$9, 100%, $F$9) + CHOOSE(CONTROL!$C$27, 0.0021, 0)</f>
        <v>27.0442</v>
      </c>
      <c r="K124" s="10">
        <f>27.0421 * CHOOSE(CONTROL!$C$9, $D$9, 100%, $F$9) + CHOOSE(CONTROL!$C$27, 0.0021, 0)</f>
        <v>27.0442</v>
      </c>
      <c r="L124" s="10"/>
    </row>
    <row r="125" spans="1:12" ht="15" x14ac:dyDescent="0.2">
      <c r="A125" s="16">
        <v>45078</v>
      </c>
      <c r="B125" s="10">
        <f>27.7846 * CHOOSE(CONTROL!$C$9, $D$9, 100%, $F$9) + CHOOSE(CONTROL!$C$27, 0.0021, 0)</f>
        <v>27.7867</v>
      </c>
      <c r="C125" s="10">
        <f>27.3523 * CHOOSE(CONTROL!$C$9, $D$9, 100%, $F$9) + CHOOSE(CONTROL!$C$27, 0.0021, 0)</f>
        <v>27.354399999999998</v>
      </c>
      <c r="D125" s="10">
        <f>27.3523 * CHOOSE(CONTROL!$C$9, $D$9, 100%, $F$9) + CHOOSE(CONTROL!$C$27, 0.0021, 0)</f>
        <v>27.354399999999998</v>
      </c>
      <c r="E125" s="10">
        <f>27.2157 * CHOOSE(CONTROL!$C$9, $D$9, 100%, $F$9) + CHOOSE(CONTROL!$C$27, 0.0021, 0)</f>
        <v>27.217799999999997</v>
      </c>
      <c r="F125" s="10">
        <f>27.2157 * CHOOSE(CONTROL!$C$9, $D$9, 100%, $F$9) + CHOOSE(CONTROL!$C$27, 0.0021, 0)</f>
        <v>27.217799999999997</v>
      </c>
      <c r="G125" s="10">
        <f>27.487 * CHOOSE(CONTROL!$C$9, $D$9, 100%, $F$9) + CHOOSE(CONTROL!$C$27, 0.0021, 0)</f>
        <v>27.489099999999997</v>
      </c>
      <c r="H125" s="10">
        <f>27.3523 * CHOOSE(CONTROL!$C$9, $D$9, 100%, $F$9) + CHOOSE(CONTROL!$C$27, 0.0021, 0)</f>
        <v>27.354399999999998</v>
      </c>
      <c r="I125" s="10">
        <f>27.3523 * CHOOSE(CONTROL!$C$9, $D$9, 100%, $F$9) + CHOOSE(CONTROL!$C$27, 0.0021, 0)</f>
        <v>27.354399999999998</v>
      </c>
      <c r="J125" s="10">
        <f>27.3523 * CHOOSE(CONTROL!$C$9, $D$9, 100%, $F$9) + CHOOSE(CONTROL!$C$27, 0.0021, 0)</f>
        <v>27.354399999999998</v>
      </c>
      <c r="K125" s="10">
        <f>27.3523 * CHOOSE(CONTROL!$C$9, $D$9, 100%, $F$9) + CHOOSE(CONTROL!$C$27, 0.0021, 0)</f>
        <v>27.354399999999998</v>
      </c>
      <c r="L125" s="10"/>
    </row>
    <row r="126" spans="1:12" ht="15" x14ac:dyDescent="0.2">
      <c r="A126" s="16">
        <v>45108</v>
      </c>
      <c r="B126" s="10">
        <f>28.2963 * CHOOSE(CONTROL!$C$9, $D$9, 100%, $F$9) + CHOOSE(CONTROL!$C$27, 0.0021, 0)</f>
        <v>28.298399999999997</v>
      </c>
      <c r="C126" s="10">
        <f>27.8641 * CHOOSE(CONTROL!$C$9, $D$9, 100%, $F$9) + CHOOSE(CONTROL!$C$27, 0.0021, 0)</f>
        <v>27.866199999999999</v>
      </c>
      <c r="D126" s="10">
        <f>27.8641 * CHOOSE(CONTROL!$C$9, $D$9, 100%, $F$9) + CHOOSE(CONTROL!$C$27, 0.0021, 0)</f>
        <v>27.866199999999999</v>
      </c>
      <c r="E126" s="10">
        <f>27.7274 * CHOOSE(CONTROL!$C$9, $D$9, 100%, $F$9) + CHOOSE(CONTROL!$C$27, 0.0021, 0)</f>
        <v>27.729499999999998</v>
      </c>
      <c r="F126" s="10">
        <f>27.7274 * CHOOSE(CONTROL!$C$9, $D$9, 100%, $F$9) + CHOOSE(CONTROL!$C$27, 0.0021, 0)</f>
        <v>27.729499999999998</v>
      </c>
      <c r="G126" s="10">
        <f>27.9988 * CHOOSE(CONTROL!$C$9, $D$9, 100%, $F$9) + CHOOSE(CONTROL!$C$27, 0.0021, 0)</f>
        <v>28.000899999999998</v>
      </c>
      <c r="H126" s="10">
        <f>27.8641 * CHOOSE(CONTROL!$C$9, $D$9, 100%, $F$9) + CHOOSE(CONTROL!$C$27, 0.0021, 0)</f>
        <v>27.866199999999999</v>
      </c>
      <c r="I126" s="10">
        <f>27.8641 * CHOOSE(CONTROL!$C$9, $D$9, 100%, $F$9) + CHOOSE(CONTROL!$C$27, 0.0021, 0)</f>
        <v>27.866199999999999</v>
      </c>
      <c r="J126" s="10">
        <f>27.8641 * CHOOSE(CONTROL!$C$9, $D$9, 100%, $F$9) + CHOOSE(CONTROL!$C$27, 0.0021, 0)</f>
        <v>27.866199999999999</v>
      </c>
      <c r="K126" s="10">
        <f>27.8641 * CHOOSE(CONTROL!$C$9, $D$9, 100%, $F$9) + CHOOSE(CONTROL!$C$27, 0.0021, 0)</f>
        <v>27.866199999999999</v>
      </c>
      <c r="L126" s="10"/>
    </row>
    <row r="127" spans="1:12" ht="15" x14ac:dyDescent="0.2">
      <c r="A127" s="16">
        <v>45139</v>
      </c>
      <c r="B127" s="10">
        <f>28.4526 * CHOOSE(CONTROL!$C$9, $D$9, 100%, $F$9) + CHOOSE(CONTROL!$C$27, 0.0021, 0)</f>
        <v>28.454699999999999</v>
      </c>
      <c r="C127" s="10">
        <f>28.0203 * CHOOSE(CONTROL!$C$9, $D$9, 100%, $F$9) + CHOOSE(CONTROL!$C$27, 0.0021, 0)</f>
        <v>28.022399999999998</v>
      </c>
      <c r="D127" s="10">
        <f>28.0203 * CHOOSE(CONTROL!$C$9, $D$9, 100%, $F$9) + CHOOSE(CONTROL!$C$27, 0.0021, 0)</f>
        <v>28.022399999999998</v>
      </c>
      <c r="E127" s="10">
        <f>27.8836 * CHOOSE(CONTROL!$C$9, $D$9, 100%, $F$9) + CHOOSE(CONTROL!$C$27, 0.0021, 0)</f>
        <v>27.8857</v>
      </c>
      <c r="F127" s="10">
        <f>27.8836 * CHOOSE(CONTROL!$C$9, $D$9, 100%, $F$9) + CHOOSE(CONTROL!$C$27, 0.0021, 0)</f>
        <v>27.8857</v>
      </c>
      <c r="G127" s="10">
        <f>28.155 * CHOOSE(CONTROL!$C$9, $D$9, 100%, $F$9) + CHOOSE(CONTROL!$C$27, 0.0021, 0)</f>
        <v>28.1571</v>
      </c>
      <c r="H127" s="10">
        <f>28.0203 * CHOOSE(CONTROL!$C$9, $D$9, 100%, $F$9) + CHOOSE(CONTROL!$C$27, 0.0021, 0)</f>
        <v>28.022399999999998</v>
      </c>
      <c r="I127" s="10">
        <f>28.0203 * CHOOSE(CONTROL!$C$9, $D$9, 100%, $F$9) + CHOOSE(CONTROL!$C$27, 0.0021, 0)</f>
        <v>28.022399999999998</v>
      </c>
      <c r="J127" s="10">
        <f>28.0203 * CHOOSE(CONTROL!$C$9, $D$9, 100%, $F$9) + CHOOSE(CONTROL!$C$27, 0.0021, 0)</f>
        <v>28.022399999999998</v>
      </c>
      <c r="K127" s="10">
        <f>28.0203 * CHOOSE(CONTROL!$C$9, $D$9, 100%, $F$9) + CHOOSE(CONTROL!$C$27, 0.0021, 0)</f>
        <v>28.022399999999998</v>
      </c>
      <c r="L127" s="10"/>
    </row>
    <row r="128" spans="1:12" ht="15" x14ac:dyDescent="0.2">
      <c r="A128" s="16">
        <v>45170</v>
      </c>
      <c r="B128" s="10">
        <f>28.9845 * CHOOSE(CONTROL!$C$9, $D$9, 100%, $F$9) + CHOOSE(CONTROL!$C$27, 0.0021, 0)</f>
        <v>28.986599999999999</v>
      </c>
      <c r="C128" s="10">
        <f>28.5523 * CHOOSE(CONTROL!$C$9, $D$9, 100%, $F$9) + CHOOSE(CONTROL!$C$27, 0.0021, 0)</f>
        <v>28.554399999999998</v>
      </c>
      <c r="D128" s="10">
        <f>28.5523 * CHOOSE(CONTROL!$C$9, $D$9, 100%, $F$9) + CHOOSE(CONTROL!$C$27, 0.0021, 0)</f>
        <v>28.554399999999998</v>
      </c>
      <c r="E128" s="10">
        <f>28.4156 * CHOOSE(CONTROL!$C$9, $D$9, 100%, $F$9) + CHOOSE(CONTROL!$C$27, 0.0021, 0)</f>
        <v>28.4177</v>
      </c>
      <c r="F128" s="10">
        <f>28.4156 * CHOOSE(CONTROL!$C$9, $D$9, 100%, $F$9) + CHOOSE(CONTROL!$C$27, 0.0021, 0)</f>
        <v>28.4177</v>
      </c>
      <c r="G128" s="10">
        <f>28.687 * CHOOSE(CONTROL!$C$9, $D$9, 100%, $F$9) + CHOOSE(CONTROL!$C$27, 0.0021, 0)</f>
        <v>28.6891</v>
      </c>
      <c r="H128" s="10">
        <f>28.5523 * CHOOSE(CONTROL!$C$9, $D$9, 100%, $F$9) + CHOOSE(CONTROL!$C$27, 0.0021, 0)</f>
        <v>28.554399999999998</v>
      </c>
      <c r="I128" s="10">
        <f>28.5523 * CHOOSE(CONTROL!$C$9, $D$9, 100%, $F$9) + CHOOSE(CONTROL!$C$27, 0.0021, 0)</f>
        <v>28.554399999999998</v>
      </c>
      <c r="J128" s="10">
        <f>28.5523 * CHOOSE(CONTROL!$C$9, $D$9, 100%, $F$9) + CHOOSE(CONTROL!$C$27, 0.0021, 0)</f>
        <v>28.554399999999998</v>
      </c>
      <c r="K128" s="10">
        <f>28.5523 * CHOOSE(CONTROL!$C$9, $D$9, 100%, $F$9) + CHOOSE(CONTROL!$C$27, 0.0021, 0)</f>
        <v>28.554399999999998</v>
      </c>
      <c r="L128" s="10"/>
    </row>
    <row r="129" spans="1:12" ht="15" x14ac:dyDescent="0.2">
      <c r="A129" s="16">
        <v>45200</v>
      </c>
      <c r="B129" s="10">
        <f>29.6579 * CHOOSE(CONTROL!$C$9, $D$9, 100%, $F$9) + CHOOSE(CONTROL!$C$27, 0.0021, 0)</f>
        <v>29.66</v>
      </c>
      <c r="C129" s="10">
        <f>29.2256 * CHOOSE(CONTROL!$C$9, $D$9, 100%, $F$9) + CHOOSE(CONTROL!$C$27, 0.0021, 0)</f>
        <v>29.227699999999999</v>
      </c>
      <c r="D129" s="10">
        <f>29.2256 * CHOOSE(CONTROL!$C$9, $D$9, 100%, $F$9) + CHOOSE(CONTROL!$C$27, 0.0021, 0)</f>
        <v>29.227699999999999</v>
      </c>
      <c r="E129" s="10">
        <f>29.089 * CHOOSE(CONTROL!$C$9, $D$9, 100%, $F$9) + CHOOSE(CONTROL!$C$27, 0.0021, 0)</f>
        <v>29.091099999999997</v>
      </c>
      <c r="F129" s="10">
        <f>29.089 * CHOOSE(CONTROL!$C$9, $D$9, 100%, $F$9) + CHOOSE(CONTROL!$C$27, 0.0021, 0)</f>
        <v>29.091099999999997</v>
      </c>
      <c r="G129" s="10">
        <f>29.3604 * CHOOSE(CONTROL!$C$9, $D$9, 100%, $F$9) + CHOOSE(CONTROL!$C$27, 0.0021, 0)</f>
        <v>29.362499999999997</v>
      </c>
      <c r="H129" s="10">
        <f>29.2256 * CHOOSE(CONTROL!$C$9, $D$9, 100%, $F$9) + CHOOSE(CONTROL!$C$27, 0.0021, 0)</f>
        <v>29.227699999999999</v>
      </c>
      <c r="I129" s="10">
        <f>29.2256 * CHOOSE(CONTROL!$C$9, $D$9, 100%, $F$9) + CHOOSE(CONTROL!$C$27, 0.0021, 0)</f>
        <v>29.227699999999999</v>
      </c>
      <c r="J129" s="10">
        <f>29.2256 * CHOOSE(CONTROL!$C$9, $D$9, 100%, $F$9) + CHOOSE(CONTROL!$C$27, 0.0021, 0)</f>
        <v>29.227699999999999</v>
      </c>
      <c r="K129" s="10">
        <f>29.2256 * CHOOSE(CONTROL!$C$9, $D$9, 100%, $F$9) + CHOOSE(CONTROL!$C$27, 0.0021, 0)</f>
        <v>29.227699999999999</v>
      </c>
      <c r="L129" s="10"/>
    </row>
    <row r="130" spans="1:12" ht="15" x14ac:dyDescent="0.2">
      <c r="A130" s="16">
        <v>45231</v>
      </c>
      <c r="B130" s="10">
        <f>29.7211 * CHOOSE(CONTROL!$C$9, $D$9, 100%, $F$9) + CHOOSE(CONTROL!$C$27, 0.0021, 0)</f>
        <v>29.723199999999999</v>
      </c>
      <c r="C130" s="10">
        <f>29.2889 * CHOOSE(CONTROL!$C$9, $D$9, 100%, $F$9) + CHOOSE(CONTROL!$C$27, 0.0021, 0)</f>
        <v>29.291</v>
      </c>
      <c r="D130" s="10">
        <f>29.2889 * CHOOSE(CONTROL!$C$9, $D$9, 100%, $F$9) + CHOOSE(CONTROL!$C$27, 0.0021, 0)</f>
        <v>29.291</v>
      </c>
      <c r="E130" s="10">
        <f>29.1522 * CHOOSE(CONTROL!$C$9, $D$9, 100%, $F$9) + CHOOSE(CONTROL!$C$27, 0.0021, 0)</f>
        <v>29.154299999999999</v>
      </c>
      <c r="F130" s="10">
        <f>29.1522 * CHOOSE(CONTROL!$C$9, $D$9, 100%, $F$9) + CHOOSE(CONTROL!$C$27, 0.0021, 0)</f>
        <v>29.154299999999999</v>
      </c>
      <c r="G130" s="10">
        <f>29.4236 * CHOOSE(CONTROL!$C$9, $D$9, 100%, $F$9) + CHOOSE(CONTROL!$C$27, 0.0021, 0)</f>
        <v>29.425699999999999</v>
      </c>
      <c r="H130" s="10">
        <f>29.2889 * CHOOSE(CONTROL!$C$9, $D$9, 100%, $F$9) + CHOOSE(CONTROL!$C$27, 0.0021, 0)</f>
        <v>29.291</v>
      </c>
      <c r="I130" s="10">
        <f>29.2889 * CHOOSE(CONTROL!$C$9, $D$9, 100%, $F$9) + CHOOSE(CONTROL!$C$27, 0.0021, 0)</f>
        <v>29.291</v>
      </c>
      <c r="J130" s="10">
        <f>29.2889 * CHOOSE(CONTROL!$C$9, $D$9, 100%, $F$9) + CHOOSE(CONTROL!$C$27, 0.0021, 0)</f>
        <v>29.291</v>
      </c>
      <c r="K130" s="10">
        <f>29.2889 * CHOOSE(CONTROL!$C$9, $D$9, 100%, $F$9) + CHOOSE(CONTROL!$C$27, 0.0021, 0)</f>
        <v>29.291</v>
      </c>
      <c r="L130" s="10"/>
    </row>
    <row r="131" spans="1:12" ht="15" x14ac:dyDescent="0.2">
      <c r="A131" s="16">
        <v>45261</v>
      </c>
      <c r="B131" s="10">
        <f>29.1833 * CHOOSE(CONTROL!$C$9, $D$9, 100%, $F$9) + CHOOSE(CONTROL!$C$27, 0.0021, 0)</f>
        <v>29.185399999999998</v>
      </c>
      <c r="C131" s="10">
        <f>28.7511 * CHOOSE(CONTROL!$C$9, $D$9, 100%, $F$9) + CHOOSE(CONTROL!$C$27, 0.0021, 0)</f>
        <v>28.7532</v>
      </c>
      <c r="D131" s="10">
        <f>28.7511 * CHOOSE(CONTROL!$C$9, $D$9, 100%, $F$9) + CHOOSE(CONTROL!$C$27, 0.0021, 0)</f>
        <v>28.7532</v>
      </c>
      <c r="E131" s="10">
        <f>28.6144 * CHOOSE(CONTROL!$C$9, $D$9, 100%, $F$9) + CHOOSE(CONTROL!$C$27, 0.0021, 0)</f>
        <v>28.616499999999998</v>
      </c>
      <c r="F131" s="10">
        <f>28.6144 * CHOOSE(CONTROL!$C$9, $D$9, 100%, $F$9) + CHOOSE(CONTROL!$C$27, 0.0021, 0)</f>
        <v>28.616499999999998</v>
      </c>
      <c r="G131" s="10">
        <f>28.8858 * CHOOSE(CONTROL!$C$9, $D$9, 100%, $F$9) + CHOOSE(CONTROL!$C$27, 0.0021, 0)</f>
        <v>28.887899999999998</v>
      </c>
      <c r="H131" s="10">
        <f>28.7511 * CHOOSE(CONTROL!$C$9, $D$9, 100%, $F$9) + CHOOSE(CONTROL!$C$27, 0.0021, 0)</f>
        <v>28.7532</v>
      </c>
      <c r="I131" s="10">
        <f>28.7511 * CHOOSE(CONTROL!$C$9, $D$9, 100%, $F$9) + CHOOSE(CONTROL!$C$27, 0.0021, 0)</f>
        <v>28.7532</v>
      </c>
      <c r="J131" s="10">
        <f>28.7511 * CHOOSE(CONTROL!$C$9, $D$9, 100%, $F$9) + CHOOSE(CONTROL!$C$27, 0.0021, 0)</f>
        <v>28.7532</v>
      </c>
      <c r="K131" s="10">
        <f>28.7511 * CHOOSE(CONTROL!$C$9, $D$9, 100%, $F$9) + CHOOSE(CONTROL!$C$27, 0.0021, 0)</f>
        <v>28.7532</v>
      </c>
      <c r="L131" s="10"/>
    </row>
    <row r="132" spans="1:12" ht="15" x14ac:dyDescent="0.2">
      <c r="A132" s="16">
        <v>45292</v>
      </c>
      <c r="B132" s="10">
        <f>29.3959 * CHOOSE(CONTROL!$C$9, $D$9, 100%, $F$9) + CHOOSE(CONTROL!$C$27, 0.0021, 0)</f>
        <v>29.398</v>
      </c>
      <c r="C132" s="10">
        <f>28.9637 * CHOOSE(CONTROL!$C$9, $D$9, 100%, $F$9) + CHOOSE(CONTROL!$C$27, 0.0021, 0)</f>
        <v>28.965799999999998</v>
      </c>
      <c r="D132" s="10">
        <f>28.9637 * CHOOSE(CONTROL!$C$9, $D$9, 100%, $F$9) + CHOOSE(CONTROL!$C$27, 0.0021, 0)</f>
        <v>28.965799999999998</v>
      </c>
      <c r="E132" s="10">
        <f>28.827 * CHOOSE(CONTROL!$C$9, $D$9, 100%, $F$9) + CHOOSE(CONTROL!$C$27, 0.0021, 0)</f>
        <v>28.8291</v>
      </c>
      <c r="F132" s="10">
        <f>28.827 * CHOOSE(CONTROL!$C$9, $D$9, 100%, $F$9) + CHOOSE(CONTROL!$C$27, 0.0021, 0)</f>
        <v>28.8291</v>
      </c>
      <c r="G132" s="10">
        <f>29.0984 * CHOOSE(CONTROL!$C$9, $D$9, 100%, $F$9) + CHOOSE(CONTROL!$C$27, 0.0021, 0)</f>
        <v>29.1005</v>
      </c>
      <c r="H132" s="10">
        <f>28.9637 * CHOOSE(CONTROL!$C$9, $D$9, 100%, $F$9) + CHOOSE(CONTROL!$C$27, 0.0021, 0)</f>
        <v>28.965799999999998</v>
      </c>
      <c r="I132" s="10">
        <f>28.9637 * CHOOSE(CONTROL!$C$9, $D$9, 100%, $F$9) + CHOOSE(CONTROL!$C$27, 0.0021, 0)</f>
        <v>28.965799999999998</v>
      </c>
      <c r="J132" s="10">
        <f>28.9637 * CHOOSE(CONTROL!$C$9, $D$9, 100%, $F$9) + CHOOSE(CONTROL!$C$27, 0.0021, 0)</f>
        <v>28.965799999999998</v>
      </c>
      <c r="K132" s="10">
        <f>28.9637 * CHOOSE(CONTROL!$C$9, $D$9, 100%, $F$9) + CHOOSE(CONTROL!$C$27, 0.0021, 0)</f>
        <v>28.965799999999998</v>
      </c>
      <c r="L132" s="10"/>
    </row>
    <row r="133" spans="1:12" ht="15" x14ac:dyDescent="0.2">
      <c r="A133" s="16">
        <v>45323</v>
      </c>
      <c r="B133" s="10">
        <f>28.6293 * CHOOSE(CONTROL!$C$9, $D$9, 100%, $F$9) + CHOOSE(CONTROL!$C$27, 0.0021, 0)</f>
        <v>28.631399999999999</v>
      </c>
      <c r="C133" s="10">
        <f>28.197 * CHOOSE(CONTROL!$C$9, $D$9, 100%, $F$9) + CHOOSE(CONTROL!$C$27, 0.0021, 0)</f>
        <v>28.199099999999998</v>
      </c>
      <c r="D133" s="10">
        <f>28.197 * CHOOSE(CONTROL!$C$9, $D$9, 100%, $F$9) + CHOOSE(CONTROL!$C$27, 0.0021, 0)</f>
        <v>28.199099999999998</v>
      </c>
      <c r="E133" s="10">
        <f>28.0604 * CHOOSE(CONTROL!$C$9, $D$9, 100%, $F$9) + CHOOSE(CONTROL!$C$27, 0.0021, 0)</f>
        <v>28.0625</v>
      </c>
      <c r="F133" s="10">
        <f>28.0604 * CHOOSE(CONTROL!$C$9, $D$9, 100%, $F$9) + CHOOSE(CONTROL!$C$27, 0.0021, 0)</f>
        <v>28.0625</v>
      </c>
      <c r="G133" s="10">
        <f>28.3317 * CHOOSE(CONTROL!$C$9, $D$9, 100%, $F$9) + CHOOSE(CONTROL!$C$27, 0.0021, 0)</f>
        <v>28.3338</v>
      </c>
      <c r="H133" s="10">
        <f>28.197 * CHOOSE(CONTROL!$C$9, $D$9, 100%, $F$9) + CHOOSE(CONTROL!$C$27, 0.0021, 0)</f>
        <v>28.199099999999998</v>
      </c>
      <c r="I133" s="10">
        <f>28.197 * CHOOSE(CONTROL!$C$9, $D$9, 100%, $F$9) + CHOOSE(CONTROL!$C$27, 0.0021, 0)</f>
        <v>28.199099999999998</v>
      </c>
      <c r="J133" s="10">
        <f>28.197 * CHOOSE(CONTROL!$C$9, $D$9, 100%, $F$9) + CHOOSE(CONTROL!$C$27, 0.0021, 0)</f>
        <v>28.199099999999998</v>
      </c>
      <c r="K133" s="10">
        <f>28.197 * CHOOSE(CONTROL!$C$9, $D$9, 100%, $F$9) + CHOOSE(CONTROL!$C$27, 0.0021, 0)</f>
        <v>28.199099999999998</v>
      </c>
      <c r="L133" s="10"/>
    </row>
    <row r="134" spans="1:12" ht="15" x14ac:dyDescent="0.2">
      <c r="A134" s="16">
        <v>45352</v>
      </c>
      <c r="B134" s="10">
        <f>28.3128 * CHOOSE(CONTROL!$C$9, $D$9, 100%, $F$9) + CHOOSE(CONTROL!$C$27, 0.0021, 0)</f>
        <v>28.314899999999998</v>
      </c>
      <c r="C134" s="10">
        <f>27.8806 * CHOOSE(CONTROL!$C$9, $D$9, 100%, $F$9) + CHOOSE(CONTROL!$C$27, 0.0021, 0)</f>
        <v>27.8827</v>
      </c>
      <c r="D134" s="10">
        <f>27.8806 * CHOOSE(CONTROL!$C$9, $D$9, 100%, $F$9) + CHOOSE(CONTROL!$C$27, 0.0021, 0)</f>
        <v>27.8827</v>
      </c>
      <c r="E134" s="10">
        <f>27.7439 * CHOOSE(CONTROL!$C$9, $D$9, 100%, $F$9) + CHOOSE(CONTROL!$C$27, 0.0021, 0)</f>
        <v>27.745999999999999</v>
      </c>
      <c r="F134" s="10">
        <f>27.7439 * CHOOSE(CONTROL!$C$9, $D$9, 100%, $F$9) + CHOOSE(CONTROL!$C$27, 0.0021, 0)</f>
        <v>27.745999999999999</v>
      </c>
      <c r="G134" s="10">
        <f>28.0153 * CHOOSE(CONTROL!$C$9, $D$9, 100%, $F$9) + CHOOSE(CONTROL!$C$27, 0.0021, 0)</f>
        <v>28.017399999999999</v>
      </c>
      <c r="H134" s="10">
        <f>27.8806 * CHOOSE(CONTROL!$C$9, $D$9, 100%, $F$9) + CHOOSE(CONTROL!$C$27, 0.0021, 0)</f>
        <v>27.8827</v>
      </c>
      <c r="I134" s="10">
        <f>27.8806 * CHOOSE(CONTROL!$C$9, $D$9, 100%, $F$9) + CHOOSE(CONTROL!$C$27, 0.0021, 0)</f>
        <v>27.8827</v>
      </c>
      <c r="J134" s="10">
        <f>27.8806 * CHOOSE(CONTROL!$C$9, $D$9, 100%, $F$9) + CHOOSE(CONTROL!$C$27, 0.0021, 0)</f>
        <v>27.8827</v>
      </c>
      <c r="K134" s="10">
        <f>27.8806 * CHOOSE(CONTROL!$C$9, $D$9, 100%, $F$9) + CHOOSE(CONTROL!$C$27, 0.0021, 0)</f>
        <v>27.8827</v>
      </c>
      <c r="L134" s="10"/>
    </row>
    <row r="135" spans="1:12" ht="15" x14ac:dyDescent="0.2">
      <c r="A135" s="16">
        <v>45383</v>
      </c>
      <c r="B135" s="10">
        <f>27.9349 * CHOOSE(CONTROL!$C$9, $D$9, 100%, $F$9) + CHOOSE(CONTROL!$C$27, 0.0021, 0)</f>
        <v>27.936999999999998</v>
      </c>
      <c r="C135" s="10">
        <f>27.5027 * CHOOSE(CONTROL!$C$9, $D$9, 100%, $F$9) + CHOOSE(CONTROL!$C$27, 0.0021, 0)</f>
        <v>27.504799999999999</v>
      </c>
      <c r="D135" s="10">
        <f>27.5027 * CHOOSE(CONTROL!$C$9, $D$9, 100%, $F$9) + CHOOSE(CONTROL!$C$27, 0.0021, 0)</f>
        <v>27.504799999999999</v>
      </c>
      <c r="E135" s="10">
        <f>27.366 * CHOOSE(CONTROL!$C$9, $D$9, 100%, $F$9) + CHOOSE(CONTROL!$C$27, 0.0021, 0)</f>
        <v>27.368099999999998</v>
      </c>
      <c r="F135" s="10">
        <f>27.366 * CHOOSE(CONTROL!$C$9, $D$9, 100%, $F$9) + CHOOSE(CONTROL!$C$27, 0.0021, 0)</f>
        <v>27.368099999999998</v>
      </c>
      <c r="G135" s="10">
        <f>27.6374 * CHOOSE(CONTROL!$C$9, $D$9, 100%, $F$9) + CHOOSE(CONTROL!$C$27, 0.0021, 0)</f>
        <v>27.639499999999998</v>
      </c>
      <c r="H135" s="10">
        <f>27.5027 * CHOOSE(CONTROL!$C$9, $D$9, 100%, $F$9) + CHOOSE(CONTROL!$C$27, 0.0021, 0)</f>
        <v>27.504799999999999</v>
      </c>
      <c r="I135" s="10">
        <f>27.5027 * CHOOSE(CONTROL!$C$9, $D$9, 100%, $F$9) + CHOOSE(CONTROL!$C$27, 0.0021, 0)</f>
        <v>27.504799999999999</v>
      </c>
      <c r="J135" s="10">
        <f>27.5027 * CHOOSE(CONTROL!$C$9, $D$9, 100%, $F$9) + CHOOSE(CONTROL!$C$27, 0.0021, 0)</f>
        <v>27.504799999999999</v>
      </c>
      <c r="K135" s="10">
        <f>27.5027 * CHOOSE(CONTROL!$C$9, $D$9, 100%, $F$9) + CHOOSE(CONTROL!$C$27, 0.0021, 0)</f>
        <v>27.504799999999999</v>
      </c>
      <c r="L135" s="10"/>
    </row>
    <row r="136" spans="1:12" ht="15" x14ac:dyDescent="0.2">
      <c r="A136" s="16">
        <v>45413</v>
      </c>
      <c r="B136" s="10">
        <f>28.4734 * CHOOSE(CONTROL!$C$9, $D$9, 100%, $F$9) + CHOOSE(CONTROL!$C$27, 0.0021, 0)</f>
        <v>28.4755</v>
      </c>
      <c r="C136" s="10">
        <f>28.0412 * CHOOSE(CONTROL!$C$9, $D$9, 100%, $F$9) + CHOOSE(CONTROL!$C$27, 0.0021, 0)</f>
        <v>28.043299999999999</v>
      </c>
      <c r="D136" s="10">
        <f>28.0412 * CHOOSE(CONTROL!$C$9, $D$9, 100%, $F$9) + CHOOSE(CONTROL!$C$27, 0.0021, 0)</f>
        <v>28.043299999999999</v>
      </c>
      <c r="E136" s="10">
        <f>27.9045 * CHOOSE(CONTROL!$C$9, $D$9, 100%, $F$9) + CHOOSE(CONTROL!$C$27, 0.0021, 0)</f>
        <v>27.906599999999997</v>
      </c>
      <c r="F136" s="10">
        <f>27.9045 * CHOOSE(CONTROL!$C$9, $D$9, 100%, $F$9) + CHOOSE(CONTROL!$C$27, 0.0021, 0)</f>
        <v>27.906599999999997</v>
      </c>
      <c r="G136" s="10">
        <f>28.1759 * CHOOSE(CONTROL!$C$9, $D$9, 100%, $F$9) + CHOOSE(CONTROL!$C$27, 0.0021, 0)</f>
        <v>28.177999999999997</v>
      </c>
      <c r="H136" s="10">
        <f>28.0412 * CHOOSE(CONTROL!$C$9, $D$9, 100%, $F$9) + CHOOSE(CONTROL!$C$27, 0.0021, 0)</f>
        <v>28.043299999999999</v>
      </c>
      <c r="I136" s="10">
        <f>28.0412 * CHOOSE(CONTROL!$C$9, $D$9, 100%, $F$9) + CHOOSE(CONTROL!$C$27, 0.0021, 0)</f>
        <v>28.043299999999999</v>
      </c>
      <c r="J136" s="10">
        <f>28.0412 * CHOOSE(CONTROL!$C$9, $D$9, 100%, $F$9) + CHOOSE(CONTROL!$C$27, 0.0021, 0)</f>
        <v>28.043299999999999</v>
      </c>
      <c r="K136" s="10">
        <f>28.0412 * CHOOSE(CONTROL!$C$9, $D$9, 100%, $F$9) + CHOOSE(CONTROL!$C$27, 0.0021, 0)</f>
        <v>28.043299999999999</v>
      </c>
      <c r="L136" s="10"/>
    </row>
    <row r="137" spans="1:12" ht="15" x14ac:dyDescent="0.2">
      <c r="A137" s="16">
        <v>45444</v>
      </c>
      <c r="B137" s="10">
        <f>28.796 * CHOOSE(CONTROL!$C$9, $D$9, 100%, $F$9) + CHOOSE(CONTROL!$C$27, 0.0021, 0)</f>
        <v>28.798099999999998</v>
      </c>
      <c r="C137" s="10">
        <f>28.3637 * CHOOSE(CONTROL!$C$9, $D$9, 100%, $F$9) + CHOOSE(CONTROL!$C$27, 0.0021, 0)</f>
        <v>28.3658</v>
      </c>
      <c r="D137" s="10">
        <f>28.3637 * CHOOSE(CONTROL!$C$9, $D$9, 100%, $F$9) + CHOOSE(CONTROL!$C$27, 0.0021, 0)</f>
        <v>28.3658</v>
      </c>
      <c r="E137" s="10">
        <f>28.2271 * CHOOSE(CONTROL!$C$9, $D$9, 100%, $F$9) + CHOOSE(CONTROL!$C$27, 0.0021, 0)</f>
        <v>28.229199999999999</v>
      </c>
      <c r="F137" s="10">
        <f>28.2271 * CHOOSE(CONTROL!$C$9, $D$9, 100%, $F$9) + CHOOSE(CONTROL!$C$27, 0.0021, 0)</f>
        <v>28.229199999999999</v>
      </c>
      <c r="G137" s="10">
        <f>28.4985 * CHOOSE(CONTROL!$C$9, $D$9, 100%, $F$9) + CHOOSE(CONTROL!$C$27, 0.0021, 0)</f>
        <v>28.500599999999999</v>
      </c>
      <c r="H137" s="10">
        <f>28.3637 * CHOOSE(CONTROL!$C$9, $D$9, 100%, $F$9) + CHOOSE(CONTROL!$C$27, 0.0021, 0)</f>
        <v>28.3658</v>
      </c>
      <c r="I137" s="10">
        <f>28.3637 * CHOOSE(CONTROL!$C$9, $D$9, 100%, $F$9) + CHOOSE(CONTROL!$C$27, 0.0021, 0)</f>
        <v>28.3658</v>
      </c>
      <c r="J137" s="10">
        <f>28.3637 * CHOOSE(CONTROL!$C$9, $D$9, 100%, $F$9) + CHOOSE(CONTROL!$C$27, 0.0021, 0)</f>
        <v>28.3658</v>
      </c>
      <c r="K137" s="10">
        <f>28.3637 * CHOOSE(CONTROL!$C$9, $D$9, 100%, $F$9) + CHOOSE(CONTROL!$C$27, 0.0021, 0)</f>
        <v>28.3658</v>
      </c>
      <c r="L137" s="10"/>
    </row>
    <row r="138" spans="1:12" ht="15" x14ac:dyDescent="0.2">
      <c r="A138" s="16">
        <v>45474</v>
      </c>
      <c r="B138" s="10">
        <f>29.3281 * CHOOSE(CONTROL!$C$9, $D$9, 100%, $F$9) + CHOOSE(CONTROL!$C$27, 0.0021, 0)</f>
        <v>29.330199999999998</v>
      </c>
      <c r="C138" s="10">
        <f>28.8958 * CHOOSE(CONTROL!$C$9, $D$9, 100%, $F$9) + CHOOSE(CONTROL!$C$27, 0.0021, 0)</f>
        <v>28.8979</v>
      </c>
      <c r="D138" s="10">
        <f>28.8958 * CHOOSE(CONTROL!$C$9, $D$9, 100%, $F$9) + CHOOSE(CONTROL!$C$27, 0.0021, 0)</f>
        <v>28.8979</v>
      </c>
      <c r="E138" s="10">
        <f>28.7592 * CHOOSE(CONTROL!$C$9, $D$9, 100%, $F$9) + CHOOSE(CONTROL!$C$27, 0.0021, 0)</f>
        <v>28.761299999999999</v>
      </c>
      <c r="F138" s="10">
        <f>28.7592 * CHOOSE(CONTROL!$C$9, $D$9, 100%, $F$9) + CHOOSE(CONTROL!$C$27, 0.0021, 0)</f>
        <v>28.761299999999999</v>
      </c>
      <c r="G138" s="10">
        <f>29.0305 * CHOOSE(CONTROL!$C$9, $D$9, 100%, $F$9) + CHOOSE(CONTROL!$C$27, 0.0021, 0)</f>
        <v>29.032599999999999</v>
      </c>
      <c r="H138" s="10">
        <f>28.8958 * CHOOSE(CONTROL!$C$9, $D$9, 100%, $F$9) + CHOOSE(CONTROL!$C$27, 0.0021, 0)</f>
        <v>28.8979</v>
      </c>
      <c r="I138" s="10">
        <f>28.8958 * CHOOSE(CONTROL!$C$9, $D$9, 100%, $F$9) + CHOOSE(CONTROL!$C$27, 0.0021, 0)</f>
        <v>28.8979</v>
      </c>
      <c r="J138" s="10">
        <f>28.8958 * CHOOSE(CONTROL!$C$9, $D$9, 100%, $F$9) + CHOOSE(CONTROL!$C$27, 0.0021, 0)</f>
        <v>28.8979</v>
      </c>
      <c r="K138" s="10">
        <f>28.8958 * CHOOSE(CONTROL!$C$9, $D$9, 100%, $F$9) + CHOOSE(CONTROL!$C$27, 0.0021, 0)</f>
        <v>28.8979</v>
      </c>
      <c r="L138" s="10"/>
    </row>
    <row r="139" spans="1:12" ht="15" x14ac:dyDescent="0.2">
      <c r="A139" s="16">
        <v>45505</v>
      </c>
      <c r="B139" s="10">
        <f>29.4905 * CHOOSE(CONTROL!$C$9, $D$9, 100%, $F$9) + CHOOSE(CONTROL!$C$27, 0.0021, 0)</f>
        <v>29.492599999999999</v>
      </c>
      <c r="C139" s="10">
        <f>29.0582 * CHOOSE(CONTROL!$C$9, $D$9, 100%, $F$9) + CHOOSE(CONTROL!$C$27, 0.0021, 0)</f>
        <v>29.060299999999998</v>
      </c>
      <c r="D139" s="10">
        <f>29.0582 * CHOOSE(CONTROL!$C$9, $D$9, 100%, $F$9) + CHOOSE(CONTROL!$C$27, 0.0021, 0)</f>
        <v>29.060299999999998</v>
      </c>
      <c r="E139" s="10">
        <f>28.9216 * CHOOSE(CONTROL!$C$9, $D$9, 100%, $F$9) + CHOOSE(CONTROL!$C$27, 0.0021, 0)</f>
        <v>28.9237</v>
      </c>
      <c r="F139" s="10">
        <f>28.9216 * CHOOSE(CONTROL!$C$9, $D$9, 100%, $F$9) + CHOOSE(CONTROL!$C$27, 0.0021, 0)</f>
        <v>28.9237</v>
      </c>
      <c r="G139" s="10">
        <f>29.1929 * CHOOSE(CONTROL!$C$9, $D$9, 100%, $F$9) + CHOOSE(CONTROL!$C$27, 0.0021, 0)</f>
        <v>29.195</v>
      </c>
      <c r="H139" s="10">
        <f>29.0582 * CHOOSE(CONTROL!$C$9, $D$9, 100%, $F$9) + CHOOSE(CONTROL!$C$27, 0.0021, 0)</f>
        <v>29.060299999999998</v>
      </c>
      <c r="I139" s="10">
        <f>29.0582 * CHOOSE(CONTROL!$C$9, $D$9, 100%, $F$9) + CHOOSE(CONTROL!$C$27, 0.0021, 0)</f>
        <v>29.060299999999998</v>
      </c>
      <c r="J139" s="10">
        <f>29.0582 * CHOOSE(CONTROL!$C$9, $D$9, 100%, $F$9) + CHOOSE(CONTROL!$C$27, 0.0021, 0)</f>
        <v>29.060299999999998</v>
      </c>
      <c r="K139" s="10">
        <f>29.0582 * CHOOSE(CONTROL!$C$9, $D$9, 100%, $F$9) + CHOOSE(CONTROL!$C$27, 0.0021, 0)</f>
        <v>29.060299999999998</v>
      </c>
      <c r="L139" s="10"/>
    </row>
    <row r="140" spans="1:12" ht="15" x14ac:dyDescent="0.2">
      <c r="A140" s="16">
        <v>45536</v>
      </c>
      <c r="B140" s="10">
        <f>30.0435 * CHOOSE(CONTROL!$C$9, $D$9, 100%, $F$9) + CHOOSE(CONTROL!$C$27, 0.0021, 0)</f>
        <v>30.0456</v>
      </c>
      <c r="C140" s="10">
        <f>29.6113 * CHOOSE(CONTROL!$C$9, $D$9, 100%, $F$9) + CHOOSE(CONTROL!$C$27, 0.0021, 0)</f>
        <v>29.613399999999999</v>
      </c>
      <c r="D140" s="10">
        <f>29.6113 * CHOOSE(CONTROL!$C$9, $D$9, 100%, $F$9) + CHOOSE(CONTROL!$C$27, 0.0021, 0)</f>
        <v>29.613399999999999</v>
      </c>
      <c r="E140" s="10">
        <f>29.4746 * CHOOSE(CONTROL!$C$9, $D$9, 100%, $F$9) + CHOOSE(CONTROL!$C$27, 0.0021, 0)</f>
        <v>29.476699999999997</v>
      </c>
      <c r="F140" s="10">
        <f>29.4746 * CHOOSE(CONTROL!$C$9, $D$9, 100%, $F$9) + CHOOSE(CONTROL!$C$27, 0.0021, 0)</f>
        <v>29.476699999999997</v>
      </c>
      <c r="G140" s="10">
        <f>29.746 * CHOOSE(CONTROL!$C$9, $D$9, 100%, $F$9) + CHOOSE(CONTROL!$C$27, 0.0021, 0)</f>
        <v>29.748099999999997</v>
      </c>
      <c r="H140" s="10">
        <f>29.6113 * CHOOSE(CONTROL!$C$9, $D$9, 100%, $F$9) + CHOOSE(CONTROL!$C$27, 0.0021, 0)</f>
        <v>29.613399999999999</v>
      </c>
      <c r="I140" s="10">
        <f>29.6113 * CHOOSE(CONTROL!$C$9, $D$9, 100%, $F$9) + CHOOSE(CONTROL!$C$27, 0.0021, 0)</f>
        <v>29.613399999999999</v>
      </c>
      <c r="J140" s="10">
        <f>29.6113 * CHOOSE(CONTROL!$C$9, $D$9, 100%, $F$9) + CHOOSE(CONTROL!$C$27, 0.0021, 0)</f>
        <v>29.613399999999999</v>
      </c>
      <c r="K140" s="10">
        <f>29.6113 * CHOOSE(CONTROL!$C$9, $D$9, 100%, $F$9) + CHOOSE(CONTROL!$C$27, 0.0021, 0)</f>
        <v>29.613399999999999</v>
      </c>
      <c r="L140" s="10"/>
    </row>
    <row r="141" spans="1:12" ht="15" x14ac:dyDescent="0.2">
      <c r="A141" s="16">
        <v>45566</v>
      </c>
      <c r="B141" s="10">
        <f>30.7436 * CHOOSE(CONTROL!$C$9, $D$9, 100%, $F$9) + CHOOSE(CONTROL!$C$27, 0.0021, 0)</f>
        <v>30.745699999999999</v>
      </c>
      <c r="C141" s="10">
        <f>30.3114 * CHOOSE(CONTROL!$C$9, $D$9, 100%, $F$9) + CHOOSE(CONTROL!$C$27, 0.0021, 0)</f>
        <v>30.313499999999998</v>
      </c>
      <c r="D141" s="10">
        <f>30.3114 * CHOOSE(CONTROL!$C$9, $D$9, 100%, $F$9) + CHOOSE(CONTROL!$C$27, 0.0021, 0)</f>
        <v>30.313499999999998</v>
      </c>
      <c r="E141" s="10">
        <f>30.1747 * CHOOSE(CONTROL!$C$9, $D$9, 100%, $F$9) + CHOOSE(CONTROL!$C$27, 0.0021, 0)</f>
        <v>30.1768</v>
      </c>
      <c r="F141" s="10">
        <f>30.1747 * CHOOSE(CONTROL!$C$9, $D$9, 100%, $F$9) + CHOOSE(CONTROL!$C$27, 0.0021, 0)</f>
        <v>30.1768</v>
      </c>
      <c r="G141" s="10">
        <f>30.4461 * CHOOSE(CONTROL!$C$9, $D$9, 100%, $F$9) + CHOOSE(CONTROL!$C$27, 0.0021, 0)</f>
        <v>30.4482</v>
      </c>
      <c r="H141" s="10">
        <f>30.3114 * CHOOSE(CONTROL!$C$9, $D$9, 100%, $F$9) + CHOOSE(CONTROL!$C$27, 0.0021, 0)</f>
        <v>30.313499999999998</v>
      </c>
      <c r="I141" s="10">
        <f>30.3114 * CHOOSE(CONTROL!$C$9, $D$9, 100%, $F$9) + CHOOSE(CONTROL!$C$27, 0.0021, 0)</f>
        <v>30.313499999999998</v>
      </c>
      <c r="J141" s="10">
        <f>30.3114 * CHOOSE(CONTROL!$C$9, $D$9, 100%, $F$9) + CHOOSE(CONTROL!$C$27, 0.0021, 0)</f>
        <v>30.313499999999998</v>
      </c>
      <c r="K141" s="10">
        <f>30.3114 * CHOOSE(CONTROL!$C$9, $D$9, 100%, $F$9) + CHOOSE(CONTROL!$C$27, 0.0021, 0)</f>
        <v>30.313499999999998</v>
      </c>
      <c r="L141" s="10"/>
    </row>
    <row r="142" spans="1:12" ht="15" x14ac:dyDescent="0.2">
      <c r="A142" s="16">
        <v>45597</v>
      </c>
      <c r="B142" s="10">
        <f>30.8094 * CHOOSE(CONTROL!$C$9, $D$9, 100%, $F$9) + CHOOSE(CONTROL!$C$27, 0.0021, 0)</f>
        <v>30.811499999999999</v>
      </c>
      <c r="C142" s="10">
        <f>30.3771 * CHOOSE(CONTROL!$C$9, $D$9, 100%, $F$9) + CHOOSE(CONTROL!$C$27, 0.0021, 0)</f>
        <v>30.379199999999997</v>
      </c>
      <c r="D142" s="10">
        <f>30.3771 * CHOOSE(CONTROL!$C$9, $D$9, 100%, $F$9) + CHOOSE(CONTROL!$C$27, 0.0021, 0)</f>
        <v>30.379199999999997</v>
      </c>
      <c r="E142" s="10">
        <f>30.2405 * CHOOSE(CONTROL!$C$9, $D$9, 100%, $F$9) + CHOOSE(CONTROL!$C$27, 0.0021, 0)</f>
        <v>30.242599999999999</v>
      </c>
      <c r="F142" s="10">
        <f>30.2405 * CHOOSE(CONTROL!$C$9, $D$9, 100%, $F$9) + CHOOSE(CONTROL!$C$27, 0.0021, 0)</f>
        <v>30.242599999999999</v>
      </c>
      <c r="G142" s="10">
        <f>30.5118 * CHOOSE(CONTROL!$C$9, $D$9, 100%, $F$9) + CHOOSE(CONTROL!$C$27, 0.0021, 0)</f>
        <v>30.5139</v>
      </c>
      <c r="H142" s="10">
        <f>30.3771 * CHOOSE(CONTROL!$C$9, $D$9, 100%, $F$9) + CHOOSE(CONTROL!$C$27, 0.0021, 0)</f>
        <v>30.379199999999997</v>
      </c>
      <c r="I142" s="10">
        <f>30.3771 * CHOOSE(CONTROL!$C$9, $D$9, 100%, $F$9) + CHOOSE(CONTROL!$C$27, 0.0021, 0)</f>
        <v>30.379199999999997</v>
      </c>
      <c r="J142" s="10">
        <f>30.3771 * CHOOSE(CONTROL!$C$9, $D$9, 100%, $F$9) + CHOOSE(CONTROL!$C$27, 0.0021, 0)</f>
        <v>30.379199999999997</v>
      </c>
      <c r="K142" s="10">
        <f>30.3771 * CHOOSE(CONTROL!$C$9, $D$9, 100%, $F$9) + CHOOSE(CONTROL!$C$27, 0.0021, 0)</f>
        <v>30.379199999999997</v>
      </c>
      <c r="L142" s="10"/>
    </row>
    <row r="143" spans="1:12" ht="15" x14ac:dyDescent="0.2">
      <c r="A143" s="16">
        <v>45627</v>
      </c>
      <c r="B143" s="10">
        <f>30.2502 * CHOOSE(CONTROL!$C$9, $D$9, 100%, $F$9) + CHOOSE(CONTROL!$C$27, 0.0021, 0)</f>
        <v>30.252299999999998</v>
      </c>
      <c r="C143" s="10">
        <f>29.818 * CHOOSE(CONTROL!$C$9, $D$9, 100%, $F$9) + CHOOSE(CONTROL!$C$27, 0.0021, 0)</f>
        <v>29.8201</v>
      </c>
      <c r="D143" s="10">
        <f>29.818 * CHOOSE(CONTROL!$C$9, $D$9, 100%, $F$9) + CHOOSE(CONTROL!$C$27, 0.0021, 0)</f>
        <v>29.8201</v>
      </c>
      <c r="E143" s="10">
        <f>29.6813 * CHOOSE(CONTROL!$C$9, $D$9, 100%, $F$9) + CHOOSE(CONTROL!$C$27, 0.0021, 0)</f>
        <v>29.683399999999999</v>
      </c>
      <c r="F143" s="10">
        <f>29.6813 * CHOOSE(CONTROL!$C$9, $D$9, 100%, $F$9) + CHOOSE(CONTROL!$C$27, 0.0021, 0)</f>
        <v>29.683399999999999</v>
      </c>
      <c r="G143" s="10">
        <f>29.9527 * CHOOSE(CONTROL!$C$9, $D$9, 100%, $F$9) + CHOOSE(CONTROL!$C$27, 0.0021, 0)</f>
        <v>29.954799999999999</v>
      </c>
      <c r="H143" s="10">
        <f>29.818 * CHOOSE(CONTROL!$C$9, $D$9, 100%, $F$9) + CHOOSE(CONTROL!$C$27, 0.0021, 0)</f>
        <v>29.8201</v>
      </c>
      <c r="I143" s="10">
        <f>29.818 * CHOOSE(CONTROL!$C$9, $D$9, 100%, $F$9) + CHOOSE(CONTROL!$C$27, 0.0021, 0)</f>
        <v>29.8201</v>
      </c>
      <c r="J143" s="10">
        <f>29.818 * CHOOSE(CONTROL!$C$9, $D$9, 100%, $F$9) + CHOOSE(CONTROL!$C$27, 0.0021, 0)</f>
        <v>29.8201</v>
      </c>
      <c r="K143" s="10">
        <f>29.818 * CHOOSE(CONTROL!$C$9, $D$9, 100%, $F$9) + CHOOSE(CONTROL!$C$27, 0.0021, 0)</f>
        <v>29.8201</v>
      </c>
      <c r="L143" s="10"/>
    </row>
    <row r="144" spans="1:12" ht="15" x14ac:dyDescent="0.2">
      <c r="A144" s="16">
        <v>45658</v>
      </c>
      <c r="B144" s="10">
        <f>30.3821 * CHOOSE(CONTROL!$C$9, $D$9, 100%, $F$9) + CHOOSE(CONTROL!$C$27, 0.0021, 0)</f>
        <v>30.3842</v>
      </c>
      <c r="C144" s="10">
        <f>29.9499 * CHOOSE(CONTROL!$C$9, $D$9, 100%, $F$9) + CHOOSE(CONTROL!$C$27, 0.0021, 0)</f>
        <v>29.951999999999998</v>
      </c>
      <c r="D144" s="10">
        <f>29.9499 * CHOOSE(CONTROL!$C$9, $D$9, 100%, $F$9) + CHOOSE(CONTROL!$C$27, 0.0021, 0)</f>
        <v>29.951999999999998</v>
      </c>
      <c r="E144" s="10">
        <f>29.8132 * CHOOSE(CONTROL!$C$9, $D$9, 100%, $F$9) + CHOOSE(CONTROL!$C$27, 0.0021, 0)</f>
        <v>29.815299999999997</v>
      </c>
      <c r="F144" s="10">
        <f>29.8132 * CHOOSE(CONTROL!$C$9, $D$9, 100%, $F$9) + CHOOSE(CONTROL!$C$27, 0.0021, 0)</f>
        <v>29.815299999999997</v>
      </c>
      <c r="G144" s="10">
        <f>30.0846 * CHOOSE(CONTROL!$C$9, $D$9, 100%, $F$9) + CHOOSE(CONTROL!$C$27, 0.0021, 0)</f>
        <v>30.086699999999997</v>
      </c>
      <c r="H144" s="10">
        <f>29.9499 * CHOOSE(CONTROL!$C$9, $D$9, 100%, $F$9) + CHOOSE(CONTROL!$C$27, 0.0021, 0)</f>
        <v>29.951999999999998</v>
      </c>
      <c r="I144" s="10">
        <f>29.9499 * CHOOSE(CONTROL!$C$9, $D$9, 100%, $F$9) + CHOOSE(CONTROL!$C$27, 0.0021, 0)</f>
        <v>29.951999999999998</v>
      </c>
      <c r="J144" s="10">
        <f>29.9499 * CHOOSE(CONTROL!$C$9, $D$9, 100%, $F$9) + CHOOSE(CONTROL!$C$27, 0.0021, 0)</f>
        <v>29.951999999999998</v>
      </c>
      <c r="K144" s="10">
        <f>29.9499 * CHOOSE(CONTROL!$C$9, $D$9, 100%, $F$9) + CHOOSE(CONTROL!$C$27, 0.0021, 0)</f>
        <v>29.951999999999998</v>
      </c>
      <c r="L144" s="10"/>
    </row>
    <row r="145" spans="1:12" ht="15" x14ac:dyDescent="0.2">
      <c r="A145" s="16">
        <v>45689</v>
      </c>
      <c r="B145" s="10">
        <f>29.5876 * CHOOSE(CONTROL!$C$9, $D$9, 100%, $F$9) + CHOOSE(CONTROL!$C$27, 0.0021, 0)</f>
        <v>29.589699999999997</v>
      </c>
      <c r="C145" s="10">
        <f>29.1553 * CHOOSE(CONTROL!$C$9, $D$9, 100%, $F$9) + CHOOSE(CONTROL!$C$27, 0.0021, 0)</f>
        <v>29.157399999999999</v>
      </c>
      <c r="D145" s="10">
        <f>29.1553 * CHOOSE(CONTROL!$C$9, $D$9, 100%, $F$9) + CHOOSE(CONTROL!$C$27, 0.0021, 0)</f>
        <v>29.157399999999999</v>
      </c>
      <c r="E145" s="10">
        <f>29.0187 * CHOOSE(CONTROL!$C$9, $D$9, 100%, $F$9) + CHOOSE(CONTROL!$C$27, 0.0021, 0)</f>
        <v>29.020799999999998</v>
      </c>
      <c r="F145" s="10">
        <f>29.0187 * CHOOSE(CONTROL!$C$9, $D$9, 100%, $F$9) + CHOOSE(CONTROL!$C$27, 0.0021, 0)</f>
        <v>29.020799999999998</v>
      </c>
      <c r="G145" s="10">
        <f>29.2901 * CHOOSE(CONTROL!$C$9, $D$9, 100%, $F$9) + CHOOSE(CONTROL!$C$27, 0.0021, 0)</f>
        <v>29.292199999999998</v>
      </c>
      <c r="H145" s="10">
        <f>29.1553 * CHOOSE(CONTROL!$C$9, $D$9, 100%, $F$9) + CHOOSE(CONTROL!$C$27, 0.0021, 0)</f>
        <v>29.157399999999999</v>
      </c>
      <c r="I145" s="10">
        <f>29.1553 * CHOOSE(CONTROL!$C$9, $D$9, 100%, $F$9) + CHOOSE(CONTROL!$C$27, 0.0021, 0)</f>
        <v>29.157399999999999</v>
      </c>
      <c r="J145" s="10">
        <f>29.1553 * CHOOSE(CONTROL!$C$9, $D$9, 100%, $F$9) + CHOOSE(CONTROL!$C$27, 0.0021, 0)</f>
        <v>29.157399999999999</v>
      </c>
      <c r="K145" s="10">
        <f>29.1553 * CHOOSE(CONTROL!$C$9, $D$9, 100%, $F$9) + CHOOSE(CONTROL!$C$27, 0.0021, 0)</f>
        <v>29.157399999999999</v>
      </c>
      <c r="L145" s="10"/>
    </row>
    <row r="146" spans="1:12" ht="15" x14ac:dyDescent="0.2">
      <c r="A146" s="16">
        <v>45717</v>
      </c>
      <c r="B146" s="10">
        <f>29.2596 * CHOOSE(CONTROL!$C$9, $D$9, 100%, $F$9) + CHOOSE(CONTROL!$C$27, 0.0021, 0)</f>
        <v>29.261699999999998</v>
      </c>
      <c r="C146" s="10">
        <f>28.8274 * CHOOSE(CONTROL!$C$9, $D$9, 100%, $F$9) + CHOOSE(CONTROL!$C$27, 0.0021, 0)</f>
        <v>28.829499999999999</v>
      </c>
      <c r="D146" s="10">
        <f>28.8274 * CHOOSE(CONTROL!$C$9, $D$9, 100%, $F$9) + CHOOSE(CONTROL!$C$27, 0.0021, 0)</f>
        <v>28.829499999999999</v>
      </c>
      <c r="E146" s="10">
        <f>28.6907 * CHOOSE(CONTROL!$C$9, $D$9, 100%, $F$9) + CHOOSE(CONTROL!$C$27, 0.0021, 0)</f>
        <v>28.692799999999998</v>
      </c>
      <c r="F146" s="10">
        <f>28.6907 * CHOOSE(CONTROL!$C$9, $D$9, 100%, $F$9) + CHOOSE(CONTROL!$C$27, 0.0021, 0)</f>
        <v>28.692799999999998</v>
      </c>
      <c r="G146" s="10">
        <f>28.9621 * CHOOSE(CONTROL!$C$9, $D$9, 100%, $F$9) + CHOOSE(CONTROL!$C$27, 0.0021, 0)</f>
        <v>28.964199999999998</v>
      </c>
      <c r="H146" s="10">
        <f>28.8274 * CHOOSE(CONTROL!$C$9, $D$9, 100%, $F$9) + CHOOSE(CONTROL!$C$27, 0.0021, 0)</f>
        <v>28.829499999999999</v>
      </c>
      <c r="I146" s="10">
        <f>28.8274 * CHOOSE(CONTROL!$C$9, $D$9, 100%, $F$9) + CHOOSE(CONTROL!$C$27, 0.0021, 0)</f>
        <v>28.829499999999999</v>
      </c>
      <c r="J146" s="10">
        <f>28.8274 * CHOOSE(CONTROL!$C$9, $D$9, 100%, $F$9) + CHOOSE(CONTROL!$C$27, 0.0021, 0)</f>
        <v>28.829499999999999</v>
      </c>
      <c r="K146" s="10">
        <f>28.8274 * CHOOSE(CONTROL!$C$9, $D$9, 100%, $F$9) + CHOOSE(CONTROL!$C$27, 0.0021, 0)</f>
        <v>28.829499999999999</v>
      </c>
      <c r="L146" s="10"/>
    </row>
    <row r="147" spans="1:12" ht="15" x14ac:dyDescent="0.2">
      <c r="A147" s="16">
        <v>45748</v>
      </c>
      <c r="B147" s="10">
        <f>28.868 * CHOOSE(CONTROL!$C$9, $D$9, 100%, $F$9) + CHOOSE(CONTROL!$C$27, 0.0021, 0)</f>
        <v>28.870099999999997</v>
      </c>
      <c r="C147" s="10">
        <f>28.4357 * CHOOSE(CONTROL!$C$9, $D$9, 100%, $F$9) + CHOOSE(CONTROL!$C$27, 0.0021, 0)</f>
        <v>28.437799999999999</v>
      </c>
      <c r="D147" s="10">
        <f>28.4357 * CHOOSE(CONTROL!$C$9, $D$9, 100%, $F$9) + CHOOSE(CONTROL!$C$27, 0.0021, 0)</f>
        <v>28.437799999999999</v>
      </c>
      <c r="E147" s="10">
        <f>28.2991 * CHOOSE(CONTROL!$C$9, $D$9, 100%, $F$9) + CHOOSE(CONTROL!$C$27, 0.0021, 0)</f>
        <v>28.301199999999998</v>
      </c>
      <c r="F147" s="10">
        <f>28.2991 * CHOOSE(CONTROL!$C$9, $D$9, 100%, $F$9) + CHOOSE(CONTROL!$C$27, 0.0021, 0)</f>
        <v>28.301199999999998</v>
      </c>
      <c r="G147" s="10">
        <f>28.5705 * CHOOSE(CONTROL!$C$9, $D$9, 100%, $F$9) + CHOOSE(CONTROL!$C$27, 0.0021, 0)</f>
        <v>28.572599999999998</v>
      </c>
      <c r="H147" s="10">
        <f>28.4357 * CHOOSE(CONTROL!$C$9, $D$9, 100%, $F$9) + CHOOSE(CONTROL!$C$27, 0.0021, 0)</f>
        <v>28.437799999999999</v>
      </c>
      <c r="I147" s="10">
        <f>28.4357 * CHOOSE(CONTROL!$C$9, $D$9, 100%, $F$9) + CHOOSE(CONTROL!$C$27, 0.0021, 0)</f>
        <v>28.437799999999999</v>
      </c>
      <c r="J147" s="10">
        <f>28.4357 * CHOOSE(CONTROL!$C$9, $D$9, 100%, $F$9) + CHOOSE(CONTROL!$C$27, 0.0021, 0)</f>
        <v>28.437799999999999</v>
      </c>
      <c r="K147" s="10">
        <f>28.4357 * CHOOSE(CONTROL!$C$9, $D$9, 100%, $F$9) + CHOOSE(CONTROL!$C$27, 0.0021, 0)</f>
        <v>28.437799999999999</v>
      </c>
      <c r="L147" s="10"/>
    </row>
    <row r="148" spans="1:12" ht="15" x14ac:dyDescent="0.2">
      <c r="A148" s="16">
        <v>45778</v>
      </c>
      <c r="B148" s="10">
        <f>29.4261 * CHOOSE(CONTROL!$C$9, $D$9, 100%, $F$9) + CHOOSE(CONTROL!$C$27, 0.0021, 0)</f>
        <v>29.4282</v>
      </c>
      <c r="C148" s="10">
        <f>28.9938 * CHOOSE(CONTROL!$C$9, $D$9, 100%, $F$9) + CHOOSE(CONTROL!$C$27, 0.0021, 0)</f>
        <v>28.995899999999999</v>
      </c>
      <c r="D148" s="10">
        <f>28.9938 * CHOOSE(CONTROL!$C$9, $D$9, 100%, $F$9) + CHOOSE(CONTROL!$C$27, 0.0021, 0)</f>
        <v>28.995899999999999</v>
      </c>
      <c r="E148" s="10">
        <f>28.8572 * CHOOSE(CONTROL!$C$9, $D$9, 100%, $F$9) + CHOOSE(CONTROL!$C$27, 0.0021, 0)</f>
        <v>28.859299999999998</v>
      </c>
      <c r="F148" s="10">
        <f>28.8572 * CHOOSE(CONTROL!$C$9, $D$9, 100%, $F$9) + CHOOSE(CONTROL!$C$27, 0.0021, 0)</f>
        <v>28.859299999999998</v>
      </c>
      <c r="G148" s="10">
        <f>29.1286 * CHOOSE(CONTROL!$C$9, $D$9, 100%, $F$9) + CHOOSE(CONTROL!$C$27, 0.0021, 0)</f>
        <v>29.130699999999997</v>
      </c>
      <c r="H148" s="10">
        <f>28.9938 * CHOOSE(CONTROL!$C$9, $D$9, 100%, $F$9) + CHOOSE(CONTROL!$C$27, 0.0021, 0)</f>
        <v>28.995899999999999</v>
      </c>
      <c r="I148" s="10">
        <f>28.9938 * CHOOSE(CONTROL!$C$9, $D$9, 100%, $F$9) + CHOOSE(CONTROL!$C$27, 0.0021, 0)</f>
        <v>28.995899999999999</v>
      </c>
      <c r="J148" s="10">
        <f>28.9938 * CHOOSE(CONTROL!$C$9, $D$9, 100%, $F$9) + CHOOSE(CONTROL!$C$27, 0.0021, 0)</f>
        <v>28.995899999999999</v>
      </c>
      <c r="K148" s="10">
        <f>28.9938 * CHOOSE(CONTROL!$C$9, $D$9, 100%, $F$9) + CHOOSE(CONTROL!$C$27, 0.0021, 0)</f>
        <v>28.995899999999999</v>
      </c>
      <c r="L148" s="10"/>
    </row>
    <row r="149" spans="1:12" ht="15" x14ac:dyDescent="0.2">
      <c r="A149" s="16">
        <v>45809</v>
      </c>
      <c r="B149" s="10">
        <f>29.7604 * CHOOSE(CONTROL!$C$9, $D$9, 100%, $F$9) + CHOOSE(CONTROL!$C$27, 0.0021, 0)</f>
        <v>29.762499999999999</v>
      </c>
      <c r="C149" s="10">
        <f>29.3281 * CHOOSE(CONTROL!$C$9, $D$9, 100%, $F$9) + CHOOSE(CONTROL!$C$27, 0.0021, 0)</f>
        <v>29.330199999999998</v>
      </c>
      <c r="D149" s="10">
        <f>29.3281 * CHOOSE(CONTROL!$C$9, $D$9, 100%, $F$9) + CHOOSE(CONTROL!$C$27, 0.0021, 0)</f>
        <v>29.330199999999998</v>
      </c>
      <c r="E149" s="10">
        <f>29.1915 * CHOOSE(CONTROL!$C$9, $D$9, 100%, $F$9) + CHOOSE(CONTROL!$C$27, 0.0021, 0)</f>
        <v>29.1936</v>
      </c>
      <c r="F149" s="10">
        <f>29.1915 * CHOOSE(CONTROL!$C$9, $D$9, 100%, $F$9) + CHOOSE(CONTROL!$C$27, 0.0021, 0)</f>
        <v>29.1936</v>
      </c>
      <c r="G149" s="10">
        <f>29.4628 * CHOOSE(CONTROL!$C$9, $D$9, 100%, $F$9) + CHOOSE(CONTROL!$C$27, 0.0021, 0)</f>
        <v>29.4649</v>
      </c>
      <c r="H149" s="10">
        <f>29.3281 * CHOOSE(CONTROL!$C$9, $D$9, 100%, $F$9) + CHOOSE(CONTROL!$C$27, 0.0021, 0)</f>
        <v>29.330199999999998</v>
      </c>
      <c r="I149" s="10">
        <f>29.3281 * CHOOSE(CONTROL!$C$9, $D$9, 100%, $F$9) + CHOOSE(CONTROL!$C$27, 0.0021, 0)</f>
        <v>29.330199999999998</v>
      </c>
      <c r="J149" s="10">
        <f>29.3281 * CHOOSE(CONTROL!$C$9, $D$9, 100%, $F$9) + CHOOSE(CONTROL!$C$27, 0.0021, 0)</f>
        <v>29.330199999999998</v>
      </c>
      <c r="K149" s="10">
        <f>29.3281 * CHOOSE(CONTROL!$C$9, $D$9, 100%, $F$9) + CHOOSE(CONTROL!$C$27, 0.0021, 0)</f>
        <v>29.330199999999998</v>
      </c>
      <c r="L149" s="10"/>
    </row>
    <row r="150" spans="1:12" ht="15" x14ac:dyDescent="0.2">
      <c r="A150" s="16">
        <v>45839</v>
      </c>
      <c r="B150" s="10">
        <f>30.3118 * CHOOSE(CONTROL!$C$9, $D$9, 100%, $F$9) + CHOOSE(CONTROL!$C$27, 0.0021, 0)</f>
        <v>30.3139</v>
      </c>
      <c r="C150" s="10">
        <f>29.8796 * CHOOSE(CONTROL!$C$9, $D$9, 100%, $F$9) + CHOOSE(CONTROL!$C$27, 0.0021, 0)</f>
        <v>29.881699999999999</v>
      </c>
      <c r="D150" s="10">
        <f>29.8796 * CHOOSE(CONTROL!$C$9, $D$9, 100%, $F$9) + CHOOSE(CONTROL!$C$27, 0.0021, 0)</f>
        <v>29.881699999999999</v>
      </c>
      <c r="E150" s="10">
        <f>29.7429 * CHOOSE(CONTROL!$C$9, $D$9, 100%, $F$9) + CHOOSE(CONTROL!$C$27, 0.0021, 0)</f>
        <v>29.744999999999997</v>
      </c>
      <c r="F150" s="10">
        <f>29.7429 * CHOOSE(CONTROL!$C$9, $D$9, 100%, $F$9) + CHOOSE(CONTROL!$C$27, 0.0021, 0)</f>
        <v>29.744999999999997</v>
      </c>
      <c r="G150" s="10">
        <f>30.0143 * CHOOSE(CONTROL!$C$9, $D$9, 100%, $F$9) + CHOOSE(CONTROL!$C$27, 0.0021, 0)</f>
        <v>30.016399999999997</v>
      </c>
      <c r="H150" s="10">
        <f>29.8796 * CHOOSE(CONTROL!$C$9, $D$9, 100%, $F$9) + CHOOSE(CONTROL!$C$27, 0.0021, 0)</f>
        <v>29.881699999999999</v>
      </c>
      <c r="I150" s="10">
        <f>29.8796 * CHOOSE(CONTROL!$C$9, $D$9, 100%, $F$9) + CHOOSE(CONTROL!$C$27, 0.0021, 0)</f>
        <v>29.881699999999999</v>
      </c>
      <c r="J150" s="10">
        <f>29.8796 * CHOOSE(CONTROL!$C$9, $D$9, 100%, $F$9) + CHOOSE(CONTROL!$C$27, 0.0021, 0)</f>
        <v>29.881699999999999</v>
      </c>
      <c r="K150" s="10">
        <f>29.8796 * CHOOSE(CONTROL!$C$9, $D$9, 100%, $F$9) + CHOOSE(CONTROL!$C$27, 0.0021, 0)</f>
        <v>29.881699999999999</v>
      </c>
      <c r="L150" s="10"/>
    </row>
    <row r="151" spans="1:12" ht="15" x14ac:dyDescent="0.2">
      <c r="A151" s="16">
        <v>45870</v>
      </c>
      <c r="B151" s="10">
        <f>30.4801 * CHOOSE(CONTROL!$C$9, $D$9, 100%, $F$9) + CHOOSE(CONTROL!$C$27, 0.0021, 0)</f>
        <v>30.482199999999999</v>
      </c>
      <c r="C151" s="10">
        <f>30.0479 * CHOOSE(CONTROL!$C$9, $D$9, 100%, $F$9) + CHOOSE(CONTROL!$C$27, 0.0021, 0)</f>
        <v>30.049999999999997</v>
      </c>
      <c r="D151" s="10">
        <f>30.0479 * CHOOSE(CONTROL!$C$9, $D$9, 100%, $F$9) + CHOOSE(CONTROL!$C$27, 0.0021, 0)</f>
        <v>30.049999999999997</v>
      </c>
      <c r="E151" s="10">
        <f>29.9112 * CHOOSE(CONTROL!$C$9, $D$9, 100%, $F$9) + CHOOSE(CONTROL!$C$27, 0.0021, 0)</f>
        <v>29.9133</v>
      </c>
      <c r="F151" s="10">
        <f>29.9112 * CHOOSE(CONTROL!$C$9, $D$9, 100%, $F$9) + CHOOSE(CONTROL!$C$27, 0.0021, 0)</f>
        <v>29.9133</v>
      </c>
      <c r="G151" s="10">
        <f>30.1826 * CHOOSE(CONTROL!$C$9, $D$9, 100%, $F$9) + CHOOSE(CONTROL!$C$27, 0.0021, 0)</f>
        <v>30.184699999999999</v>
      </c>
      <c r="H151" s="10">
        <f>30.0479 * CHOOSE(CONTROL!$C$9, $D$9, 100%, $F$9) + CHOOSE(CONTROL!$C$27, 0.0021, 0)</f>
        <v>30.049999999999997</v>
      </c>
      <c r="I151" s="10">
        <f>30.0479 * CHOOSE(CONTROL!$C$9, $D$9, 100%, $F$9) + CHOOSE(CONTROL!$C$27, 0.0021, 0)</f>
        <v>30.049999999999997</v>
      </c>
      <c r="J151" s="10">
        <f>30.0479 * CHOOSE(CONTROL!$C$9, $D$9, 100%, $F$9) + CHOOSE(CONTROL!$C$27, 0.0021, 0)</f>
        <v>30.049999999999997</v>
      </c>
      <c r="K151" s="10">
        <f>30.0479 * CHOOSE(CONTROL!$C$9, $D$9, 100%, $F$9) + CHOOSE(CONTROL!$C$27, 0.0021, 0)</f>
        <v>30.049999999999997</v>
      </c>
      <c r="L151" s="10"/>
    </row>
    <row r="152" spans="1:12" ht="15" x14ac:dyDescent="0.2">
      <c r="A152" s="16">
        <v>45901</v>
      </c>
      <c r="B152" s="10">
        <f>31.0533 * CHOOSE(CONTROL!$C$9, $D$9, 100%, $F$9) + CHOOSE(CONTROL!$C$27, 0.0021, 0)</f>
        <v>31.055399999999999</v>
      </c>
      <c r="C152" s="10">
        <f>30.6211 * CHOOSE(CONTROL!$C$9, $D$9, 100%, $F$9) + CHOOSE(CONTROL!$C$27, 0.0021, 0)</f>
        <v>30.623199999999997</v>
      </c>
      <c r="D152" s="10">
        <f>30.6211 * CHOOSE(CONTROL!$C$9, $D$9, 100%, $F$9) + CHOOSE(CONTROL!$C$27, 0.0021, 0)</f>
        <v>30.623199999999997</v>
      </c>
      <c r="E152" s="10">
        <f>30.4844 * CHOOSE(CONTROL!$C$9, $D$9, 100%, $F$9) + CHOOSE(CONTROL!$C$27, 0.0021, 0)</f>
        <v>30.486499999999999</v>
      </c>
      <c r="F152" s="10">
        <f>30.4844 * CHOOSE(CONTROL!$C$9, $D$9, 100%, $F$9) + CHOOSE(CONTROL!$C$27, 0.0021, 0)</f>
        <v>30.486499999999999</v>
      </c>
      <c r="G152" s="10">
        <f>30.7558 * CHOOSE(CONTROL!$C$9, $D$9, 100%, $F$9) + CHOOSE(CONTROL!$C$27, 0.0021, 0)</f>
        <v>30.757899999999999</v>
      </c>
      <c r="H152" s="10">
        <f>30.6211 * CHOOSE(CONTROL!$C$9, $D$9, 100%, $F$9) + CHOOSE(CONTROL!$C$27, 0.0021, 0)</f>
        <v>30.623199999999997</v>
      </c>
      <c r="I152" s="10">
        <f>30.6211 * CHOOSE(CONTROL!$C$9, $D$9, 100%, $F$9) + CHOOSE(CONTROL!$C$27, 0.0021, 0)</f>
        <v>30.623199999999997</v>
      </c>
      <c r="J152" s="10">
        <f>30.6211 * CHOOSE(CONTROL!$C$9, $D$9, 100%, $F$9) + CHOOSE(CONTROL!$C$27, 0.0021, 0)</f>
        <v>30.623199999999997</v>
      </c>
      <c r="K152" s="10">
        <f>30.6211 * CHOOSE(CONTROL!$C$9, $D$9, 100%, $F$9) + CHOOSE(CONTROL!$C$27, 0.0021, 0)</f>
        <v>30.623199999999997</v>
      </c>
      <c r="L152" s="10"/>
    </row>
    <row r="153" spans="1:12" ht="15" x14ac:dyDescent="0.2">
      <c r="A153" s="16">
        <v>45931</v>
      </c>
      <c r="B153" s="10">
        <f>31.7789 * CHOOSE(CONTROL!$C$9, $D$9, 100%, $F$9) + CHOOSE(CONTROL!$C$27, 0.0021, 0)</f>
        <v>31.780999999999999</v>
      </c>
      <c r="C153" s="10">
        <f>31.3466 * CHOOSE(CONTROL!$C$9, $D$9, 100%, $F$9) + CHOOSE(CONTROL!$C$27, 0.0021, 0)</f>
        <v>31.348699999999997</v>
      </c>
      <c r="D153" s="10">
        <f>31.3466 * CHOOSE(CONTROL!$C$9, $D$9, 100%, $F$9) + CHOOSE(CONTROL!$C$27, 0.0021, 0)</f>
        <v>31.348699999999997</v>
      </c>
      <c r="E153" s="10">
        <f>31.21 * CHOOSE(CONTROL!$C$9, $D$9, 100%, $F$9) + CHOOSE(CONTROL!$C$27, 0.0021, 0)</f>
        <v>31.2121</v>
      </c>
      <c r="F153" s="10">
        <f>31.21 * CHOOSE(CONTROL!$C$9, $D$9, 100%, $F$9) + CHOOSE(CONTROL!$C$27, 0.0021, 0)</f>
        <v>31.2121</v>
      </c>
      <c r="G153" s="10">
        <f>31.4814 * CHOOSE(CONTROL!$C$9, $D$9, 100%, $F$9) + CHOOSE(CONTROL!$C$27, 0.0021, 0)</f>
        <v>31.483499999999999</v>
      </c>
      <c r="H153" s="10">
        <f>31.3466 * CHOOSE(CONTROL!$C$9, $D$9, 100%, $F$9) + CHOOSE(CONTROL!$C$27, 0.0021, 0)</f>
        <v>31.348699999999997</v>
      </c>
      <c r="I153" s="10">
        <f>31.3466 * CHOOSE(CONTROL!$C$9, $D$9, 100%, $F$9) + CHOOSE(CONTROL!$C$27, 0.0021, 0)</f>
        <v>31.348699999999997</v>
      </c>
      <c r="J153" s="10">
        <f>31.3466 * CHOOSE(CONTROL!$C$9, $D$9, 100%, $F$9) + CHOOSE(CONTROL!$C$27, 0.0021, 0)</f>
        <v>31.348699999999997</v>
      </c>
      <c r="K153" s="10">
        <f>31.3466 * CHOOSE(CONTROL!$C$9, $D$9, 100%, $F$9) + CHOOSE(CONTROL!$C$27, 0.0021, 0)</f>
        <v>31.348699999999997</v>
      </c>
      <c r="L153" s="10"/>
    </row>
    <row r="154" spans="1:12" ht="15" x14ac:dyDescent="0.2">
      <c r="A154" s="16">
        <v>45962</v>
      </c>
      <c r="B154" s="10">
        <f>31.847 * CHOOSE(CONTROL!$C$9, $D$9, 100%, $F$9) + CHOOSE(CONTROL!$C$27, 0.0021, 0)</f>
        <v>31.8491</v>
      </c>
      <c r="C154" s="10">
        <f>31.4148 * CHOOSE(CONTROL!$C$9, $D$9, 100%, $F$9) + CHOOSE(CONTROL!$C$27, 0.0021, 0)</f>
        <v>31.416899999999998</v>
      </c>
      <c r="D154" s="10">
        <f>31.4148 * CHOOSE(CONTROL!$C$9, $D$9, 100%, $F$9) + CHOOSE(CONTROL!$C$27, 0.0021, 0)</f>
        <v>31.416899999999998</v>
      </c>
      <c r="E154" s="10">
        <f>31.2781 * CHOOSE(CONTROL!$C$9, $D$9, 100%, $F$9) + CHOOSE(CONTROL!$C$27, 0.0021, 0)</f>
        <v>31.280199999999997</v>
      </c>
      <c r="F154" s="10">
        <f>31.2781 * CHOOSE(CONTROL!$C$9, $D$9, 100%, $F$9) + CHOOSE(CONTROL!$C$27, 0.0021, 0)</f>
        <v>31.280199999999997</v>
      </c>
      <c r="G154" s="10">
        <f>31.5495 * CHOOSE(CONTROL!$C$9, $D$9, 100%, $F$9) + CHOOSE(CONTROL!$C$27, 0.0021, 0)</f>
        <v>31.551599999999997</v>
      </c>
      <c r="H154" s="10">
        <f>31.4148 * CHOOSE(CONTROL!$C$9, $D$9, 100%, $F$9) + CHOOSE(CONTROL!$C$27, 0.0021, 0)</f>
        <v>31.416899999999998</v>
      </c>
      <c r="I154" s="10">
        <f>31.4148 * CHOOSE(CONTROL!$C$9, $D$9, 100%, $F$9) + CHOOSE(CONTROL!$C$27, 0.0021, 0)</f>
        <v>31.416899999999998</v>
      </c>
      <c r="J154" s="10">
        <f>31.4148 * CHOOSE(CONTROL!$C$9, $D$9, 100%, $F$9) + CHOOSE(CONTROL!$C$27, 0.0021, 0)</f>
        <v>31.416899999999998</v>
      </c>
      <c r="K154" s="10">
        <f>31.4148 * CHOOSE(CONTROL!$C$9, $D$9, 100%, $F$9) + CHOOSE(CONTROL!$C$27, 0.0021, 0)</f>
        <v>31.416899999999998</v>
      </c>
      <c r="L154" s="10"/>
    </row>
    <row r="155" spans="1:12" ht="15" x14ac:dyDescent="0.2">
      <c r="A155" s="16">
        <v>45992</v>
      </c>
      <c r="B155" s="10">
        <f>31.2675 * CHOOSE(CONTROL!$C$9, $D$9, 100%, $F$9) + CHOOSE(CONTROL!$C$27, 0.0021, 0)</f>
        <v>31.269599999999997</v>
      </c>
      <c r="C155" s="10">
        <f>30.8353 * CHOOSE(CONTROL!$C$9, $D$9, 100%, $F$9) + CHOOSE(CONTROL!$C$27, 0.0021, 0)</f>
        <v>30.837399999999999</v>
      </c>
      <c r="D155" s="10">
        <f>30.8353 * CHOOSE(CONTROL!$C$9, $D$9, 100%, $F$9) + CHOOSE(CONTROL!$C$27, 0.0021, 0)</f>
        <v>30.837399999999999</v>
      </c>
      <c r="E155" s="10">
        <f>30.6986 * CHOOSE(CONTROL!$C$9, $D$9, 100%, $F$9) + CHOOSE(CONTROL!$C$27, 0.0021, 0)</f>
        <v>30.700699999999998</v>
      </c>
      <c r="F155" s="10">
        <f>30.6986 * CHOOSE(CONTROL!$C$9, $D$9, 100%, $F$9) + CHOOSE(CONTROL!$C$27, 0.0021, 0)</f>
        <v>30.700699999999998</v>
      </c>
      <c r="G155" s="10">
        <f>30.97 * CHOOSE(CONTROL!$C$9, $D$9, 100%, $F$9) + CHOOSE(CONTROL!$C$27, 0.0021, 0)</f>
        <v>30.972099999999998</v>
      </c>
      <c r="H155" s="10">
        <f>30.8353 * CHOOSE(CONTROL!$C$9, $D$9, 100%, $F$9) + CHOOSE(CONTROL!$C$27, 0.0021, 0)</f>
        <v>30.837399999999999</v>
      </c>
      <c r="I155" s="10">
        <f>30.8353 * CHOOSE(CONTROL!$C$9, $D$9, 100%, $F$9) + CHOOSE(CONTROL!$C$27, 0.0021, 0)</f>
        <v>30.837399999999999</v>
      </c>
      <c r="J155" s="10">
        <f>30.8353 * CHOOSE(CONTROL!$C$9, $D$9, 100%, $F$9) + CHOOSE(CONTROL!$C$27, 0.0021, 0)</f>
        <v>30.837399999999999</v>
      </c>
      <c r="K155" s="10">
        <f>30.8353 * CHOOSE(CONTROL!$C$9, $D$9, 100%, $F$9) + CHOOSE(CONTROL!$C$27, 0.0021, 0)</f>
        <v>30.837399999999999</v>
      </c>
      <c r="L155" s="10"/>
    </row>
    <row r="156" spans="1:12" ht="15" x14ac:dyDescent="0.2">
      <c r="A156" s="16">
        <v>46023</v>
      </c>
      <c r="B156" s="10">
        <f>31.358 * CHOOSE(CONTROL!$C$9, $D$9, 100%, $F$9) + CHOOSE(CONTROL!$C$27, 0.0021, 0)</f>
        <v>31.360099999999999</v>
      </c>
      <c r="C156" s="10">
        <f>30.9258 * CHOOSE(CONTROL!$C$9, $D$9, 100%, $F$9) + CHOOSE(CONTROL!$C$27, 0.0021, 0)</f>
        <v>30.927899999999998</v>
      </c>
      <c r="D156" s="10">
        <f>30.9258 * CHOOSE(CONTROL!$C$9, $D$9, 100%, $F$9) + CHOOSE(CONTROL!$C$27, 0.0021, 0)</f>
        <v>30.927899999999998</v>
      </c>
      <c r="E156" s="10">
        <f>30.7891 * CHOOSE(CONTROL!$C$9, $D$9, 100%, $F$9) + CHOOSE(CONTROL!$C$27, 0.0021, 0)</f>
        <v>30.7912</v>
      </c>
      <c r="F156" s="10">
        <f>30.7891 * CHOOSE(CONTROL!$C$9, $D$9, 100%, $F$9) + CHOOSE(CONTROL!$C$27, 0.0021, 0)</f>
        <v>30.7912</v>
      </c>
      <c r="G156" s="10">
        <f>31.0605 * CHOOSE(CONTROL!$C$9, $D$9, 100%, $F$9) + CHOOSE(CONTROL!$C$27, 0.0021, 0)</f>
        <v>31.0626</v>
      </c>
      <c r="H156" s="10">
        <f>30.9258 * CHOOSE(CONTROL!$C$9, $D$9, 100%, $F$9) + CHOOSE(CONTROL!$C$27, 0.0021, 0)</f>
        <v>30.927899999999998</v>
      </c>
      <c r="I156" s="10">
        <f>30.9258 * CHOOSE(CONTROL!$C$9, $D$9, 100%, $F$9) + CHOOSE(CONTROL!$C$27, 0.0021, 0)</f>
        <v>30.927899999999998</v>
      </c>
      <c r="J156" s="10">
        <f>30.9258 * CHOOSE(CONTROL!$C$9, $D$9, 100%, $F$9) + CHOOSE(CONTROL!$C$27, 0.0021, 0)</f>
        <v>30.927899999999998</v>
      </c>
      <c r="K156" s="10">
        <f>30.9258 * CHOOSE(CONTROL!$C$9, $D$9, 100%, $F$9) + CHOOSE(CONTROL!$C$27, 0.0021, 0)</f>
        <v>30.927899999999998</v>
      </c>
      <c r="L156" s="10"/>
    </row>
    <row r="157" spans="1:12" ht="15" x14ac:dyDescent="0.2">
      <c r="A157" s="16">
        <v>46054</v>
      </c>
      <c r="B157" s="10">
        <f>30.5359 * CHOOSE(CONTROL!$C$9, $D$9, 100%, $F$9) + CHOOSE(CONTROL!$C$27, 0.0021, 0)</f>
        <v>30.538</v>
      </c>
      <c r="C157" s="10">
        <f>30.1036 * CHOOSE(CONTROL!$C$9, $D$9, 100%, $F$9) + CHOOSE(CONTROL!$C$27, 0.0021, 0)</f>
        <v>30.105699999999999</v>
      </c>
      <c r="D157" s="10">
        <f>30.1036 * CHOOSE(CONTROL!$C$9, $D$9, 100%, $F$9) + CHOOSE(CONTROL!$C$27, 0.0021, 0)</f>
        <v>30.105699999999999</v>
      </c>
      <c r="E157" s="10">
        <f>29.967 * CHOOSE(CONTROL!$C$9, $D$9, 100%, $F$9) + CHOOSE(CONTROL!$C$27, 0.0021, 0)</f>
        <v>29.969099999999997</v>
      </c>
      <c r="F157" s="10">
        <f>29.967 * CHOOSE(CONTROL!$C$9, $D$9, 100%, $F$9) + CHOOSE(CONTROL!$C$27, 0.0021, 0)</f>
        <v>29.969099999999997</v>
      </c>
      <c r="G157" s="10">
        <f>30.2384 * CHOOSE(CONTROL!$C$9, $D$9, 100%, $F$9) + CHOOSE(CONTROL!$C$27, 0.0021, 0)</f>
        <v>30.240499999999997</v>
      </c>
      <c r="H157" s="10">
        <f>30.1036 * CHOOSE(CONTROL!$C$9, $D$9, 100%, $F$9) + CHOOSE(CONTROL!$C$27, 0.0021, 0)</f>
        <v>30.105699999999999</v>
      </c>
      <c r="I157" s="10">
        <f>30.1036 * CHOOSE(CONTROL!$C$9, $D$9, 100%, $F$9) + CHOOSE(CONTROL!$C$27, 0.0021, 0)</f>
        <v>30.105699999999999</v>
      </c>
      <c r="J157" s="10">
        <f>30.1036 * CHOOSE(CONTROL!$C$9, $D$9, 100%, $F$9) + CHOOSE(CONTROL!$C$27, 0.0021, 0)</f>
        <v>30.105699999999999</v>
      </c>
      <c r="K157" s="10">
        <f>30.1036 * CHOOSE(CONTROL!$C$9, $D$9, 100%, $F$9) + CHOOSE(CONTROL!$C$27, 0.0021, 0)</f>
        <v>30.105699999999999</v>
      </c>
      <c r="L157" s="10"/>
    </row>
    <row r="158" spans="1:12" ht="15" x14ac:dyDescent="0.2">
      <c r="A158" s="16">
        <v>46082</v>
      </c>
      <c r="B158" s="10">
        <f>30.1965 * CHOOSE(CONTROL!$C$9, $D$9, 100%, $F$9) + CHOOSE(CONTROL!$C$27, 0.0021, 0)</f>
        <v>30.198599999999999</v>
      </c>
      <c r="C158" s="10">
        <f>29.7643 * CHOOSE(CONTROL!$C$9, $D$9, 100%, $F$9) + CHOOSE(CONTROL!$C$27, 0.0021, 0)</f>
        <v>29.766399999999997</v>
      </c>
      <c r="D158" s="10">
        <f>29.7643 * CHOOSE(CONTROL!$C$9, $D$9, 100%, $F$9) + CHOOSE(CONTROL!$C$27, 0.0021, 0)</f>
        <v>29.766399999999997</v>
      </c>
      <c r="E158" s="10">
        <f>29.6276 * CHOOSE(CONTROL!$C$9, $D$9, 100%, $F$9) + CHOOSE(CONTROL!$C$27, 0.0021, 0)</f>
        <v>29.6297</v>
      </c>
      <c r="F158" s="10">
        <f>29.6276 * CHOOSE(CONTROL!$C$9, $D$9, 100%, $F$9) + CHOOSE(CONTROL!$C$27, 0.0021, 0)</f>
        <v>29.6297</v>
      </c>
      <c r="G158" s="10">
        <f>29.899 * CHOOSE(CONTROL!$C$9, $D$9, 100%, $F$9) + CHOOSE(CONTROL!$C$27, 0.0021, 0)</f>
        <v>29.9011</v>
      </c>
      <c r="H158" s="10">
        <f>29.7643 * CHOOSE(CONTROL!$C$9, $D$9, 100%, $F$9) + CHOOSE(CONTROL!$C$27, 0.0021, 0)</f>
        <v>29.766399999999997</v>
      </c>
      <c r="I158" s="10">
        <f>29.7643 * CHOOSE(CONTROL!$C$9, $D$9, 100%, $F$9) + CHOOSE(CONTROL!$C$27, 0.0021, 0)</f>
        <v>29.766399999999997</v>
      </c>
      <c r="J158" s="10">
        <f>29.7643 * CHOOSE(CONTROL!$C$9, $D$9, 100%, $F$9) + CHOOSE(CONTROL!$C$27, 0.0021, 0)</f>
        <v>29.766399999999997</v>
      </c>
      <c r="K158" s="10">
        <f>29.7643 * CHOOSE(CONTROL!$C$9, $D$9, 100%, $F$9) + CHOOSE(CONTROL!$C$27, 0.0021, 0)</f>
        <v>29.766399999999997</v>
      </c>
      <c r="L158" s="10"/>
    </row>
    <row r="159" spans="1:12" ht="15" x14ac:dyDescent="0.2">
      <c r="A159" s="16">
        <v>46113</v>
      </c>
      <c r="B159" s="10">
        <f>29.7913 * CHOOSE(CONTROL!$C$9, $D$9, 100%, $F$9) + CHOOSE(CONTROL!$C$27, 0.0021, 0)</f>
        <v>29.793399999999998</v>
      </c>
      <c r="C159" s="10">
        <f>29.359 * CHOOSE(CONTROL!$C$9, $D$9, 100%, $F$9) + CHOOSE(CONTROL!$C$27, 0.0021, 0)</f>
        <v>29.3611</v>
      </c>
      <c r="D159" s="10">
        <f>29.359 * CHOOSE(CONTROL!$C$9, $D$9, 100%, $F$9) + CHOOSE(CONTROL!$C$27, 0.0021, 0)</f>
        <v>29.3611</v>
      </c>
      <c r="E159" s="10">
        <f>29.2224 * CHOOSE(CONTROL!$C$9, $D$9, 100%, $F$9) + CHOOSE(CONTROL!$C$27, 0.0021, 0)</f>
        <v>29.224499999999999</v>
      </c>
      <c r="F159" s="10">
        <f>29.2224 * CHOOSE(CONTROL!$C$9, $D$9, 100%, $F$9) + CHOOSE(CONTROL!$C$27, 0.0021, 0)</f>
        <v>29.224499999999999</v>
      </c>
      <c r="G159" s="10">
        <f>29.4938 * CHOOSE(CONTROL!$C$9, $D$9, 100%, $F$9) + CHOOSE(CONTROL!$C$27, 0.0021, 0)</f>
        <v>29.495899999999999</v>
      </c>
      <c r="H159" s="10">
        <f>29.359 * CHOOSE(CONTROL!$C$9, $D$9, 100%, $F$9) + CHOOSE(CONTROL!$C$27, 0.0021, 0)</f>
        <v>29.3611</v>
      </c>
      <c r="I159" s="10">
        <f>29.359 * CHOOSE(CONTROL!$C$9, $D$9, 100%, $F$9) + CHOOSE(CONTROL!$C$27, 0.0021, 0)</f>
        <v>29.3611</v>
      </c>
      <c r="J159" s="10">
        <f>29.359 * CHOOSE(CONTROL!$C$9, $D$9, 100%, $F$9) + CHOOSE(CONTROL!$C$27, 0.0021, 0)</f>
        <v>29.3611</v>
      </c>
      <c r="K159" s="10">
        <f>29.359 * CHOOSE(CONTROL!$C$9, $D$9, 100%, $F$9) + CHOOSE(CONTROL!$C$27, 0.0021, 0)</f>
        <v>29.3611</v>
      </c>
      <c r="L159" s="10"/>
    </row>
    <row r="160" spans="1:12" ht="15" x14ac:dyDescent="0.2">
      <c r="A160" s="16">
        <v>46143</v>
      </c>
      <c r="B160" s="10">
        <f>30.3688 * CHOOSE(CONTROL!$C$9, $D$9, 100%, $F$9) + CHOOSE(CONTROL!$C$27, 0.0021, 0)</f>
        <v>30.370899999999999</v>
      </c>
      <c r="C160" s="10">
        <f>29.9365 * CHOOSE(CONTROL!$C$9, $D$9, 100%, $F$9) + CHOOSE(CONTROL!$C$27, 0.0021, 0)</f>
        <v>29.938599999999997</v>
      </c>
      <c r="D160" s="10">
        <f>29.9365 * CHOOSE(CONTROL!$C$9, $D$9, 100%, $F$9) + CHOOSE(CONTROL!$C$27, 0.0021, 0)</f>
        <v>29.938599999999997</v>
      </c>
      <c r="E160" s="10">
        <f>29.7999 * CHOOSE(CONTROL!$C$9, $D$9, 100%, $F$9) + CHOOSE(CONTROL!$C$27, 0.0021, 0)</f>
        <v>29.802</v>
      </c>
      <c r="F160" s="10">
        <f>29.7999 * CHOOSE(CONTROL!$C$9, $D$9, 100%, $F$9) + CHOOSE(CONTROL!$C$27, 0.0021, 0)</f>
        <v>29.802</v>
      </c>
      <c r="G160" s="10">
        <f>30.0712 * CHOOSE(CONTROL!$C$9, $D$9, 100%, $F$9) + CHOOSE(CONTROL!$C$27, 0.0021, 0)</f>
        <v>30.0733</v>
      </c>
      <c r="H160" s="10">
        <f>29.9365 * CHOOSE(CONTROL!$C$9, $D$9, 100%, $F$9) + CHOOSE(CONTROL!$C$27, 0.0021, 0)</f>
        <v>29.938599999999997</v>
      </c>
      <c r="I160" s="10">
        <f>29.9365 * CHOOSE(CONTROL!$C$9, $D$9, 100%, $F$9) + CHOOSE(CONTROL!$C$27, 0.0021, 0)</f>
        <v>29.938599999999997</v>
      </c>
      <c r="J160" s="10">
        <f>29.9365 * CHOOSE(CONTROL!$C$9, $D$9, 100%, $F$9) + CHOOSE(CONTROL!$C$27, 0.0021, 0)</f>
        <v>29.938599999999997</v>
      </c>
      <c r="K160" s="10">
        <f>29.9365 * CHOOSE(CONTROL!$C$9, $D$9, 100%, $F$9) + CHOOSE(CONTROL!$C$27, 0.0021, 0)</f>
        <v>29.938599999999997</v>
      </c>
      <c r="L160" s="10"/>
    </row>
    <row r="161" spans="1:12" ht="15" x14ac:dyDescent="0.2">
      <c r="A161" s="16">
        <v>46174</v>
      </c>
      <c r="B161" s="10">
        <f>30.7147 * CHOOSE(CONTROL!$C$9, $D$9, 100%, $F$9) + CHOOSE(CONTROL!$C$27, 0.0021, 0)</f>
        <v>30.716799999999999</v>
      </c>
      <c r="C161" s="10">
        <f>30.2824 * CHOOSE(CONTROL!$C$9, $D$9, 100%, $F$9) + CHOOSE(CONTROL!$C$27, 0.0021, 0)</f>
        <v>30.284499999999998</v>
      </c>
      <c r="D161" s="10">
        <f>30.2824 * CHOOSE(CONTROL!$C$9, $D$9, 100%, $F$9) + CHOOSE(CONTROL!$C$27, 0.0021, 0)</f>
        <v>30.284499999999998</v>
      </c>
      <c r="E161" s="10">
        <f>30.1458 * CHOOSE(CONTROL!$C$9, $D$9, 100%, $F$9) + CHOOSE(CONTROL!$C$27, 0.0021, 0)</f>
        <v>30.1479</v>
      </c>
      <c r="F161" s="10">
        <f>30.1458 * CHOOSE(CONTROL!$C$9, $D$9, 100%, $F$9) + CHOOSE(CONTROL!$C$27, 0.0021, 0)</f>
        <v>30.1479</v>
      </c>
      <c r="G161" s="10">
        <f>30.4171 * CHOOSE(CONTROL!$C$9, $D$9, 100%, $F$9) + CHOOSE(CONTROL!$C$27, 0.0021, 0)</f>
        <v>30.4192</v>
      </c>
      <c r="H161" s="10">
        <f>30.2824 * CHOOSE(CONTROL!$C$9, $D$9, 100%, $F$9) + CHOOSE(CONTROL!$C$27, 0.0021, 0)</f>
        <v>30.284499999999998</v>
      </c>
      <c r="I161" s="10">
        <f>30.2824 * CHOOSE(CONTROL!$C$9, $D$9, 100%, $F$9) + CHOOSE(CONTROL!$C$27, 0.0021, 0)</f>
        <v>30.284499999999998</v>
      </c>
      <c r="J161" s="10">
        <f>30.2824 * CHOOSE(CONTROL!$C$9, $D$9, 100%, $F$9) + CHOOSE(CONTROL!$C$27, 0.0021, 0)</f>
        <v>30.284499999999998</v>
      </c>
      <c r="K161" s="10">
        <f>30.2824 * CHOOSE(CONTROL!$C$9, $D$9, 100%, $F$9) + CHOOSE(CONTROL!$C$27, 0.0021, 0)</f>
        <v>30.284499999999998</v>
      </c>
      <c r="L161" s="10"/>
    </row>
    <row r="162" spans="1:12" ht="15" x14ac:dyDescent="0.2">
      <c r="A162" s="16">
        <v>46204</v>
      </c>
      <c r="B162" s="10">
        <f>31.2853 * CHOOSE(CONTROL!$C$9, $D$9, 100%, $F$9) + CHOOSE(CONTROL!$C$27, 0.0021, 0)</f>
        <v>31.287399999999998</v>
      </c>
      <c r="C162" s="10">
        <f>30.853 * CHOOSE(CONTROL!$C$9, $D$9, 100%, $F$9) + CHOOSE(CONTROL!$C$27, 0.0021, 0)</f>
        <v>30.8551</v>
      </c>
      <c r="D162" s="10">
        <f>30.853 * CHOOSE(CONTROL!$C$9, $D$9, 100%, $F$9) + CHOOSE(CONTROL!$C$27, 0.0021, 0)</f>
        <v>30.8551</v>
      </c>
      <c r="E162" s="10">
        <f>30.7164 * CHOOSE(CONTROL!$C$9, $D$9, 100%, $F$9) + CHOOSE(CONTROL!$C$27, 0.0021, 0)</f>
        <v>30.718499999999999</v>
      </c>
      <c r="F162" s="10">
        <f>30.7164 * CHOOSE(CONTROL!$C$9, $D$9, 100%, $F$9) + CHOOSE(CONTROL!$C$27, 0.0021, 0)</f>
        <v>30.718499999999999</v>
      </c>
      <c r="G162" s="10">
        <f>30.9877 * CHOOSE(CONTROL!$C$9, $D$9, 100%, $F$9) + CHOOSE(CONTROL!$C$27, 0.0021, 0)</f>
        <v>30.989799999999999</v>
      </c>
      <c r="H162" s="10">
        <f>30.853 * CHOOSE(CONTROL!$C$9, $D$9, 100%, $F$9) + CHOOSE(CONTROL!$C$27, 0.0021, 0)</f>
        <v>30.8551</v>
      </c>
      <c r="I162" s="10">
        <f>30.853 * CHOOSE(CONTROL!$C$9, $D$9, 100%, $F$9) + CHOOSE(CONTROL!$C$27, 0.0021, 0)</f>
        <v>30.8551</v>
      </c>
      <c r="J162" s="10">
        <f>30.853 * CHOOSE(CONTROL!$C$9, $D$9, 100%, $F$9) + CHOOSE(CONTROL!$C$27, 0.0021, 0)</f>
        <v>30.8551</v>
      </c>
      <c r="K162" s="10">
        <f>30.853 * CHOOSE(CONTROL!$C$9, $D$9, 100%, $F$9) + CHOOSE(CONTROL!$C$27, 0.0021, 0)</f>
        <v>30.8551</v>
      </c>
      <c r="L162" s="10"/>
    </row>
    <row r="163" spans="1:12" ht="15" x14ac:dyDescent="0.2">
      <c r="A163" s="16">
        <v>46235</v>
      </c>
      <c r="B163" s="10">
        <f>31.4594 * CHOOSE(CONTROL!$C$9, $D$9, 100%, $F$9) + CHOOSE(CONTROL!$C$27, 0.0021, 0)</f>
        <v>31.461499999999997</v>
      </c>
      <c r="C163" s="10">
        <f>31.0272 * CHOOSE(CONTROL!$C$9, $D$9, 100%, $F$9) + CHOOSE(CONTROL!$C$27, 0.0021, 0)</f>
        <v>31.029299999999999</v>
      </c>
      <c r="D163" s="10">
        <f>31.0272 * CHOOSE(CONTROL!$C$9, $D$9, 100%, $F$9) + CHOOSE(CONTROL!$C$27, 0.0021, 0)</f>
        <v>31.029299999999999</v>
      </c>
      <c r="E163" s="10">
        <f>30.8905 * CHOOSE(CONTROL!$C$9, $D$9, 100%, $F$9) + CHOOSE(CONTROL!$C$27, 0.0021, 0)</f>
        <v>30.892599999999998</v>
      </c>
      <c r="F163" s="10">
        <f>30.8905 * CHOOSE(CONTROL!$C$9, $D$9, 100%, $F$9) + CHOOSE(CONTROL!$C$27, 0.0021, 0)</f>
        <v>30.892599999999998</v>
      </c>
      <c r="G163" s="10">
        <f>31.1619 * CHOOSE(CONTROL!$C$9, $D$9, 100%, $F$9) + CHOOSE(CONTROL!$C$27, 0.0021, 0)</f>
        <v>31.163999999999998</v>
      </c>
      <c r="H163" s="10">
        <f>31.0272 * CHOOSE(CONTROL!$C$9, $D$9, 100%, $F$9) + CHOOSE(CONTROL!$C$27, 0.0021, 0)</f>
        <v>31.029299999999999</v>
      </c>
      <c r="I163" s="10">
        <f>31.0272 * CHOOSE(CONTROL!$C$9, $D$9, 100%, $F$9) + CHOOSE(CONTROL!$C$27, 0.0021, 0)</f>
        <v>31.029299999999999</v>
      </c>
      <c r="J163" s="10">
        <f>31.0272 * CHOOSE(CONTROL!$C$9, $D$9, 100%, $F$9) + CHOOSE(CONTROL!$C$27, 0.0021, 0)</f>
        <v>31.029299999999999</v>
      </c>
      <c r="K163" s="10">
        <f>31.0272 * CHOOSE(CONTROL!$C$9, $D$9, 100%, $F$9) + CHOOSE(CONTROL!$C$27, 0.0021, 0)</f>
        <v>31.029299999999999</v>
      </c>
      <c r="L163" s="10"/>
    </row>
    <row r="164" spans="1:12" ht="15" x14ac:dyDescent="0.2">
      <c r="A164" s="16">
        <v>46266</v>
      </c>
      <c r="B164" s="10">
        <f>32.0525 * CHOOSE(CONTROL!$C$9, $D$9, 100%, $F$9) + CHOOSE(CONTROL!$C$27, 0.0021, 0)</f>
        <v>32.054600000000001</v>
      </c>
      <c r="C164" s="10">
        <f>31.6203 * CHOOSE(CONTROL!$C$9, $D$9, 100%, $F$9) + CHOOSE(CONTROL!$C$27, 0.0021, 0)</f>
        <v>31.622399999999999</v>
      </c>
      <c r="D164" s="10">
        <f>31.6203 * CHOOSE(CONTROL!$C$9, $D$9, 100%, $F$9) + CHOOSE(CONTROL!$C$27, 0.0021, 0)</f>
        <v>31.622399999999999</v>
      </c>
      <c r="E164" s="10">
        <f>31.4836 * CHOOSE(CONTROL!$C$9, $D$9, 100%, $F$9) + CHOOSE(CONTROL!$C$27, 0.0021, 0)</f>
        <v>31.485699999999998</v>
      </c>
      <c r="F164" s="10">
        <f>31.4836 * CHOOSE(CONTROL!$C$9, $D$9, 100%, $F$9) + CHOOSE(CONTROL!$C$27, 0.0021, 0)</f>
        <v>31.485699999999998</v>
      </c>
      <c r="G164" s="10">
        <f>31.755 * CHOOSE(CONTROL!$C$9, $D$9, 100%, $F$9) + CHOOSE(CONTROL!$C$27, 0.0021, 0)</f>
        <v>31.757099999999998</v>
      </c>
      <c r="H164" s="10">
        <f>31.6203 * CHOOSE(CONTROL!$C$9, $D$9, 100%, $F$9) + CHOOSE(CONTROL!$C$27, 0.0021, 0)</f>
        <v>31.622399999999999</v>
      </c>
      <c r="I164" s="10">
        <f>31.6203 * CHOOSE(CONTROL!$C$9, $D$9, 100%, $F$9) + CHOOSE(CONTROL!$C$27, 0.0021, 0)</f>
        <v>31.622399999999999</v>
      </c>
      <c r="J164" s="10">
        <f>31.6203 * CHOOSE(CONTROL!$C$9, $D$9, 100%, $F$9) + CHOOSE(CONTROL!$C$27, 0.0021, 0)</f>
        <v>31.622399999999999</v>
      </c>
      <c r="K164" s="10">
        <f>31.6203 * CHOOSE(CONTROL!$C$9, $D$9, 100%, $F$9) + CHOOSE(CONTROL!$C$27, 0.0021, 0)</f>
        <v>31.622399999999999</v>
      </c>
      <c r="L164" s="10"/>
    </row>
    <row r="165" spans="1:12" ht="15" x14ac:dyDescent="0.2">
      <c r="A165" s="16">
        <v>46296</v>
      </c>
      <c r="B165" s="10">
        <f>32.8033 * CHOOSE(CONTROL!$C$9, $D$9, 100%, $F$9) + CHOOSE(CONTROL!$C$27, 0.0021, 0)</f>
        <v>32.805399999999999</v>
      </c>
      <c r="C165" s="10">
        <f>32.3711 * CHOOSE(CONTROL!$C$9, $D$9, 100%, $F$9) + CHOOSE(CONTROL!$C$27, 0.0021, 0)</f>
        <v>32.373199999999997</v>
      </c>
      <c r="D165" s="10">
        <f>32.3711 * CHOOSE(CONTROL!$C$9, $D$9, 100%, $F$9) + CHOOSE(CONTROL!$C$27, 0.0021, 0)</f>
        <v>32.373199999999997</v>
      </c>
      <c r="E165" s="10">
        <f>32.2344 * CHOOSE(CONTROL!$C$9, $D$9, 100%, $F$9) + CHOOSE(CONTROL!$C$27, 0.0021, 0)</f>
        <v>32.236499999999999</v>
      </c>
      <c r="F165" s="10">
        <f>32.2344 * CHOOSE(CONTROL!$C$9, $D$9, 100%, $F$9) + CHOOSE(CONTROL!$C$27, 0.0021, 0)</f>
        <v>32.236499999999999</v>
      </c>
      <c r="G165" s="10">
        <f>32.5058 * CHOOSE(CONTROL!$C$9, $D$9, 100%, $F$9) + CHOOSE(CONTROL!$C$27, 0.0021, 0)</f>
        <v>32.507899999999999</v>
      </c>
      <c r="H165" s="10">
        <f>32.3711 * CHOOSE(CONTROL!$C$9, $D$9, 100%, $F$9) + CHOOSE(CONTROL!$C$27, 0.0021, 0)</f>
        <v>32.373199999999997</v>
      </c>
      <c r="I165" s="10">
        <f>32.3711 * CHOOSE(CONTROL!$C$9, $D$9, 100%, $F$9) + CHOOSE(CONTROL!$C$27, 0.0021, 0)</f>
        <v>32.373199999999997</v>
      </c>
      <c r="J165" s="10">
        <f>32.3711 * CHOOSE(CONTROL!$C$9, $D$9, 100%, $F$9) + CHOOSE(CONTROL!$C$27, 0.0021, 0)</f>
        <v>32.373199999999997</v>
      </c>
      <c r="K165" s="10">
        <f>32.3711 * CHOOSE(CONTROL!$C$9, $D$9, 100%, $F$9) + CHOOSE(CONTROL!$C$27, 0.0021, 0)</f>
        <v>32.373199999999997</v>
      </c>
      <c r="L165" s="10"/>
    </row>
    <row r="166" spans="1:12" ht="15" x14ac:dyDescent="0.2">
      <c r="A166" s="16">
        <v>46327</v>
      </c>
      <c r="B166" s="10">
        <f>32.8738 * CHOOSE(CONTROL!$C$9, $D$9, 100%, $F$9) + CHOOSE(CONTROL!$C$27, 0.0021, 0)</f>
        <v>32.875900000000001</v>
      </c>
      <c r="C166" s="10">
        <f>32.4416 * CHOOSE(CONTROL!$C$9, $D$9, 100%, $F$9) + CHOOSE(CONTROL!$C$27, 0.0021, 0)</f>
        <v>32.4437</v>
      </c>
      <c r="D166" s="10">
        <f>32.4416 * CHOOSE(CONTROL!$C$9, $D$9, 100%, $F$9) + CHOOSE(CONTROL!$C$27, 0.0021, 0)</f>
        <v>32.4437</v>
      </c>
      <c r="E166" s="10">
        <f>32.3049 * CHOOSE(CONTROL!$C$9, $D$9, 100%, $F$9) + CHOOSE(CONTROL!$C$27, 0.0021, 0)</f>
        <v>32.307000000000002</v>
      </c>
      <c r="F166" s="10">
        <f>32.3049 * CHOOSE(CONTROL!$C$9, $D$9, 100%, $F$9) + CHOOSE(CONTROL!$C$27, 0.0021, 0)</f>
        <v>32.307000000000002</v>
      </c>
      <c r="G166" s="10">
        <f>32.5763 * CHOOSE(CONTROL!$C$9, $D$9, 100%, $F$9) + CHOOSE(CONTROL!$C$27, 0.0021, 0)</f>
        <v>32.578400000000002</v>
      </c>
      <c r="H166" s="10">
        <f>32.4416 * CHOOSE(CONTROL!$C$9, $D$9, 100%, $F$9) + CHOOSE(CONTROL!$C$27, 0.0021, 0)</f>
        <v>32.4437</v>
      </c>
      <c r="I166" s="10">
        <f>32.4416 * CHOOSE(CONTROL!$C$9, $D$9, 100%, $F$9) + CHOOSE(CONTROL!$C$27, 0.0021, 0)</f>
        <v>32.4437</v>
      </c>
      <c r="J166" s="10">
        <f>32.4416 * CHOOSE(CONTROL!$C$9, $D$9, 100%, $F$9) + CHOOSE(CONTROL!$C$27, 0.0021, 0)</f>
        <v>32.4437</v>
      </c>
      <c r="K166" s="10">
        <f>32.4416 * CHOOSE(CONTROL!$C$9, $D$9, 100%, $F$9) + CHOOSE(CONTROL!$C$27, 0.0021, 0)</f>
        <v>32.4437</v>
      </c>
      <c r="L166" s="10"/>
    </row>
    <row r="167" spans="1:12" ht="15" x14ac:dyDescent="0.2">
      <c r="A167" s="16">
        <v>46357</v>
      </c>
      <c r="B167" s="10">
        <f>32.2742 * CHOOSE(CONTROL!$C$9, $D$9, 100%, $F$9) + CHOOSE(CONTROL!$C$27, 0.0021, 0)</f>
        <v>32.276299999999999</v>
      </c>
      <c r="C167" s="10">
        <f>31.8419 * CHOOSE(CONTROL!$C$9, $D$9, 100%, $F$9) + CHOOSE(CONTROL!$C$27, 0.0021, 0)</f>
        <v>31.843999999999998</v>
      </c>
      <c r="D167" s="10">
        <f>31.8419 * CHOOSE(CONTROL!$C$9, $D$9, 100%, $F$9) + CHOOSE(CONTROL!$C$27, 0.0021, 0)</f>
        <v>31.843999999999998</v>
      </c>
      <c r="E167" s="10">
        <f>31.7053 * CHOOSE(CONTROL!$C$9, $D$9, 100%, $F$9) + CHOOSE(CONTROL!$C$27, 0.0021, 0)</f>
        <v>31.7074</v>
      </c>
      <c r="F167" s="10">
        <f>31.7053 * CHOOSE(CONTROL!$C$9, $D$9, 100%, $F$9) + CHOOSE(CONTROL!$C$27, 0.0021, 0)</f>
        <v>31.7074</v>
      </c>
      <c r="G167" s="10">
        <f>31.9766 * CHOOSE(CONTROL!$C$9, $D$9, 100%, $F$9) + CHOOSE(CONTROL!$C$27, 0.0021, 0)</f>
        <v>31.9787</v>
      </c>
      <c r="H167" s="10">
        <f>31.8419 * CHOOSE(CONTROL!$C$9, $D$9, 100%, $F$9) + CHOOSE(CONTROL!$C$27, 0.0021, 0)</f>
        <v>31.843999999999998</v>
      </c>
      <c r="I167" s="10">
        <f>31.8419 * CHOOSE(CONTROL!$C$9, $D$9, 100%, $F$9) + CHOOSE(CONTROL!$C$27, 0.0021, 0)</f>
        <v>31.843999999999998</v>
      </c>
      <c r="J167" s="10">
        <f>31.8419 * CHOOSE(CONTROL!$C$9, $D$9, 100%, $F$9) + CHOOSE(CONTROL!$C$27, 0.0021, 0)</f>
        <v>31.843999999999998</v>
      </c>
      <c r="K167" s="10">
        <f>31.8419 * CHOOSE(CONTROL!$C$9, $D$9, 100%, $F$9) + CHOOSE(CONTROL!$C$27, 0.0021, 0)</f>
        <v>31.843999999999998</v>
      </c>
      <c r="L167" s="10"/>
    </row>
    <row r="168" spans="1:12" ht="15" x14ac:dyDescent="0.2">
      <c r="A168" s="16">
        <v>46388</v>
      </c>
      <c r="B168" s="10">
        <f>32.3734 * CHOOSE(CONTROL!$C$9, $D$9, 100%, $F$9) + CHOOSE(CONTROL!$C$27, 0.0021, 0)</f>
        <v>32.375499999999995</v>
      </c>
      <c r="C168" s="10">
        <f>31.9412 * CHOOSE(CONTROL!$C$9, $D$9, 100%, $F$9) + CHOOSE(CONTROL!$C$27, 0.0021, 0)</f>
        <v>31.943299999999997</v>
      </c>
      <c r="D168" s="10">
        <f>31.9412 * CHOOSE(CONTROL!$C$9, $D$9, 100%, $F$9) + CHOOSE(CONTROL!$C$27, 0.0021, 0)</f>
        <v>31.943299999999997</v>
      </c>
      <c r="E168" s="10">
        <f>31.8045 * CHOOSE(CONTROL!$C$9, $D$9, 100%, $F$9) + CHOOSE(CONTROL!$C$27, 0.0021, 0)</f>
        <v>31.8066</v>
      </c>
      <c r="F168" s="10">
        <f>31.8045 * CHOOSE(CONTROL!$C$9, $D$9, 100%, $F$9) + CHOOSE(CONTROL!$C$27, 0.0021, 0)</f>
        <v>31.8066</v>
      </c>
      <c r="G168" s="10">
        <f>32.0759 * CHOOSE(CONTROL!$C$9, $D$9, 100%, $F$9) + CHOOSE(CONTROL!$C$27, 0.0021, 0)</f>
        <v>32.077999999999996</v>
      </c>
      <c r="H168" s="10">
        <f>31.9412 * CHOOSE(CONTROL!$C$9, $D$9, 100%, $F$9) + CHOOSE(CONTROL!$C$27, 0.0021, 0)</f>
        <v>31.943299999999997</v>
      </c>
      <c r="I168" s="10">
        <f>31.9412 * CHOOSE(CONTROL!$C$9, $D$9, 100%, $F$9) + CHOOSE(CONTROL!$C$27, 0.0021, 0)</f>
        <v>31.943299999999997</v>
      </c>
      <c r="J168" s="10">
        <f>31.9412 * CHOOSE(CONTROL!$C$9, $D$9, 100%, $F$9) + CHOOSE(CONTROL!$C$27, 0.0021, 0)</f>
        <v>31.943299999999997</v>
      </c>
      <c r="K168" s="10">
        <f>31.9412 * CHOOSE(CONTROL!$C$9, $D$9, 100%, $F$9) + CHOOSE(CONTROL!$C$27, 0.0021, 0)</f>
        <v>31.943299999999997</v>
      </c>
      <c r="L168" s="10"/>
    </row>
    <row r="169" spans="1:12" ht="15" x14ac:dyDescent="0.2">
      <c r="A169" s="16">
        <v>46419</v>
      </c>
      <c r="B169" s="10">
        <f>31.5226 * CHOOSE(CONTROL!$C$9, $D$9, 100%, $F$9) + CHOOSE(CONTROL!$C$27, 0.0021, 0)</f>
        <v>31.524699999999999</v>
      </c>
      <c r="C169" s="10">
        <f>31.0903 * CHOOSE(CONTROL!$C$9, $D$9, 100%, $F$9) + CHOOSE(CONTROL!$C$27, 0.0021, 0)</f>
        <v>31.092399999999998</v>
      </c>
      <c r="D169" s="10">
        <f>31.0903 * CHOOSE(CONTROL!$C$9, $D$9, 100%, $F$9) + CHOOSE(CONTROL!$C$27, 0.0021, 0)</f>
        <v>31.092399999999998</v>
      </c>
      <c r="E169" s="10">
        <f>30.9537 * CHOOSE(CONTROL!$C$9, $D$9, 100%, $F$9) + CHOOSE(CONTROL!$C$27, 0.0021, 0)</f>
        <v>30.9558</v>
      </c>
      <c r="F169" s="10">
        <f>30.9537 * CHOOSE(CONTROL!$C$9, $D$9, 100%, $F$9) + CHOOSE(CONTROL!$C$27, 0.0021, 0)</f>
        <v>30.9558</v>
      </c>
      <c r="G169" s="10">
        <f>31.225 * CHOOSE(CONTROL!$C$9, $D$9, 100%, $F$9) + CHOOSE(CONTROL!$C$27, 0.0021, 0)</f>
        <v>31.2271</v>
      </c>
      <c r="H169" s="10">
        <f>31.0903 * CHOOSE(CONTROL!$C$9, $D$9, 100%, $F$9) + CHOOSE(CONTROL!$C$27, 0.0021, 0)</f>
        <v>31.092399999999998</v>
      </c>
      <c r="I169" s="10">
        <f>31.0903 * CHOOSE(CONTROL!$C$9, $D$9, 100%, $F$9) + CHOOSE(CONTROL!$C$27, 0.0021, 0)</f>
        <v>31.092399999999998</v>
      </c>
      <c r="J169" s="10">
        <f>31.0903 * CHOOSE(CONTROL!$C$9, $D$9, 100%, $F$9) + CHOOSE(CONTROL!$C$27, 0.0021, 0)</f>
        <v>31.092399999999998</v>
      </c>
      <c r="K169" s="10">
        <f>31.0903 * CHOOSE(CONTROL!$C$9, $D$9, 100%, $F$9) + CHOOSE(CONTROL!$C$27, 0.0021, 0)</f>
        <v>31.092399999999998</v>
      </c>
      <c r="L169" s="10"/>
    </row>
    <row r="170" spans="1:12" ht="15" x14ac:dyDescent="0.2">
      <c r="A170" s="16">
        <v>46447</v>
      </c>
      <c r="B170" s="10">
        <f>31.1713 * CHOOSE(CONTROL!$C$9, $D$9, 100%, $F$9) + CHOOSE(CONTROL!$C$27, 0.0021, 0)</f>
        <v>31.173399999999997</v>
      </c>
      <c r="C170" s="10">
        <f>30.7391 * CHOOSE(CONTROL!$C$9, $D$9, 100%, $F$9) + CHOOSE(CONTROL!$C$27, 0.0021, 0)</f>
        <v>30.741199999999999</v>
      </c>
      <c r="D170" s="10">
        <f>30.7391 * CHOOSE(CONTROL!$C$9, $D$9, 100%, $F$9) + CHOOSE(CONTROL!$C$27, 0.0021, 0)</f>
        <v>30.741199999999999</v>
      </c>
      <c r="E170" s="10">
        <f>30.6024 * CHOOSE(CONTROL!$C$9, $D$9, 100%, $F$9) + CHOOSE(CONTROL!$C$27, 0.0021, 0)</f>
        <v>30.604499999999998</v>
      </c>
      <c r="F170" s="10">
        <f>30.6024 * CHOOSE(CONTROL!$C$9, $D$9, 100%, $F$9) + CHOOSE(CONTROL!$C$27, 0.0021, 0)</f>
        <v>30.604499999999998</v>
      </c>
      <c r="G170" s="10">
        <f>30.8738 * CHOOSE(CONTROL!$C$9, $D$9, 100%, $F$9) + CHOOSE(CONTROL!$C$27, 0.0021, 0)</f>
        <v>30.875899999999998</v>
      </c>
      <c r="H170" s="10">
        <f>30.7391 * CHOOSE(CONTROL!$C$9, $D$9, 100%, $F$9) + CHOOSE(CONTROL!$C$27, 0.0021, 0)</f>
        <v>30.741199999999999</v>
      </c>
      <c r="I170" s="10">
        <f>30.7391 * CHOOSE(CONTROL!$C$9, $D$9, 100%, $F$9) + CHOOSE(CONTROL!$C$27, 0.0021, 0)</f>
        <v>30.741199999999999</v>
      </c>
      <c r="J170" s="10">
        <f>30.7391 * CHOOSE(CONTROL!$C$9, $D$9, 100%, $F$9) + CHOOSE(CONTROL!$C$27, 0.0021, 0)</f>
        <v>30.741199999999999</v>
      </c>
      <c r="K170" s="10">
        <f>30.7391 * CHOOSE(CONTROL!$C$9, $D$9, 100%, $F$9) + CHOOSE(CONTROL!$C$27, 0.0021, 0)</f>
        <v>30.741199999999999</v>
      </c>
      <c r="L170" s="10"/>
    </row>
    <row r="171" spans="1:12" ht="15" x14ac:dyDescent="0.2">
      <c r="A171" s="16">
        <v>46478</v>
      </c>
      <c r="B171" s="10">
        <f>30.752 * CHOOSE(CONTROL!$C$9, $D$9, 100%, $F$9) + CHOOSE(CONTROL!$C$27, 0.0021, 0)</f>
        <v>30.754099999999998</v>
      </c>
      <c r="C171" s="10">
        <f>30.3197 * CHOOSE(CONTROL!$C$9, $D$9, 100%, $F$9) + CHOOSE(CONTROL!$C$27, 0.0021, 0)</f>
        <v>30.3218</v>
      </c>
      <c r="D171" s="10">
        <f>30.3197 * CHOOSE(CONTROL!$C$9, $D$9, 100%, $F$9) + CHOOSE(CONTROL!$C$27, 0.0021, 0)</f>
        <v>30.3218</v>
      </c>
      <c r="E171" s="10">
        <f>30.1831 * CHOOSE(CONTROL!$C$9, $D$9, 100%, $F$9) + CHOOSE(CONTROL!$C$27, 0.0021, 0)</f>
        <v>30.185199999999998</v>
      </c>
      <c r="F171" s="10">
        <f>30.1831 * CHOOSE(CONTROL!$C$9, $D$9, 100%, $F$9) + CHOOSE(CONTROL!$C$27, 0.0021, 0)</f>
        <v>30.185199999999998</v>
      </c>
      <c r="G171" s="10">
        <f>30.4544 * CHOOSE(CONTROL!$C$9, $D$9, 100%, $F$9) + CHOOSE(CONTROL!$C$27, 0.0021, 0)</f>
        <v>30.456499999999998</v>
      </c>
      <c r="H171" s="10">
        <f>30.3197 * CHOOSE(CONTROL!$C$9, $D$9, 100%, $F$9) + CHOOSE(CONTROL!$C$27, 0.0021, 0)</f>
        <v>30.3218</v>
      </c>
      <c r="I171" s="10">
        <f>30.3197 * CHOOSE(CONTROL!$C$9, $D$9, 100%, $F$9) + CHOOSE(CONTROL!$C$27, 0.0021, 0)</f>
        <v>30.3218</v>
      </c>
      <c r="J171" s="10">
        <f>30.3197 * CHOOSE(CONTROL!$C$9, $D$9, 100%, $F$9) + CHOOSE(CONTROL!$C$27, 0.0021, 0)</f>
        <v>30.3218</v>
      </c>
      <c r="K171" s="10">
        <f>30.3197 * CHOOSE(CONTROL!$C$9, $D$9, 100%, $F$9) + CHOOSE(CONTROL!$C$27, 0.0021, 0)</f>
        <v>30.3218</v>
      </c>
      <c r="L171" s="10"/>
    </row>
    <row r="172" spans="1:12" ht="15" x14ac:dyDescent="0.2">
      <c r="A172" s="16">
        <v>46508</v>
      </c>
      <c r="B172" s="10">
        <f>31.3496 * CHOOSE(CONTROL!$C$9, $D$9, 100%, $F$9) + CHOOSE(CONTROL!$C$27, 0.0021, 0)</f>
        <v>31.351699999999997</v>
      </c>
      <c r="C172" s="10">
        <f>30.9174 * CHOOSE(CONTROL!$C$9, $D$9, 100%, $F$9) + CHOOSE(CONTROL!$C$27, 0.0021, 0)</f>
        <v>30.919499999999999</v>
      </c>
      <c r="D172" s="10">
        <f>30.9174 * CHOOSE(CONTROL!$C$9, $D$9, 100%, $F$9) + CHOOSE(CONTROL!$C$27, 0.0021, 0)</f>
        <v>30.919499999999999</v>
      </c>
      <c r="E172" s="10">
        <f>30.7807 * CHOOSE(CONTROL!$C$9, $D$9, 100%, $F$9) + CHOOSE(CONTROL!$C$27, 0.0021, 0)</f>
        <v>30.782799999999998</v>
      </c>
      <c r="F172" s="10">
        <f>30.7807 * CHOOSE(CONTROL!$C$9, $D$9, 100%, $F$9) + CHOOSE(CONTROL!$C$27, 0.0021, 0)</f>
        <v>30.782799999999998</v>
      </c>
      <c r="G172" s="10">
        <f>31.0521 * CHOOSE(CONTROL!$C$9, $D$9, 100%, $F$9) + CHOOSE(CONTROL!$C$27, 0.0021, 0)</f>
        <v>31.054199999999998</v>
      </c>
      <c r="H172" s="10">
        <f>30.9174 * CHOOSE(CONTROL!$C$9, $D$9, 100%, $F$9) + CHOOSE(CONTROL!$C$27, 0.0021, 0)</f>
        <v>30.919499999999999</v>
      </c>
      <c r="I172" s="10">
        <f>30.9174 * CHOOSE(CONTROL!$C$9, $D$9, 100%, $F$9) + CHOOSE(CONTROL!$C$27, 0.0021, 0)</f>
        <v>30.919499999999999</v>
      </c>
      <c r="J172" s="10">
        <f>30.9174 * CHOOSE(CONTROL!$C$9, $D$9, 100%, $F$9) + CHOOSE(CONTROL!$C$27, 0.0021, 0)</f>
        <v>30.919499999999999</v>
      </c>
      <c r="K172" s="10">
        <f>30.9174 * CHOOSE(CONTROL!$C$9, $D$9, 100%, $F$9) + CHOOSE(CONTROL!$C$27, 0.0021, 0)</f>
        <v>30.919499999999999</v>
      </c>
      <c r="L172" s="10"/>
    </row>
    <row r="173" spans="1:12" ht="15" x14ac:dyDescent="0.2">
      <c r="A173" s="16">
        <v>46539</v>
      </c>
      <c r="B173" s="10">
        <f>31.7076 * CHOOSE(CONTROL!$C$9, $D$9, 100%, $F$9) + CHOOSE(CONTROL!$C$27, 0.0021, 0)</f>
        <v>31.709699999999998</v>
      </c>
      <c r="C173" s="10">
        <f>31.2754 * CHOOSE(CONTROL!$C$9, $D$9, 100%, $F$9) + CHOOSE(CONTROL!$C$27, 0.0021, 0)</f>
        <v>31.2775</v>
      </c>
      <c r="D173" s="10">
        <f>31.2754 * CHOOSE(CONTROL!$C$9, $D$9, 100%, $F$9) + CHOOSE(CONTROL!$C$27, 0.0021, 0)</f>
        <v>31.2775</v>
      </c>
      <c r="E173" s="10">
        <f>31.1387 * CHOOSE(CONTROL!$C$9, $D$9, 100%, $F$9) + CHOOSE(CONTROL!$C$27, 0.0021, 0)</f>
        <v>31.140799999999999</v>
      </c>
      <c r="F173" s="10">
        <f>31.1387 * CHOOSE(CONTROL!$C$9, $D$9, 100%, $F$9) + CHOOSE(CONTROL!$C$27, 0.0021, 0)</f>
        <v>31.140799999999999</v>
      </c>
      <c r="G173" s="10">
        <f>31.4101 * CHOOSE(CONTROL!$C$9, $D$9, 100%, $F$9) + CHOOSE(CONTROL!$C$27, 0.0021, 0)</f>
        <v>31.412199999999999</v>
      </c>
      <c r="H173" s="10">
        <f>31.2754 * CHOOSE(CONTROL!$C$9, $D$9, 100%, $F$9) + CHOOSE(CONTROL!$C$27, 0.0021, 0)</f>
        <v>31.2775</v>
      </c>
      <c r="I173" s="10">
        <f>31.2754 * CHOOSE(CONTROL!$C$9, $D$9, 100%, $F$9) + CHOOSE(CONTROL!$C$27, 0.0021, 0)</f>
        <v>31.2775</v>
      </c>
      <c r="J173" s="10">
        <f>31.2754 * CHOOSE(CONTROL!$C$9, $D$9, 100%, $F$9) + CHOOSE(CONTROL!$C$27, 0.0021, 0)</f>
        <v>31.2775</v>
      </c>
      <c r="K173" s="10">
        <f>31.2754 * CHOOSE(CONTROL!$C$9, $D$9, 100%, $F$9) + CHOOSE(CONTROL!$C$27, 0.0021, 0)</f>
        <v>31.2775</v>
      </c>
      <c r="L173" s="10"/>
    </row>
    <row r="174" spans="1:12" ht="15" x14ac:dyDescent="0.2">
      <c r="A174" s="16">
        <v>46569</v>
      </c>
      <c r="B174" s="10">
        <f>32.2981 * CHOOSE(CONTROL!$C$9, $D$9, 100%, $F$9) + CHOOSE(CONTROL!$C$27, 0.0021, 0)</f>
        <v>32.300199999999997</v>
      </c>
      <c r="C174" s="10">
        <f>31.8659 * CHOOSE(CONTROL!$C$9, $D$9, 100%, $F$9) + CHOOSE(CONTROL!$C$27, 0.0021, 0)</f>
        <v>31.867999999999999</v>
      </c>
      <c r="D174" s="10">
        <f>31.8659 * CHOOSE(CONTROL!$C$9, $D$9, 100%, $F$9) + CHOOSE(CONTROL!$C$27, 0.0021, 0)</f>
        <v>31.867999999999999</v>
      </c>
      <c r="E174" s="10">
        <f>31.7292 * CHOOSE(CONTROL!$C$9, $D$9, 100%, $F$9) + CHOOSE(CONTROL!$C$27, 0.0021, 0)</f>
        <v>31.731299999999997</v>
      </c>
      <c r="F174" s="10">
        <f>31.7292 * CHOOSE(CONTROL!$C$9, $D$9, 100%, $F$9) + CHOOSE(CONTROL!$C$27, 0.0021, 0)</f>
        <v>31.731299999999997</v>
      </c>
      <c r="G174" s="10">
        <f>32.0006 * CHOOSE(CONTROL!$C$9, $D$9, 100%, $F$9) + CHOOSE(CONTROL!$C$27, 0.0021, 0)</f>
        <v>32.002699999999997</v>
      </c>
      <c r="H174" s="10">
        <f>31.8659 * CHOOSE(CONTROL!$C$9, $D$9, 100%, $F$9) + CHOOSE(CONTROL!$C$27, 0.0021, 0)</f>
        <v>31.867999999999999</v>
      </c>
      <c r="I174" s="10">
        <f>31.8659 * CHOOSE(CONTROL!$C$9, $D$9, 100%, $F$9) + CHOOSE(CONTROL!$C$27, 0.0021, 0)</f>
        <v>31.867999999999999</v>
      </c>
      <c r="J174" s="10">
        <f>31.8659 * CHOOSE(CONTROL!$C$9, $D$9, 100%, $F$9) + CHOOSE(CONTROL!$C$27, 0.0021, 0)</f>
        <v>31.867999999999999</v>
      </c>
      <c r="K174" s="10">
        <f>31.8659 * CHOOSE(CONTROL!$C$9, $D$9, 100%, $F$9) + CHOOSE(CONTROL!$C$27, 0.0021, 0)</f>
        <v>31.867999999999999</v>
      </c>
      <c r="L174" s="10"/>
    </row>
    <row r="175" spans="1:12" ht="15" x14ac:dyDescent="0.2">
      <c r="A175" s="16">
        <v>46600</v>
      </c>
      <c r="B175" s="10">
        <f>32.4784 * CHOOSE(CONTROL!$C$9, $D$9, 100%, $F$9) + CHOOSE(CONTROL!$C$27, 0.0021, 0)</f>
        <v>32.480499999999999</v>
      </c>
      <c r="C175" s="10">
        <f>32.0461 * CHOOSE(CONTROL!$C$9, $D$9, 100%, $F$9) + CHOOSE(CONTROL!$C$27, 0.0021, 0)</f>
        <v>32.048200000000001</v>
      </c>
      <c r="D175" s="10">
        <f>32.0461 * CHOOSE(CONTROL!$C$9, $D$9, 100%, $F$9) + CHOOSE(CONTROL!$C$27, 0.0021, 0)</f>
        <v>32.048200000000001</v>
      </c>
      <c r="E175" s="10">
        <f>31.9095 * CHOOSE(CONTROL!$C$9, $D$9, 100%, $F$9) + CHOOSE(CONTROL!$C$27, 0.0021, 0)</f>
        <v>31.9116</v>
      </c>
      <c r="F175" s="10">
        <f>31.9095 * CHOOSE(CONTROL!$C$9, $D$9, 100%, $F$9) + CHOOSE(CONTROL!$C$27, 0.0021, 0)</f>
        <v>31.9116</v>
      </c>
      <c r="G175" s="10">
        <f>32.1809 * CHOOSE(CONTROL!$C$9, $D$9, 100%, $F$9) + CHOOSE(CONTROL!$C$27, 0.0021, 0)</f>
        <v>32.183</v>
      </c>
      <c r="H175" s="10">
        <f>32.0461 * CHOOSE(CONTROL!$C$9, $D$9, 100%, $F$9) + CHOOSE(CONTROL!$C$27, 0.0021, 0)</f>
        <v>32.048200000000001</v>
      </c>
      <c r="I175" s="10">
        <f>32.0461 * CHOOSE(CONTROL!$C$9, $D$9, 100%, $F$9) + CHOOSE(CONTROL!$C$27, 0.0021, 0)</f>
        <v>32.048200000000001</v>
      </c>
      <c r="J175" s="10">
        <f>32.0461 * CHOOSE(CONTROL!$C$9, $D$9, 100%, $F$9) + CHOOSE(CONTROL!$C$27, 0.0021, 0)</f>
        <v>32.048200000000001</v>
      </c>
      <c r="K175" s="10">
        <f>32.0461 * CHOOSE(CONTROL!$C$9, $D$9, 100%, $F$9) + CHOOSE(CONTROL!$C$27, 0.0021, 0)</f>
        <v>32.048200000000001</v>
      </c>
      <c r="L175" s="10"/>
    </row>
    <row r="176" spans="1:12" ht="15" x14ac:dyDescent="0.2">
      <c r="A176" s="16">
        <v>46631</v>
      </c>
      <c r="B176" s="10">
        <f>33.0922 * CHOOSE(CONTROL!$C$9, $D$9, 100%, $F$9) + CHOOSE(CONTROL!$C$27, 0.0021, 0)</f>
        <v>33.094299999999997</v>
      </c>
      <c r="C176" s="10">
        <f>32.66 * CHOOSE(CONTROL!$C$9, $D$9, 100%, $F$9) + CHOOSE(CONTROL!$C$27, 0.0021, 0)</f>
        <v>32.662099999999995</v>
      </c>
      <c r="D176" s="10">
        <f>32.66 * CHOOSE(CONTROL!$C$9, $D$9, 100%, $F$9) + CHOOSE(CONTROL!$C$27, 0.0021, 0)</f>
        <v>32.662099999999995</v>
      </c>
      <c r="E176" s="10">
        <f>32.5233 * CHOOSE(CONTROL!$C$9, $D$9, 100%, $F$9) + CHOOSE(CONTROL!$C$27, 0.0021, 0)</f>
        <v>32.525399999999998</v>
      </c>
      <c r="F176" s="10">
        <f>32.5233 * CHOOSE(CONTROL!$C$9, $D$9, 100%, $F$9) + CHOOSE(CONTROL!$C$27, 0.0021, 0)</f>
        <v>32.525399999999998</v>
      </c>
      <c r="G176" s="10">
        <f>32.7947 * CHOOSE(CONTROL!$C$9, $D$9, 100%, $F$9) + CHOOSE(CONTROL!$C$27, 0.0021, 0)</f>
        <v>32.796799999999998</v>
      </c>
      <c r="H176" s="10">
        <f>32.66 * CHOOSE(CONTROL!$C$9, $D$9, 100%, $F$9) + CHOOSE(CONTROL!$C$27, 0.0021, 0)</f>
        <v>32.662099999999995</v>
      </c>
      <c r="I176" s="10">
        <f>32.66 * CHOOSE(CONTROL!$C$9, $D$9, 100%, $F$9) + CHOOSE(CONTROL!$C$27, 0.0021, 0)</f>
        <v>32.662099999999995</v>
      </c>
      <c r="J176" s="10">
        <f>32.66 * CHOOSE(CONTROL!$C$9, $D$9, 100%, $F$9) + CHOOSE(CONTROL!$C$27, 0.0021, 0)</f>
        <v>32.662099999999995</v>
      </c>
      <c r="K176" s="10">
        <f>32.66 * CHOOSE(CONTROL!$C$9, $D$9, 100%, $F$9) + CHOOSE(CONTROL!$C$27, 0.0021, 0)</f>
        <v>32.662099999999995</v>
      </c>
      <c r="L176" s="10"/>
    </row>
    <row r="177" spans="1:12" ht="15" x14ac:dyDescent="0.2">
      <c r="A177" s="16">
        <v>46661</v>
      </c>
      <c r="B177" s="10">
        <f>33.8692 * CHOOSE(CONTROL!$C$9, $D$9, 100%, $F$9) + CHOOSE(CONTROL!$C$27, 0.0021, 0)</f>
        <v>33.871299999999998</v>
      </c>
      <c r="C177" s="10">
        <f>33.437 * CHOOSE(CONTROL!$C$9, $D$9, 100%, $F$9) + CHOOSE(CONTROL!$C$27, 0.0021, 0)</f>
        <v>33.439099999999996</v>
      </c>
      <c r="D177" s="10">
        <f>33.437 * CHOOSE(CONTROL!$C$9, $D$9, 100%, $F$9) + CHOOSE(CONTROL!$C$27, 0.0021, 0)</f>
        <v>33.439099999999996</v>
      </c>
      <c r="E177" s="10">
        <f>33.3003 * CHOOSE(CONTROL!$C$9, $D$9, 100%, $F$9) + CHOOSE(CONTROL!$C$27, 0.0021, 0)</f>
        <v>33.302399999999999</v>
      </c>
      <c r="F177" s="10">
        <f>33.3003 * CHOOSE(CONTROL!$C$9, $D$9, 100%, $F$9) + CHOOSE(CONTROL!$C$27, 0.0021, 0)</f>
        <v>33.302399999999999</v>
      </c>
      <c r="G177" s="10">
        <f>33.5717 * CHOOSE(CONTROL!$C$9, $D$9, 100%, $F$9) + CHOOSE(CONTROL!$C$27, 0.0021, 0)</f>
        <v>33.573799999999999</v>
      </c>
      <c r="H177" s="10">
        <f>33.437 * CHOOSE(CONTROL!$C$9, $D$9, 100%, $F$9) + CHOOSE(CONTROL!$C$27, 0.0021, 0)</f>
        <v>33.439099999999996</v>
      </c>
      <c r="I177" s="10">
        <f>33.437 * CHOOSE(CONTROL!$C$9, $D$9, 100%, $F$9) + CHOOSE(CONTROL!$C$27, 0.0021, 0)</f>
        <v>33.439099999999996</v>
      </c>
      <c r="J177" s="10">
        <f>33.437 * CHOOSE(CONTROL!$C$9, $D$9, 100%, $F$9) + CHOOSE(CONTROL!$C$27, 0.0021, 0)</f>
        <v>33.439099999999996</v>
      </c>
      <c r="K177" s="10">
        <f>33.437 * CHOOSE(CONTROL!$C$9, $D$9, 100%, $F$9) + CHOOSE(CONTROL!$C$27, 0.0021, 0)</f>
        <v>33.439099999999996</v>
      </c>
      <c r="L177" s="10"/>
    </row>
    <row r="178" spans="1:12" ht="15" x14ac:dyDescent="0.2">
      <c r="A178" s="16">
        <v>46692</v>
      </c>
      <c r="B178" s="10">
        <f>33.9422 * CHOOSE(CONTROL!$C$9, $D$9, 100%, $F$9) + CHOOSE(CONTROL!$C$27, 0.0021, 0)</f>
        <v>33.944299999999998</v>
      </c>
      <c r="C178" s="10">
        <f>33.5099 * CHOOSE(CONTROL!$C$9, $D$9, 100%, $F$9) + CHOOSE(CONTROL!$C$27, 0.0021, 0)</f>
        <v>33.512</v>
      </c>
      <c r="D178" s="10">
        <f>33.5099 * CHOOSE(CONTROL!$C$9, $D$9, 100%, $F$9) + CHOOSE(CONTROL!$C$27, 0.0021, 0)</f>
        <v>33.512</v>
      </c>
      <c r="E178" s="10">
        <f>33.3733 * CHOOSE(CONTROL!$C$9, $D$9, 100%, $F$9) + CHOOSE(CONTROL!$C$27, 0.0021, 0)</f>
        <v>33.375399999999999</v>
      </c>
      <c r="F178" s="10">
        <f>33.3733 * CHOOSE(CONTROL!$C$9, $D$9, 100%, $F$9) + CHOOSE(CONTROL!$C$27, 0.0021, 0)</f>
        <v>33.375399999999999</v>
      </c>
      <c r="G178" s="10">
        <f>33.6446 * CHOOSE(CONTROL!$C$9, $D$9, 100%, $F$9) + CHOOSE(CONTROL!$C$27, 0.0021, 0)</f>
        <v>33.646699999999996</v>
      </c>
      <c r="H178" s="10">
        <f>33.5099 * CHOOSE(CONTROL!$C$9, $D$9, 100%, $F$9) + CHOOSE(CONTROL!$C$27, 0.0021, 0)</f>
        <v>33.512</v>
      </c>
      <c r="I178" s="10">
        <f>33.5099 * CHOOSE(CONTROL!$C$9, $D$9, 100%, $F$9) + CHOOSE(CONTROL!$C$27, 0.0021, 0)</f>
        <v>33.512</v>
      </c>
      <c r="J178" s="10">
        <f>33.5099 * CHOOSE(CONTROL!$C$9, $D$9, 100%, $F$9) + CHOOSE(CONTROL!$C$27, 0.0021, 0)</f>
        <v>33.512</v>
      </c>
      <c r="K178" s="10">
        <f>33.5099 * CHOOSE(CONTROL!$C$9, $D$9, 100%, $F$9) + CHOOSE(CONTROL!$C$27, 0.0021, 0)</f>
        <v>33.512</v>
      </c>
      <c r="L178" s="10"/>
    </row>
    <row r="179" spans="1:12" ht="15" x14ac:dyDescent="0.2">
      <c r="A179" s="16">
        <v>46722</v>
      </c>
      <c r="B179" s="10">
        <f>33.3216 * CHOOSE(CONTROL!$C$9, $D$9, 100%, $F$9) + CHOOSE(CONTROL!$C$27, 0.0021, 0)</f>
        <v>33.323699999999995</v>
      </c>
      <c r="C179" s="10">
        <f>32.8893 * CHOOSE(CONTROL!$C$9, $D$9, 100%, $F$9) + CHOOSE(CONTROL!$C$27, 0.0021, 0)</f>
        <v>32.891399999999997</v>
      </c>
      <c r="D179" s="10">
        <f>32.8893 * CHOOSE(CONTROL!$C$9, $D$9, 100%, $F$9) + CHOOSE(CONTROL!$C$27, 0.0021, 0)</f>
        <v>32.891399999999997</v>
      </c>
      <c r="E179" s="10">
        <f>32.7527 * CHOOSE(CONTROL!$C$9, $D$9, 100%, $F$9) + CHOOSE(CONTROL!$C$27, 0.0021, 0)</f>
        <v>32.754799999999996</v>
      </c>
      <c r="F179" s="10">
        <f>32.7527 * CHOOSE(CONTROL!$C$9, $D$9, 100%, $F$9) + CHOOSE(CONTROL!$C$27, 0.0021, 0)</f>
        <v>32.754799999999996</v>
      </c>
      <c r="G179" s="10">
        <f>33.0241 * CHOOSE(CONTROL!$C$9, $D$9, 100%, $F$9) + CHOOSE(CONTROL!$C$27, 0.0021, 0)</f>
        <v>33.026199999999996</v>
      </c>
      <c r="H179" s="10">
        <f>32.8893 * CHOOSE(CONTROL!$C$9, $D$9, 100%, $F$9) + CHOOSE(CONTROL!$C$27, 0.0021, 0)</f>
        <v>32.891399999999997</v>
      </c>
      <c r="I179" s="10">
        <f>32.8893 * CHOOSE(CONTROL!$C$9, $D$9, 100%, $F$9) + CHOOSE(CONTROL!$C$27, 0.0021, 0)</f>
        <v>32.891399999999997</v>
      </c>
      <c r="J179" s="10">
        <f>32.8893 * CHOOSE(CONTROL!$C$9, $D$9, 100%, $F$9) + CHOOSE(CONTROL!$C$27, 0.0021, 0)</f>
        <v>32.891399999999997</v>
      </c>
      <c r="K179" s="10">
        <f>32.8893 * CHOOSE(CONTROL!$C$9, $D$9, 100%, $F$9) + CHOOSE(CONTROL!$C$27, 0.0021, 0)</f>
        <v>32.891399999999997</v>
      </c>
      <c r="L179" s="10"/>
    </row>
    <row r="180" spans="1:12" ht="15" x14ac:dyDescent="0.2">
      <c r="A180" s="16">
        <v>46753</v>
      </c>
      <c r="B180" s="10">
        <f>33.4267 * CHOOSE(CONTROL!$C$9, $D$9, 100%, $F$9) + CHOOSE(CONTROL!$C$27, 0.0021, 0)</f>
        <v>33.428799999999995</v>
      </c>
      <c r="C180" s="10">
        <f>32.9944 * CHOOSE(CONTROL!$C$9, $D$9, 100%, $F$9) + CHOOSE(CONTROL!$C$27, 0.0021, 0)</f>
        <v>32.996499999999997</v>
      </c>
      <c r="D180" s="10">
        <f>32.9944 * CHOOSE(CONTROL!$C$9, $D$9, 100%, $F$9) + CHOOSE(CONTROL!$C$27, 0.0021, 0)</f>
        <v>32.996499999999997</v>
      </c>
      <c r="E180" s="10">
        <f>32.8577 * CHOOSE(CONTROL!$C$9, $D$9, 100%, $F$9) + CHOOSE(CONTROL!$C$27, 0.0021, 0)</f>
        <v>32.8598</v>
      </c>
      <c r="F180" s="10">
        <f>32.8577 * CHOOSE(CONTROL!$C$9, $D$9, 100%, $F$9) + CHOOSE(CONTROL!$C$27, 0.0021, 0)</f>
        <v>32.8598</v>
      </c>
      <c r="G180" s="10">
        <f>33.1291 * CHOOSE(CONTROL!$C$9, $D$9, 100%, $F$9) + CHOOSE(CONTROL!$C$27, 0.0021, 0)</f>
        <v>33.1312</v>
      </c>
      <c r="H180" s="10">
        <f>32.9944 * CHOOSE(CONTROL!$C$9, $D$9, 100%, $F$9) + CHOOSE(CONTROL!$C$27, 0.0021, 0)</f>
        <v>32.996499999999997</v>
      </c>
      <c r="I180" s="10">
        <f>32.9944 * CHOOSE(CONTROL!$C$9, $D$9, 100%, $F$9) + CHOOSE(CONTROL!$C$27, 0.0021, 0)</f>
        <v>32.996499999999997</v>
      </c>
      <c r="J180" s="10">
        <f>32.9944 * CHOOSE(CONTROL!$C$9, $D$9, 100%, $F$9) + CHOOSE(CONTROL!$C$27, 0.0021, 0)</f>
        <v>32.996499999999997</v>
      </c>
      <c r="K180" s="10">
        <f>32.9944 * CHOOSE(CONTROL!$C$9, $D$9, 100%, $F$9) + CHOOSE(CONTROL!$C$27, 0.0021, 0)</f>
        <v>32.996499999999997</v>
      </c>
      <c r="L180" s="10"/>
    </row>
    <row r="181" spans="1:12" ht="15" x14ac:dyDescent="0.2">
      <c r="A181" s="16">
        <v>46784</v>
      </c>
      <c r="B181" s="10">
        <f>32.546 * CHOOSE(CONTROL!$C$9, $D$9, 100%, $F$9) + CHOOSE(CONTROL!$C$27, 0.0021, 0)</f>
        <v>32.548099999999998</v>
      </c>
      <c r="C181" s="10">
        <f>32.1138 * CHOOSE(CONTROL!$C$9, $D$9, 100%, $F$9) + CHOOSE(CONTROL!$C$27, 0.0021, 0)</f>
        <v>32.115899999999996</v>
      </c>
      <c r="D181" s="10">
        <f>32.1138 * CHOOSE(CONTROL!$C$9, $D$9, 100%, $F$9) + CHOOSE(CONTROL!$C$27, 0.0021, 0)</f>
        <v>32.115899999999996</v>
      </c>
      <c r="E181" s="10">
        <f>31.9771 * CHOOSE(CONTROL!$C$9, $D$9, 100%, $F$9) + CHOOSE(CONTROL!$C$27, 0.0021, 0)</f>
        <v>31.979199999999999</v>
      </c>
      <c r="F181" s="10">
        <f>31.9771 * CHOOSE(CONTROL!$C$9, $D$9, 100%, $F$9) + CHOOSE(CONTROL!$C$27, 0.0021, 0)</f>
        <v>31.979199999999999</v>
      </c>
      <c r="G181" s="10">
        <f>32.2485 * CHOOSE(CONTROL!$C$9, $D$9, 100%, $F$9) + CHOOSE(CONTROL!$C$27, 0.0021, 0)</f>
        <v>32.250599999999999</v>
      </c>
      <c r="H181" s="10">
        <f>32.1138 * CHOOSE(CONTROL!$C$9, $D$9, 100%, $F$9) + CHOOSE(CONTROL!$C$27, 0.0021, 0)</f>
        <v>32.115899999999996</v>
      </c>
      <c r="I181" s="10">
        <f>32.1138 * CHOOSE(CONTROL!$C$9, $D$9, 100%, $F$9) + CHOOSE(CONTROL!$C$27, 0.0021, 0)</f>
        <v>32.115899999999996</v>
      </c>
      <c r="J181" s="10">
        <f>32.1138 * CHOOSE(CONTROL!$C$9, $D$9, 100%, $F$9) + CHOOSE(CONTROL!$C$27, 0.0021, 0)</f>
        <v>32.115899999999996</v>
      </c>
      <c r="K181" s="10">
        <f>32.1138 * CHOOSE(CONTROL!$C$9, $D$9, 100%, $F$9) + CHOOSE(CONTROL!$C$27, 0.0021, 0)</f>
        <v>32.115899999999996</v>
      </c>
      <c r="L181" s="10"/>
    </row>
    <row r="182" spans="1:12" ht="15" x14ac:dyDescent="0.2">
      <c r="A182" s="16">
        <v>46813</v>
      </c>
      <c r="B182" s="10">
        <f>32.1825 * CHOOSE(CONTROL!$C$9, $D$9, 100%, $F$9) + CHOOSE(CONTROL!$C$27, 0.0021, 0)</f>
        <v>32.184599999999996</v>
      </c>
      <c r="C182" s="10">
        <f>31.7502 * CHOOSE(CONTROL!$C$9, $D$9, 100%, $F$9) + CHOOSE(CONTROL!$C$27, 0.0021, 0)</f>
        <v>31.752299999999998</v>
      </c>
      <c r="D182" s="10">
        <f>31.7502 * CHOOSE(CONTROL!$C$9, $D$9, 100%, $F$9) + CHOOSE(CONTROL!$C$27, 0.0021, 0)</f>
        <v>31.752299999999998</v>
      </c>
      <c r="E182" s="10">
        <f>31.6136 * CHOOSE(CONTROL!$C$9, $D$9, 100%, $F$9) + CHOOSE(CONTROL!$C$27, 0.0021, 0)</f>
        <v>31.6157</v>
      </c>
      <c r="F182" s="10">
        <f>31.6136 * CHOOSE(CONTROL!$C$9, $D$9, 100%, $F$9) + CHOOSE(CONTROL!$C$27, 0.0021, 0)</f>
        <v>31.6157</v>
      </c>
      <c r="G182" s="10">
        <f>31.8849 * CHOOSE(CONTROL!$C$9, $D$9, 100%, $F$9) + CHOOSE(CONTROL!$C$27, 0.0021, 0)</f>
        <v>31.886999999999997</v>
      </c>
      <c r="H182" s="10">
        <f>31.7502 * CHOOSE(CONTROL!$C$9, $D$9, 100%, $F$9) + CHOOSE(CONTROL!$C$27, 0.0021, 0)</f>
        <v>31.752299999999998</v>
      </c>
      <c r="I182" s="10">
        <f>31.7502 * CHOOSE(CONTROL!$C$9, $D$9, 100%, $F$9) + CHOOSE(CONTROL!$C$27, 0.0021, 0)</f>
        <v>31.752299999999998</v>
      </c>
      <c r="J182" s="10">
        <f>31.7502 * CHOOSE(CONTROL!$C$9, $D$9, 100%, $F$9) + CHOOSE(CONTROL!$C$27, 0.0021, 0)</f>
        <v>31.752299999999998</v>
      </c>
      <c r="K182" s="10">
        <f>31.7502 * CHOOSE(CONTROL!$C$9, $D$9, 100%, $F$9) + CHOOSE(CONTROL!$C$27, 0.0021, 0)</f>
        <v>31.752299999999998</v>
      </c>
      <c r="L182" s="10"/>
    </row>
    <row r="183" spans="1:12" ht="15" x14ac:dyDescent="0.2">
      <c r="A183" s="16">
        <v>46844</v>
      </c>
      <c r="B183" s="10">
        <f>31.7484 * CHOOSE(CONTROL!$C$9, $D$9, 100%, $F$9) + CHOOSE(CONTROL!$C$27, 0.0021, 0)</f>
        <v>31.750499999999999</v>
      </c>
      <c r="C183" s="10">
        <f>31.3162 * CHOOSE(CONTROL!$C$9, $D$9, 100%, $F$9) + CHOOSE(CONTROL!$C$27, 0.0021, 0)</f>
        <v>31.318299999999997</v>
      </c>
      <c r="D183" s="10">
        <f>31.3162 * CHOOSE(CONTROL!$C$9, $D$9, 100%, $F$9) + CHOOSE(CONTROL!$C$27, 0.0021, 0)</f>
        <v>31.318299999999997</v>
      </c>
      <c r="E183" s="10">
        <f>31.1795 * CHOOSE(CONTROL!$C$9, $D$9, 100%, $F$9) + CHOOSE(CONTROL!$C$27, 0.0021, 0)</f>
        <v>31.1816</v>
      </c>
      <c r="F183" s="10">
        <f>31.1795 * CHOOSE(CONTROL!$C$9, $D$9, 100%, $F$9) + CHOOSE(CONTROL!$C$27, 0.0021, 0)</f>
        <v>31.1816</v>
      </c>
      <c r="G183" s="10">
        <f>31.4509 * CHOOSE(CONTROL!$C$9, $D$9, 100%, $F$9) + CHOOSE(CONTROL!$C$27, 0.0021, 0)</f>
        <v>31.452999999999999</v>
      </c>
      <c r="H183" s="10">
        <f>31.3162 * CHOOSE(CONTROL!$C$9, $D$9, 100%, $F$9) + CHOOSE(CONTROL!$C$27, 0.0021, 0)</f>
        <v>31.318299999999997</v>
      </c>
      <c r="I183" s="10">
        <f>31.3162 * CHOOSE(CONTROL!$C$9, $D$9, 100%, $F$9) + CHOOSE(CONTROL!$C$27, 0.0021, 0)</f>
        <v>31.318299999999997</v>
      </c>
      <c r="J183" s="10">
        <f>31.3162 * CHOOSE(CONTROL!$C$9, $D$9, 100%, $F$9) + CHOOSE(CONTROL!$C$27, 0.0021, 0)</f>
        <v>31.318299999999997</v>
      </c>
      <c r="K183" s="10">
        <f>31.3162 * CHOOSE(CONTROL!$C$9, $D$9, 100%, $F$9) + CHOOSE(CONTROL!$C$27, 0.0021, 0)</f>
        <v>31.318299999999997</v>
      </c>
      <c r="L183" s="10"/>
    </row>
    <row r="184" spans="1:12" ht="15" x14ac:dyDescent="0.2">
      <c r="A184" s="16">
        <v>46874</v>
      </c>
      <c r="B184" s="10">
        <f>32.367 * CHOOSE(CONTROL!$C$9, $D$9, 100%, $F$9) + CHOOSE(CONTROL!$C$27, 0.0021, 0)</f>
        <v>32.369099999999996</v>
      </c>
      <c r="C184" s="10">
        <f>31.9348 * CHOOSE(CONTROL!$C$9, $D$9, 100%, $F$9) + CHOOSE(CONTROL!$C$27, 0.0021, 0)</f>
        <v>31.936899999999998</v>
      </c>
      <c r="D184" s="10">
        <f>31.9348 * CHOOSE(CONTROL!$C$9, $D$9, 100%, $F$9) + CHOOSE(CONTROL!$C$27, 0.0021, 0)</f>
        <v>31.936899999999998</v>
      </c>
      <c r="E184" s="10">
        <f>31.7981 * CHOOSE(CONTROL!$C$9, $D$9, 100%, $F$9) + CHOOSE(CONTROL!$C$27, 0.0021, 0)</f>
        <v>31.8002</v>
      </c>
      <c r="F184" s="10">
        <f>31.7981 * CHOOSE(CONTROL!$C$9, $D$9, 100%, $F$9) + CHOOSE(CONTROL!$C$27, 0.0021, 0)</f>
        <v>31.8002</v>
      </c>
      <c r="G184" s="10">
        <f>32.0695 * CHOOSE(CONTROL!$C$9, $D$9, 100%, $F$9) + CHOOSE(CONTROL!$C$27, 0.0021, 0)</f>
        <v>32.071599999999997</v>
      </c>
      <c r="H184" s="10">
        <f>31.9348 * CHOOSE(CONTROL!$C$9, $D$9, 100%, $F$9) + CHOOSE(CONTROL!$C$27, 0.0021, 0)</f>
        <v>31.936899999999998</v>
      </c>
      <c r="I184" s="10">
        <f>31.9348 * CHOOSE(CONTROL!$C$9, $D$9, 100%, $F$9) + CHOOSE(CONTROL!$C$27, 0.0021, 0)</f>
        <v>31.936899999999998</v>
      </c>
      <c r="J184" s="10">
        <f>31.9348 * CHOOSE(CONTROL!$C$9, $D$9, 100%, $F$9) + CHOOSE(CONTROL!$C$27, 0.0021, 0)</f>
        <v>31.936899999999998</v>
      </c>
      <c r="K184" s="10">
        <f>31.9348 * CHOOSE(CONTROL!$C$9, $D$9, 100%, $F$9) + CHOOSE(CONTROL!$C$27, 0.0021, 0)</f>
        <v>31.936899999999998</v>
      </c>
      <c r="L184" s="10"/>
    </row>
    <row r="185" spans="1:12" ht="15" x14ac:dyDescent="0.2">
      <c r="A185" s="16">
        <v>46905</v>
      </c>
      <c r="B185" s="10">
        <f>32.7375 * CHOOSE(CONTROL!$C$9, $D$9, 100%, $F$9) + CHOOSE(CONTROL!$C$27, 0.0021, 0)</f>
        <v>32.739599999999996</v>
      </c>
      <c r="C185" s="10">
        <f>32.3053 * CHOOSE(CONTROL!$C$9, $D$9, 100%, $F$9) + CHOOSE(CONTROL!$C$27, 0.0021, 0)</f>
        <v>32.307400000000001</v>
      </c>
      <c r="D185" s="10">
        <f>32.3053 * CHOOSE(CONTROL!$C$9, $D$9, 100%, $F$9) + CHOOSE(CONTROL!$C$27, 0.0021, 0)</f>
        <v>32.307400000000001</v>
      </c>
      <c r="E185" s="10">
        <f>32.1686 * CHOOSE(CONTROL!$C$9, $D$9, 100%, $F$9) + CHOOSE(CONTROL!$C$27, 0.0021, 0)</f>
        <v>32.170699999999997</v>
      </c>
      <c r="F185" s="10">
        <f>32.1686 * CHOOSE(CONTROL!$C$9, $D$9, 100%, $F$9) + CHOOSE(CONTROL!$C$27, 0.0021, 0)</f>
        <v>32.170699999999997</v>
      </c>
      <c r="G185" s="10">
        <f>32.44 * CHOOSE(CONTROL!$C$9, $D$9, 100%, $F$9) + CHOOSE(CONTROL!$C$27, 0.0021, 0)</f>
        <v>32.442099999999996</v>
      </c>
      <c r="H185" s="10">
        <f>32.3053 * CHOOSE(CONTROL!$C$9, $D$9, 100%, $F$9) + CHOOSE(CONTROL!$C$27, 0.0021, 0)</f>
        <v>32.307400000000001</v>
      </c>
      <c r="I185" s="10">
        <f>32.3053 * CHOOSE(CONTROL!$C$9, $D$9, 100%, $F$9) + CHOOSE(CONTROL!$C$27, 0.0021, 0)</f>
        <v>32.307400000000001</v>
      </c>
      <c r="J185" s="10">
        <f>32.3053 * CHOOSE(CONTROL!$C$9, $D$9, 100%, $F$9) + CHOOSE(CONTROL!$C$27, 0.0021, 0)</f>
        <v>32.307400000000001</v>
      </c>
      <c r="K185" s="10">
        <f>32.3053 * CHOOSE(CONTROL!$C$9, $D$9, 100%, $F$9) + CHOOSE(CONTROL!$C$27, 0.0021, 0)</f>
        <v>32.307400000000001</v>
      </c>
      <c r="L185" s="10"/>
    </row>
    <row r="186" spans="1:12" ht="15" x14ac:dyDescent="0.2">
      <c r="A186" s="16">
        <v>46935</v>
      </c>
      <c r="B186" s="10">
        <f>33.3487 * CHOOSE(CONTROL!$C$9, $D$9, 100%, $F$9) + CHOOSE(CONTROL!$C$27, 0.0021, 0)</f>
        <v>33.3508</v>
      </c>
      <c r="C186" s="10">
        <f>32.9165 * CHOOSE(CONTROL!$C$9, $D$9, 100%, $F$9) + CHOOSE(CONTROL!$C$27, 0.0021, 0)</f>
        <v>32.918599999999998</v>
      </c>
      <c r="D186" s="10">
        <f>32.9165 * CHOOSE(CONTROL!$C$9, $D$9, 100%, $F$9) + CHOOSE(CONTROL!$C$27, 0.0021, 0)</f>
        <v>32.918599999999998</v>
      </c>
      <c r="E186" s="10">
        <f>32.7798 * CHOOSE(CONTROL!$C$9, $D$9, 100%, $F$9) + CHOOSE(CONTROL!$C$27, 0.0021, 0)</f>
        <v>32.7819</v>
      </c>
      <c r="F186" s="10">
        <f>32.7798 * CHOOSE(CONTROL!$C$9, $D$9, 100%, $F$9) + CHOOSE(CONTROL!$C$27, 0.0021, 0)</f>
        <v>32.7819</v>
      </c>
      <c r="G186" s="10">
        <f>33.0512 * CHOOSE(CONTROL!$C$9, $D$9, 100%, $F$9) + CHOOSE(CONTROL!$C$27, 0.0021, 0)</f>
        <v>33.0533</v>
      </c>
      <c r="H186" s="10">
        <f>32.9165 * CHOOSE(CONTROL!$C$9, $D$9, 100%, $F$9) + CHOOSE(CONTROL!$C$27, 0.0021, 0)</f>
        <v>32.918599999999998</v>
      </c>
      <c r="I186" s="10">
        <f>32.9165 * CHOOSE(CONTROL!$C$9, $D$9, 100%, $F$9) + CHOOSE(CONTROL!$C$27, 0.0021, 0)</f>
        <v>32.918599999999998</v>
      </c>
      <c r="J186" s="10">
        <f>32.9165 * CHOOSE(CONTROL!$C$9, $D$9, 100%, $F$9) + CHOOSE(CONTROL!$C$27, 0.0021, 0)</f>
        <v>32.918599999999998</v>
      </c>
      <c r="K186" s="10">
        <f>32.9165 * CHOOSE(CONTROL!$C$9, $D$9, 100%, $F$9) + CHOOSE(CONTROL!$C$27, 0.0021, 0)</f>
        <v>32.918599999999998</v>
      </c>
      <c r="L186" s="10"/>
    </row>
    <row r="187" spans="1:12" ht="15" x14ac:dyDescent="0.2">
      <c r="A187" s="16">
        <v>46966</v>
      </c>
      <c r="B187" s="10">
        <f>33.5353 * CHOOSE(CONTROL!$C$9, $D$9, 100%, $F$9) + CHOOSE(CONTROL!$C$27, 0.0021, 0)</f>
        <v>33.537399999999998</v>
      </c>
      <c r="C187" s="10">
        <f>33.103 * CHOOSE(CONTROL!$C$9, $D$9, 100%, $F$9) + CHOOSE(CONTROL!$C$27, 0.0021, 0)</f>
        <v>33.1051</v>
      </c>
      <c r="D187" s="10">
        <f>33.103 * CHOOSE(CONTROL!$C$9, $D$9, 100%, $F$9) + CHOOSE(CONTROL!$C$27, 0.0021, 0)</f>
        <v>33.1051</v>
      </c>
      <c r="E187" s="10">
        <f>32.9664 * CHOOSE(CONTROL!$C$9, $D$9, 100%, $F$9) + CHOOSE(CONTROL!$C$27, 0.0021, 0)</f>
        <v>32.968499999999999</v>
      </c>
      <c r="F187" s="10">
        <f>32.9664 * CHOOSE(CONTROL!$C$9, $D$9, 100%, $F$9) + CHOOSE(CONTROL!$C$27, 0.0021, 0)</f>
        <v>32.968499999999999</v>
      </c>
      <c r="G187" s="10">
        <f>33.2378 * CHOOSE(CONTROL!$C$9, $D$9, 100%, $F$9) + CHOOSE(CONTROL!$C$27, 0.0021, 0)</f>
        <v>33.239899999999999</v>
      </c>
      <c r="H187" s="10">
        <f>33.103 * CHOOSE(CONTROL!$C$9, $D$9, 100%, $F$9) + CHOOSE(CONTROL!$C$27, 0.0021, 0)</f>
        <v>33.1051</v>
      </c>
      <c r="I187" s="10">
        <f>33.103 * CHOOSE(CONTROL!$C$9, $D$9, 100%, $F$9) + CHOOSE(CONTROL!$C$27, 0.0021, 0)</f>
        <v>33.1051</v>
      </c>
      <c r="J187" s="10">
        <f>33.103 * CHOOSE(CONTROL!$C$9, $D$9, 100%, $F$9) + CHOOSE(CONTROL!$C$27, 0.0021, 0)</f>
        <v>33.1051</v>
      </c>
      <c r="K187" s="10">
        <f>33.103 * CHOOSE(CONTROL!$C$9, $D$9, 100%, $F$9) + CHOOSE(CONTROL!$C$27, 0.0021, 0)</f>
        <v>33.1051</v>
      </c>
      <c r="L187" s="10"/>
    </row>
    <row r="188" spans="1:12" ht="15" x14ac:dyDescent="0.2">
      <c r="A188" s="16">
        <v>46997</v>
      </c>
      <c r="B188" s="10">
        <f>34.1706 * CHOOSE(CONTROL!$C$9, $D$9, 100%, $F$9) + CHOOSE(CONTROL!$C$27, 0.0021, 0)</f>
        <v>34.172699999999999</v>
      </c>
      <c r="C188" s="10">
        <f>33.7384 * CHOOSE(CONTROL!$C$9, $D$9, 100%, $F$9) + CHOOSE(CONTROL!$C$27, 0.0021, 0)</f>
        <v>33.740499999999997</v>
      </c>
      <c r="D188" s="10">
        <f>33.7384 * CHOOSE(CONTROL!$C$9, $D$9, 100%, $F$9) + CHOOSE(CONTROL!$C$27, 0.0021, 0)</f>
        <v>33.740499999999997</v>
      </c>
      <c r="E188" s="10">
        <f>33.6017 * CHOOSE(CONTROL!$C$9, $D$9, 100%, $F$9) + CHOOSE(CONTROL!$C$27, 0.0021, 0)</f>
        <v>33.6038</v>
      </c>
      <c r="F188" s="10">
        <f>33.6017 * CHOOSE(CONTROL!$C$9, $D$9, 100%, $F$9) + CHOOSE(CONTROL!$C$27, 0.0021, 0)</f>
        <v>33.6038</v>
      </c>
      <c r="G188" s="10">
        <f>33.8731 * CHOOSE(CONTROL!$C$9, $D$9, 100%, $F$9) + CHOOSE(CONTROL!$C$27, 0.0021, 0)</f>
        <v>33.8752</v>
      </c>
      <c r="H188" s="10">
        <f>33.7384 * CHOOSE(CONTROL!$C$9, $D$9, 100%, $F$9) + CHOOSE(CONTROL!$C$27, 0.0021, 0)</f>
        <v>33.740499999999997</v>
      </c>
      <c r="I188" s="10">
        <f>33.7384 * CHOOSE(CONTROL!$C$9, $D$9, 100%, $F$9) + CHOOSE(CONTROL!$C$27, 0.0021, 0)</f>
        <v>33.740499999999997</v>
      </c>
      <c r="J188" s="10">
        <f>33.7384 * CHOOSE(CONTROL!$C$9, $D$9, 100%, $F$9) + CHOOSE(CONTROL!$C$27, 0.0021, 0)</f>
        <v>33.740499999999997</v>
      </c>
      <c r="K188" s="10">
        <f>33.7384 * CHOOSE(CONTROL!$C$9, $D$9, 100%, $F$9) + CHOOSE(CONTROL!$C$27, 0.0021, 0)</f>
        <v>33.740499999999997</v>
      </c>
      <c r="L188" s="10"/>
    </row>
    <row r="189" spans="1:12" ht="15" x14ac:dyDescent="0.2">
      <c r="A189" s="16">
        <v>47027</v>
      </c>
      <c r="B189" s="10">
        <f>34.9748 * CHOOSE(CONTROL!$C$9, $D$9, 100%, $F$9) + CHOOSE(CONTROL!$C$27, 0.0021, 0)</f>
        <v>34.976900000000001</v>
      </c>
      <c r="C189" s="10">
        <f>34.5426 * CHOOSE(CONTROL!$C$9, $D$9, 100%, $F$9) + CHOOSE(CONTROL!$C$27, 0.0021, 0)</f>
        <v>34.544699999999999</v>
      </c>
      <c r="D189" s="10">
        <f>34.5426 * CHOOSE(CONTROL!$C$9, $D$9, 100%, $F$9) + CHOOSE(CONTROL!$C$27, 0.0021, 0)</f>
        <v>34.544699999999999</v>
      </c>
      <c r="E189" s="10">
        <f>34.4059 * CHOOSE(CONTROL!$C$9, $D$9, 100%, $F$9) + CHOOSE(CONTROL!$C$27, 0.0021, 0)</f>
        <v>34.408000000000001</v>
      </c>
      <c r="F189" s="10">
        <f>34.4059 * CHOOSE(CONTROL!$C$9, $D$9, 100%, $F$9) + CHOOSE(CONTROL!$C$27, 0.0021, 0)</f>
        <v>34.408000000000001</v>
      </c>
      <c r="G189" s="10">
        <f>34.6773 * CHOOSE(CONTROL!$C$9, $D$9, 100%, $F$9) + CHOOSE(CONTROL!$C$27, 0.0021, 0)</f>
        <v>34.679400000000001</v>
      </c>
      <c r="H189" s="10">
        <f>34.5426 * CHOOSE(CONTROL!$C$9, $D$9, 100%, $F$9) + CHOOSE(CONTROL!$C$27, 0.0021, 0)</f>
        <v>34.544699999999999</v>
      </c>
      <c r="I189" s="10">
        <f>34.5426 * CHOOSE(CONTROL!$C$9, $D$9, 100%, $F$9) + CHOOSE(CONTROL!$C$27, 0.0021, 0)</f>
        <v>34.544699999999999</v>
      </c>
      <c r="J189" s="10">
        <f>34.5426 * CHOOSE(CONTROL!$C$9, $D$9, 100%, $F$9) + CHOOSE(CONTROL!$C$27, 0.0021, 0)</f>
        <v>34.544699999999999</v>
      </c>
      <c r="K189" s="10">
        <f>34.5426 * CHOOSE(CONTROL!$C$9, $D$9, 100%, $F$9) + CHOOSE(CONTROL!$C$27, 0.0021, 0)</f>
        <v>34.544699999999999</v>
      </c>
      <c r="L189" s="10"/>
    </row>
    <row r="190" spans="1:12" ht="15" x14ac:dyDescent="0.2">
      <c r="A190" s="16">
        <v>47058</v>
      </c>
      <c r="B190" s="10">
        <f>35.0503 * CHOOSE(CONTROL!$C$9, $D$9, 100%, $F$9) + CHOOSE(CONTROL!$C$27, 0.0021, 0)</f>
        <v>35.052399999999999</v>
      </c>
      <c r="C190" s="10">
        <f>34.6181 * CHOOSE(CONTROL!$C$9, $D$9, 100%, $F$9) + CHOOSE(CONTROL!$C$27, 0.0021, 0)</f>
        <v>34.620199999999997</v>
      </c>
      <c r="D190" s="10">
        <f>34.6181 * CHOOSE(CONTROL!$C$9, $D$9, 100%, $F$9) + CHOOSE(CONTROL!$C$27, 0.0021, 0)</f>
        <v>34.620199999999997</v>
      </c>
      <c r="E190" s="10">
        <f>34.4814 * CHOOSE(CONTROL!$C$9, $D$9, 100%, $F$9) + CHOOSE(CONTROL!$C$27, 0.0021, 0)</f>
        <v>34.483499999999999</v>
      </c>
      <c r="F190" s="10">
        <f>34.4814 * CHOOSE(CONTROL!$C$9, $D$9, 100%, $F$9) + CHOOSE(CONTROL!$C$27, 0.0021, 0)</f>
        <v>34.483499999999999</v>
      </c>
      <c r="G190" s="10">
        <f>34.7528 * CHOOSE(CONTROL!$C$9, $D$9, 100%, $F$9) + CHOOSE(CONTROL!$C$27, 0.0021, 0)</f>
        <v>34.754899999999999</v>
      </c>
      <c r="H190" s="10">
        <f>34.6181 * CHOOSE(CONTROL!$C$9, $D$9, 100%, $F$9) + CHOOSE(CONTROL!$C$27, 0.0021, 0)</f>
        <v>34.620199999999997</v>
      </c>
      <c r="I190" s="10">
        <f>34.6181 * CHOOSE(CONTROL!$C$9, $D$9, 100%, $F$9) + CHOOSE(CONTROL!$C$27, 0.0021, 0)</f>
        <v>34.620199999999997</v>
      </c>
      <c r="J190" s="10">
        <f>34.6181 * CHOOSE(CONTROL!$C$9, $D$9, 100%, $F$9) + CHOOSE(CONTROL!$C$27, 0.0021, 0)</f>
        <v>34.620199999999997</v>
      </c>
      <c r="K190" s="10">
        <f>34.6181 * CHOOSE(CONTROL!$C$9, $D$9, 100%, $F$9) + CHOOSE(CONTROL!$C$27, 0.0021, 0)</f>
        <v>34.620199999999997</v>
      </c>
      <c r="L190" s="10"/>
    </row>
    <row r="191" spans="1:12" ht="15" x14ac:dyDescent="0.2">
      <c r="A191" s="16">
        <v>47088</v>
      </c>
      <c r="B191" s="10">
        <f>34.408 * CHOOSE(CONTROL!$C$9, $D$9, 100%, $F$9) + CHOOSE(CONTROL!$C$27, 0.0021, 0)</f>
        <v>34.4101</v>
      </c>
      <c r="C191" s="10">
        <f>33.9758 * CHOOSE(CONTROL!$C$9, $D$9, 100%, $F$9) + CHOOSE(CONTROL!$C$27, 0.0021, 0)</f>
        <v>33.977899999999998</v>
      </c>
      <c r="D191" s="10">
        <f>33.9758 * CHOOSE(CONTROL!$C$9, $D$9, 100%, $F$9) + CHOOSE(CONTROL!$C$27, 0.0021, 0)</f>
        <v>33.977899999999998</v>
      </c>
      <c r="E191" s="10">
        <f>33.8391 * CHOOSE(CONTROL!$C$9, $D$9, 100%, $F$9) + CHOOSE(CONTROL!$C$27, 0.0021, 0)</f>
        <v>33.841200000000001</v>
      </c>
      <c r="F191" s="10">
        <f>33.8391 * CHOOSE(CONTROL!$C$9, $D$9, 100%, $F$9) + CHOOSE(CONTROL!$C$27, 0.0021, 0)</f>
        <v>33.841200000000001</v>
      </c>
      <c r="G191" s="10">
        <f>34.1105 * CHOOSE(CONTROL!$C$9, $D$9, 100%, $F$9) + CHOOSE(CONTROL!$C$27, 0.0021, 0)</f>
        <v>34.1126</v>
      </c>
      <c r="H191" s="10">
        <f>33.9758 * CHOOSE(CONTROL!$C$9, $D$9, 100%, $F$9) + CHOOSE(CONTROL!$C$27, 0.0021, 0)</f>
        <v>33.977899999999998</v>
      </c>
      <c r="I191" s="10">
        <f>33.9758 * CHOOSE(CONTROL!$C$9, $D$9, 100%, $F$9) + CHOOSE(CONTROL!$C$27, 0.0021, 0)</f>
        <v>33.977899999999998</v>
      </c>
      <c r="J191" s="10">
        <f>33.9758 * CHOOSE(CONTROL!$C$9, $D$9, 100%, $F$9) + CHOOSE(CONTROL!$C$27, 0.0021, 0)</f>
        <v>33.977899999999998</v>
      </c>
      <c r="K191" s="10">
        <f>33.9758 * CHOOSE(CONTROL!$C$9, $D$9, 100%, $F$9) + CHOOSE(CONTROL!$C$27, 0.0021, 0)</f>
        <v>33.977899999999998</v>
      </c>
      <c r="L191" s="10"/>
    </row>
    <row r="192" spans="1:12" ht="15" x14ac:dyDescent="0.2">
      <c r="A192" s="16">
        <v>47119</v>
      </c>
      <c r="B192" s="10">
        <f>34.5383 * CHOOSE(CONTROL!$C$9, $D$9, 100%, $F$9) + CHOOSE(CONTROL!$C$27, 0.0021, 0)</f>
        <v>34.540399999999998</v>
      </c>
      <c r="C192" s="10">
        <f>34.106 * CHOOSE(CONTROL!$C$9, $D$9, 100%, $F$9) + CHOOSE(CONTROL!$C$27, 0.0021, 0)</f>
        <v>34.1081</v>
      </c>
      <c r="D192" s="10">
        <f>34.106 * CHOOSE(CONTROL!$C$9, $D$9, 100%, $F$9) + CHOOSE(CONTROL!$C$27, 0.0021, 0)</f>
        <v>34.1081</v>
      </c>
      <c r="E192" s="10">
        <f>33.9694 * CHOOSE(CONTROL!$C$9, $D$9, 100%, $F$9) + CHOOSE(CONTROL!$C$27, 0.0021, 0)</f>
        <v>33.971499999999999</v>
      </c>
      <c r="F192" s="10">
        <f>33.9694 * CHOOSE(CONTROL!$C$9, $D$9, 100%, $F$9) + CHOOSE(CONTROL!$C$27, 0.0021, 0)</f>
        <v>33.971499999999999</v>
      </c>
      <c r="G192" s="10">
        <f>34.2408 * CHOOSE(CONTROL!$C$9, $D$9, 100%, $F$9) + CHOOSE(CONTROL!$C$27, 0.0021, 0)</f>
        <v>34.242899999999999</v>
      </c>
      <c r="H192" s="10">
        <f>34.106 * CHOOSE(CONTROL!$C$9, $D$9, 100%, $F$9) + CHOOSE(CONTROL!$C$27, 0.0021, 0)</f>
        <v>34.1081</v>
      </c>
      <c r="I192" s="10">
        <f>34.106 * CHOOSE(CONTROL!$C$9, $D$9, 100%, $F$9) + CHOOSE(CONTROL!$C$27, 0.0021, 0)</f>
        <v>34.1081</v>
      </c>
      <c r="J192" s="10">
        <f>34.106 * CHOOSE(CONTROL!$C$9, $D$9, 100%, $F$9) + CHOOSE(CONTROL!$C$27, 0.0021, 0)</f>
        <v>34.1081</v>
      </c>
      <c r="K192" s="10">
        <f>34.106 * CHOOSE(CONTROL!$C$9, $D$9, 100%, $F$9) + CHOOSE(CONTROL!$C$27, 0.0021, 0)</f>
        <v>34.1081</v>
      </c>
      <c r="L192" s="10"/>
    </row>
    <row r="193" spans="1:12" ht="15" x14ac:dyDescent="0.2">
      <c r="A193" s="16">
        <v>47150</v>
      </c>
      <c r="B193" s="10">
        <f>33.6262 * CHOOSE(CONTROL!$C$9, $D$9, 100%, $F$9) + CHOOSE(CONTROL!$C$27, 0.0021, 0)</f>
        <v>33.628299999999996</v>
      </c>
      <c r="C193" s="10">
        <f>33.1939 * CHOOSE(CONTROL!$C$9, $D$9, 100%, $F$9) + CHOOSE(CONTROL!$C$27, 0.0021, 0)</f>
        <v>33.195999999999998</v>
      </c>
      <c r="D193" s="10">
        <f>33.1939 * CHOOSE(CONTROL!$C$9, $D$9, 100%, $F$9) + CHOOSE(CONTROL!$C$27, 0.0021, 0)</f>
        <v>33.195999999999998</v>
      </c>
      <c r="E193" s="10">
        <f>33.0573 * CHOOSE(CONTROL!$C$9, $D$9, 100%, $F$9) + CHOOSE(CONTROL!$C$27, 0.0021, 0)</f>
        <v>33.059399999999997</v>
      </c>
      <c r="F193" s="10">
        <f>33.0573 * CHOOSE(CONTROL!$C$9, $D$9, 100%, $F$9) + CHOOSE(CONTROL!$C$27, 0.0021, 0)</f>
        <v>33.059399999999997</v>
      </c>
      <c r="G193" s="10">
        <f>33.3287 * CHOOSE(CONTROL!$C$9, $D$9, 100%, $F$9) + CHOOSE(CONTROL!$C$27, 0.0021, 0)</f>
        <v>33.330799999999996</v>
      </c>
      <c r="H193" s="10">
        <f>33.1939 * CHOOSE(CONTROL!$C$9, $D$9, 100%, $F$9) + CHOOSE(CONTROL!$C$27, 0.0021, 0)</f>
        <v>33.195999999999998</v>
      </c>
      <c r="I193" s="10">
        <f>33.1939 * CHOOSE(CONTROL!$C$9, $D$9, 100%, $F$9) + CHOOSE(CONTROL!$C$27, 0.0021, 0)</f>
        <v>33.195999999999998</v>
      </c>
      <c r="J193" s="10">
        <f>33.1939 * CHOOSE(CONTROL!$C$9, $D$9, 100%, $F$9) + CHOOSE(CONTROL!$C$27, 0.0021, 0)</f>
        <v>33.195999999999998</v>
      </c>
      <c r="K193" s="10">
        <f>33.1939 * CHOOSE(CONTROL!$C$9, $D$9, 100%, $F$9) + CHOOSE(CONTROL!$C$27, 0.0021, 0)</f>
        <v>33.195999999999998</v>
      </c>
      <c r="L193" s="10"/>
    </row>
    <row r="194" spans="1:12" ht="15" x14ac:dyDescent="0.2">
      <c r="A194" s="16">
        <v>47178</v>
      </c>
      <c r="B194" s="10">
        <f>33.2497 * CHOOSE(CONTROL!$C$9, $D$9, 100%, $F$9) + CHOOSE(CONTROL!$C$27, 0.0021, 0)</f>
        <v>33.251799999999996</v>
      </c>
      <c r="C194" s="10">
        <f>32.8174 * CHOOSE(CONTROL!$C$9, $D$9, 100%, $F$9) + CHOOSE(CONTROL!$C$27, 0.0021, 0)</f>
        <v>32.819499999999998</v>
      </c>
      <c r="D194" s="10">
        <f>32.8174 * CHOOSE(CONTROL!$C$9, $D$9, 100%, $F$9) + CHOOSE(CONTROL!$C$27, 0.0021, 0)</f>
        <v>32.819499999999998</v>
      </c>
      <c r="E194" s="10">
        <f>32.6808 * CHOOSE(CONTROL!$C$9, $D$9, 100%, $F$9) + CHOOSE(CONTROL!$C$27, 0.0021, 0)</f>
        <v>32.682899999999997</v>
      </c>
      <c r="F194" s="10">
        <f>32.6808 * CHOOSE(CONTROL!$C$9, $D$9, 100%, $F$9) + CHOOSE(CONTROL!$C$27, 0.0021, 0)</f>
        <v>32.682899999999997</v>
      </c>
      <c r="G194" s="10">
        <f>32.9522 * CHOOSE(CONTROL!$C$9, $D$9, 100%, $F$9) + CHOOSE(CONTROL!$C$27, 0.0021, 0)</f>
        <v>32.954299999999996</v>
      </c>
      <c r="H194" s="10">
        <f>32.8174 * CHOOSE(CONTROL!$C$9, $D$9, 100%, $F$9) + CHOOSE(CONTROL!$C$27, 0.0021, 0)</f>
        <v>32.819499999999998</v>
      </c>
      <c r="I194" s="10">
        <f>32.8174 * CHOOSE(CONTROL!$C$9, $D$9, 100%, $F$9) + CHOOSE(CONTROL!$C$27, 0.0021, 0)</f>
        <v>32.819499999999998</v>
      </c>
      <c r="J194" s="10">
        <f>32.8174 * CHOOSE(CONTROL!$C$9, $D$9, 100%, $F$9) + CHOOSE(CONTROL!$C$27, 0.0021, 0)</f>
        <v>32.819499999999998</v>
      </c>
      <c r="K194" s="10">
        <f>32.8174 * CHOOSE(CONTROL!$C$9, $D$9, 100%, $F$9) + CHOOSE(CONTROL!$C$27, 0.0021, 0)</f>
        <v>32.819499999999998</v>
      </c>
      <c r="L194" s="10"/>
    </row>
    <row r="195" spans="1:12" ht="15" x14ac:dyDescent="0.2">
      <c r="A195" s="16">
        <v>47209</v>
      </c>
      <c r="B195" s="10">
        <f>32.8001 * CHOOSE(CONTROL!$C$9, $D$9, 100%, $F$9) + CHOOSE(CONTROL!$C$27, 0.0021, 0)</f>
        <v>32.802199999999999</v>
      </c>
      <c r="C195" s="10">
        <f>32.3679 * CHOOSE(CONTROL!$C$9, $D$9, 100%, $F$9) + CHOOSE(CONTROL!$C$27, 0.0021, 0)</f>
        <v>32.369999999999997</v>
      </c>
      <c r="D195" s="10">
        <f>32.3679 * CHOOSE(CONTROL!$C$9, $D$9, 100%, $F$9) + CHOOSE(CONTROL!$C$27, 0.0021, 0)</f>
        <v>32.369999999999997</v>
      </c>
      <c r="E195" s="10">
        <f>32.2312 * CHOOSE(CONTROL!$C$9, $D$9, 100%, $F$9) + CHOOSE(CONTROL!$C$27, 0.0021, 0)</f>
        <v>32.2333</v>
      </c>
      <c r="F195" s="10">
        <f>32.2312 * CHOOSE(CONTROL!$C$9, $D$9, 100%, $F$9) + CHOOSE(CONTROL!$C$27, 0.0021, 0)</f>
        <v>32.2333</v>
      </c>
      <c r="G195" s="10">
        <f>32.5026 * CHOOSE(CONTROL!$C$9, $D$9, 100%, $F$9) + CHOOSE(CONTROL!$C$27, 0.0021, 0)</f>
        <v>32.5047</v>
      </c>
      <c r="H195" s="10">
        <f>32.3679 * CHOOSE(CONTROL!$C$9, $D$9, 100%, $F$9) + CHOOSE(CONTROL!$C$27, 0.0021, 0)</f>
        <v>32.369999999999997</v>
      </c>
      <c r="I195" s="10">
        <f>32.3679 * CHOOSE(CONTROL!$C$9, $D$9, 100%, $F$9) + CHOOSE(CONTROL!$C$27, 0.0021, 0)</f>
        <v>32.369999999999997</v>
      </c>
      <c r="J195" s="10">
        <f>32.3679 * CHOOSE(CONTROL!$C$9, $D$9, 100%, $F$9) + CHOOSE(CONTROL!$C$27, 0.0021, 0)</f>
        <v>32.369999999999997</v>
      </c>
      <c r="K195" s="10">
        <f>32.3679 * CHOOSE(CONTROL!$C$9, $D$9, 100%, $F$9) + CHOOSE(CONTROL!$C$27, 0.0021, 0)</f>
        <v>32.369999999999997</v>
      </c>
      <c r="L195" s="10"/>
    </row>
    <row r="196" spans="1:12" ht="15" x14ac:dyDescent="0.2">
      <c r="A196" s="16">
        <v>47239</v>
      </c>
      <c r="B196" s="10">
        <f>33.4408 * CHOOSE(CONTROL!$C$9, $D$9, 100%, $F$9) + CHOOSE(CONTROL!$C$27, 0.0021, 0)</f>
        <v>33.442900000000002</v>
      </c>
      <c r="C196" s="10">
        <f>33.0086 * CHOOSE(CONTROL!$C$9, $D$9, 100%, $F$9) + CHOOSE(CONTROL!$C$27, 0.0021, 0)</f>
        <v>33.0107</v>
      </c>
      <c r="D196" s="10">
        <f>33.0086 * CHOOSE(CONTROL!$C$9, $D$9, 100%, $F$9) + CHOOSE(CONTROL!$C$27, 0.0021, 0)</f>
        <v>33.0107</v>
      </c>
      <c r="E196" s="10">
        <f>32.8719 * CHOOSE(CONTROL!$C$9, $D$9, 100%, $F$9) + CHOOSE(CONTROL!$C$27, 0.0021, 0)</f>
        <v>32.873999999999995</v>
      </c>
      <c r="F196" s="10">
        <f>32.8719 * CHOOSE(CONTROL!$C$9, $D$9, 100%, $F$9) + CHOOSE(CONTROL!$C$27, 0.0021, 0)</f>
        <v>32.873999999999995</v>
      </c>
      <c r="G196" s="10">
        <f>33.1433 * CHOOSE(CONTROL!$C$9, $D$9, 100%, $F$9) + CHOOSE(CONTROL!$C$27, 0.0021, 0)</f>
        <v>33.145400000000002</v>
      </c>
      <c r="H196" s="10">
        <f>33.0086 * CHOOSE(CONTROL!$C$9, $D$9, 100%, $F$9) + CHOOSE(CONTROL!$C$27, 0.0021, 0)</f>
        <v>33.0107</v>
      </c>
      <c r="I196" s="10">
        <f>33.0086 * CHOOSE(CONTROL!$C$9, $D$9, 100%, $F$9) + CHOOSE(CONTROL!$C$27, 0.0021, 0)</f>
        <v>33.0107</v>
      </c>
      <c r="J196" s="10">
        <f>33.0086 * CHOOSE(CONTROL!$C$9, $D$9, 100%, $F$9) + CHOOSE(CONTROL!$C$27, 0.0021, 0)</f>
        <v>33.0107</v>
      </c>
      <c r="K196" s="10">
        <f>33.0086 * CHOOSE(CONTROL!$C$9, $D$9, 100%, $F$9) + CHOOSE(CONTROL!$C$27, 0.0021, 0)</f>
        <v>33.0107</v>
      </c>
      <c r="L196" s="10"/>
    </row>
    <row r="197" spans="1:12" ht="15" x14ac:dyDescent="0.2">
      <c r="A197" s="16">
        <v>47270</v>
      </c>
      <c r="B197" s="10">
        <f>33.8245 * CHOOSE(CONTROL!$C$9, $D$9, 100%, $F$9) + CHOOSE(CONTROL!$C$27, 0.0021, 0)</f>
        <v>33.826599999999999</v>
      </c>
      <c r="C197" s="10">
        <f>33.3923 * CHOOSE(CONTROL!$C$9, $D$9, 100%, $F$9) + CHOOSE(CONTROL!$C$27, 0.0021, 0)</f>
        <v>33.394399999999997</v>
      </c>
      <c r="D197" s="10">
        <f>33.3923 * CHOOSE(CONTROL!$C$9, $D$9, 100%, $F$9) + CHOOSE(CONTROL!$C$27, 0.0021, 0)</f>
        <v>33.394399999999997</v>
      </c>
      <c r="E197" s="10">
        <f>33.2556 * CHOOSE(CONTROL!$C$9, $D$9, 100%, $F$9) + CHOOSE(CONTROL!$C$27, 0.0021, 0)</f>
        <v>33.2577</v>
      </c>
      <c r="F197" s="10">
        <f>33.2556 * CHOOSE(CONTROL!$C$9, $D$9, 100%, $F$9) + CHOOSE(CONTROL!$C$27, 0.0021, 0)</f>
        <v>33.2577</v>
      </c>
      <c r="G197" s="10">
        <f>33.527 * CHOOSE(CONTROL!$C$9, $D$9, 100%, $F$9) + CHOOSE(CONTROL!$C$27, 0.0021, 0)</f>
        <v>33.5291</v>
      </c>
      <c r="H197" s="10">
        <f>33.3923 * CHOOSE(CONTROL!$C$9, $D$9, 100%, $F$9) + CHOOSE(CONTROL!$C$27, 0.0021, 0)</f>
        <v>33.394399999999997</v>
      </c>
      <c r="I197" s="10">
        <f>33.3923 * CHOOSE(CONTROL!$C$9, $D$9, 100%, $F$9) + CHOOSE(CONTROL!$C$27, 0.0021, 0)</f>
        <v>33.394399999999997</v>
      </c>
      <c r="J197" s="10">
        <f>33.3923 * CHOOSE(CONTROL!$C$9, $D$9, 100%, $F$9) + CHOOSE(CONTROL!$C$27, 0.0021, 0)</f>
        <v>33.394399999999997</v>
      </c>
      <c r="K197" s="10">
        <f>33.3923 * CHOOSE(CONTROL!$C$9, $D$9, 100%, $F$9) + CHOOSE(CONTROL!$C$27, 0.0021, 0)</f>
        <v>33.394399999999997</v>
      </c>
      <c r="L197" s="10"/>
    </row>
    <row r="198" spans="1:12" ht="15" x14ac:dyDescent="0.2">
      <c r="A198" s="16">
        <v>47300</v>
      </c>
      <c r="B198" s="10">
        <f>34.4576 * CHOOSE(CONTROL!$C$9, $D$9, 100%, $F$9) + CHOOSE(CONTROL!$C$27, 0.0021, 0)</f>
        <v>34.459699999999998</v>
      </c>
      <c r="C198" s="10">
        <f>34.0253 * CHOOSE(CONTROL!$C$9, $D$9, 100%, $F$9) + CHOOSE(CONTROL!$C$27, 0.0021, 0)</f>
        <v>34.0274</v>
      </c>
      <c r="D198" s="10">
        <f>34.0253 * CHOOSE(CONTROL!$C$9, $D$9, 100%, $F$9) + CHOOSE(CONTROL!$C$27, 0.0021, 0)</f>
        <v>34.0274</v>
      </c>
      <c r="E198" s="10">
        <f>33.8887 * CHOOSE(CONTROL!$C$9, $D$9, 100%, $F$9) + CHOOSE(CONTROL!$C$27, 0.0021, 0)</f>
        <v>33.890799999999999</v>
      </c>
      <c r="F198" s="10">
        <f>33.8887 * CHOOSE(CONTROL!$C$9, $D$9, 100%, $F$9) + CHOOSE(CONTROL!$C$27, 0.0021, 0)</f>
        <v>33.890799999999999</v>
      </c>
      <c r="G198" s="10">
        <f>34.16 * CHOOSE(CONTROL!$C$9, $D$9, 100%, $F$9) + CHOOSE(CONTROL!$C$27, 0.0021, 0)</f>
        <v>34.162099999999995</v>
      </c>
      <c r="H198" s="10">
        <f>34.0253 * CHOOSE(CONTROL!$C$9, $D$9, 100%, $F$9) + CHOOSE(CONTROL!$C$27, 0.0021, 0)</f>
        <v>34.0274</v>
      </c>
      <c r="I198" s="10">
        <f>34.0253 * CHOOSE(CONTROL!$C$9, $D$9, 100%, $F$9) + CHOOSE(CONTROL!$C$27, 0.0021, 0)</f>
        <v>34.0274</v>
      </c>
      <c r="J198" s="10">
        <f>34.0253 * CHOOSE(CONTROL!$C$9, $D$9, 100%, $F$9) + CHOOSE(CONTROL!$C$27, 0.0021, 0)</f>
        <v>34.0274</v>
      </c>
      <c r="K198" s="10">
        <f>34.0253 * CHOOSE(CONTROL!$C$9, $D$9, 100%, $F$9) + CHOOSE(CONTROL!$C$27, 0.0021, 0)</f>
        <v>34.0274</v>
      </c>
      <c r="L198" s="10"/>
    </row>
    <row r="199" spans="1:12" ht="15" x14ac:dyDescent="0.2">
      <c r="A199" s="16">
        <v>47331</v>
      </c>
      <c r="B199" s="10">
        <f>34.6508 * CHOOSE(CONTROL!$C$9, $D$9, 100%, $F$9) + CHOOSE(CONTROL!$C$27, 0.0021, 0)</f>
        <v>34.652899999999995</v>
      </c>
      <c r="C199" s="10">
        <f>34.2185 * CHOOSE(CONTROL!$C$9, $D$9, 100%, $F$9) + CHOOSE(CONTROL!$C$27, 0.0021, 0)</f>
        <v>34.220599999999997</v>
      </c>
      <c r="D199" s="10">
        <f>34.2185 * CHOOSE(CONTROL!$C$9, $D$9, 100%, $F$9) + CHOOSE(CONTROL!$C$27, 0.0021, 0)</f>
        <v>34.220599999999997</v>
      </c>
      <c r="E199" s="10">
        <f>34.0819 * CHOOSE(CONTROL!$C$9, $D$9, 100%, $F$9) + CHOOSE(CONTROL!$C$27, 0.0021, 0)</f>
        <v>34.083999999999996</v>
      </c>
      <c r="F199" s="10">
        <f>34.0819 * CHOOSE(CONTROL!$C$9, $D$9, 100%, $F$9) + CHOOSE(CONTROL!$C$27, 0.0021, 0)</f>
        <v>34.083999999999996</v>
      </c>
      <c r="G199" s="10">
        <f>34.3533 * CHOOSE(CONTROL!$C$9, $D$9, 100%, $F$9) + CHOOSE(CONTROL!$C$27, 0.0021, 0)</f>
        <v>34.355399999999996</v>
      </c>
      <c r="H199" s="10">
        <f>34.2185 * CHOOSE(CONTROL!$C$9, $D$9, 100%, $F$9) + CHOOSE(CONTROL!$C$27, 0.0021, 0)</f>
        <v>34.220599999999997</v>
      </c>
      <c r="I199" s="10">
        <f>34.2185 * CHOOSE(CONTROL!$C$9, $D$9, 100%, $F$9) + CHOOSE(CONTROL!$C$27, 0.0021, 0)</f>
        <v>34.220599999999997</v>
      </c>
      <c r="J199" s="10">
        <f>34.2185 * CHOOSE(CONTROL!$C$9, $D$9, 100%, $F$9) + CHOOSE(CONTROL!$C$27, 0.0021, 0)</f>
        <v>34.220599999999997</v>
      </c>
      <c r="K199" s="10">
        <f>34.2185 * CHOOSE(CONTROL!$C$9, $D$9, 100%, $F$9) + CHOOSE(CONTROL!$C$27, 0.0021, 0)</f>
        <v>34.220599999999997</v>
      </c>
      <c r="L199" s="10"/>
    </row>
    <row r="200" spans="1:12" ht="15" x14ac:dyDescent="0.2">
      <c r="A200" s="16">
        <v>47362</v>
      </c>
      <c r="B200" s="10">
        <f>35.3088 * CHOOSE(CONTROL!$C$9, $D$9, 100%, $F$9) + CHOOSE(CONTROL!$C$27, 0.0021, 0)</f>
        <v>35.310899999999997</v>
      </c>
      <c r="C200" s="10">
        <f>34.8766 * CHOOSE(CONTROL!$C$9, $D$9, 100%, $F$9) + CHOOSE(CONTROL!$C$27, 0.0021, 0)</f>
        <v>34.878700000000002</v>
      </c>
      <c r="D200" s="10">
        <f>34.8766 * CHOOSE(CONTROL!$C$9, $D$9, 100%, $F$9) + CHOOSE(CONTROL!$C$27, 0.0021, 0)</f>
        <v>34.878700000000002</v>
      </c>
      <c r="E200" s="10">
        <f>34.7399 * CHOOSE(CONTROL!$C$9, $D$9, 100%, $F$9) + CHOOSE(CONTROL!$C$27, 0.0021, 0)</f>
        <v>34.741999999999997</v>
      </c>
      <c r="F200" s="10">
        <f>34.7399 * CHOOSE(CONTROL!$C$9, $D$9, 100%, $F$9) + CHOOSE(CONTROL!$C$27, 0.0021, 0)</f>
        <v>34.741999999999997</v>
      </c>
      <c r="G200" s="10">
        <f>35.0113 * CHOOSE(CONTROL!$C$9, $D$9, 100%, $F$9) + CHOOSE(CONTROL!$C$27, 0.0021, 0)</f>
        <v>35.013399999999997</v>
      </c>
      <c r="H200" s="10">
        <f>34.8766 * CHOOSE(CONTROL!$C$9, $D$9, 100%, $F$9) + CHOOSE(CONTROL!$C$27, 0.0021, 0)</f>
        <v>34.878700000000002</v>
      </c>
      <c r="I200" s="10">
        <f>34.8766 * CHOOSE(CONTROL!$C$9, $D$9, 100%, $F$9) + CHOOSE(CONTROL!$C$27, 0.0021, 0)</f>
        <v>34.878700000000002</v>
      </c>
      <c r="J200" s="10">
        <f>34.8766 * CHOOSE(CONTROL!$C$9, $D$9, 100%, $F$9) + CHOOSE(CONTROL!$C$27, 0.0021, 0)</f>
        <v>34.878700000000002</v>
      </c>
      <c r="K200" s="10">
        <f>34.8766 * CHOOSE(CONTROL!$C$9, $D$9, 100%, $F$9) + CHOOSE(CONTROL!$C$27, 0.0021, 0)</f>
        <v>34.878700000000002</v>
      </c>
      <c r="L200" s="10"/>
    </row>
    <row r="201" spans="1:12" ht="15" x14ac:dyDescent="0.2">
      <c r="A201" s="16">
        <v>47392</v>
      </c>
      <c r="B201" s="10">
        <f>36.1417 * CHOOSE(CONTROL!$C$9, $D$9, 100%, $F$9) + CHOOSE(CONTROL!$C$27, 0.0021, 0)</f>
        <v>36.143799999999999</v>
      </c>
      <c r="C201" s="10">
        <f>35.7095 * CHOOSE(CONTROL!$C$9, $D$9, 100%, $F$9) + CHOOSE(CONTROL!$C$27, 0.0021, 0)</f>
        <v>35.711599999999997</v>
      </c>
      <c r="D201" s="10">
        <f>35.7095 * CHOOSE(CONTROL!$C$9, $D$9, 100%, $F$9) + CHOOSE(CONTROL!$C$27, 0.0021, 0)</f>
        <v>35.711599999999997</v>
      </c>
      <c r="E201" s="10">
        <f>35.5728 * CHOOSE(CONTROL!$C$9, $D$9, 100%, $F$9) + CHOOSE(CONTROL!$C$27, 0.0021, 0)</f>
        <v>35.5749</v>
      </c>
      <c r="F201" s="10">
        <f>35.5728 * CHOOSE(CONTROL!$C$9, $D$9, 100%, $F$9) + CHOOSE(CONTROL!$C$27, 0.0021, 0)</f>
        <v>35.5749</v>
      </c>
      <c r="G201" s="10">
        <f>35.8442 * CHOOSE(CONTROL!$C$9, $D$9, 100%, $F$9) + CHOOSE(CONTROL!$C$27, 0.0021, 0)</f>
        <v>35.846299999999999</v>
      </c>
      <c r="H201" s="10">
        <f>35.7095 * CHOOSE(CONTROL!$C$9, $D$9, 100%, $F$9) + CHOOSE(CONTROL!$C$27, 0.0021, 0)</f>
        <v>35.711599999999997</v>
      </c>
      <c r="I201" s="10">
        <f>35.7095 * CHOOSE(CONTROL!$C$9, $D$9, 100%, $F$9) + CHOOSE(CONTROL!$C$27, 0.0021, 0)</f>
        <v>35.711599999999997</v>
      </c>
      <c r="J201" s="10">
        <f>35.7095 * CHOOSE(CONTROL!$C$9, $D$9, 100%, $F$9) + CHOOSE(CONTROL!$C$27, 0.0021, 0)</f>
        <v>35.711599999999997</v>
      </c>
      <c r="K201" s="10">
        <f>35.7095 * CHOOSE(CONTROL!$C$9, $D$9, 100%, $F$9) + CHOOSE(CONTROL!$C$27, 0.0021, 0)</f>
        <v>35.711599999999997</v>
      </c>
      <c r="L201" s="10"/>
    </row>
    <row r="202" spans="1:12" ht="15" x14ac:dyDescent="0.2">
      <c r="A202" s="16">
        <v>47423</v>
      </c>
      <c r="B202" s="10">
        <f>36.2199 * CHOOSE(CONTROL!$C$9, $D$9, 100%, $F$9) + CHOOSE(CONTROL!$C$27, 0.0021, 0)</f>
        <v>36.222000000000001</v>
      </c>
      <c r="C202" s="10">
        <f>35.7877 * CHOOSE(CONTROL!$C$9, $D$9, 100%, $F$9) + CHOOSE(CONTROL!$C$27, 0.0021, 0)</f>
        <v>35.7898</v>
      </c>
      <c r="D202" s="10">
        <f>35.7877 * CHOOSE(CONTROL!$C$9, $D$9, 100%, $F$9) + CHOOSE(CONTROL!$C$27, 0.0021, 0)</f>
        <v>35.7898</v>
      </c>
      <c r="E202" s="10">
        <f>35.651 * CHOOSE(CONTROL!$C$9, $D$9, 100%, $F$9) + CHOOSE(CONTROL!$C$27, 0.0021, 0)</f>
        <v>35.653100000000002</v>
      </c>
      <c r="F202" s="10">
        <f>35.651 * CHOOSE(CONTROL!$C$9, $D$9, 100%, $F$9) + CHOOSE(CONTROL!$C$27, 0.0021, 0)</f>
        <v>35.653100000000002</v>
      </c>
      <c r="G202" s="10">
        <f>35.9224 * CHOOSE(CONTROL!$C$9, $D$9, 100%, $F$9) + CHOOSE(CONTROL!$C$27, 0.0021, 0)</f>
        <v>35.924500000000002</v>
      </c>
      <c r="H202" s="10">
        <f>35.7877 * CHOOSE(CONTROL!$C$9, $D$9, 100%, $F$9) + CHOOSE(CONTROL!$C$27, 0.0021, 0)</f>
        <v>35.7898</v>
      </c>
      <c r="I202" s="10">
        <f>35.7877 * CHOOSE(CONTROL!$C$9, $D$9, 100%, $F$9) + CHOOSE(CONTROL!$C$27, 0.0021, 0)</f>
        <v>35.7898</v>
      </c>
      <c r="J202" s="10">
        <f>35.7877 * CHOOSE(CONTROL!$C$9, $D$9, 100%, $F$9) + CHOOSE(CONTROL!$C$27, 0.0021, 0)</f>
        <v>35.7898</v>
      </c>
      <c r="K202" s="10">
        <f>35.7877 * CHOOSE(CONTROL!$C$9, $D$9, 100%, $F$9) + CHOOSE(CONTROL!$C$27, 0.0021, 0)</f>
        <v>35.7898</v>
      </c>
      <c r="L202" s="10"/>
    </row>
    <row r="203" spans="1:12" ht="15" x14ac:dyDescent="0.2">
      <c r="A203" s="16">
        <v>47453</v>
      </c>
      <c r="B203" s="10">
        <f>35.5547 * CHOOSE(CONTROL!$C$9, $D$9, 100%, $F$9) + CHOOSE(CONTROL!$C$27, 0.0021, 0)</f>
        <v>35.556799999999996</v>
      </c>
      <c r="C203" s="10">
        <f>35.1224 * CHOOSE(CONTROL!$C$9, $D$9, 100%, $F$9) + CHOOSE(CONTROL!$C$27, 0.0021, 0)</f>
        <v>35.124499999999998</v>
      </c>
      <c r="D203" s="10">
        <f>35.1224 * CHOOSE(CONTROL!$C$9, $D$9, 100%, $F$9) + CHOOSE(CONTROL!$C$27, 0.0021, 0)</f>
        <v>35.124499999999998</v>
      </c>
      <c r="E203" s="10">
        <f>34.9858 * CHOOSE(CONTROL!$C$9, $D$9, 100%, $F$9) + CHOOSE(CONTROL!$C$27, 0.0021, 0)</f>
        <v>34.987899999999996</v>
      </c>
      <c r="F203" s="10">
        <f>34.9858 * CHOOSE(CONTROL!$C$9, $D$9, 100%, $F$9) + CHOOSE(CONTROL!$C$27, 0.0021, 0)</f>
        <v>34.987899999999996</v>
      </c>
      <c r="G203" s="10">
        <f>35.2571 * CHOOSE(CONTROL!$C$9, $D$9, 100%, $F$9) + CHOOSE(CONTROL!$C$27, 0.0021, 0)</f>
        <v>35.2592</v>
      </c>
      <c r="H203" s="10">
        <f>35.1224 * CHOOSE(CONTROL!$C$9, $D$9, 100%, $F$9) + CHOOSE(CONTROL!$C$27, 0.0021, 0)</f>
        <v>35.124499999999998</v>
      </c>
      <c r="I203" s="10">
        <f>35.1224 * CHOOSE(CONTROL!$C$9, $D$9, 100%, $F$9) + CHOOSE(CONTROL!$C$27, 0.0021, 0)</f>
        <v>35.124499999999998</v>
      </c>
      <c r="J203" s="10">
        <f>35.1224 * CHOOSE(CONTROL!$C$9, $D$9, 100%, $F$9) + CHOOSE(CONTROL!$C$27, 0.0021, 0)</f>
        <v>35.124499999999998</v>
      </c>
      <c r="K203" s="10">
        <f>35.1224 * CHOOSE(CONTROL!$C$9, $D$9, 100%, $F$9) + CHOOSE(CONTROL!$C$27, 0.0021, 0)</f>
        <v>35.124499999999998</v>
      </c>
      <c r="L203" s="10"/>
    </row>
    <row r="204" spans="1:12" ht="15" x14ac:dyDescent="0.2">
      <c r="A204" s="16">
        <v>47484</v>
      </c>
      <c r="B204" s="10">
        <f>35.6654 * CHOOSE(CONTROL!$C$9, $D$9, 100%, $F$9) + CHOOSE(CONTROL!$C$27, 0.0021, 0)</f>
        <v>35.667499999999997</v>
      </c>
      <c r="C204" s="10">
        <f>35.2331 * CHOOSE(CONTROL!$C$9, $D$9, 100%, $F$9) + CHOOSE(CONTROL!$C$27, 0.0021, 0)</f>
        <v>35.235199999999999</v>
      </c>
      <c r="D204" s="10">
        <f>35.2331 * CHOOSE(CONTROL!$C$9, $D$9, 100%, $F$9) + CHOOSE(CONTROL!$C$27, 0.0021, 0)</f>
        <v>35.235199999999999</v>
      </c>
      <c r="E204" s="10">
        <f>35.0965 * CHOOSE(CONTROL!$C$9, $D$9, 100%, $F$9) + CHOOSE(CONTROL!$C$27, 0.0021, 0)</f>
        <v>35.098599999999998</v>
      </c>
      <c r="F204" s="10">
        <f>35.0965 * CHOOSE(CONTROL!$C$9, $D$9, 100%, $F$9) + CHOOSE(CONTROL!$C$27, 0.0021, 0)</f>
        <v>35.098599999999998</v>
      </c>
      <c r="G204" s="10">
        <f>35.3679 * CHOOSE(CONTROL!$C$9, $D$9, 100%, $F$9) + CHOOSE(CONTROL!$C$27, 0.0021, 0)</f>
        <v>35.369999999999997</v>
      </c>
      <c r="H204" s="10">
        <f>35.2331 * CHOOSE(CONTROL!$C$9, $D$9, 100%, $F$9) + CHOOSE(CONTROL!$C$27, 0.0021, 0)</f>
        <v>35.235199999999999</v>
      </c>
      <c r="I204" s="10">
        <f>35.2331 * CHOOSE(CONTROL!$C$9, $D$9, 100%, $F$9) + CHOOSE(CONTROL!$C$27, 0.0021, 0)</f>
        <v>35.235199999999999</v>
      </c>
      <c r="J204" s="10">
        <f>35.2331 * CHOOSE(CONTROL!$C$9, $D$9, 100%, $F$9) + CHOOSE(CONTROL!$C$27, 0.0021, 0)</f>
        <v>35.235199999999999</v>
      </c>
      <c r="K204" s="10">
        <f>35.2331 * CHOOSE(CONTROL!$C$9, $D$9, 100%, $F$9) + CHOOSE(CONTROL!$C$27, 0.0021, 0)</f>
        <v>35.235199999999999</v>
      </c>
      <c r="L204" s="10"/>
    </row>
    <row r="205" spans="1:12" ht="15" x14ac:dyDescent="0.2">
      <c r="A205" s="16">
        <v>47515</v>
      </c>
      <c r="B205" s="10">
        <f>34.7214 * CHOOSE(CONTROL!$C$9, $D$9, 100%, $F$9) + CHOOSE(CONTROL!$C$27, 0.0021, 0)</f>
        <v>34.723500000000001</v>
      </c>
      <c r="C205" s="10">
        <f>34.2892 * CHOOSE(CONTROL!$C$9, $D$9, 100%, $F$9) + CHOOSE(CONTROL!$C$27, 0.0021, 0)</f>
        <v>34.2913</v>
      </c>
      <c r="D205" s="10">
        <f>34.2892 * CHOOSE(CONTROL!$C$9, $D$9, 100%, $F$9) + CHOOSE(CONTROL!$C$27, 0.0021, 0)</f>
        <v>34.2913</v>
      </c>
      <c r="E205" s="10">
        <f>34.1525 * CHOOSE(CONTROL!$C$9, $D$9, 100%, $F$9) + CHOOSE(CONTROL!$C$27, 0.0021, 0)</f>
        <v>34.154600000000002</v>
      </c>
      <c r="F205" s="10">
        <f>34.1525 * CHOOSE(CONTROL!$C$9, $D$9, 100%, $F$9) + CHOOSE(CONTROL!$C$27, 0.0021, 0)</f>
        <v>34.154600000000002</v>
      </c>
      <c r="G205" s="10">
        <f>34.4239 * CHOOSE(CONTROL!$C$9, $D$9, 100%, $F$9) + CHOOSE(CONTROL!$C$27, 0.0021, 0)</f>
        <v>34.426000000000002</v>
      </c>
      <c r="H205" s="10">
        <f>34.2892 * CHOOSE(CONTROL!$C$9, $D$9, 100%, $F$9) + CHOOSE(CONTROL!$C$27, 0.0021, 0)</f>
        <v>34.2913</v>
      </c>
      <c r="I205" s="10">
        <f>34.2892 * CHOOSE(CONTROL!$C$9, $D$9, 100%, $F$9) + CHOOSE(CONTROL!$C$27, 0.0021, 0)</f>
        <v>34.2913</v>
      </c>
      <c r="J205" s="10">
        <f>34.2892 * CHOOSE(CONTROL!$C$9, $D$9, 100%, $F$9) + CHOOSE(CONTROL!$C$27, 0.0021, 0)</f>
        <v>34.2913</v>
      </c>
      <c r="K205" s="10">
        <f>34.2892 * CHOOSE(CONTROL!$C$9, $D$9, 100%, $F$9) + CHOOSE(CONTROL!$C$27, 0.0021, 0)</f>
        <v>34.2913</v>
      </c>
      <c r="L205" s="10"/>
    </row>
    <row r="206" spans="1:12" ht="15" x14ac:dyDescent="0.2">
      <c r="A206" s="16">
        <v>47543</v>
      </c>
      <c r="B206" s="10">
        <f>34.3317 * CHOOSE(CONTROL!$C$9, $D$9, 100%, $F$9) + CHOOSE(CONTROL!$C$27, 0.0021, 0)</f>
        <v>34.333799999999997</v>
      </c>
      <c r="C206" s="10">
        <f>33.8995 * CHOOSE(CONTROL!$C$9, $D$9, 100%, $F$9) + CHOOSE(CONTROL!$C$27, 0.0021, 0)</f>
        <v>33.901600000000002</v>
      </c>
      <c r="D206" s="10">
        <f>33.8995 * CHOOSE(CONTROL!$C$9, $D$9, 100%, $F$9) + CHOOSE(CONTROL!$C$27, 0.0021, 0)</f>
        <v>33.901600000000002</v>
      </c>
      <c r="E206" s="10">
        <f>33.7628 * CHOOSE(CONTROL!$C$9, $D$9, 100%, $F$9) + CHOOSE(CONTROL!$C$27, 0.0021, 0)</f>
        <v>33.764899999999997</v>
      </c>
      <c r="F206" s="10">
        <f>33.7628 * CHOOSE(CONTROL!$C$9, $D$9, 100%, $F$9) + CHOOSE(CONTROL!$C$27, 0.0021, 0)</f>
        <v>33.764899999999997</v>
      </c>
      <c r="G206" s="10">
        <f>34.0342 * CHOOSE(CONTROL!$C$9, $D$9, 100%, $F$9) + CHOOSE(CONTROL!$C$27, 0.0021, 0)</f>
        <v>34.036299999999997</v>
      </c>
      <c r="H206" s="10">
        <f>33.8995 * CHOOSE(CONTROL!$C$9, $D$9, 100%, $F$9) + CHOOSE(CONTROL!$C$27, 0.0021, 0)</f>
        <v>33.901600000000002</v>
      </c>
      <c r="I206" s="10">
        <f>33.8995 * CHOOSE(CONTROL!$C$9, $D$9, 100%, $F$9) + CHOOSE(CONTROL!$C$27, 0.0021, 0)</f>
        <v>33.901600000000002</v>
      </c>
      <c r="J206" s="10">
        <f>33.8995 * CHOOSE(CONTROL!$C$9, $D$9, 100%, $F$9) + CHOOSE(CONTROL!$C$27, 0.0021, 0)</f>
        <v>33.901600000000002</v>
      </c>
      <c r="K206" s="10">
        <f>33.8995 * CHOOSE(CONTROL!$C$9, $D$9, 100%, $F$9) + CHOOSE(CONTROL!$C$27, 0.0021, 0)</f>
        <v>33.901600000000002</v>
      </c>
      <c r="L206" s="10"/>
    </row>
    <row r="207" spans="1:12" ht="15" x14ac:dyDescent="0.2">
      <c r="A207" s="16">
        <v>47574</v>
      </c>
      <c r="B207" s="10">
        <f>33.8665 * CHOOSE(CONTROL!$C$9, $D$9, 100%, $F$9) + CHOOSE(CONTROL!$C$27, 0.0021, 0)</f>
        <v>33.868600000000001</v>
      </c>
      <c r="C207" s="10">
        <f>33.4342 * CHOOSE(CONTROL!$C$9, $D$9, 100%, $F$9) + CHOOSE(CONTROL!$C$27, 0.0021, 0)</f>
        <v>33.436299999999996</v>
      </c>
      <c r="D207" s="10">
        <f>33.4342 * CHOOSE(CONTROL!$C$9, $D$9, 100%, $F$9) + CHOOSE(CONTROL!$C$27, 0.0021, 0)</f>
        <v>33.436299999999996</v>
      </c>
      <c r="E207" s="10">
        <f>33.2976 * CHOOSE(CONTROL!$C$9, $D$9, 100%, $F$9) + CHOOSE(CONTROL!$C$27, 0.0021, 0)</f>
        <v>33.299700000000001</v>
      </c>
      <c r="F207" s="10">
        <f>33.2976 * CHOOSE(CONTROL!$C$9, $D$9, 100%, $F$9) + CHOOSE(CONTROL!$C$27, 0.0021, 0)</f>
        <v>33.299700000000001</v>
      </c>
      <c r="G207" s="10">
        <f>33.5689 * CHOOSE(CONTROL!$C$9, $D$9, 100%, $F$9) + CHOOSE(CONTROL!$C$27, 0.0021, 0)</f>
        <v>33.570999999999998</v>
      </c>
      <c r="H207" s="10">
        <f>33.4342 * CHOOSE(CONTROL!$C$9, $D$9, 100%, $F$9) + CHOOSE(CONTROL!$C$27, 0.0021, 0)</f>
        <v>33.436299999999996</v>
      </c>
      <c r="I207" s="10">
        <f>33.4342 * CHOOSE(CONTROL!$C$9, $D$9, 100%, $F$9) + CHOOSE(CONTROL!$C$27, 0.0021, 0)</f>
        <v>33.436299999999996</v>
      </c>
      <c r="J207" s="10">
        <f>33.4342 * CHOOSE(CONTROL!$C$9, $D$9, 100%, $F$9) + CHOOSE(CONTROL!$C$27, 0.0021, 0)</f>
        <v>33.436299999999996</v>
      </c>
      <c r="K207" s="10">
        <f>33.4342 * CHOOSE(CONTROL!$C$9, $D$9, 100%, $F$9) + CHOOSE(CONTROL!$C$27, 0.0021, 0)</f>
        <v>33.436299999999996</v>
      </c>
      <c r="L207" s="10"/>
    </row>
    <row r="208" spans="1:12" ht="15" x14ac:dyDescent="0.2">
      <c r="A208" s="16">
        <v>47604</v>
      </c>
      <c r="B208" s="10">
        <f>34.5295 * CHOOSE(CONTROL!$C$9, $D$9, 100%, $F$9) + CHOOSE(CONTROL!$C$27, 0.0021, 0)</f>
        <v>34.531599999999997</v>
      </c>
      <c r="C208" s="10">
        <f>34.0973 * CHOOSE(CONTROL!$C$9, $D$9, 100%, $F$9) + CHOOSE(CONTROL!$C$27, 0.0021, 0)</f>
        <v>34.099399999999996</v>
      </c>
      <c r="D208" s="10">
        <f>34.0973 * CHOOSE(CONTROL!$C$9, $D$9, 100%, $F$9) + CHOOSE(CONTROL!$C$27, 0.0021, 0)</f>
        <v>34.099399999999996</v>
      </c>
      <c r="E208" s="10">
        <f>33.9606 * CHOOSE(CONTROL!$C$9, $D$9, 100%, $F$9) + CHOOSE(CONTROL!$C$27, 0.0021, 0)</f>
        <v>33.962699999999998</v>
      </c>
      <c r="F208" s="10">
        <f>33.9606 * CHOOSE(CONTROL!$C$9, $D$9, 100%, $F$9) + CHOOSE(CONTROL!$C$27, 0.0021, 0)</f>
        <v>33.962699999999998</v>
      </c>
      <c r="G208" s="10">
        <f>34.232 * CHOOSE(CONTROL!$C$9, $D$9, 100%, $F$9) + CHOOSE(CONTROL!$C$27, 0.0021, 0)</f>
        <v>34.234099999999998</v>
      </c>
      <c r="H208" s="10">
        <f>34.0973 * CHOOSE(CONTROL!$C$9, $D$9, 100%, $F$9) + CHOOSE(CONTROL!$C$27, 0.0021, 0)</f>
        <v>34.099399999999996</v>
      </c>
      <c r="I208" s="10">
        <f>34.0973 * CHOOSE(CONTROL!$C$9, $D$9, 100%, $F$9) + CHOOSE(CONTROL!$C$27, 0.0021, 0)</f>
        <v>34.099399999999996</v>
      </c>
      <c r="J208" s="10">
        <f>34.0973 * CHOOSE(CONTROL!$C$9, $D$9, 100%, $F$9) + CHOOSE(CONTROL!$C$27, 0.0021, 0)</f>
        <v>34.099399999999996</v>
      </c>
      <c r="K208" s="10">
        <f>34.0973 * CHOOSE(CONTROL!$C$9, $D$9, 100%, $F$9) + CHOOSE(CONTROL!$C$27, 0.0021, 0)</f>
        <v>34.099399999999996</v>
      </c>
      <c r="L208" s="10"/>
    </row>
    <row r="209" spans="1:12" ht="15" x14ac:dyDescent="0.2">
      <c r="A209" s="16">
        <v>47635</v>
      </c>
      <c r="B209" s="10">
        <f>34.9267 * CHOOSE(CONTROL!$C$9, $D$9, 100%, $F$9) + CHOOSE(CONTROL!$C$27, 0.0021, 0)</f>
        <v>34.928799999999995</v>
      </c>
      <c r="C209" s="10">
        <f>34.4944 * CHOOSE(CONTROL!$C$9, $D$9, 100%, $F$9) + CHOOSE(CONTROL!$C$27, 0.0021, 0)</f>
        <v>34.496499999999997</v>
      </c>
      <c r="D209" s="10">
        <f>34.4944 * CHOOSE(CONTROL!$C$9, $D$9, 100%, $F$9) + CHOOSE(CONTROL!$C$27, 0.0021, 0)</f>
        <v>34.496499999999997</v>
      </c>
      <c r="E209" s="10">
        <f>34.3578 * CHOOSE(CONTROL!$C$9, $D$9, 100%, $F$9) + CHOOSE(CONTROL!$C$27, 0.0021, 0)</f>
        <v>34.359899999999996</v>
      </c>
      <c r="F209" s="10">
        <f>34.3578 * CHOOSE(CONTROL!$C$9, $D$9, 100%, $F$9) + CHOOSE(CONTROL!$C$27, 0.0021, 0)</f>
        <v>34.359899999999996</v>
      </c>
      <c r="G209" s="10">
        <f>34.6292 * CHOOSE(CONTROL!$C$9, $D$9, 100%, $F$9) + CHOOSE(CONTROL!$C$27, 0.0021, 0)</f>
        <v>34.631299999999996</v>
      </c>
      <c r="H209" s="10">
        <f>34.4944 * CHOOSE(CONTROL!$C$9, $D$9, 100%, $F$9) + CHOOSE(CONTROL!$C$27, 0.0021, 0)</f>
        <v>34.496499999999997</v>
      </c>
      <c r="I209" s="10">
        <f>34.4944 * CHOOSE(CONTROL!$C$9, $D$9, 100%, $F$9) + CHOOSE(CONTROL!$C$27, 0.0021, 0)</f>
        <v>34.496499999999997</v>
      </c>
      <c r="J209" s="10">
        <f>34.4944 * CHOOSE(CONTROL!$C$9, $D$9, 100%, $F$9) + CHOOSE(CONTROL!$C$27, 0.0021, 0)</f>
        <v>34.496499999999997</v>
      </c>
      <c r="K209" s="10">
        <f>34.4944 * CHOOSE(CONTROL!$C$9, $D$9, 100%, $F$9) + CHOOSE(CONTROL!$C$27, 0.0021, 0)</f>
        <v>34.496499999999997</v>
      </c>
      <c r="L209" s="10"/>
    </row>
    <row r="210" spans="1:12" ht="15" x14ac:dyDescent="0.2">
      <c r="A210" s="16">
        <v>47665</v>
      </c>
      <c r="B210" s="10">
        <f>35.5818 * CHOOSE(CONTROL!$C$9, $D$9, 100%, $F$9) + CHOOSE(CONTROL!$C$27, 0.0021, 0)</f>
        <v>35.5839</v>
      </c>
      <c r="C210" s="10">
        <f>35.1496 * CHOOSE(CONTROL!$C$9, $D$9, 100%, $F$9) + CHOOSE(CONTROL!$C$27, 0.0021, 0)</f>
        <v>35.151699999999998</v>
      </c>
      <c r="D210" s="10">
        <f>35.1496 * CHOOSE(CONTROL!$C$9, $D$9, 100%, $F$9) + CHOOSE(CONTROL!$C$27, 0.0021, 0)</f>
        <v>35.151699999999998</v>
      </c>
      <c r="E210" s="10">
        <f>35.0129 * CHOOSE(CONTROL!$C$9, $D$9, 100%, $F$9) + CHOOSE(CONTROL!$C$27, 0.0021, 0)</f>
        <v>35.015000000000001</v>
      </c>
      <c r="F210" s="10">
        <f>35.0129 * CHOOSE(CONTROL!$C$9, $D$9, 100%, $F$9) + CHOOSE(CONTROL!$C$27, 0.0021, 0)</f>
        <v>35.015000000000001</v>
      </c>
      <c r="G210" s="10">
        <f>35.2843 * CHOOSE(CONTROL!$C$9, $D$9, 100%, $F$9) + CHOOSE(CONTROL!$C$27, 0.0021, 0)</f>
        <v>35.2864</v>
      </c>
      <c r="H210" s="10">
        <f>35.1496 * CHOOSE(CONTROL!$C$9, $D$9, 100%, $F$9) + CHOOSE(CONTROL!$C$27, 0.0021, 0)</f>
        <v>35.151699999999998</v>
      </c>
      <c r="I210" s="10">
        <f>35.1496 * CHOOSE(CONTROL!$C$9, $D$9, 100%, $F$9) + CHOOSE(CONTROL!$C$27, 0.0021, 0)</f>
        <v>35.151699999999998</v>
      </c>
      <c r="J210" s="10">
        <f>35.1496 * CHOOSE(CONTROL!$C$9, $D$9, 100%, $F$9) + CHOOSE(CONTROL!$C$27, 0.0021, 0)</f>
        <v>35.151699999999998</v>
      </c>
      <c r="K210" s="10">
        <f>35.1496 * CHOOSE(CONTROL!$C$9, $D$9, 100%, $F$9) + CHOOSE(CONTROL!$C$27, 0.0021, 0)</f>
        <v>35.151699999999998</v>
      </c>
      <c r="L210" s="10"/>
    </row>
    <row r="211" spans="1:12" ht="15" x14ac:dyDescent="0.2">
      <c r="A211" s="16">
        <v>47696</v>
      </c>
      <c r="B211" s="10">
        <f>35.7818 * CHOOSE(CONTROL!$C$9, $D$9, 100%, $F$9) + CHOOSE(CONTROL!$C$27, 0.0021, 0)</f>
        <v>35.783899999999996</v>
      </c>
      <c r="C211" s="10">
        <f>35.3496 * CHOOSE(CONTROL!$C$9, $D$9, 100%, $F$9) + CHOOSE(CONTROL!$C$27, 0.0021, 0)</f>
        <v>35.351700000000001</v>
      </c>
      <c r="D211" s="10">
        <f>35.3496 * CHOOSE(CONTROL!$C$9, $D$9, 100%, $F$9) + CHOOSE(CONTROL!$C$27, 0.0021, 0)</f>
        <v>35.351700000000001</v>
      </c>
      <c r="E211" s="10">
        <f>35.2129 * CHOOSE(CONTROL!$C$9, $D$9, 100%, $F$9) + CHOOSE(CONTROL!$C$27, 0.0021, 0)</f>
        <v>35.214999999999996</v>
      </c>
      <c r="F211" s="10">
        <f>35.2129 * CHOOSE(CONTROL!$C$9, $D$9, 100%, $F$9) + CHOOSE(CONTROL!$C$27, 0.0021, 0)</f>
        <v>35.214999999999996</v>
      </c>
      <c r="G211" s="10">
        <f>35.4843 * CHOOSE(CONTROL!$C$9, $D$9, 100%, $F$9) + CHOOSE(CONTROL!$C$27, 0.0021, 0)</f>
        <v>35.486399999999996</v>
      </c>
      <c r="H211" s="10">
        <f>35.3496 * CHOOSE(CONTROL!$C$9, $D$9, 100%, $F$9) + CHOOSE(CONTROL!$C$27, 0.0021, 0)</f>
        <v>35.351700000000001</v>
      </c>
      <c r="I211" s="10">
        <f>35.3496 * CHOOSE(CONTROL!$C$9, $D$9, 100%, $F$9) + CHOOSE(CONTROL!$C$27, 0.0021, 0)</f>
        <v>35.351700000000001</v>
      </c>
      <c r="J211" s="10">
        <f>35.3496 * CHOOSE(CONTROL!$C$9, $D$9, 100%, $F$9) + CHOOSE(CONTROL!$C$27, 0.0021, 0)</f>
        <v>35.351700000000001</v>
      </c>
      <c r="K211" s="10">
        <f>35.3496 * CHOOSE(CONTROL!$C$9, $D$9, 100%, $F$9) + CHOOSE(CONTROL!$C$27, 0.0021, 0)</f>
        <v>35.351700000000001</v>
      </c>
      <c r="L211" s="10"/>
    </row>
    <row r="212" spans="1:12" ht="15" x14ac:dyDescent="0.2">
      <c r="A212" s="16">
        <v>47727</v>
      </c>
      <c r="B212" s="10">
        <f>36.4628 * CHOOSE(CONTROL!$C$9, $D$9, 100%, $F$9) + CHOOSE(CONTROL!$C$27, 0.0021, 0)</f>
        <v>36.4649</v>
      </c>
      <c r="C212" s="10">
        <f>36.0306 * CHOOSE(CONTROL!$C$9, $D$9, 100%, $F$9) + CHOOSE(CONTROL!$C$27, 0.0021, 0)</f>
        <v>36.032699999999998</v>
      </c>
      <c r="D212" s="10">
        <f>36.0306 * CHOOSE(CONTROL!$C$9, $D$9, 100%, $F$9) + CHOOSE(CONTROL!$C$27, 0.0021, 0)</f>
        <v>36.032699999999998</v>
      </c>
      <c r="E212" s="10">
        <f>35.8939 * CHOOSE(CONTROL!$C$9, $D$9, 100%, $F$9) + CHOOSE(CONTROL!$C$27, 0.0021, 0)</f>
        <v>35.896000000000001</v>
      </c>
      <c r="F212" s="10">
        <f>35.8939 * CHOOSE(CONTROL!$C$9, $D$9, 100%, $F$9) + CHOOSE(CONTROL!$C$27, 0.0021, 0)</f>
        <v>35.896000000000001</v>
      </c>
      <c r="G212" s="10">
        <f>36.1653 * CHOOSE(CONTROL!$C$9, $D$9, 100%, $F$9) + CHOOSE(CONTROL!$C$27, 0.0021, 0)</f>
        <v>36.167400000000001</v>
      </c>
      <c r="H212" s="10">
        <f>36.0306 * CHOOSE(CONTROL!$C$9, $D$9, 100%, $F$9) + CHOOSE(CONTROL!$C$27, 0.0021, 0)</f>
        <v>36.032699999999998</v>
      </c>
      <c r="I212" s="10">
        <f>36.0306 * CHOOSE(CONTROL!$C$9, $D$9, 100%, $F$9) + CHOOSE(CONTROL!$C$27, 0.0021, 0)</f>
        <v>36.032699999999998</v>
      </c>
      <c r="J212" s="10">
        <f>36.0306 * CHOOSE(CONTROL!$C$9, $D$9, 100%, $F$9) + CHOOSE(CONTROL!$C$27, 0.0021, 0)</f>
        <v>36.032699999999998</v>
      </c>
      <c r="K212" s="10">
        <f>36.0306 * CHOOSE(CONTROL!$C$9, $D$9, 100%, $F$9) + CHOOSE(CONTROL!$C$27, 0.0021, 0)</f>
        <v>36.032699999999998</v>
      </c>
      <c r="L212" s="10"/>
    </row>
    <row r="213" spans="1:12" ht="15" x14ac:dyDescent="0.2">
      <c r="A213" s="16">
        <v>47757</v>
      </c>
      <c r="B213" s="10">
        <f>37.3249 * CHOOSE(CONTROL!$C$9, $D$9, 100%, $F$9) + CHOOSE(CONTROL!$C$27, 0.0021, 0)</f>
        <v>37.326999999999998</v>
      </c>
      <c r="C213" s="10">
        <f>36.8926 * CHOOSE(CONTROL!$C$9, $D$9, 100%, $F$9) + CHOOSE(CONTROL!$C$27, 0.0021, 0)</f>
        <v>36.8947</v>
      </c>
      <c r="D213" s="10">
        <f>36.8926 * CHOOSE(CONTROL!$C$9, $D$9, 100%, $F$9) + CHOOSE(CONTROL!$C$27, 0.0021, 0)</f>
        <v>36.8947</v>
      </c>
      <c r="E213" s="10">
        <f>36.756 * CHOOSE(CONTROL!$C$9, $D$9, 100%, $F$9) + CHOOSE(CONTROL!$C$27, 0.0021, 0)</f>
        <v>36.758099999999999</v>
      </c>
      <c r="F213" s="10">
        <f>36.756 * CHOOSE(CONTROL!$C$9, $D$9, 100%, $F$9) + CHOOSE(CONTROL!$C$27, 0.0021, 0)</f>
        <v>36.758099999999999</v>
      </c>
      <c r="G213" s="10">
        <f>37.0273 * CHOOSE(CONTROL!$C$9, $D$9, 100%, $F$9) + CHOOSE(CONTROL!$C$27, 0.0021, 0)</f>
        <v>37.029399999999995</v>
      </c>
      <c r="H213" s="10">
        <f>36.8926 * CHOOSE(CONTROL!$C$9, $D$9, 100%, $F$9) + CHOOSE(CONTROL!$C$27, 0.0021, 0)</f>
        <v>36.8947</v>
      </c>
      <c r="I213" s="10">
        <f>36.8926 * CHOOSE(CONTROL!$C$9, $D$9, 100%, $F$9) + CHOOSE(CONTROL!$C$27, 0.0021, 0)</f>
        <v>36.8947</v>
      </c>
      <c r="J213" s="10">
        <f>36.8926 * CHOOSE(CONTROL!$C$9, $D$9, 100%, $F$9) + CHOOSE(CONTROL!$C$27, 0.0021, 0)</f>
        <v>36.8947</v>
      </c>
      <c r="K213" s="10">
        <f>36.8926 * CHOOSE(CONTROL!$C$9, $D$9, 100%, $F$9) + CHOOSE(CONTROL!$C$27, 0.0021, 0)</f>
        <v>36.8947</v>
      </c>
      <c r="L213" s="10"/>
    </row>
    <row r="214" spans="1:12" ht="15" x14ac:dyDescent="0.2">
      <c r="A214" s="16">
        <v>47788</v>
      </c>
      <c r="B214" s="10">
        <f>37.4058 * CHOOSE(CONTROL!$C$9, $D$9, 100%, $F$9) + CHOOSE(CONTROL!$C$27, 0.0021, 0)</f>
        <v>37.407899999999998</v>
      </c>
      <c r="C214" s="10">
        <f>36.9735 * CHOOSE(CONTROL!$C$9, $D$9, 100%, $F$9) + CHOOSE(CONTROL!$C$27, 0.0021, 0)</f>
        <v>36.9756</v>
      </c>
      <c r="D214" s="10">
        <f>36.9735 * CHOOSE(CONTROL!$C$9, $D$9, 100%, $F$9) + CHOOSE(CONTROL!$C$27, 0.0021, 0)</f>
        <v>36.9756</v>
      </c>
      <c r="E214" s="10">
        <f>36.8369 * CHOOSE(CONTROL!$C$9, $D$9, 100%, $F$9) + CHOOSE(CONTROL!$C$27, 0.0021, 0)</f>
        <v>36.838999999999999</v>
      </c>
      <c r="F214" s="10">
        <f>36.8369 * CHOOSE(CONTROL!$C$9, $D$9, 100%, $F$9) + CHOOSE(CONTROL!$C$27, 0.0021, 0)</f>
        <v>36.838999999999999</v>
      </c>
      <c r="G214" s="10">
        <f>37.1083 * CHOOSE(CONTROL!$C$9, $D$9, 100%, $F$9) + CHOOSE(CONTROL!$C$27, 0.0021, 0)</f>
        <v>37.110399999999998</v>
      </c>
      <c r="H214" s="10">
        <f>36.9735 * CHOOSE(CONTROL!$C$9, $D$9, 100%, $F$9) + CHOOSE(CONTROL!$C$27, 0.0021, 0)</f>
        <v>36.9756</v>
      </c>
      <c r="I214" s="10">
        <f>36.9735 * CHOOSE(CONTROL!$C$9, $D$9, 100%, $F$9) + CHOOSE(CONTROL!$C$27, 0.0021, 0)</f>
        <v>36.9756</v>
      </c>
      <c r="J214" s="10">
        <f>36.9735 * CHOOSE(CONTROL!$C$9, $D$9, 100%, $F$9) + CHOOSE(CONTROL!$C$27, 0.0021, 0)</f>
        <v>36.9756</v>
      </c>
      <c r="K214" s="10">
        <f>36.9735 * CHOOSE(CONTROL!$C$9, $D$9, 100%, $F$9) + CHOOSE(CONTROL!$C$27, 0.0021, 0)</f>
        <v>36.9756</v>
      </c>
      <c r="L214" s="10"/>
    </row>
    <row r="215" spans="1:12" ht="15" x14ac:dyDescent="0.2">
      <c r="A215" s="16">
        <v>47818</v>
      </c>
      <c r="B215" s="10">
        <f>36.7173 * CHOOSE(CONTROL!$C$9, $D$9, 100%, $F$9) + CHOOSE(CONTROL!$C$27, 0.0021, 0)</f>
        <v>36.7194</v>
      </c>
      <c r="C215" s="10">
        <f>36.2851 * CHOOSE(CONTROL!$C$9, $D$9, 100%, $F$9) + CHOOSE(CONTROL!$C$27, 0.0021, 0)</f>
        <v>36.287199999999999</v>
      </c>
      <c r="D215" s="10">
        <f>36.2851 * CHOOSE(CONTROL!$C$9, $D$9, 100%, $F$9) + CHOOSE(CONTROL!$C$27, 0.0021, 0)</f>
        <v>36.287199999999999</v>
      </c>
      <c r="E215" s="10">
        <f>36.1484 * CHOOSE(CONTROL!$C$9, $D$9, 100%, $F$9) + CHOOSE(CONTROL!$C$27, 0.0021, 0)</f>
        <v>36.150500000000001</v>
      </c>
      <c r="F215" s="10">
        <f>36.1484 * CHOOSE(CONTROL!$C$9, $D$9, 100%, $F$9) + CHOOSE(CONTROL!$C$27, 0.0021, 0)</f>
        <v>36.150500000000001</v>
      </c>
      <c r="G215" s="10">
        <f>36.4198 * CHOOSE(CONTROL!$C$9, $D$9, 100%, $F$9) + CHOOSE(CONTROL!$C$27, 0.0021, 0)</f>
        <v>36.421900000000001</v>
      </c>
      <c r="H215" s="10">
        <f>36.2851 * CHOOSE(CONTROL!$C$9, $D$9, 100%, $F$9) + CHOOSE(CONTROL!$C$27, 0.0021, 0)</f>
        <v>36.287199999999999</v>
      </c>
      <c r="I215" s="10">
        <f>36.2851 * CHOOSE(CONTROL!$C$9, $D$9, 100%, $F$9) + CHOOSE(CONTROL!$C$27, 0.0021, 0)</f>
        <v>36.287199999999999</v>
      </c>
      <c r="J215" s="10">
        <f>36.2851 * CHOOSE(CONTROL!$C$9, $D$9, 100%, $F$9) + CHOOSE(CONTROL!$C$27, 0.0021, 0)</f>
        <v>36.287199999999999</v>
      </c>
      <c r="K215" s="10">
        <f>36.2851 * CHOOSE(CONTROL!$C$9, $D$9, 100%, $F$9) + CHOOSE(CONTROL!$C$27, 0.0021, 0)</f>
        <v>36.287199999999999</v>
      </c>
      <c r="L215" s="10"/>
    </row>
    <row r="216" spans="1:12" ht="15" x14ac:dyDescent="0.2">
      <c r="A216" s="16">
        <v>47849</v>
      </c>
      <c r="B216" s="10">
        <f>36.1902 * CHOOSE(CONTROL!$C$9, $D$9, 100%, $F$9) + CHOOSE(CONTROL!$C$27, 0.0021, 0)</f>
        <v>36.192299999999996</v>
      </c>
      <c r="C216" s="10">
        <f>35.7579 * CHOOSE(CONTROL!$C$9, $D$9, 100%, $F$9) + CHOOSE(CONTROL!$C$27, 0.0021, 0)</f>
        <v>35.76</v>
      </c>
      <c r="D216" s="10">
        <f>35.7579 * CHOOSE(CONTROL!$C$9, $D$9, 100%, $F$9) + CHOOSE(CONTROL!$C$27, 0.0021, 0)</f>
        <v>35.76</v>
      </c>
      <c r="E216" s="10">
        <f>35.6213 * CHOOSE(CONTROL!$C$9, $D$9, 100%, $F$9) + CHOOSE(CONTROL!$C$27, 0.0021, 0)</f>
        <v>35.623399999999997</v>
      </c>
      <c r="F216" s="10">
        <f>35.6213 * CHOOSE(CONTROL!$C$9, $D$9, 100%, $F$9) + CHOOSE(CONTROL!$C$27, 0.0021, 0)</f>
        <v>35.623399999999997</v>
      </c>
      <c r="G216" s="10">
        <f>35.8926 * CHOOSE(CONTROL!$C$9, $D$9, 100%, $F$9) + CHOOSE(CONTROL!$C$27, 0.0021, 0)</f>
        <v>35.8947</v>
      </c>
      <c r="H216" s="10">
        <f>35.7579 * CHOOSE(CONTROL!$C$9, $D$9, 100%, $F$9) + CHOOSE(CONTROL!$C$27, 0.0021, 0)</f>
        <v>35.76</v>
      </c>
      <c r="I216" s="10">
        <f>35.7579 * CHOOSE(CONTROL!$C$9, $D$9, 100%, $F$9) + CHOOSE(CONTROL!$C$27, 0.0021, 0)</f>
        <v>35.76</v>
      </c>
      <c r="J216" s="10">
        <f>35.7579 * CHOOSE(CONTROL!$C$9, $D$9, 100%, $F$9) + CHOOSE(CONTROL!$C$27, 0.0021, 0)</f>
        <v>35.76</v>
      </c>
      <c r="K216" s="10">
        <f>35.7579 * CHOOSE(CONTROL!$C$9, $D$9, 100%, $F$9) + CHOOSE(CONTROL!$C$27, 0.0021, 0)</f>
        <v>35.76</v>
      </c>
      <c r="L216" s="10"/>
    </row>
    <row r="217" spans="1:12" ht="15" x14ac:dyDescent="0.2">
      <c r="A217" s="16">
        <v>47880</v>
      </c>
      <c r="B217" s="10">
        <f>35.2314 * CHOOSE(CONTROL!$C$9, $D$9, 100%, $F$9) + CHOOSE(CONTROL!$C$27, 0.0021, 0)</f>
        <v>35.233499999999999</v>
      </c>
      <c r="C217" s="10">
        <f>34.7991 * CHOOSE(CONTROL!$C$9, $D$9, 100%, $F$9) + CHOOSE(CONTROL!$C$27, 0.0021, 0)</f>
        <v>34.801200000000001</v>
      </c>
      <c r="D217" s="10">
        <f>34.7991 * CHOOSE(CONTROL!$C$9, $D$9, 100%, $F$9) + CHOOSE(CONTROL!$C$27, 0.0021, 0)</f>
        <v>34.801200000000001</v>
      </c>
      <c r="E217" s="10">
        <f>34.6625 * CHOOSE(CONTROL!$C$9, $D$9, 100%, $F$9) + CHOOSE(CONTROL!$C$27, 0.0021, 0)</f>
        <v>34.6646</v>
      </c>
      <c r="F217" s="10">
        <f>34.6625 * CHOOSE(CONTROL!$C$9, $D$9, 100%, $F$9) + CHOOSE(CONTROL!$C$27, 0.0021, 0)</f>
        <v>34.6646</v>
      </c>
      <c r="G217" s="10">
        <f>34.9338 * CHOOSE(CONTROL!$C$9, $D$9, 100%, $F$9) + CHOOSE(CONTROL!$C$27, 0.0021, 0)</f>
        <v>34.935899999999997</v>
      </c>
      <c r="H217" s="10">
        <f>34.7991 * CHOOSE(CONTROL!$C$9, $D$9, 100%, $F$9) + CHOOSE(CONTROL!$C$27, 0.0021, 0)</f>
        <v>34.801200000000001</v>
      </c>
      <c r="I217" s="10">
        <f>34.7991 * CHOOSE(CONTROL!$C$9, $D$9, 100%, $F$9) + CHOOSE(CONTROL!$C$27, 0.0021, 0)</f>
        <v>34.801200000000001</v>
      </c>
      <c r="J217" s="10">
        <f>34.7991 * CHOOSE(CONTROL!$C$9, $D$9, 100%, $F$9) + CHOOSE(CONTROL!$C$27, 0.0021, 0)</f>
        <v>34.801200000000001</v>
      </c>
      <c r="K217" s="10">
        <f>34.7991 * CHOOSE(CONTROL!$C$9, $D$9, 100%, $F$9) + CHOOSE(CONTROL!$C$27, 0.0021, 0)</f>
        <v>34.801200000000001</v>
      </c>
      <c r="L217" s="10"/>
    </row>
    <row r="218" spans="1:12" ht="15" x14ac:dyDescent="0.2">
      <c r="A218" s="16">
        <v>47908</v>
      </c>
      <c r="B218" s="10">
        <f>34.8356 * CHOOSE(CONTROL!$C$9, $D$9, 100%, $F$9) + CHOOSE(CONTROL!$C$27, 0.0021, 0)</f>
        <v>34.837699999999998</v>
      </c>
      <c r="C218" s="10">
        <f>34.4033 * CHOOSE(CONTROL!$C$9, $D$9, 100%, $F$9) + CHOOSE(CONTROL!$C$27, 0.0021, 0)</f>
        <v>34.4054</v>
      </c>
      <c r="D218" s="10">
        <f>34.4033 * CHOOSE(CONTROL!$C$9, $D$9, 100%, $F$9) + CHOOSE(CONTROL!$C$27, 0.0021, 0)</f>
        <v>34.4054</v>
      </c>
      <c r="E218" s="10">
        <f>34.2667 * CHOOSE(CONTROL!$C$9, $D$9, 100%, $F$9) + CHOOSE(CONTROL!$C$27, 0.0021, 0)</f>
        <v>34.268799999999999</v>
      </c>
      <c r="F218" s="10">
        <f>34.2667 * CHOOSE(CONTROL!$C$9, $D$9, 100%, $F$9) + CHOOSE(CONTROL!$C$27, 0.0021, 0)</f>
        <v>34.268799999999999</v>
      </c>
      <c r="G218" s="10">
        <f>34.538 * CHOOSE(CONTROL!$C$9, $D$9, 100%, $F$9) + CHOOSE(CONTROL!$C$27, 0.0021, 0)</f>
        <v>34.540099999999995</v>
      </c>
      <c r="H218" s="10">
        <f>34.4033 * CHOOSE(CONTROL!$C$9, $D$9, 100%, $F$9) + CHOOSE(CONTROL!$C$27, 0.0021, 0)</f>
        <v>34.4054</v>
      </c>
      <c r="I218" s="10">
        <f>34.4033 * CHOOSE(CONTROL!$C$9, $D$9, 100%, $F$9) + CHOOSE(CONTROL!$C$27, 0.0021, 0)</f>
        <v>34.4054</v>
      </c>
      <c r="J218" s="10">
        <f>34.4033 * CHOOSE(CONTROL!$C$9, $D$9, 100%, $F$9) + CHOOSE(CONTROL!$C$27, 0.0021, 0)</f>
        <v>34.4054</v>
      </c>
      <c r="K218" s="10">
        <f>34.4033 * CHOOSE(CONTROL!$C$9, $D$9, 100%, $F$9) + CHOOSE(CONTROL!$C$27, 0.0021, 0)</f>
        <v>34.4054</v>
      </c>
      <c r="L218" s="10"/>
    </row>
    <row r="219" spans="1:12" ht="15" x14ac:dyDescent="0.2">
      <c r="A219" s="16">
        <v>47939</v>
      </c>
      <c r="B219" s="10">
        <f>34.363 * CHOOSE(CONTROL!$C$9, $D$9, 100%, $F$9) + CHOOSE(CONTROL!$C$27, 0.0021, 0)</f>
        <v>34.365099999999998</v>
      </c>
      <c r="C219" s="10">
        <f>33.9307 * CHOOSE(CONTROL!$C$9, $D$9, 100%, $F$9) + CHOOSE(CONTROL!$C$27, 0.0021, 0)</f>
        <v>33.9328</v>
      </c>
      <c r="D219" s="10">
        <f>33.9307 * CHOOSE(CONTROL!$C$9, $D$9, 100%, $F$9) + CHOOSE(CONTROL!$C$27, 0.0021, 0)</f>
        <v>33.9328</v>
      </c>
      <c r="E219" s="10">
        <f>33.7941 * CHOOSE(CONTROL!$C$9, $D$9, 100%, $F$9) + CHOOSE(CONTROL!$C$27, 0.0021, 0)</f>
        <v>33.796199999999999</v>
      </c>
      <c r="F219" s="10">
        <f>33.7941 * CHOOSE(CONTROL!$C$9, $D$9, 100%, $F$9) + CHOOSE(CONTROL!$C$27, 0.0021, 0)</f>
        <v>33.796199999999999</v>
      </c>
      <c r="G219" s="10">
        <f>34.0654 * CHOOSE(CONTROL!$C$9, $D$9, 100%, $F$9) + CHOOSE(CONTROL!$C$27, 0.0021, 0)</f>
        <v>34.067499999999995</v>
      </c>
      <c r="H219" s="10">
        <f>33.9307 * CHOOSE(CONTROL!$C$9, $D$9, 100%, $F$9) + CHOOSE(CONTROL!$C$27, 0.0021, 0)</f>
        <v>33.9328</v>
      </c>
      <c r="I219" s="10">
        <f>33.9307 * CHOOSE(CONTROL!$C$9, $D$9, 100%, $F$9) + CHOOSE(CONTROL!$C$27, 0.0021, 0)</f>
        <v>33.9328</v>
      </c>
      <c r="J219" s="10">
        <f>33.9307 * CHOOSE(CONTROL!$C$9, $D$9, 100%, $F$9) + CHOOSE(CONTROL!$C$27, 0.0021, 0)</f>
        <v>33.9328</v>
      </c>
      <c r="K219" s="10">
        <f>33.9307 * CHOOSE(CONTROL!$C$9, $D$9, 100%, $F$9) + CHOOSE(CONTROL!$C$27, 0.0021, 0)</f>
        <v>33.9328</v>
      </c>
      <c r="L219" s="10"/>
    </row>
    <row r="220" spans="1:12" ht="15" x14ac:dyDescent="0.2">
      <c r="A220" s="16">
        <v>47969</v>
      </c>
      <c r="B220" s="10">
        <f>35.0365 * CHOOSE(CONTROL!$C$9, $D$9, 100%, $F$9) + CHOOSE(CONTROL!$C$27, 0.0021, 0)</f>
        <v>35.038599999999995</v>
      </c>
      <c r="C220" s="10">
        <f>34.6042 * CHOOSE(CONTROL!$C$9, $D$9, 100%, $F$9) + CHOOSE(CONTROL!$C$27, 0.0021, 0)</f>
        <v>34.606299999999997</v>
      </c>
      <c r="D220" s="10">
        <f>34.6042 * CHOOSE(CONTROL!$C$9, $D$9, 100%, $F$9) + CHOOSE(CONTROL!$C$27, 0.0021, 0)</f>
        <v>34.606299999999997</v>
      </c>
      <c r="E220" s="10">
        <f>34.4676 * CHOOSE(CONTROL!$C$9, $D$9, 100%, $F$9) + CHOOSE(CONTROL!$C$27, 0.0021, 0)</f>
        <v>34.469699999999996</v>
      </c>
      <c r="F220" s="10">
        <f>34.4676 * CHOOSE(CONTROL!$C$9, $D$9, 100%, $F$9) + CHOOSE(CONTROL!$C$27, 0.0021, 0)</f>
        <v>34.469699999999996</v>
      </c>
      <c r="G220" s="10">
        <f>34.7389 * CHOOSE(CONTROL!$C$9, $D$9, 100%, $F$9) + CHOOSE(CONTROL!$C$27, 0.0021, 0)</f>
        <v>34.741</v>
      </c>
      <c r="H220" s="10">
        <f>34.6042 * CHOOSE(CONTROL!$C$9, $D$9, 100%, $F$9) + CHOOSE(CONTROL!$C$27, 0.0021, 0)</f>
        <v>34.606299999999997</v>
      </c>
      <c r="I220" s="10">
        <f>34.6042 * CHOOSE(CONTROL!$C$9, $D$9, 100%, $F$9) + CHOOSE(CONTROL!$C$27, 0.0021, 0)</f>
        <v>34.606299999999997</v>
      </c>
      <c r="J220" s="10">
        <f>34.6042 * CHOOSE(CONTROL!$C$9, $D$9, 100%, $F$9) + CHOOSE(CONTROL!$C$27, 0.0021, 0)</f>
        <v>34.606299999999997</v>
      </c>
      <c r="K220" s="10">
        <f>34.6042 * CHOOSE(CONTROL!$C$9, $D$9, 100%, $F$9) + CHOOSE(CONTROL!$C$27, 0.0021, 0)</f>
        <v>34.606299999999997</v>
      </c>
      <c r="L220" s="10"/>
    </row>
    <row r="221" spans="1:12" ht="15" x14ac:dyDescent="0.2">
      <c r="A221" s="16">
        <v>48000</v>
      </c>
      <c r="B221" s="10">
        <f>35.4399 * CHOOSE(CONTROL!$C$9, $D$9, 100%, $F$9) + CHOOSE(CONTROL!$C$27, 0.0021, 0)</f>
        <v>35.442</v>
      </c>
      <c r="C221" s="10">
        <f>35.0076 * CHOOSE(CONTROL!$C$9, $D$9, 100%, $F$9) + CHOOSE(CONTROL!$C$27, 0.0021, 0)</f>
        <v>35.009699999999995</v>
      </c>
      <c r="D221" s="10">
        <f>35.0076 * CHOOSE(CONTROL!$C$9, $D$9, 100%, $F$9) + CHOOSE(CONTROL!$C$27, 0.0021, 0)</f>
        <v>35.009699999999995</v>
      </c>
      <c r="E221" s="10">
        <f>34.871 * CHOOSE(CONTROL!$C$9, $D$9, 100%, $F$9) + CHOOSE(CONTROL!$C$27, 0.0021, 0)</f>
        <v>34.873100000000001</v>
      </c>
      <c r="F221" s="10">
        <f>34.871 * CHOOSE(CONTROL!$C$9, $D$9, 100%, $F$9) + CHOOSE(CONTROL!$C$27, 0.0021, 0)</f>
        <v>34.873100000000001</v>
      </c>
      <c r="G221" s="10">
        <f>35.1423 * CHOOSE(CONTROL!$C$9, $D$9, 100%, $F$9) + CHOOSE(CONTROL!$C$27, 0.0021, 0)</f>
        <v>35.144399999999997</v>
      </c>
      <c r="H221" s="10">
        <f>35.0076 * CHOOSE(CONTROL!$C$9, $D$9, 100%, $F$9) + CHOOSE(CONTROL!$C$27, 0.0021, 0)</f>
        <v>35.009699999999995</v>
      </c>
      <c r="I221" s="10">
        <f>35.0076 * CHOOSE(CONTROL!$C$9, $D$9, 100%, $F$9) + CHOOSE(CONTROL!$C$27, 0.0021, 0)</f>
        <v>35.009699999999995</v>
      </c>
      <c r="J221" s="10">
        <f>35.0076 * CHOOSE(CONTROL!$C$9, $D$9, 100%, $F$9) + CHOOSE(CONTROL!$C$27, 0.0021, 0)</f>
        <v>35.009699999999995</v>
      </c>
      <c r="K221" s="10">
        <f>35.0076 * CHOOSE(CONTROL!$C$9, $D$9, 100%, $F$9) + CHOOSE(CONTROL!$C$27, 0.0021, 0)</f>
        <v>35.009699999999995</v>
      </c>
      <c r="L221" s="10"/>
    </row>
    <row r="222" spans="1:12" ht="15" x14ac:dyDescent="0.2">
      <c r="A222" s="16">
        <v>48030</v>
      </c>
      <c r="B222" s="10">
        <f>36.1053 * CHOOSE(CONTROL!$C$9, $D$9, 100%, $F$9) + CHOOSE(CONTROL!$C$27, 0.0021, 0)</f>
        <v>36.107399999999998</v>
      </c>
      <c r="C222" s="10">
        <f>35.6731 * CHOOSE(CONTROL!$C$9, $D$9, 100%, $F$9) + CHOOSE(CONTROL!$C$27, 0.0021, 0)</f>
        <v>35.675199999999997</v>
      </c>
      <c r="D222" s="10">
        <f>35.6731 * CHOOSE(CONTROL!$C$9, $D$9, 100%, $F$9) + CHOOSE(CONTROL!$C$27, 0.0021, 0)</f>
        <v>35.675199999999997</v>
      </c>
      <c r="E222" s="10">
        <f>35.5364 * CHOOSE(CONTROL!$C$9, $D$9, 100%, $F$9) + CHOOSE(CONTROL!$C$27, 0.0021, 0)</f>
        <v>35.538499999999999</v>
      </c>
      <c r="F222" s="10">
        <f>35.5364 * CHOOSE(CONTROL!$C$9, $D$9, 100%, $F$9) + CHOOSE(CONTROL!$C$27, 0.0021, 0)</f>
        <v>35.538499999999999</v>
      </c>
      <c r="G222" s="10">
        <f>35.8078 * CHOOSE(CONTROL!$C$9, $D$9, 100%, $F$9) + CHOOSE(CONTROL!$C$27, 0.0021, 0)</f>
        <v>35.809899999999999</v>
      </c>
      <c r="H222" s="10">
        <f>35.6731 * CHOOSE(CONTROL!$C$9, $D$9, 100%, $F$9) + CHOOSE(CONTROL!$C$27, 0.0021, 0)</f>
        <v>35.675199999999997</v>
      </c>
      <c r="I222" s="10">
        <f>35.6731 * CHOOSE(CONTROL!$C$9, $D$9, 100%, $F$9) + CHOOSE(CONTROL!$C$27, 0.0021, 0)</f>
        <v>35.675199999999997</v>
      </c>
      <c r="J222" s="10">
        <f>35.6731 * CHOOSE(CONTROL!$C$9, $D$9, 100%, $F$9) + CHOOSE(CONTROL!$C$27, 0.0021, 0)</f>
        <v>35.675199999999997</v>
      </c>
      <c r="K222" s="10">
        <f>35.6731 * CHOOSE(CONTROL!$C$9, $D$9, 100%, $F$9) + CHOOSE(CONTROL!$C$27, 0.0021, 0)</f>
        <v>35.675199999999997</v>
      </c>
      <c r="L222" s="10"/>
    </row>
    <row r="223" spans="1:12" ht="15" x14ac:dyDescent="0.2">
      <c r="A223" s="16">
        <v>48061</v>
      </c>
      <c r="B223" s="10">
        <f>36.3084 * CHOOSE(CONTROL!$C$9, $D$9, 100%, $F$9) + CHOOSE(CONTROL!$C$27, 0.0021, 0)</f>
        <v>36.310499999999998</v>
      </c>
      <c r="C223" s="10">
        <f>35.8762 * CHOOSE(CONTROL!$C$9, $D$9, 100%, $F$9) + CHOOSE(CONTROL!$C$27, 0.0021, 0)</f>
        <v>35.878299999999996</v>
      </c>
      <c r="D223" s="10">
        <f>35.8762 * CHOOSE(CONTROL!$C$9, $D$9, 100%, $F$9) + CHOOSE(CONTROL!$C$27, 0.0021, 0)</f>
        <v>35.878299999999996</v>
      </c>
      <c r="E223" s="10">
        <f>35.7395 * CHOOSE(CONTROL!$C$9, $D$9, 100%, $F$9) + CHOOSE(CONTROL!$C$27, 0.0021, 0)</f>
        <v>35.741599999999998</v>
      </c>
      <c r="F223" s="10">
        <f>35.7395 * CHOOSE(CONTROL!$C$9, $D$9, 100%, $F$9) + CHOOSE(CONTROL!$C$27, 0.0021, 0)</f>
        <v>35.741599999999998</v>
      </c>
      <c r="G223" s="10">
        <f>36.0109 * CHOOSE(CONTROL!$C$9, $D$9, 100%, $F$9) + CHOOSE(CONTROL!$C$27, 0.0021, 0)</f>
        <v>36.012999999999998</v>
      </c>
      <c r="H223" s="10">
        <f>35.8762 * CHOOSE(CONTROL!$C$9, $D$9, 100%, $F$9) + CHOOSE(CONTROL!$C$27, 0.0021, 0)</f>
        <v>35.878299999999996</v>
      </c>
      <c r="I223" s="10">
        <f>35.8762 * CHOOSE(CONTROL!$C$9, $D$9, 100%, $F$9) + CHOOSE(CONTROL!$C$27, 0.0021, 0)</f>
        <v>35.878299999999996</v>
      </c>
      <c r="J223" s="10">
        <f>35.8762 * CHOOSE(CONTROL!$C$9, $D$9, 100%, $F$9) + CHOOSE(CONTROL!$C$27, 0.0021, 0)</f>
        <v>35.878299999999996</v>
      </c>
      <c r="K223" s="10">
        <f>35.8762 * CHOOSE(CONTROL!$C$9, $D$9, 100%, $F$9) + CHOOSE(CONTROL!$C$27, 0.0021, 0)</f>
        <v>35.878299999999996</v>
      </c>
      <c r="L223" s="10"/>
    </row>
    <row r="224" spans="1:12" ht="15" x14ac:dyDescent="0.2">
      <c r="A224" s="16">
        <v>48092</v>
      </c>
      <c r="B224" s="10">
        <f>37.0002 * CHOOSE(CONTROL!$C$9, $D$9, 100%, $F$9) + CHOOSE(CONTROL!$C$27, 0.0021, 0)</f>
        <v>37.002299999999998</v>
      </c>
      <c r="C224" s="10">
        <f>36.5679 * CHOOSE(CONTROL!$C$9, $D$9, 100%, $F$9) + CHOOSE(CONTROL!$C$27, 0.0021, 0)</f>
        <v>36.57</v>
      </c>
      <c r="D224" s="10">
        <f>36.5679 * CHOOSE(CONTROL!$C$9, $D$9, 100%, $F$9) + CHOOSE(CONTROL!$C$27, 0.0021, 0)</f>
        <v>36.57</v>
      </c>
      <c r="E224" s="10">
        <f>36.4313 * CHOOSE(CONTROL!$C$9, $D$9, 100%, $F$9) + CHOOSE(CONTROL!$C$27, 0.0021, 0)</f>
        <v>36.433399999999999</v>
      </c>
      <c r="F224" s="10">
        <f>36.4313 * CHOOSE(CONTROL!$C$9, $D$9, 100%, $F$9) + CHOOSE(CONTROL!$C$27, 0.0021, 0)</f>
        <v>36.433399999999999</v>
      </c>
      <c r="G224" s="10">
        <f>36.7026 * CHOOSE(CONTROL!$C$9, $D$9, 100%, $F$9) + CHOOSE(CONTROL!$C$27, 0.0021, 0)</f>
        <v>36.704699999999995</v>
      </c>
      <c r="H224" s="10">
        <f>36.5679 * CHOOSE(CONTROL!$C$9, $D$9, 100%, $F$9) + CHOOSE(CONTROL!$C$27, 0.0021, 0)</f>
        <v>36.57</v>
      </c>
      <c r="I224" s="10">
        <f>36.5679 * CHOOSE(CONTROL!$C$9, $D$9, 100%, $F$9) + CHOOSE(CONTROL!$C$27, 0.0021, 0)</f>
        <v>36.57</v>
      </c>
      <c r="J224" s="10">
        <f>36.5679 * CHOOSE(CONTROL!$C$9, $D$9, 100%, $F$9) + CHOOSE(CONTROL!$C$27, 0.0021, 0)</f>
        <v>36.57</v>
      </c>
      <c r="K224" s="10">
        <f>36.5679 * CHOOSE(CONTROL!$C$9, $D$9, 100%, $F$9) + CHOOSE(CONTROL!$C$27, 0.0021, 0)</f>
        <v>36.57</v>
      </c>
      <c r="L224" s="10"/>
    </row>
    <row r="225" spans="1:12" ht="15" x14ac:dyDescent="0.2">
      <c r="A225" s="16">
        <v>48122</v>
      </c>
      <c r="B225" s="10">
        <f>37.8758 * CHOOSE(CONTROL!$C$9, $D$9, 100%, $F$9) + CHOOSE(CONTROL!$C$27, 0.0021, 0)</f>
        <v>37.877899999999997</v>
      </c>
      <c r="C225" s="10">
        <f>37.4435 * CHOOSE(CONTROL!$C$9, $D$9, 100%, $F$9) + CHOOSE(CONTROL!$C$27, 0.0021, 0)</f>
        <v>37.445599999999999</v>
      </c>
      <c r="D225" s="10">
        <f>37.4435 * CHOOSE(CONTROL!$C$9, $D$9, 100%, $F$9) + CHOOSE(CONTROL!$C$27, 0.0021, 0)</f>
        <v>37.445599999999999</v>
      </c>
      <c r="E225" s="10">
        <f>37.3068 * CHOOSE(CONTROL!$C$9, $D$9, 100%, $F$9) + CHOOSE(CONTROL!$C$27, 0.0021, 0)</f>
        <v>37.308900000000001</v>
      </c>
      <c r="F225" s="10">
        <f>37.3068 * CHOOSE(CONTROL!$C$9, $D$9, 100%, $F$9) + CHOOSE(CONTROL!$C$27, 0.0021, 0)</f>
        <v>37.308900000000001</v>
      </c>
      <c r="G225" s="10">
        <f>37.5782 * CHOOSE(CONTROL!$C$9, $D$9, 100%, $F$9) + CHOOSE(CONTROL!$C$27, 0.0021, 0)</f>
        <v>37.580300000000001</v>
      </c>
      <c r="H225" s="10">
        <f>37.4435 * CHOOSE(CONTROL!$C$9, $D$9, 100%, $F$9) + CHOOSE(CONTROL!$C$27, 0.0021, 0)</f>
        <v>37.445599999999999</v>
      </c>
      <c r="I225" s="10">
        <f>37.4435 * CHOOSE(CONTROL!$C$9, $D$9, 100%, $F$9) + CHOOSE(CONTROL!$C$27, 0.0021, 0)</f>
        <v>37.445599999999999</v>
      </c>
      <c r="J225" s="10">
        <f>37.4435 * CHOOSE(CONTROL!$C$9, $D$9, 100%, $F$9) + CHOOSE(CONTROL!$C$27, 0.0021, 0)</f>
        <v>37.445599999999999</v>
      </c>
      <c r="K225" s="10">
        <f>37.4435 * CHOOSE(CONTROL!$C$9, $D$9, 100%, $F$9) + CHOOSE(CONTROL!$C$27, 0.0021, 0)</f>
        <v>37.445599999999999</v>
      </c>
      <c r="L225" s="10"/>
    </row>
    <row r="226" spans="1:12" ht="15" x14ac:dyDescent="0.2">
      <c r="A226" s="16">
        <v>48153</v>
      </c>
      <c r="B226" s="10">
        <f>37.9579 * CHOOSE(CONTROL!$C$9, $D$9, 100%, $F$9) + CHOOSE(CONTROL!$C$27, 0.0021, 0)</f>
        <v>37.96</v>
      </c>
      <c r="C226" s="10">
        <f>37.5257 * CHOOSE(CONTROL!$C$9, $D$9, 100%, $F$9) + CHOOSE(CONTROL!$C$27, 0.0021, 0)</f>
        <v>37.527799999999999</v>
      </c>
      <c r="D226" s="10">
        <f>37.5257 * CHOOSE(CONTROL!$C$9, $D$9, 100%, $F$9) + CHOOSE(CONTROL!$C$27, 0.0021, 0)</f>
        <v>37.527799999999999</v>
      </c>
      <c r="E226" s="10">
        <f>37.389 * CHOOSE(CONTROL!$C$9, $D$9, 100%, $F$9) + CHOOSE(CONTROL!$C$27, 0.0021, 0)</f>
        <v>37.391100000000002</v>
      </c>
      <c r="F226" s="10">
        <f>37.389 * CHOOSE(CONTROL!$C$9, $D$9, 100%, $F$9) + CHOOSE(CONTROL!$C$27, 0.0021, 0)</f>
        <v>37.391100000000002</v>
      </c>
      <c r="G226" s="10">
        <f>37.6604 * CHOOSE(CONTROL!$C$9, $D$9, 100%, $F$9) + CHOOSE(CONTROL!$C$27, 0.0021, 0)</f>
        <v>37.662500000000001</v>
      </c>
      <c r="H226" s="10">
        <f>37.5257 * CHOOSE(CONTROL!$C$9, $D$9, 100%, $F$9) + CHOOSE(CONTROL!$C$27, 0.0021, 0)</f>
        <v>37.527799999999999</v>
      </c>
      <c r="I226" s="10">
        <f>37.5257 * CHOOSE(CONTROL!$C$9, $D$9, 100%, $F$9) + CHOOSE(CONTROL!$C$27, 0.0021, 0)</f>
        <v>37.527799999999999</v>
      </c>
      <c r="J226" s="10">
        <f>37.5257 * CHOOSE(CONTROL!$C$9, $D$9, 100%, $F$9) + CHOOSE(CONTROL!$C$27, 0.0021, 0)</f>
        <v>37.527799999999999</v>
      </c>
      <c r="K226" s="10">
        <f>37.5257 * CHOOSE(CONTROL!$C$9, $D$9, 100%, $F$9) + CHOOSE(CONTROL!$C$27, 0.0021, 0)</f>
        <v>37.527799999999999</v>
      </c>
      <c r="L226" s="10"/>
    </row>
    <row r="227" spans="1:12" ht="15" x14ac:dyDescent="0.2">
      <c r="A227" s="16">
        <v>48183</v>
      </c>
      <c r="B227" s="10">
        <f>37.2586 * CHOOSE(CONTROL!$C$9, $D$9, 100%, $F$9) + CHOOSE(CONTROL!$C$27, 0.0021, 0)</f>
        <v>37.2607</v>
      </c>
      <c r="C227" s="10">
        <f>36.8264 * CHOOSE(CONTROL!$C$9, $D$9, 100%, $F$9) + CHOOSE(CONTROL!$C$27, 0.0021, 0)</f>
        <v>36.828499999999998</v>
      </c>
      <c r="D227" s="10">
        <f>36.8264 * CHOOSE(CONTROL!$C$9, $D$9, 100%, $F$9) + CHOOSE(CONTROL!$C$27, 0.0021, 0)</f>
        <v>36.828499999999998</v>
      </c>
      <c r="E227" s="10">
        <f>36.6897 * CHOOSE(CONTROL!$C$9, $D$9, 100%, $F$9) + CHOOSE(CONTROL!$C$27, 0.0021, 0)</f>
        <v>36.691800000000001</v>
      </c>
      <c r="F227" s="10">
        <f>36.6897 * CHOOSE(CONTROL!$C$9, $D$9, 100%, $F$9) + CHOOSE(CONTROL!$C$27, 0.0021, 0)</f>
        <v>36.691800000000001</v>
      </c>
      <c r="G227" s="10">
        <f>36.9611 * CHOOSE(CONTROL!$C$9, $D$9, 100%, $F$9) + CHOOSE(CONTROL!$C$27, 0.0021, 0)</f>
        <v>36.963200000000001</v>
      </c>
      <c r="H227" s="10">
        <f>36.8264 * CHOOSE(CONTROL!$C$9, $D$9, 100%, $F$9) + CHOOSE(CONTROL!$C$27, 0.0021, 0)</f>
        <v>36.828499999999998</v>
      </c>
      <c r="I227" s="10">
        <f>36.8264 * CHOOSE(CONTROL!$C$9, $D$9, 100%, $F$9) + CHOOSE(CONTROL!$C$27, 0.0021, 0)</f>
        <v>36.828499999999998</v>
      </c>
      <c r="J227" s="10">
        <f>36.8264 * CHOOSE(CONTROL!$C$9, $D$9, 100%, $F$9) + CHOOSE(CONTROL!$C$27, 0.0021, 0)</f>
        <v>36.828499999999998</v>
      </c>
      <c r="K227" s="10">
        <f>36.8264 * CHOOSE(CONTROL!$C$9, $D$9, 100%, $F$9) + CHOOSE(CONTROL!$C$27, 0.0021, 0)</f>
        <v>36.828499999999998</v>
      </c>
      <c r="L227" s="10"/>
    </row>
    <row r="228" spans="1:12" ht="15" x14ac:dyDescent="0.2">
      <c r="A228" s="16">
        <v>48214</v>
      </c>
      <c r="B228" s="10">
        <f>36.7232 * CHOOSE(CONTROL!$C$9, $D$9, 100%, $F$9) + CHOOSE(CONTROL!$C$27, 0.0021, 0)</f>
        <v>36.725299999999997</v>
      </c>
      <c r="C228" s="10">
        <f>36.291 * CHOOSE(CONTROL!$C$9, $D$9, 100%, $F$9) + CHOOSE(CONTROL!$C$27, 0.0021, 0)</f>
        <v>36.293099999999995</v>
      </c>
      <c r="D228" s="10">
        <f>36.291 * CHOOSE(CONTROL!$C$9, $D$9, 100%, $F$9) + CHOOSE(CONTROL!$C$27, 0.0021, 0)</f>
        <v>36.293099999999995</v>
      </c>
      <c r="E228" s="10">
        <f>36.1543 * CHOOSE(CONTROL!$C$9, $D$9, 100%, $F$9) + CHOOSE(CONTROL!$C$27, 0.0021, 0)</f>
        <v>36.156399999999998</v>
      </c>
      <c r="F228" s="10">
        <f>36.1543 * CHOOSE(CONTROL!$C$9, $D$9, 100%, $F$9) + CHOOSE(CONTROL!$C$27, 0.0021, 0)</f>
        <v>36.156399999999998</v>
      </c>
      <c r="G228" s="10">
        <f>36.4257 * CHOOSE(CONTROL!$C$9, $D$9, 100%, $F$9) + CHOOSE(CONTROL!$C$27, 0.0021, 0)</f>
        <v>36.427799999999998</v>
      </c>
      <c r="H228" s="10">
        <f>36.291 * CHOOSE(CONTROL!$C$9, $D$9, 100%, $F$9) + CHOOSE(CONTROL!$C$27, 0.0021, 0)</f>
        <v>36.293099999999995</v>
      </c>
      <c r="I228" s="10">
        <f>36.291 * CHOOSE(CONTROL!$C$9, $D$9, 100%, $F$9) + CHOOSE(CONTROL!$C$27, 0.0021, 0)</f>
        <v>36.293099999999995</v>
      </c>
      <c r="J228" s="10">
        <f>36.291 * CHOOSE(CONTROL!$C$9, $D$9, 100%, $F$9) + CHOOSE(CONTROL!$C$27, 0.0021, 0)</f>
        <v>36.293099999999995</v>
      </c>
      <c r="K228" s="10">
        <f>36.291 * CHOOSE(CONTROL!$C$9, $D$9, 100%, $F$9) + CHOOSE(CONTROL!$C$27, 0.0021, 0)</f>
        <v>36.293099999999995</v>
      </c>
      <c r="L228" s="10"/>
    </row>
    <row r="229" spans="1:12" ht="15" x14ac:dyDescent="0.2">
      <c r="A229" s="16">
        <v>48245</v>
      </c>
      <c r="B229" s="10">
        <f>35.7493 * CHOOSE(CONTROL!$C$9, $D$9, 100%, $F$9) + CHOOSE(CONTROL!$C$27, 0.0021, 0)</f>
        <v>35.751399999999997</v>
      </c>
      <c r="C229" s="10">
        <f>35.3171 * CHOOSE(CONTROL!$C$9, $D$9, 100%, $F$9) + CHOOSE(CONTROL!$C$27, 0.0021, 0)</f>
        <v>35.319200000000002</v>
      </c>
      <c r="D229" s="10">
        <f>35.3171 * CHOOSE(CONTROL!$C$9, $D$9, 100%, $F$9) + CHOOSE(CONTROL!$C$27, 0.0021, 0)</f>
        <v>35.319200000000002</v>
      </c>
      <c r="E229" s="10">
        <f>35.1804 * CHOOSE(CONTROL!$C$9, $D$9, 100%, $F$9) + CHOOSE(CONTROL!$C$27, 0.0021, 0)</f>
        <v>35.182499999999997</v>
      </c>
      <c r="F229" s="10">
        <f>35.1804 * CHOOSE(CONTROL!$C$9, $D$9, 100%, $F$9) + CHOOSE(CONTROL!$C$27, 0.0021, 0)</f>
        <v>35.182499999999997</v>
      </c>
      <c r="G229" s="10">
        <f>35.4518 * CHOOSE(CONTROL!$C$9, $D$9, 100%, $F$9) + CHOOSE(CONTROL!$C$27, 0.0021, 0)</f>
        <v>35.453899999999997</v>
      </c>
      <c r="H229" s="10">
        <f>35.3171 * CHOOSE(CONTROL!$C$9, $D$9, 100%, $F$9) + CHOOSE(CONTROL!$C$27, 0.0021, 0)</f>
        <v>35.319200000000002</v>
      </c>
      <c r="I229" s="10">
        <f>35.3171 * CHOOSE(CONTROL!$C$9, $D$9, 100%, $F$9) + CHOOSE(CONTROL!$C$27, 0.0021, 0)</f>
        <v>35.319200000000002</v>
      </c>
      <c r="J229" s="10">
        <f>35.3171 * CHOOSE(CONTROL!$C$9, $D$9, 100%, $F$9) + CHOOSE(CONTROL!$C$27, 0.0021, 0)</f>
        <v>35.319200000000002</v>
      </c>
      <c r="K229" s="10">
        <f>35.3171 * CHOOSE(CONTROL!$C$9, $D$9, 100%, $F$9) + CHOOSE(CONTROL!$C$27, 0.0021, 0)</f>
        <v>35.319200000000002</v>
      </c>
      <c r="L229" s="10"/>
    </row>
    <row r="230" spans="1:12" ht="15" x14ac:dyDescent="0.2">
      <c r="A230" s="16">
        <v>48274</v>
      </c>
      <c r="B230" s="10">
        <f>35.3473 * CHOOSE(CONTROL!$C$9, $D$9, 100%, $F$9) + CHOOSE(CONTROL!$C$27, 0.0021, 0)</f>
        <v>35.349399999999996</v>
      </c>
      <c r="C230" s="10">
        <f>34.9151 * CHOOSE(CONTROL!$C$9, $D$9, 100%, $F$9) + CHOOSE(CONTROL!$C$27, 0.0021, 0)</f>
        <v>34.917200000000001</v>
      </c>
      <c r="D230" s="10">
        <f>34.9151 * CHOOSE(CONTROL!$C$9, $D$9, 100%, $F$9) + CHOOSE(CONTROL!$C$27, 0.0021, 0)</f>
        <v>34.917200000000001</v>
      </c>
      <c r="E230" s="10">
        <f>34.7784 * CHOOSE(CONTROL!$C$9, $D$9, 100%, $F$9) + CHOOSE(CONTROL!$C$27, 0.0021, 0)</f>
        <v>34.780499999999996</v>
      </c>
      <c r="F230" s="10">
        <f>34.7784 * CHOOSE(CONTROL!$C$9, $D$9, 100%, $F$9) + CHOOSE(CONTROL!$C$27, 0.0021, 0)</f>
        <v>34.780499999999996</v>
      </c>
      <c r="G230" s="10">
        <f>35.0498 * CHOOSE(CONTROL!$C$9, $D$9, 100%, $F$9) + CHOOSE(CONTROL!$C$27, 0.0021, 0)</f>
        <v>35.051899999999996</v>
      </c>
      <c r="H230" s="10">
        <f>34.9151 * CHOOSE(CONTROL!$C$9, $D$9, 100%, $F$9) + CHOOSE(CONTROL!$C$27, 0.0021, 0)</f>
        <v>34.917200000000001</v>
      </c>
      <c r="I230" s="10">
        <f>34.9151 * CHOOSE(CONTROL!$C$9, $D$9, 100%, $F$9) + CHOOSE(CONTROL!$C$27, 0.0021, 0)</f>
        <v>34.917200000000001</v>
      </c>
      <c r="J230" s="10">
        <f>34.9151 * CHOOSE(CONTROL!$C$9, $D$9, 100%, $F$9) + CHOOSE(CONTROL!$C$27, 0.0021, 0)</f>
        <v>34.917200000000001</v>
      </c>
      <c r="K230" s="10">
        <f>34.9151 * CHOOSE(CONTROL!$C$9, $D$9, 100%, $F$9) + CHOOSE(CONTROL!$C$27, 0.0021, 0)</f>
        <v>34.917200000000001</v>
      </c>
      <c r="L230" s="10"/>
    </row>
    <row r="231" spans="1:12" ht="15" x14ac:dyDescent="0.2">
      <c r="A231" s="16">
        <v>48305</v>
      </c>
      <c r="B231" s="10">
        <f>34.8673 * CHOOSE(CONTROL!$C$9, $D$9, 100%, $F$9) + CHOOSE(CONTROL!$C$27, 0.0021, 0)</f>
        <v>34.869399999999999</v>
      </c>
      <c r="C231" s="10">
        <f>34.435 * CHOOSE(CONTROL!$C$9, $D$9, 100%, $F$9) + CHOOSE(CONTROL!$C$27, 0.0021, 0)</f>
        <v>34.437100000000001</v>
      </c>
      <c r="D231" s="10">
        <f>34.435 * CHOOSE(CONTROL!$C$9, $D$9, 100%, $F$9) + CHOOSE(CONTROL!$C$27, 0.0021, 0)</f>
        <v>34.437100000000001</v>
      </c>
      <c r="E231" s="10">
        <f>34.2984 * CHOOSE(CONTROL!$C$9, $D$9, 100%, $F$9) + CHOOSE(CONTROL!$C$27, 0.0021, 0)</f>
        <v>34.3005</v>
      </c>
      <c r="F231" s="10">
        <f>34.2984 * CHOOSE(CONTROL!$C$9, $D$9, 100%, $F$9) + CHOOSE(CONTROL!$C$27, 0.0021, 0)</f>
        <v>34.3005</v>
      </c>
      <c r="G231" s="10">
        <f>34.5697 * CHOOSE(CONTROL!$C$9, $D$9, 100%, $F$9) + CHOOSE(CONTROL!$C$27, 0.0021, 0)</f>
        <v>34.571799999999996</v>
      </c>
      <c r="H231" s="10">
        <f>34.435 * CHOOSE(CONTROL!$C$9, $D$9, 100%, $F$9) + CHOOSE(CONTROL!$C$27, 0.0021, 0)</f>
        <v>34.437100000000001</v>
      </c>
      <c r="I231" s="10">
        <f>34.435 * CHOOSE(CONTROL!$C$9, $D$9, 100%, $F$9) + CHOOSE(CONTROL!$C$27, 0.0021, 0)</f>
        <v>34.437100000000001</v>
      </c>
      <c r="J231" s="10">
        <f>34.435 * CHOOSE(CONTROL!$C$9, $D$9, 100%, $F$9) + CHOOSE(CONTROL!$C$27, 0.0021, 0)</f>
        <v>34.437100000000001</v>
      </c>
      <c r="K231" s="10">
        <f>34.435 * CHOOSE(CONTROL!$C$9, $D$9, 100%, $F$9) + CHOOSE(CONTROL!$C$27, 0.0021, 0)</f>
        <v>34.437100000000001</v>
      </c>
      <c r="L231" s="10"/>
    </row>
    <row r="232" spans="1:12" ht="15" x14ac:dyDescent="0.2">
      <c r="A232" s="16">
        <v>48335</v>
      </c>
      <c r="B232" s="10">
        <f>35.5514 * CHOOSE(CONTROL!$C$9, $D$9, 100%, $F$9) + CHOOSE(CONTROL!$C$27, 0.0021, 0)</f>
        <v>35.5535</v>
      </c>
      <c r="C232" s="10">
        <f>35.1191 * CHOOSE(CONTROL!$C$9, $D$9, 100%, $F$9) + CHOOSE(CONTROL!$C$27, 0.0021, 0)</f>
        <v>35.121200000000002</v>
      </c>
      <c r="D232" s="10">
        <f>35.1191 * CHOOSE(CONTROL!$C$9, $D$9, 100%, $F$9) + CHOOSE(CONTROL!$C$27, 0.0021, 0)</f>
        <v>35.121200000000002</v>
      </c>
      <c r="E232" s="10">
        <f>34.9825 * CHOOSE(CONTROL!$C$9, $D$9, 100%, $F$9) + CHOOSE(CONTROL!$C$27, 0.0021, 0)</f>
        <v>34.9846</v>
      </c>
      <c r="F232" s="10">
        <f>34.9825 * CHOOSE(CONTROL!$C$9, $D$9, 100%, $F$9) + CHOOSE(CONTROL!$C$27, 0.0021, 0)</f>
        <v>34.9846</v>
      </c>
      <c r="G232" s="10">
        <f>35.2538 * CHOOSE(CONTROL!$C$9, $D$9, 100%, $F$9) + CHOOSE(CONTROL!$C$27, 0.0021, 0)</f>
        <v>35.255899999999997</v>
      </c>
      <c r="H232" s="10">
        <f>35.1191 * CHOOSE(CONTROL!$C$9, $D$9, 100%, $F$9) + CHOOSE(CONTROL!$C$27, 0.0021, 0)</f>
        <v>35.121200000000002</v>
      </c>
      <c r="I232" s="10">
        <f>35.1191 * CHOOSE(CONTROL!$C$9, $D$9, 100%, $F$9) + CHOOSE(CONTROL!$C$27, 0.0021, 0)</f>
        <v>35.121200000000002</v>
      </c>
      <c r="J232" s="10">
        <f>35.1191 * CHOOSE(CONTROL!$C$9, $D$9, 100%, $F$9) + CHOOSE(CONTROL!$C$27, 0.0021, 0)</f>
        <v>35.121200000000002</v>
      </c>
      <c r="K232" s="10">
        <f>35.1191 * CHOOSE(CONTROL!$C$9, $D$9, 100%, $F$9) + CHOOSE(CONTROL!$C$27, 0.0021, 0)</f>
        <v>35.121200000000002</v>
      </c>
      <c r="L232" s="10"/>
    </row>
    <row r="233" spans="1:12" ht="15" x14ac:dyDescent="0.2">
      <c r="A233" s="16">
        <v>48366</v>
      </c>
      <c r="B233" s="10">
        <f>35.9611 * CHOOSE(CONTROL!$C$9, $D$9, 100%, $F$9) + CHOOSE(CONTROL!$C$27, 0.0021, 0)</f>
        <v>35.963200000000001</v>
      </c>
      <c r="C233" s="10">
        <f>35.5289 * CHOOSE(CONTROL!$C$9, $D$9, 100%, $F$9) + CHOOSE(CONTROL!$C$27, 0.0021, 0)</f>
        <v>35.530999999999999</v>
      </c>
      <c r="D233" s="10">
        <f>35.5289 * CHOOSE(CONTROL!$C$9, $D$9, 100%, $F$9) + CHOOSE(CONTROL!$C$27, 0.0021, 0)</f>
        <v>35.530999999999999</v>
      </c>
      <c r="E233" s="10">
        <f>35.3922 * CHOOSE(CONTROL!$C$9, $D$9, 100%, $F$9) + CHOOSE(CONTROL!$C$27, 0.0021, 0)</f>
        <v>35.394300000000001</v>
      </c>
      <c r="F233" s="10">
        <f>35.3922 * CHOOSE(CONTROL!$C$9, $D$9, 100%, $F$9) + CHOOSE(CONTROL!$C$27, 0.0021, 0)</f>
        <v>35.394300000000001</v>
      </c>
      <c r="G233" s="10">
        <f>35.6636 * CHOOSE(CONTROL!$C$9, $D$9, 100%, $F$9) + CHOOSE(CONTROL!$C$27, 0.0021, 0)</f>
        <v>35.665700000000001</v>
      </c>
      <c r="H233" s="10">
        <f>35.5289 * CHOOSE(CONTROL!$C$9, $D$9, 100%, $F$9) + CHOOSE(CONTROL!$C$27, 0.0021, 0)</f>
        <v>35.530999999999999</v>
      </c>
      <c r="I233" s="10">
        <f>35.5289 * CHOOSE(CONTROL!$C$9, $D$9, 100%, $F$9) + CHOOSE(CONTROL!$C$27, 0.0021, 0)</f>
        <v>35.530999999999999</v>
      </c>
      <c r="J233" s="10">
        <f>35.5289 * CHOOSE(CONTROL!$C$9, $D$9, 100%, $F$9) + CHOOSE(CONTROL!$C$27, 0.0021, 0)</f>
        <v>35.530999999999999</v>
      </c>
      <c r="K233" s="10">
        <f>35.5289 * CHOOSE(CONTROL!$C$9, $D$9, 100%, $F$9) + CHOOSE(CONTROL!$C$27, 0.0021, 0)</f>
        <v>35.530999999999999</v>
      </c>
      <c r="L233" s="10"/>
    </row>
    <row r="234" spans="1:12" ht="15" x14ac:dyDescent="0.2">
      <c r="A234" s="16">
        <v>48396</v>
      </c>
      <c r="B234" s="10">
        <f>36.637 * CHOOSE(CONTROL!$C$9, $D$9, 100%, $F$9) + CHOOSE(CONTROL!$C$27, 0.0021, 0)</f>
        <v>36.639099999999999</v>
      </c>
      <c r="C234" s="10">
        <f>36.2048 * CHOOSE(CONTROL!$C$9, $D$9, 100%, $F$9) + CHOOSE(CONTROL!$C$27, 0.0021, 0)</f>
        <v>36.206899999999997</v>
      </c>
      <c r="D234" s="10">
        <f>36.2048 * CHOOSE(CONTROL!$C$9, $D$9, 100%, $F$9) + CHOOSE(CONTROL!$C$27, 0.0021, 0)</f>
        <v>36.206899999999997</v>
      </c>
      <c r="E234" s="10">
        <f>36.0681 * CHOOSE(CONTROL!$C$9, $D$9, 100%, $F$9) + CHOOSE(CONTROL!$C$27, 0.0021, 0)</f>
        <v>36.0702</v>
      </c>
      <c r="F234" s="10">
        <f>36.0681 * CHOOSE(CONTROL!$C$9, $D$9, 100%, $F$9) + CHOOSE(CONTROL!$C$27, 0.0021, 0)</f>
        <v>36.0702</v>
      </c>
      <c r="G234" s="10">
        <f>36.3395 * CHOOSE(CONTROL!$C$9, $D$9, 100%, $F$9) + CHOOSE(CONTROL!$C$27, 0.0021, 0)</f>
        <v>36.3416</v>
      </c>
      <c r="H234" s="10">
        <f>36.2048 * CHOOSE(CONTROL!$C$9, $D$9, 100%, $F$9) + CHOOSE(CONTROL!$C$27, 0.0021, 0)</f>
        <v>36.206899999999997</v>
      </c>
      <c r="I234" s="10">
        <f>36.2048 * CHOOSE(CONTROL!$C$9, $D$9, 100%, $F$9) + CHOOSE(CONTROL!$C$27, 0.0021, 0)</f>
        <v>36.206899999999997</v>
      </c>
      <c r="J234" s="10">
        <f>36.2048 * CHOOSE(CONTROL!$C$9, $D$9, 100%, $F$9) + CHOOSE(CONTROL!$C$27, 0.0021, 0)</f>
        <v>36.206899999999997</v>
      </c>
      <c r="K234" s="10">
        <f>36.2048 * CHOOSE(CONTROL!$C$9, $D$9, 100%, $F$9) + CHOOSE(CONTROL!$C$27, 0.0021, 0)</f>
        <v>36.206899999999997</v>
      </c>
      <c r="L234" s="10"/>
    </row>
    <row r="235" spans="1:12" ht="15" x14ac:dyDescent="0.2">
      <c r="A235" s="16">
        <v>48427</v>
      </c>
      <c r="B235" s="10">
        <f>36.8433 * CHOOSE(CONTROL!$C$9, $D$9, 100%, $F$9) + CHOOSE(CONTROL!$C$27, 0.0021, 0)</f>
        <v>36.845399999999998</v>
      </c>
      <c r="C235" s="10">
        <f>36.4111 * CHOOSE(CONTROL!$C$9, $D$9, 100%, $F$9) + CHOOSE(CONTROL!$C$27, 0.0021, 0)</f>
        <v>36.413199999999996</v>
      </c>
      <c r="D235" s="10">
        <f>36.4111 * CHOOSE(CONTROL!$C$9, $D$9, 100%, $F$9) + CHOOSE(CONTROL!$C$27, 0.0021, 0)</f>
        <v>36.413199999999996</v>
      </c>
      <c r="E235" s="10">
        <f>36.2744 * CHOOSE(CONTROL!$C$9, $D$9, 100%, $F$9) + CHOOSE(CONTROL!$C$27, 0.0021, 0)</f>
        <v>36.276499999999999</v>
      </c>
      <c r="F235" s="10">
        <f>36.2744 * CHOOSE(CONTROL!$C$9, $D$9, 100%, $F$9) + CHOOSE(CONTROL!$C$27, 0.0021, 0)</f>
        <v>36.276499999999999</v>
      </c>
      <c r="G235" s="10">
        <f>36.5458 * CHOOSE(CONTROL!$C$9, $D$9, 100%, $F$9) + CHOOSE(CONTROL!$C$27, 0.0021, 0)</f>
        <v>36.547899999999998</v>
      </c>
      <c r="H235" s="10">
        <f>36.4111 * CHOOSE(CONTROL!$C$9, $D$9, 100%, $F$9) + CHOOSE(CONTROL!$C$27, 0.0021, 0)</f>
        <v>36.413199999999996</v>
      </c>
      <c r="I235" s="10">
        <f>36.4111 * CHOOSE(CONTROL!$C$9, $D$9, 100%, $F$9) + CHOOSE(CONTROL!$C$27, 0.0021, 0)</f>
        <v>36.413199999999996</v>
      </c>
      <c r="J235" s="10">
        <f>36.4111 * CHOOSE(CONTROL!$C$9, $D$9, 100%, $F$9) + CHOOSE(CONTROL!$C$27, 0.0021, 0)</f>
        <v>36.413199999999996</v>
      </c>
      <c r="K235" s="10">
        <f>36.4111 * CHOOSE(CONTROL!$C$9, $D$9, 100%, $F$9) + CHOOSE(CONTROL!$C$27, 0.0021, 0)</f>
        <v>36.413199999999996</v>
      </c>
      <c r="L235" s="10"/>
    </row>
    <row r="236" spans="1:12" ht="15" x14ac:dyDescent="0.2">
      <c r="A236" s="16">
        <v>48458</v>
      </c>
      <c r="B236" s="10">
        <f>37.5459 * CHOOSE(CONTROL!$C$9, $D$9, 100%, $F$9) + CHOOSE(CONTROL!$C$27, 0.0021, 0)</f>
        <v>37.548000000000002</v>
      </c>
      <c r="C236" s="10">
        <f>37.1137 * CHOOSE(CONTROL!$C$9, $D$9, 100%, $F$9) + CHOOSE(CONTROL!$C$27, 0.0021, 0)</f>
        <v>37.1158</v>
      </c>
      <c r="D236" s="10">
        <f>37.1137 * CHOOSE(CONTROL!$C$9, $D$9, 100%, $F$9) + CHOOSE(CONTROL!$C$27, 0.0021, 0)</f>
        <v>37.1158</v>
      </c>
      <c r="E236" s="10">
        <f>36.977 * CHOOSE(CONTROL!$C$9, $D$9, 100%, $F$9) + CHOOSE(CONTROL!$C$27, 0.0021, 0)</f>
        <v>36.979099999999995</v>
      </c>
      <c r="F236" s="10">
        <f>36.977 * CHOOSE(CONTROL!$C$9, $D$9, 100%, $F$9) + CHOOSE(CONTROL!$C$27, 0.0021, 0)</f>
        <v>36.979099999999995</v>
      </c>
      <c r="G236" s="10">
        <f>37.2484 * CHOOSE(CONTROL!$C$9, $D$9, 100%, $F$9) + CHOOSE(CONTROL!$C$27, 0.0021, 0)</f>
        <v>37.250499999999995</v>
      </c>
      <c r="H236" s="10">
        <f>37.1137 * CHOOSE(CONTROL!$C$9, $D$9, 100%, $F$9) + CHOOSE(CONTROL!$C$27, 0.0021, 0)</f>
        <v>37.1158</v>
      </c>
      <c r="I236" s="10">
        <f>37.1137 * CHOOSE(CONTROL!$C$9, $D$9, 100%, $F$9) + CHOOSE(CONTROL!$C$27, 0.0021, 0)</f>
        <v>37.1158</v>
      </c>
      <c r="J236" s="10">
        <f>37.1137 * CHOOSE(CONTROL!$C$9, $D$9, 100%, $F$9) + CHOOSE(CONTROL!$C$27, 0.0021, 0)</f>
        <v>37.1158</v>
      </c>
      <c r="K236" s="10">
        <f>37.1137 * CHOOSE(CONTROL!$C$9, $D$9, 100%, $F$9) + CHOOSE(CONTROL!$C$27, 0.0021, 0)</f>
        <v>37.1158</v>
      </c>
      <c r="L236" s="10"/>
    </row>
    <row r="237" spans="1:12" ht="15" x14ac:dyDescent="0.2">
      <c r="A237" s="16">
        <v>48488</v>
      </c>
      <c r="B237" s="10">
        <f>38.4353 * CHOOSE(CONTROL!$C$9, $D$9, 100%, $F$9) + CHOOSE(CONTROL!$C$27, 0.0021, 0)</f>
        <v>38.437399999999997</v>
      </c>
      <c r="C237" s="10">
        <f>38.0031 * CHOOSE(CONTROL!$C$9, $D$9, 100%, $F$9) + CHOOSE(CONTROL!$C$27, 0.0021, 0)</f>
        <v>38.005200000000002</v>
      </c>
      <c r="D237" s="10">
        <f>38.0031 * CHOOSE(CONTROL!$C$9, $D$9, 100%, $F$9) + CHOOSE(CONTROL!$C$27, 0.0021, 0)</f>
        <v>38.005200000000002</v>
      </c>
      <c r="E237" s="10">
        <f>37.8664 * CHOOSE(CONTROL!$C$9, $D$9, 100%, $F$9) + CHOOSE(CONTROL!$C$27, 0.0021, 0)</f>
        <v>37.868499999999997</v>
      </c>
      <c r="F237" s="10">
        <f>37.8664 * CHOOSE(CONTROL!$C$9, $D$9, 100%, $F$9) + CHOOSE(CONTROL!$C$27, 0.0021, 0)</f>
        <v>37.868499999999997</v>
      </c>
      <c r="G237" s="10">
        <f>38.1378 * CHOOSE(CONTROL!$C$9, $D$9, 100%, $F$9) + CHOOSE(CONTROL!$C$27, 0.0021, 0)</f>
        <v>38.139899999999997</v>
      </c>
      <c r="H237" s="10">
        <f>38.0031 * CHOOSE(CONTROL!$C$9, $D$9, 100%, $F$9) + CHOOSE(CONTROL!$C$27, 0.0021, 0)</f>
        <v>38.005200000000002</v>
      </c>
      <c r="I237" s="10">
        <f>38.0031 * CHOOSE(CONTROL!$C$9, $D$9, 100%, $F$9) + CHOOSE(CONTROL!$C$27, 0.0021, 0)</f>
        <v>38.005200000000002</v>
      </c>
      <c r="J237" s="10">
        <f>38.0031 * CHOOSE(CONTROL!$C$9, $D$9, 100%, $F$9) + CHOOSE(CONTROL!$C$27, 0.0021, 0)</f>
        <v>38.005200000000002</v>
      </c>
      <c r="K237" s="10">
        <f>38.0031 * CHOOSE(CONTROL!$C$9, $D$9, 100%, $F$9) + CHOOSE(CONTROL!$C$27, 0.0021, 0)</f>
        <v>38.005200000000002</v>
      </c>
      <c r="L237" s="10"/>
    </row>
    <row r="238" spans="1:12" ht="15" x14ac:dyDescent="0.2">
      <c r="A238" s="16">
        <v>48519</v>
      </c>
      <c r="B238" s="10">
        <f>38.5188 * CHOOSE(CONTROL!$C$9, $D$9, 100%, $F$9) + CHOOSE(CONTROL!$C$27, 0.0021, 0)</f>
        <v>38.520899999999997</v>
      </c>
      <c r="C238" s="10">
        <f>38.0865 * CHOOSE(CONTROL!$C$9, $D$9, 100%, $F$9) + CHOOSE(CONTROL!$C$27, 0.0021, 0)</f>
        <v>38.0886</v>
      </c>
      <c r="D238" s="10">
        <f>38.0865 * CHOOSE(CONTROL!$C$9, $D$9, 100%, $F$9) + CHOOSE(CONTROL!$C$27, 0.0021, 0)</f>
        <v>38.0886</v>
      </c>
      <c r="E238" s="10">
        <f>37.9499 * CHOOSE(CONTROL!$C$9, $D$9, 100%, $F$9) + CHOOSE(CONTROL!$C$27, 0.0021, 0)</f>
        <v>37.951999999999998</v>
      </c>
      <c r="F238" s="10">
        <f>37.9499 * CHOOSE(CONTROL!$C$9, $D$9, 100%, $F$9) + CHOOSE(CONTROL!$C$27, 0.0021, 0)</f>
        <v>37.951999999999998</v>
      </c>
      <c r="G238" s="10">
        <f>38.2213 * CHOOSE(CONTROL!$C$9, $D$9, 100%, $F$9) + CHOOSE(CONTROL!$C$27, 0.0021, 0)</f>
        <v>38.223399999999998</v>
      </c>
      <c r="H238" s="10">
        <f>38.0865 * CHOOSE(CONTROL!$C$9, $D$9, 100%, $F$9) + CHOOSE(CONTROL!$C$27, 0.0021, 0)</f>
        <v>38.0886</v>
      </c>
      <c r="I238" s="10">
        <f>38.0865 * CHOOSE(CONTROL!$C$9, $D$9, 100%, $F$9) + CHOOSE(CONTROL!$C$27, 0.0021, 0)</f>
        <v>38.0886</v>
      </c>
      <c r="J238" s="10">
        <f>38.0865 * CHOOSE(CONTROL!$C$9, $D$9, 100%, $F$9) + CHOOSE(CONTROL!$C$27, 0.0021, 0)</f>
        <v>38.0886</v>
      </c>
      <c r="K238" s="10">
        <f>38.0865 * CHOOSE(CONTROL!$C$9, $D$9, 100%, $F$9) + CHOOSE(CONTROL!$C$27, 0.0021, 0)</f>
        <v>38.0886</v>
      </c>
      <c r="L238" s="10"/>
    </row>
    <row r="239" spans="1:12" ht="15" x14ac:dyDescent="0.2">
      <c r="A239" s="16">
        <v>48549</v>
      </c>
      <c r="B239" s="10">
        <f>37.8085 * CHOOSE(CONTROL!$C$9, $D$9, 100%, $F$9) + CHOOSE(CONTROL!$C$27, 0.0021, 0)</f>
        <v>37.810600000000001</v>
      </c>
      <c r="C239" s="10">
        <f>37.3762 * CHOOSE(CONTROL!$C$9, $D$9, 100%, $F$9) + CHOOSE(CONTROL!$C$27, 0.0021, 0)</f>
        <v>37.378299999999996</v>
      </c>
      <c r="D239" s="10">
        <f>37.3762 * CHOOSE(CONTROL!$C$9, $D$9, 100%, $F$9) + CHOOSE(CONTROL!$C$27, 0.0021, 0)</f>
        <v>37.378299999999996</v>
      </c>
      <c r="E239" s="10">
        <f>37.2396 * CHOOSE(CONTROL!$C$9, $D$9, 100%, $F$9) + CHOOSE(CONTROL!$C$27, 0.0021, 0)</f>
        <v>37.241700000000002</v>
      </c>
      <c r="F239" s="10">
        <f>37.2396 * CHOOSE(CONTROL!$C$9, $D$9, 100%, $F$9) + CHOOSE(CONTROL!$C$27, 0.0021, 0)</f>
        <v>37.241700000000002</v>
      </c>
      <c r="G239" s="10">
        <f>37.5109 * CHOOSE(CONTROL!$C$9, $D$9, 100%, $F$9) + CHOOSE(CONTROL!$C$27, 0.0021, 0)</f>
        <v>37.512999999999998</v>
      </c>
      <c r="H239" s="10">
        <f>37.3762 * CHOOSE(CONTROL!$C$9, $D$9, 100%, $F$9) + CHOOSE(CONTROL!$C$27, 0.0021, 0)</f>
        <v>37.378299999999996</v>
      </c>
      <c r="I239" s="10">
        <f>37.3762 * CHOOSE(CONTROL!$C$9, $D$9, 100%, $F$9) + CHOOSE(CONTROL!$C$27, 0.0021, 0)</f>
        <v>37.378299999999996</v>
      </c>
      <c r="J239" s="10">
        <f>37.3762 * CHOOSE(CONTROL!$C$9, $D$9, 100%, $F$9) + CHOOSE(CONTROL!$C$27, 0.0021, 0)</f>
        <v>37.378299999999996</v>
      </c>
      <c r="K239" s="10">
        <f>37.3762 * CHOOSE(CONTROL!$C$9, $D$9, 100%, $F$9) + CHOOSE(CONTROL!$C$27, 0.0021, 0)</f>
        <v>37.378299999999996</v>
      </c>
      <c r="L239" s="10"/>
    </row>
    <row r="240" spans="1:12" ht="15" x14ac:dyDescent="0.2">
      <c r="A240" s="16">
        <v>48580</v>
      </c>
      <c r="B240" s="10">
        <f>37.2646 * CHOOSE(CONTROL!$C$9, $D$9, 100%, $F$9) + CHOOSE(CONTROL!$C$27, 0.0021, 0)</f>
        <v>37.2667</v>
      </c>
      <c r="C240" s="10">
        <f>36.8324 * CHOOSE(CONTROL!$C$9, $D$9, 100%, $F$9) + CHOOSE(CONTROL!$C$27, 0.0021, 0)</f>
        <v>36.834499999999998</v>
      </c>
      <c r="D240" s="10">
        <f>36.8324 * CHOOSE(CONTROL!$C$9, $D$9, 100%, $F$9) + CHOOSE(CONTROL!$C$27, 0.0021, 0)</f>
        <v>36.834499999999998</v>
      </c>
      <c r="E240" s="10">
        <f>36.6957 * CHOOSE(CONTROL!$C$9, $D$9, 100%, $F$9) + CHOOSE(CONTROL!$C$27, 0.0021, 0)</f>
        <v>36.697800000000001</v>
      </c>
      <c r="F240" s="10">
        <f>36.6957 * CHOOSE(CONTROL!$C$9, $D$9, 100%, $F$9) + CHOOSE(CONTROL!$C$27, 0.0021, 0)</f>
        <v>36.697800000000001</v>
      </c>
      <c r="G240" s="10">
        <f>36.9671 * CHOOSE(CONTROL!$C$9, $D$9, 100%, $F$9) + CHOOSE(CONTROL!$C$27, 0.0021, 0)</f>
        <v>36.969200000000001</v>
      </c>
      <c r="H240" s="10">
        <f>36.8324 * CHOOSE(CONTROL!$C$9, $D$9, 100%, $F$9) + CHOOSE(CONTROL!$C$27, 0.0021, 0)</f>
        <v>36.834499999999998</v>
      </c>
      <c r="I240" s="10">
        <f>36.8324 * CHOOSE(CONTROL!$C$9, $D$9, 100%, $F$9) + CHOOSE(CONTROL!$C$27, 0.0021, 0)</f>
        <v>36.834499999999998</v>
      </c>
      <c r="J240" s="10">
        <f>36.8324 * CHOOSE(CONTROL!$C$9, $D$9, 100%, $F$9) + CHOOSE(CONTROL!$C$27, 0.0021, 0)</f>
        <v>36.834499999999998</v>
      </c>
      <c r="K240" s="10">
        <f>36.8324 * CHOOSE(CONTROL!$C$9, $D$9, 100%, $F$9) + CHOOSE(CONTROL!$C$27, 0.0021, 0)</f>
        <v>36.834499999999998</v>
      </c>
      <c r="L240" s="10"/>
    </row>
    <row r="241" spans="1:12" ht="15" x14ac:dyDescent="0.2">
      <c r="A241" s="16">
        <v>48611</v>
      </c>
      <c r="B241" s="10">
        <f>36.2754 * CHOOSE(CONTROL!$C$9, $D$9, 100%, $F$9) + CHOOSE(CONTROL!$C$27, 0.0021, 0)</f>
        <v>36.277499999999996</v>
      </c>
      <c r="C241" s="10">
        <f>35.8432 * CHOOSE(CONTROL!$C$9, $D$9, 100%, $F$9) + CHOOSE(CONTROL!$C$27, 0.0021, 0)</f>
        <v>35.845300000000002</v>
      </c>
      <c r="D241" s="10">
        <f>35.8432 * CHOOSE(CONTROL!$C$9, $D$9, 100%, $F$9) + CHOOSE(CONTROL!$C$27, 0.0021, 0)</f>
        <v>35.845300000000002</v>
      </c>
      <c r="E241" s="10">
        <f>35.7065 * CHOOSE(CONTROL!$C$9, $D$9, 100%, $F$9) + CHOOSE(CONTROL!$C$27, 0.0021, 0)</f>
        <v>35.708599999999997</v>
      </c>
      <c r="F241" s="10">
        <f>35.7065 * CHOOSE(CONTROL!$C$9, $D$9, 100%, $F$9) + CHOOSE(CONTROL!$C$27, 0.0021, 0)</f>
        <v>35.708599999999997</v>
      </c>
      <c r="G241" s="10">
        <f>35.9779 * CHOOSE(CONTROL!$C$9, $D$9, 100%, $F$9) + CHOOSE(CONTROL!$C$27, 0.0021, 0)</f>
        <v>35.979999999999997</v>
      </c>
      <c r="H241" s="10">
        <f>35.8432 * CHOOSE(CONTROL!$C$9, $D$9, 100%, $F$9) + CHOOSE(CONTROL!$C$27, 0.0021, 0)</f>
        <v>35.845300000000002</v>
      </c>
      <c r="I241" s="10">
        <f>35.8432 * CHOOSE(CONTROL!$C$9, $D$9, 100%, $F$9) + CHOOSE(CONTROL!$C$27, 0.0021, 0)</f>
        <v>35.845300000000002</v>
      </c>
      <c r="J241" s="10">
        <f>35.8432 * CHOOSE(CONTROL!$C$9, $D$9, 100%, $F$9) + CHOOSE(CONTROL!$C$27, 0.0021, 0)</f>
        <v>35.845300000000002</v>
      </c>
      <c r="K241" s="10">
        <f>35.8432 * CHOOSE(CONTROL!$C$9, $D$9, 100%, $F$9) + CHOOSE(CONTROL!$C$27, 0.0021, 0)</f>
        <v>35.845300000000002</v>
      </c>
      <c r="L241" s="10"/>
    </row>
    <row r="242" spans="1:12" ht="15" x14ac:dyDescent="0.2">
      <c r="A242" s="16">
        <v>48639</v>
      </c>
      <c r="B242" s="10">
        <f>35.8671 * CHOOSE(CONTROL!$C$9, $D$9, 100%, $F$9) + CHOOSE(CONTROL!$C$27, 0.0021, 0)</f>
        <v>35.869199999999999</v>
      </c>
      <c r="C242" s="10">
        <f>35.4348 * CHOOSE(CONTROL!$C$9, $D$9, 100%, $F$9) + CHOOSE(CONTROL!$C$27, 0.0021, 0)</f>
        <v>35.436900000000001</v>
      </c>
      <c r="D242" s="10">
        <f>35.4348 * CHOOSE(CONTROL!$C$9, $D$9, 100%, $F$9) + CHOOSE(CONTROL!$C$27, 0.0021, 0)</f>
        <v>35.436900000000001</v>
      </c>
      <c r="E242" s="10">
        <f>35.2982 * CHOOSE(CONTROL!$C$9, $D$9, 100%, $F$9) + CHOOSE(CONTROL!$C$27, 0.0021, 0)</f>
        <v>35.3003</v>
      </c>
      <c r="F242" s="10">
        <f>35.2982 * CHOOSE(CONTROL!$C$9, $D$9, 100%, $F$9) + CHOOSE(CONTROL!$C$27, 0.0021, 0)</f>
        <v>35.3003</v>
      </c>
      <c r="G242" s="10">
        <f>35.5696 * CHOOSE(CONTROL!$C$9, $D$9, 100%, $F$9) + CHOOSE(CONTROL!$C$27, 0.0021, 0)</f>
        <v>35.5717</v>
      </c>
      <c r="H242" s="10">
        <f>35.4348 * CHOOSE(CONTROL!$C$9, $D$9, 100%, $F$9) + CHOOSE(CONTROL!$C$27, 0.0021, 0)</f>
        <v>35.436900000000001</v>
      </c>
      <c r="I242" s="10">
        <f>35.4348 * CHOOSE(CONTROL!$C$9, $D$9, 100%, $F$9) + CHOOSE(CONTROL!$C$27, 0.0021, 0)</f>
        <v>35.436900000000001</v>
      </c>
      <c r="J242" s="10">
        <f>35.4348 * CHOOSE(CONTROL!$C$9, $D$9, 100%, $F$9) + CHOOSE(CONTROL!$C$27, 0.0021, 0)</f>
        <v>35.436900000000001</v>
      </c>
      <c r="K242" s="10">
        <f>35.4348 * CHOOSE(CONTROL!$C$9, $D$9, 100%, $F$9) + CHOOSE(CONTROL!$C$27, 0.0021, 0)</f>
        <v>35.436900000000001</v>
      </c>
      <c r="L242" s="10"/>
    </row>
    <row r="243" spans="1:12" ht="15" x14ac:dyDescent="0.2">
      <c r="A243" s="16">
        <v>48670</v>
      </c>
      <c r="B243" s="10">
        <f>35.3795 * CHOOSE(CONTROL!$C$9, $D$9, 100%, $F$9) + CHOOSE(CONTROL!$C$27, 0.0021, 0)</f>
        <v>35.381599999999999</v>
      </c>
      <c r="C243" s="10">
        <f>34.9473 * CHOOSE(CONTROL!$C$9, $D$9, 100%, $F$9) + CHOOSE(CONTROL!$C$27, 0.0021, 0)</f>
        <v>34.949399999999997</v>
      </c>
      <c r="D243" s="10">
        <f>34.9473 * CHOOSE(CONTROL!$C$9, $D$9, 100%, $F$9) + CHOOSE(CONTROL!$C$27, 0.0021, 0)</f>
        <v>34.949399999999997</v>
      </c>
      <c r="E243" s="10">
        <f>34.8106 * CHOOSE(CONTROL!$C$9, $D$9, 100%, $F$9) + CHOOSE(CONTROL!$C$27, 0.0021, 0)</f>
        <v>34.8127</v>
      </c>
      <c r="F243" s="10">
        <f>34.8106 * CHOOSE(CONTROL!$C$9, $D$9, 100%, $F$9) + CHOOSE(CONTROL!$C$27, 0.0021, 0)</f>
        <v>34.8127</v>
      </c>
      <c r="G243" s="10">
        <f>35.082 * CHOOSE(CONTROL!$C$9, $D$9, 100%, $F$9) + CHOOSE(CONTROL!$C$27, 0.0021, 0)</f>
        <v>35.084099999999999</v>
      </c>
      <c r="H243" s="10">
        <f>34.9473 * CHOOSE(CONTROL!$C$9, $D$9, 100%, $F$9) + CHOOSE(CONTROL!$C$27, 0.0021, 0)</f>
        <v>34.949399999999997</v>
      </c>
      <c r="I243" s="10">
        <f>34.9473 * CHOOSE(CONTROL!$C$9, $D$9, 100%, $F$9) + CHOOSE(CONTROL!$C$27, 0.0021, 0)</f>
        <v>34.949399999999997</v>
      </c>
      <c r="J243" s="10">
        <f>34.9473 * CHOOSE(CONTROL!$C$9, $D$9, 100%, $F$9) + CHOOSE(CONTROL!$C$27, 0.0021, 0)</f>
        <v>34.949399999999997</v>
      </c>
      <c r="K243" s="10">
        <f>34.9473 * CHOOSE(CONTROL!$C$9, $D$9, 100%, $F$9) + CHOOSE(CONTROL!$C$27, 0.0021, 0)</f>
        <v>34.949399999999997</v>
      </c>
      <c r="L243" s="10"/>
    </row>
    <row r="244" spans="1:12" ht="15" x14ac:dyDescent="0.2">
      <c r="A244" s="16">
        <v>48700</v>
      </c>
      <c r="B244" s="10">
        <f>36.0744 * CHOOSE(CONTROL!$C$9, $D$9, 100%, $F$9) + CHOOSE(CONTROL!$C$27, 0.0021, 0)</f>
        <v>36.076499999999996</v>
      </c>
      <c r="C244" s="10">
        <f>35.6421 * CHOOSE(CONTROL!$C$9, $D$9, 100%, $F$9) + CHOOSE(CONTROL!$C$27, 0.0021, 0)</f>
        <v>35.644199999999998</v>
      </c>
      <c r="D244" s="10">
        <f>35.6421 * CHOOSE(CONTROL!$C$9, $D$9, 100%, $F$9) + CHOOSE(CONTROL!$C$27, 0.0021, 0)</f>
        <v>35.644199999999998</v>
      </c>
      <c r="E244" s="10">
        <f>35.5055 * CHOOSE(CONTROL!$C$9, $D$9, 100%, $F$9) + CHOOSE(CONTROL!$C$27, 0.0021, 0)</f>
        <v>35.507599999999996</v>
      </c>
      <c r="F244" s="10">
        <f>35.5055 * CHOOSE(CONTROL!$C$9, $D$9, 100%, $F$9) + CHOOSE(CONTROL!$C$27, 0.0021, 0)</f>
        <v>35.507599999999996</v>
      </c>
      <c r="G244" s="10">
        <f>35.7768 * CHOOSE(CONTROL!$C$9, $D$9, 100%, $F$9) + CHOOSE(CONTROL!$C$27, 0.0021, 0)</f>
        <v>35.7789</v>
      </c>
      <c r="H244" s="10">
        <f>35.6421 * CHOOSE(CONTROL!$C$9, $D$9, 100%, $F$9) + CHOOSE(CONTROL!$C$27, 0.0021, 0)</f>
        <v>35.644199999999998</v>
      </c>
      <c r="I244" s="10">
        <f>35.6421 * CHOOSE(CONTROL!$C$9, $D$9, 100%, $F$9) + CHOOSE(CONTROL!$C$27, 0.0021, 0)</f>
        <v>35.644199999999998</v>
      </c>
      <c r="J244" s="10">
        <f>35.6421 * CHOOSE(CONTROL!$C$9, $D$9, 100%, $F$9) + CHOOSE(CONTROL!$C$27, 0.0021, 0)</f>
        <v>35.644199999999998</v>
      </c>
      <c r="K244" s="10">
        <f>35.6421 * CHOOSE(CONTROL!$C$9, $D$9, 100%, $F$9) + CHOOSE(CONTROL!$C$27, 0.0021, 0)</f>
        <v>35.644199999999998</v>
      </c>
      <c r="L244" s="10"/>
    </row>
    <row r="245" spans="1:12" ht="15" x14ac:dyDescent="0.2">
      <c r="A245" s="16">
        <v>48731</v>
      </c>
      <c r="B245" s="10">
        <f>36.4905 * CHOOSE(CONTROL!$C$9, $D$9, 100%, $F$9) + CHOOSE(CONTROL!$C$27, 0.0021, 0)</f>
        <v>36.492599999999996</v>
      </c>
      <c r="C245" s="10">
        <f>36.0583 * CHOOSE(CONTROL!$C$9, $D$9, 100%, $F$9) + CHOOSE(CONTROL!$C$27, 0.0021, 0)</f>
        <v>36.060400000000001</v>
      </c>
      <c r="D245" s="10">
        <f>36.0583 * CHOOSE(CONTROL!$C$9, $D$9, 100%, $F$9) + CHOOSE(CONTROL!$C$27, 0.0021, 0)</f>
        <v>36.060400000000001</v>
      </c>
      <c r="E245" s="10">
        <f>35.9216 * CHOOSE(CONTROL!$C$9, $D$9, 100%, $F$9) + CHOOSE(CONTROL!$C$27, 0.0021, 0)</f>
        <v>35.923699999999997</v>
      </c>
      <c r="F245" s="10">
        <f>35.9216 * CHOOSE(CONTROL!$C$9, $D$9, 100%, $F$9) + CHOOSE(CONTROL!$C$27, 0.0021, 0)</f>
        <v>35.923699999999997</v>
      </c>
      <c r="G245" s="10">
        <f>36.193 * CHOOSE(CONTROL!$C$9, $D$9, 100%, $F$9) + CHOOSE(CONTROL!$C$27, 0.0021, 0)</f>
        <v>36.195099999999996</v>
      </c>
      <c r="H245" s="10">
        <f>36.0583 * CHOOSE(CONTROL!$C$9, $D$9, 100%, $F$9) + CHOOSE(CONTROL!$C$27, 0.0021, 0)</f>
        <v>36.060400000000001</v>
      </c>
      <c r="I245" s="10">
        <f>36.0583 * CHOOSE(CONTROL!$C$9, $D$9, 100%, $F$9) + CHOOSE(CONTROL!$C$27, 0.0021, 0)</f>
        <v>36.060400000000001</v>
      </c>
      <c r="J245" s="10">
        <f>36.0583 * CHOOSE(CONTROL!$C$9, $D$9, 100%, $F$9) + CHOOSE(CONTROL!$C$27, 0.0021, 0)</f>
        <v>36.060400000000001</v>
      </c>
      <c r="K245" s="10">
        <f>36.0583 * CHOOSE(CONTROL!$C$9, $D$9, 100%, $F$9) + CHOOSE(CONTROL!$C$27, 0.0021, 0)</f>
        <v>36.060400000000001</v>
      </c>
      <c r="L245" s="10"/>
    </row>
    <row r="246" spans="1:12" ht="15" x14ac:dyDescent="0.2">
      <c r="A246" s="16">
        <v>48761</v>
      </c>
      <c r="B246" s="10">
        <f>37.1771 * CHOOSE(CONTROL!$C$9, $D$9, 100%, $F$9) + CHOOSE(CONTROL!$C$27, 0.0021, 0)</f>
        <v>37.179200000000002</v>
      </c>
      <c r="C246" s="10">
        <f>36.7448 * CHOOSE(CONTROL!$C$9, $D$9, 100%, $F$9) + CHOOSE(CONTROL!$C$27, 0.0021, 0)</f>
        <v>36.746899999999997</v>
      </c>
      <c r="D246" s="10">
        <f>36.7448 * CHOOSE(CONTROL!$C$9, $D$9, 100%, $F$9) + CHOOSE(CONTROL!$C$27, 0.0021, 0)</f>
        <v>36.746899999999997</v>
      </c>
      <c r="E246" s="10">
        <f>36.6082 * CHOOSE(CONTROL!$C$9, $D$9, 100%, $F$9) + CHOOSE(CONTROL!$C$27, 0.0021, 0)</f>
        <v>36.610299999999995</v>
      </c>
      <c r="F246" s="10">
        <f>36.6082 * CHOOSE(CONTROL!$C$9, $D$9, 100%, $F$9) + CHOOSE(CONTROL!$C$27, 0.0021, 0)</f>
        <v>36.610299999999995</v>
      </c>
      <c r="G246" s="10">
        <f>36.8796 * CHOOSE(CONTROL!$C$9, $D$9, 100%, $F$9) + CHOOSE(CONTROL!$C$27, 0.0021, 0)</f>
        <v>36.881700000000002</v>
      </c>
      <c r="H246" s="10">
        <f>36.7448 * CHOOSE(CONTROL!$C$9, $D$9, 100%, $F$9) + CHOOSE(CONTROL!$C$27, 0.0021, 0)</f>
        <v>36.746899999999997</v>
      </c>
      <c r="I246" s="10">
        <f>36.7448 * CHOOSE(CONTROL!$C$9, $D$9, 100%, $F$9) + CHOOSE(CONTROL!$C$27, 0.0021, 0)</f>
        <v>36.746899999999997</v>
      </c>
      <c r="J246" s="10">
        <f>36.7448 * CHOOSE(CONTROL!$C$9, $D$9, 100%, $F$9) + CHOOSE(CONTROL!$C$27, 0.0021, 0)</f>
        <v>36.746899999999997</v>
      </c>
      <c r="K246" s="10">
        <f>36.7448 * CHOOSE(CONTROL!$C$9, $D$9, 100%, $F$9) + CHOOSE(CONTROL!$C$27, 0.0021, 0)</f>
        <v>36.746899999999997</v>
      </c>
      <c r="L246" s="10"/>
    </row>
    <row r="247" spans="1:12" ht="15" x14ac:dyDescent="0.2">
      <c r="A247" s="16">
        <v>48792</v>
      </c>
      <c r="B247" s="10">
        <f>37.3867 * CHOOSE(CONTROL!$C$9, $D$9, 100%, $F$9) + CHOOSE(CONTROL!$C$27, 0.0021, 0)</f>
        <v>37.388799999999996</v>
      </c>
      <c r="C247" s="10">
        <f>36.9544 * CHOOSE(CONTROL!$C$9, $D$9, 100%, $F$9) + CHOOSE(CONTROL!$C$27, 0.0021, 0)</f>
        <v>36.956499999999998</v>
      </c>
      <c r="D247" s="10">
        <f>36.9544 * CHOOSE(CONTROL!$C$9, $D$9, 100%, $F$9) + CHOOSE(CONTROL!$C$27, 0.0021, 0)</f>
        <v>36.956499999999998</v>
      </c>
      <c r="E247" s="10">
        <f>36.8177 * CHOOSE(CONTROL!$C$9, $D$9, 100%, $F$9) + CHOOSE(CONTROL!$C$27, 0.0021, 0)</f>
        <v>36.819800000000001</v>
      </c>
      <c r="F247" s="10">
        <f>36.8177 * CHOOSE(CONTROL!$C$9, $D$9, 100%, $F$9) + CHOOSE(CONTROL!$C$27, 0.0021, 0)</f>
        <v>36.819800000000001</v>
      </c>
      <c r="G247" s="10">
        <f>37.0891 * CHOOSE(CONTROL!$C$9, $D$9, 100%, $F$9) + CHOOSE(CONTROL!$C$27, 0.0021, 0)</f>
        <v>37.091200000000001</v>
      </c>
      <c r="H247" s="10">
        <f>36.9544 * CHOOSE(CONTROL!$C$9, $D$9, 100%, $F$9) + CHOOSE(CONTROL!$C$27, 0.0021, 0)</f>
        <v>36.956499999999998</v>
      </c>
      <c r="I247" s="10">
        <f>36.9544 * CHOOSE(CONTROL!$C$9, $D$9, 100%, $F$9) + CHOOSE(CONTROL!$C$27, 0.0021, 0)</f>
        <v>36.956499999999998</v>
      </c>
      <c r="J247" s="10">
        <f>36.9544 * CHOOSE(CONTROL!$C$9, $D$9, 100%, $F$9) + CHOOSE(CONTROL!$C$27, 0.0021, 0)</f>
        <v>36.956499999999998</v>
      </c>
      <c r="K247" s="10">
        <f>36.9544 * CHOOSE(CONTROL!$C$9, $D$9, 100%, $F$9) + CHOOSE(CONTROL!$C$27, 0.0021, 0)</f>
        <v>36.956499999999998</v>
      </c>
      <c r="L247" s="10"/>
    </row>
    <row r="248" spans="1:12" ht="15" x14ac:dyDescent="0.2">
      <c r="A248" s="16">
        <v>48823</v>
      </c>
      <c r="B248" s="10">
        <f>38.1003 * CHOOSE(CONTROL!$C$9, $D$9, 100%, $F$9) + CHOOSE(CONTROL!$C$27, 0.0021, 0)</f>
        <v>38.102399999999996</v>
      </c>
      <c r="C248" s="10">
        <f>37.668 * CHOOSE(CONTROL!$C$9, $D$9, 100%, $F$9) + CHOOSE(CONTROL!$C$27, 0.0021, 0)</f>
        <v>37.670099999999998</v>
      </c>
      <c r="D248" s="10">
        <f>37.668 * CHOOSE(CONTROL!$C$9, $D$9, 100%, $F$9) + CHOOSE(CONTROL!$C$27, 0.0021, 0)</f>
        <v>37.670099999999998</v>
      </c>
      <c r="E248" s="10">
        <f>37.5314 * CHOOSE(CONTROL!$C$9, $D$9, 100%, $F$9) + CHOOSE(CONTROL!$C$27, 0.0021, 0)</f>
        <v>37.533499999999997</v>
      </c>
      <c r="F248" s="10">
        <f>37.5314 * CHOOSE(CONTROL!$C$9, $D$9, 100%, $F$9) + CHOOSE(CONTROL!$C$27, 0.0021, 0)</f>
        <v>37.533499999999997</v>
      </c>
      <c r="G248" s="10">
        <f>37.8028 * CHOOSE(CONTROL!$C$9, $D$9, 100%, $F$9) + CHOOSE(CONTROL!$C$27, 0.0021, 0)</f>
        <v>37.804899999999996</v>
      </c>
      <c r="H248" s="10">
        <f>37.668 * CHOOSE(CONTROL!$C$9, $D$9, 100%, $F$9) + CHOOSE(CONTROL!$C$27, 0.0021, 0)</f>
        <v>37.670099999999998</v>
      </c>
      <c r="I248" s="10">
        <f>37.668 * CHOOSE(CONTROL!$C$9, $D$9, 100%, $F$9) + CHOOSE(CONTROL!$C$27, 0.0021, 0)</f>
        <v>37.670099999999998</v>
      </c>
      <c r="J248" s="10">
        <f>37.668 * CHOOSE(CONTROL!$C$9, $D$9, 100%, $F$9) + CHOOSE(CONTROL!$C$27, 0.0021, 0)</f>
        <v>37.670099999999998</v>
      </c>
      <c r="K248" s="10">
        <f>37.668 * CHOOSE(CONTROL!$C$9, $D$9, 100%, $F$9) + CHOOSE(CONTROL!$C$27, 0.0021, 0)</f>
        <v>37.670099999999998</v>
      </c>
      <c r="L248" s="10"/>
    </row>
    <row r="249" spans="1:12" ht="15" x14ac:dyDescent="0.2">
      <c r="A249" s="16">
        <v>48853</v>
      </c>
      <c r="B249" s="10">
        <f>39.0036 * CHOOSE(CONTROL!$C$9, $D$9, 100%, $F$9) + CHOOSE(CONTROL!$C$27, 0.0021, 0)</f>
        <v>39.005699999999997</v>
      </c>
      <c r="C249" s="10">
        <f>38.5714 * CHOOSE(CONTROL!$C$9, $D$9, 100%, $F$9) + CHOOSE(CONTROL!$C$27, 0.0021, 0)</f>
        <v>38.573499999999996</v>
      </c>
      <c r="D249" s="10">
        <f>38.5714 * CHOOSE(CONTROL!$C$9, $D$9, 100%, $F$9) + CHOOSE(CONTROL!$C$27, 0.0021, 0)</f>
        <v>38.573499999999996</v>
      </c>
      <c r="E249" s="10">
        <f>38.4347 * CHOOSE(CONTROL!$C$9, $D$9, 100%, $F$9) + CHOOSE(CONTROL!$C$27, 0.0021, 0)</f>
        <v>38.436799999999998</v>
      </c>
      <c r="F249" s="10">
        <f>38.4347 * CHOOSE(CONTROL!$C$9, $D$9, 100%, $F$9) + CHOOSE(CONTROL!$C$27, 0.0021, 0)</f>
        <v>38.436799999999998</v>
      </c>
      <c r="G249" s="10">
        <f>38.7061 * CHOOSE(CONTROL!$C$9, $D$9, 100%, $F$9) + CHOOSE(CONTROL!$C$27, 0.0021, 0)</f>
        <v>38.708199999999998</v>
      </c>
      <c r="H249" s="10">
        <f>38.5714 * CHOOSE(CONTROL!$C$9, $D$9, 100%, $F$9) + CHOOSE(CONTROL!$C$27, 0.0021, 0)</f>
        <v>38.573499999999996</v>
      </c>
      <c r="I249" s="10">
        <f>38.5714 * CHOOSE(CONTROL!$C$9, $D$9, 100%, $F$9) + CHOOSE(CONTROL!$C$27, 0.0021, 0)</f>
        <v>38.573499999999996</v>
      </c>
      <c r="J249" s="10">
        <f>38.5714 * CHOOSE(CONTROL!$C$9, $D$9, 100%, $F$9) + CHOOSE(CONTROL!$C$27, 0.0021, 0)</f>
        <v>38.573499999999996</v>
      </c>
      <c r="K249" s="10">
        <f>38.5714 * CHOOSE(CONTROL!$C$9, $D$9, 100%, $F$9) + CHOOSE(CONTROL!$C$27, 0.0021, 0)</f>
        <v>38.573499999999996</v>
      </c>
      <c r="L249" s="10"/>
    </row>
    <row r="250" spans="1:12" ht="15" x14ac:dyDescent="0.2">
      <c r="A250" s="16">
        <v>48884</v>
      </c>
      <c r="B250" s="10">
        <f>39.0884 * CHOOSE(CONTROL!$C$9, $D$9, 100%, $F$9) + CHOOSE(CONTROL!$C$27, 0.0021, 0)</f>
        <v>39.090499999999999</v>
      </c>
      <c r="C250" s="10">
        <f>38.6562 * CHOOSE(CONTROL!$C$9, $D$9, 100%, $F$9) + CHOOSE(CONTROL!$C$27, 0.0021, 0)</f>
        <v>38.658299999999997</v>
      </c>
      <c r="D250" s="10">
        <f>38.6562 * CHOOSE(CONTROL!$C$9, $D$9, 100%, $F$9) + CHOOSE(CONTROL!$C$27, 0.0021, 0)</f>
        <v>38.658299999999997</v>
      </c>
      <c r="E250" s="10">
        <f>38.5195 * CHOOSE(CONTROL!$C$9, $D$9, 100%, $F$9) + CHOOSE(CONTROL!$C$27, 0.0021, 0)</f>
        <v>38.521599999999999</v>
      </c>
      <c r="F250" s="10">
        <f>38.5195 * CHOOSE(CONTROL!$C$9, $D$9, 100%, $F$9) + CHOOSE(CONTROL!$C$27, 0.0021, 0)</f>
        <v>38.521599999999999</v>
      </c>
      <c r="G250" s="10">
        <f>38.7909 * CHOOSE(CONTROL!$C$9, $D$9, 100%, $F$9) + CHOOSE(CONTROL!$C$27, 0.0021, 0)</f>
        <v>38.792999999999999</v>
      </c>
      <c r="H250" s="10">
        <f>38.6562 * CHOOSE(CONTROL!$C$9, $D$9, 100%, $F$9) + CHOOSE(CONTROL!$C$27, 0.0021, 0)</f>
        <v>38.658299999999997</v>
      </c>
      <c r="I250" s="10">
        <f>38.6562 * CHOOSE(CONTROL!$C$9, $D$9, 100%, $F$9) + CHOOSE(CONTROL!$C$27, 0.0021, 0)</f>
        <v>38.658299999999997</v>
      </c>
      <c r="J250" s="10">
        <f>38.6562 * CHOOSE(CONTROL!$C$9, $D$9, 100%, $F$9) + CHOOSE(CONTROL!$C$27, 0.0021, 0)</f>
        <v>38.658299999999997</v>
      </c>
      <c r="K250" s="10">
        <f>38.6562 * CHOOSE(CONTROL!$C$9, $D$9, 100%, $F$9) + CHOOSE(CONTROL!$C$27, 0.0021, 0)</f>
        <v>38.658299999999997</v>
      </c>
      <c r="L250" s="10"/>
    </row>
    <row r="251" spans="1:12" ht="15" x14ac:dyDescent="0.2">
      <c r="A251" s="16">
        <v>48914</v>
      </c>
      <c r="B251" s="10">
        <f>38.367 * CHOOSE(CONTROL!$C$9, $D$9, 100%, $F$9) + CHOOSE(CONTROL!$C$27, 0.0021, 0)</f>
        <v>38.369099999999996</v>
      </c>
      <c r="C251" s="10">
        <f>37.9347 * CHOOSE(CONTROL!$C$9, $D$9, 100%, $F$9) + CHOOSE(CONTROL!$C$27, 0.0021, 0)</f>
        <v>37.936799999999998</v>
      </c>
      <c r="D251" s="10">
        <f>37.9347 * CHOOSE(CONTROL!$C$9, $D$9, 100%, $F$9) + CHOOSE(CONTROL!$C$27, 0.0021, 0)</f>
        <v>37.936799999999998</v>
      </c>
      <c r="E251" s="10">
        <f>37.7981 * CHOOSE(CONTROL!$C$9, $D$9, 100%, $F$9) + CHOOSE(CONTROL!$C$27, 0.0021, 0)</f>
        <v>37.800199999999997</v>
      </c>
      <c r="F251" s="10">
        <f>37.7981 * CHOOSE(CONTROL!$C$9, $D$9, 100%, $F$9) + CHOOSE(CONTROL!$C$27, 0.0021, 0)</f>
        <v>37.800199999999997</v>
      </c>
      <c r="G251" s="10">
        <f>38.0694 * CHOOSE(CONTROL!$C$9, $D$9, 100%, $F$9) + CHOOSE(CONTROL!$C$27, 0.0021, 0)</f>
        <v>38.0715</v>
      </c>
      <c r="H251" s="10">
        <f>37.9347 * CHOOSE(CONTROL!$C$9, $D$9, 100%, $F$9) + CHOOSE(CONTROL!$C$27, 0.0021, 0)</f>
        <v>37.936799999999998</v>
      </c>
      <c r="I251" s="10">
        <f>37.9347 * CHOOSE(CONTROL!$C$9, $D$9, 100%, $F$9) + CHOOSE(CONTROL!$C$27, 0.0021, 0)</f>
        <v>37.936799999999998</v>
      </c>
      <c r="J251" s="10">
        <f>37.9347 * CHOOSE(CONTROL!$C$9, $D$9, 100%, $F$9) + CHOOSE(CONTROL!$C$27, 0.0021, 0)</f>
        <v>37.936799999999998</v>
      </c>
      <c r="K251" s="10">
        <f>37.9347 * CHOOSE(CONTROL!$C$9, $D$9, 100%, $F$9) + CHOOSE(CONTROL!$C$27, 0.0021, 0)</f>
        <v>37.936799999999998</v>
      </c>
      <c r="L251" s="10"/>
    </row>
    <row r="252" spans="1:12" ht="15" x14ac:dyDescent="0.2">
      <c r="A252" s="16">
        <v>48945</v>
      </c>
      <c r="B252" s="10">
        <f>37.8146 * CHOOSE(CONTROL!$C$9, $D$9, 100%, $F$9) + CHOOSE(CONTROL!$C$27, 0.0021, 0)</f>
        <v>37.816699999999997</v>
      </c>
      <c r="C252" s="10">
        <f>37.3823 * CHOOSE(CONTROL!$C$9, $D$9, 100%, $F$9) + CHOOSE(CONTROL!$C$27, 0.0021, 0)</f>
        <v>37.384399999999999</v>
      </c>
      <c r="D252" s="10">
        <f>37.3823 * CHOOSE(CONTROL!$C$9, $D$9, 100%, $F$9) + CHOOSE(CONTROL!$C$27, 0.0021, 0)</f>
        <v>37.384399999999999</v>
      </c>
      <c r="E252" s="10">
        <f>37.2457 * CHOOSE(CONTROL!$C$9, $D$9, 100%, $F$9) + CHOOSE(CONTROL!$C$27, 0.0021, 0)</f>
        <v>37.247799999999998</v>
      </c>
      <c r="F252" s="10">
        <f>37.2457 * CHOOSE(CONTROL!$C$9, $D$9, 100%, $F$9) + CHOOSE(CONTROL!$C$27, 0.0021, 0)</f>
        <v>37.247799999999998</v>
      </c>
      <c r="G252" s="10">
        <f>37.517 * CHOOSE(CONTROL!$C$9, $D$9, 100%, $F$9) + CHOOSE(CONTROL!$C$27, 0.0021, 0)</f>
        <v>37.519100000000002</v>
      </c>
      <c r="H252" s="10">
        <f>37.3823 * CHOOSE(CONTROL!$C$9, $D$9, 100%, $F$9) + CHOOSE(CONTROL!$C$27, 0.0021, 0)</f>
        <v>37.384399999999999</v>
      </c>
      <c r="I252" s="10">
        <f>37.3823 * CHOOSE(CONTROL!$C$9, $D$9, 100%, $F$9) + CHOOSE(CONTROL!$C$27, 0.0021, 0)</f>
        <v>37.384399999999999</v>
      </c>
      <c r="J252" s="10">
        <f>37.3823 * CHOOSE(CONTROL!$C$9, $D$9, 100%, $F$9) + CHOOSE(CONTROL!$C$27, 0.0021, 0)</f>
        <v>37.384399999999999</v>
      </c>
      <c r="K252" s="10">
        <f>37.3823 * CHOOSE(CONTROL!$C$9, $D$9, 100%, $F$9) + CHOOSE(CONTROL!$C$27, 0.0021, 0)</f>
        <v>37.384399999999999</v>
      </c>
      <c r="L252" s="10"/>
    </row>
    <row r="253" spans="1:12" ht="15" x14ac:dyDescent="0.2">
      <c r="A253" s="16">
        <v>48976</v>
      </c>
      <c r="B253" s="10">
        <f>36.8098 * CHOOSE(CONTROL!$C$9, $D$9, 100%, $F$9) + CHOOSE(CONTROL!$C$27, 0.0021, 0)</f>
        <v>36.811900000000001</v>
      </c>
      <c r="C253" s="10">
        <f>36.3776 * CHOOSE(CONTROL!$C$9, $D$9, 100%, $F$9) + CHOOSE(CONTROL!$C$27, 0.0021, 0)</f>
        <v>36.3797</v>
      </c>
      <c r="D253" s="10">
        <f>36.3776 * CHOOSE(CONTROL!$C$9, $D$9, 100%, $F$9) + CHOOSE(CONTROL!$C$27, 0.0021, 0)</f>
        <v>36.3797</v>
      </c>
      <c r="E253" s="10">
        <f>36.2409 * CHOOSE(CONTROL!$C$9, $D$9, 100%, $F$9) + CHOOSE(CONTROL!$C$27, 0.0021, 0)</f>
        <v>36.243000000000002</v>
      </c>
      <c r="F253" s="10">
        <f>36.2409 * CHOOSE(CONTROL!$C$9, $D$9, 100%, $F$9) + CHOOSE(CONTROL!$C$27, 0.0021, 0)</f>
        <v>36.243000000000002</v>
      </c>
      <c r="G253" s="10">
        <f>36.5123 * CHOOSE(CONTROL!$C$9, $D$9, 100%, $F$9) + CHOOSE(CONTROL!$C$27, 0.0021, 0)</f>
        <v>36.514400000000002</v>
      </c>
      <c r="H253" s="10">
        <f>36.3776 * CHOOSE(CONTROL!$C$9, $D$9, 100%, $F$9) + CHOOSE(CONTROL!$C$27, 0.0021, 0)</f>
        <v>36.3797</v>
      </c>
      <c r="I253" s="10">
        <f>36.3776 * CHOOSE(CONTROL!$C$9, $D$9, 100%, $F$9) + CHOOSE(CONTROL!$C$27, 0.0021, 0)</f>
        <v>36.3797</v>
      </c>
      <c r="J253" s="10">
        <f>36.3776 * CHOOSE(CONTROL!$C$9, $D$9, 100%, $F$9) + CHOOSE(CONTROL!$C$27, 0.0021, 0)</f>
        <v>36.3797</v>
      </c>
      <c r="K253" s="10">
        <f>36.3776 * CHOOSE(CONTROL!$C$9, $D$9, 100%, $F$9) + CHOOSE(CONTROL!$C$27, 0.0021, 0)</f>
        <v>36.3797</v>
      </c>
      <c r="L253" s="10"/>
    </row>
    <row r="254" spans="1:12" ht="15" x14ac:dyDescent="0.2">
      <c r="A254" s="16">
        <v>49004</v>
      </c>
      <c r="B254" s="10">
        <f>36.395 * CHOOSE(CONTROL!$C$9, $D$9, 100%, $F$9) + CHOOSE(CONTROL!$C$27, 0.0021, 0)</f>
        <v>36.397100000000002</v>
      </c>
      <c r="C254" s="10">
        <f>35.9628 * CHOOSE(CONTROL!$C$9, $D$9, 100%, $F$9) + CHOOSE(CONTROL!$C$27, 0.0021, 0)</f>
        <v>35.9649</v>
      </c>
      <c r="D254" s="10">
        <f>35.9628 * CHOOSE(CONTROL!$C$9, $D$9, 100%, $F$9) + CHOOSE(CONTROL!$C$27, 0.0021, 0)</f>
        <v>35.9649</v>
      </c>
      <c r="E254" s="10">
        <f>35.8261 * CHOOSE(CONTROL!$C$9, $D$9, 100%, $F$9) + CHOOSE(CONTROL!$C$27, 0.0021, 0)</f>
        <v>35.828199999999995</v>
      </c>
      <c r="F254" s="10">
        <f>35.8261 * CHOOSE(CONTROL!$C$9, $D$9, 100%, $F$9) + CHOOSE(CONTROL!$C$27, 0.0021, 0)</f>
        <v>35.828199999999995</v>
      </c>
      <c r="G254" s="10">
        <f>36.0975 * CHOOSE(CONTROL!$C$9, $D$9, 100%, $F$9) + CHOOSE(CONTROL!$C$27, 0.0021, 0)</f>
        <v>36.099599999999995</v>
      </c>
      <c r="H254" s="10">
        <f>35.9628 * CHOOSE(CONTROL!$C$9, $D$9, 100%, $F$9) + CHOOSE(CONTROL!$C$27, 0.0021, 0)</f>
        <v>35.9649</v>
      </c>
      <c r="I254" s="10">
        <f>35.9628 * CHOOSE(CONTROL!$C$9, $D$9, 100%, $F$9) + CHOOSE(CONTROL!$C$27, 0.0021, 0)</f>
        <v>35.9649</v>
      </c>
      <c r="J254" s="10">
        <f>35.9628 * CHOOSE(CONTROL!$C$9, $D$9, 100%, $F$9) + CHOOSE(CONTROL!$C$27, 0.0021, 0)</f>
        <v>35.9649</v>
      </c>
      <c r="K254" s="10">
        <f>35.9628 * CHOOSE(CONTROL!$C$9, $D$9, 100%, $F$9) + CHOOSE(CONTROL!$C$27, 0.0021, 0)</f>
        <v>35.9649</v>
      </c>
      <c r="L254" s="10"/>
    </row>
    <row r="255" spans="1:12" ht="15" x14ac:dyDescent="0.2">
      <c r="A255" s="16">
        <v>49035</v>
      </c>
      <c r="B255" s="10">
        <f>35.8998 * CHOOSE(CONTROL!$C$9, $D$9, 100%, $F$9) + CHOOSE(CONTROL!$C$27, 0.0021, 0)</f>
        <v>35.901899999999998</v>
      </c>
      <c r="C255" s="10">
        <f>35.4676 * CHOOSE(CONTROL!$C$9, $D$9, 100%, $F$9) + CHOOSE(CONTROL!$C$27, 0.0021, 0)</f>
        <v>35.469699999999996</v>
      </c>
      <c r="D255" s="10">
        <f>35.4676 * CHOOSE(CONTROL!$C$9, $D$9, 100%, $F$9) + CHOOSE(CONTROL!$C$27, 0.0021, 0)</f>
        <v>35.469699999999996</v>
      </c>
      <c r="E255" s="10">
        <f>35.3309 * CHOOSE(CONTROL!$C$9, $D$9, 100%, $F$9) + CHOOSE(CONTROL!$C$27, 0.0021, 0)</f>
        <v>35.332999999999998</v>
      </c>
      <c r="F255" s="10">
        <f>35.3309 * CHOOSE(CONTROL!$C$9, $D$9, 100%, $F$9) + CHOOSE(CONTROL!$C$27, 0.0021, 0)</f>
        <v>35.332999999999998</v>
      </c>
      <c r="G255" s="10">
        <f>35.6023 * CHOOSE(CONTROL!$C$9, $D$9, 100%, $F$9) + CHOOSE(CONTROL!$C$27, 0.0021, 0)</f>
        <v>35.604399999999998</v>
      </c>
      <c r="H255" s="10">
        <f>35.4676 * CHOOSE(CONTROL!$C$9, $D$9, 100%, $F$9) + CHOOSE(CONTROL!$C$27, 0.0021, 0)</f>
        <v>35.469699999999996</v>
      </c>
      <c r="I255" s="10">
        <f>35.4676 * CHOOSE(CONTROL!$C$9, $D$9, 100%, $F$9) + CHOOSE(CONTROL!$C$27, 0.0021, 0)</f>
        <v>35.469699999999996</v>
      </c>
      <c r="J255" s="10">
        <f>35.4676 * CHOOSE(CONTROL!$C$9, $D$9, 100%, $F$9) + CHOOSE(CONTROL!$C$27, 0.0021, 0)</f>
        <v>35.469699999999996</v>
      </c>
      <c r="K255" s="10">
        <f>35.4676 * CHOOSE(CONTROL!$C$9, $D$9, 100%, $F$9) + CHOOSE(CONTROL!$C$27, 0.0021, 0)</f>
        <v>35.469699999999996</v>
      </c>
      <c r="L255" s="10"/>
    </row>
    <row r="256" spans="1:12" ht="15" x14ac:dyDescent="0.2">
      <c r="A256" s="16">
        <v>49065</v>
      </c>
      <c r="B256" s="10">
        <f>36.6056 * CHOOSE(CONTROL!$C$9, $D$9, 100%, $F$9) + CHOOSE(CONTROL!$C$27, 0.0021, 0)</f>
        <v>36.607700000000001</v>
      </c>
      <c r="C256" s="10">
        <f>36.1733 * CHOOSE(CONTROL!$C$9, $D$9, 100%, $F$9) + CHOOSE(CONTROL!$C$27, 0.0021, 0)</f>
        <v>36.175399999999996</v>
      </c>
      <c r="D256" s="10">
        <f>36.1733 * CHOOSE(CONTROL!$C$9, $D$9, 100%, $F$9) + CHOOSE(CONTROL!$C$27, 0.0021, 0)</f>
        <v>36.175399999999996</v>
      </c>
      <c r="E256" s="10">
        <f>36.0367 * CHOOSE(CONTROL!$C$9, $D$9, 100%, $F$9) + CHOOSE(CONTROL!$C$27, 0.0021, 0)</f>
        <v>36.038800000000002</v>
      </c>
      <c r="F256" s="10">
        <f>36.0367 * CHOOSE(CONTROL!$C$9, $D$9, 100%, $F$9) + CHOOSE(CONTROL!$C$27, 0.0021, 0)</f>
        <v>36.038800000000002</v>
      </c>
      <c r="G256" s="10">
        <f>36.3081 * CHOOSE(CONTROL!$C$9, $D$9, 100%, $F$9) + CHOOSE(CONTROL!$C$27, 0.0021, 0)</f>
        <v>36.310200000000002</v>
      </c>
      <c r="H256" s="10">
        <f>36.1733 * CHOOSE(CONTROL!$C$9, $D$9, 100%, $F$9) + CHOOSE(CONTROL!$C$27, 0.0021, 0)</f>
        <v>36.175399999999996</v>
      </c>
      <c r="I256" s="10">
        <f>36.1733 * CHOOSE(CONTROL!$C$9, $D$9, 100%, $F$9) + CHOOSE(CONTROL!$C$27, 0.0021, 0)</f>
        <v>36.175399999999996</v>
      </c>
      <c r="J256" s="10">
        <f>36.1733 * CHOOSE(CONTROL!$C$9, $D$9, 100%, $F$9) + CHOOSE(CONTROL!$C$27, 0.0021, 0)</f>
        <v>36.175399999999996</v>
      </c>
      <c r="K256" s="10">
        <f>36.1733 * CHOOSE(CONTROL!$C$9, $D$9, 100%, $F$9) + CHOOSE(CONTROL!$C$27, 0.0021, 0)</f>
        <v>36.175399999999996</v>
      </c>
      <c r="L256" s="10"/>
    </row>
    <row r="257" spans="1:12" ht="15" x14ac:dyDescent="0.2">
      <c r="A257" s="16">
        <v>49096</v>
      </c>
      <c r="B257" s="10">
        <f>37.0283 * CHOOSE(CONTROL!$C$9, $D$9, 100%, $F$9) + CHOOSE(CONTROL!$C$27, 0.0021, 0)</f>
        <v>37.0304</v>
      </c>
      <c r="C257" s="10">
        <f>36.5961 * CHOOSE(CONTROL!$C$9, $D$9, 100%, $F$9) + CHOOSE(CONTROL!$C$27, 0.0021, 0)</f>
        <v>36.598199999999999</v>
      </c>
      <c r="D257" s="10">
        <f>36.5961 * CHOOSE(CONTROL!$C$9, $D$9, 100%, $F$9) + CHOOSE(CONTROL!$C$27, 0.0021, 0)</f>
        <v>36.598199999999999</v>
      </c>
      <c r="E257" s="10">
        <f>36.4594 * CHOOSE(CONTROL!$C$9, $D$9, 100%, $F$9) + CHOOSE(CONTROL!$C$27, 0.0021, 0)</f>
        <v>36.461500000000001</v>
      </c>
      <c r="F257" s="10">
        <f>36.4594 * CHOOSE(CONTROL!$C$9, $D$9, 100%, $F$9) + CHOOSE(CONTROL!$C$27, 0.0021, 0)</f>
        <v>36.461500000000001</v>
      </c>
      <c r="G257" s="10">
        <f>36.7308 * CHOOSE(CONTROL!$C$9, $D$9, 100%, $F$9) + CHOOSE(CONTROL!$C$27, 0.0021, 0)</f>
        <v>36.732900000000001</v>
      </c>
      <c r="H257" s="10">
        <f>36.5961 * CHOOSE(CONTROL!$C$9, $D$9, 100%, $F$9) + CHOOSE(CONTROL!$C$27, 0.0021, 0)</f>
        <v>36.598199999999999</v>
      </c>
      <c r="I257" s="10">
        <f>36.5961 * CHOOSE(CONTROL!$C$9, $D$9, 100%, $F$9) + CHOOSE(CONTROL!$C$27, 0.0021, 0)</f>
        <v>36.598199999999999</v>
      </c>
      <c r="J257" s="10">
        <f>36.5961 * CHOOSE(CONTROL!$C$9, $D$9, 100%, $F$9) + CHOOSE(CONTROL!$C$27, 0.0021, 0)</f>
        <v>36.598199999999999</v>
      </c>
      <c r="K257" s="10">
        <f>36.5961 * CHOOSE(CONTROL!$C$9, $D$9, 100%, $F$9) + CHOOSE(CONTROL!$C$27, 0.0021, 0)</f>
        <v>36.598199999999999</v>
      </c>
      <c r="L257" s="10"/>
    </row>
    <row r="258" spans="1:12" ht="15" x14ac:dyDescent="0.2">
      <c r="A258" s="16">
        <v>49126</v>
      </c>
      <c r="B258" s="10">
        <f>37.7257 * CHOOSE(CONTROL!$C$9, $D$9, 100%, $F$9) + CHOOSE(CONTROL!$C$27, 0.0021, 0)</f>
        <v>37.727800000000002</v>
      </c>
      <c r="C258" s="10">
        <f>37.2934 * CHOOSE(CONTROL!$C$9, $D$9, 100%, $F$9) + CHOOSE(CONTROL!$C$27, 0.0021, 0)</f>
        <v>37.295499999999997</v>
      </c>
      <c r="D258" s="10">
        <f>37.2934 * CHOOSE(CONTROL!$C$9, $D$9, 100%, $F$9) + CHOOSE(CONTROL!$C$27, 0.0021, 0)</f>
        <v>37.295499999999997</v>
      </c>
      <c r="E258" s="10">
        <f>37.1568 * CHOOSE(CONTROL!$C$9, $D$9, 100%, $F$9) + CHOOSE(CONTROL!$C$27, 0.0021, 0)</f>
        <v>37.158899999999996</v>
      </c>
      <c r="F258" s="10">
        <f>37.1568 * CHOOSE(CONTROL!$C$9, $D$9, 100%, $F$9) + CHOOSE(CONTROL!$C$27, 0.0021, 0)</f>
        <v>37.158899999999996</v>
      </c>
      <c r="G258" s="10">
        <f>37.4281 * CHOOSE(CONTROL!$C$9, $D$9, 100%, $F$9) + CHOOSE(CONTROL!$C$27, 0.0021, 0)</f>
        <v>37.430199999999999</v>
      </c>
      <c r="H258" s="10">
        <f>37.2934 * CHOOSE(CONTROL!$C$9, $D$9, 100%, $F$9) + CHOOSE(CONTROL!$C$27, 0.0021, 0)</f>
        <v>37.295499999999997</v>
      </c>
      <c r="I258" s="10">
        <f>37.2934 * CHOOSE(CONTROL!$C$9, $D$9, 100%, $F$9) + CHOOSE(CONTROL!$C$27, 0.0021, 0)</f>
        <v>37.295499999999997</v>
      </c>
      <c r="J258" s="10">
        <f>37.2934 * CHOOSE(CONTROL!$C$9, $D$9, 100%, $F$9) + CHOOSE(CONTROL!$C$27, 0.0021, 0)</f>
        <v>37.295499999999997</v>
      </c>
      <c r="K258" s="10">
        <f>37.2934 * CHOOSE(CONTROL!$C$9, $D$9, 100%, $F$9) + CHOOSE(CONTROL!$C$27, 0.0021, 0)</f>
        <v>37.295499999999997</v>
      </c>
      <c r="L258" s="10"/>
    </row>
    <row r="259" spans="1:12" ht="15" x14ac:dyDescent="0.2">
      <c r="A259" s="16">
        <v>49157</v>
      </c>
      <c r="B259" s="10">
        <f>37.9385 * CHOOSE(CONTROL!$C$9, $D$9, 100%, $F$9) + CHOOSE(CONTROL!$C$27, 0.0021, 0)</f>
        <v>37.940599999999996</v>
      </c>
      <c r="C259" s="10">
        <f>37.5063 * CHOOSE(CONTROL!$C$9, $D$9, 100%, $F$9) + CHOOSE(CONTROL!$C$27, 0.0021, 0)</f>
        <v>37.508400000000002</v>
      </c>
      <c r="D259" s="10">
        <f>37.5063 * CHOOSE(CONTROL!$C$9, $D$9, 100%, $F$9) + CHOOSE(CONTROL!$C$27, 0.0021, 0)</f>
        <v>37.508400000000002</v>
      </c>
      <c r="E259" s="10">
        <f>37.3696 * CHOOSE(CONTROL!$C$9, $D$9, 100%, $F$9) + CHOOSE(CONTROL!$C$27, 0.0021, 0)</f>
        <v>37.371699999999997</v>
      </c>
      <c r="F259" s="10">
        <f>37.3696 * CHOOSE(CONTROL!$C$9, $D$9, 100%, $F$9) + CHOOSE(CONTROL!$C$27, 0.0021, 0)</f>
        <v>37.371699999999997</v>
      </c>
      <c r="G259" s="10">
        <f>37.641 * CHOOSE(CONTROL!$C$9, $D$9, 100%, $F$9) + CHOOSE(CONTROL!$C$27, 0.0021, 0)</f>
        <v>37.643099999999997</v>
      </c>
      <c r="H259" s="10">
        <f>37.5063 * CHOOSE(CONTROL!$C$9, $D$9, 100%, $F$9) + CHOOSE(CONTROL!$C$27, 0.0021, 0)</f>
        <v>37.508400000000002</v>
      </c>
      <c r="I259" s="10">
        <f>37.5063 * CHOOSE(CONTROL!$C$9, $D$9, 100%, $F$9) + CHOOSE(CONTROL!$C$27, 0.0021, 0)</f>
        <v>37.508400000000002</v>
      </c>
      <c r="J259" s="10">
        <f>37.5063 * CHOOSE(CONTROL!$C$9, $D$9, 100%, $F$9) + CHOOSE(CONTROL!$C$27, 0.0021, 0)</f>
        <v>37.508400000000002</v>
      </c>
      <c r="K259" s="10">
        <f>37.5063 * CHOOSE(CONTROL!$C$9, $D$9, 100%, $F$9) + CHOOSE(CONTROL!$C$27, 0.0021, 0)</f>
        <v>37.508400000000002</v>
      </c>
      <c r="L259" s="10"/>
    </row>
    <row r="260" spans="1:12" ht="15" x14ac:dyDescent="0.2">
      <c r="A260" s="16">
        <v>49188</v>
      </c>
      <c r="B260" s="10">
        <f>38.6634 * CHOOSE(CONTROL!$C$9, $D$9, 100%, $F$9) + CHOOSE(CONTROL!$C$27, 0.0021, 0)</f>
        <v>38.665500000000002</v>
      </c>
      <c r="C260" s="10">
        <f>38.2311 * CHOOSE(CONTROL!$C$9, $D$9, 100%, $F$9) + CHOOSE(CONTROL!$C$27, 0.0021, 0)</f>
        <v>38.233199999999997</v>
      </c>
      <c r="D260" s="10">
        <f>38.2311 * CHOOSE(CONTROL!$C$9, $D$9, 100%, $F$9) + CHOOSE(CONTROL!$C$27, 0.0021, 0)</f>
        <v>38.233199999999997</v>
      </c>
      <c r="E260" s="10">
        <f>38.0945 * CHOOSE(CONTROL!$C$9, $D$9, 100%, $F$9) + CHOOSE(CONTROL!$C$27, 0.0021, 0)</f>
        <v>38.096599999999995</v>
      </c>
      <c r="F260" s="10">
        <f>38.0945 * CHOOSE(CONTROL!$C$9, $D$9, 100%, $F$9) + CHOOSE(CONTROL!$C$27, 0.0021, 0)</f>
        <v>38.096599999999995</v>
      </c>
      <c r="G260" s="10">
        <f>38.3658 * CHOOSE(CONTROL!$C$9, $D$9, 100%, $F$9) + CHOOSE(CONTROL!$C$27, 0.0021, 0)</f>
        <v>38.367899999999999</v>
      </c>
      <c r="H260" s="10">
        <f>38.2311 * CHOOSE(CONTROL!$C$9, $D$9, 100%, $F$9) + CHOOSE(CONTROL!$C$27, 0.0021, 0)</f>
        <v>38.233199999999997</v>
      </c>
      <c r="I260" s="10">
        <f>38.2311 * CHOOSE(CONTROL!$C$9, $D$9, 100%, $F$9) + CHOOSE(CONTROL!$C$27, 0.0021, 0)</f>
        <v>38.233199999999997</v>
      </c>
      <c r="J260" s="10">
        <f>38.2311 * CHOOSE(CONTROL!$C$9, $D$9, 100%, $F$9) + CHOOSE(CONTROL!$C$27, 0.0021, 0)</f>
        <v>38.233199999999997</v>
      </c>
      <c r="K260" s="10">
        <f>38.2311 * CHOOSE(CONTROL!$C$9, $D$9, 100%, $F$9) + CHOOSE(CONTROL!$C$27, 0.0021, 0)</f>
        <v>38.233199999999997</v>
      </c>
      <c r="L260" s="10"/>
    </row>
    <row r="261" spans="1:12" ht="15" x14ac:dyDescent="0.2">
      <c r="A261" s="16">
        <v>49218</v>
      </c>
      <c r="B261" s="10">
        <f>39.5809 * CHOOSE(CONTROL!$C$9, $D$9, 100%, $F$9) + CHOOSE(CONTROL!$C$27, 0.0021, 0)</f>
        <v>39.582999999999998</v>
      </c>
      <c r="C261" s="10">
        <f>39.1487 * CHOOSE(CONTROL!$C$9, $D$9, 100%, $F$9) + CHOOSE(CONTROL!$C$27, 0.0021, 0)</f>
        <v>39.150799999999997</v>
      </c>
      <c r="D261" s="10">
        <f>39.1487 * CHOOSE(CONTROL!$C$9, $D$9, 100%, $F$9) + CHOOSE(CONTROL!$C$27, 0.0021, 0)</f>
        <v>39.150799999999997</v>
      </c>
      <c r="E261" s="10">
        <f>39.012 * CHOOSE(CONTROL!$C$9, $D$9, 100%, $F$9) + CHOOSE(CONTROL!$C$27, 0.0021, 0)</f>
        <v>39.014099999999999</v>
      </c>
      <c r="F261" s="10">
        <f>39.012 * CHOOSE(CONTROL!$C$9, $D$9, 100%, $F$9) + CHOOSE(CONTROL!$C$27, 0.0021, 0)</f>
        <v>39.014099999999999</v>
      </c>
      <c r="G261" s="10">
        <f>39.2834 * CHOOSE(CONTROL!$C$9, $D$9, 100%, $F$9) + CHOOSE(CONTROL!$C$27, 0.0021, 0)</f>
        <v>39.285499999999999</v>
      </c>
      <c r="H261" s="10">
        <f>39.1487 * CHOOSE(CONTROL!$C$9, $D$9, 100%, $F$9) + CHOOSE(CONTROL!$C$27, 0.0021, 0)</f>
        <v>39.150799999999997</v>
      </c>
      <c r="I261" s="10">
        <f>39.1487 * CHOOSE(CONTROL!$C$9, $D$9, 100%, $F$9) + CHOOSE(CONTROL!$C$27, 0.0021, 0)</f>
        <v>39.150799999999997</v>
      </c>
      <c r="J261" s="10">
        <f>39.1487 * CHOOSE(CONTROL!$C$9, $D$9, 100%, $F$9) + CHOOSE(CONTROL!$C$27, 0.0021, 0)</f>
        <v>39.150799999999997</v>
      </c>
      <c r="K261" s="10">
        <f>39.1487 * CHOOSE(CONTROL!$C$9, $D$9, 100%, $F$9) + CHOOSE(CONTROL!$C$27, 0.0021, 0)</f>
        <v>39.150799999999997</v>
      </c>
      <c r="L261" s="10"/>
    </row>
    <row r="262" spans="1:12" ht="15" x14ac:dyDescent="0.2">
      <c r="A262" s="16">
        <v>49249</v>
      </c>
      <c r="B262" s="10">
        <f>39.6671 * CHOOSE(CONTROL!$C$9, $D$9, 100%, $F$9) + CHOOSE(CONTROL!$C$27, 0.0021, 0)</f>
        <v>39.669199999999996</v>
      </c>
      <c r="C262" s="10">
        <f>39.2348 * CHOOSE(CONTROL!$C$9, $D$9, 100%, $F$9) + CHOOSE(CONTROL!$C$27, 0.0021, 0)</f>
        <v>39.236899999999999</v>
      </c>
      <c r="D262" s="10">
        <f>39.2348 * CHOOSE(CONTROL!$C$9, $D$9, 100%, $F$9) + CHOOSE(CONTROL!$C$27, 0.0021, 0)</f>
        <v>39.236899999999999</v>
      </c>
      <c r="E262" s="10">
        <f>39.0982 * CHOOSE(CONTROL!$C$9, $D$9, 100%, $F$9) + CHOOSE(CONTROL!$C$27, 0.0021, 0)</f>
        <v>39.100299999999997</v>
      </c>
      <c r="F262" s="10">
        <f>39.0982 * CHOOSE(CONTROL!$C$9, $D$9, 100%, $F$9) + CHOOSE(CONTROL!$C$27, 0.0021, 0)</f>
        <v>39.100299999999997</v>
      </c>
      <c r="G262" s="10">
        <f>39.3695 * CHOOSE(CONTROL!$C$9, $D$9, 100%, $F$9) + CHOOSE(CONTROL!$C$27, 0.0021, 0)</f>
        <v>39.371600000000001</v>
      </c>
      <c r="H262" s="10">
        <f>39.2348 * CHOOSE(CONTROL!$C$9, $D$9, 100%, $F$9) + CHOOSE(CONTROL!$C$27, 0.0021, 0)</f>
        <v>39.236899999999999</v>
      </c>
      <c r="I262" s="10">
        <f>39.2348 * CHOOSE(CONTROL!$C$9, $D$9, 100%, $F$9) + CHOOSE(CONTROL!$C$27, 0.0021, 0)</f>
        <v>39.236899999999999</v>
      </c>
      <c r="J262" s="10">
        <f>39.2348 * CHOOSE(CONTROL!$C$9, $D$9, 100%, $F$9) + CHOOSE(CONTROL!$C$27, 0.0021, 0)</f>
        <v>39.236899999999999</v>
      </c>
      <c r="K262" s="10">
        <f>39.2348 * CHOOSE(CONTROL!$C$9, $D$9, 100%, $F$9) + CHOOSE(CONTROL!$C$27, 0.0021, 0)</f>
        <v>39.236899999999999</v>
      </c>
      <c r="L262" s="10"/>
    </row>
    <row r="263" spans="1:12" ht="15" x14ac:dyDescent="0.2">
      <c r="A263" s="16">
        <v>49279</v>
      </c>
      <c r="B263" s="10">
        <f>38.9342 * CHOOSE(CONTROL!$C$9, $D$9, 100%, $F$9) + CHOOSE(CONTROL!$C$27, 0.0021, 0)</f>
        <v>38.936299999999996</v>
      </c>
      <c r="C263" s="10">
        <f>38.502 * CHOOSE(CONTROL!$C$9, $D$9, 100%, $F$9) + CHOOSE(CONTROL!$C$27, 0.0021, 0)</f>
        <v>38.504100000000001</v>
      </c>
      <c r="D263" s="10">
        <f>38.502 * CHOOSE(CONTROL!$C$9, $D$9, 100%, $F$9) + CHOOSE(CONTROL!$C$27, 0.0021, 0)</f>
        <v>38.504100000000001</v>
      </c>
      <c r="E263" s="10">
        <f>38.3653 * CHOOSE(CONTROL!$C$9, $D$9, 100%, $F$9) + CHOOSE(CONTROL!$C$27, 0.0021, 0)</f>
        <v>38.367399999999996</v>
      </c>
      <c r="F263" s="10">
        <f>38.3653 * CHOOSE(CONTROL!$C$9, $D$9, 100%, $F$9) + CHOOSE(CONTROL!$C$27, 0.0021, 0)</f>
        <v>38.367399999999996</v>
      </c>
      <c r="G263" s="10">
        <f>38.6367 * CHOOSE(CONTROL!$C$9, $D$9, 100%, $F$9) + CHOOSE(CONTROL!$C$27, 0.0021, 0)</f>
        <v>38.638799999999996</v>
      </c>
      <c r="H263" s="10">
        <f>38.502 * CHOOSE(CONTROL!$C$9, $D$9, 100%, $F$9) + CHOOSE(CONTROL!$C$27, 0.0021, 0)</f>
        <v>38.504100000000001</v>
      </c>
      <c r="I263" s="10">
        <f>38.502 * CHOOSE(CONTROL!$C$9, $D$9, 100%, $F$9) + CHOOSE(CONTROL!$C$27, 0.0021, 0)</f>
        <v>38.504100000000001</v>
      </c>
      <c r="J263" s="10">
        <f>38.502 * CHOOSE(CONTROL!$C$9, $D$9, 100%, $F$9) + CHOOSE(CONTROL!$C$27, 0.0021, 0)</f>
        <v>38.504100000000001</v>
      </c>
      <c r="K263" s="10">
        <f>38.502 * CHOOSE(CONTROL!$C$9, $D$9, 100%, $F$9) + CHOOSE(CONTROL!$C$27, 0.0021, 0)</f>
        <v>38.504100000000001</v>
      </c>
      <c r="L263" s="10"/>
    </row>
    <row r="264" spans="1:12" ht="15" x14ac:dyDescent="0.2">
      <c r="A264" s="16">
        <v>49310</v>
      </c>
      <c r="B264" s="10">
        <f>38.3732 * CHOOSE(CONTROL!$C$9, $D$9, 100%, $F$9) + CHOOSE(CONTROL!$C$27, 0.0021, 0)</f>
        <v>38.375299999999996</v>
      </c>
      <c r="C264" s="10">
        <f>37.9409 * CHOOSE(CONTROL!$C$9, $D$9, 100%, $F$9) + CHOOSE(CONTROL!$C$27, 0.0021, 0)</f>
        <v>37.942999999999998</v>
      </c>
      <c r="D264" s="10">
        <f>37.9409 * CHOOSE(CONTROL!$C$9, $D$9, 100%, $F$9) + CHOOSE(CONTROL!$C$27, 0.0021, 0)</f>
        <v>37.942999999999998</v>
      </c>
      <c r="E264" s="10">
        <f>37.8042 * CHOOSE(CONTROL!$C$9, $D$9, 100%, $F$9) + CHOOSE(CONTROL!$C$27, 0.0021, 0)</f>
        <v>37.8063</v>
      </c>
      <c r="F264" s="10">
        <f>37.8042 * CHOOSE(CONTROL!$C$9, $D$9, 100%, $F$9) + CHOOSE(CONTROL!$C$27, 0.0021, 0)</f>
        <v>37.8063</v>
      </c>
      <c r="G264" s="10">
        <f>38.0756 * CHOOSE(CONTROL!$C$9, $D$9, 100%, $F$9) + CHOOSE(CONTROL!$C$27, 0.0021, 0)</f>
        <v>38.0777</v>
      </c>
      <c r="H264" s="10">
        <f>37.9409 * CHOOSE(CONTROL!$C$9, $D$9, 100%, $F$9) + CHOOSE(CONTROL!$C$27, 0.0021, 0)</f>
        <v>37.942999999999998</v>
      </c>
      <c r="I264" s="10">
        <f>37.9409 * CHOOSE(CONTROL!$C$9, $D$9, 100%, $F$9) + CHOOSE(CONTROL!$C$27, 0.0021, 0)</f>
        <v>37.942999999999998</v>
      </c>
      <c r="J264" s="10">
        <f>37.9409 * CHOOSE(CONTROL!$C$9, $D$9, 100%, $F$9) + CHOOSE(CONTROL!$C$27, 0.0021, 0)</f>
        <v>37.942999999999998</v>
      </c>
      <c r="K264" s="10">
        <f>37.9409 * CHOOSE(CONTROL!$C$9, $D$9, 100%, $F$9) + CHOOSE(CONTROL!$C$27, 0.0021, 0)</f>
        <v>37.942999999999998</v>
      </c>
      <c r="L264" s="10"/>
    </row>
    <row r="265" spans="1:12" ht="15" x14ac:dyDescent="0.2">
      <c r="A265" s="16">
        <v>49341</v>
      </c>
      <c r="B265" s="10">
        <f>37.3526 * CHOOSE(CONTROL!$C$9, $D$9, 100%, $F$9) + CHOOSE(CONTROL!$C$27, 0.0021, 0)</f>
        <v>37.354700000000001</v>
      </c>
      <c r="C265" s="10">
        <f>36.9203 * CHOOSE(CONTROL!$C$9, $D$9, 100%, $F$9) + CHOOSE(CONTROL!$C$27, 0.0021, 0)</f>
        <v>36.922399999999996</v>
      </c>
      <c r="D265" s="10">
        <f>36.9203 * CHOOSE(CONTROL!$C$9, $D$9, 100%, $F$9) + CHOOSE(CONTROL!$C$27, 0.0021, 0)</f>
        <v>36.922399999999996</v>
      </c>
      <c r="E265" s="10">
        <f>36.7837 * CHOOSE(CONTROL!$C$9, $D$9, 100%, $F$9) + CHOOSE(CONTROL!$C$27, 0.0021, 0)</f>
        <v>36.785800000000002</v>
      </c>
      <c r="F265" s="10">
        <f>36.7837 * CHOOSE(CONTROL!$C$9, $D$9, 100%, $F$9) + CHOOSE(CONTROL!$C$27, 0.0021, 0)</f>
        <v>36.785800000000002</v>
      </c>
      <c r="G265" s="10">
        <f>37.0551 * CHOOSE(CONTROL!$C$9, $D$9, 100%, $F$9) + CHOOSE(CONTROL!$C$27, 0.0021, 0)</f>
        <v>37.057200000000002</v>
      </c>
      <c r="H265" s="10">
        <f>36.9203 * CHOOSE(CONTROL!$C$9, $D$9, 100%, $F$9) + CHOOSE(CONTROL!$C$27, 0.0021, 0)</f>
        <v>36.922399999999996</v>
      </c>
      <c r="I265" s="10">
        <f>36.9203 * CHOOSE(CONTROL!$C$9, $D$9, 100%, $F$9) + CHOOSE(CONTROL!$C$27, 0.0021, 0)</f>
        <v>36.922399999999996</v>
      </c>
      <c r="J265" s="10">
        <f>36.9203 * CHOOSE(CONTROL!$C$9, $D$9, 100%, $F$9) + CHOOSE(CONTROL!$C$27, 0.0021, 0)</f>
        <v>36.922399999999996</v>
      </c>
      <c r="K265" s="10">
        <f>36.9203 * CHOOSE(CONTROL!$C$9, $D$9, 100%, $F$9) + CHOOSE(CONTROL!$C$27, 0.0021, 0)</f>
        <v>36.922399999999996</v>
      </c>
      <c r="L265" s="10"/>
    </row>
    <row r="266" spans="1:12" ht="15" x14ac:dyDescent="0.2">
      <c r="A266" s="16">
        <v>49369</v>
      </c>
      <c r="B266" s="10">
        <f>36.9313 * CHOOSE(CONTROL!$C$9, $D$9, 100%, $F$9) + CHOOSE(CONTROL!$C$27, 0.0021, 0)</f>
        <v>36.933399999999999</v>
      </c>
      <c r="C266" s="10">
        <f>36.4991 * CHOOSE(CONTROL!$C$9, $D$9, 100%, $F$9) + CHOOSE(CONTROL!$C$27, 0.0021, 0)</f>
        <v>36.501199999999997</v>
      </c>
      <c r="D266" s="10">
        <f>36.4991 * CHOOSE(CONTROL!$C$9, $D$9, 100%, $F$9) + CHOOSE(CONTROL!$C$27, 0.0021, 0)</f>
        <v>36.501199999999997</v>
      </c>
      <c r="E266" s="10">
        <f>36.3624 * CHOOSE(CONTROL!$C$9, $D$9, 100%, $F$9) + CHOOSE(CONTROL!$C$27, 0.0021, 0)</f>
        <v>36.3645</v>
      </c>
      <c r="F266" s="10">
        <f>36.3624 * CHOOSE(CONTROL!$C$9, $D$9, 100%, $F$9) + CHOOSE(CONTROL!$C$27, 0.0021, 0)</f>
        <v>36.3645</v>
      </c>
      <c r="G266" s="10">
        <f>36.6338 * CHOOSE(CONTROL!$C$9, $D$9, 100%, $F$9) + CHOOSE(CONTROL!$C$27, 0.0021, 0)</f>
        <v>36.635899999999999</v>
      </c>
      <c r="H266" s="10">
        <f>36.4991 * CHOOSE(CONTROL!$C$9, $D$9, 100%, $F$9) + CHOOSE(CONTROL!$C$27, 0.0021, 0)</f>
        <v>36.501199999999997</v>
      </c>
      <c r="I266" s="10">
        <f>36.4991 * CHOOSE(CONTROL!$C$9, $D$9, 100%, $F$9) + CHOOSE(CONTROL!$C$27, 0.0021, 0)</f>
        <v>36.501199999999997</v>
      </c>
      <c r="J266" s="10">
        <f>36.4991 * CHOOSE(CONTROL!$C$9, $D$9, 100%, $F$9) + CHOOSE(CONTROL!$C$27, 0.0021, 0)</f>
        <v>36.501199999999997</v>
      </c>
      <c r="K266" s="10">
        <f>36.4991 * CHOOSE(CONTROL!$C$9, $D$9, 100%, $F$9) + CHOOSE(CONTROL!$C$27, 0.0021, 0)</f>
        <v>36.501199999999997</v>
      </c>
      <c r="L266" s="10"/>
    </row>
    <row r="267" spans="1:12" ht="15" x14ac:dyDescent="0.2">
      <c r="A267" s="16">
        <v>49400</v>
      </c>
      <c r="B267" s="10">
        <f>36.4283 * CHOOSE(CONTROL!$C$9, $D$9, 100%, $F$9) + CHOOSE(CONTROL!$C$27, 0.0021, 0)</f>
        <v>36.430399999999999</v>
      </c>
      <c r="C267" s="10">
        <f>35.996 * CHOOSE(CONTROL!$C$9, $D$9, 100%, $F$9) + CHOOSE(CONTROL!$C$27, 0.0021, 0)</f>
        <v>35.998100000000001</v>
      </c>
      <c r="D267" s="10">
        <f>35.996 * CHOOSE(CONTROL!$C$9, $D$9, 100%, $F$9) + CHOOSE(CONTROL!$C$27, 0.0021, 0)</f>
        <v>35.998100000000001</v>
      </c>
      <c r="E267" s="10">
        <f>35.8594 * CHOOSE(CONTROL!$C$9, $D$9, 100%, $F$9) + CHOOSE(CONTROL!$C$27, 0.0021, 0)</f>
        <v>35.861499999999999</v>
      </c>
      <c r="F267" s="10">
        <f>35.8594 * CHOOSE(CONTROL!$C$9, $D$9, 100%, $F$9) + CHOOSE(CONTROL!$C$27, 0.0021, 0)</f>
        <v>35.861499999999999</v>
      </c>
      <c r="G267" s="10">
        <f>36.1308 * CHOOSE(CONTROL!$C$9, $D$9, 100%, $F$9) + CHOOSE(CONTROL!$C$27, 0.0021, 0)</f>
        <v>36.132899999999999</v>
      </c>
      <c r="H267" s="10">
        <f>35.996 * CHOOSE(CONTROL!$C$9, $D$9, 100%, $F$9) + CHOOSE(CONTROL!$C$27, 0.0021, 0)</f>
        <v>35.998100000000001</v>
      </c>
      <c r="I267" s="10">
        <f>35.996 * CHOOSE(CONTROL!$C$9, $D$9, 100%, $F$9) + CHOOSE(CONTROL!$C$27, 0.0021, 0)</f>
        <v>35.998100000000001</v>
      </c>
      <c r="J267" s="10">
        <f>35.996 * CHOOSE(CONTROL!$C$9, $D$9, 100%, $F$9) + CHOOSE(CONTROL!$C$27, 0.0021, 0)</f>
        <v>35.998100000000001</v>
      </c>
      <c r="K267" s="10">
        <f>35.996 * CHOOSE(CONTROL!$C$9, $D$9, 100%, $F$9) + CHOOSE(CONTROL!$C$27, 0.0021, 0)</f>
        <v>35.998100000000001</v>
      </c>
      <c r="L267" s="10"/>
    </row>
    <row r="268" spans="1:12" ht="15" x14ac:dyDescent="0.2">
      <c r="A268" s="16">
        <v>49430</v>
      </c>
      <c r="B268" s="10">
        <f>37.1452 * CHOOSE(CONTROL!$C$9, $D$9, 100%, $F$9) + CHOOSE(CONTROL!$C$27, 0.0021, 0)</f>
        <v>37.147300000000001</v>
      </c>
      <c r="C268" s="10">
        <f>36.7129 * CHOOSE(CONTROL!$C$9, $D$9, 100%, $F$9) + CHOOSE(CONTROL!$C$27, 0.0021, 0)</f>
        <v>36.714999999999996</v>
      </c>
      <c r="D268" s="10">
        <f>36.7129 * CHOOSE(CONTROL!$C$9, $D$9, 100%, $F$9) + CHOOSE(CONTROL!$C$27, 0.0021, 0)</f>
        <v>36.714999999999996</v>
      </c>
      <c r="E268" s="10">
        <f>36.5762 * CHOOSE(CONTROL!$C$9, $D$9, 100%, $F$9) + CHOOSE(CONTROL!$C$27, 0.0021, 0)</f>
        <v>36.578299999999999</v>
      </c>
      <c r="F268" s="10">
        <f>36.5762 * CHOOSE(CONTROL!$C$9, $D$9, 100%, $F$9) + CHOOSE(CONTROL!$C$27, 0.0021, 0)</f>
        <v>36.578299999999999</v>
      </c>
      <c r="G268" s="10">
        <f>36.8476 * CHOOSE(CONTROL!$C$9, $D$9, 100%, $F$9) + CHOOSE(CONTROL!$C$27, 0.0021, 0)</f>
        <v>36.849699999999999</v>
      </c>
      <c r="H268" s="10">
        <f>36.7129 * CHOOSE(CONTROL!$C$9, $D$9, 100%, $F$9) + CHOOSE(CONTROL!$C$27, 0.0021, 0)</f>
        <v>36.714999999999996</v>
      </c>
      <c r="I268" s="10">
        <f>36.7129 * CHOOSE(CONTROL!$C$9, $D$9, 100%, $F$9) + CHOOSE(CONTROL!$C$27, 0.0021, 0)</f>
        <v>36.714999999999996</v>
      </c>
      <c r="J268" s="10">
        <f>36.7129 * CHOOSE(CONTROL!$C$9, $D$9, 100%, $F$9) + CHOOSE(CONTROL!$C$27, 0.0021, 0)</f>
        <v>36.714999999999996</v>
      </c>
      <c r="K268" s="10">
        <f>36.7129 * CHOOSE(CONTROL!$C$9, $D$9, 100%, $F$9) + CHOOSE(CONTROL!$C$27, 0.0021, 0)</f>
        <v>36.714999999999996</v>
      </c>
      <c r="L268" s="10"/>
    </row>
    <row r="269" spans="1:12" ht="15" x14ac:dyDescent="0.2">
      <c r="A269" s="15">
        <v>49461</v>
      </c>
      <c r="B269" s="10">
        <f>37.5745 * CHOOSE(CONTROL!$C$9, $D$9, 100%, $F$9) + CHOOSE(CONTROL!$C$27, 0.0021, 0)</f>
        <v>37.576599999999999</v>
      </c>
      <c r="C269" s="10">
        <f>37.1423 * CHOOSE(CONTROL!$C$9, $D$9, 100%, $F$9) + CHOOSE(CONTROL!$C$27, 0.0021, 0)</f>
        <v>37.144399999999997</v>
      </c>
      <c r="D269" s="10">
        <f>37.1423 * CHOOSE(CONTROL!$C$9, $D$9, 100%, $F$9) + CHOOSE(CONTROL!$C$27, 0.0021, 0)</f>
        <v>37.144399999999997</v>
      </c>
      <c r="E269" s="10">
        <f>37.0056 * CHOOSE(CONTROL!$C$9, $D$9, 100%, $F$9) + CHOOSE(CONTROL!$C$27, 0.0021, 0)</f>
        <v>37.0077</v>
      </c>
      <c r="F269" s="10">
        <f>37.0056 * CHOOSE(CONTROL!$C$9, $D$9, 100%, $F$9) + CHOOSE(CONTROL!$C$27, 0.0021, 0)</f>
        <v>37.0077</v>
      </c>
      <c r="G269" s="10">
        <f>37.277 * CHOOSE(CONTROL!$C$9, $D$9, 100%, $F$9) + CHOOSE(CONTROL!$C$27, 0.0021, 0)</f>
        <v>37.2791</v>
      </c>
      <c r="H269" s="10">
        <f>37.1423 * CHOOSE(CONTROL!$C$9, $D$9, 100%, $F$9) + CHOOSE(CONTROL!$C$27, 0.0021, 0)</f>
        <v>37.144399999999997</v>
      </c>
      <c r="I269" s="10">
        <f>37.1423 * CHOOSE(CONTROL!$C$9, $D$9, 100%, $F$9) + CHOOSE(CONTROL!$C$27, 0.0021, 0)</f>
        <v>37.144399999999997</v>
      </c>
      <c r="J269" s="10">
        <f>37.1423 * CHOOSE(CONTROL!$C$9, $D$9, 100%, $F$9) + CHOOSE(CONTROL!$C$27, 0.0021, 0)</f>
        <v>37.144399999999997</v>
      </c>
      <c r="K269" s="10">
        <f>37.1423 * CHOOSE(CONTROL!$C$9, $D$9, 100%, $F$9) + CHOOSE(CONTROL!$C$27, 0.0021, 0)</f>
        <v>37.144399999999997</v>
      </c>
      <c r="L269" s="10"/>
    </row>
    <row r="270" spans="1:12" ht="15" x14ac:dyDescent="0.2">
      <c r="A270" s="15">
        <v>49491</v>
      </c>
      <c r="B270" s="10">
        <f>38.2828 * CHOOSE(CONTROL!$C$9, $D$9, 100%, $F$9) + CHOOSE(CONTROL!$C$27, 0.0021, 0)</f>
        <v>38.2849</v>
      </c>
      <c r="C270" s="10">
        <f>37.8506 * CHOOSE(CONTROL!$C$9, $D$9, 100%, $F$9) + CHOOSE(CONTROL!$C$27, 0.0021, 0)</f>
        <v>37.852699999999999</v>
      </c>
      <c r="D270" s="10">
        <f>37.8506 * CHOOSE(CONTROL!$C$9, $D$9, 100%, $F$9) + CHOOSE(CONTROL!$C$27, 0.0021, 0)</f>
        <v>37.852699999999999</v>
      </c>
      <c r="E270" s="10">
        <f>37.7139 * CHOOSE(CONTROL!$C$9, $D$9, 100%, $F$9) + CHOOSE(CONTROL!$C$27, 0.0021, 0)</f>
        <v>37.716000000000001</v>
      </c>
      <c r="F270" s="10">
        <f>37.7139 * CHOOSE(CONTROL!$C$9, $D$9, 100%, $F$9) + CHOOSE(CONTROL!$C$27, 0.0021, 0)</f>
        <v>37.716000000000001</v>
      </c>
      <c r="G270" s="10">
        <f>37.9853 * CHOOSE(CONTROL!$C$9, $D$9, 100%, $F$9) + CHOOSE(CONTROL!$C$27, 0.0021, 0)</f>
        <v>37.987400000000001</v>
      </c>
      <c r="H270" s="10">
        <f>37.8506 * CHOOSE(CONTROL!$C$9, $D$9, 100%, $F$9) + CHOOSE(CONTROL!$C$27, 0.0021, 0)</f>
        <v>37.852699999999999</v>
      </c>
      <c r="I270" s="10">
        <f>37.8506 * CHOOSE(CONTROL!$C$9, $D$9, 100%, $F$9) + CHOOSE(CONTROL!$C$27, 0.0021, 0)</f>
        <v>37.852699999999999</v>
      </c>
      <c r="J270" s="10">
        <f>37.8506 * CHOOSE(CONTROL!$C$9, $D$9, 100%, $F$9) + CHOOSE(CONTROL!$C$27, 0.0021, 0)</f>
        <v>37.852699999999999</v>
      </c>
      <c r="K270" s="10">
        <f>37.8506 * CHOOSE(CONTROL!$C$9, $D$9, 100%, $F$9) + CHOOSE(CONTROL!$C$27, 0.0021, 0)</f>
        <v>37.852699999999999</v>
      </c>
      <c r="L270" s="10"/>
    </row>
    <row r="271" spans="1:12" ht="15" x14ac:dyDescent="0.2">
      <c r="A271" s="15">
        <v>49522</v>
      </c>
      <c r="B271" s="10">
        <f>38.499 * CHOOSE(CONTROL!$C$9, $D$9, 100%, $F$9) + CHOOSE(CONTROL!$C$27, 0.0021, 0)</f>
        <v>38.501100000000001</v>
      </c>
      <c r="C271" s="10">
        <f>38.0668 * CHOOSE(CONTROL!$C$9, $D$9, 100%, $F$9) + CHOOSE(CONTROL!$C$27, 0.0021, 0)</f>
        <v>38.068899999999999</v>
      </c>
      <c r="D271" s="10">
        <f>38.0668 * CHOOSE(CONTROL!$C$9, $D$9, 100%, $F$9) + CHOOSE(CONTROL!$C$27, 0.0021, 0)</f>
        <v>38.068899999999999</v>
      </c>
      <c r="E271" s="10">
        <f>37.9301 * CHOOSE(CONTROL!$C$9, $D$9, 100%, $F$9) + CHOOSE(CONTROL!$C$27, 0.0021, 0)</f>
        <v>37.932200000000002</v>
      </c>
      <c r="F271" s="10">
        <f>37.9301 * CHOOSE(CONTROL!$C$9, $D$9, 100%, $F$9) + CHOOSE(CONTROL!$C$27, 0.0021, 0)</f>
        <v>37.932200000000002</v>
      </c>
      <c r="G271" s="10">
        <f>38.2015 * CHOOSE(CONTROL!$C$9, $D$9, 100%, $F$9) + CHOOSE(CONTROL!$C$27, 0.0021, 0)</f>
        <v>38.203600000000002</v>
      </c>
      <c r="H271" s="10">
        <f>38.0668 * CHOOSE(CONTROL!$C$9, $D$9, 100%, $F$9) + CHOOSE(CONTROL!$C$27, 0.0021, 0)</f>
        <v>38.068899999999999</v>
      </c>
      <c r="I271" s="10">
        <f>38.0668 * CHOOSE(CONTROL!$C$9, $D$9, 100%, $F$9) + CHOOSE(CONTROL!$C$27, 0.0021, 0)</f>
        <v>38.068899999999999</v>
      </c>
      <c r="J271" s="10">
        <f>38.0668 * CHOOSE(CONTROL!$C$9, $D$9, 100%, $F$9) + CHOOSE(CONTROL!$C$27, 0.0021, 0)</f>
        <v>38.068899999999999</v>
      </c>
      <c r="K271" s="10">
        <f>38.0668 * CHOOSE(CONTROL!$C$9, $D$9, 100%, $F$9) + CHOOSE(CONTROL!$C$27, 0.0021, 0)</f>
        <v>38.068899999999999</v>
      </c>
      <c r="L271" s="10"/>
    </row>
    <row r="272" spans="1:12" ht="15" x14ac:dyDescent="0.2">
      <c r="A272" s="15">
        <v>49553</v>
      </c>
      <c r="B272" s="10">
        <f>39.2353 * CHOOSE(CONTROL!$C$9, $D$9, 100%, $F$9) + CHOOSE(CONTROL!$C$27, 0.0021, 0)</f>
        <v>39.237400000000001</v>
      </c>
      <c r="C272" s="10">
        <f>38.8031 * CHOOSE(CONTROL!$C$9, $D$9, 100%, $F$9) + CHOOSE(CONTROL!$C$27, 0.0021, 0)</f>
        <v>38.805199999999999</v>
      </c>
      <c r="D272" s="10">
        <f>38.8031 * CHOOSE(CONTROL!$C$9, $D$9, 100%, $F$9) + CHOOSE(CONTROL!$C$27, 0.0021, 0)</f>
        <v>38.805199999999999</v>
      </c>
      <c r="E272" s="10">
        <f>38.6664 * CHOOSE(CONTROL!$C$9, $D$9, 100%, $F$9) + CHOOSE(CONTROL!$C$27, 0.0021, 0)</f>
        <v>38.668500000000002</v>
      </c>
      <c r="F272" s="10">
        <f>38.6664 * CHOOSE(CONTROL!$C$9, $D$9, 100%, $F$9) + CHOOSE(CONTROL!$C$27, 0.0021, 0)</f>
        <v>38.668500000000002</v>
      </c>
      <c r="G272" s="10">
        <f>38.9378 * CHOOSE(CONTROL!$C$9, $D$9, 100%, $F$9) + CHOOSE(CONTROL!$C$27, 0.0021, 0)</f>
        <v>38.939900000000002</v>
      </c>
      <c r="H272" s="10">
        <f>38.8031 * CHOOSE(CONTROL!$C$9, $D$9, 100%, $F$9) + CHOOSE(CONTROL!$C$27, 0.0021, 0)</f>
        <v>38.805199999999999</v>
      </c>
      <c r="I272" s="10">
        <f>38.8031 * CHOOSE(CONTROL!$C$9, $D$9, 100%, $F$9) + CHOOSE(CONTROL!$C$27, 0.0021, 0)</f>
        <v>38.805199999999999</v>
      </c>
      <c r="J272" s="10">
        <f>38.8031 * CHOOSE(CONTROL!$C$9, $D$9, 100%, $F$9) + CHOOSE(CONTROL!$C$27, 0.0021, 0)</f>
        <v>38.805199999999999</v>
      </c>
      <c r="K272" s="10">
        <f>38.8031 * CHOOSE(CONTROL!$C$9, $D$9, 100%, $F$9) + CHOOSE(CONTROL!$C$27, 0.0021, 0)</f>
        <v>38.805199999999999</v>
      </c>
      <c r="L272" s="10"/>
    </row>
    <row r="273" spans="1:12" ht="15" x14ac:dyDescent="0.2">
      <c r="A273" s="15">
        <v>49583</v>
      </c>
      <c r="B273" s="10">
        <f>40.1673 * CHOOSE(CONTROL!$C$9, $D$9, 100%, $F$9) + CHOOSE(CONTROL!$C$27, 0.0021, 0)</f>
        <v>40.169399999999996</v>
      </c>
      <c r="C273" s="10">
        <f>39.735 * CHOOSE(CONTROL!$C$9, $D$9, 100%, $F$9) + CHOOSE(CONTROL!$C$27, 0.0021, 0)</f>
        <v>39.737099999999998</v>
      </c>
      <c r="D273" s="10">
        <f>39.735 * CHOOSE(CONTROL!$C$9, $D$9, 100%, $F$9) + CHOOSE(CONTROL!$C$27, 0.0021, 0)</f>
        <v>39.737099999999998</v>
      </c>
      <c r="E273" s="10">
        <f>39.5984 * CHOOSE(CONTROL!$C$9, $D$9, 100%, $F$9) + CHOOSE(CONTROL!$C$27, 0.0021, 0)</f>
        <v>39.600499999999997</v>
      </c>
      <c r="F273" s="10">
        <f>39.5984 * CHOOSE(CONTROL!$C$9, $D$9, 100%, $F$9) + CHOOSE(CONTROL!$C$27, 0.0021, 0)</f>
        <v>39.600499999999997</v>
      </c>
      <c r="G273" s="10">
        <f>39.8698 * CHOOSE(CONTROL!$C$9, $D$9, 100%, $F$9) + CHOOSE(CONTROL!$C$27, 0.0021, 0)</f>
        <v>39.871899999999997</v>
      </c>
      <c r="H273" s="10">
        <f>39.735 * CHOOSE(CONTROL!$C$9, $D$9, 100%, $F$9) + CHOOSE(CONTROL!$C$27, 0.0021, 0)</f>
        <v>39.737099999999998</v>
      </c>
      <c r="I273" s="10">
        <f>39.735 * CHOOSE(CONTROL!$C$9, $D$9, 100%, $F$9) + CHOOSE(CONTROL!$C$27, 0.0021, 0)</f>
        <v>39.737099999999998</v>
      </c>
      <c r="J273" s="10">
        <f>39.735 * CHOOSE(CONTROL!$C$9, $D$9, 100%, $F$9) + CHOOSE(CONTROL!$C$27, 0.0021, 0)</f>
        <v>39.737099999999998</v>
      </c>
      <c r="K273" s="10">
        <f>39.735 * CHOOSE(CONTROL!$C$9, $D$9, 100%, $F$9) + CHOOSE(CONTROL!$C$27, 0.0021, 0)</f>
        <v>39.737099999999998</v>
      </c>
      <c r="L273" s="10"/>
    </row>
    <row r="274" spans="1:12" ht="15" x14ac:dyDescent="0.2">
      <c r="A274" s="15">
        <v>49614</v>
      </c>
      <c r="B274" s="10">
        <f>40.2548 * CHOOSE(CONTROL!$C$9, $D$9, 100%, $F$9) + CHOOSE(CONTROL!$C$27, 0.0021, 0)</f>
        <v>40.256900000000002</v>
      </c>
      <c r="C274" s="10">
        <f>39.8225 * CHOOSE(CONTROL!$C$9, $D$9, 100%, $F$9) + CHOOSE(CONTROL!$C$27, 0.0021, 0)</f>
        <v>39.824599999999997</v>
      </c>
      <c r="D274" s="10">
        <f>39.8225 * CHOOSE(CONTROL!$C$9, $D$9, 100%, $F$9) + CHOOSE(CONTROL!$C$27, 0.0021, 0)</f>
        <v>39.824599999999997</v>
      </c>
      <c r="E274" s="10">
        <f>39.6859 * CHOOSE(CONTROL!$C$9, $D$9, 100%, $F$9) + CHOOSE(CONTROL!$C$27, 0.0021, 0)</f>
        <v>39.687999999999995</v>
      </c>
      <c r="F274" s="10">
        <f>39.6859 * CHOOSE(CONTROL!$C$9, $D$9, 100%, $F$9) + CHOOSE(CONTROL!$C$27, 0.0021, 0)</f>
        <v>39.687999999999995</v>
      </c>
      <c r="G274" s="10">
        <f>39.9572 * CHOOSE(CONTROL!$C$9, $D$9, 100%, $F$9) + CHOOSE(CONTROL!$C$27, 0.0021, 0)</f>
        <v>39.959299999999999</v>
      </c>
      <c r="H274" s="10">
        <f>39.8225 * CHOOSE(CONTROL!$C$9, $D$9, 100%, $F$9) + CHOOSE(CONTROL!$C$27, 0.0021, 0)</f>
        <v>39.824599999999997</v>
      </c>
      <c r="I274" s="10">
        <f>39.8225 * CHOOSE(CONTROL!$C$9, $D$9, 100%, $F$9) + CHOOSE(CONTROL!$C$27, 0.0021, 0)</f>
        <v>39.824599999999997</v>
      </c>
      <c r="J274" s="10">
        <f>39.8225 * CHOOSE(CONTROL!$C$9, $D$9, 100%, $F$9) + CHOOSE(CONTROL!$C$27, 0.0021, 0)</f>
        <v>39.824599999999997</v>
      </c>
      <c r="K274" s="10">
        <f>39.8225 * CHOOSE(CONTROL!$C$9, $D$9, 100%, $F$9) + CHOOSE(CONTROL!$C$27, 0.0021, 0)</f>
        <v>39.824599999999997</v>
      </c>
      <c r="L274" s="10"/>
    </row>
    <row r="275" spans="1:12" ht="15" x14ac:dyDescent="0.2">
      <c r="A275" s="15">
        <v>49644</v>
      </c>
      <c r="B275" s="10">
        <f>39.5104 * CHOOSE(CONTROL!$C$9, $D$9, 100%, $F$9) + CHOOSE(CONTROL!$C$27, 0.0021, 0)</f>
        <v>39.512499999999996</v>
      </c>
      <c r="C275" s="10">
        <f>39.0782 * CHOOSE(CONTROL!$C$9, $D$9, 100%, $F$9) + CHOOSE(CONTROL!$C$27, 0.0021, 0)</f>
        <v>39.080300000000001</v>
      </c>
      <c r="D275" s="10">
        <f>39.0782 * CHOOSE(CONTROL!$C$9, $D$9, 100%, $F$9) + CHOOSE(CONTROL!$C$27, 0.0021, 0)</f>
        <v>39.080300000000001</v>
      </c>
      <c r="E275" s="10">
        <f>38.9415 * CHOOSE(CONTROL!$C$9, $D$9, 100%, $F$9) + CHOOSE(CONTROL!$C$27, 0.0021, 0)</f>
        <v>38.943599999999996</v>
      </c>
      <c r="F275" s="10">
        <f>38.9415 * CHOOSE(CONTROL!$C$9, $D$9, 100%, $F$9) + CHOOSE(CONTROL!$C$27, 0.0021, 0)</f>
        <v>38.943599999999996</v>
      </c>
      <c r="G275" s="10">
        <f>39.2129 * CHOOSE(CONTROL!$C$9, $D$9, 100%, $F$9) + CHOOSE(CONTROL!$C$27, 0.0021, 0)</f>
        <v>39.214999999999996</v>
      </c>
      <c r="H275" s="10">
        <f>39.0782 * CHOOSE(CONTROL!$C$9, $D$9, 100%, $F$9) + CHOOSE(CONTROL!$C$27, 0.0021, 0)</f>
        <v>39.080300000000001</v>
      </c>
      <c r="I275" s="10">
        <f>39.0782 * CHOOSE(CONTROL!$C$9, $D$9, 100%, $F$9) + CHOOSE(CONTROL!$C$27, 0.0021, 0)</f>
        <v>39.080300000000001</v>
      </c>
      <c r="J275" s="10">
        <f>39.0782 * CHOOSE(CONTROL!$C$9, $D$9, 100%, $F$9) + CHOOSE(CONTROL!$C$27, 0.0021, 0)</f>
        <v>39.080300000000001</v>
      </c>
      <c r="K275" s="10">
        <f>39.0782 * CHOOSE(CONTROL!$C$9, $D$9, 100%, $F$9) + CHOOSE(CONTROL!$C$27, 0.0021, 0)</f>
        <v>39.080300000000001</v>
      </c>
      <c r="L275" s="10"/>
    </row>
    <row r="276" spans="1:12" ht="15" x14ac:dyDescent="0.2">
      <c r="A276" s="15">
        <v>49675</v>
      </c>
      <c r="B276" s="10">
        <f>38.9405 * CHOOSE(CONTROL!$C$9, $D$9, 100%, $F$9) + CHOOSE(CONTROL!$C$27, 0.0021, 0)</f>
        <v>38.942599999999999</v>
      </c>
      <c r="C276" s="10">
        <f>38.5083 * CHOOSE(CONTROL!$C$9, $D$9, 100%, $F$9) + CHOOSE(CONTROL!$C$27, 0.0021, 0)</f>
        <v>38.510399999999997</v>
      </c>
      <c r="D276" s="10">
        <f>38.5083 * CHOOSE(CONTROL!$C$9, $D$9, 100%, $F$9) + CHOOSE(CONTROL!$C$27, 0.0021, 0)</f>
        <v>38.510399999999997</v>
      </c>
      <c r="E276" s="10">
        <f>38.3716 * CHOOSE(CONTROL!$C$9, $D$9, 100%, $F$9) + CHOOSE(CONTROL!$C$27, 0.0021, 0)</f>
        <v>38.373699999999999</v>
      </c>
      <c r="F276" s="10">
        <f>38.3716 * CHOOSE(CONTROL!$C$9, $D$9, 100%, $F$9) + CHOOSE(CONTROL!$C$27, 0.0021, 0)</f>
        <v>38.373699999999999</v>
      </c>
      <c r="G276" s="10">
        <f>38.643 * CHOOSE(CONTROL!$C$9, $D$9, 100%, $F$9) + CHOOSE(CONTROL!$C$27, 0.0021, 0)</f>
        <v>38.645099999999999</v>
      </c>
      <c r="H276" s="10">
        <f>38.5083 * CHOOSE(CONTROL!$C$9, $D$9, 100%, $F$9) + CHOOSE(CONTROL!$C$27, 0.0021, 0)</f>
        <v>38.510399999999997</v>
      </c>
      <c r="I276" s="10">
        <f>38.5083 * CHOOSE(CONTROL!$C$9, $D$9, 100%, $F$9) + CHOOSE(CONTROL!$C$27, 0.0021, 0)</f>
        <v>38.510399999999997</v>
      </c>
      <c r="J276" s="10">
        <f>38.5083 * CHOOSE(CONTROL!$C$9, $D$9, 100%, $F$9) + CHOOSE(CONTROL!$C$27, 0.0021, 0)</f>
        <v>38.510399999999997</v>
      </c>
      <c r="K276" s="10">
        <f>38.5083 * CHOOSE(CONTROL!$C$9, $D$9, 100%, $F$9) + CHOOSE(CONTROL!$C$27, 0.0021, 0)</f>
        <v>38.510399999999997</v>
      </c>
      <c r="L276" s="10"/>
    </row>
    <row r="277" spans="1:12" ht="15" x14ac:dyDescent="0.2">
      <c r="A277" s="15">
        <v>49706</v>
      </c>
      <c r="B277" s="10">
        <f>37.9039 * CHOOSE(CONTROL!$C$9, $D$9, 100%, $F$9) + CHOOSE(CONTROL!$C$27, 0.0021, 0)</f>
        <v>37.905999999999999</v>
      </c>
      <c r="C277" s="10">
        <f>37.4717 * CHOOSE(CONTROL!$C$9, $D$9, 100%, $F$9) + CHOOSE(CONTROL!$C$27, 0.0021, 0)</f>
        <v>37.473799999999997</v>
      </c>
      <c r="D277" s="10">
        <f>37.4717 * CHOOSE(CONTROL!$C$9, $D$9, 100%, $F$9) + CHOOSE(CONTROL!$C$27, 0.0021, 0)</f>
        <v>37.473799999999997</v>
      </c>
      <c r="E277" s="10">
        <f>37.335 * CHOOSE(CONTROL!$C$9, $D$9, 100%, $F$9) + CHOOSE(CONTROL!$C$27, 0.0021, 0)</f>
        <v>37.3371</v>
      </c>
      <c r="F277" s="10">
        <f>37.335 * CHOOSE(CONTROL!$C$9, $D$9, 100%, $F$9) + CHOOSE(CONTROL!$C$27, 0.0021, 0)</f>
        <v>37.3371</v>
      </c>
      <c r="G277" s="10">
        <f>37.6064 * CHOOSE(CONTROL!$C$9, $D$9, 100%, $F$9) + CHOOSE(CONTROL!$C$27, 0.0021, 0)</f>
        <v>37.608499999999999</v>
      </c>
      <c r="H277" s="10">
        <f>37.4717 * CHOOSE(CONTROL!$C$9, $D$9, 100%, $F$9) + CHOOSE(CONTROL!$C$27, 0.0021, 0)</f>
        <v>37.473799999999997</v>
      </c>
      <c r="I277" s="10">
        <f>37.4717 * CHOOSE(CONTROL!$C$9, $D$9, 100%, $F$9) + CHOOSE(CONTROL!$C$27, 0.0021, 0)</f>
        <v>37.473799999999997</v>
      </c>
      <c r="J277" s="10">
        <f>37.4717 * CHOOSE(CONTROL!$C$9, $D$9, 100%, $F$9) + CHOOSE(CONTROL!$C$27, 0.0021, 0)</f>
        <v>37.473799999999997</v>
      </c>
      <c r="K277" s="10">
        <f>37.4717 * CHOOSE(CONTROL!$C$9, $D$9, 100%, $F$9) + CHOOSE(CONTROL!$C$27, 0.0021, 0)</f>
        <v>37.473799999999997</v>
      </c>
      <c r="L277" s="10"/>
    </row>
    <row r="278" spans="1:12" ht="15" x14ac:dyDescent="0.2">
      <c r="A278" s="15">
        <v>49735</v>
      </c>
      <c r="B278" s="10">
        <f>37.476 * CHOOSE(CONTROL!$C$9, $D$9, 100%, $F$9) + CHOOSE(CONTROL!$C$27, 0.0021, 0)</f>
        <v>37.478099999999998</v>
      </c>
      <c r="C278" s="10">
        <f>37.0438 * CHOOSE(CONTROL!$C$9, $D$9, 100%, $F$9) + CHOOSE(CONTROL!$C$27, 0.0021, 0)</f>
        <v>37.045899999999996</v>
      </c>
      <c r="D278" s="10">
        <f>37.0438 * CHOOSE(CONTROL!$C$9, $D$9, 100%, $F$9) + CHOOSE(CONTROL!$C$27, 0.0021, 0)</f>
        <v>37.045899999999996</v>
      </c>
      <c r="E278" s="10">
        <f>36.9071 * CHOOSE(CONTROL!$C$9, $D$9, 100%, $F$9) + CHOOSE(CONTROL!$C$27, 0.0021, 0)</f>
        <v>36.909199999999998</v>
      </c>
      <c r="F278" s="10">
        <f>36.9071 * CHOOSE(CONTROL!$C$9, $D$9, 100%, $F$9) + CHOOSE(CONTROL!$C$27, 0.0021, 0)</f>
        <v>36.909199999999998</v>
      </c>
      <c r="G278" s="10">
        <f>37.1785 * CHOOSE(CONTROL!$C$9, $D$9, 100%, $F$9) + CHOOSE(CONTROL!$C$27, 0.0021, 0)</f>
        <v>37.180599999999998</v>
      </c>
      <c r="H278" s="10">
        <f>37.0438 * CHOOSE(CONTROL!$C$9, $D$9, 100%, $F$9) + CHOOSE(CONTROL!$C$27, 0.0021, 0)</f>
        <v>37.045899999999996</v>
      </c>
      <c r="I278" s="10">
        <f>37.0438 * CHOOSE(CONTROL!$C$9, $D$9, 100%, $F$9) + CHOOSE(CONTROL!$C$27, 0.0021, 0)</f>
        <v>37.045899999999996</v>
      </c>
      <c r="J278" s="10">
        <f>37.0438 * CHOOSE(CONTROL!$C$9, $D$9, 100%, $F$9) + CHOOSE(CONTROL!$C$27, 0.0021, 0)</f>
        <v>37.045899999999996</v>
      </c>
      <c r="K278" s="10">
        <f>37.0438 * CHOOSE(CONTROL!$C$9, $D$9, 100%, $F$9) + CHOOSE(CONTROL!$C$27, 0.0021, 0)</f>
        <v>37.045899999999996</v>
      </c>
      <c r="L278" s="10"/>
    </row>
    <row r="279" spans="1:12" ht="15" x14ac:dyDescent="0.2">
      <c r="A279" s="15">
        <v>49766</v>
      </c>
      <c r="B279" s="10">
        <f>36.9651 * CHOOSE(CONTROL!$C$9, $D$9, 100%, $F$9) + CHOOSE(CONTROL!$C$27, 0.0021, 0)</f>
        <v>36.967199999999998</v>
      </c>
      <c r="C279" s="10">
        <f>36.5328 * CHOOSE(CONTROL!$C$9, $D$9, 100%, $F$9) + CHOOSE(CONTROL!$C$27, 0.0021, 0)</f>
        <v>36.5349</v>
      </c>
      <c r="D279" s="10">
        <f>36.5328 * CHOOSE(CONTROL!$C$9, $D$9, 100%, $F$9) + CHOOSE(CONTROL!$C$27, 0.0021, 0)</f>
        <v>36.5349</v>
      </c>
      <c r="E279" s="10">
        <f>36.3962 * CHOOSE(CONTROL!$C$9, $D$9, 100%, $F$9) + CHOOSE(CONTROL!$C$27, 0.0021, 0)</f>
        <v>36.398299999999999</v>
      </c>
      <c r="F279" s="10">
        <f>36.3962 * CHOOSE(CONTROL!$C$9, $D$9, 100%, $F$9) + CHOOSE(CONTROL!$C$27, 0.0021, 0)</f>
        <v>36.398299999999999</v>
      </c>
      <c r="G279" s="10">
        <f>36.6675 * CHOOSE(CONTROL!$C$9, $D$9, 100%, $F$9) + CHOOSE(CONTROL!$C$27, 0.0021, 0)</f>
        <v>36.669599999999996</v>
      </c>
      <c r="H279" s="10">
        <f>36.5328 * CHOOSE(CONTROL!$C$9, $D$9, 100%, $F$9) + CHOOSE(CONTROL!$C$27, 0.0021, 0)</f>
        <v>36.5349</v>
      </c>
      <c r="I279" s="10">
        <f>36.5328 * CHOOSE(CONTROL!$C$9, $D$9, 100%, $F$9) + CHOOSE(CONTROL!$C$27, 0.0021, 0)</f>
        <v>36.5349</v>
      </c>
      <c r="J279" s="10">
        <f>36.5328 * CHOOSE(CONTROL!$C$9, $D$9, 100%, $F$9) + CHOOSE(CONTROL!$C$27, 0.0021, 0)</f>
        <v>36.5349</v>
      </c>
      <c r="K279" s="10">
        <f>36.5328 * CHOOSE(CONTROL!$C$9, $D$9, 100%, $F$9) + CHOOSE(CONTROL!$C$27, 0.0021, 0)</f>
        <v>36.5349</v>
      </c>
      <c r="L279" s="10"/>
    </row>
    <row r="280" spans="1:12" ht="15" x14ac:dyDescent="0.2">
      <c r="A280" s="15">
        <v>49796</v>
      </c>
      <c r="B280" s="10">
        <f>37.6932 * CHOOSE(CONTROL!$C$9, $D$9, 100%, $F$9) + CHOOSE(CONTROL!$C$27, 0.0021, 0)</f>
        <v>37.695299999999996</v>
      </c>
      <c r="C280" s="10">
        <f>37.261 * CHOOSE(CONTROL!$C$9, $D$9, 100%, $F$9) + CHOOSE(CONTROL!$C$27, 0.0021, 0)</f>
        <v>37.263100000000001</v>
      </c>
      <c r="D280" s="10">
        <f>37.261 * CHOOSE(CONTROL!$C$9, $D$9, 100%, $F$9) + CHOOSE(CONTROL!$C$27, 0.0021, 0)</f>
        <v>37.263100000000001</v>
      </c>
      <c r="E280" s="10">
        <f>37.1243 * CHOOSE(CONTROL!$C$9, $D$9, 100%, $F$9) + CHOOSE(CONTROL!$C$27, 0.0021, 0)</f>
        <v>37.126399999999997</v>
      </c>
      <c r="F280" s="10">
        <f>37.1243 * CHOOSE(CONTROL!$C$9, $D$9, 100%, $F$9) + CHOOSE(CONTROL!$C$27, 0.0021, 0)</f>
        <v>37.126399999999997</v>
      </c>
      <c r="G280" s="10">
        <f>37.3957 * CHOOSE(CONTROL!$C$9, $D$9, 100%, $F$9) + CHOOSE(CONTROL!$C$27, 0.0021, 0)</f>
        <v>37.397799999999997</v>
      </c>
      <c r="H280" s="10">
        <f>37.261 * CHOOSE(CONTROL!$C$9, $D$9, 100%, $F$9) + CHOOSE(CONTROL!$C$27, 0.0021, 0)</f>
        <v>37.263100000000001</v>
      </c>
      <c r="I280" s="10">
        <f>37.261 * CHOOSE(CONTROL!$C$9, $D$9, 100%, $F$9) + CHOOSE(CONTROL!$C$27, 0.0021, 0)</f>
        <v>37.263100000000001</v>
      </c>
      <c r="J280" s="10">
        <f>37.261 * CHOOSE(CONTROL!$C$9, $D$9, 100%, $F$9) + CHOOSE(CONTROL!$C$27, 0.0021, 0)</f>
        <v>37.263100000000001</v>
      </c>
      <c r="K280" s="10">
        <f>37.261 * CHOOSE(CONTROL!$C$9, $D$9, 100%, $F$9) + CHOOSE(CONTROL!$C$27, 0.0021, 0)</f>
        <v>37.263100000000001</v>
      </c>
      <c r="L280" s="10"/>
    </row>
    <row r="281" spans="1:12" ht="15" x14ac:dyDescent="0.2">
      <c r="A281" s="15">
        <v>49827</v>
      </c>
      <c r="B281" s="10">
        <f>38.1293 * CHOOSE(CONTROL!$C$9, $D$9, 100%, $F$9) + CHOOSE(CONTROL!$C$27, 0.0021, 0)</f>
        <v>38.131399999999999</v>
      </c>
      <c r="C281" s="10">
        <f>37.6971 * CHOOSE(CONTROL!$C$9, $D$9, 100%, $F$9) + CHOOSE(CONTROL!$C$27, 0.0021, 0)</f>
        <v>37.699199999999998</v>
      </c>
      <c r="D281" s="10">
        <f>37.6971 * CHOOSE(CONTROL!$C$9, $D$9, 100%, $F$9) + CHOOSE(CONTROL!$C$27, 0.0021, 0)</f>
        <v>37.699199999999998</v>
      </c>
      <c r="E281" s="10">
        <f>37.5604 * CHOOSE(CONTROL!$C$9, $D$9, 100%, $F$9) + CHOOSE(CONTROL!$C$27, 0.0021, 0)</f>
        <v>37.5625</v>
      </c>
      <c r="F281" s="10">
        <f>37.5604 * CHOOSE(CONTROL!$C$9, $D$9, 100%, $F$9) + CHOOSE(CONTROL!$C$27, 0.0021, 0)</f>
        <v>37.5625</v>
      </c>
      <c r="G281" s="10">
        <f>37.8318 * CHOOSE(CONTROL!$C$9, $D$9, 100%, $F$9) + CHOOSE(CONTROL!$C$27, 0.0021, 0)</f>
        <v>37.8339</v>
      </c>
      <c r="H281" s="10">
        <f>37.6971 * CHOOSE(CONTROL!$C$9, $D$9, 100%, $F$9) + CHOOSE(CONTROL!$C$27, 0.0021, 0)</f>
        <v>37.699199999999998</v>
      </c>
      <c r="I281" s="10">
        <f>37.6971 * CHOOSE(CONTROL!$C$9, $D$9, 100%, $F$9) + CHOOSE(CONTROL!$C$27, 0.0021, 0)</f>
        <v>37.699199999999998</v>
      </c>
      <c r="J281" s="10">
        <f>37.6971 * CHOOSE(CONTROL!$C$9, $D$9, 100%, $F$9) + CHOOSE(CONTROL!$C$27, 0.0021, 0)</f>
        <v>37.699199999999998</v>
      </c>
      <c r="K281" s="10">
        <f>37.6971 * CHOOSE(CONTROL!$C$9, $D$9, 100%, $F$9) + CHOOSE(CONTROL!$C$27, 0.0021, 0)</f>
        <v>37.699199999999998</v>
      </c>
      <c r="L281" s="10"/>
    </row>
    <row r="282" spans="1:12" ht="15" x14ac:dyDescent="0.2">
      <c r="A282" s="15">
        <v>49857</v>
      </c>
      <c r="B282" s="10">
        <f>38.8488 * CHOOSE(CONTROL!$C$9, $D$9, 100%, $F$9) + CHOOSE(CONTROL!$C$27, 0.0021, 0)</f>
        <v>38.850899999999996</v>
      </c>
      <c r="C282" s="10">
        <f>38.4165 * CHOOSE(CONTROL!$C$9, $D$9, 100%, $F$9) + CHOOSE(CONTROL!$C$27, 0.0021, 0)</f>
        <v>38.418599999999998</v>
      </c>
      <c r="D282" s="10">
        <f>38.4165 * CHOOSE(CONTROL!$C$9, $D$9, 100%, $F$9) + CHOOSE(CONTROL!$C$27, 0.0021, 0)</f>
        <v>38.418599999999998</v>
      </c>
      <c r="E282" s="10">
        <f>38.2799 * CHOOSE(CONTROL!$C$9, $D$9, 100%, $F$9) + CHOOSE(CONTROL!$C$27, 0.0021, 0)</f>
        <v>38.281999999999996</v>
      </c>
      <c r="F282" s="10">
        <f>38.2799 * CHOOSE(CONTROL!$C$9, $D$9, 100%, $F$9) + CHOOSE(CONTROL!$C$27, 0.0021, 0)</f>
        <v>38.281999999999996</v>
      </c>
      <c r="G282" s="10">
        <f>38.5513 * CHOOSE(CONTROL!$C$9, $D$9, 100%, $F$9) + CHOOSE(CONTROL!$C$27, 0.0021, 0)</f>
        <v>38.553399999999996</v>
      </c>
      <c r="H282" s="10">
        <f>38.4165 * CHOOSE(CONTROL!$C$9, $D$9, 100%, $F$9) + CHOOSE(CONTROL!$C$27, 0.0021, 0)</f>
        <v>38.418599999999998</v>
      </c>
      <c r="I282" s="10">
        <f>38.4165 * CHOOSE(CONTROL!$C$9, $D$9, 100%, $F$9) + CHOOSE(CONTROL!$C$27, 0.0021, 0)</f>
        <v>38.418599999999998</v>
      </c>
      <c r="J282" s="10">
        <f>38.4165 * CHOOSE(CONTROL!$C$9, $D$9, 100%, $F$9) + CHOOSE(CONTROL!$C$27, 0.0021, 0)</f>
        <v>38.418599999999998</v>
      </c>
      <c r="K282" s="10">
        <f>38.4165 * CHOOSE(CONTROL!$C$9, $D$9, 100%, $F$9) + CHOOSE(CONTROL!$C$27, 0.0021, 0)</f>
        <v>38.418599999999998</v>
      </c>
      <c r="L282" s="10"/>
    </row>
    <row r="283" spans="1:12" ht="15" x14ac:dyDescent="0.2">
      <c r="A283" s="15">
        <v>49888</v>
      </c>
      <c r="B283" s="10">
        <f>39.0684 * CHOOSE(CONTROL!$C$9, $D$9, 100%, $F$9) + CHOOSE(CONTROL!$C$27, 0.0021, 0)</f>
        <v>39.070499999999996</v>
      </c>
      <c r="C283" s="10">
        <f>38.6361 * CHOOSE(CONTROL!$C$9, $D$9, 100%, $F$9) + CHOOSE(CONTROL!$C$27, 0.0021, 0)</f>
        <v>38.638199999999998</v>
      </c>
      <c r="D283" s="10">
        <f>38.6361 * CHOOSE(CONTROL!$C$9, $D$9, 100%, $F$9) + CHOOSE(CONTROL!$C$27, 0.0021, 0)</f>
        <v>38.638199999999998</v>
      </c>
      <c r="E283" s="10">
        <f>38.4995 * CHOOSE(CONTROL!$C$9, $D$9, 100%, $F$9) + CHOOSE(CONTROL!$C$27, 0.0021, 0)</f>
        <v>38.501599999999996</v>
      </c>
      <c r="F283" s="10">
        <f>38.4995 * CHOOSE(CONTROL!$C$9, $D$9, 100%, $F$9) + CHOOSE(CONTROL!$C$27, 0.0021, 0)</f>
        <v>38.501599999999996</v>
      </c>
      <c r="G283" s="10">
        <f>38.7709 * CHOOSE(CONTROL!$C$9, $D$9, 100%, $F$9) + CHOOSE(CONTROL!$C$27, 0.0021, 0)</f>
        <v>38.772999999999996</v>
      </c>
      <c r="H283" s="10">
        <f>38.6361 * CHOOSE(CONTROL!$C$9, $D$9, 100%, $F$9) + CHOOSE(CONTROL!$C$27, 0.0021, 0)</f>
        <v>38.638199999999998</v>
      </c>
      <c r="I283" s="10">
        <f>38.6361 * CHOOSE(CONTROL!$C$9, $D$9, 100%, $F$9) + CHOOSE(CONTROL!$C$27, 0.0021, 0)</f>
        <v>38.638199999999998</v>
      </c>
      <c r="J283" s="10">
        <f>38.6361 * CHOOSE(CONTROL!$C$9, $D$9, 100%, $F$9) + CHOOSE(CONTROL!$C$27, 0.0021, 0)</f>
        <v>38.638199999999998</v>
      </c>
      <c r="K283" s="10">
        <f>38.6361 * CHOOSE(CONTROL!$C$9, $D$9, 100%, $F$9) + CHOOSE(CONTROL!$C$27, 0.0021, 0)</f>
        <v>38.638199999999998</v>
      </c>
      <c r="L283" s="10"/>
    </row>
    <row r="284" spans="1:12" ht="15" x14ac:dyDescent="0.2">
      <c r="A284" s="15">
        <v>49919</v>
      </c>
      <c r="B284" s="10">
        <f>39.8162 * CHOOSE(CONTROL!$C$9, $D$9, 100%, $F$9) + CHOOSE(CONTROL!$C$27, 0.0021, 0)</f>
        <v>39.818300000000001</v>
      </c>
      <c r="C284" s="10">
        <f>39.384 * CHOOSE(CONTROL!$C$9, $D$9, 100%, $F$9) + CHOOSE(CONTROL!$C$27, 0.0021, 0)</f>
        <v>39.386099999999999</v>
      </c>
      <c r="D284" s="10">
        <f>39.384 * CHOOSE(CONTROL!$C$9, $D$9, 100%, $F$9) + CHOOSE(CONTROL!$C$27, 0.0021, 0)</f>
        <v>39.386099999999999</v>
      </c>
      <c r="E284" s="10">
        <f>39.2473 * CHOOSE(CONTROL!$C$9, $D$9, 100%, $F$9) + CHOOSE(CONTROL!$C$27, 0.0021, 0)</f>
        <v>39.249400000000001</v>
      </c>
      <c r="F284" s="10">
        <f>39.2473 * CHOOSE(CONTROL!$C$9, $D$9, 100%, $F$9) + CHOOSE(CONTROL!$C$27, 0.0021, 0)</f>
        <v>39.249400000000001</v>
      </c>
      <c r="G284" s="10">
        <f>39.5187 * CHOOSE(CONTROL!$C$9, $D$9, 100%, $F$9) + CHOOSE(CONTROL!$C$27, 0.0021, 0)</f>
        <v>39.520800000000001</v>
      </c>
      <c r="H284" s="10">
        <f>39.384 * CHOOSE(CONTROL!$C$9, $D$9, 100%, $F$9) + CHOOSE(CONTROL!$C$27, 0.0021, 0)</f>
        <v>39.386099999999999</v>
      </c>
      <c r="I284" s="10">
        <f>39.384 * CHOOSE(CONTROL!$C$9, $D$9, 100%, $F$9) + CHOOSE(CONTROL!$C$27, 0.0021, 0)</f>
        <v>39.386099999999999</v>
      </c>
      <c r="J284" s="10">
        <f>39.384 * CHOOSE(CONTROL!$C$9, $D$9, 100%, $F$9) + CHOOSE(CONTROL!$C$27, 0.0021, 0)</f>
        <v>39.386099999999999</v>
      </c>
      <c r="K284" s="10">
        <f>39.384 * CHOOSE(CONTROL!$C$9, $D$9, 100%, $F$9) + CHOOSE(CONTROL!$C$27, 0.0021, 0)</f>
        <v>39.386099999999999</v>
      </c>
      <c r="L284" s="10"/>
    </row>
    <row r="285" spans="1:12" ht="15" x14ac:dyDescent="0.2">
      <c r="A285" s="15">
        <v>49949</v>
      </c>
      <c r="B285" s="10">
        <f>40.7629 * CHOOSE(CONTROL!$C$9, $D$9, 100%, $F$9) + CHOOSE(CONTROL!$C$27, 0.0021, 0)</f>
        <v>40.765000000000001</v>
      </c>
      <c r="C285" s="10">
        <f>40.3306 * CHOOSE(CONTROL!$C$9, $D$9, 100%, $F$9) + CHOOSE(CONTROL!$C$27, 0.0021, 0)</f>
        <v>40.332699999999996</v>
      </c>
      <c r="D285" s="10">
        <f>40.3306 * CHOOSE(CONTROL!$C$9, $D$9, 100%, $F$9) + CHOOSE(CONTROL!$C$27, 0.0021, 0)</f>
        <v>40.332699999999996</v>
      </c>
      <c r="E285" s="10">
        <f>40.194 * CHOOSE(CONTROL!$C$9, $D$9, 100%, $F$9) + CHOOSE(CONTROL!$C$27, 0.0021, 0)</f>
        <v>40.196100000000001</v>
      </c>
      <c r="F285" s="10">
        <f>40.194 * CHOOSE(CONTROL!$C$9, $D$9, 100%, $F$9) + CHOOSE(CONTROL!$C$27, 0.0021, 0)</f>
        <v>40.196100000000001</v>
      </c>
      <c r="G285" s="10">
        <f>40.4653 * CHOOSE(CONTROL!$C$9, $D$9, 100%, $F$9) + CHOOSE(CONTROL!$C$27, 0.0021, 0)</f>
        <v>40.467399999999998</v>
      </c>
      <c r="H285" s="10">
        <f>40.3306 * CHOOSE(CONTROL!$C$9, $D$9, 100%, $F$9) + CHOOSE(CONTROL!$C$27, 0.0021, 0)</f>
        <v>40.332699999999996</v>
      </c>
      <c r="I285" s="10">
        <f>40.3306 * CHOOSE(CONTROL!$C$9, $D$9, 100%, $F$9) + CHOOSE(CONTROL!$C$27, 0.0021, 0)</f>
        <v>40.332699999999996</v>
      </c>
      <c r="J285" s="10">
        <f>40.3306 * CHOOSE(CONTROL!$C$9, $D$9, 100%, $F$9) + CHOOSE(CONTROL!$C$27, 0.0021, 0)</f>
        <v>40.332699999999996</v>
      </c>
      <c r="K285" s="10">
        <f>40.3306 * CHOOSE(CONTROL!$C$9, $D$9, 100%, $F$9) + CHOOSE(CONTROL!$C$27, 0.0021, 0)</f>
        <v>40.332699999999996</v>
      </c>
      <c r="L285" s="10"/>
    </row>
    <row r="286" spans="1:12" ht="15" x14ac:dyDescent="0.2">
      <c r="A286" s="15">
        <v>49980</v>
      </c>
      <c r="B286" s="10">
        <f>40.8517 * CHOOSE(CONTROL!$C$9, $D$9, 100%, $F$9) + CHOOSE(CONTROL!$C$27, 0.0021, 0)</f>
        <v>40.8538</v>
      </c>
      <c r="C286" s="10">
        <f>40.4195 * CHOOSE(CONTROL!$C$9, $D$9, 100%, $F$9) + CHOOSE(CONTROL!$C$27, 0.0021, 0)</f>
        <v>40.421599999999998</v>
      </c>
      <c r="D286" s="10">
        <f>40.4195 * CHOOSE(CONTROL!$C$9, $D$9, 100%, $F$9) + CHOOSE(CONTROL!$C$27, 0.0021, 0)</f>
        <v>40.421599999999998</v>
      </c>
      <c r="E286" s="10">
        <f>40.2828 * CHOOSE(CONTROL!$C$9, $D$9, 100%, $F$9) + CHOOSE(CONTROL!$C$27, 0.0021, 0)</f>
        <v>40.2849</v>
      </c>
      <c r="F286" s="10">
        <f>40.2828 * CHOOSE(CONTROL!$C$9, $D$9, 100%, $F$9) + CHOOSE(CONTROL!$C$27, 0.0021, 0)</f>
        <v>40.2849</v>
      </c>
      <c r="G286" s="10">
        <f>40.5542 * CHOOSE(CONTROL!$C$9, $D$9, 100%, $F$9) + CHOOSE(CONTROL!$C$27, 0.0021, 0)</f>
        <v>40.5563</v>
      </c>
      <c r="H286" s="10">
        <f>40.4195 * CHOOSE(CONTROL!$C$9, $D$9, 100%, $F$9) + CHOOSE(CONTROL!$C$27, 0.0021, 0)</f>
        <v>40.421599999999998</v>
      </c>
      <c r="I286" s="10">
        <f>40.4195 * CHOOSE(CONTROL!$C$9, $D$9, 100%, $F$9) + CHOOSE(CONTROL!$C$27, 0.0021, 0)</f>
        <v>40.421599999999998</v>
      </c>
      <c r="J286" s="10">
        <f>40.4195 * CHOOSE(CONTROL!$C$9, $D$9, 100%, $F$9) + CHOOSE(CONTROL!$C$27, 0.0021, 0)</f>
        <v>40.421599999999998</v>
      </c>
      <c r="K286" s="10">
        <f>40.4195 * CHOOSE(CONTROL!$C$9, $D$9, 100%, $F$9) + CHOOSE(CONTROL!$C$27, 0.0021, 0)</f>
        <v>40.421599999999998</v>
      </c>
      <c r="L286" s="10"/>
    </row>
    <row r="287" spans="1:12" ht="15" x14ac:dyDescent="0.2">
      <c r="A287" s="15">
        <v>50010</v>
      </c>
      <c r="B287" s="10">
        <f>40.0957 * CHOOSE(CONTROL!$C$9, $D$9, 100%, $F$9) + CHOOSE(CONTROL!$C$27, 0.0021, 0)</f>
        <v>40.097799999999999</v>
      </c>
      <c r="C287" s="10">
        <f>39.6634 * CHOOSE(CONTROL!$C$9, $D$9, 100%, $F$9) + CHOOSE(CONTROL!$C$27, 0.0021, 0)</f>
        <v>39.665500000000002</v>
      </c>
      <c r="D287" s="10">
        <f>39.6634 * CHOOSE(CONTROL!$C$9, $D$9, 100%, $F$9) + CHOOSE(CONTROL!$C$27, 0.0021, 0)</f>
        <v>39.665500000000002</v>
      </c>
      <c r="E287" s="10">
        <f>39.5268 * CHOOSE(CONTROL!$C$9, $D$9, 100%, $F$9) + CHOOSE(CONTROL!$C$27, 0.0021, 0)</f>
        <v>39.5289</v>
      </c>
      <c r="F287" s="10">
        <f>39.5268 * CHOOSE(CONTROL!$C$9, $D$9, 100%, $F$9) + CHOOSE(CONTROL!$C$27, 0.0021, 0)</f>
        <v>39.5289</v>
      </c>
      <c r="G287" s="10">
        <f>39.7981 * CHOOSE(CONTROL!$C$9, $D$9, 100%, $F$9) + CHOOSE(CONTROL!$C$27, 0.0021, 0)</f>
        <v>39.800199999999997</v>
      </c>
      <c r="H287" s="10">
        <f>39.6634 * CHOOSE(CONTROL!$C$9, $D$9, 100%, $F$9) + CHOOSE(CONTROL!$C$27, 0.0021, 0)</f>
        <v>39.665500000000002</v>
      </c>
      <c r="I287" s="10">
        <f>39.6634 * CHOOSE(CONTROL!$C$9, $D$9, 100%, $F$9) + CHOOSE(CONTROL!$C$27, 0.0021, 0)</f>
        <v>39.665500000000002</v>
      </c>
      <c r="J287" s="10">
        <f>39.6634 * CHOOSE(CONTROL!$C$9, $D$9, 100%, $F$9) + CHOOSE(CONTROL!$C$27, 0.0021, 0)</f>
        <v>39.665500000000002</v>
      </c>
      <c r="K287" s="10">
        <f>39.6634 * CHOOSE(CONTROL!$C$9, $D$9, 100%, $F$9) + CHOOSE(CONTROL!$C$27, 0.0021, 0)</f>
        <v>39.665500000000002</v>
      </c>
      <c r="L287" s="10"/>
    </row>
    <row r="288" spans="1:12" ht="15" x14ac:dyDescent="0.2">
      <c r="A288" s="15">
        <v>50041</v>
      </c>
      <c r="B288" s="10">
        <f>39.5168 * CHOOSE(CONTROL!$C$9, $D$9, 100%, $F$9) + CHOOSE(CONTROL!$C$27, 0.0021, 0)</f>
        <v>39.518900000000002</v>
      </c>
      <c r="C288" s="10">
        <f>39.0846 * CHOOSE(CONTROL!$C$9, $D$9, 100%, $F$9) + CHOOSE(CONTROL!$C$27, 0.0021, 0)</f>
        <v>39.0867</v>
      </c>
      <c r="D288" s="10">
        <f>39.0846 * CHOOSE(CONTROL!$C$9, $D$9, 100%, $F$9) + CHOOSE(CONTROL!$C$27, 0.0021, 0)</f>
        <v>39.0867</v>
      </c>
      <c r="E288" s="10">
        <f>38.9479 * CHOOSE(CONTROL!$C$9, $D$9, 100%, $F$9) + CHOOSE(CONTROL!$C$27, 0.0021, 0)</f>
        <v>38.949999999999996</v>
      </c>
      <c r="F288" s="10">
        <f>38.9479 * CHOOSE(CONTROL!$C$9, $D$9, 100%, $F$9) + CHOOSE(CONTROL!$C$27, 0.0021, 0)</f>
        <v>38.949999999999996</v>
      </c>
      <c r="G288" s="10">
        <f>39.2193 * CHOOSE(CONTROL!$C$9, $D$9, 100%, $F$9) + CHOOSE(CONTROL!$C$27, 0.0021, 0)</f>
        <v>39.221399999999996</v>
      </c>
      <c r="H288" s="10">
        <f>39.0846 * CHOOSE(CONTROL!$C$9, $D$9, 100%, $F$9) + CHOOSE(CONTROL!$C$27, 0.0021, 0)</f>
        <v>39.0867</v>
      </c>
      <c r="I288" s="10">
        <f>39.0846 * CHOOSE(CONTROL!$C$9, $D$9, 100%, $F$9) + CHOOSE(CONTROL!$C$27, 0.0021, 0)</f>
        <v>39.0867</v>
      </c>
      <c r="J288" s="10">
        <f>39.0846 * CHOOSE(CONTROL!$C$9, $D$9, 100%, $F$9) + CHOOSE(CONTROL!$C$27, 0.0021, 0)</f>
        <v>39.0867</v>
      </c>
      <c r="K288" s="10">
        <f>39.0846 * CHOOSE(CONTROL!$C$9, $D$9, 100%, $F$9) + CHOOSE(CONTROL!$C$27, 0.0021, 0)</f>
        <v>39.0867</v>
      </c>
      <c r="L288" s="10"/>
    </row>
    <row r="289" spans="1:12" ht="15" x14ac:dyDescent="0.2">
      <c r="A289" s="15">
        <v>50072</v>
      </c>
      <c r="B289" s="10">
        <f>38.4639 * CHOOSE(CONTROL!$C$9, $D$9, 100%, $F$9) + CHOOSE(CONTROL!$C$27, 0.0021, 0)</f>
        <v>38.466000000000001</v>
      </c>
      <c r="C289" s="10">
        <f>38.0317 * CHOOSE(CONTROL!$C$9, $D$9, 100%, $F$9) + CHOOSE(CONTROL!$C$27, 0.0021, 0)</f>
        <v>38.033799999999999</v>
      </c>
      <c r="D289" s="10">
        <f>38.0317 * CHOOSE(CONTROL!$C$9, $D$9, 100%, $F$9) + CHOOSE(CONTROL!$C$27, 0.0021, 0)</f>
        <v>38.033799999999999</v>
      </c>
      <c r="E289" s="10">
        <f>37.895 * CHOOSE(CONTROL!$C$9, $D$9, 100%, $F$9) + CHOOSE(CONTROL!$C$27, 0.0021, 0)</f>
        <v>37.897100000000002</v>
      </c>
      <c r="F289" s="10">
        <f>37.895 * CHOOSE(CONTROL!$C$9, $D$9, 100%, $F$9) + CHOOSE(CONTROL!$C$27, 0.0021, 0)</f>
        <v>37.897100000000002</v>
      </c>
      <c r="G289" s="10">
        <f>38.1664 * CHOOSE(CONTROL!$C$9, $D$9, 100%, $F$9) + CHOOSE(CONTROL!$C$27, 0.0021, 0)</f>
        <v>38.168500000000002</v>
      </c>
      <c r="H289" s="10">
        <f>38.0317 * CHOOSE(CONTROL!$C$9, $D$9, 100%, $F$9) + CHOOSE(CONTROL!$C$27, 0.0021, 0)</f>
        <v>38.033799999999999</v>
      </c>
      <c r="I289" s="10">
        <f>38.0317 * CHOOSE(CONTROL!$C$9, $D$9, 100%, $F$9) + CHOOSE(CONTROL!$C$27, 0.0021, 0)</f>
        <v>38.033799999999999</v>
      </c>
      <c r="J289" s="10">
        <f>38.0317 * CHOOSE(CONTROL!$C$9, $D$9, 100%, $F$9) + CHOOSE(CONTROL!$C$27, 0.0021, 0)</f>
        <v>38.033799999999999</v>
      </c>
      <c r="K289" s="10">
        <f>38.0317 * CHOOSE(CONTROL!$C$9, $D$9, 100%, $F$9) + CHOOSE(CONTROL!$C$27, 0.0021, 0)</f>
        <v>38.033799999999999</v>
      </c>
      <c r="L289" s="10"/>
    </row>
    <row r="290" spans="1:12" ht="15" x14ac:dyDescent="0.2">
      <c r="A290" s="15">
        <v>50100</v>
      </c>
      <c r="B290" s="10">
        <f>38.0293 * CHOOSE(CONTROL!$C$9, $D$9, 100%, $F$9) + CHOOSE(CONTROL!$C$27, 0.0021, 0)</f>
        <v>38.031399999999998</v>
      </c>
      <c r="C290" s="10">
        <f>37.597 * CHOOSE(CONTROL!$C$9, $D$9, 100%, $F$9) + CHOOSE(CONTROL!$C$27, 0.0021, 0)</f>
        <v>37.5991</v>
      </c>
      <c r="D290" s="10">
        <f>37.597 * CHOOSE(CONTROL!$C$9, $D$9, 100%, $F$9) + CHOOSE(CONTROL!$C$27, 0.0021, 0)</f>
        <v>37.5991</v>
      </c>
      <c r="E290" s="10">
        <f>37.4604 * CHOOSE(CONTROL!$C$9, $D$9, 100%, $F$9) + CHOOSE(CONTROL!$C$27, 0.0021, 0)</f>
        <v>37.462499999999999</v>
      </c>
      <c r="F290" s="10">
        <f>37.4604 * CHOOSE(CONTROL!$C$9, $D$9, 100%, $F$9) + CHOOSE(CONTROL!$C$27, 0.0021, 0)</f>
        <v>37.462499999999999</v>
      </c>
      <c r="G290" s="10">
        <f>37.7317 * CHOOSE(CONTROL!$C$9, $D$9, 100%, $F$9) + CHOOSE(CONTROL!$C$27, 0.0021, 0)</f>
        <v>37.733799999999995</v>
      </c>
      <c r="H290" s="10">
        <f>37.597 * CHOOSE(CONTROL!$C$9, $D$9, 100%, $F$9) + CHOOSE(CONTROL!$C$27, 0.0021, 0)</f>
        <v>37.5991</v>
      </c>
      <c r="I290" s="10">
        <f>37.597 * CHOOSE(CONTROL!$C$9, $D$9, 100%, $F$9) + CHOOSE(CONTROL!$C$27, 0.0021, 0)</f>
        <v>37.5991</v>
      </c>
      <c r="J290" s="10">
        <f>37.597 * CHOOSE(CONTROL!$C$9, $D$9, 100%, $F$9) + CHOOSE(CONTROL!$C$27, 0.0021, 0)</f>
        <v>37.5991</v>
      </c>
      <c r="K290" s="10">
        <f>37.597 * CHOOSE(CONTROL!$C$9, $D$9, 100%, $F$9) + CHOOSE(CONTROL!$C$27, 0.0021, 0)</f>
        <v>37.5991</v>
      </c>
      <c r="L290" s="10"/>
    </row>
    <row r="291" spans="1:12" ht="15" x14ac:dyDescent="0.2">
      <c r="A291" s="15">
        <v>50131</v>
      </c>
      <c r="B291" s="10">
        <f>37.5103 * CHOOSE(CONTROL!$C$9, $D$9, 100%, $F$9) + CHOOSE(CONTROL!$C$27, 0.0021, 0)</f>
        <v>37.5124</v>
      </c>
      <c r="C291" s="10">
        <f>37.078 * CHOOSE(CONTROL!$C$9, $D$9, 100%, $F$9) + CHOOSE(CONTROL!$C$27, 0.0021, 0)</f>
        <v>37.080100000000002</v>
      </c>
      <c r="D291" s="10">
        <f>37.078 * CHOOSE(CONTROL!$C$9, $D$9, 100%, $F$9) + CHOOSE(CONTROL!$C$27, 0.0021, 0)</f>
        <v>37.080100000000002</v>
      </c>
      <c r="E291" s="10">
        <f>36.9414 * CHOOSE(CONTROL!$C$9, $D$9, 100%, $F$9) + CHOOSE(CONTROL!$C$27, 0.0021, 0)</f>
        <v>36.9435</v>
      </c>
      <c r="F291" s="10">
        <f>36.9414 * CHOOSE(CONTROL!$C$9, $D$9, 100%, $F$9) + CHOOSE(CONTROL!$C$27, 0.0021, 0)</f>
        <v>36.9435</v>
      </c>
      <c r="G291" s="10">
        <f>37.2128 * CHOOSE(CONTROL!$C$9, $D$9, 100%, $F$9) + CHOOSE(CONTROL!$C$27, 0.0021, 0)</f>
        <v>37.2149</v>
      </c>
      <c r="H291" s="10">
        <f>37.078 * CHOOSE(CONTROL!$C$9, $D$9, 100%, $F$9) + CHOOSE(CONTROL!$C$27, 0.0021, 0)</f>
        <v>37.080100000000002</v>
      </c>
      <c r="I291" s="10">
        <f>37.078 * CHOOSE(CONTROL!$C$9, $D$9, 100%, $F$9) + CHOOSE(CONTROL!$C$27, 0.0021, 0)</f>
        <v>37.080100000000002</v>
      </c>
      <c r="J291" s="10">
        <f>37.078 * CHOOSE(CONTROL!$C$9, $D$9, 100%, $F$9) + CHOOSE(CONTROL!$C$27, 0.0021, 0)</f>
        <v>37.080100000000002</v>
      </c>
      <c r="K291" s="10">
        <f>37.078 * CHOOSE(CONTROL!$C$9, $D$9, 100%, $F$9) + CHOOSE(CONTROL!$C$27, 0.0021, 0)</f>
        <v>37.080100000000002</v>
      </c>
      <c r="L291" s="10"/>
    </row>
    <row r="292" spans="1:12" ht="15" x14ac:dyDescent="0.2">
      <c r="A292" s="15">
        <v>50161</v>
      </c>
      <c r="B292" s="10">
        <f>38.2499 * CHOOSE(CONTROL!$C$9, $D$9, 100%, $F$9) + CHOOSE(CONTROL!$C$27, 0.0021, 0)</f>
        <v>38.251999999999995</v>
      </c>
      <c r="C292" s="10">
        <f>37.8176 * CHOOSE(CONTROL!$C$9, $D$9, 100%, $F$9) + CHOOSE(CONTROL!$C$27, 0.0021, 0)</f>
        <v>37.819699999999997</v>
      </c>
      <c r="D292" s="10">
        <f>37.8176 * CHOOSE(CONTROL!$C$9, $D$9, 100%, $F$9) + CHOOSE(CONTROL!$C$27, 0.0021, 0)</f>
        <v>37.819699999999997</v>
      </c>
      <c r="E292" s="10">
        <f>37.681 * CHOOSE(CONTROL!$C$9, $D$9, 100%, $F$9) + CHOOSE(CONTROL!$C$27, 0.0021, 0)</f>
        <v>37.683099999999996</v>
      </c>
      <c r="F292" s="10">
        <f>37.681 * CHOOSE(CONTROL!$C$9, $D$9, 100%, $F$9) + CHOOSE(CONTROL!$C$27, 0.0021, 0)</f>
        <v>37.683099999999996</v>
      </c>
      <c r="G292" s="10">
        <f>37.9524 * CHOOSE(CONTROL!$C$9, $D$9, 100%, $F$9) + CHOOSE(CONTROL!$C$27, 0.0021, 0)</f>
        <v>37.954499999999996</v>
      </c>
      <c r="H292" s="10">
        <f>37.8176 * CHOOSE(CONTROL!$C$9, $D$9, 100%, $F$9) + CHOOSE(CONTROL!$C$27, 0.0021, 0)</f>
        <v>37.819699999999997</v>
      </c>
      <c r="I292" s="10">
        <f>37.8176 * CHOOSE(CONTROL!$C$9, $D$9, 100%, $F$9) + CHOOSE(CONTROL!$C$27, 0.0021, 0)</f>
        <v>37.819699999999997</v>
      </c>
      <c r="J292" s="10">
        <f>37.8176 * CHOOSE(CONTROL!$C$9, $D$9, 100%, $F$9) + CHOOSE(CONTROL!$C$27, 0.0021, 0)</f>
        <v>37.819699999999997</v>
      </c>
      <c r="K292" s="10">
        <f>37.8176 * CHOOSE(CONTROL!$C$9, $D$9, 100%, $F$9) + CHOOSE(CONTROL!$C$27, 0.0021, 0)</f>
        <v>37.819699999999997</v>
      </c>
      <c r="L292" s="10"/>
    </row>
    <row r="293" spans="1:12" ht="15" x14ac:dyDescent="0.2">
      <c r="A293" s="15">
        <v>50192</v>
      </c>
      <c r="B293" s="10">
        <f>38.6929 * CHOOSE(CONTROL!$C$9, $D$9, 100%, $F$9) + CHOOSE(CONTROL!$C$27, 0.0021, 0)</f>
        <v>38.695</v>
      </c>
      <c r="C293" s="10">
        <f>38.2606 * CHOOSE(CONTROL!$C$9, $D$9, 100%, $F$9) + CHOOSE(CONTROL!$C$27, 0.0021, 0)</f>
        <v>38.262699999999995</v>
      </c>
      <c r="D293" s="10">
        <f>38.2606 * CHOOSE(CONTROL!$C$9, $D$9, 100%, $F$9) + CHOOSE(CONTROL!$C$27, 0.0021, 0)</f>
        <v>38.262699999999995</v>
      </c>
      <c r="E293" s="10">
        <f>38.124 * CHOOSE(CONTROL!$C$9, $D$9, 100%, $F$9) + CHOOSE(CONTROL!$C$27, 0.0021, 0)</f>
        <v>38.126100000000001</v>
      </c>
      <c r="F293" s="10">
        <f>38.124 * CHOOSE(CONTROL!$C$9, $D$9, 100%, $F$9) + CHOOSE(CONTROL!$C$27, 0.0021, 0)</f>
        <v>38.126100000000001</v>
      </c>
      <c r="G293" s="10">
        <f>38.3953 * CHOOSE(CONTROL!$C$9, $D$9, 100%, $F$9) + CHOOSE(CONTROL!$C$27, 0.0021, 0)</f>
        <v>38.397399999999998</v>
      </c>
      <c r="H293" s="10">
        <f>38.2606 * CHOOSE(CONTROL!$C$9, $D$9, 100%, $F$9) + CHOOSE(CONTROL!$C$27, 0.0021, 0)</f>
        <v>38.262699999999995</v>
      </c>
      <c r="I293" s="10">
        <f>38.2606 * CHOOSE(CONTROL!$C$9, $D$9, 100%, $F$9) + CHOOSE(CONTROL!$C$27, 0.0021, 0)</f>
        <v>38.262699999999995</v>
      </c>
      <c r="J293" s="10">
        <f>38.2606 * CHOOSE(CONTROL!$C$9, $D$9, 100%, $F$9) + CHOOSE(CONTROL!$C$27, 0.0021, 0)</f>
        <v>38.262699999999995</v>
      </c>
      <c r="K293" s="10">
        <f>38.2606 * CHOOSE(CONTROL!$C$9, $D$9, 100%, $F$9) + CHOOSE(CONTROL!$C$27, 0.0021, 0)</f>
        <v>38.262699999999995</v>
      </c>
      <c r="L293" s="10"/>
    </row>
    <row r="294" spans="1:12" ht="15" x14ac:dyDescent="0.2">
      <c r="A294" s="15">
        <v>50222</v>
      </c>
      <c r="B294" s="10">
        <f>39.4236 * CHOOSE(CONTROL!$C$9, $D$9, 100%, $F$9) + CHOOSE(CONTROL!$C$27, 0.0021, 0)</f>
        <v>39.425699999999999</v>
      </c>
      <c r="C294" s="10">
        <f>38.9914 * CHOOSE(CONTROL!$C$9, $D$9, 100%, $F$9) + CHOOSE(CONTROL!$C$27, 0.0021, 0)</f>
        <v>38.993499999999997</v>
      </c>
      <c r="D294" s="10">
        <f>38.9914 * CHOOSE(CONTROL!$C$9, $D$9, 100%, $F$9) + CHOOSE(CONTROL!$C$27, 0.0021, 0)</f>
        <v>38.993499999999997</v>
      </c>
      <c r="E294" s="10">
        <f>38.8547 * CHOOSE(CONTROL!$C$9, $D$9, 100%, $F$9) + CHOOSE(CONTROL!$C$27, 0.0021, 0)</f>
        <v>38.8568</v>
      </c>
      <c r="F294" s="10">
        <f>38.8547 * CHOOSE(CONTROL!$C$9, $D$9, 100%, $F$9) + CHOOSE(CONTROL!$C$27, 0.0021, 0)</f>
        <v>38.8568</v>
      </c>
      <c r="G294" s="10">
        <f>39.1261 * CHOOSE(CONTROL!$C$9, $D$9, 100%, $F$9) + CHOOSE(CONTROL!$C$27, 0.0021, 0)</f>
        <v>39.1282</v>
      </c>
      <c r="H294" s="10">
        <f>38.9914 * CHOOSE(CONTROL!$C$9, $D$9, 100%, $F$9) + CHOOSE(CONTROL!$C$27, 0.0021, 0)</f>
        <v>38.993499999999997</v>
      </c>
      <c r="I294" s="10">
        <f>38.9914 * CHOOSE(CONTROL!$C$9, $D$9, 100%, $F$9) + CHOOSE(CONTROL!$C$27, 0.0021, 0)</f>
        <v>38.993499999999997</v>
      </c>
      <c r="J294" s="10">
        <f>38.9914 * CHOOSE(CONTROL!$C$9, $D$9, 100%, $F$9) + CHOOSE(CONTROL!$C$27, 0.0021, 0)</f>
        <v>38.993499999999997</v>
      </c>
      <c r="K294" s="10">
        <f>38.9914 * CHOOSE(CONTROL!$C$9, $D$9, 100%, $F$9) + CHOOSE(CONTROL!$C$27, 0.0021, 0)</f>
        <v>38.993499999999997</v>
      </c>
      <c r="L294" s="10"/>
    </row>
    <row r="295" spans="1:12" ht="15" x14ac:dyDescent="0.2">
      <c r="A295" s="15">
        <v>50253</v>
      </c>
      <c r="B295" s="10">
        <f>39.6467 * CHOOSE(CONTROL!$C$9, $D$9, 100%, $F$9) + CHOOSE(CONTROL!$C$27, 0.0021, 0)</f>
        <v>39.648800000000001</v>
      </c>
      <c r="C295" s="10">
        <f>39.2144 * CHOOSE(CONTROL!$C$9, $D$9, 100%, $F$9) + CHOOSE(CONTROL!$C$27, 0.0021, 0)</f>
        <v>39.216499999999996</v>
      </c>
      <c r="D295" s="10">
        <f>39.2144 * CHOOSE(CONTROL!$C$9, $D$9, 100%, $F$9) + CHOOSE(CONTROL!$C$27, 0.0021, 0)</f>
        <v>39.216499999999996</v>
      </c>
      <c r="E295" s="10">
        <f>39.0778 * CHOOSE(CONTROL!$C$9, $D$9, 100%, $F$9) + CHOOSE(CONTROL!$C$27, 0.0021, 0)</f>
        <v>39.079900000000002</v>
      </c>
      <c r="F295" s="10">
        <f>39.0778 * CHOOSE(CONTROL!$C$9, $D$9, 100%, $F$9) + CHOOSE(CONTROL!$C$27, 0.0021, 0)</f>
        <v>39.079900000000002</v>
      </c>
      <c r="G295" s="10">
        <f>39.3492 * CHOOSE(CONTROL!$C$9, $D$9, 100%, $F$9) + CHOOSE(CONTROL!$C$27, 0.0021, 0)</f>
        <v>39.351300000000002</v>
      </c>
      <c r="H295" s="10">
        <f>39.2144 * CHOOSE(CONTROL!$C$9, $D$9, 100%, $F$9) + CHOOSE(CONTROL!$C$27, 0.0021, 0)</f>
        <v>39.216499999999996</v>
      </c>
      <c r="I295" s="10">
        <f>39.2144 * CHOOSE(CONTROL!$C$9, $D$9, 100%, $F$9) + CHOOSE(CONTROL!$C$27, 0.0021, 0)</f>
        <v>39.216499999999996</v>
      </c>
      <c r="J295" s="10">
        <f>39.2144 * CHOOSE(CONTROL!$C$9, $D$9, 100%, $F$9) + CHOOSE(CONTROL!$C$27, 0.0021, 0)</f>
        <v>39.216499999999996</v>
      </c>
      <c r="K295" s="10">
        <f>39.2144 * CHOOSE(CONTROL!$C$9, $D$9, 100%, $F$9) + CHOOSE(CONTROL!$C$27, 0.0021, 0)</f>
        <v>39.216499999999996</v>
      </c>
      <c r="L295" s="10"/>
    </row>
    <row r="296" spans="1:12" ht="15" x14ac:dyDescent="0.2">
      <c r="A296" s="15">
        <v>50284</v>
      </c>
      <c r="B296" s="10">
        <f>40.4063 * CHOOSE(CONTROL!$C$9, $D$9, 100%, $F$9) + CHOOSE(CONTROL!$C$27, 0.0021, 0)</f>
        <v>40.4084</v>
      </c>
      <c r="C296" s="10">
        <f>39.974 * CHOOSE(CONTROL!$C$9, $D$9, 100%, $F$9) + CHOOSE(CONTROL!$C$27, 0.0021, 0)</f>
        <v>39.976099999999995</v>
      </c>
      <c r="D296" s="10">
        <f>39.974 * CHOOSE(CONTROL!$C$9, $D$9, 100%, $F$9) + CHOOSE(CONTROL!$C$27, 0.0021, 0)</f>
        <v>39.976099999999995</v>
      </c>
      <c r="E296" s="10">
        <f>39.8374 * CHOOSE(CONTROL!$C$9, $D$9, 100%, $F$9) + CHOOSE(CONTROL!$C$27, 0.0021, 0)</f>
        <v>39.839500000000001</v>
      </c>
      <c r="F296" s="10">
        <f>39.8374 * CHOOSE(CONTROL!$C$9, $D$9, 100%, $F$9) + CHOOSE(CONTROL!$C$27, 0.0021, 0)</f>
        <v>39.839500000000001</v>
      </c>
      <c r="G296" s="10">
        <f>40.1088 * CHOOSE(CONTROL!$C$9, $D$9, 100%, $F$9) + CHOOSE(CONTROL!$C$27, 0.0021, 0)</f>
        <v>40.110900000000001</v>
      </c>
      <c r="H296" s="10">
        <f>39.974 * CHOOSE(CONTROL!$C$9, $D$9, 100%, $F$9) + CHOOSE(CONTROL!$C$27, 0.0021, 0)</f>
        <v>39.976099999999995</v>
      </c>
      <c r="I296" s="10">
        <f>39.974 * CHOOSE(CONTROL!$C$9, $D$9, 100%, $F$9) + CHOOSE(CONTROL!$C$27, 0.0021, 0)</f>
        <v>39.976099999999995</v>
      </c>
      <c r="J296" s="10">
        <f>39.974 * CHOOSE(CONTROL!$C$9, $D$9, 100%, $F$9) + CHOOSE(CONTROL!$C$27, 0.0021, 0)</f>
        <v>39.976099999999995</v>
      </c>
      <c r="K296" s="10">
        <f>39.974 * CHOOSE(CONTROL!$C$9, $D$9, 100%, $F$9) + CHOOSE(CONTROL!$C$27, 0.0021, 0)</f>
        <v>39.976099999999995</v>
      </c>
      <c r="L296" s="10"/>
    </row>
    <row r="297" spans="1:12" ht="15" x14ac:dyDescent="0.2">
      <c r="A297" s="15">
        <v>50314</v>
      </c>
      <c r="B297" s="10">
        <f>41.3678 * CHOOSE(CONTROL!$C$9, $D$9, 100%, $F$9) + CHOOSE(CONTROL!$C$27, 0.0021, 0)</f>
        <v>41.369900000000001</v>
      </c>
      <c r="C297" s="10">
        <f>40.9356 * CHOOSE(CONTROL!$C$9, $D$9, 100%, $F$9) + CHOOSE(CONTROL!$C$27, 0.0021, 0)</f>
        <v>40.9377</v>
      </c>
      <c r="D297" s="10">
        <f>40.9356 * CHOOSE(CONTROL!$C$9, $D$9, 100%, $F$9) + CHOOSE(CONTROL!$C$27, 0.0021, 0)</f>
        <v>40.9377</v>
      </c>
      <c r="E297" s="10">
        <f>40.7989 * CHOOSE(CONTROL!$C$9, $D$9, 100%, $F$9) + CHOOSE(CONTROL!$C$27, 0.0021, 0)</f>
        <v>40.801000000000002</v>
      </c>
      <c r="F297" s="10">
        <f>40.7989 * CHOOSE(CONTROL!$C$9, $D$9, 100%, $F$9) + CHOOSE(CONTROL!$C$27, 0.0021, 0)</f>
        <v>40.801000000000002</v>
      </c>
      <c r="G297" s="10">
        <f>41.0703 * CHOOSE(CONTROL!$C$9, $D$9, 100%, $F$9) + CHOOSE(CONTROL!$C$27, 0.0021, 0)</f>
        <v>41.072400000000002</v>
      </c>
      <c r="H297" s="10">
        <f>40.9356 * CHOOSE(CONTROL!$C$9, $D$9, 100%, $F$9) + CHOOSE(CONTROL!$C$27, 0.0021, 0)</f>
        <v>40.9377</v>
      </c>
      <c r="I297" s="10">
        <f>40.9356 * CHOOSE(CONTROL!$C$9, $D$9, 100%, $F$9) + CHOOSE(CONTROL!$C$27, 0.0021, 0)</f>
        <v>40.9377</v>
      </c>
      <c r="J297" s="10">
        <f>40.9356 * CHOOSE(CONTROL!$C$9, $D$9, 100%, $F$9) + CHOOSE(CONTROL!$C$27, 0.0021, 0)</f>
        <v>40.9377</v>
      </c>
      <c r="K297" s="10">
        <f>40.9356 * CHOOSE(CONTROL!$C$9, $D$9, 100%, $F$9) + CHOOSE(CONTROL!$C$27, 0.0021, 0)</f>
        <v>40.9377</v>
      </c>
      <c r="L297" s="10"/>
    </row>
    <row r="298" spans="1:12" ht="15" x14ac:dyDescent="0.2">
      <c r="A298" s="15">
        <v>50345</v>
      </c>
      <c r="B298" s="10">
        <f>41.4581 * CHOOSE(CONTROL!$C$9, $D$9, 100%, $F$9) + CHOOSE(CONTROL!$C$27, 0.0021, 0)</f>
        <v>41.4602</v>
      </c>
      <c r="C298" s="10">
        <f>41.0258 * CHOOSE(CONTROL!$C$9, $D$9, 100%, $F$9) + CHOOSE(CONTROL!$C$27, 0.0021, 0)</f>
        <v>41.027899999999995</v>
      </c>
      <c r="D298" s="10">
        <f>41.0258 * CHOOSE(CONTROL!$C$9, $D$9, 100%, $F$9) + CHOOSE(CONTROL!$C$27, 0.0021, 0)</f>
        <v>41.027899999999995</v>
      </c>
      <c r="E298" s="10">
        <f>40.8892 * CHOOSE(CONTROL!$C$9, $D$9, 100%, $F$9) + CHOOSE(CONTROL!$C$27, 0.0021, 0)</f>
        <v>40.891300000000001</v>
      </c>
      <c r="F298" s="10">
        <f>40.8892 * CHOOSE(CONTROL!$C$9, $D$9, 100%, $F$9) + CHOOSE(CONTROL!$C$27, 0.0021, 0)</f>
        <v>40.891300000000001</v>
      </c>
      <c r="G298" s="10">
        <f>41.1605 * CHOOSE(CONTROL!$C$9, $D$9, 100%, $F$9) + CHOOSE(CONTROL!$C$27, 0.0021, 0)</f>
        <v>41.162599999999998</v>
      </c>
      <c r="H298" s="10">
        <f>41.0258 * CHOOSE(CONTROL!$C$9, $D$9, 100%, $F$9) + CHOOSE(CONTROL!$C$27, 0.0021, 0)</f>
        <v>41.027899999999995</v>
      </c>
      <c r="I298" s="10">
        <f>41.0258 * CHOOSE(CONTROL!$C$9, $D$9, 100%, $F$9) + CHOOSE(CONTROL!$C$27, 0.0021, 0)</f>
        <v>41.027899999999995</v>
      </c>
      <c r="J298" s="10">
        <f>41.0258 * CHOOSE(CONTROL!$C$9, $D$9, 100%, $F$9) + CHOOSE(CONTROL!$C$27, 0.0021, 0)</f>
        <v>41.027899999999995</v>
      </c>
      <c r="K298" s="10">
        <f>41.0258 * CHOOSE(CONTROL!$C$9, $D$9, 100%, $F$9) + CHOOSE(CONTROL!$C$27, 0.0021, 0)</f>
        <v>41.027899999999995</v>
      </c>
      <c r="L298" s="10"/>
    </row>
    <row r="299" spans="1:12" ht="15" x14ac:dyDescent="0.2">
      <c r="A299" s="15">
        <v>50375</v>
      </c>
      <c r="B299" s="10">
        <f>40.6901 * CHOOSE(CONTROL!$C$9, $D$9, 100%, $F$9) + CHOOSE(CONTROL!$C$27, 0.0021, 0)</f>
        <v>40.6922</v>
      </c>
      <c r="C299" s="10">
        <f>40.2579 * CHOOSE(CONTROL!$C$9, $D$9, 100%, $F$9) + CHOOSE(CONTROL!$C$27, 0.0021, 0)</f>
        <v>40.26</v>
      </c>
      <c r="D299" s="10">
        <f>40.2579 * CHOOSE(CONTROL!$C$9, $D$9, 100%, $F$9) + CHOOSE(CONTROL!$C$27, 0.0021, 0)</f>
        <v>40.26</v>
      </c>
      <c r="E299" s="10">
        <f>40.1212 * CHOOSE(CONTROL!$C$9, $D$9, 100%, $F$9) + CHOOSE(CONTROL!$C$27, 0.0021, 0)</f>
        <v>40.1233</v>
      </c>
      <c r="F299" s="10">
        <f>40.1212 * CHOOSE(CONTROL!$C$9, $D$9, 100%, $F$9) + CHOOSE(CONTROL!$C$27, 0.0021, 0)</f>
        <v>40.1233</v>
      </c>
      <c r="G299" s="10">
        <f>40.3926 * CHOOSE(CONTROL!$C$9, $D$9, 100%, $F$9) + CHOOSE(CONTROL!$C$27, 0.0021, 0)</f>
        <v>40.3947</v>
      </c>
      <c r="H299" s="10">
        <f>40.2579 * CHOOSE(CONTROL!$C$9, $D$9, 100%, $F$9) + CHOOSE(CONTROL!$C$27, 0.0021, 0)</f>
        <v>40.26</v>
      </c>
      <c r="I299" s="10">
        <f>40.2579 * CHOOSE(CONTROL!$C$9, $D$9, 100%, $F$9) + CHOOSE(CONTROL!$C$27, 0.0021, 0)</f>
        <v>40.26</v>
      </c>
      <c r="J299" s="10">
        <f>40.2579 * CHOOSE(CONTROL!$C$9, $D$9, 100%, $F$9) + CHOOSE(CONTROL!$C$27, 0.0021, 0)</f>
        <v>40.26</v>
      </c>
      <c r="K299" s="10">
        <f>40.2579 * CHOOSE(CONTROL!$C$9, $D$9, 100%, $F$9) + CHOOSE(CONTROL!$C$27, 0.0021, 0)</f>
        <v>40.26</v>
      </c>
      <c r="L299" s="10"/>
    </row>
    <row r="300" spans="1:12" ht="15.75" x14ac:dyDescent="0.25">
      <c r="A300" s="14">
        <v>50436</v>
      </c>
      <c r="B300" s="10">
        <f>40.1022 * CHOOSE(CONTROL!$C$9, $D$9, 100%, $F$9) + CHOOSE(CONTROL!$C$27, 0.0021, 0)</f>
        <v>40.104300000000002</v>
      </c>
      <c r="C300" s="10">
        <f>39.6699 * CHOOSE(CONTROL!$C$9, $D$9, 100%, $F$9) + CHOOSE(CONTROL!$C$27, 0.0021, 0)</f>
        <v>39.671999999999997</v>
      </c>
      <c r="D300" s="10">
        <f>39.6699 * CHOOSE(CONTROL!$C$9, $D$9, 100%, $F$9) + CHOOSE(CONTROL!$C$27, 0.0021, 0)</f>
        <v>39.671999999999997</v>
      </c>
      <c r="E300" s="10">
        <f>39.5333 * CHOOSE(CONTROL!$C$9, $D$9, 100%, $F$9) + CHOOSE(CONTROL!$C$27, 0.0021, 0)</f>
        <v>39.535399999999996</v>
      </c>
      <c r="F300" s="10">
        <f>39.5333 * CHOOSE(CONTROL!$C$9, $D$9, 100%, $F$9) + CHOOSE(CONTROL!$C$27, 0.0021, 0)</f>
        <v>39.535399999999996</v>
      </c>
      <c r="G300" s="10">
        <f>39.8046 * CHOOSE(CONTROL!$C$9, $D$9, 100%, $F$9) + CHOOSE(CONTROL!$C$27, 0.0021, 0)</f>
        <v>39.806699999999999</v>
      </c>
      <c r="H300" s="10">
        <f>39.6699 * CHOOSE(CONTROL!$C$9, $D$9, 100%, $F$9) + CHOOSE(CONTROL!$C$27, 0.0021, 0)</f>
        <v>39.671999999999997</v>
      </c>
      <c r="I300" s="10">
        <f>39.6699 * CHOOSE(CONTROL!$C$9, $D$9, 100%, $F$9) + CHOOSE(CONTROL!$C$27, 0.0021, 0)</f>
        <v>39.671999999999997</v>
      </c>
      <c r="J300" s="10">
        <f>39.6699 * CHOOSE(CONTROL!$C$9, $D$9, 100%, $F$9) + CHOOSE(CONTROL!$C$27, 0.0021, 0)</f>
        <v>39.671999999999997</v>
      </c>
      <c r="K300" s="10">
        <f>39.6699 * CHOOSE(CONTROL!$C$9, $D$9, 100%, $F$9) + CHOOSE(CONTROL!$C$27, 0.0021, 0)</f>
        <v>39.671999999999997</v>
      </c>
      <c r="L300" s="10"/>
    </row>
    <row r="301" spans="1:12" ht="15.75" x14ac:dyDescent="0.25">
      <c r="A301" s="14">
        <v>50464</v>
      </c>
      <c r="B301" s="10">
        <f>39.0327 * CHOOSE(CONTROL!$C$9, $D$9, 100%, $F$9) + CHOOSE(CONTROL!$C$27, 0.0021, 0)</f>
        <v>39.034799999999997</v>
      </c>
      <c r="C301" s="10">
        <f>38.6004 * CHOOSE(CONTROL!$C$9, $D$9, 100%, $F$9) + CHOOSE(CONTROL!$C$27, 0.0021, 0)</f>
        <v>38.602499999999999</v>
      </c>
      <c r="D301" s="10">
        <f>38.6004 * CHOOSE(CONTROL!$C$9, $D$9, 100%, $F$9) + CHOOSE(CONTROL!$C$27, 0.0021, 0)</f>
        <v>38.602499999999999</v>
      </c>
      <c r="E301" s="10">
        <f>38.4638 * CHOOSE(CONTROL!$C$9, $D$9, 100%, $F$9) + CHOOSE(CONTROL!$C$27, 0.0021, 0)</f>
        <v>38.465899999999998</v>
      </c>
      <c r="F301" s="10">
        <f>38.4638 * CHOOSE(CONTROL!$C$9, $D$9, 100%, $F$9) + CHOOSE(CONTROL!$C$27, 0.0021, 0)</f>
        <v>38.465899999999998</v>
      </c>
      <c r="G301" s="10">
        <f>38.7352 * CHOOSE(CONTROL!$C$9, $D$9, 100%, $F$9) + CHOOSE(CONTROL!$C$27, 0.0021, 0)</f>
        <v>38.737299999999998</v>
      </c>
      <c r="H301" s="10">
        <f>38.6004 * CHOOSE(CONTROL!$C$9, $D$9, 100%, $F$9) + CHOOSE(CONTROL!$C$27, 0.0021, 0)</f>
        <v>38.602499999999999</v>
      </c>
      <c r="I301" s="10">
        <f>38.6004 * CHOOSE(CONTROL!$C$9, $D$9, 100%, $F$9) + CHOOSE(CONTROL!$C$27, 0.0021, 0)</f>
        <v>38.602499999999999</v>
      </c>
      <c r="J301" s="10">
        <f>38.6004 * CHOOSE(CONTROL!$C$9, $D$9, 100%, $F$9) + CHOOSE(CONTROL!$C$27, 0.0021, 0)</f>
        <v>38.602499999999999</v>
      </c>
      <c r="K301" s="10">
        <f>38.6004 * CHOOSE(CONTROL!$C$9, $D$9, 100%, $F$9) + CHOOSE(CONTROL!$C$27, 0.0021, 0)</f>
        <v>38.602499999999999</v>
      </c>
      <c r="L301" s="10"/>
    </row>
    <row r="302" spans="1:12" ht="15.75" x14ac:dyDescent="0.25">
      <c r="A302" s="14">
        <v>50495</v>
      </c>
      <c r="B302" s="10">
        <f>38.5912 * CHOOSE(CONTROL!$C$9, $D$9, 100%, $F$9) + CHOOSE(CONTROL!$C$27, 0.0021, 0)</f>
        <v>38.593299999999999</v>
      </c>
      <c r="C302" s="10">
        <f>38.159 * CHOOSE(CONTROL!$C$9, $D$9, 100%, $F$9) + CHOOSE(CONTROL!$C$27, 0.0021, 0)</f>
        <v>38.161099999999998</v>
      </c>
      <c r="D302" s="10">
        <f>38.159 * CHOOSE(CONTROL!$C$9, $D$9, 100%, $F$9) + CHOOSE(CONTROL!$C$27, 0.0021, 0)</f>
        <v>38.161099999999998</v>
      </c>
      <c r="E302" s="10">
        <f>38.0223 * CHOOSE(CONTROL!$C$9, $D$9, 100%, $F$9) + CHOOSE(CONTROL!$C$27, 0.0021, 0)</f>
        <v>38.0244</v>
      </c>
      <c r="F302" s="10">
        <f>38.0223 * CHOOSE(CONTROL!$C$9, $D$9, 100%, $F$9) + CHOOSE(CONTROL!$C$27, 0.0021, 0)</f>
        <v>38.0244</v>
      </c>
      <c r="G302" s="10">
        <f>38.2937 * CHOOSE(CONTROL!$C$9, $D$9, 100%, $F$9) + CHOOSE(CONTROL!$C$27, 0.0021, 0)</f>
        <v>38.2958</v>
      </c>
      <c r="H302" s="10">
        <f>38.159 * CHOOSE(CONTROL!$C$9, $D$9, 100%, $F$9) + CHOOSE(CONTROL!$C$27, 0.0021, 0)</f>
        <v>38.161099999999998</v>
      </c>
      <c r="I302" s="10">
        <f>38.159 * CHOOSE(CONTROL!$C$9, $D$9, 100%, $F$9) + CHOOSE(CONTROL!$C$27, 0.0021, 0)</f>
        <v>38.161099999999998</v>
      </c>
      <c r="J302" s="10">
        <f>38.159 * CHOOSE(CONTROL!$C$9, $D$9, 100%, $F$9) + CHOOSE(CONTROL!$C$27, 0.0021, 0)</f>
        <v>38.161099999999998</v>
      </c>
      <c r="K302" s="10">
        <f>38.159 * CHOOSE(CONTROL!$C$9, $D$9, 100%, $F$9) + CHOOSE(CONTROL!$C$27, 0.0021, 0)</f>
        <v>38.161099999999998</v>
      </c>
      <c r="L302" s="10"/>
    </row>
    <row r="303" spans="1:12" ht="15.75" x14ac:dyDescent="0.25">
      <c r="A303" s="14">
        <v>50525</v>
      </c>
      <c r="B303" s="10">
        <f>38.0641 * CHOOSE(CONTROL!$C$9, $D$9, 100%, $F$9) + CHOOSE(CONTROL!$C$27, 0.0021, 0)</f>
        <v>38.066200000000002</v>
      </c>
      <c r="C303" s="10">
        <f>37.6318 * CHOOSE(CONTROL!$C$9, $D$9, 100%, $F$9) + CHOOSE(CONTROL!$C$27, 0.0021, 0)</f>
        <v>37.633899999999997</v>
      </c>
      <c r="D303" s="10">
        <f>37.6318 * CHOOSE(CONTROL!$C$9, $D$9, 100%, $F$9) + CHOOSE(CONTROL!$C$27, 0.0021, 0)</f>
        <v>37.633899999999997</v>
      </c>
      <c r="E303" s="10">
        <f>37.4952 * CHOOSE(CONTROL!$C$9, $D$9, 100%, $F$9) + CHOOSE(CONTROL!$C$27, 0.0021, 0)</f>
        <v>37.497299999999996</v>
      </c>
      <c r="F303" s="10">
        <f>37.4952 * CHOOSE(CONTROL!$C$9, $D$9, 100%, $F$9) + CHOOSE(CONTROL!$C$27, 0.0021, 0)</f>
        <v>37.497299999999996</v>
      </c>
      <c r="G303" s="10">
        <f>37.7666 * CHOOSE(CONTROL!$C$9, $D$9, 100%, $F$9) + CHOOSE(CONTROL!$C$27, 0.0021, 0)</f>
        <v>37.768699999999995</v>
      </c>
      <c r="H303" s="10">
        <f>37.6318 * CHOOSE(CONTROL!$C$9, $D$9, 100%, $F$9) + CHOOSE(CONTROL!$C$27, 0.0021, 0)</f>
        <v>37.633899999999997</v>
      </c>
      <c r="I303" s="10">
        <f>37.6318 * CHOOSE(CONTROL!$C$9, $D$9, 100%, $F$9) + CHOOSE(CONTROL!$C$27, 0.0021, 0)</f>
        <v>37.633899999999997</v>
      </c>
      <c r="J303" s="10">
        <f>37.6318 * CHOOSE(CONTROL!$C$9, $D$9, 100%, $F$9) + CHOOSE(CONTROL!$C$27, 0.0021, 0)</f>
        <v>37.633899999999997</v>
      </c>
      <c r="K303" s="10">
        <f>37.6318 * CHOOSE(CONTROL!$C$9, $D$9, 100%, $F$9) + CHOOSE(CONTROL!$C$27, 0.0021, 0)</f>
        <v>37.633899999999997</v>
      </c>
      <c r="L303" s="10"/>
    </row>
    <row r="304" spans="1:12" ht="15.75" x14ac:dyDescent="0.25">
      <c r="A304" s="14">
        <v>50556</v>
      </c>
      <c r="B304" s="10">
        <f>38.8153 * CHOOSE(CONTROL!$C$9, $D$9, 100%, $F$9) + CHOOSE(CONTROL!$C$27, 0.0021, 0)</f>
        <v>38.817399999999999</v>
      </c>
      <c r="C304" s="10">
        <f>38.3831 * CHOOSE(CONTROL!$C$9, $D$9, 100%, $F$9) + CHOOSE(CONTROL!$C$27, 0.0021, 0)</f>
        <v>38.385199999999998</v>
      </c>
      <c r="D304" s="10">
        <f>38.3831 * CHOOSE(CONTROL!$C$9, $D$9, 100%, $F$9) + CHOOSE(CONTROL!$C$27, 0.0021, 0)</f>
        <v>38.385199999999998</v>
      </c>
      <c r="E304" s="10">
        <f>38.2464 * CHOOSE(CONTROL!$C$9, $D$9, 100%, $F$9) + CHOOSE(CONTROL!$C$27, 0.0021, 0)</f>
        <v>38.2485</v>
      </c>
      <c r="F304" s="10">
        <f>38.2464 * CHOOSE(CONTROL!$C$9, $D$9, 100%, $F$9) + CHOOSE(CONTROL!$C$27, 0.0021, 0)</f>
        <v>38.2485</v>
      </c>
      <c r="G304" s="10">
        <f>38.5178 * CHOOSE(CONTROL!$C$9, $D$9, 100%, $F$9) + CHOOSE(CONTROL!$C$27, 0.0021, 0)</f>
        <v>38.5199</v>
      </c>
      <c r="H304" s="10">
        <f>38.3831 * CHOOSE(CONTROL!$C$9, $D$9, 100%, $F$9) + CHOOSE(CONTROL!$C$27, 0.0021, 0)</f>
        <v>38.385199999999998</v>
      </c>
      <c r="I304" s="10">
        <f>38.3831 * CHOOSE(CONTROL!$C$9, $D$9, 100%, $F$9) + CHOOSE(CONTROL!$C$27, 0.0021, 0)</f>
        <v>38.385199999999998</v>
      </c>
      <c r="J304" s="10">
        <f>38.3831 * CHOOSE(CONTROL!$C$9, $D$9, 100%, $F$9) + CHOOSE(CONTROL!$C$27, 0.0021, 0)</f>
        <v>38.385199999999998</v>
      </c>
      <c r="K304" s="10">
        <f>38.3831 * CHOOSE(CONTROL!$C$9, $D$9, 100%, $F$9) + CHOOSE(CONTROL!$C$27, 0.0021, 0)</f>
        <v>38.385199999999998</v>
      </c>
      <c r="L304" s="10"/>
    </row>
    <row r="305" spans="1:12" ht="15.75" x14ac:dyDescent="0.25">
      <c r="A305" s="14">
        <v>50586</v>
      </c>
      <c r="B305" s="10">
        <f>39.2653 * CHOOSE(CONTROL!$C$9, $D$9, 100%, $F$9) + CHOOSE(CONTROL!$C$27, 0.0021, 0)</f>
        <v>39.267400000000002</v>
      </c>
      <c r="C305" s="10">
        <f>38.833 * CHOOSE(CONTROL!$C$9, $D$9, 100%, $F$9) + CHOOSE(CONTROL!$C$27, 0.0021, 0)</f>
        <v>38.835099999999997</v>
      </c>
      <c r="D305" s="10">
        <f>38.833 * CHOOSE(CONTROL!$C$9, $D$9, 100%, $F$9) + CHOOSE(CONTROL!$C$27, 0.0021, 0)</f>
        <v>38.835099999999997</v>
      </c>
      <c r="E305" s="10">
        <f>38.6964 * CHOOSE(CONTROL!$C$9, $D$9, 100%, $F$9) + CHOOSE(CONTROL!$C$27, 0.0021, 0)</f>
        <v>38.698499999999996</v>
      </c>
      <c r="F305" s="10">
        <f>38.6964 * CHOOSE(CONTROL!$C$9, $D$9, 100%, $F$9) + CHOOSE(CONTROL!$C$27, 0.0021, 0)</f>
        <v>38.698499999999996</v>
      </c>
      <c r="G305" s="10">
        <f>38.9677 * CHOOSE(CONTROL!$C$9, $D$9, 100%, $F$9) + CHOOSE(CONTROL!$C$27, 0.0021, 0)</f>
        <v>38.969799999999999</v>
      </c>
      <c r="H305" s="10">
        <f>38.833 * CHOOSE(CONTROL!$C$9, $D$9, 100%, $F$9) + CHOOSE(CONTROL!$C$27, 0.0021, 0)</f>
        <v>38.835099999999997</v>
      </c>
      <c r="I305" s="10">
        <f>38.833 * CHOOSE(CONTROL!$C$9, $D$9, 100%, $F$9) + CHOOSE(CONTROL!$C$27, 0.0021, 0)</f>
        <v>38.835099999999997</v>
      </c>
      <c r="J305" s="10">
        <f>38.833 * CHOOSE(CONTROL!$C$9, $D$9, 100%, $F$9) + CHOOSE(CONTROL!$C$27, 0.0021, 0)</f>
        <v>38.835099999999997</v>
      </c>
      <c r="K305" s="10">
        <f>38.833 * CHOOSE(CONTROL!$C$9, $D$9, 100%, $F$9) + CHOOSE(CONTROL!$C$27, 0.0021, 0)</f>
        <v>38.835099999999997</v>
      </c>
      <c r="L305" s="10"/>
    </row>
    <row r="306" spans="1:12" ht="15.75" x14ac:dyDescent="0.25">
      <c r="A306" s="14">
        <v>50617</v>
      </c>
      <c r="B306" s="10">
        <f>40.0075 * CHOOSE(CONTROL!$C$9, $D$9, 100%, $F$9) + CHOOSE(CONTROL!$C$27, 0.0021, 0)</f>
        <v>40.009599999999999</v>
      </c>
      <c r="C306" s="10">
        <f>39.5753 * CHOOSE(CONTROL!$C$9, $D$9, 100%, $F$9) + CHOOSE(CONTROL!$C$27, 0.0021, 0)</f>
        <v>39.577399999999997</v>
      </c>
      <c r="D306" s="10">
        <f>39.5753 * CHOOSE(CONTROL!$C$9, $D$9, 100%, $F$9) + CHOOSE(CONTROL!$C$27, 0.0021, 0)</f>
        <v>39.577399999999997</v>
      </c>
      <c r="E306" s="10">
        <f>39.4386 * CHOOSE(CONTROL!$C$9, $D$9, 100%, $F$9) + CHOOSE(CONTROL!$C$27, 0.0021, 0)</f>
        <v>39.4407</v>
      </c>
      <c r="F306" s="10">
        <f>39.4386 * CHOOSE(CONTROL!$C$9, $D$9, 100%, $F$9) + CHOOSE(CONTROL!$C$27, 0.0021, 0)</f>
        <v>39.4407</v>
      </c>
      <c r="G306" s="10">
        <f>39.71 * CHOOSE(CONTROL!$C$9, $D$9, 100%, $F$9) + CHOOSE(CONTROL!$C$27, 0.0021, 0)</f>
        <v>39.7121</v>
      </c>
      <c r="H306" s="10">
        <f>39.5753 * CHOOSE(CONTROL!$C$9, $D$9, 100%, $F$9) + CHOOSE(CONTROL!$C$27, 0.0021, 0)</f>
        <v>39.577399999999997</v>
      </c>
      <c r="I306" s="10">
        <f>39.5753 * CHOOSE(CONTROL!$C$9, $D$9, 100%, $F$9) + CHOOSE(CONTROL!$C$27, 0.0021, 0)</f>
        <v>39.577399999999997</v>
      </c>
      <c r="J306" s="10">
        <f>39.5753 * CHOOSE(CONTROL!$C$9, $D$9, 100%, $F$9) + CHOOSE(CONTROL!$C$27, 0.0021, 0)</f>
        <v>39.577399999999997</v>
      </c>
      <c r="K306" s="10">
        <f>39.5753 * CHOOSE(CONTROL!$C$9, $D$9, 100%, $F$9) + CHOOSE(CONTROL!$C$27, 0.0021, 0)</f>
        <v>39.577399999999997</v>
      </c>
      <c r="L306" s="10"/>
    </row>
    <row r="307" spans="1:12" ht="15.75" x14ac:dyDescent="0.25">
      <c r="A307" s="14">
        <v>50648</v>
      </c>
      <c r="B307" s="10">
        <f>40.2341 * CHOOSE(CONTROL!$C$9, $D$9, 100%, $F$9) + CHOOSE(CONTROL!$C$27, 0.0021, 0)</f>
        <v>40.236199999999997</v>
      </c>
      <c r="C307" s="10">
        <f>39.8018 * CHOOSE(CONTROL!$C$9, $D$9, 100%, $F$9) + CHOOSE(CONTROL!$C$27, 0.0021, 0)</f>
        <v>39.803899999999999</v>
      </c>
      <c r="D307" s="10">
        <f>39.8018 * CHOOSE(CONTROL!$C$9, $D$9, 100%, $F$9) + CHOOSE(CONTROL!$C$27, 0.0021, 0)</f>
        <v>39.803899999999999</v>
      </c>
      <c r="E307" s="10">
        <f>39.6652 * CHOOSE(CONTROL!$C$9, $D$9, 100%, $F$9) + CHOOSE(CONTROL!$C$27, 0.0021, 0)</f>
        <v>39.667299999999997</v>
      </c>
      <c r="F307" s="10">
        <f>39.6652 * CHOOSE(CONTROL!$C$9, $D$9, 100%, $F$9) + CHOOSE(CONTROL!$C$27, 0.0021, 0)</f>
        <v>39.667299999999997</v>
      </c>
      <c r="G307" s="10">
        <f>39.9366 * CHOOSE(CONTROL!$C$9, $D$9, 100%, $F$9) + CHOOSE(CONTROL!$C$27, 0.0021, 0)</f>
        <v>39.938699999999997</v>
      </c>
      <c r="H307" s="10">
        <f>39.8018 * CHOOSE(CONTROL!$C$9, $D$9, 100%, $F$9) + CHOOSE(CONTROL!$C$27, 0.0021, 0)</f>
        <v>39.803899999999999</v>
      </c>
      <c r="I307" s="10">
        <f>39.8018 * CHOOSE(CONTROL!$C$9, $D$9, 100%, $F$9) + CHOOSE(CONTROL!$C$27, 0.0021, 0)</f>
        <v>39.803899999999999</v>
      </c>
      <c r="J307" s="10">
        <f>39.8018 * CHOOSE(CONTROL!$C$9, $D$9, 100%, $F$9) + CHOOSE(CONTROL!$C$27, 0.0021, 0)</f>
        <v>39.803899999999999</v>
      </c>
      <c r="K307" s="10">
        <f>39.8018 * CHOOSE(CONTROL!$C$9, $D$9, 100%, $F$9) + CHOOSE(CONTROL!$C$27, 0.0021, 0)</f>
        <v>39.803899999999999</v>
      </c>
      <c r="L307" s="10"/>
    </row>
    <row r="308" spans="1:12" ht="15.75" x14ac:dyDescent="0.25">
      <c r="A308" s="14">
        <v>50678</v>
      </c>
      <c r="B308" s="10">
        <f>41.0056 * CHOOSE(CONTROL!$C$9, $D$9, 100%, $F$9) + CHOOSE(CONTROL!$C$27, 0.0021, 0)</f>
        <v>41.0077</v>
      </c>
      <c r="C308" s="10">
        <f>40.5734 * CHOOSE(CONTROL!$C$9, $D$9, 100%, $F$9) + CHOOSE(CONTROL!$C$27, 0.0021, 0)</f>
        <v>40.575499999999998</v>
      </c>
      <c r="D308" s="10">
        <f>40.5734 * CHOOSE(CONTROL!$C$9, $D$9, 100%, $F$9) + CHOOSE(CONTROL!$C$27, 0.0021, 0)</f>
        <v>40.575499999999998</v>
      </c>
      <c r="E308" s="10">
        <f>40.4367 * CHOOSE(CONTROL!$C$9, $D$9, 100%, $F$9) + CHOOSE(CONTROL!$C$27, 0.0021, 0)</f>
        <v>40.438800000000001</v>
      </c>
      <c r="F308" s="10">
        <f>40.4367 * CHOOSE(CONTROL!$C$9, $D$9, 100%, $F$9) + CHOOSE(CONTROL!$C$27, 0.0021, 0)</f>
        <v>40.438800000000001</v>
      </c>
      <c r="G308" s="10">
        <f>40.7081 * CHOOSE(CONTROL!$C$9, $D$9, 100%, $F$9) + CHOOSE(CONTROL!$C$27, 0.0021, 0)</f>
        <v>40.7102</v>
      </c>
      <c r="H308" s="10">
        <f>40.5734 * CHOOSE(CONTROL!$C$9, $D$9, 100%, $F$9) + CHOOSE(CONTROL!$C$27, 0.0021, 0)</f>
        <v>40.575499999999998</v>
      </c>
      <c r="I308" s="10">
        <f>40.5734 * CHOOSE(CONTROL!$C$9, $D$9, 100%, $F$9) + CHOOSE(CONTROL!$C$27, 0.0021, 0)</f>
        <v>40.575499999999998</v>
      </c>
      <c r="J308" s="10">
        <f>40.5734 * CHOOSE(CONTROL!$C$9, $D$9, 100%, $F$9) + CHOOSE(CONTROL!$C$27, 0.0021, 0)</f>
        <v>40.575499999999998</v>
      </c>
      <c r="K308" s="10">
        <f>40.5734 * CHOOSE(CONTROL!$C$9, $D$9, 100%, $F$9) + CHOOSE(CONTROL!$C$27, 0.0021, 0)</f>
        <v>40.575499999999998</v>
      </c>
      <c r="L308" s="10"/>
    </row>
    <row r="309" spans="1:12" ht="15.75" x14ac:dyDescent="0.25">
      <c r="A309" s="14">
        <v>50709</v>
      </c>
      <c r="B309" s="10">
        <f>41.9823 * CHOOSE(CONTROL!$C$9, $D$9, 100%, $F$9) + CHOOSE(CONTROL!$C$27, 0.0021, 0)</f>
        <v>41.984400000000001</v>
      </c>
      <c r="C309" s="10">
        <f>41.55 * CHOOSE(CONTROL!$C$9, $D$9, 100%, $F$9) + CHOOSE(CONTROL!$C$27, 0.0021, 0)</f>
        <v>41.552099999999996</v>
      </c>
      <c r="D309" s="10">
        <f>41.55 * CHOOSE(CONTROL!$C$9, $D$9, 100%, $F$9) + CHOOSE(CONTROL!$C$27, 0.0021, 0)</f>
        <v>41.552099999999996</v>
      </c>
      <c r="E309" s="10">
        <f>41.4134 * CHOOSE(CONTROL!$C$9, $D$9, 100%, $F$9) + CHOOSE(CONTROL!$C$27, 0.0021, 0)</f>
        <v>41.415500000000002</v>
      </c>
      <c r="F309" s="10">
        <f>41.4134 * CHOOSE(CONTROL!$C$9, $D$9, 100%, $F$9) + CHOOSE(CONTROL!$C$27, 0.0021, 0)</f>
        <v>41.415500000000002</v>
      </c>
      <c r="G309" s="10">
        <f>41.6847 * CHOOSE(CONTROL!$C$9, $D$9, 100%, $F$9) + CHOOSE(CONTROL!$C$27, 0.0021, 0)</f>
        <v>41.686799999999998</v>
      </c>
      <c r="H309" s="10">
        <f>41.55 * CHOOSE(CONTROL!$C$9, $D$9, 100%, $F$9) + CHOOSE(CONTROL!$C$27, 0.0021, 0)</f>
        <v>41.552099999999996</v>
      </c>
      <c r="I309" s="10">
        <f>41.55 * CHOOSE(CONTROL!$C$9, $D$9, 100%, $F$9) + CHOOSE(CONTROL!$C$27, 0.0021, 0)</f>
        <v>41.552099999999996</v>
      </c>
      <c r="J309" s="10">
        <f>41.55 * CHOOSE(CONTROL!$C$9, $D$9, 100%, $F$9) + CHOOSE(CONTROL!$C$27, 0.0021, 0)</f>
        <v>41.552099999999996</v>
      </c>
      <c r="K309" s="10">
        <f>41.55 * CHOOSE(CONTROL!$C$9, $D$9, 100%, $F$9) + CHOOSE(CONTROL!$C$27, 0.0021, 0)</f>
        <v>41.552099999999996</v>
      </c>
      <c r="L309" s="10"/>
    </row>
    <row r="310" spans="1:12" ht="15.75" x14ac:dyDescent="0.25">
      <c r="A310" s="14">
        <v>50739</v>
      </c>
      <c r="B310" s="10">
        <f>42.074 * CHOOSE(CONTROL!$C$9, $D$9, 100%, $F$9) + CHOOSE(CONTROL!$C$27, 0.0021, 0)</f>
        <v>42.076099999999997</v>
      </c>
      <c r="C310" s="10">
        <f>41.6417 * CHOOSE(CONTROL!$C$9, $D$9, 100%, $F$9) + CHOOSE(CONTROL!$C$27, 0.0021, 0)</f>
        <v>41.643799999999999</v>
      </c>
      <c r="D310" s="10">
        <f>41.6417 * CHOOSE(CONTROL!$C$9, $D$9, 100%, $F$9) + CHOOSE(CONTROL!$C$27, 0.0021, 0)</f>
        <v>41.643799999999999</v>
      </c>
      <c r="E310" s="10">
        <f>41.505 * CHOOSE(CONTROL!$C$9, $D$9, 100%, $F$9) + CHOOSE(CONTROL!$C$27, 0.0021, 0)</f>
        <v>41.507100000000001</v>
      </c>
      <c r="F310" s="10">
        <f>41.505 * CHOOSE(CONTROL!$C$9, $D$9, 100%, $F$9) + CHOOSE(CONTROL!$C$27, 0.0021, 0)</f>
        <v>41.507100000000001</v>
      </c>
      <c r="G310" s="10">
        <f>41.7764 * CHOOSE(CONTROL!$C$9, $D$9, 100%, $F$9) + CHOOSE(CONTROL!$C$27, 0.0021, 0)</f>
        <v>41.778500000000001</v>
      </c>
      <c r="H310" s="10">
        <f>41.6417 * CHOOSE(CONTROL!$C$9, $D$9, 100%, $F$9) + CHOOSE(CONTROL!$C$27, 0.0021, 0)</f>
        <v>41.643799999999999</v>
      </c>
      <c r="I310" s="10">
        <f>41.6417 * CHOOSE(CONTROL!$C$9, $D$9, 100%, $F$9) + CHOOSE(CONTROL!$C$27, 0.0021, 0)</f>
        <v>41.643799999999999</v>
      </c>
      <c r="J310" s="10">
        <f>41.6417 * CHOOSE(CONTROL!$C$9, $D$9, 100%, $F$9) + CHOOSE(CONTROL!$C$27, 0.0021, 0)</f>
        <v>41.643799999999999</v>
      </c>
      <c r="K310" s="10">
        <f>41.6417 * CHOOSE(CONTROL!$C$9, $D$9, 100%, $F$9) + CHOOSE(CONTROL!$C$27, 0.0021, 0)</f>
        <v>41.643799999999999</v>
      </c>
      <c r="L310" s="10"/>
    </row>
    <row r="311" spans="1:12" ht="15.75" x14ac:dyDescent="0.25">
      <c r="A311" s="14">
        <v>50770</v>
      </c>
      <c r="B311" s="10">
        <f>41.2939 * CHOOSE(CONTROL!$C$9, $D$9, 100%, $F$9) + CHOOSE(CONTROL!$C$27, 0.0021, 0)</f>
        <v>41.295999999999999</v>
      </c>
      <c r="C311" s="10">
        <f>40.8617 * CHOOSE(CONTROL!$C$9, $D$9, 100%, $F$9) + CHOOSE(CONTROL!$C$27, 0.0021, 0)</f>
        <v>40.863799999999998</v>
      </c>
      <c r="D311" s="10">
        <f>40.8617 * CHOOSE(CONTROL!$C$9, $D$9, 100%, $F$9) + CHOOSE(CONTROL!$C$27, 0.0021, 0)</f>
        <v>40.863799999999998</v>
      </c>
      <c r="E311" s="10">
        <f>40.725 * CHOOSE(CONTROL!$C$9, $D$9, 100%, $F$9) + CHOOSE(CONTROL!$C$27, 0.0021, 0)</f>
        <v>40.7271</v>
      </c>
      <c r="F311" s="10">
        <f>40.725 * CHOOSE(CONTROL!$C$9, $D$9, 100%, $F$9) + CHOOSE(CONTROL!$C$27, 0.0021, 0)</f>
        <v>40.7271</v>
      </c>
      <c r="G311" s="10">
        <f>40.9964 * CHOOSE(CONTROL!$C$9, $D$9, 100%, $F$9) + CHOOSE(CONTROL!$C$27, 0.0021, 0)</f>
        <v>40.9985</v>
      </c>
      <c r="H311" s="10">
        <f>40.8617 * CHOOSE(CONTROL!$C$9, $D$9, 100%, $F$9) + CHOOSE(CONTROL!$C$27, 0.0021, 0)</f>
        <v>40.863799999999998</v>
      </c>
      <c r="I311" s="10">
        <f>40.8617 * CHOOSE(CONTROL!$C$9, $D$9, 100%, $F$9) + CHOOSE(CONTROL!$C$27, 0.0021, 0)</f>
        <v>40.863799999999998</v>
      </c>
      <c r="J311" s="10">
        <f>40.8617 * CHOOSE(CONTROL!$C$9, $D$9, 100%, $F$9) + CHOOSE(CONTROL!$C$27, 0.0021, 0)</f>
        <v>40.863799999999998</v>
      </c>
      <c r="K311" s="10">
        <f>40.8617 * CHOOSE(CONTROL!$C$9, $D$9, 100%, $F$9) + CHOOSE(CONTROL!$C$27, 0.0021, 0)</f>
        <v>40.863799999999998</v>
      </c>
      <c r="L311" s="10"/>
    </row>
    <row r="312" spans="1:12" ht="15.75" x14ac:dyDescent="0.25">
      <c r="A312" s="14">
        <v>50801</v>
      </c>
      <c r="B312" s="10">
        <f>40.6967 * CHOOSE(CONTROL!$C$9, $D$9, 100%, $F$9) + CHOOSE(CONTROL!$C$27, 0.0021, 0)</f>
        <v>40.698799999999999</v>
      </c>
      <c r="C312" s="10">
        <f>40.2645 * CHOOSE(CONTROL!$C$9, $D$9, 100%, $F$9) + CHOOSE(CONTROL!$C$27, 0.0021, 0)</f>
        <v>40.266599999999997</v>
      </c>
      <c r="D312" s="10">
        <f>40.2645 * CHOOSE(CONTROL!$C$9, $D$9, 100%, $F$9) + CHOOSE(CONTROL!$C$27, 0.0021, 0)</f>
        <v>40.266599999999997</v>
      </c>
      <c r="E312" s="10">
        <f>40.1278 * CHOOSE(CONTROL!$C$9, $D$9, 100%, $F$9) + CHOOSE(CONTROL!$C$27, 0.0021, 0)</f>
        <v>40.129899999999999</v>
      </c>
      <c r="F312" s="10">
        <f>40.1278 * CHOOSE(CONTROL!$C$9, $D$9, 100%, $F$9) + CHOOSE(CONTROL!$C$27, 0.0021, 0)</f>
        <v>40.129899999999999</v>
      </c>
      <c r="G312" s="10">
        <f>40.3992 * CHOOSE(CONTROL!$C$9, $D$9, 100%, $F$9) + CHOOSE(CONTROL!$C$27, 0.0021, 0)</f>
        <v>40.401299999999999</v>
      </c>
      <c r="H312" s="10">
        <f>40.2645 * CHOOSE(CONTROL!$C$9, $D$9, 100%, $F$9) + CHOOSE(CONTROL!$C$27, 0.0021, 0)</f>
        <v>40.266599999999997</v>
      </c>
      <c r="I312" s="10">
        <f>40.2645 * CHOOSE(CONTROL!$C$9, $D$9, 100%, $F$9) + CHOOSE(CONTROL!$C$27, 0.0021, 0)</f>
        <v>40.266599999999997</v>
      </c>
      <c r="J312" s="10">
        <f>40.2645 * CHOOSE(CONTROL!$C$9, $D$9, 100%, $F$9) + CHOOSE(CONTROL!$C$27, 0.0021, 0)</f>
        <v>40.266599999999997</v>
      </c>
      <c r="K312" s="10">
        <f>40.2645 * CHOOSE(CONTROL!$C$9, $D$9, 100%, $F$9) + CHOOSE(CONTROL!$C$27, 0.0021, 0)</f>
        <v>40.266599999999997</v>
      </c>
      <c r="L312" s="10"/>
    </row>
    <row r="313" spans="1:12" ht="15.75" x14ac:dyDescent="0.25">
      <c r="A313" s="14">
        <v>50829</v>
      </c>
      <c r="B313" s="10">
        <f>39.6104 * CHOOSE(CONTROL!$C$9, $D$9, 100%, $F$9) + CHOOSE(CONTROL!$C$27, 0.0021, 0)</f>
        <v>39.612499999999997</v>
      </c>
      <c r="C313" s="10">
        <f>39.1782 * CHOOSE(CONTROL!$C$9, $D$9, 100%, $F$9) + CHOOSE(CONTROL!$C$27, 0.0021, 0)</f>
        <v>39.180299999999995</v>
      </c>
      <c r="D313" s="10">
        <f>39.1782 * CHOOSE(CONTROL!$C$9, $D$9, 100%, $F$9) + CHOOSE(CONTROL!$C$27, 0.0021, 0)</f>
        <v>39.180299999999995</v>
      </c>
      <c r="E313" s="10">
        <f>39.0415 * CHOOSE(CONTROL!$C$9, $D$9, 100%, $F$9) + CHOOSE(CONTROL!$C$27, 0.0021, 0)</f>
        <v>39.043599999999998</v>
      </c>
      <c r="F313" s="10">
        <f>39.0415 * CHOOSE(CONTROL!$C$9, $D$9, 100%, $F$9) + CHOOSE(CONTROL!$C$27, 0.0021, 0)</f>
        <v>39.043599999999998</v>
      </c>
      <c r="G313" s="10">
        <f>39.3129 * CHOOSE(CONTROL!$C$9, $D$9, 100%, $F$9) + CHOOSE(CONTROL!$C$27, 0.0021, 0)</f>
        <v>39.314999999999998</v>
      </c>
      <c r="H313" s="10">
        <f>39.1782 * CHOOSE(CONTROL!$C$9, $D$9, 100%, $F$9) + CHOOSE(CONTROL!$C$27, 0.0021, 0)</f>
        <v>39.180299999999995</v>
      </c>
      <c r="I313" s="10">
        <f>39.1782 * CHOOSE(CONTROL!$C$9, $D$9, 100%, $F$9) + CHOOSE(CONTROL!$C$27, 0.0021, 0)</f>
        <v>39.180299999999995</v>
      </c>
      <c r="J313" s="10">
        <f>39.1782 * CHOOSE(CONTROL!$C$9, $D$9, 100%, $F$9) + CHOOSE(CONTROL!$C$27, 0.0021, 0)</f>
        <v>39.180299999999995</v>
      </c>
      <c r="K313" s="10">
        <f>39.1782 * CHOOSE(CONTROL!$C$9, $D$9, 100%, $F$9) + CHOOSE(CONTROL!$C$27, 0.0021, 0)</f>
        <v>39.180299999999995</v>
      </c>
      <c r="L313" s="10"/>
    </row>
    <row r="314" spans="1:12" ht="15.75" x14ac:dyDescent="0.25">
      <c r="A314" s="14">
        <v>50860</v>
      </c>
      <c r="B314" s="10">
        <f>39.162 * CHOOSE(CONTROL!$C$9, $D$9, 100%, $F$9) + CHOOSE(CONTROL!$C$27, 0.0021, 0)</f>
        <v>39.164099999999998</v>
      </c>
      <c r="C314" s="10">
        <f>38.7298 * CHOOSE(CONTROL!$C$9, $D$9, 100%, $F$9) + CHOOSE(CONTROL!$C$27, 0.0021, 0)</f>
        <v>38.731899999999996</v>
      </c>
      <c r="D314" s="10">
        <f>38.7298 * CHOOSE(CONTROL!$C$9, $D$9, 100%, $F$9) + CHOOSE(CONTROL!$C$27, 0.0021, 0)</f>
        <v>38.731899999999996</v>
      </c>
      <c r="E314" s="10">
        <f>38.5931 * CHOOSE(CONTROL!$C$9, $D$9, 100%, $F$9) + CHOOSE(CONTROL!$C$27, 0.0021, 0)</f>
        <v>38.595199999999998</v>
      </c>
      <c r="F314" s="10">
        <f>38.5931 * CHOOSE(CONTROL!$C$9, $D$9, 100%, $F$9) + CHOOSE(CONTROL!$C$27, 0.0021, 0)</f>
        <v>38.595199999999998</v>
      </c>
      <c r="G314" s="10">
        <f>38.8645 * CHOOSE(CONTROL!$C$9, $D$9, 100%, $F$9) + CHOOSE(CONTROL!$C$27, 0.0021, 0)</f>
        <v>38.866599999999998</v>
      </c>
      <c r="H314" s="10">
        <f>38.7298 * CHOOSE(CONTROL!$C$9, $D$9, 100%, $F$9) + CHOOSE(CONTROL!$C$27, 0.0021, 0)</f>
        <v>38.731899999999996</v>
      </c>
      <c r="I314" s="10">
        <f>38.7298 * CHOOSE(CONTROL!$C$9, $D$9, 100%, $F$9) + CHOOSE(CONTROL!$C$27, 0.0021, 0)</f>
        <v>38.731899999999996</v>
      </c>
      <c r="J314" s="10">
        <f>38.7298 * CHOOSE(CONTROL!$C$9, $D$9, 100%, $F$9) + CHOOSE(CONTROL!$C$27, 0.0021, 0)</f>
        <v>38.731899999999996</v>
      </c>
      <c r="K314" s="10">
        <f>38.7298 * CHOOSE(CONTROL!$C$9, $D$9, 100%, $F$9) + CHOOSE(CONTROL!$C$27, 0.0021, 0)</f>
        <v>38.731899999999996</v>
      </c>
      <c r="L314" s="10"/>
    </row>
    <row r="315" spans="1:12" ht="15.75" x14ac:dyDescent="0.25">
      <c r="A315" s="14">
        <v>50890</v>
      </c>
      <c r="B315" s="10">
        <f>38.6266 * CHOOSE(CONTROL!$C$9, $D$9, 100%, $F$9) + CHOOSE(CONTROL!$C$27, 0.0021, 0)</f>
        <v>38.628700000000002</v>
      </c>
      <c r="C315" s="10">
        <f>38.1944 * CHOOSE(CONTROL!$C$9, $D$9, 100%, $F$9) + CHOOSE(CONTROL!$C$27, 0.0021, 0)</f>
        <v>38.1965</v>
      </c>
      <c r="D315" s="10">
        <f>38.1944 * CHOOSE(CONTROL!$C$9, $D$9, 100%, $F$9) + CHOOSE(CONTROL!$C$27, 0.0021, 0)</f>
        <v>38.1965</v>
      </c>
      <c r="E315" s="10">
        <f>38.0577 * CHOOSE(CONTROL!$C$9, $D$9, 100%, $F$9) + CHOOSE(CONTROL!$C$27, 0.0021, 0)</f>
        <v>38.059799999999996</v>
      </c>
      <c r="F315" s="10">
        <f>38.0577 * CHOOSE(CONTROL!$C$9, $D$9, 100%, $F$9) + CHOOSE(CONTROL!$C$27, 0.0021, 0)</f>
        <v>38.059799999999996</v>
      </c>
      <c r="G315" s="10">
        <f>38.3291 * CHOOSE(CONTROL!$C$9, $D$9, 100%, $F$9) + CHOOSE(CONTROL!$C$27, 0.0021, 0)</f>
        <v>38.331199999999995</v>
      </c>
      <c r="H315" s="10">
        <f>38.1944 * CHOOSE(CONTROL!$C$9, $D$9, 100%, $F$9) + CHOOSE(CONTROL!$C$27, 0.0021, 0)</f>
        <v>38.1965</v>
      </c>
      <c r="I315" s="10">
        <f>38.1944 * CHOOSE(CONTROL!$C$9, $D$9, 100%, $F$9) + CHOOSE(CONTROL!$C$27, 0.0021, 0)</f>
        <v>38.1965</v>
      </c>
      <c r="J315" s="10">
        <f>38.1944 * CHOOSE(CONTROL!$C$9, $D$9, 100%, $F$9) + CHOOSE(CONTROL!$C$27, 0.0021, 0)</f>
        <v>38.1965</v>
      </c>
      <c r="K315" s="10">
        <f>38.1944 * CHOOSE(CONTROL!$C$9, $D$9, 100%, $F$9) + CHOOSE(CONTROL!$C$27, 0.0021, 0)</f>
        <v>38.1965</v>
      </c>
      <c r="L315" s="10"/>
    </row>
    <row r="316" spans="1:12" ht="15.75" x14ac:dyDescent="0.25">
      <c r="A316" s="14">
        <v>50921</v>
      </c>
      <c r="B316" s="10">
        <f>39.3896 * CHOOSE(CONTROL!$C$9, $D$9, 100%, $F$9) + CHOOSE(CONTROL!$C$27, 0.0021, 0)</f>
        <v>39.3917</v>
      </c>
      <c r="C316" s="10">
        <f>38.9574 * CHOOSE(CONTROL!$C$9, $D$9, 100%, $F$9) + CHOOSE(CONTROL!$C$27, 0.0021, 0)</f>
        <v>38.959499999999998</v>
      </c>
      <c r="D316" s="10">
        <f>38.9574 * CHOOSE(CONTROL!$C$9, $D$9, 100%, $F$9) + CHOOSE(CONTROL!$C$27, 0.0021, 0)</f>
        <v>38.959499999999998</v>
      </c>
      <c r="E316" s="10">
        <f>38.8207 * CHOOSE(CONTROL!$C$9, $D$9, 100%, $F$9) + CHOOSE(CONTROL!$C$27, 0.0021, 0)</f>
        <v>38.822800000000001</v>
      </c>
      <c r="F316" s="10">
        <f>38.8207 * CHOOSE(CONTROL!$C$9, $D$9, 100%, $F$9) + CHOOSE(CONTROL!$C$27, 0.0021, 0)</f>
        <v>38.822800000000001</v>
      </c>
      <c r="G316" s="10">
        <f>39.0921 * CHOOSE(CONTROL!$C$9, $D$9, 100%, $F$9) + CHOOSE(CONTROL!$C$27, 0.0021, 0)</f>
        <v>39.094200000000001</v>
      </c>
      <c r="H316" s="10">
        <f>38.9574 * CHOOSE(CONTROL!$C$9, $D$9, 100%, $F$9) + CHOOSE(CONTROL!$C$27, 0.0021, 0)</f>
        <v>38.959499999999998</v>
      </c>
      <c r="I316" s="10">
        <f>38.9574 * CHOOSE(CONTROL!$C$9, $D$9, 100%, $F$9) + CHOOSE(CONTROL!$C$27, 0.0021, 0)</f>
        <v>38.959499999999998</v>
      </c>
      <c r="J316" s="10">
        <f>38.9574 * CHOOSE(CONTROL!$C$9, $D$9, 100%, $F$9) + CHOOSE(CONTROL!$C$27, 0.0021, 0)</f>
        <v>38.959499999999998</v>
      </c>
      <c r="K316" s="10">
        <f>38.9574 * CHOOSE(CONTROL!$C$9, $D$9, 100%, $F$9) + CHOOSE(CONTROL!$C$27, 0.0021, 0)</f>
        <v>38.959499999999998</v>
      </c>
      <c r="L316" s="10"/>
    </row>
    <row r="317" spans="1:12" ht="15.75" x14ac:dyDescent="0.25">
      <c r="A317" s="14">
        <v>50951</v>
      </c>
      <c r="B317" s="10">
        <f>39.8467 * CHOOSE(CONTROL!$C$9, $D$9, 100%, $F$9) + CHOOSE(CONTROL!$C$27, 0.0021, 0)</f>
        <v>39.848799999999997</v>
      </c>
      <c r="C317" s="10">
        <f>39.4144 * CHOOSE(CONTROL!$C$9, $D$9, 100%, $F$9) + CHOOSE(CONTROL!$C$27, 0.0021, 0)</f>
        <v>39.416499999999999</v>
      </c>
      <c r="D317" s="10">
        <f>39.4144 * CHOOSE(CONTROL!$C$9, $D$9, 100%, $F$9) + CHOOSE(CONTROL!$C$27, 0.0021, 0)</f>
        <v>39.416499999999999</v>
      </c>
      <c r="E317" s="10">
        <f>39.2778 * CHOOSE(CONTROL!$C$9, $D$9, 100%, $F$9) + CHOOSE(CONTROL!$C$27, 0.0021, 0)</f>
        <v>39.279899999999998</v>
      </c>
      <c r="F317" s="10">
        <f>39.2778 * CHOOSE(CONTROL!$C$9, $D$9, 100%, $F$9) + CHOOSE(CONTROL!$C$27, 0.0021, 0)</f>
        <v>39.279899999999998</v>
      </c>
      <c r="G317" s="10">
        <f>39.5491 * CHOOSE(CONTROL!$C$9, $D$9, 100%, $F$9) + CHOOSE(CONTROL!$C$27, 0.0021, 0)</f>
        <v>39.551200000000001</v>
      </c>
      <c r="H317" s="10">
        <f>39.4144 * CHOOSE(CONTROL!$C$9, $D$9, 100%, $F$9) + CHOOSE(CONTROL!$C$27, 0.0021, 0)</f>
        <v>39.416499999999999</v>
      </c>
      <c r="I317" s="10">
        <f>39.4144 * CHOOSE(CONTROL!$C$9, $D$9, 100%, $F$9) + CHOOSE(CONTROL!$C$27, 0.0021, 0)</f>
        <v>39.416499999999999</v>
      </c>
      <c r="J317" s="10">
        <f>39.4144 * CHOOSE(CONTROL!$C$9, $D$9, 100%, $F$9) + CHOOSE(CONTROL!$C$27, 0.0021, 0)</f>
        <v>39.416499999999999</v>
      </c>
      <c r="K317" s="10">
        <f>39.4144 * CHOOSE(CONTROL!$C$9, $D$9, 100%, $F$9) + CHOOSE(CONTROL!$C$27, 0.0021, 0)</f>
        <v>39.416499999999999</v>
      </c>
      <c r="L317" s="10"/>
    </row>
    <row r="318" spans="1:12" ht="15.75" x14ac:dyDescent="0.25">
      <c r="A318" s="14">
        <v>50982</v>
      </c>
      <c r="B318" s="10">
        <f>40.6006 * CHOOSE(CONTROL!$C$9, $D$9, 100%, $F$9) + CHOOSE(CONTROL!$C$27, 0.0021, 0)</f>
        <v>40.602699999999999</v>
      </c>
      <c r="C318" s="10">
        <f>40.1683 * CHOOSE(CONTROL!$C$9, $D$9, 100%, $F$9) + CHOOSE(CONTROL!$C$27, 0.0021, 0)</f>
        <v>40.170400000000001</v>
      </c>
      <c r="D318" s="10">
        <f>40.1683 * CHOOSE(CONTROL!$C$9, $D$9, 100%, $F$9) + CHOOSE(CONTROL!$C$27, 0.0021, 0)</f>
        <v>40.170400000000001</v>
      </c>
      <c r="E318" s="10">
        <f>40.0317 * CHOOSE(CONTROL!$C$9, $D$9, 100%, $F$9) + CHOOSE(CONTROL!$C$27, 0.0021, 0)</f>
        <v>40.033799999999999</v>
      </c>
      <c r="F318" s="10">
        <f>40.0317 * CHOOSE(CONTROL!$C$9, $D$9, 100%, $F$9) + CHOOSE(CONTROL!$C$27, 0.0021, 0)</f>
        <v>40.033799999999999</v>
      </c>
      <c r="G318" s="10">
        <f>40.3031 * CHOOSE(CONTROL!$C$9, $D$9, 100%, $F$9) + CHOOSE(CONTROL!$C$27, 0.0021, 0)</f>
        <v>40.305199999999999</v>
      </c>
      <c r="H318" s="10">
        <f>40.1683 * CHOOSE(CONTROL!$C$9, $D$9, 100%, $F$9) + CHOOSE(CONTROL!$C$27, 0.0021, 0)</f>
        <v>40.170400000000001</v>
      </c>
      <c r="I318" s="10">
        <f>40.1683 * CHOOSE(CONTROL!$C$9, $D$9, 100%, $F$9) + CHOOSE(CONTROL!$C$27, 0.0021, 0)</f>
        <v>40.170400000000001</v>
      </c>
      <c r="J318" s="10">
        <f>40.1683 * CHOOSE(CONTROL!$C$9, $D$9, 100%, $F$9) + CHOOSE(CONTROL!$C$27, 0.0021, 0)</f>
        <v>40.170400000000001</v>
      </c>
      <c r="K318" s="10">
        <f>40.1683 * CHOOSE(CONTROL!$C$9, $D$9, 100%, $F$9) + CHOOSE(CONTROL!$C$27, 0.0021, 0)</f>
        <v>40.170400000000001</v>
      </c>
      <c r="L318" s="10"/>
    </row>
    <row r="319" spans="1:12" ht="15.75" x14ac:dyDescent="0.25">
      <c r="A319" s="14">
        <v>51013</v>
      </c>
      <c r="B319" s="10">
        <f>40.8307 * CHOOSE(CONTROL!$C$9, $D$9, 100%, $F$9) + CHOOSE(CONTROL!$C$27, 0.0021, 0)</f>
        <v>40.832799999999999</v>
      </c>
      <c r="C319" s="10">
        <f>40.3985 * CHOOSE(CONTROL!$C$9, $D$9, 100%, $F$9) + CHOOSE(CONTROL!$C$27, 0.0021, 0)</f>
        <v>40.400599999999997</v>
      </c>
      <c r="D319" s="10">
        <f>40.3985 * CHOOSE(CONTROL!$C$9, $D$9, 100%, $F$9) + CHOOSE(CONTROL!$C$27, 0.0021, 0)</f>
        <v>40.400599999999997</v>
      </c>
      <c r="E319" s="10">
        <f>40.2618 * CHOOSE(CONTROL!$C$9, $D$9, 100%, $F$9) + CHOOSE(CONTROL!$C$27, 0.0021, 0)</f>
        <v>40.2639</v>
      </c>
      <c r="F319" s="10">
        <f>40.2618 * CHOOSE(CONTROL!$C$9, $D$9, 100%, $F$9) + CHOOSE(CONTROL!$C$27, 0.0021, 0)</f>
        <v>40.2639</v>
      </c>
      <c r="G319" s="10">
        <f>40.5332 * CHOOSE(CONTROL!$C$9, $D$9, 100%, $F$9) + CHOOSE(CONTROL!$C$27, 0.0021, 0)</f>
        <v>40.535299999999999</v>
      </c>
      <c r="H319" s="10">
        <f>40.3985 * CHOOSE(CONTROL!$C$9, $D$9, 100%, $F$9) + CHOOSE(CONTROL!$C$27, 0.0021, 0)</f>
        <v>40.400599999999997</v>
      </c>
      <c r="I319" s="10">
        <f>40.3985 * CHOOSE(CONTROL!$C$9, $D$9, 100%, $F$9) + CHOOSE(CONTROL!$C$27, 0.0021, 0)</f>
        <v>40.400599999999997</v>
      </c>
      <c r="J319" s="10">
        <f>40.3985 * CHOOSE(CONTROL!$C$9, $D$9, 100%, $F$9) + CHOOSE(CONTROL!$C$27, 0.0021, 0)</f>
        <v>40.400599999999997</v>
      </c>
      <c r="K319" s="10">
        <f>40.3985 * CHOOSE(CONTROL!$C$9, $D$9, 100%, $F$9) + CHOOSE(CONTROL!$C$27, 0.0021, 0)</f>
        <v>40.400599999999997</v>
      </c>
      <c r="L319" s="10"/>
    </row>
    <row r="320" spans="1:12" ht="15.75" x14ac:dyDescent="0.25">
      <c r="A320" s="14">
        <v>51043</v>
      </c>
      <c r="B320" s="10">
        <f>41.6144 * CHOOSE(CONTROL!$C$9, $D$9, 100%, $F$9) + CHOOSE(CONTROL!$C$27, 0.0021, 0)</f>
        <v>41.616500000000002</v>
      </c>
      <c r="C320" s="10">
        <f>41.1821 * CHOOSE(CONTROL!$C$9, $D$9, 100%, $F$9) + CHOOSE(CONTROL!$C$27, 0.0021, 0)</f>
        <v>41.184199999999997</v>
      </c>
      <c r="D320" s="10">
        <f>41.1821 * CHOOSE(CONTROL!$C$9, $D$9, 100%, $F$9) + CHOOSE(CONTROL!$C$27, 0.0021, 0)</f>
        <v>41.184199999999997</v>
      </c>
      <c r="E320" s="10">
        <f>41.0455 * CHOOSE(CONTROL!$C$9, $D$9, 100%, $F$9) + CHOOSE(CONTROL!$C$27, 0.0021, 0)</f>
        <v>41.047599999999996</v>
      </c>
      <c r="F320" s="10">
        <f>41.0455 * CHOOSE(CONTROL!$C$9, $D$9, 100%, $F$9) + CHOOSE(CONTROL!$C$27, 0.0021, 0)</f>
        <v>41.047599999999996</v>
      </c>
      <c r="G320" s="10">
        <f>41.3169 * CHOOSE(CONTROL!$C$9, $D$9, 100%, $F$9) + CHOOSE(CONTROL!$C$27, 0.0021, 0)</f>
        <v>41.318999999999996</v>
      </c>
      <c r="H320" s="10">
        <f>41.1821 * CHOOSE(CONTROL!$C$9, $D$9, 100%, $F$9) + CHOOSE(CONTROL!$C$27, 0.0021, 0)</f>
        <v>41.184199999999997</v>
      </c>
      <c r="I320" s="10">
        <f>41.1821 * CHOOSE(CONTROL!$C$9, $D$9, 100%, $F$9) + CHOOSE(CONTROL!$C$27, 0.0021, 0)</f>
        <v>41.184199999999997</v>
      </c>
      <c r="J320" s="10">
        <f>41.1821 * CHOOSE(CONTROL!$C$9, $D$9, 100%, $F$9) + CHOOSE(CONTROL!$C$27, 0.0021, 0)</f>
        <v>41.184199999999997</v>
      </c>
      <c r="K320" s="10">
        <f>41.1821 * CHOOSE(CONTROL!$C$9, $D$9, 100%, $F$9) + CHOOSE(CONTROL!$C$27, 0.0021, 0)</f>
        <v>41.184199999999997</v>
      </c>
      <c r="L320" s="10"/>
    </row>
    <row r="321" spans="1:12" ht="15.75" x14ac:dyDescent="0.25">
      <c r="A321" s="14">
        <v>51074</v>
      </c>
      <c r="B321" s="10">
        <f>42.6064 * CHOOSE(CONTROL!$C$9, $D$9, 100%, $F$9) + CHOOSE(CONTROL!$C$27, 0.0021, 0)</f>
        <v>42.608499999999999</v>
      </c>
      <c r="C321" s="10">
        <f>42.1741 * CHOOSE(CONTROL!$C$9, $D$9, 100%, $F$9) + CHOOSE(CONTROL!$C$27, 0.0021, 0)</f>
        <v>42.176200000000001</v>
      </c>
      <c r="D321" s="10">
        <f>42.1741 * CHOOSE(CONTROL!$C$9, $D$9, 100%, $F$9) + CHOOSE(CONTROL!$C$27, 0.0021, 0)</f>
        <v>42.176200000000001</v>
      </c>
      <c r="E321" s="10">
        <f>42.0375 * CHOOSE(CONTROL!$C$9, $D$9, 100%, $F$9) + CHOOSE(CONTROL!$C$27, 0.0021, 0)</f>
        <v>42.0396</v>
      </c>
      <c r="F321" s="10">
        <f>42.0375 * CHOOSE(CONTROL!$C$9, $D$9, 100%, $F$9) + CHOOSE(CONTROL!$C$27, 0.0021, 0)</f>
        <v>42.0396</v>
      </c>
      <c r="G321" s="10">
        <f>42.3089 * CHOOSE(CONTROL!$C$9, $D$9, 100%, $F$9) + CHOOSE(CONTROL!$C$27, 0.0021, 0)</f>
        <v>42.311</v>
      </c>
      <c r="H321" s="10">
        <f>42.1741 * CHOOSE(CONTROL!$C$9, $D$9, 100%, $F$9) + CHOOSE(CONTROL!$C$27, 0.0021, 0)</f>
        <v>42.176200000000001</v>
      </c>
      <c r="I321" s="10">
        <f>42.1741 * CHOOSE(CONTROL!$C$9, $D$9, 100%, $F$9) + CHOOSE(CONTROL!$C$27, 0.0021, 0)</f>
        <v>42.176200000000001</v>
      </c>
      <c r="J321" s="10">
        <f>42.1741 * CHOOSE(CONTROL!$C$9, $D$9, 100%, $F$9) + CHOOSE(CONTROL!$C$27, 0.0021, 0)</f>
        <v>42.176200000000001</v>
      </c>
      <c r="K321" s="10">
        <f>42.1741 * CHOOSE(CONTROL!$C$9, $D$9, 100%, $F$9) + CHOOSE(CONTROL!$C$27, 0.0021, 0)</f>
        <v>42.176200000000001</v>
      </c>
      <c r="L321" s="10"/>
    </row>
    <row r="322" spans="1:12" ht="15.75" x14ac:dyDescent="0.25">
      <c r="A322" s="14">
        <v>51104</v>
      </c>
      <c r="B322" s="10">
        <f>42.6995 * CHOOSE(CONTROL!$C$9, $D$9, 100%, $F$9) + CHOOSE(CONTROL!$C$27, 0.0021, 0)</f>
        <v>42.701599999999999</v>
      </c>
      <c r="C322" s="10">
        <f>42.2673 * CHOOSE(CONTROL!$C$9, $D$9, 100%, $F$9) + CHOOSE(CONTROL!$C$27, 0.0021, 0)</f>
        <v>42.269399999999997</v>
      </c>
      <c r="D322" s="10">
        <f>42.2673 * CHOOSE(CONTROL!$C$9, $D$9, 100%, $F$9) + CHOOSE(CONTROL!$C$27, 0.0021, 0)</f>
        <v>42.269399999999997</v>
      </c>
      <c r="E322" s="10">
        <f>42.1306 * CHOOSE(CONTROL!$C$9, $D$9, 100%, $F$9) + CHOOSE(CONTROL!$C$27, 0.0021, 0)</f>
        <v>42.1327</v>
      </c>
      <c r="F322" s="10">
        <f>42.1306 * CHOOSE(CONTROL!$C$9, $D$9, 100%, $F$9) + CHOOSE(CONTROL!$C$27, 0.0021, 0)</f>
        <v>42.1327</v>
      </c>
      <c r="G322" s="10">
        <f>42.402 * CHOOSE(CONTROL!$C$9, $D$9, 100%, $F$9) + CHOOSE(CONTROL!$C$27, 0.0021, 0)</f>
        <v>42.4041</v>
      </c>
      <c r="H322" s="10">
        <f>42.2673 * CHOOSE(CONTROL!$C$9, $D$9, 100%, $F$9) + CHOOSE(CONTROL!$C$27, 0.0021, 0)</f>
        <v>42.269399999999997</v>
      </c>
      <c r="I322" s="10">
        <f>42.2673 * CHOOSE(CONTROL!$C$9, $D$9, 100%, $F$9) + CHOOSE(CONTROL!$C$27, 0.0021, 0)</f>
        <v>42.269399999999997</v>
      </c>
      <c r="J322" s="10">
        <f>42.2673 * CHOOSE(CONTROL!$C$9, $D$9, 100%, $F$9) + CHOOSE(CONTROL!$C$27, 0.0021, 0)</f>
        <v>42.269399999999997</v>
      </c>
      <c r="K322" s="10">
        <f>42.2673 * CHOOSE(CONTROL!$C$9, $D$9, 100%, $F$9) + CHOOSE(CONTROL!$C$27, 0.0021, 0)</f>
        <v>42.269399999999997</v>
      </c>
      <c r="L322" s="10"/>
    </row>
    <row r="323" spans="1:12" ht="15.75" x14ac:dyDescent="0.25">
      <c r="A323" s="14">
        <v>51135</v>
      </c>
      <c r="B323" s="10">
        <f>41.9072 * CHOOSE(CONTROL!$C$9, $D$9, 100%, $F$9) + CHOOSE(CONTROL!$C$27, 0.0021, 0)</f>
        <v>41.909300000000002</v>
      </c>
      <c r="C323" s="10">
        <f>41.475 * CHOOSE(CONTROL!$C$9, $D$9, 100%, $F$9) + CHOOSE(CONTROL!$C$27, 0.0021, 0)</f>
        <v>41.4771</v>
      </c>
      <c r="D323" s="10">
        <f>41.475 * CHOOSE(CONTROL!$C$9, $D$9, 100%, $F$9) + CHOOSE(CONTROL!$C$27, 0.0021, 0)</f>
        <v>41.4771</v>
      </c>
      <c r="E323" s="10">
        <f>41.3383 * CHOOSE(CONTROL!$C$9, $D$9, 100%, $F$9) + CHOOSE(CONTROL!$C$27, 0.0021, 0)</f>
        <v>41.340399999999995</v>
      </c>
      <c r="F323" s="10">
        <f>41.3383 * CHOOSE(CONTROL!$C$9, $D$9, 100%, $F$9) + CHOOSE(CONTROL!$C$27, 0.0021, 0)</f>
        <v>41.340399999999995</v>
      </c>
      <c r="G323" s="10">
        <f>41.6097 * CHOOSE(CONTROL!$C$9, $D$9, 100%, $F$9) + CHOOSE(CONTROL!$C$27, 0.0021, 0)</f>
        <v>41.611799999999995</v>
      </c>
      <c r="H323" s="10">
        <f>41.475 * CHOOSE(CONTROL!$C$9, $D$9, 100%, $F$9) + CHOOSE(CONTROL!$C$27, 0.0021, 0)</f>
        <v>41.4771</v>
      </c>
      <c r="I323" s="10">
        <f>41.475 * CHOOSE(CONTROL!$C$9, $D$9, 100%, $F$9) + CHOOSE(CONTROL!$C$27, 0.0021, 0)</f>
        <v>41.4771</v>
      </c>
      <c r="J323" s="10">
        <f>41.475 * CHOOSE(CONTROL!$C$9, $D$9, 100%, $F$9) + CHOOSE(CONTROL!$C$27, 0.0021, 0)</f>
        <v>41.4771</v>
      </c>
      <c r="K323" s="10">
        <f>41.475 * CHOOSE(CONTROL!$C$9, $D$9, 100%, $F$9) + CHOOSE(CONTROL!$C$27, 0.0021, 0)</f>
        <v>41.4771</v>
      </c>
      <c r="L323" s="10"/>
    </row>
    <row r="324" spans="1:12" ht="15.75" x14ac:dyDescent="0.25">
      <c r="A324" s="14">
        <v>51166</v>
      </c>
      <c r="B324" s="10">
        <f>41.3006 * CHOOSE(CONTROL!$C$9, $D$9, 100%, $F$9) + CHOOSE(CONTROL!$C$27, 0.0021, 0)</f>
        <v>41.302700000000002</v>
      </c>
      <c r="C324" s="10">
        <f>40.8684 * CHOOSE(CONTROL!$C$9, $D$9, 100%, $F$9) + CHOOSE(CONTROL!$C$27, 0.0021, 0)</f>
        <v>40.8705</v>
      </c>
      <c r="D324" s="10">
        <f>40.8684 * CHOOSE(CONTROL!$C$9, $D$9, 100%, $F$9) + CHOOSE(CONTROL!$C$27, 0.0021, 0)</f>
        <v>40.8705</v>
      </c>
      <c r="E324" s="10">
        <f>40.7317 * CHOOSE(CONTROL!$C$9, $D$9, 100%, $F$9) + CHOOSE(CONTROL!$C$27, 0.0021, 0)</f>
        <v>40.733799999999995</v>
      </c>
      <c r="F324" s="10">
        <f>40.7317 * CHOOSE(CONTROL!$C$9, $D$9, 100%, $F$9) + CHOOSE(CONTROL!$C$27, 0.0021, 0)</f>
        <v>40.733799999999995</v>
      </c>
      <c r="G324" s="10">
        <f>41.0031 * CHOOSE(CONTROL!$C$9, $D$9, 100%, $F$9) + CHOOSE(CONTROL!$C$27, 0.0021, 0)</f>
        <v>41.005200000000002</v>
      </c>
      <c r="H324" s="10">
        <f>40.8684 * CHOOSE(CONTROL!$C$9, $D$9, 100%, $F$9) + CHOOSE(CONTROL!$C$27, 0.0021, 0)</f>
        <v>40.8705</v>
      </c>
      <c r="I324" s="10">
        <f>40.8684 * CHOOSE(CONTROL!$C$9, $D$9, 100%, $F$9) + CHOOSE(CONTROL!$C$27, 0.0021, 0)</f>
        <v>40.8705</v>
      </c>
      <c r="J324" s="10">
        <f>40.8684 * CHOOSE(CONTROL!$C$9, $D$9, 100%, $F$9) + CHOOSE(CONTROL!$C$27, 0.0021, 0)</f>
        <v>40.8705</v>
      </c>
      <c r="K324" s="10">
        <f>40.8684 * CHOOSE(CONTROL!$C$9, $D$9, 100%, $F$9) + CHOOSE(CONTROL!$C$27, 0.0021, 0)</f>
        <v>40.8705</v>
      </c>
      <c r="L324" s="10"/>
    </row>
    <row r="325" spans="1:12" ht="15.75" x14ac:dyDescent="0.25">
      <c r="A325" s="14">
        <v>51194</v>
      </c>
      <c r="B325" s="10">
        <f>40.1973 * CHOOSE(CONTROL!$C$9, $D$9, 100%, $F$9) + CHOOSE(CONTROL!$C$27, 0.0021, 0)</f>
        <v>40.199399999999997</v>
      </c>
      <c r="C325" s="10">
        <f>39.765 * CHOOSE(CONTROL!$C$9, $D$9, 100%, $F$9) + CHOOSE(CONTROL!$C$27, 0.0021, 0)</f>
        <v>39.767099999999999</v>
      </c>
      <c r="D325" s="10">
        <f>39.765 * CHOOSE(CONTROL!$C$9, $D$9, 100%, $F$9) + CHOOSE(CONTROL!$C$27, 0.0021, 0)</f>
        <v>39.767099999999999</v>
      </c>
      <c r="E325" s="10">
        <f>39.6284 * CHOOSE(CONTROL!$C$9, $D$9, 100%, $F$9) + CHOOSE(CONTROL!$C$27, 0.0021, 0)</f>
        <v>39.630499999999998</v>
      </c>
      <c r="F325" s="10">
        <f>39.6284 * CHOOSE(CONTROL!$C$9, $D$9, 100%, $F$9) + CHOOSE(CONTROL!$C$27, 0.0021, 0)</f>
        <v>39.630499999999998</v>
      </c>
      <c r="G325" s="10">
        <f>39.8997 * CHOOSE(CONTROL!$C$9, $D$9, 100%, $F$9) + CHOOSE(CONTROL!$C$27, 0.0021, 0)</f>
        <v>39.901800000000001</v>
      </c>
      <c r="H325" s="10">
        <f>39.765 * CHOOSE(CONTROL!$C$9, $D$9, 100%, $F$9) + CHOOSE(CONTROL!$C$27, 0.0021, 0)</f>
        <v>39.767099999999999</v>
      </c>
      <c r="I325" s="10">
        <f>39.765 * CHOOSE(CONTROL!$C$9, $D$9, 100%, $F$9) + CHOOSE(CONTROL!$C$27, 0.0021, 0)</f>
        <v>39.767099999999999</v>
      </c>
      <c r="J325" s="10">
        <f>39.765 * CHOOSE(CONTROL!$C$9, $D$9, 100%, $F$9) + CHOOSE(CONTROL!$C$27, 0.0021, 0)</f>
        <v>39.767099999999999</v>
      </c>
      <c r="K325" s="10">
        <f>39.765 * CHOOSE(CONTROL!$C$9, $D$9, 100%, $F$9) + CHOOSE(CONTROL!$C$27, 0.0021, 0)</f>
        <v>39.767099999999999</v>
      </c>
      <c r="L325" s="10"/>
    </row>
    <row r="326" spans="1:12" ht="15.75" x14ac:dyDescent="0.25">
      <c r="A326" s="14">
        <v>51226</v>
      </c>
      <c r="B326" s="10">
        <f>39.7418 * CHOOSE(CONTROL!$C$9, $D$9, 100%, $F$9) + CHOOSE(CONTROL!$C$27, 0.0021, 0)</f>
        <v>39.743899999999996</v>
      </c>
      <c r="C326" s="10">
        <f>39.3095 * CHOOSE(CONTROL!$C$9, $D$9, 100%, $F$9) + CHOOSE(CONTROL!$C$27, 0.0021, 0)</f>
        <v>39.311599999999999</v>
      </c>
      <c r="D326" s="10">
        <f>39.3095 * CHOOSE(CONTROL!$C$9, $D$9, 100%, $F$9) + CHOOSE(CONTROL!$C$27, 0.0021, 0)</f>
        <v>39.311599999999999</v>
      </c>
      <c r="E326" s="10">
        <f>39.1729 * CHOOSE(CONTROL!$C$9, $D$9, 100%, $F$9) + CHOOSE(CONTROL!$C$27, 0.0021, 0)</f>
        <v>39.174999999999997</v>
      </c>
      <c r="F326" s="10">
        <f>39.1729 * CHOOSE(CONTROL!$C$9, $D$9, 100%, $F$9) + CHOOSE(CONTROL!$C$27, 0.0021, 0)</f>
        <v>39.174999999999997</v>
      </c>
      <c r="G326" s="10">
        <f>39.4443 * CHOOSE(CONTROL!$C$9, $D$9, 100%, $F$9) + CHOOSE(CONTROL!$C$27, 0.0021, 0)</f>
        <v>39.446399999999997</v>
      </c>
      <c r="H326" s="10">
        <f>39.3095 * CHOOSE(CONTROL!$C$9, $D$9, 100%, $F$9) + CHOOSE(CONTROL!$C$27, 0.0021, 0)</f>
        <v>39.311599999999999</v>
      </c>
      <c r="I326" s="10">
        <f>39.3095 * CHOOSE(CONTROL!$C$9, $D$9, 100%, $F$9) + CHOOSE(CONTROL!$C$27, 0.0021, 0)</f>
        <v>39.311599999999999</v>
      </c>
      <c r="J326" s="10">
        <f>39.3095 * CHOOSE(CONTROL!$C$9, $D$9, 100%, $F$9) + CHOOSE(CONTROL!$C$27, 0.0021, 0)</f>
        <v>39.311599999999999</v>
      </c>
      <c r="K326" s="10">
        <f>39.3095 * CHOOSE(CONTROL!$C$9, $D$9, 100%, $F$9) + CHOOSE(CONTROL!$C$27, 0.0021, 0)</f>
        <v>39.311599999999999</v>
      </c>
      <c r="L326" s="10"/>
    </row>
    <row r="327" spans="1:12" ht="15.75" x14ac:dyDescent="0.25">
      <c r="A327" s="14">
        <v>51256</v>
      </c>
      <c r="B327" s="10">
        <f>39.198 * CHOOSE(CONTROL!$C$9, $D$9, 100%, $F$9) + CHOOSE(CONTROL!$C$27, 0.0021, 0)</f>
        <v>39.200099999999999</v>
      </c>
      <c r="C327" s="10">
        <f>38.7657 * CHOOSE(CONTROL!$C$9, $D$9, 100%, $F$9) + CHOOSE(CONTROL!$C$27, 0.0021, 0)</f>
        <v>38.767800000000001</v>
      </c>
      <c r="D327" s="10">
        <f>38.7657 * CHOOSE(CONTROL!$C$9, $D$9, 100%, $F$9) + CHOOSE(CONTROL!$C$27, 0.0021, 0)</f>
        <v>38.767800000000001</v>
      </c>
      <c r="E327" s="10">
        <f>38.629 * CHOOSE(CONTROL!$C$9, $D$9, 100%, $F$9) + CHOOSE(CONTROL!$C$27, 0.0021, 0)</f>
        <v>38.631099999999996</v>
      </c>
      <c r="F327" s="10">
        <f>38.629 * CHOOSE(CONTROL!$C$9, $D$9, 100%, $F$9) + CHOOSE(CONTROL!$C$27, 0.0021, 0)</f>
        <v>38.631099999999996</v>
      </c>
      <c r="G327" s="10">
        <f>38.9004 * CHOOSE(CONTROL!$C$9, $D$9, 100%, $F$9) + CHOOSE(CONTROL!$C$27, 0.0021, 0)</f>
        <v>38.902499999999996</v>
      </c>
      <c r="H327" s="10">
        <f>38.7657 * CHOOSE(CONTROL!$C$9, $D$9, 100%, $F$9) + CHOOSE(CONTROL!$C$27, 0.0021, 0)</f>
        <v>38.767800000000001</v>
      </c>
      <c r="I327" s="10">
        <f>38.7657 * CHOOSE(CONTROL!$C$9, $D$9, 100%, $F$9) + CHOOSE(CONTROL!$C$27, 0.0021, 0)</f>
        <v>38.767800000000001</v>
      </c>
      <c r="J327" s="10">
        <f>38.7657 * CHOOSE(CONTROL!$C$9, $D$9, 100%, $F$9) + CHOOSE(CONTROL!$C$27, 0.0021, 0)</f>
        <v>38.767800000000001</v>
      </c>
      <c r="K327" s="10">
        <f>38.7657 * CHOOSE(CONTROL!$C$9, $D$9, 100%, $F$9) + CHOOSE(CONTROL!$C$27, 0.0021, 0)</f>
        <v>38.767800000000001</v>
      </c>
      <c r="L327" s="10"/>
    </row>
    <row r="328" spans="1:12" ht="15.75" x14ac:dyDescent="0.25">
      <c r="A328" s="14">
        <v>51287</v>
      </c>
      <c r="B328" s="10">
        <f>39.973 * CHOOSE(CONTROL!$C$9, $D$9, 100%, $F$9) + CHOOSE(CONTROL!$C$27, 0.0021, 0)</f>
        <v>39.975099999999998</v>
      </c>
      <c r="C328" s="10">
        <f>39.5407 * CHOOSE(CONTROL!$C$9, $D$9, 100%, $F$9) + CHOOSE(CONTROL!$C$27, 0.0021, 0)</f>
        <v>39.5428</v>
      </c>
      <c r="D328" s="10">
        <f>39.5407 * CHOOSE(CONTROL!$C$9, $D$9, 100%, $F$9) + CHOOSE(CONTROL!$C$27, 0.0021, 0)</f>
        <v>39.5428</v>
      </c>
      <c r="E328" s="10">
        <f>39.4041 * CHOOSE(CONTROL!$C$9, $D$9, 100%, $F$9) + CHOOSE(CONTROL!$C$27, 0.0021, 0)</f>
        <v>39.406199999999998</v>
      </c>
      <c r="F328" s="10">
        <f>39.4041 * CHOOSE(CONTROL!$C$9, $D$9, 100%, $F$9) + CHOOSE(CONTROL!$C$27, 0.0021, 0)</f>
        <v>39.406199999999998</v>
      </c>
      <c r="G328" s="10">
        <f>39.6755 * CHOOSE(CONTROL!$C$9, $D$9, 100%, $F$9) + CHOOSE(CONTROL!$C$27, 0.0021, 0)</f>
        <v>39.677599999999998</v>
      </c>
      <c r="H328" s="10">
        <f>39.5407 * CHOOSE(CONTROL!$C$9, $D$9, 100%, $F$9) + CHOOSE(CONTROL!$C$27, 0.0021, 0)</f>
        <v>39.5428</v>
      </c>
      <c r="I328" s="10">
        <f>39.5407 * CHOOSE(CONTROL!$C$9, $D$9, 100%, $F$9) + CHOOSE(CONTROL!$C$27, 0.0021, 0)</f>
        <v>39.5428</v>
      </c>
      <c r="J328" s="10">
        <f>39.5407 * CHOOSE(CONTROL!$C$9, $D$9, 100%, $F$9) + CHOOSE(CONTROL!$C$27, 0.0021, 0)</f>
        <v>39.5428</v>
      </c>
      <c r="K328" s="10">
        <f>39.5407 * CHOOSE(CONTROL!$C$9, $D$9, 100%, $F$9) + CHOOSE(CONTROL!$C$27, 0.0021, 0)</f>
        <v>39.5428</v>
      </c>
      <c r="L328" s="10"/>
    </row>
    <row r="329" spans="1:12" ht="15.75" x14ac:dyDescent="0.25">
      <c r="A329" s="14">
        <v>51317</v>
      </c>
      <c r="B329" s="10">
        <f>40.4372 * CHOOSE(CONTROL!$C$9, $D$9, 100%, $F$9) + CHOOSE(CONTROL!$C$27, 0.0021, 0)</f>
        <v>40.439299999999996</v>
      </c>
      <c r="C329" s="10">
        <f>40.005 * CHOOSE(CONTROL!$C$9, $D$9, 100%, $F$9) + CHOOSE(CONTROL!$C$27, 0.0021, 0)</f>
        <v>40.007100000000001</v>
      </c>
      <c r="D329" s="10">
        <f>40.005 * CHOOSE(CONTROL!$C$9, $D$9, 100%, $F$9) + CHOOSE(CONTROL!$C$27, 0.0021, 0)</f>
        <v>40.007100000000001</v>
      </c>
      <c r="E329" s="10">
        <f>39.8683 * CHOOSE(CONTROL!$C$9, $D$9, 100%, $F$9) + CHOOSE(CONTROL!$C$27, 0.0021, 0)</f>
        <v>39.870399999999997</v>
      </c>
      <c r="F329" s="10">
        <f>39.8683 * CHOOSE(CONTROL!$C$9, $D$9, 100%, $F$9) + CHOOSE(CONTROL!$C$27, 0.0021, 0)</f>
        <v>39.870399999999997</v>
      </c>
      <c r="G329" s="10">
        <f>40.1397 * CHOOSE(CONTROL!$C$9, $D$9, 100%, $F$9) + CHOOSE(CONTROL!$C$27, 0.0021, 0)</f>
        <v>40.141799999999996</v>
      </c>
      <c r="H329" s="10">
        <f>40.005 * CHOOSE(CONTROL!$C$9, $D$9, 100%, $F$9) + CHOOSE(CONTROL!$C$27, 0.0021, 0)</f>
        <v>40.007100000000001</v>
      </c>
      <c r="I329" s="10">
        <f>40.005 * CHOOSE(CONTROL!$C$9, $D$9, 100%, $F$9) + CHOOSE(CONTROL!$C$27, 0.0021, 0)</f>
        <v>40.007100000000001</v>
      </c>
      <c r="J329" s="10">
        <f>40.005 * CHOOSE(CONTROL!$C$9, $D$9, 100%, $F$9) + CHOOSE(CONTROL!$C$27, 0.0021, 0)</f>
        <v>40.007100000000001</v>
      </c>
      <c r="K329" s="10">
        <f>40.005 * CHOOSE(CONTROL!$C$9, $D$9, 100%, $F$9) + CHOOSE(CONTROL!$C$27, 0.0021, 0)</f>
        <v>40.007100000000001</v>
      </c>
      <c r="L329" s="10"/>
    </row>
    <row r="330" spans="1:12" ht="15.75" x14ac:dyDescent="0.25">
      <c r="A330" s="14">
        <v>51348</v>
      </c>
      <c r="B330" s="10">
        <f>41.203 * CHOOSE(CONTROL!$C$9, $D$9, 100%, $F$9) + CHOOSE(CONTROL!$C$27, 0.0021, 0)</f>
        <v>41.205100000000002</v>
      </c>
      <c r="C330" s="10">
        <f>40.7707 * CHOOSE(CONTROL!$C$9, $D$9, 100%, $F$9) + CHOOSE(CONTROL!$C$27, 0.0021, 0)</f>
        <v>40.772799999999997</v>
      </c>
      <c r="D330" s="10">
        <f>40.7707 * CHOOSE(CONTROL!$C$9, $D$9, 100%, $F$9) + CHOOSE(CONTROL!$C$27, 0.0021, 0)</f>
        <v>40.772799999999997</v>
      </c>
      <c r="E330" s="10">
        <f>40.6341 * CHOOSE(CONTROL!$C$9, $D$9, 100%, $F$9) + CHOOSE(CONTROL!$C$27, 0.0021, 0)</f>
        <v>40.636199999999995</v>
      </c>
      <c r="F330" s="10">
        <f>40.6341 * CHOOSE(CONTROL!$C$9, $D$9, 100%, $F$9) + CHOOSE(CONTROL!$C$27, 0.0021, 0)</f>
        <v>40.636199999999995</v>
      </c>
      <c r="G330" s="10">
        <f>40.9055 * CHOOSE(CONTROL!$C$9, $D$9, 100%, $F$9) + CHOOSE(CONTROL!$C$27, 0.0021, 0)</f>
        <v>40.907600000000002</v>
      </c>
      <c r="H330" s="10">
        <f>40.7707 * CHOOSE(CONTROL!$C$9, $D$9, 100%, $F$9) + CHOOSE(CONTROL!$C$27, 0.0021, 0)</f>
        <v>40.772799999999997</v>
      </c>
      <c r="I330" s="10">
        <f>40.7707 * CHOOSE(CONTROL!$C$9, $D$9, 100%, $F$9) + CHOOSE(CONTROL!$C$27, 0.0021, 0)</f>
        <v>40.772799999999997</v>
      </c>
      <c r="J330" s="10">
        <f>40.7707 * CHOOSE(CONTROL!$C$9, $D$9, 100%, $F$9) + CHOOSE(CONTROL!$C$27, 0.0021, 0)</f>
        <v>40.772799999999997</v>
      </c>
      <c r="K330" s="10">
        <f>40.7707 * CHOOSE(CONTROL!$C$9, $D$9, 100%, $F$9) + CHOOSE(CONTROL!$C$27, 0.0021, 0)</f>
        <v>40.772799999999997</v>
      </c>
      <c r="L330" s="10"/>
    </row>
    <row r="331" spans="1:12" ht="15.75" x14ac:dyDescent="0.25">
      <c r="A331" s="14">
        <v>51379</v>
      </c>
      <c r="B331" s="10">
        <f>41.4367 * CHOOSE(CONTROL!$C$9, $D$9, 100%, $F$9) + CHOOSE(CONTROL!$C$27, 0.0021, 0)</f>
        <v>41.438800000000001</v>
      </c>
      <c r="C331" s="10">
        <f>41.0045 * CHOOSE(CONTROL!$C$9, $D$9, 100%, $F$9) + CHOOSE(CONTROL!$C$27, 0.0021, 0)</f>
        <v>41.006599999999999</v>
      </c>
      <c r="D331" s="10">
        <f>41.0045 * CHOOSE(CONTROL!$C$9, $D$9, 100%, $F$9) + CHOOSE(CONTROL!$C$27, 0.0021, 0)</f>
        <v>41.006599999999999</v>
      </c>
      <c r="E331" s="10">
        <f>40.8678 * CHOOSE(CONTROL!$C$9, $D$9, 100%, $F$9) + CHOOSE(CONTROL!$C$27, 0.0021, 0)</f>
        <v>40.869900000000001</v>
      </c>
      <c r="F331" s="10">
        <f>40.8678 * CHOOSE(CONTROL!$C$9, $D$9, 100%, $F$9) + CHOOSE(CONTROL!$C$27, 0.0021, 0)</f>
        <v>40.869900000000001</v>
      </c>
      <c r="G331" s="10">
        <f>41.1392 * CHOOSE(CONTROL!$C$9, $D$9, 100%, $F$9) + CHOOSE(CONTROL!$C$27, 0.0021, 0)</f>
        <v>41.141300000000001</v>
      </c>
      <c r="H331" s="10">
        <f>41.0045 * CHOOSE(CONTROL!$C$9, $D$9, 100%, $F$9) + CHOOSE(CONTROL!$C$27, 0.0021, 0)</f>
        <v>41.006599999999999</v>
      </c>
      <c r="I331" s="10">
        <f>41.0045 * CHOOSE(CONTROL!$C$9, $D$9, 100%, $F$9) + CHOOSE(CONTROL!$C$27, 0.0021, 0)</f>
        <v>41.006599999999999</v>
      </c>
      <c r="J331" s="10">
        <f>41.0045 * CHOOSE(CONTROL!$C$9, $D$9, 100%, $F$9) + CHOOSE(CONTROL!$C$27, 0.0021, 0)</f>
        <v>41.006599999999999</v>
      </c>
      <c r="K331" s="10">
        <f>41.0045 * CHOOSE(CONTROL!$C$9, $D$9, 100%, $F$9) + CHOOSE(CONTROL!$C$27, 0.0021, 0)</f>
        <v>41.006599999999999</v>
      </c>
      <c r="L331" s="10"/>
    </row>
    <row r="332" spans="1:12" ht="15.75" x14ac:dyDescent="0.25">
      <c r="A332" s="14">
        <v>51409</v>
      </c>
      <c r="B332" s="10">
        <f>42.2327 * CHOOSE(CONTROL!$C$9, $D$9, 100%, $F$9) + CHOOSE(CONTROL!$C$27, 0.0021, 0)</f>
        <v>42.2348</v>
      </c>
      <c r="C332" s="10">
        <f>41.8005 * CHOOSE(CONTROL!$C$9, $D$9, 100%, $F$9) + CHOOSE(CONTROL!$C$27, 0.0021, 0)</f>
        <v>41.802599999999998</v>
      </c>
      <c r="D332" s="10">
        <f>41.8005 * CHOOSE(CONTROL!$C$9, $D$9, 100%, $F$9) + CHOOSE(CONTROL!$C$27, 0.0021, 0)</f>
        <v>41.802599999999998</v>
      </c>
      <c r="E332" s="10">
        <f>41.6638 * CHOOSE(CONTROL!$C$9, $D$9, 100%, $F$9) + CHOOSE(CONTROL!$C$27, 0.0021, 0)</f>
        <v>41.665900000000001</v>
      </c>
      <c r="F332" s="10">
        <f>41.6638 * CHOOSE(CONTROL!$C$9, $D$9, 100%, $F$9) + CHOOSE(CONTROL!$C$27, 0.0021, 0)</f>
        <v>41.665900000000001</v>
      </c>
      <c r="G332" s="10">
        <f>41.9352 * CHOOSE(CONTROL!$C$9, $D$9, 100%, $F$9) + CHOOSE(CONTROL!$C$27, 0.0021, 0)</f>
        <v>41.9373</v>
      </c>
      <c r="H332" s="10">
        <f>41.8005 * CHOOSE(CONTROL!$C$9, $D$9, 100%, $F$9) + CHOOSE(CONTROL!$C$27, 0.0021, 0)</f>
        <v>41.802599999999998</v>
      </c>
      <c r="I332" s="10">
        <f>41.8005 * CHOOSE(CONTROL!$C$9, $D$9, 100%, $F$9) + CHOOSE(CONTROL!$C$27, 0.0021, 0)</f>
        <v>41.802599999999998</v>
      </c>
      <c r="J332" s="10">
        <f>41.8005 * CHOOSE(CONTROL!$C$9, $D$9, 100%, $F$9) + CHOOSE(CONTROL!$C$27, 0.0021, 0)</f>
        <v>41.802599999999998</v>
      </c>
      <c r="K332" s="10">
        <f>41.8005 * CHOOSE(CONTROL!$C$9, $D$9, 100%, $F$9) + CHOOSE(CONTROL!$C$27, 0.0021, 0)</f>
        <v>41.802599999999998</v>
      </c>
      <c r="L332" s="10"/>
    </row>
    <row r="333" spans="1:12" ht="15.75" x14ac:dyDescent="0.25">
      <c r="A333" s="14">
        <v>51440</v>
      </c>
      <c r="B333" s="10">
        <f>43.2403 * CHOOSE(CONTROL!$C$9, $D$9, 100%, $F$9) + CHOOSE(CONTROL!$C$27, 0.0021, 0)</f>
        <v>43.242399999999996</v>
      </c>
      <c r="C333" s="10">
        <f>42.8081 * CHOOSE(CONTROL!$C$9, $D$9, 100%, $F$9) + CHOOSE(CONTROL!$C$27, 0.0021, 0)</f>
        <v>42.810200000000002</v>
      </c>
      <c r="D333" s="10">
        <f>42.8081 * CHOOSE(CONTROL!$C$9, $D$9, 100%, $F$9) + CHOOSE(CONTROL!$C$27, 0.0021, 0)</f>
        <v>42.810200000000002</v>
      </c>
      <c r="E333" s="10">
        <f>42.6714 * CHOOSE(CONTROL!$C$9, $D$9, 100%, $F$9) + CHOOSE(CONTROL!$C$27, 0.0021, 0)</f>
        <v>42.673499999999997</v>
      </c>
      <c r="F333" s="10">
        <f>42.6714 * CHOOSE(CONTROL!$C$9, $D$9, 100%, $F$9) + CHOOSE(CONTROL!$C$27, 0.0021, 0)</f>
        <v>42.673499999999997</v>
      </c>
      <c r="G333" s="10">
        <f>42.9428 * CHOOSE(CONTROL!$C$9, $D$9, 100%, $F$9) + CHOOSE(CONTROL!$C$27, 0.0021, 0)</f>
        <v>42.944899999999997</v>
      </c>
      <c r="H333" s="10">
        <f>42.8081 * CHOOSE(CONTROL!$C$9, $D$9, 100%, $F$9) + CHOOSE(CONTROL!$C$27, 0.0021, 0)</f>
        <v>42.810200000000002</v>
      </c>
      <c r="I333" s="10">
        <f>42.8081 * CHOOSE(CONTROL!$C$9, $D$9, 100%, $F$9) + CHOOSE(CONTROL!$C$27, 0.0021, 0)</f>
        <v>42.810200000000002</v>
      </c>
      <c r="J333" s="10">
        <f>42.8081 * CHOOSE(CONTROL!$C$9, $D$9, 100%, $F$9) + CHOOSE(CONTROL!$C$27, 0.0021, 0)</f>
        <v>42.810200000000002</v>
      </c>
      <c r="K333" s="10">
        <f>42.8081 * CHOOSE(CONTROL!$C$9, $D$9, 100%, $F$9) + CHOOSE(CONTROL!$C$27, 0.0021, 0)</f>
        <v>42.810200000000002</v>
      </c>
      <c r="L333" s="10"/>
    </row>
    <row r="334" spans="1:12" ht="15.75" x14ac:dyDescent="0.25">
      <c r="A334" s="14">
        <v>51470</v>
      </c>
      <c r="B334" s="10">
        <f>43.3349 * CHOOSE(CONTROL!$C$9, $D$9, 100%, $F$9) + CHOOSE(CONTROL!$C$27, 0.0021, 0)</f>
        <v>43.336999999999996</v>
      </c>
      <c r="C334" s="10">
        <f>42.9027 * CHOOSE(CONTROL!$C$9, $D$9, 100%, $F$9) + CHOOSE(CONTROL!$C$27, 0.0021, 0)</f>
        <v>42.904800000000002</v>
      </c>
      <c r="D334" s="10">
        <f>42.9027 * CHOOSE(CONTROL!$C$9, $D$9, 100%, $F$9) + CHOOSE(CONTROL!$C$27, 0.0021, 0)</f>
        <v>42.904800000000002</v>
      </c>
      <c r="E334" s="10">
        <f>42.766 * CHOOSE(CONTROL!$C$9, $D$9, 100%, $F$9) + CHOOSE(CONTROL!$C$27, 0.0021, 0)</f>
        <v>42.768099999999997</v>
      </c>
      <c r="F334" s="10">
        <f>42.766 * CHOOSE(CONTROL!$C$9, $D$9, 100%, $F$9) + CHOOSE(CONTROL!$C$27, 0.0021, 0)</f>
        <v>42.768099999999997</v>
      </c>
      <c r="G334" s="10">
        <f>43.0374 * CHOOSE(CONTROL!$C$9, $D$9, 100%, $F$9) + CHOOSE(CONTROL!$C$27, 0.0021, 0)</f>
        <v>43.039499999999997</v>
      </c>
      <c r="H334" s="10">
        <f>42.9027 * CHOOSE(CONTROL!$C$9, $D$9, 100%, $F$9) + CHOOSE(CONTROL!$C$27, 0.0021, 0)</f>
        <v>42.904800000000002</v>
      </c>
      <c r="I334" s="10">
        <f>42.9027 * CHOOSE(CONTROL!$C$9, $D$9, 100%, $F$9) + CHOOSE(CONTROL!$C$27, 0.0021, 0)</f>
        <v>42.904800000000002</v>
      </c>
      <c r="J334" s="10">
        <f>42.9027 * CHOOSE(CONTROL!$C$9, $D$9, 100%, $F$9) + CHOOSE(CONTROL!$C$27, 0.0021, 0)</f>
        <v>42.904800000000002</v>
      </c>
      <c r="K334" s="10">
        <f>42.9027 * CHOOSE(CONTROL!$C$9, $D$9, 100%, $F$9) + CHOOSE(CONTROL!$C$27, 0.0021, 0)</f>
        <v>42.904800000000002</v>
      </c>
      <c r="L334" s="10"/>
    </row>
    <row r="335" spans="1:12" ht="15.75" x14ac:dyDescent="0.25">
      <c r="A335" s="14">
        <v>51501</v>
      </c>
      <c r="B335" s="10">
        <f>42.5302 * CHOOSE(CONTROL!$C$9, $D$9, 100%, $F$9) + CHOOSE(CONTROL!$C$27, 0.0021, 0)</f>
        <v>42.532299999999999</v>
      </c>
      <c r="C335" s="10">
        <f>42.0979 * CHOOSE(CONTROL!$C$9, $D$9, 100%, $F$9) + CHOOSE(CONTROL!$C$27, 0.0021, 0)</f>
        <v>42.1</v>
      </c>
      <c r="D335" s="10">
        <f>42.0979 * CHOOSE(CONTROL!$C$9, $D$9, 100%, $F$9) + CHOOSE(CONTROL!$C$27, 0.0021, 0)</f>
        <v>42.1</v>
      </c>
      <c r="E335" s="10">
        <f>41.9613 * CHOOSE(CONTROL!$C$9, $D$9, 100%, $F$9) + CHOOSE(CONTROL!$C$27, 0.0021, 0)</f>
        <v>41.9634</v>
      </c>
      <c r="F335" s="10">
        <f>41.9613 * CHOOSE(CONTROL!$C$9, $D$9, 100%, $F$9) + CHOOSE(CONTROL!$C$27, 0.0021, 0)</f>
        <v>41.9634</v>
      </c>
      <c r="G335" s="10">
        <f>42.2326 * CHOOSE(CONTROL!$C$9, $D$9, 100%, $F$9) + CHOOSE(CONTROL!$C$27, 0.0021, 0)</f>
        <v>42.234699999999997</v>
      </c>
      <c r="H335" s="10">
        <f>42.0979 * CHOOSE(CONTROL!$C$9, $D$9, 100%, $F$9) + CHOOSE(CONTROL!$C$27, 0.0021, 0)</f>
        <v>42.1</v>
      </c>
      <c r="I335" s="10">
        <f>42.0979 * CHOOSE(CONTROL!$C$9, $D$9, 100%, $F$9) + CHOOSE(CONTROL!$C$27, 0.0021, 0)</f>
        <v>42.1</v>
      </c>
      <c r="J335" s="10">
        <f>42.0979 * CHOOSE(CONTROL!$C$9, $D$9, 100%, $F$9) + CHOOSE(CONTROL!$C$27, 0.0021, 0)</f>
        <v>42.1</v>
      </c>
      <c r="K335" s="10">
        <f>42.0979 * CHOOSE(CONTROL!$C$9, $D$9, 100%, $F$9) + CHOOSE(CONTROL!$C$27, 0.0021, 0)</f>
        <v>42.1</v>
      </c>
      <c r="L335" s="10"/>
    </row>
    <row r="336" spans="1:12" ht="15.75" x14ac:dyDescent="0.25">
      <c r="A336" s="14">
        <v>51532</v>
      </c>
      <c r="B336" s="10">
        <f>41.914 * CHOOSE(CONTROL!$C$9, $D$9, 100%, $F$9) + CHOOSE(CONTROL!$C$27, 0.0021, 0)</f>
        <v>41.9161</v>
      </c>
      <c r="C336" s="10">
        <f>41.4818 * CHOOSE(CONTROL!$C$9, $D$9, 100%, $F$9) + CHOOSE(CONTROL!$C$27, 0.0021, 0)</f>
        <v>41.483899999999998</v>
      </c>
      <c r="D336" s="10">
        <f>41.4818 * CHOOSE(CONTROL!$C$9, $D$9, 100%, $F$9) + CHOOSE(CONTROL!$C$27, 0.0021, 0)</f>
        <v>41.483899999999998</v>
      </c>
      <c r="E336" s="10">
        <f>41.3451 * CHOOSE(CONTROL!$C$9, $D$9, 100%, $F$9) + CHOOSE(CONTROL!$C$27, 0.0021, 0)</f>
        <v>41.347200000000001</v>
      </c>
      <c r="F336" s="10">
        <f>41.3451 * CHOOSE(CONTROL!$C$9, $D$9, 100%, $F$9) + CHOOSE(CONTROL!$C$27, 0.0021, 0)</f>
        <v>41.347200000000001</v>
      </c>
      <c r="G336" s="10">
        <f>41.6165 * CHOOSE(CONTROL!$C$9, $D$9, 100%, $F$9) + CHOOSE(CONTROL!$C$27, 0.0021, 0)</f>
        <v>41.618600000000001</v>
      </c>
      <c r="H336" s="10">
        <f>41.4818 * CHOOSE(CONTROL!$C$9, $D$9, 100%, $F$9) + CHOOSE(CONTROL!$C$27, 0.0021, 0)</f>
        <v>41.483899999999998</v>
      </c>
      <c r="I336" s="10">
        <f>41.4818 * CHOOSE(CONTROL!$C$9, $D$9, 100%, $F$9) + CHOOSE(CONTROL!$C$27, 0.0021, 0)</f>
        <v>41.483899999999998</v>
      </c>
      <c r="J336" s="10">
        <f>41.4818 * CHOOSE(CONTROL!$C$9, $D$9, 100%, $F$9) + CHOOSE(CONTROL!$C$27, 0.0021, 0)</f>
        <v>41.483899999999998</v>
      </c>
      <c r="K336" s="10">
        <f>41.4818 * CHOOSE(CONTROL!$C$9, $D$9, 100%, $F$9) + CHOOSE(CONTROL!$C$27, 0.0021, 0)</f>
        <v>41.483899999999998</v>
      </c>
      <c r="L336" s="10"/>
    </row>
    <row r="337" spans="1:12" ht="15.75" x14ac:dyDescent="0.25">
      <c r="A337" s="14">
        <v>51560</v>
      </c>
      <c r="B337" s="10">
        <f>40.7933 * CHOOSE(CONTROL!$C$9, $D$9, 100%, $F$9) + CHOOSE(CONTROL!$C$27, 0.0021, 0)</f>
        <v>40.795400000000001</v>
      </c>
      <c r="C337" s="10">
        <f>40.3611 * CHOOSE(CONTROL!$C$9, $D$9, 100%, $F$9) + CHOOSE(CONTROL!$C$27, 0.0021, 0)</f>
        <v>40.363199999999999</v>
      </c>
      <c r="D337" s="10">
        <f>40.3611 * CHOOSE(CONTROL!$C$9, $D$9, 100%, $F$9) + CHOOSE(CONTROL!$C$27, 0.0021, 0)</f>
        <v>40.363199999999999</v>
      </c>
      <c r="E337" s="10">
        <f>40.2244 * CHOOSE(CONTROL!$C$9, $D$9, 100%, $F$9) + CHOOSE(CONTROL!$C$27, 0.0021, 0)</f>
        <v>40.226500000000001</v>
      </c>
      <c r="F337" s="10">
        <f>40.2244 * CHOOSE(CONTROL!$C$9, $D$9, 100%, $F$9) + CHOOSE(CONTROL!$C$27, 0.0021, 0)</f>
        <v>40.226500000000001</v>
      </c>
      <c r="G337" s="10">
        <f>40.4958 * CHOOSE(CONTROL!$C$9, $D$9, 100%, $F$9) + CHOOSE(CONTROL!$C$27, 0.0021, 0)</f>
        <v>40.497900000000001</v>
      </c>
      <c r="H337" s="10">
        <f>40.3611 * CHOOSE(CONTROL!$C$9, $D$9, 100%, $F$9) + CHOOSE(CONTROL!$C$27, 0.0021, 0)</f>
        <v>40.363199999999999</v>
      </c>
      <c r="I337" s="10">
        <f>40.3611 * CHOOSE(CONTROL!$C$9, $D$9, 100%, $F$9) + CHOOSE(CONTROL!$C$27, 0.0021, 0)</f>
        <v>40.363199999999999</v>
      </c>
      <c r="J337" s="10">
        <f>40.3611 * CHOOSE(CONTROL!$C$9, $D$9, 100%, $F$9) + CHOOSE(CONTROL!$C$27, 0.0021, 0)</f>
        <v>40.363199999999999</v>
      </c>
      <c r="K337" s="10">
        <f>40.3611 * CHOOSE(CONTROL!$C$9, $D$9, 100%, $F$9) + CHOOSE(CONTROL!$C$27, 0.0021, 0)</f>
        <v>40.363199999999999</v>
      </c>
      <c r="L337" s="10"/>
    </row>
    <row r="338" spans="1:12" ht="15.75" x14ac:dyDescent="0.25">
      <c r="A338" s="14">
        <v>51591</v>
      </c>
      <c r="B338" s="10">
        <f>40.3307 * CHOOSE(CONTROL!$C$9, $D$9, 100%, $F$9) + CHOOSE(CONTROL!$C$27, 0.0021, 0)</f>
        <v>40.332799999999999</v>
      </c>
      <c r="C338" s="10">
        <f>39.8984 * CHOOSE(CONTROL!$C$9, $D$9, 100%, $F$9) + CHOOSE(CONTROL!$C$27, 0.0021, 0)</f>
        <v>39.900500000000001</v>
      </c>
      <c r="D338" s="10">
        <f>39.8984 * CHOOSE(CONTROL!$C$9, $D$9, 100%, $F$9) + CHOOSE(CONTROL!$C$27, 0.0021, 0)</f>
        <v>39.900500000000001</v>
      </c>
      <c r="E338" s="10">
        <f>39.7618 * CHOOSE(CONTROL!$C$9, $D$9, 100%, $F$9) + CHOOSE(CONTROL!$C$27, 0.0021, 0)</f>
        <v>39.7639</v>
      </c>
      <c r="F338" s="10">
        <f>39.7618 * CHOOSE(CONTROL!$C$9, $D$9, 100%, $F$9) + CHOOSE(CONTROL!$C$27, 0.0021, 0)</f>
        <v>39.7639</v>
      </c>
      <c r="G338" s="10">
        <f>40.0332 * CHOOSE(CONTROL!$C$9, $D$9, 100%, $F$9) + CHOOSE(CONTROL!$C$27, 0.0021, 0)</f>
        <v>40.035299999999999</v>
      </c>
      <c r="H338" s="10">
        <f>39.8984 * CHOOSE(CONTROL!$C$9, $D$9, 100%, $F$9) + CHOOSE(CONTROL!$C$27, 0.0021, 0)</f>
        <v>39.900500000000001</v>
      </c>
      <c r="I338" s="10">
        <f>39.8984 * CHOOSE(CONTROL!$C$9, $D$9, 100%, $F$9) + CHOOSE(CONTROL!$C$27, 0.0021, 0)</f>
        <v>39.900500000000001</v>
      </c>
      <c r="J338" s="10">
        <f>39.8984 * CHOOSE(CONTROL!$C$9, $D$9, 100%, $F$9) + CHOOSE(CONTROL!$C$27, 0.0021, 0)</f>
        <v>39.900500000000001</v>
      </c>
      <c r="K338" s="10">
        <f>39.8984 * CHOOSE(CONTROL!$C$9, $D$9, 100%, $F$9) + CHOOSE(CONTROL!$C$27, 0.0021, 0)</f>
        <v>39.900500000000001</v>
      </c>
      <c r="L338" s="10"/>
    </row>
    <row r="339" spans="1:12" ht="15.75" x14ac:dyDescent="0.25">
      <c r="A339" s="14">
        <v>51621</v>
      </c>
      <c r="B339" s="10">
        <f>39.7783 * CHOOSE(CONTROL!$C$9, $D$9, 100%, $F$9) + CHOOSE(CONTROL!$C$27, 0.0021, 0)</f>
        <v>39.7804</v>
      </c>
      <c r="C339" s="10">
        <f>39.346 * CHOOSE(CONTROL!$C$9, $D$9, 100%, $F$9) + CHOOSE(CONTROL!$C$27, 0.0021, 0)</f>
        <v>39.348099999999995</v>
      </c>
      <c r="D339" s="10">
        <f>39.346 * CHOOSE(CONTROL!$C$9, $D$9, 100%, $F$9) + CHOOSE(CONTROL!$C$27, 0.0021, 0)</f>
        <v>39.348099999999995</v>
      </c>
      <c r="E339" s="10">
        <f>39.2094 * CHOOSE(CONTROL!$C$9, $D$9, 100%, $F$9) + CHOOSE(CONTROL!$C$27, 0.0021, 0)</f>
        <v>39.211500000000001</v>
      </c>
      <c r="F339" s="10">
        <f>39.2094 * CHOOSE(CONTROL!$C$9, $D$9, 100%, $F$9) + CHOOSE(CONTROL!$C$27, 0.0021, 0)</f>
        <v>39.211500000000001</v>
      </c>
      <c r="G339" s="10">
        <f>39.4808 * CHOOSE(CONTROL!$C$9, $D$9, 100%, $F$9) + CHOOSE(CONTROL!$C$27, 0.0021, 0)</f>
        <v>39.482900000000001</v>
      </c>
      <c r="H339" s="10">
        <f>39.346 * CHOOSE(CONTROL!$C$9, $D$9, 100%, $F$9) + CHOOSE(CONTROL!$C$27, 0.0021, 0)</f>
        <v>39.348099999999995</v>
      </c>
      <c r="I339" s="10">
        <f>39.346 * CHOOSE(CONTROL!$C$9, $D$9, 100%, $F$9) + CHOOSE(CONTROL!$C$27, 0.0021, 0)</f>
        <v>39.348099999999995</v>
      </c>
      <c r="J339" s="10">
        <f>39.346 * CHOOSE(CONTROL!$C$9, $D$9, 100%, $F$9) + CHOOSE(CONTROL!$C$27, 0.0021, 0)</f>
        <v>39.348099999999995</v>
      </c>
      <c r="K339" s="10">
        <f>39.346 * CHOOSE(CONTROL!$C$9, $D$9, 100%, $F$9) + CHOOSE(CONTROL!$C$27, 0.0021, 0)</f>
        <v>39.348099999999995</v>
      </c>
      <c r="L339" s="10"/>
    </row>
    <row r="340" spans="1:12" ht="15.75" x14ac:dyDescent="0.25">
      <c r="A340" s="14">
        <v>51652</v>
      </c>
      <c r="B340" s="10">
        <f>40.5655 * CHOOSE(CONTROL!$C$9, $D$9, 100%, $F$9) + CHOOSE(CONTROL!$C$27, 0.0021, 0)</f>
        <v>40.567599999999999</v>
      </c>
      <c r="C340" s="10">
        <f>40.1333 * CHOOSE(CONTROL!$C$9, $D$9, 100%, $F$9) + CHOOSE(CONTROL!$C$27, 0.0021, 0)</f>
        <v>40.135399999999997</v>
      </c>
      <c r="D340" s="10">
        <f>40.1333 * CHOOSE(CONTROL!$C$9, $D$9, 100%, $F$9) + CHOOSE(CONTROL!$C$27, 0.0021, 0)</f>
        <v>40.135399999999997</v>
      </c>
      <c r="E340" s="10">
        <f>39.9966 * CHOOSE(CONTROL!$C$9, $D$9, 100%, $F$9) + CHOOSE(CONTROL!$C$27, 0.0021, 0)</f>
        <v>39.998699999999999</v>
      </c>
      <c r="F340" s="10">
        <f>39.9966 * CHOOSE(CONTROL!$C$9, $D$9, 100%, $F$9) + CHOOSE(CONTROL!$C$27, 0.0021, 0)</f>
        <v>39.998699999999999</v>
      </c>
      <c r="G340" s="10">
        <f>40.268 * CHOOSE(CONTROL!$C$9, $D$9, 100%, $F$9) + CHOOSE(CONTROL!$C$27, 0.0021, 0)</f>
        <v>40.270099999999999</v>
      </c>
      <c r="H340" s="10">
        <f>40.1333 * CHOOSE(CONTROL!$C$9, $D$9, 100%, $F$9) + CHOOSE(CONTROL!$C$27, 0.0021, 0)</f>
        <v>40.135399999999997</v>
      </c>
      <c r="I340" s="10">
        <f>40.1333 * CHOOSE(CONTROL!$C$9, $D$9, 100%, $F$9) + CHOOSE(CONTROL!$C$27, 0.0021, 0)</f>
        <v>40.135399999999997</v>
      </c>
      <c r="J340" s="10">
        <f>40.1333 * CHOOSE(CONTROL!$C$9, $D$9, 100%, $F$9) + CHOOSE(CONTROL!$C$27, 0.0021, 0)</f>
        <v>40.135399999999997</v>
      </c>
      <c r="K340" s="10">
        <f>40.1333 * CHOOSE(CONTROL!$C$9, $D$9, 100%, $F$9) + CHOOSE(CONTROL!$C$27, 0.0021, 0)</f>
        <v>40.135399999999997</v>
      </c>
      <c r="L340" s="10"/>
    </row>
    <row r="341" spans="1:12" ht="15.75" x14ac:dyDescent="0.25">
      <c r="A341" s="14">
        <v>51682</v>
      </c>
      <c r="B341" s="10">
        <f>41.037 * CHOOSE(CONTROL!$C$9, $D$9, 100%, $F$9) + CHOOSE(CONTROL!$C$27, 0.0021, 0)</f>
        <v>41.039099999999998</v>
      </c>
      <c r="C341" s="10">
        <f>40.6048 * CHOOSE(CONTROL!$C$9, $D$9, 100%, $F$9) + CHOOSE(CONTROL!$C$27, 0.0021, 0)</f>
        <v>40.606899999999996</v>
      </c>
      <c r="D341" s="10">
        <f>40.6048 * CHOOSE(CONTROL!$C$9, $D$9, 100%, $F$9) + CHOOSE(CONTROL!$C$27, 0.0021, 0)</f>
        <v>40.606899999999996</v>
      </c>
      <c r="E341" s="10">
        <f>40.4681 * CHOOSE(CONTROL!$C$9, $D$9, 100%, $F$9) + CHOOSE(CONTROL!$C$27, 0.0021, 0)</f>
        <v>40.470199999999998</v>
      </c>
      <c r="F341" s="10">
        <f>40.4681 * CHOOSE(CONTROL!$C$9, $D$9, 100%, $F$9) + CHOOSE(CONTROL!$C$27, 0.0021, 0)</f>
        <v>40.470199999999998</v>
      </c>
      <c r="G341" s="10">
        <f>40.7395 * CHOOSE(CONTROL!$C$9, $D$9, 100%, $F$9) + CHOOSE(CONTROL!$C$27, 0.0021, 0)</f>
        <v>40.741599999999998</v>
      </c>
      <c r="H341" s="10">
        <f>40.6048 * CHOOSE(CONTROL!$C$9, $D$9, 100%, $F$9) + CHOOSE(CONTROL!$C$27, 0.0021, 0)</f>
        <v>40.606899999999996</v>
      </c>
      <c r="I341" s="10">
        <f>40.6048 * CHOOSE(CONTROL!$C$9, $D$9, 100%, $F$9) + CHOOSE(CONTROL!$C$27, 0.0021, 0)</f>
        <v>40.606899999999996</v>
      </c>
      <c r="J341" s="10">
        <f>40.6048 * CHOOSE(CONTROL!$C$9, $D$9, 100%, $F$9) + CHOOSE(CONTROL!$C$27, 0.0021, 0)</f>
        <v>40.606899999999996</v>
      </c>
      <c r="K341" s="10">
        <f>40.6048 * CHOOSE(CONTROL!$C$9, $D$9, 100%, $F$9) + CHOOSE(CONTROL!$C$27, 0.0021, 0)</f>
        <v>40.606899999999996</v>
      </c>
      <c r="L341" s="10"/>
    </row>
    <row r="342" spans="1:12" ht="15.75" x14ac:dyDescent="0.25">
      <c r="A342" s="14">
        <v>51713</v>
      </c>
      <c r="B342" s="10">
        <f>41.8149 * CHOOSE(CONTROL!$C$9, $D$9, 100%, $F$9) + CHOOSE(CONTROL!$C$27, 0.0021, 0)</f>
        <v>41.817</v>
      </c>
      <c r="C342" s="10">
        <f>41.3826 * CHOOSE(CONTROL!$C$9, $D$9, 100%, $F$9) + CHOOSE(CONTROL!$C$27, 0.0021, 0)</f>
        <v>41.384699999999995</v>
      </c>
      <c r="D342" s="10">
        <f>41.3826 * CHOOSE(CONTROL!$C$9, $D$9, 100%, $F$9) + CHOOSE(CONTROL!$C$27, 0.0021, 0)</f>
        <v>41.384699999999995</v>
      </c>
      <c r="E342" s="10">
        <f>41.2459 * CHOOSE(CONTROL!$C$9, $D$9, 100%, $F$9) + CHOOSE(CONTROL!$C$27, 0.0021, 0)</f>
        <v>41.247999999999998</v>
      </c>
      <c r="F342" s="10">
        <f>41.2459 * CHOOSE(CONTROL!$C$9, $D$9, 100%, $F$9) + CHOOSE(CONTROL!$C$27, 0.0021, 0)</f>
        <v>41.247999999999998</v>
      </c>
      <c r="G342" s="10">
        <f>41.5173 * CHOOSE(CONTROL!$C$9, $D$9, 100%, $F$9) + CHOOSE(CONTROL!$C$27, 0.0021, 0)</f>
        <v>41.519399999999997</v>
      </c>
      <c r="H342" s="10">
        <f>41.3826 * CHOOSE(CONTROL!$C$9, $D$9, 100%, $F$9) + CHOOSE(CONTROL!$C$27, 0.0021, 0)</f>
        <v>41.384699999999995</v>
      </c>
      <c r="I342" s="10">
        <f>41.3826 * CHOOSE(CONTROL!$C$9, $D$9, 100%, $F$9) + CHOOSE(CONTROL!$C$27, 0.0021, 0)</f>
        <v>41.384699999999995</v>
      </c>
      <c r="J342" s="10">
        <f>41.3826 * CHOOSE(CONTROL!$C$9, $D$9, 100%, $F$9) + CHOOSE(CONTROL!$C$27, 0.0021, 0)</f>
        <v>41.384699999999995</v>
      </c>
      <c r="K342" s="10">
        <f>41.3826 * CHOOSE(CONTROL!$C$9, $D$9, 100%, $F$9) + CHOOSE(CONTROL!$C$27, 0.0021, 0)</f>
        <v>41.384699999999995</v>
      </c>
      <c r="L342" s="10"/>
    </row>
    <row r="343" spans="1:12" ht="15.75" x14ac:dyDescent="0.25">
      <c r="A343" s="14">
        <v>51744</v>
      </c>
      <c r="B343" s="10">
        <f>42.0523 * CHOOSE(CONTROL!$C$9, $D$9, 100%, $F$9) + CHOOSE(CONTROL!$C$27, 0.0021, 0)</f>
        <v>42.054400000000001</v>
      </c>
      <c r="C343" s="10">
        <f>41.62 * CHOOSE(CONTROL!$C$9, $D$9, 100%, $F$9) + CHOOSE(CONTROL!$C$27, 0.0021, 0)</f>
        <v>41.622099999999996</v>
      </c>
      <c r="D343" s="10">
        <f>41.62 * CHOOSE(CONTROL!$C$9, $D$9, 100%, $F$9) + CHOOSE(CONTROL!$C$27, 0.0021, 0)</f>
        <v>41.622099999999996</v>
      </c>
      <c r="E343" s="10">
        <f>41.4834 * CHOOSE(CONTROL!$C$9, $D$9, 100%, $F$9) + CHOOSE(CONTROL!$C$27, 0.0021, 0)</f>
        <v>41.485500000000002</v>
      </c>
      <c r="F343" s="10">
        <f>41.4834 * CHOOSE(CONTROL!$C$9, $D$9, 100%, $F$9) + CHOOSE(CONTROL!$C$27, 0.0021, 0)</f>
        <v>41.485500000000002</v>
      </c>
      <c r="G343" s="10">
        <f>41.7547 * CHOOSE(CONTROL!$C$9, $D$9, 100%, $F$9) + CHOOSE(CONTROL!$C$27, 0.0021, 0)</f>
        <v>41.756799999999998</v>
      </c>
      <c r="H343" s="10">
        <f>41.62 * CHOOSE(CONTROL!$C$9, $D$9, 100%, $F$9) + CHOOSE(CONTROL!$C$27, 0.0021, 0)</f>
        <v>41.622099999999996</v>
      </c>
      <c r="I343" s="10">
        <f>41.62 * CHOOSE(CONTROL!$C$9, $D$9, 100%, $F$9) + CHOOSE(CONTROL!$C$27, 0.0021, 0)</f>
        <v>41.622099999999996</v>
      </c>
      <c r="J343" s="10">
        <f>41.62 * CHOOSE(CONTROL!$C$9, $D$9, 100%, $F$9) + CHOOSE(CONTROL!$C$27, 0.0021, 0)</f>
        <v>41.622099999999996</v>
      </c>
      <c r="K343" s="10">
        <f>41.62 * CHOOSE(CONTROL!$C$9, $D$9, 100%, $F$9) + CHOOSE(CONTROL!$C$27, 0.0021, 0)</f>
        <v>41.622099999999996</v>
      </c>
      <c r="L343" s="10"/>
    </row>
    <row r="344" spans="1:12" ht="15.75" x14ac:dyDescent="0.25">
      <c r="A344" s="14">
        <v>51774</v>
      </c>
      <c r="B344" s="10">
        <f>42.8608 * CHOOSE(CONTROL!$C$9, $D$9, 100%, $F$9) + CHOOSE(CONTROL!$C$27, 0.0021, 0)</f>
        <v>42.862899999999996</v>
      </c>
      <c r="C344" s="10">
        <f>42.4285 * CHOOSE(CONTROL!$C$9, $D$9, 100%, $F$9) + CHOOSE(CONTROL!$C$27, 0.0021, 0)</f>
        <v>42.430599999999998</v>
      </c>
      <c r="D344" s="10">
        <f>42.4285 * CHOOSE(CONTROL!$C$9, $D$9, 100%, $F$9) + CHOOSE(CONTROL!$C$27, 0.0021, 0)</f>
        <v>42.430599999999998</v>
      </c>
      <c r="E344" s="10">
        <f>42.2919 * CHOOSE(CONTROL!$C$9, $D$9, 100%, $F$9) + CHOOSE(CONTROL!$C$27, 0.0021, 0)</f>
        <v>42.293999999999997</v>
      </c>
      <c r="F344" s="10">
        <f>42.2919 * CHOOSE(CONTROL!$C$9, $D$9, 100%, $F$9) + CHOOSE(CONTROL!$C$27, 0.0021, 0)</f>
        <v>42.293999999999997</v>
      </c>
      <c r="G344" s="10">
        <f>42.5633 * CHOOSE(CONTROL!$C$9, $D$9, 100%, $F$9) + CHOOSE(CONTROL!$C$27, 0.0021, 0)</f>
        <v>42.565399999999997</v>
      </c>
      <c r="H344" s="10">
        <f>42.4285 * CHOOSE(CONTROL!$C$9, $D$9, 100%, $F$9) + CHOOSE(CONTROL!$C$27, 0.0021, 0)</f>
        <v>42.430599999999998</v>
      </c>
      <c r="I344" s="10">
        <f>42.4285 * CHOOSE(CONTROL!$C$9, $D$9, 100%, $F$9) + CHOOSE(CONTROL!$C$27, 0.0021, 0)</f>
        <v>42.430599999999998</v>
      </c>
      <c r="J344" s="10">
        <f>42.4285 * CHOOSE(CONTROL!$C$9, $D$9, 100%, $F$9) + CHOOSE(CONTROL!$C$27, 0.0021, 0)</f>
        <v>42.430599999999998</v>
      </c>
      <c r="K344" s="10">
        <f>42.4285 * CHOOSE(CONTROL!$C$9, $D$9, 100%, $F$9) + CHOOSE(CONTROL!$C$27, 0.0021, 0)</f>
        <v>42.430599999999998</v>
      </c>
      <c r="L344" s="10"/>
    </row>
    <row r="345" spans="1:12" ht="15.75" x14ac:dyDescent="0.25">
      <c r="A345" s="14">
        <v>51805</v>
      </c>
      <c r="B345" s="10">
        <f>43.8842 * CHOOSE(CONTROL!$C$9, $D$9, 100%, $F$9) + CHOOSE(CONTROL!$C$27, 0.0021, 0)</f>
        <v>43.886299999999999</v>
      </c>
      <c r="C345" s="10">
        <f>43.452 * CHOOSE(CONTROL!$C$9, $D$9, 100%, $F$9) + CHOOSE(CONTROL!$C$27, 0.0021, 0)</f>
        <v>43.454099999999997</v>
      </c>
      <c r="D345" s="10">
        <f>43.452 * CHOOSE(CONTROL!$C$9, $D$9, 100%, $F$9) + CHOOSE(CONTROL!$C$27, 0.0021, 0)</f>
        <v>43.454099999999997</v>
      </c>
      <c r="E345" s="10">
        <f>43.3153 * CHOOSE(CONTROL!$C$9, $D$9, 100%, $F$9) + CHOOSE(CONTROL!$C$27, 0.0021, 0)</f>
        <v>43.317399999999999</v>
      </c>
      <c r="F345" s="10">
        <f>43.3153 * CHOOSE(CONTROL!$C$9, $D$9, 100%, $F$9) + CHOOSE(CONTROL!$C$27, 0.0021, 0)</f>
        <v>43.317399999999999</v>
      </c>
      <c r="G345" s="10">
        <f>43.5867 * CHOOSE(CONTROL!$C$9, $D$9, 100%, $F$9) + CHOOSE(CONTROL!$C$27, 0.0021, 0)</f>
        <v>43.588799999999999</v>
      </c>
      <c r="H345" s="10">
        <f>43.452 * CHOOSE(CONTROL!$C$9, $D$9, 100%, $F$9) + CHOOSE(CONTROL!$C$27, 0.0021, 0)</f>
        <v>43.454099999999997</v>
      </c>
      <c r="I345" s="10">
        <f>43.452 * CHOOSE(CONTROL!$C$9, $D$9, 100%, $F$9) + CHOOSE(CONTROL!$C$27, 0.0021, 0)</f>
        <v>43.454099999999997</v>
      </c>
      <c r="J345" s="10">
        <f>43.452 * CHOOSE(CONTROL!$C$9, $D$9, 100%, $F$9) + CHOOSE(CONTROL!$C$27, 0.0021, 0)</f>
        <v>43.454099999999997</v>
      </c>
      <c r="K345" s="10">
        <f>43.452 * CHOOSE(CONTROL!$C$9, $D$9, 100%, $F$9) + CHOOSE(CONTROL!$C$27, 0.0021, 0)</f>
        <v>43.454099999999997</v>
      </c>
      <c r="L345" s="10"/>
    </row>
    <row r="346" spans="1:12" ht="15.75" x14ac:dyDescent="0.25">
      <c r="A346" s="14">
        <v>51835</v>
      </c>
      <c r="B346" s="10">
        <f>43.9803 * CHOOSE(CONTROL!$C$9, $D$9, 100%, $F$9) + CHOOSE(CONTROL!$C$27, 0.0021, 0)</f>
        <v>43.982399999999998</v>
      </c>
      <c r="C346" s="10">
        <f>43.5481 * CHOOSE(CONTROL!$C$9, $D$9, 100%, $F$9) + CHOOSE(CONTROL!$C$27, 0.0021, 0)</f>
        <v>43.550199999999997</v>
      </c>
      <c r="D346" s="10">
        <f>43.5481 * CHOOSE(CONTROL!$C$9, $D$9, 100%, $F$9) + CHOOSE(CONTROL!$C$27, 0.0021, 0)</f>
        <v>43.550199999999997</v>
      </c>
      <c r="E346" s="10">
        <f>43.4114 * CHOOSE(CONTROL!$C$9, $D$9, 100%, $F$9) + CHOOSE(CONTROL!$C$27, 0.0021, 0)</f>
        <v>43.413499999999999</v>
      </c>
      <c r="F346" s="10">
        <f>43.4114 * CHOOSE(CONTROL!$C$9, $D$9, 100%, $F$9) + CHOOSE(CONTROL!$C$27, 0.0021, 0)</f>
        <v>43.413499999999999</v>
      </c>
      <c r="G346" s="10">
        <f>43.6828 * CHOOSE(CONTROL!$C$9, $D$9, 100%, $F$9) + CHOOSE(CONTROL!$C$27, 0.0021, 0)</f>
        <v>43.684899999999999</v>
      </c>
      <c r="H346" s="10">
        <f>43.5481 * CHOOSE(CONTROL!$C$9, $D$9, 100%, $F$9) + CHOOSE(CONTROL!$C$27, 0.0021, 0)</f>
        <v>43.550199999999997</v>
      </c>
      <c r="I346" s="10">
        <f>43.5481 * CHOOSE(CONTROL!$C$9, $D$9, 100%, $F$9) + CHOOSE(CONTROL!$C$27, 0.0021, 0)</f>
        <v>43.550199999999997</v>
      </c>
      <c r="J346" s="10">
        <f>43.5481 * CHOOSE(CONTROL!$C$9, $D$9, 100%, $F$9) + CHOOSE(CONTROL!$C$27, 0.0021, 0)</f>
        <v>43.550199999999997</v>
      </c>
      <c r="K346" s="10">
        <f>43.5481 * CHOOSE(CONTROL!$C$9, $D$9, 100%, $F$9) + CHOOSE(CONTROL!$C$27, 0.0021, 0)</f>
        <v>43.550199999999997</v>
      </c>
      <c r="L346" s="10"/>
    </row>
    <row r="347" spans="1:12" ht="15.75" x14ac:dyDescent="0.25">
      <c r="A347" s="14">
        <v>51866</v>
      </c>
      <c r="B347" s="10">
        <f>43.1629 * CHOOSE(CONTROL!$C$9, $D$9, 100%, $F$9) + CHOOSE(CONTROL!$C$27, 0.0021, 0)</f>
        <v>43.164999999999999</v>
      </c>
      <c r="C347" s="10">
        <f>42.7307 * CHOOSE(CONTROL!$C$9, $D$9, 100%, $F$9) + CHOOSE(CONTROL!$C$27, 0.0021, 0)</f>
        <v>42.732799999999997</v>
      </c>
      <c r="D347" s="10">
        <f>42.7307 * CHOOSE(CONTROL!$C$9, $D$9, 100%, $F$9) + CHOOSE(CONTROL!$C$27, 0.0021, 0)</f>
        <v>42.732799999999997</v>
      </c>
      <c r="E347" s="10">
        <f>42.594 * CHOOSE(CONTROL!$C$9, $D$9, 100%, $F$9) + CHOOSE(CONTROL!$C$27, 0.0021, 0)</f>
        <v>42.5961</v>
      </c>
      <c r="F347" s="10">
        <f>42.594 * CHOOSE(CONTROL!$C$9, $D$9, 100%, $F$9) + CHOOSE(CONTROL!$C$27, 0.0021, 0)</f>
        <v>42.5961</v>
      </c>
      <c r="G347" s="10">
        <f>42.8654 * CHOOSE(CONTROL!$C$9, $D$9, 100%, $F$9) + CHOOSE(CONTROL!$C$27, 0.0021, 0)</f>
        <v>42.8675</v>
      </c>
      <c r="H347" s="10">
        <f>42.7307 * CHOOSE(CONTROL!$C$9, $D$9, 100%, $F$9) + CHOOSE(CONTROL!$C$27, 0.0021, 0)</f>
        <v>42.732799999999997</v>
      </c>
      <c r="I347" s="10">
        <f>42.7307 * CHOOSE(CONTROL!$C$9, $D$9, 100%, $F$9) + CHOOSE(CONTROL!$C$27, 0.0021, 0)</f>
        <v>42.732799999999997</v>
      </c>
      <c r="J347" s="10">
        <f>42.7307 * CHOOSE(CONTROL!$C$9, $D$9, 100%, $F$9) + CHOOSE(CONTROL!$C$27, 0.0021, 0)</f>
        <v>42.732799999999997</v>
      </c>
      <c r="K347" s="10">
        <f>42.7307 * CHOOSE(CONTROL!$C$9, $D$9, 100%, $F$9) + CHOOSE(CONTROL!$C$27, 0.0021, 0)</f>
        <v>42.732799999999997</v>
      </c>
      <c r="L347" s="10"/>
    </row>
    <row r="348" spans="1:12" ht="15.75" x14ac:dyDescent="0.25">
      <c r="A348" s="14">
        <v>51897</v>
      </c>
      <c r="B348" s="10">
        <f>42.5371 * CHOOSE(CONTROL!$C$9, $D$9, 100%, $F$9) + CHOOSE(CONTROL!$C$27, 0.0021, 0)</f>
        <v>42.539200000000001</v>
      </c>
      <c r="C348" s="10">
        <f>42.1048 * CHOOSE(CONTROL!$C$9, $D$9, 100%, $F$9) + CHOOSE(CONTROL!$C$27, 0.0021, 0)</f>
        <v>42.106899999999996</v>
      </c>
      <c r="D348" s="10">
        <f>42.1048 * CHOOSE(CONTROL!$C$9, $D$9, 100%, $F$9) + CHOOSE(CONTROL!$C$27, 0.0021, 0)</f>
        <v>42.106899999999996</v>
      </c>
      <c r="E348" s="10">
        <f>41.9682 * CHOOSE(CONTROL!$C$9, $D$9, 100%, $F$9) + CHOOSE(CONTROL!$C$27, 0.0021, 0)</f>
        <v>41.970300000000002</v>
      </c>
      <c r="F348" s="10">
        <f>41.9682 * CHOOSE(CONTROL!$C$9, $D$9, 100%, $F$9) + CHOOSE(CONTROL!$C$27, 0.0021, 0)</f>
        <v>41.970300000000002</v>
      </c>
      <c r="G348" s="10">
        <f>42.2395 * CHOOSE(CONTROL!$C$9, $D$9, 100%, $F$9) + CHOOSE(CONTROL!$C$27, 0.0021, 0)</f>
        <v>42.241599999999998</v>
      </c>
      <c r="H348" s="10">
        <f>42.1048 * CHOOSE(CONTROL!$C$9, $D$9, 100%, $F$9) + CHOOSE(CONTROL!$C$27, 0.0021, 0)</f>
        <v>42.106899999999996</v>
      </c>
      <c r="I348" s="10">
        <f>42.1048 * CHOOSE(CONTROL!$C$9, $D$9, 100%, $F$9) + CHOOSE(CONTROL!$C$27, 0.0021, 0)</f>
        <v>42.106899999999996</v>
      </c>
      <c r="J348" s="10">
        <f>42.1048 * CHOOSE(CONTROL!$C$9, $D$9, 100%, $F$9) + CHOOSE(CONTROL!$C$27, 0.0021, 0)</f>
        <v>42.106899999999996</v>
      </c>
      <c r="K348" s="10">
        <f>42.1048 * CHOOSE(CONTROL!$C$9, $D$9, 100%, $F$9) + CHOOSE(CONTROL!$C$27, 0.0021, 0)</f>
        <v>42.106899999999996</v>
      </c>
      <c r="L348" s="10"/>
    </row>
    <row r="349" spans="1:12" ht="15.75" x14ac:dyDescent="0.25">
      <c r="A349" s="14">
        <v>51925</v>
      </c>
      <c r="B349" s="10">
        <f>41.3987 * CHOOSE(CONTROL!$C$9, $D$9, 100%, $F$9) + CHOOSE(CONTROL!$C$27, 0.0021, 0)</f>
        <v>41.400799999999997</v>
      </c>
      <c r="C349" s="10">
        <f>40.9665 * CHOOSE(CONTROL!$C$9, $D$9, 100%, $F$9) + CHOOSE(CONTROL!$C$27, 0.0021, 0)</f>
        <v>40.968600000000002</v>
      </c>
      <c r="D349" s="10">
        <f>40.9665 * CHOOSE(CONTROL!$C$9, $D$9, 100%, $F$9) + CHOOSE(CONTROL!$C$27, 0.0021, 0)</f>
        <v>40.968600000000002</v>
      </c>
      <c r="E349" s="10">
        <f>40.8298 * CHOOSE(CONTROL!$C$9, $D$9, 100%, $F$9) + CHOOSE(CONTROL!$C$27, 0.0021, 0)</f>
        <v>40.831899999999997</v>
      </c>
      <c r="F349" s="10">
        <f>40.8298 * CHOOSE(CONTROL!$C$9, $D$9, 100%, $F$9) + CHOOSE(CONTROL!$C$27, 0.0021, 0)</f>
        <v>40.831899999999997</v>
      </c>
      <c r="G349" s="10">
        <f>41.1012 * CHOOSE(CONTROL!$C$9, $D$9, 100%, $F$9) + CHOOSE(CONTROL!$C$27, 0.0021, 0)</f>
        <v>41.103299999999997</v>
      </c>
      <c r="H349" s="10">
        <f>40.9665 * CHOOSE(CONTROL!$C$9, $D$9, 100%, $F$9) + CHOOSE(CONTROL!$C$27, 0.0021, 0)</f>
        <v>40.968600000000002</v>
      </c>
      <c r="I349" s="10">
        <f>40.9665 * CHOOSE(CONTROL!$C$9, $D$9, 100%, $F$9) + CHOOSE(CONTROL!$C$27, 0.0021, 0)</f>
        <v>40.968600000000002</v>
      </c>
      <c r="J349" s="10">
        <f>40.9665 * CHOOSE(CONTROL!$C$9, $D$9, 100%, $F$9) + CHOOSE(CONTROL!$C$27, 0.0021, 0)</f>
        <v>40.968600000000002</v>
      </c>
      <c r="K349" s="10">
        <f>40.9665 * CHOOSE(CONTROL!$C$9, $D$9, 100%, $F$9) + CHOOSE(CONTROL!$C$27, 0.0021, 0)</f>
        <v>40.968600000000002</v>
      </c>
      <c r="L349" s="10"/>
    </row>
    <row r="350" spans="1:12" ht="15.75" x14ac:dyDescent="0.25">
      <c r="A350" s="14">
        <v>51956</v>
      </c>
      <c r="B350" s="10">
        <f>40.9288 * CHOOSE(CONTROL!$C$9, $D$9, 100%, $F$9) + CHOOSE(CONTROL!$C$27, 0.0021, 0)</f>
        <v>40.930900000000001</v>
      </c>
      <c r="C350" s="10">
        <f>40.4966 * CHOOSE(CONTROL!$C$9, $D$9, 100%, $F$9) + CHOOSE(CONTROL!$C$27, 0.0021, 0)</f>
        <v>40.498699999999999</v>
      </c>
      <c r="D350" s="10">
        <f>40.4966 * CHOOSE(CONTROL!$C$9, $D$9, 100%, $F$9) + CHOOSE(CONTROL!$C$27, 0.0021, 0)</f>
        <v>40.498699999999999</v>
      </c>
      <c r="E350" s="10">
        <f>40.3599 * CHOOSE(CONTROL!$C$9, $D$9, 100%, $F$9) + CHOOSE(CONTROL!$C$27, 0.0021, 0)</f>
        <v>40.362000000000002</v>
      </c>
      <c r="F350" s="10">
        <f>40.3599 * CHOOSE(CONTROL!$C$9, $D$9, 100%, $F$9) + CHOOSE(CONTROL!$C$27, 0.0021, 0)</f>
        <v>40.362000000000002</v>
      </c>
      <c r="G350" s="10">
        <f>40.6313 * CHOOSE(CONTROL!$C$9, $D$9, 100%, $F$9) + CHOOSE(CONTROL!$C$27, 0.0021, 0)</f>
        <v>40.633400000000002</v>
      </c>
      <c r="H350" s="10">
        <f>40.4966 * CHOOSE(CONTROL!$C$9, $D$9, 100%, $F$9) + CHOOSE(CONTROL!$C$27, 0.0021, 0)</f>
        <v>40.498699999999999</v>
      </c>
      <c r="I350" s="10">
        <f>40.4966 * CHOOSE(CONTROL!$C$9, $D$9, 100%, $F$9) + CHOOSE(CONTROL!$C$27, 0.0021, 0)</f>
        <v>40.498699999999999</v>
      </c>
      <c r="J350" s="10">
        <f>40.4966 * CHOOSE(CONTROL!$C$9, $D$9, 100%, $F$9) + CHOOSE(CONTROL!$C$27, 0.0021, 0)</f>
        <v>40.498699999999999</v>
      </c>
      <c r="K350" s="10">
        <f>40.4966 * CHOOSE(CONTROL!$C$9, $D$9, 100%, $F$9) + CHOOSE(CONTROL!$C$27, 0.0021, 0)</f>
        <v>40.498699999999999</v>
      </c>
      <c r="L350" s="10"/>
    </row>
    <row r="351" spans="1:12" ht="15.75" x14ac:dyDescent="0.25">
      <c r="A351" s="14">
        <v>51986</v>
      </c>
      <c r="B351" s="10">
        <f>40.3678 * CHOOSE(CONTROL!$C$9, $D$9, 100%, $F$9) + CHOOSE(CONTROL!$C$27, 0.0021, 0)</f>
        <v>40.369900000000001</v>
      </c>
      <c r="C351" s="10">
        <f>39.9355 * CHOOSE(CONTROL!$C$9, $D$9, 100%, $F$9) + CHOOSE(CONTROL!$C$27, 0.0021, 0)</f>
        <v>39.937599999999996</v>
      </c>
      <c r="D351" s="10">
        <f>39.9355 * CHOOSE(CONTROL!$C$9, $D$9, 100%, $F$9) + CHOOSE(CONTROL!$C$27, 0.0021, 0)</f>
        <v>39.937599999999996</v>
      </c>
      <c r="E351" s="10">
        <f>39.7989 * CHOOSE(CONTROL!$C$9, $D$9, 100%, $F$9) + CHOOSE(CONTROL!$C$27, 0.0021, 0)</f>
        <v>39.801000000000002</v>
      </c>
      <c r="F351" s="10">
        <f>39.7989 * CHOOSE(CONTROL!$C$9, $D$9, 100%, $F$9) + CHOOSE(CONTROL!$C$27, 0.0021, 0)</f>
        <v>39.801000000000002</v>
      </c>
      <c r="G351" s="10">
        <f>40.0702 * CHOOSE(CONTROL!$C$9, $D$9, 100%, $F$9) + CHOOSE(CONTROL!$C$27, 0.0021, 0)</f>
        <v>40.072299999999998</v>
      </c>
      <c r="H351" s="10">
        <f>39.9355 * CHOOSE(CONTROL!$C$9, $D$9, 100%, $F$9) + CHOOSE(CONTROL!$C$27, 0.0021, 0)</f>
        <v>39.937599999999996</v>
      </c>
      <c r="I351" s="10">
        <f>39.9355 * CHOOSE(CONTROL!$C$9, $D$9, 100%, $F$9) + CHOOSE(CONTROL!$C$27, 0.0021, 0)</f>
        <v>39.937599999999996</v>
      </c>
      <c r="J351" s="10">
        <f>39.9355 * CHOOSE(CONTROL!$C$9, $D$9, 100%, $F$9) + CHOOSE(CONTROL!$C$27, 0.0021, 0)</f>
        <v>39.937599999999996</v>
      </c>
      <c r="K351" s="10">
        <f>39.9355 * CHOOSE(CONTROL!$C$9, $D$9, 100%, $F$9) + CHOOSE(CONTROL!$C$27, 0.0021, 0)</f>
        <v>39.937599999999996</v>
      </c>
      <c r="L351" s="10"/>
    </row>
    <row r="352" spans="1:12" ht="15.75" x14ac:dyDescent="0.25">
      <c r="A352" s="14">
        <v>52017</v>
      </c>
      <c r="B352" s="10">
        <f>41.1674 * CHOOSE(CONTROL!$C$9, $D$9, 100%, $F$9) + CHOOSE(CONTROL!$C$27, 0.0021, 0)</f>
        <v>41.169499999999999</v>
      </c>
      <c r="C352" s="10">
        <f>40.7351 * CHOOSE(CONTROL!$C$9, $D$9, 100%, $F$9) + CHOOSE(CONTROL!$C$27, 0.0021, 0)</f>
        <v>40.737200000000001</v>
      </c>
      <c r="D352" s="10">
        <f>40.7351 * CHOOSE(CONTROL!$C$9, $D$9, 100%, $F$9) + CHOOSE(CONTROL!$C$27, 0.0021, 0)</f>
        <v>40.737200000000001</v>
      </c>
      <c r="E352" s="10">
        <f>40.5985 * CHOOSE(CONTROL!$C$9, $D$9, 100%, $F$9) + CHOOSE(CONTROL!$C$27, 0.0021, 0)</f>
        <v>40.6006</v>
      </c>
      <c r="F352" s="10">
        <f>40.5985 * CHOOSE(CONTROL!$C$9, $D$9, 100%, $F$9) + CHOOSE(CONTROL!$C$27, 0.0021, 0)</f>
        <v>40.6006</v>
      </c>
      <c r="G352" s="10">
        <f>40.8698 * CHOOSE(CONTROL!$C$9, $D$9, 100%, $F$9) + CHOOSE(CONTROL!$C$27, 0.0021, 0)</f>
        <v>40.871899999999997</v>
      </c>
      <c r="H352" s="10">
        <f>40.7351 * CHOOSE(CONTROL!$C$9, $D$9, 100%, $F$9) + CHOOSE(CONTROL!$C$27, 0.0021, 0)</f>
        <v>40.737200000000001</v>
      </c>
      <c r="I352" s="10">
        <f>40.7351 * CHOOSE(CONTROL!$C$9, $D$9, 100%, $F$9) + CHOOSE(CONTROL!$C$27, 0.0021, 0)</f>
        <v>40.737200000000001</v>
      </c>
      <c r="J352" s="10">
        <f>40.7351 * CHOOSE(CONTROL!$C$9, $D$9, 100%, $F$9) + CHOOSE(CONTROL!$C$27, 0.0021, 0)</f>
        <v>40.737200000000001</v>
      </c>
      <c r="K352" s="10">
        <f>40.7351 * CHOOSE(CONTROL!$C$9, $D$9, 100%, $F$9) + CHOOSE(CONTROL!$C$27, 0.0021, 0)</f>
        <v>40.737200000000001</v>
      </c>
      <c r="L352" s="10"/>
    </row>
    <row r="353" spans="1:12" ht="15.75" x14ac:dyDescent="0.25">
      <c r="A353" s="14">
        <v>52047</v>
      </c>
      <c r="B353" s="10">
        <f>41.6463 * CHOOSE(CONTROL!$C$9, $D$9, 100%, $F$9) + CHOOSE(CONTROL!$C$27, 0.0021, 0)</f>
        <v>41.648399999999995</v>
      </c>
      <c r="C353" s="10">
        <f>41.214 * CHOOSE(CONTROL!$C$9, $D$9, 100%, $F$9) + CHOOSE(CONTROL!$C$27, 0.0021, 0)</f>
        <v>41.216099999999997</v>
      </c>
      <c r="D353" s="10">
        <f>41.214 * CHOOSE(CONTROL!$C$9, $D$9, 100%, $F$9) + CHOOSE(CONTROL!$C$27, 0.0021, 0)</f>
        <v>41.216099999999997</v>
      </c>
      <c r="E353" s="10">
        <f>41.0774 * CHOOSE(CONTROL!$C$9, $D$9, 100%, $F$9) + CHOOSE(CONTROL!$C$27, 0.0021, 0)</f>
        <v>41.079499999999996</v>
      </c>
      <c r="F353" s="10">
        <f>41.0774 * CHOOSE(CONTROL!$C$9, $D$9, 100%, $F$9) + CHOOSE(CONTROL!$C$27, 0.0021, 0)</f>
        <v>41.079499999999996</v>
      </c>
      <c r="G353" s="10">
        <f>41.3488 * CHOOSE(CONTROL!$C$9, $D$9, 100%, $F$9) + CHOOSE(CONTROL!$C$27, 0.0021, 0)</f>
        <v>41.350899999999996</v>
      </c>
      <c r="H353" s="10">
        <f>41.214 * CHOOSE(CONTROL!$C$9, $D$9, 100%, $F$9) + CHOOSE(CONTROL!$C$27, 0.0021, 0)</f>
        <v>41.216099999999997</v>
      </c>
      <c r="I353" s="10">
        <f>41.214 * CHOOSE(CONTROL!$C$9, $D$9, 100%, $F$9) + CHOOSE(CONTROL!$C$27, 0.0021, 0)</f>
        <v>41.216099999999997</v>
      </c>
      <c r="J353" s="10">
        <f>41.214 * CHOOSE(CONTROL!$C$9, $D$9, 100%, $F$9) + CHOOSE(CONTROL!$C$27, 0.0021, 0)</f>
        <v>41.216099999999997</v>
      </c>
      <c r="K353" s="10">
        <f>41.214 * CHOOSE(CONTROL!$C$9, $D$9, 100%, $F$9) + CHOOSE(CONTROL!$C$27, 0.0021, 0)</f>
        <v>41.216099999999997</v>
      </c>
      <c r="L353" s="10"/>
    </row>
    <row r="354" spans="1:12" ht="15.75" x14ac:dyDescent="0.25">
      <c r="A354" s="14">
        <v>52078</v>
      </c>
      <c r="B354" s="10">
        <f>42.4363 * CHOOSE(CONTROL!$C$9, $D$9, 100%, $F$9) + CHOOSE(CONTROL!$C$27, 0.0021, 0)</f>
        <v>42.438400000000001</v>
      </c>
      <c r="C354" s="10">
        <f>42.0041 * CHOOSE(CONTROL!$C$9, $D$9, 100%, $F$9) + CHOOSE(CONTROL!$C$27, 0.0021, 0)</f>
        <v>42.0062</v>
      </c>
      <c r="D354" s="10">
        <f>42.0041 * CHOOSE(CONTROL!$C$9, $D$9, 100%, $F$9) + CHOOSE(CONTROL!$C$27, 0.0021, 0)</f>
        <v>42.0062</v>
      </c>
      <c r="E354" s="10">
        <f>41.8674 * CHOOSE(CONTROL!$C$9, $D$9, 100%, $F$9) + CHOOSE(CONTROL!$C$27, 0.0021, 0)</f>
        <v>41.869500000000002</v>
      </c>
      <c r="F354" s="10">
        <f>41.8674 * CHOOSE(CONTROL!$C$9, $D$9, 100%, $F$9) + CHOOSE(CONTROL!$C$27, 0.0021, 0)</f>
        <v>41.869500000000002</v>
      </c>
      <c r="G354" s="10">
        <f>42.1388 * CHOOSE(CONTROL!$C$9, $D$9, 100%, $F$9) + CHOOSE(CONTROL!$C$27, 0.0021, 0)</f>
        <v>42.140900000000002</v>
      </c>
      <c r="H354" s="10">
        <f>42.0041 * CHOOSE(CONTROL!$C$9, $D$9, 100%, $F$9) + CHOOSE(CONTROL!$C$27, 0.0021, 0)</f>
        <v>42.0062</v>
      </c>
      <c r="I354" s="10">
        <f>42.0041 * CHOOSE(CONTROL!$C$9, $D$9, 100%, $F$9) + CHOOSE(CONTROL!$C$27, 0.0021, 0)</f>
        <v>42.0062</v>
      </c>
      <c r="J354" s="10">
        <f>42.0041 * CHOOSE(CONTROL!$C$9, $D$9, 100%, $F$9) + CHOOSE(CONTROL!$C$27, 0.0021, 0)</f>
        <v>42.0062</v>
      </c>
      <c r="K354" s="10">
        <f>42.0041 * CHOOSE(CONTROL!$C$9, $D$9, 100%, $F$9) + CHOOSE(CONTROL!$C$27, 0.0021, 0)</f>
        <v>42.0062</v>
      </c>
      <c r="L354" s="10"/>
    </row>
    <row r="355" spans="1:12" ht="15.75" x14ac:dyDescent="0.25">
      <c r="A355" s="14">
        <v>52109</v>
      </c>
      <c r="B355" s="10">
        <f>42.6775 * CHOOSE(CONTROL!$C$9, $D$9, 100%, $F$9) + CHOOSE(CONTROL!$C$27, 0.0021, 0)</f>
        <v>42.679600000000001</v>
      </c>
      <c r="C355" s="10">
        <f>42.2452 * CHOOSE(CONTROL!$C$9, $D$9, 100%, $F$9) + CHOOSE(CONTROL!$C$27, 0.0021, 0)</f>
        <v>42.247299999999996</v>
      </c>
      <c r="D355" s="10">
        <f>42.2452 * CHOOSE(CONTROL!$C$9, $D$9, 100%, $F$9) + CHOOSE(CONTROL!$C$27, 0.0021, 0)</f>
        <v>42.247299999999996</v>
      </c>
      <c r="E355" s="10">
        <f>42.1086 * CHOOSE(CONTROL!$C$9, $D$9, 100%, $F$9) + CHOOSE(CONTROL!$C$27, 0.0021, 0)</f>
        <v>42.110700000000001</v>
      </c>
      <c r="F355" s="10">
        <f>42.1086 * CHOOSE(CONTROL!$C$9, $D$9, 100%, $F$9) + CHOOSE(CONTROL!$C$27, 0.0021, 0)</f>
        <v>42.110700000000001</v>
      </c>
      <c r="G355" s="10">
        <f>42.38 * CHOOSE(CONTROL!$C$9, $D$9, 100%, $F$9) + CHOOSE(CONTROL!$C$27, 0.0021, 0)</f>
        <v>42.382100000000001</v>
      </c>
      <c r="H355" s="10">
        <f>42.2452 * CHOOSE(CONTROL!$C$9, $D$9, 100%, $F$9) + CHOOSE(CONTROL!$C$27, 0.0021, 0)</f>
        <v>42.247299999999996</v>
      </c>
      <c r="I355" s="10">
        <f>42.2452 * CHOOSE(CONTROL!$C$9, $D$9, 100%, $F$9) + CHOOSE(CONTROL!$C$27, 0.0021, 0)</f>
        <v>42.247299999999996</v>
      </c>
      <c r="J355" s="10">
        <f>42.2452 * CHOOSE(CONTROL!$C$9, $D$9, 100%, $F$9) + CHOOSE(CONTROL!$C$27, 0.0021, 0)</f>
        <v>42.247299999999996</v>
      </c>
      <c r="K355" s="10">
        <f>42.2452 * CHOOSE(CONTROL!$C$9, $D$9, 100%, $F$9) + CHOOSE(CONTROL!$C$27, 0.0021, 0)</f>
        <v>42.247299999999996</v>
      </c>
      <c r="L355" s="10"/>
    </row>
    <row r="356" spans="1:12" ht="15.75" x14ac:dyDescent="0.25">
      <c r="A356" s="14">
        <v>52139</v>
      </c>
      <c r="B356" s="10">
        <f>43.4987 * CHOOSE(CONTROL!$C$9, $D$9, 100%, $F$9) + CHOOSE(CONTROL!$C$27, 0.0021, 0)</f>
        <v>43.500799999999998</v>
      </c>
      <c r="C356" s="10">
        <f>43.0665 * CHOOSE(CONTROL!$C$9, $D$9, 100%, $F$9) + CHOOSE(CONTROL!$C$27, 0.0021, 0)</f>
        <v>43.068599999999996</v>
      </c>
      <c r="D356" s="10">
        <f>43.0665 * CHOOSE(CONTROL!$C$9, $D$9, 100%, $F$9) + CHOOSE(CONTROL!$C$27, 0.0021, 0)</f>
        <v>43.068599999999996</v>
      </c>
      <c r="E356" s="10">
        <f>42.9298 * CHOOSE(CONTROL!$C$9, $D$9, 100%, $F$9) + CHOOSE(CONTROL!$C$27, 0.0021, 0)</f>
        <v>42.931899999999999</v>
      </c>
      <c r="F356" s="10">
        <f>42.9298 * CHOOSE(CONTROL!$C$9, $D$9, 100%, $F$9) + CHOOSE(CONTROL!$C$27, 0.0021, 0)</f>
        <v>42.931899999999999</v>
      </c>
      <c r="G356" s="10">
        <f>43.2012 * CHOOSE(CONTROL!$C$9, $D$9, 100%, $F$9) + CHOOSE(CONTROL!$C$27, 0.0021, 0)</f>
        <v>43.203299999999999</v>
      </c>
      <c r="H356" s="10">
        <f>43.0665 * CHOOSE(CONTROL!$C$9, $D$9, 100%, $F$9) + CHOOSE(CONTROL!$C$27, 0.0021, 0)</f>
        <v>43.068599999999996</v>
      </c>
      <c r="I356" s="10">
        <f>43.0665 * CHOOSE(CONTROL!$C$9, $D$9, 100%, $F$9) + CHOOSE(CONTROL!$C$27, 0.0021, 0)</f>
        <v>43.068599999999996</v>
      </c>
      <c r="J356" s="10">
        <f>43.0665 * CHOOSE(CONTROL!$C$9, $D$9, 100%, $F$9) + CHOOSE(CONTROL!$C$27, 0.0021, 0)</f>
        <v>43.068599999999996</v>
      </c>
      <c r="K356" s="10">
        <f>43.0665 * CHOOSE(CONTROL!$C$9, $D$9, 100%, $F$9) + CHOOSE(CONTROL!$C$27, 0.0021, 0)</f>
        <v>43.068599999999996</v>
      </c>
      <c r="L356" s="10"/>
    </row>
    <row r="357" spans="1:12" ht="15.75" x14ac:dyDescent="0.25">
      <c r="A357" s="14">
        <v>52170</v>
      </c>
      <c r="B357" s="10">
        <f>44.5383 * CHOOSE(CONTROL!$C$9, $D$9, 100%, $F$9) + CHOOSE(CONTROL!$C$27, 0.0021, 0)</f>
        <v>44.540399999999998</v>
      </c>
      <c r="C357" s="10">
        <f>44.106 * CHOOSE(CONTROL!$C$9, $D$9, 100%, $F$9) + CHOOSE(CONTROL!$C$27, 0.0021, 0)</f>
        <v>44.1081</v>
      </c>
      <c r="D357" s="10">
        <f>44.106 * CHOOSE(CONTROL!$C$9, $D$9, 100%, $F$9) + CHOOSE(CONTROL!$C$27, 0.0021, 0)</f>
        <v>44.1081</v>
      </c>
      <c r="E357" s="10">
        <f>43.9694 * CHOOSE(CONTROL!$C$9, $D$9, 100%, $F$9) + CHOOSE(CONTROL!$C$27, 0.0021, 0)</f>
        <v>43.971499999999999</v>
      </c>
      <c r="F357" s="10">
        <f>43.9694 * CHOOSE(CONTROL!$C$9, $D$9, 100%, $F$9) + CHOOSE(CONTROL!$C$27, 0.0021, 0)</f>
        <v>43.971499999999999</v>
      </c>
      <c r="G357" s="10">
        <f>44.2407 * CHOOSE(CONTROL!$C$9, $D$9, 100%, $F$9) + CHOOSE(CONTROL!$C$27, 0.0021, 0)</f>
        <v>44.242799999999995</v>
      </c>
      <c r="H357" s="10">
        <f>44.106 * CHOOSE(CONTROL!$C$9, $D$9, 100%, $F$9) + CHOOSE(CONTROL!$C$27, 0.0021, 0)</f>
        <v>44.1081</v>
      </c>
      <c r="I357" s="10">
        <f>44.106 * CHOOSE(CONTROL!$C$9, $D$9, 100%, $F$9) + CHOOSE(CONTROL!$C$27, 0.0021, 0)</f>
        <v>44.1081</v>
      </c>
      <c r="J357" s="10">
        <f>44.106 * CHOOSE(CONTROL!$C$9, $D$9, 100%, $F$9) + CHOOSE(CONTROL!$C$27, 0.0021, 0)</f>
        <v>44.1081</v>
      </c>
      <c r="K357" s="10">
        <f>44.106 * CHOOSE(CONTROL!$C$9, $D$9, 100%, $F$9) + CHOOSE(CONTROL!$C$27, 0.0021, 0)</f>
        <v>44.1081</v>
      </c>
      <c r="L357" s="10"/>
    </row>
    <row r="358" spans="1:12" ht="15.75" x14ac:dyDescent="0.25">
      <c r="A358" s="14">
        <v>52200</v>
      </c>
      <c r="B358" s="10">
        <f>44.6358 * CHOOSE(CONTROL!$C$9, $D$9, 100%, $F$9) + CHOOSE(CONTROL!$C$27, 0.0021, 0)</f>
        <v>44.637900000000002</v>
      </c>
      <c r="C358" s="10">
        <f>44.2036 * CHOOSE(CONTROL!$C$9, $D$9, 100%, $F$9) + CHOOSE(CONTROL!$C$27, 0.0021, 0)</f>
        <v>44.2057</v>
      </c>
      <c r="D358" s="10">
        <f>44.2036 * CHOOSE(CONTROL!$C$9, $D$9, 100%, $F$9) + CHOOSE(CONTROL!$C$27, 0.0021, 0)</f>
        <v>44.2057</v>
      </c>
      <c r="E358" s="10">
        <f>44.0669 * CHOOSE(CONTROL!$C$9, $D$9, 100%, $F$9) + CHOOSE(CONTROL!$C$27, 0.0021, 0)</f>
        <v>44.068999999999996</v>
      </c>
      <c r="F358" s="10">
        <f>44.0669 * CHOOSE(CONTROL!$C$9, $D$9, 100%, $F$9) + CHOOSE(CONTROL!$C$27, 0.0021, 0)</f>
        <v>44.068999999999996</v>
      </c>
      <c r="G358" s="10">
        <f>44.3383 * CHOOSE(CONTROL!$C$9, $D$9, 100%, $F$9) + CHOOSE(CONTROL!$C$27, 0.0021, 0)</f>
        <v>44.340399999999995</v>
      </c>
      <c r="H358" s="10">
        <f>44.2036 * CHOOSE(CONTROL!$C$9, $D$9, 100%, $F$9) + CHOOSE(CONTROL!$C$27, 0.0021, 0)</f>
        <v>44.2057</v>
      </c>
      <c r="I358" s="10">
        <f>44.2036 * CHOOSE(CONTROL!$C$9, $D$9, 100%, $F$9) + CHOOSE(CONTROL!$C$27, 0.0021, 0)</f>
        <v>44.2057</v>
      </c>
      <c r="J358" s="10">
        <f>44.2036 * CHOOSE(CONTROL!$C$9, $D$9, 100%, $F$9) + CHOOSE(CONTROL!$C$27, 0.0021, 0)</f>
        <v>44.2057</v>
      </c>
      <c r="K358" s="10">
        <f>44.2036 * CHOOSE(CONTROL!$C$9, $D$9, 100%, $F$9) + CHOOSE(CONTROL!$C$27, 0.0021, 0)</f>
        <v>44.2057</v>
      </c>
      <c r="L358" s="10"/>
    </row>
    <row r="359" spans="1:12" ht="15.75" x14ac:dyDescent="0.25">
      <c r="A359" s="14">
        <v>52231</v>
      </c>
      <c r="B359" s="10">
        <f>43.8056 * CHOOSE(CONTROL!$C$9, $D$9, 100%, $F$9) + CHOOSE(CONTROL!$C$27, 0.0021, 0)</f>
        <v>43.807699999999997</v>
      </c>
      <c r="C359" s="10">
        <f>43.3733 * CHOOSE(CONTROL!$C$9, $D$9, 100%, $F$9) + CHOOSE(CONTROL!$C$27, 0.0021, 0)</f>
        <v>43.375399999999999</v>
      </c>
      <c r="D359" s="10">
        <f>43.3733 * CHOOSE(CONTROL!$C$9, $D$9, 100%, $F$9) + CHOOSE(CONTROL!$C$27, 0.0021, 0)</f>
        <v>43.375399999999999</v>
      </c>
      <c r="E359" s="10">
        <f>43.2367 * CHOOSE(CONTROL!$C$9, $D$9, 100%, $F$9) + CHOOSE(CONTROL!$C$27, 0.0021, 0)</f>
        <v>43.238799999999998</v>
      </c>
      <c r="F359" s="10">
        <f>43.2367 * CHOOSE(CONTROL!$C$9, $D$9, 100%, $F$9) + CHOOSE(CONTROL!$C$27, 0.0021, 0)</f>
        <v>43.238799999999998</v>
      </c>
      <c r="G359" s="10">
        <f>43.5081 * CHOOSE(CONTROL!$C$9, $D$9, 100%, $F$9) + CHOOSE(CONTROL!$C$27, 0.0021, 0)</f>
        <v>43.510199999999998</v>
      </c>
      <c r="H359" s="10">
        <f>43.3733 * CHOOSE(CONTROL!$C$9, $D$9, 100%, $F$9) + CHOOSE(CONTROL!$C$27, 0.0021, 0)</f>
        <v>43.375399999999999</v>
      </c>
      <c r="I359" s="10">
        <f>43.3733 * CHOOSE(CONTROL!$C$9, $D$9, 100%, $F$9) + CHOOSE(CONTROL!$C$27, 0.0021, 0)</f>
        <v>43.375399999999999</v>
      </c>
      <c r="J359" s="10">
        <f>43.3733 * CHOOSE(CONTROL!$C$9, $D$9, 100%, $F$9) + CHOOSE(CONTROL!$C$27, 0.0021, 0)</f>
        <v>43.375399999999999</v>
      </c>
      <c r="K359" s="10">
        <f>43.3733 * CHOOSE(CONTROL!$C$9, $D$9, 100%, $F$9) + CHOOSE(CONTROL!$C$27, 0.0021, 0)</f>
        <v>43.375399999999999</v>
      </c>
      <c r="L359" s="10"/>
    </row>
    <row r="360" spans="1:12" ht="15.75" x14ac:dyDescent="0.25">
      <c r="A360" s="14">
        <v>52262</v>
      </c>
      <c r="B360" s="10">
        <f>43.1699 * CHOOSE(CONTROL!$C$9, $D$9, 100%, $F$9) + CHOOSE(CONTROL!$C$27, 0.0021, 0)</f>
        <v>43.171999999999997</v>
      </c>
      <c r="C360" s="10">
        <f>42.7377 * CHOOSE(CONTROL!$C$9, $D$9, 100%, $F$9) + CHOOSE(CONTROL!$C$27, 0.0021, 0)</f>
        <v>42.739799999999995</v>
      </c>
      <c r="D360" s="10">
        <f>42.7377 * CHOOSE(CONTROL!$C$9, $D$9, 100%, $F$9) + CHOOSE(CONTROL!$C$27, 0.0021, 0)</f>
        <v>42.739799999999995</v>
      </c>
      <c r="E360" s="10">
        <f>42.601 * CHOOSE(CONTROL!$C$9, $D$9, 100%, $F$9) + CHOOSE(CONTROL!$C$27, 0.0021, 0)</f>
        <v>42.603099999999998</v>
      </c>
      <c r="F360" s="10">
        <f>42.601 * CHOOSE(CONTROL!$C$9, $D$9, 100%, $F$9) + CHOOSE(CONTROL!$C$27, 0.0021, 0)</f>
        <v>42.603099999999998</v>
      </c>
      <c r="G360" s="10">
        <f>42.8724 * CHOOSE(CONTROL!$C$9, $D$9, 100%, $F$9) + CHOOSE(CONTROL!$C$27, 0.0021, 0)</f>
        <v>42.874499999999998</v>
      </c>
      <c r="H360" s="10">
        <f>42.7377 * CHOOSE(CONTROL!$C$9, $D$9, 100%, $F$9) + CHOOSE(CONTROL!$C$27, 0.0021, 0)</f>
        <v>42.739799999999995</v>
      </c>
      <c r="I360" s="10">
        <f>42.7377 * CHOOSE(CONTROL!$C$9, $D$9, 100%, $F$9) + CHOOSE(CONTROL!$C$27, 0.0021, 0)</f>
        <v>42.739799999999995</v>
      </c>
      <c r="J360" s="10">
        <f>42.7377 * CHOOSE(CONTROL!$C$9, $D$9, 100%, $F$9) + CHOOSE(CONTROL!$C$27, 0.0021, 0)</f>
        <v>42.739799999999995</v>
      </c>
      <c r="K360" s="10">
        <f>42.7377 * CHOOSE(CONTROL!$C$9, $D$9, 100%, $F$9) + CHOOSE(CONTROL!$C$27, 0.0021, 0)</f>
        <v>42.739799999999995</v>
      </c>
      <c r="L360" s="10"/>
    </row>
    <row r="361" spans="1:12" ht="15.75" x14ac:dyDescent="0.25">
      <c r="A361" s="14">
        <v>52290</v>
      </c>
      <c r="B361" s="10">
        <f>42.0137 * CHOOSE(CONTROL!$C$9, $D$9, 100%, $F$9) + CHOOSE(CONTROL!$C$27, 0.0021, 0)</f>
        <v>42.015799999999999</v>
      </c>
      <c r="C361" s="10">
        <f>41.5814 * CHOOSE(CONTROL!$C$9, $D$9, 100%, $F$9) + CHOOSE(CONTROL!$C$27, 0.0021, 0)</f>
        <v>41.583500000000001</v>
      </c>
      <c r="D361" s="10">
        <f>41.5814 * CHOOSE(CONTROL!$C$9, $D$9, 100%, $F$9) + CHOOSE(CONTROL!$C$27, 0.0021, 0)</f>
        <v>41.583500000000001</v>
      </c>
      <c r="E361" s="10">
        <f>41.4448 * CHOOSE(CONTROL!$C$9, $D$9, 100%, $F$9) + CHOOSE(CONTROL!$C$27, 0.0021, 0)</f>
        <v>41.446899999999999</v>
      </c>
      <c r="F361" s="10">
        <f>41.4448 * CHOOSE(CONTROL!$C$9, $D$9, 100%, $F$9) + CHOOSE(CONTROL!$C$27, 0.0021, 0)</f>
        <v>41.446899999999999</v>
      </c>
      <c r="G361" s="10">
        <f>41.7162 * CHOOSE(CONTROL!$C$9, $D$9, 100%, $F$9) + CHOOSE(CONTROL!$C$27, 0.0021, 0)</f>
        <v>41.718299999999999</v>
      </c>
      <c r="H361" s="10">
        <f>41.5814 * CHOOSE(CONTROL!$C$9, $D$9, 100%, $F$9) + CHOOSE(CONTROL!$C$27, 0.0021, 0)</f>
        <v>41.583500000000001</v>
      </c>
      <c r="I361" s="10">
        <f>41.5814 * CHOOSE(CONTROL!$C$9, $D$9, 100%, $F$9) + CHOOSE(CONTROL!$C$27, 0.0021, 0)</f>
        <v>41.583500000000001</v>
      </c>
      <c r="J361" s="10">
        <f>41.5814 * CHOOSE(CONTROL!$C$9, $D$9, 100%, $F$9) + CHOOSE(CONTROL!$C$27, 0.0021, 0)</f>
        <v>41.583500000000001</v>
      </c>
      <c r="K361" s="10">
        <f>41.5814 * CHOOSE(CONTROL!$C$9, $D$9, 100%, $F$9) + CHOOSE(CONTROL!$C$27, 0.0021, 0)</f>
        <v>41.583500000000001</v>
      </c>
      <c r="L361" s="10"/>
    </row>
    <row r="362" spans="1:12" ht="15.75" x14ac:dyDescent="0.25">
      <c r="A362" s="14">
        <v>52321</v>
      </c>
      <c r="B362" s="10">
        <f>41.5364 * CHOOSE(CONTROL!$C$9, $D$9, 100%, $F$9) + CHOOSE(CONTROL!$C$27, 0.0021, 0)</f>
        <v>41.538499999999999</v>
      </c>
      <c r="C362" s="10">
        <f>41.1041 * CHOOSE(CONTROL!$C$9, $D$9, 100%, $F$9) + CHOOSE(CONTROL!$C$27, 0.0021, 0)</f>
        <v>41.106200000000001</v>
      </c>
      <c r="D362" s="10">
        <f>41.1041 * CHOOSE(CONTROL!$C$9, $D$9, 100%, $F$9) + CHOOSE(CONTROL!$C$27, 0.0021, 0)</f>
        <v>41.106200000000001</v>
      </c>
      <c r="E362" s="10">
        <f>40.9675 * CHOOSE(CONTROL!$C$9, $D$9, 100%, $F$9) + CHOOSE(CONTROL!$C$27, 0.0021, 0)</f>
        <v>40.9696</v>
      </c>
      <c r="F362" s="10">
        <f>40.9675 * CHOOSE(CONTROL!$C$9, $D$9, 100%, $F$9) + CHOOSE(CONTROL!$C$27, 0.0021, 0)</f>
        <v>40.9696</v>
      </c>
      <c r="G362" s="10">
        <f>41.2389 * CHOOSE(CONTROL!$C$9, $D$9, 100%, $F$9) + CHOOSE(CONTROL!$C$27, 0.0021, 0)</f>
        <v>41.241</v>
      </c>
      <c r="H362" s="10">
        <f>41.1041 * CHOOSE(CONTROL!$C$9, $D$9, 100%, $F$9) + CHOOSE(CONTROL!$C$27, 0.0021, 0)</f>
        <v>41.106200000000001</v>
      </c>
      <c r="I362" s="10">
        <f>41.1041 * CHOOSE(CONTROL!$C$9, $D$9, 100%, $F$9) + CHOOSE(CONTROL!$C$27, 0.0021, 0)</f>
        <v>41.106200000000001</v>
      </c>
      <c r="J362" s="10">
        <f>41.1041 * CHOOSE(CONTROL!$C$9, $D$9, 100%, $F$9) + CHOOSE(CONTROL!$C$27, 0.0021, 0)</f>
        <v>41.106200000000001</v>
      </c>
      <c r="K362" s="10">
        <f>41.1041 * CHOOSE(CONTROL!$C$9, $D$9, 100%, $F$9) + CHOOSE(CONTROL!$C$27, 0.0021, 0)</f>
        <v>41.106200000000001</v>
      </c>
      <c r="L362" s="10"/>
    </row>
    <row r="363" spans="1:12" ht="15.75" x14ac:dyDescent="0.25">
      <c r="A363" s="14">
        <v>52351</v>
      </c>
      <c r="B363" s="10">
        <f>40.9665 * CHOOSE(CONTROL!$C$9, $D$9, 100%, $F$9) + CHOOSE(CONTROL!$C$27, 0.0021, 0)</f>
        <v>40.968600000000002</v>
      </c>
      <c r="C363" s="10">
        <f>40.5342 * CHOOSE(CONTROL!$C$9, $D$9, 100%, $F$9) + CHOOSE(CONTROL!$C$27, 0.0021, 0)</f>
        <v>40.536299999999997</v>
      </c>
      <c r="D363" s="10">
        <f>40.5342 * CHOOSE(CONTROL!$C$9, $D$9, 100%, $F$9) + CHOOSE(CONTROL!$C$27, 0.0021, 0)</f>
        <v>40.536299999999997</v>
      </c>
      <c r="E363" s="10">
        <f>40.3976 * CHOOSE(CONTROL!$C$9, $D$9, 100%, $F$9) + CHOOSE(CONTROL!$C$27, 0.0021, 0)</f>
        <v>40.399699999999996</v>
      </c>
      <c r="F363" s="10">
        <f>40.3976 * CHOOSE(CONTROL!$C$9, $D$9, 100%, $F$9) + CHOOSE(CONTROL!$C$27, 0.0021, 0)</f>
        <v>40.399699999999996</v>
      </c>
      <c r="G363" s="10">
        <f>40.669 * CHOOSE(CONTROL!$C$9, $D$9, 100%, $F$9) + CHOOSE(CONTROL!$C$27, 0.0021, 0)</f>
        <v>40.671099999999996</v>
      </c>
      <c r="H363" s="10">
        <f>40.5342 * CHOOSE(CONTROL!$C$9, $D$9, 100%, $F$9) + CHOOSE(CONTROL!$C$27, 0.0021, 0)</f>
        <v>40.536299999999997</v>
      </c>
      <c r="I363" s="10">
        <f>40.5342 * CHOOSE(CONTROL!$C$9, $D$9, 100%, $F$9) + CHOOSE(CONTROL!$C$27, 0.0021, 0)</f>
        <v>40.536299999999997</v>
      </c>
      <c r="J363" s="10">
        <f>40.5342 * CHOOSE(CONTROL!$C$9, $D$9, 100%, $F$9) + CHOOSE(CONTROL!$C$27, 0.0021, 0)</f>
        <v>40.536299999999997</v>
      </c>
      <c r="K363" s="10">
        <f>40.5342 * CHOOSE(CONTROL!$C$9, $D$9, 100%, $F$9) + CHOOSE(CONTROL!$C$27, 0.0021, 0)</f>
        <v>40.536299999999997</v>
      </c>
      <c r="L363" s="10"/>
    </row>
    <row r="364" spans="1:12" ht="15.75" x14ac:dyDescent="0.25">
      <c r="A364" s="14">
        <v>52382</v>
      </c>
      <c r="B364" s="10">
        <f>41.7787 * CHOOSE(CONTROL!$C$9, $D$9, 100%, $F$9) + CHOOSE(CONTROL!$C$27, 0.0021, 0)</f>
        <v>41.780799999999999</v>
      </c>
      <c r="C364" s="10">
        <f>41.3464 * CHOOSE(CONTROL!$C$9, $D$9, 100%, $F$9) + CHOOSE(CONTROL!$C$27, 0.0021, 0)</f>
        <v>41.348500000000001</v>
      </c>
      <c r="D364" s="10">
        <f>41.3464 * CHOOSE(CONTROL!$C$9, $D$9, 100%, $F$9) + CHOOSE(CONTROL!$C$27, 0.0021, 0)</f>
        <v>41.348500000000001</v>
      </c>
      <c r="E364" s="10">
        <f>41.2098 * CHOOSE(CONTROL!$C$9, $D$9, 100%, $F$9) + CHOOSE(CONTROL!$C$27, 0.0021, 0)</f>
        <v>41.2119</v>
      </c>
      <c r="F364" s="10">
        <f>41.2098 * CHOOSE(CONTROL!$C$9, $D$9, 100%, $F$9) + CHOOSE(CONTROL!$C$27, 0.0021, 0)</f>
        <v>41.2119</v>
      </c>
      <c r="G364" s="10">
        <f>41.4811 * CHOOSE(CONTROL!$C$9, $D$9, 100%, $F$9) + CHOOSE(CONTROL!$C$27, 0.0021, 0)</f>
        <v>41.483199999999997</v>
      </c>
      <c r="H364" s="10">
        <f>41.3464 * CHOOSE(CONTROL!$C$9, $D$9, 100%, $F$9) + CHOOSE(CONTROL!$C$27, 0.0021, 0)</f>
        <v>41.348500000000001</v>
      </c>
      <c r="I364" s="10">
        <f>41.3464 * CHOOSE(CONTROL!$C$9, $D$9, 100%, $F$9) + CHOOSE(CONTROL!$C$27, 0.0021, 0)</f>
        <v>41.348500000000001</v>
      </c>
      <c r="J364" s="10">
        <f>41.3464 * CHOOSE(CONTROL!$C$9, $D$9, 100%, $F$9) + CHOOSE(CONTROL!$C$27, 0.0021, 0)</f>
        <v>41.348500000000001</v>
      </c>
      <c r="K364" s="10">
        <f>41.3464 * CHOOSE(CONTROL!$C$9, $D$9, 100%, $F$9) + CHOOSE(CONTROL!$C$27, 0.0021, 0)</f>
        <v>41.348500000000001</v>
      </c>
      <c r="L364" s="10"/>
    </row>
    <row r="365" spans="1:12" ht="15.75" x14ac:dyDescent="0.25">
      <c r="A365" s="14">
        <v>52412</v>
      </c>
      <c r="B365" s="10">
        <f>42.2651 * CHOOSE(CONTROL!$C$9, $D$9, 100%, $F$9) + CHOOSE(CONTROL!$C$27, 0.0021, 0)</f>
        <v>42.267199999999995</v>
      </c>
      <c r="C365" s="10">
        <f>41.8329 * CHOOSE(CONTROL!$C$9, $D$9, 100%, $F$9) + CHOOSE(CONTROL!$C$27, 0.0021, 0)</f>
        <v>41.835000000000001</v>
      </c>
      <c r="D365" s="10">
        <f>41.8329 * CHOOSE(CONTROL!$C$9, $D$9, 100%, $F$9) + CHOOSE(CONTROL!$C$27, 0.0021, 0)</f>
        <v>41.835000000000001</v>
      </c>
      <c r="E365" s="10">
        <f>41.6962 * CHOOSE(CONTROL!$C$9, $D$9, 100%, $F$9) + CHOOSE(CONTROL!$C$27, 0.0021, 0)</f>
        <v>41.698299999999996</v>
      </c>
      <c r="F365" s="10">
        <f>41.6962 * CHOOSE(CONTROL!$C$9, $D$9, 100%, $F$9) + CHOOSE(CONTROL!$C$27, 0.0021, 0)</f>
        <v>41.698299999999996</v>
      </c>
      <c r="G365" s="10">
        <f>41.9676 * CHOOSE(CONTROL!$C$9, $D$9, 100%, $F$9) + CHOOSE(CONTROL!$C$27, 0.0021, 0)</f>
        <v>41.969699999999996</v>
      </c>
      <c r="H365" s="10">
        <f>41.8329 * CHOOSE(CONTROL!$C$9, $D$9, 100%, $F$9) + CHOOSE(CONTROL!$C$27, 0.0021, 0)</f>
        <v>41.835000000000001</v>
      </c>
      <c r="I365" s="10">
        <f>41.8329 * CHOOSE(CONTROL!$C$9, $D$9, 100%, $F$9) + CHOOSE(CONTROL!$C$27, 0.0021, 0)</f>
        <v>41.835000000000001</v>
      </c>
      <c r="J365" s="10">
        <f>41.8329 * CHOOSE(CONTROL!$C$9, $D$9, 100%, $F$9) + CHOOSE(CONTROL!$C$27, 0.0021, 0)</f>
        <v>41.835000000000001</v>
      </c>
      <c r="K365" s="10">
        <f>41.8329 * CHOOSE(CONTROL!$C$9, $D$9, 100%, $F$9) + CHOOSE(CONTROL!$C$27, 0.0021, 0)</f>
        <v>41.835000000000001</v>
      </c>
      <c r="L365" s="10"/>
    </row>
    <row r="366" spans="1:12" ht="15.75" x14ac:dyDescent="0.25">
      <c r="A366" s="14">
        <v>52443</v>
      </c>
      <c r="B366" s="10">
        <f>43.0676 * CHOOSE(CONTROL!$C$9, $D$9, 100%, $F$9) + CHOOSE(CONTROL!$C$27, 0.0021, 0)</f>
        <v>43.069699999999997</v>
      </c>
      <c r="C366" s="10">
        <f>42.6354 * CHOOSE(CONTROL!$C$9, $D$9, 100%, $F$9) + CHOOSE(CONTROL!$C$27, 0.0021, 0)</f>
        <v>42.637499999999996</v>
      </c>
      <c r="D366" s="10">
        <f>42.6354 * CHOOSE(CONTROL!$C$9, $D$9, 100%, $F$9) + CHOOSE(CONTROL!$C$27, 0.0021, 0)</f>
        <v>42.637499999999996</v>
      </c>
      <c r="E366" s="10">
        <f>42.4987 * CHOOSE(CONTROL!$C$9, $D$9, 100%, $F$9) + CHOOSE(CONTROL!$C$27, 0.0021, 0)</f>
        <v>42.500799999999998</v>
      </c>
      <c r="F366" s="10">
        <f>42.4987 * CHOOSE(CONTROL!$C$9, $D$9, 100%, $F$9) + CHOOSE(CONTROL!$C$27, 0.0021, 0)</f>
        <v>42.500799999999998</v>
      </c>
      <c r="G366" s="10">
        <f>42.7701 * CHOOSE(CONTROL!$C$9, $D$9, 100%, $F$9) + CHOOSE(CONTROL!$C$27, 0.0021, 0)</f>
        <v>42.772199999999998</v>
      </c>
      <c r="H366" s="10">
        <f>42.6354 * CHOOSE(CONTROL!$C$9, $D$9, 100%, $F$9) + CHOOSE(CONTROL!$C$27, 0.0021, 0)</f>
        <v>42.637499999999996</v>
      </c>
      <c r="I366" s="10">
        <f>42.6354 * CHOOSE(CONTROL!$C$9, $D$9, 100%, $F$9) + CHOOSE(CONTROL!$C$27, 0.0021, 0)</f>
        <v>42.637499999999996</v>
      </c>
      <c r="J366" s="10">
        <f>42.6354 * CHOOSE(CONTROL!$C$9, $D$9, 100%, $F$9) + CHOOSE(CONTROL!$C$27, 0.0021, 0)</f>
        <v>42.637499999999996</v>
      </c>
      <c r="K366" s="10">
        <f>42.6354 * CHOOSE(CONTROL!$C$9, $D$9, 100%, $F$9) + CHOOSE(CONTROL!$C$27, 0.0021, 0)</f>
        <v>42.637499999999996</v>
      </c>
      <c r="L366" s="10"/>
    </row>
    <row r="367" spans="1:12" ht="15.75" x14ac:dyDescent="0.25">
      <c r="A367" s="14">
        <v>52474</v>
      </c>
      <c r="B367" s="10">
        <f>43.3125 * CHOOSE(CONTROL!$C$9, $D$9, 100%, $F$9) + CHOOSE(CONTROL!$C$27, 0.0021, 0)</f>
        <v>43.314599999999999</v>
      </c>
      <c r="C367" s="10">
        <f>42.8803 * CHOOSE(CONTROL!$C$9, $D$9, 100%, $F$9) + CHOOSE(CONTROL!$C$27, 0.0021, 0)</f>
        <v>42.882399999999997</v>
      </c>
      <c r="D367" s="10">
        <f>42.8803 * CHOOSE(CONTROL!$C$9, $D$9, 100%, $F$9) + CHOOSE(CONTROL!$C$27, 0.0021, 0)</f>
        <v>42.882399999999997</v>
      </c>
      <c r="E367" s="10">
        <f>42.7436 * CHOOSE(CONTROL!$C$9, $D$9, 100%, $F$9) + CHOOSE(CONTROL!$C$27, 0.0021, 0)</f>
        <v>42.745699999999999</v>
      </c>
      <c r="F367" s="10">
        <f>42.7436 * CHOOSE(CONTROL!$C$9, $D$9, 100%, $F$9) + CHOOSE(CONTROL!$C$27, 0.0021, 0)</f>
        <v>42.745699999999999</v>
      </c>
      <c r="G367" s="10">
        <f>43.015 * CHOOSE(CONTROL!$C$9, $D$9, 100%, $F$9) + CHOOSE(CONTROL!$C$27, 0.0021, 0)</f>
        <v>43.017099999999999</v>
      </c>
      <c r="H367" s="10">
        <f>42.8803 * CHOOSE(CONTROL!$C$9, $D$9, 100%, $F$9) + CHOOSE(CONTROL!$C$27, 0.0021, 0)</f>
        <v>42.882399999999997</v>
      </c>
      <c r="I367" s="10">
        <f>42.8803 * CHOOSE(CONTROL!$C$9, $D$9, 100%, $F$9) + CHOOSE(CONTROL!$C$27, 0.0021, 0)</f>
        <v>42.882399999999997</v>
      </c>
      <c r="J367" s="10">
        <f>42.8803 * CHOOSE(CONTROL!$C$9, $D$9, 100%, $F$9) + CHOOSE(CONTROL!$C$27, 0.0021, 0)</f>
        <v>42.882399999999997</v>
      </c>
      <c r="K367" s="10">
        <f>42.8803 * CHOOSE(CONTROL!$C$9, $D$9, 100%, $F$9) + CHOOSE(CONTROL!$C$27, 0.0021, 0)</f>
        <v>42.882399999999997</v>
      </c>
      <c r="L367" s="10"/>
    </row>
    <row r="368" spans="1:12" ht="15.75" x14ac:dyDescent="0.25">
      <c r="A368" s="14">
        <v>52504</v>
      </c>
      <c r="B368" s="10">
        <f>44.1467 * CHOOSE(CONTROL!$C$9, $D$9, 100%, $F$9) + CHOOSE(CONTROL!$C$27, 0.0021, 0)</f>
        <v>44.148800000000001</v>
      </c>
      <c r="C368" s="10">
        <f>43.7144 * CHOOSE(CONTROL!$C$9, $D$9, 100%, $F$9) + CHOOSE(CONTROL!$C$27, 0.0021, 0)</f>
        <v>43.716499999999996</v>
      </c>
      <c r="D368" s="10">
        <f>43.7144 * CHOOSE(CONTROL!$C$9, $D$9, 100%, $F$9) + CHOOSE(CONTROL!$C$27, 0.0021, 0)</f>
        <v>43.716499999999996</v>
      </c>
      <c r="E368" s="10">
        <f>43.5778 * CHOOSE(CONTROL!$C$9, $D$9, 100%, $F$9) + CHOOSE(CONTROL!$C$27, 0.0021, 0)</f>
        <v>43.579900000000002</v>
      </c>
      <c r="F368" s="10">
        <f>43.5778 * CHOOSE(CONTROL!$C$9, $D$9, 100%, $F$9) + CHOOSE(CONTROL!$C$27, 0.0021, 0)</f>
        <v>43.579900000000002</v>
      </c>
      <c r="G368" s="10">
        <f>43.8492 * CHOOSE(CONTROL!$C$9, $D$9, 100%, $F$9) + CHOOSE(CONTROL!$C$27, 0.0021, 0)</f>
        <v>43.851300000000002</v>
      </c>
      <c r="H368" s="10">
        <f>43.7144 * CHOOSE(CONTROL!$C$9, $D$9, 100%, $F$9) + CHOOSE(CONTROL!$C$27, 0.0021, 0)</f>
        <v>43.716499999999996</v>
      </c>
      <c r="I368" s="10">
        <f>43.7144 * CHOOSE(CONTROL!$C$9, $D$9, 100%, $F$9) + CHOOSE(CONTROL!$C$27, 0.0021, 0)</f>
        <v>43.716499999999996</v>
      </c>
      <c r="J368" s="10">
        <f>43.7144 * CHOOSE(CONTROL!$C$9, $D$9, 100%, $F$9) + CHOOSE(CONTROL!$C$27, 0.0021, 0)</f>
        <v>43.716499999999996</v>
      </c>
      <c r="K368" s="10">
        <f>43.7144 * CHOOSE(CONTROL!$C$9, $D$9, 100%, $F$9) + CHOOSE(CONTROL!$C$27, 0.0021, 0)</f>
        <v>43.716499999999996</v>
      </c>
      <c r="L368" s="10"/>
    </row>
    <row r="369" spans="1:12" ht="15.75" x14ac:dyDescent="0.25">
      <c r="A369" s="14">
        <v>52535</v>
      </c>
      <c r="B369" s="10">
        <f>45.2026 * CHOOSE(CONTROL!$C$9, $D$9, 100%, $F$9) + CHOOSE(CONTROL!$C$27, 0.0021, 0)</f>
        <v>45.204699999999995</v>
      </c>
      <c r="C369" s="10">
        <f>44.7703 * CHOOSE(CONTROL!$C$9, $D$9, 100%, $F$9) + CHOOSE(CONTROL!$C$27, 0.0021, 0)</f>
        <v>44.772399999999998</v>
      </c>
      <c r="D369" s="10">
        <f>44.7703 * CHOOSE(CONTROL!$C$9, $D$9, 100%, $F$9) + CHOOSE(CONTROL!$C$27, 0.0021, 0)</f>
        <v>44.772399999999998</v>
      </c>
      <c r="E369" s="10">
        <f>44.6337 * CHOOSE(CONTROL!$C$9, $D$9, 100%, $F$9) + CHOOSE(CONTROL!$C$27, 0.0021, 0)</f>
        <v>44.635799999999996</v>
      </c>
      <c r="F369" s="10">
        <f>44.6337 * CHOOSE(CONTROL!$C$9, $D$9, 100%, $F$9) + CHOOSE(CONTROL!$C$27, 0.0021, 0)</f>
        <v>44.635799999999996</v>
      </c>
      <c r="G369" s="10">
        <f>44.905 * CHOOSE(CONTROL!$C$9, $D$9, 100%, $F$9) + CHOOSE(CONTROL!$C$27, 0.0021, 0)</f>
        <v>44.9071</v>
      </c>
      <c r="H369" s="10">
        <f>44.7703 * CHOOSE(CONTROL!$C$9, $D$9, 100%, $F$9) + CHOOSE(CONTROL!$C$27, 0.0021, 0)</f>
        <v>44.772399999999998</v>
      </c>
      <c r="I369" s="10">
        <f>44.7703 * CHOOSE(CONTROL!$C$9, $D$9, 100%, $F$9) + CHOOSE(CONTROL!$C$27, 0.0021, 0)</f>
        <v>44.772399999999998</v>
      </c>
      <c r="J369" s="10">
        <f>44.7703 * CHOOSE(CONTROL!$C$9, $D$9, 100%, $F$9) + CHOOSE(CONTROL!$C$27, 0.0021, 0)</f>
        <v>44.772399999999998</v>
      </c>
      <c r="K369" s="10">
        <f>44.7703 * CHOOSE(CONTROL!$C$9, $D$9, 100%, $F$9) + CHOOSE(CONTROL!$C$27, 0.0021, 0)</f>
        <v>44.772399999999998</v>
      </c>
      <c r="L369" s="10"/>
    </row>
    <row r="370" spans="1:12" ht="15.75" x14ac:dyDescent="0.25">
      <c r="A370" s="14">
        <v>52565</v>
      </c>
      <c r="B370" s="10">
        <f>45.3017 * CHOOSE(CONTROL!$C$9, $D$9, 100%, $F$9) + CHOOSE(CONTROL!$C$27, 0.0021, 0)</f>
        <v>45.303799999999995</v>
      </c>
      <c r="C370" s="10">
        <f>44.8694 * CHOOSE(CONTROL!$C$9, $D$9, 100%, $F$9) + CHOOSE(CONTROL!$C$27, 0.0021, 0)</f>
        <v>44.871499999999997</v>
      </c>
      <c r="D370" s="10">
        <f>44.8694 * CHOOSE(CONTROL!$C$9, $D$9, 100%, $F$9) + CHOOSE(CONTROL!$C$27, 0.0021, 0)</f>
        <v>44.871499999999997</v>
      </c>
      <c r="E370" s="10">
        <f>44.7328 * CHOOSE(CONTROL!$C$9, $D$9, 100%, $F$9) + CHOOSE(CONTROL!$C$27, 0.0021, 0)</f>
        <v>44.734899999999996</v>
      </c>
      <c r="F370" s="10">
        <f>44.7328 * CHOOSE(CONTROL!$C$9, $D$9, 100%, $F$9) + CHOOSE(CONTROL!$C$27, 0.0021, 0)</f>
        <v>44.734899999999996</v>
      </c>
      <c r="G370" s="10">
        <f>45.0042 * CHOOSE(CONTROL!$C$9, $D$9, 100%, $F$9) + CHOOSE(CONTROL!$C$27, 0.0021, 0)</f>
        <v>45.006299999999996</v>
      </c>
      <c r="H370" s="10">
        <f>44.8694 * CHOOSE(CONTROL!$C$9, $D$9, 100%, $F$9) + CHOOSE(CONTROL!$C$27, 0.0021, 0)</f>
        <v>44.871499999999997</v>
      </c>
      <c r="I370" s="10">
        <f>44.8694 * CHOOSE(CONTROL!$C$9, $D$9, 100%, $F$9) + CHOOSE(CONTROL!$C$27, 0.0021, 0)</f>
        <v>44.871499999999997</v>
      </c>
      <c r="J370" s="10">
        <f>44.8694 * CHOOSE(CONTROL!$C$9, $D$9, 100%, $F$9) + CHOOSE(CONTROL!$C$27, 0.0021, 0)</f>
        <v>44.871499999999997</v>
      </c>
      <c r="K370" s="10">
        <f>44.8694 * CHOOSE(CONTROL!$C$9, $D$9, 100%, $F$9) + CHOOSE(CONTROL!$C$27, 0.0021, 0)</f>
        <v>44.871499999999997</v>
      </c>
      <c r="L370" s="10"/>
    </row>
    <row r="371" spans="1:12" ht="15.75" x14ac:dyDescent="0.25">
      <c r="A371" s="14">
        <v>52596</v>
      </c>
      <c r="B371" s="10">
        <f>44.4584 * CHOOSE(CONTROL!$C$9, $D$9, 100%, $F$9) + CHOOSE(CONTROL!$C$27, 0.0021, 0)</f>
        <v>44.460499999999996</v>
      </c>
      <c r="C371" s="10">
        <f>44.0261 * CHOOSE(CONTROL!$C$9, $D$9, 100%, $F$9) + CHOOSE(CONTROL!$C$27, 0.0021, 0)</f>
        <v>44.028199999999998</v>
      </c>
      <c r="D371" s="10">
        <f>44.0261 * CHOOSE(CONTROL!$C$9, $D$9, 100%, $F$9) + CHOOSE(CONTROL!$C$27, 0.0021, 0)</f>
        <v>44.028199999999998</v>
      </c>
      <c r="E371" s="10">
        <f>43.8895 * CHOOSE(CONTROL!$C$9, $D$9, 100%, $F$9) + CHOOSE(CONTROL!$C$27, 0.0021, 0)</f>
        <v>43.891599999999997</v>
      </c>
      <c r="F371" s="10">
        <f>43.8895 * CHOOSE(CONTROL!$C$9, $D$9, 100%, $F$9) + CHOOSE(CONTROL!$C$27, 0.0021, 0)</f>
        <v>43.891599999999997</v>
      </c>
      <c r="G371" s="10">
        <f>44.1609 * CHOOSE(CONTROL!$C$9, $D$9, 100%, $F$9) + CHOOSE(CONTROL!$C$27, 0.0021, 0)</f>
        <v>44.162999999999997</v>
      </c>
      <c r="H371" s="10">
        <f>44.0261 * CHOOSE(CONTROL!$C$9, $D$9, 100%, $F$9) + CHOOSE(CONTROL!$C$27, 0.0021, 0)</f>
        <v>44.028199999999998</v>
      </c>
      <c r="I371" s="10">
        <f>44.0261 * CHOOSE(CONTROL!$C$9, $D$9, 100%, $F$9) + CHOOSE(CONTROL!$C$27, 0.0021, 0)</f>
        <v>44.028199999999998</v>
      </c>
      <c r="J371" s="10">
        <f>44.0261 * CHOOSE(CONTROL!$C$9, $D$9, 100%, $F$9) + CHOOSE(CONTROL!$C$27, 0.0021, 0)</f>
        <v>44.028199999999998</v>
      </c>
      <c r="K371" s="10">
        <f>44.0261 * CHOOSE(CONTROL!$C$9, $D$9, 100%, $F$9) + CHOOSE(CONTROL!$C$27, 0.0021, 0)</f>
        <v>44.028199999999998</v>
      </c>
      <c r="L371" s="10"/>
    </row>
    <row r="372" spans="1:12" ht="15.75" x14ac:dyDescent="0.25">
      <c r="A372" s="14">
        <v>52627</v>
      </c>
      <c r="B372" s="10">
        <f>43.8127 * CHOOSE(CONTROL!$C$9, $D$9, 100%, $F$9) + CHOOSE(CONTROL!$C$27, 0.0021, 0)</f>
        <v>43.814799999999998</v>
      </c>
      <c r="C372" s="10">
        <f>43.3805 * CHOOSE(CONTROL!$C$9, $D$9, 100%, $F$9) + CHOOSE(CONTROL!$C$27, 0.0021, 0)</f>
        <v>43.382599999999996</v>
      </c>
      <c r="D372" s="10">
        <f>43.3805 * CHOOSE(CONTROL!$C$9, $D$9, 100%, $F$9) + CHOOSE(CONTROL!$C$27, 0.0021, 0)</f>
        <v>43.382599999999996</v>
      </c>
      <c r="E372" s="10">
        <f>43.2438 * CHOOSE(CONTROL!$C$9, $D$9, 100%, $F$9) + CHOOSE(CONTROL!$C$27, 0.0021, 0)</f>
        <v>43.245899999999999</v>
      </c>
      <c r="F372" s="10">
        <f>43.2438 * CHOOSE(CONTROL!$C$9, $D$9, 100%, $F$9) + CHOOSE(CONTROL!$C$27, 0.0021, 0)</f>
        <v>43.245899999999999</v>
      </c>
      <c r="G372" s="10">
        <f>43.5152 * CHOOSE(CONTROL!$C$9, $D$9, 100%, $F$9) + CHOOSE(CONTROL!$C$27, 0.0021, 0)</f>
        <v>43.517299999999999</v>
      </c>
      <c r="H372" s="10">
        <f>43.3805 * CHOOSE(CONTROL!$C$9, $D$9, 100%, $F$9) + CHOOSE(CONTROL!$C$27, 0.0021, 0)</f>
        <v>43.382599999999996</v>
      </c>
      <c r="I372" s="10">
        <f>43.3805 * CHOOSE(CONTROL!$C$9, $D$9, 100%, $F$9) + CHOOSE(CONTROL!$C$27, 0.0021, 0)</f>
        <v>43.382599999999996</v>
      </c>
      <c r="J372" s="10">
        <f>43.3805 * CHOOSE(CONTROL!$C$9, $D$9, 100%, $F$9) + CHOOSE(CONTROL!$C$27, 0.0021, 0)</f>
        <v>43.382599999999996</v>
      </c>
      <c r="K372" s="10">
        <f>43.3805 * CHOOSE(CONTROL!$C$9, $D$9, 100%, $F$9) + CHOOSE(CONTROL!$C$27, 0.0021, 0)</f>
        <v>43.382599999999996</v>
      </c>
      <c r="L372" s="10"/>
    </row>
    <row r="373" spans="1:12" ht="15.75" x14ac:dyDescent="0.25">
      <c r="A373" s="14">
        <v>52655</v>
      </c>
      <c r="B373" s="10">
        <f>42.6383 * CHOOSE(CONTROL!$C$9, $D$9, 100%, $F$9) + CHOOSE(CONTROL!$C$27, 0.0021, 0)</f>
        <v>42.6404</v>
      </c>
      <c r="C373" s="10">
        <f>42.206 * CHOOSE(CONTROL!$C$9, $D$9, 100%, $F$9) + CHOOSE(CONTROL!$C$27, 0.0021, 0)</f>
        <v>42.208100000000002</v>
      </c>
      <c r="D373" s="10">
        <f>42.206 * CHOOSE(CONTROL!$C$9, $D$9, 100%, $F$9) + CHOOSE(CONTROL!$C$27, 0.0021, 0)</f>
        <v>42.208100000000002</v>
      </c>
      <c r="E373" s="10">
        <f>42.0694 * CHOOSE(CONTROL!$C$9, $D$9, 100%, $F$9) + CHOOSE(CONTROL!$C$27, 0.0021, 0)</f>
        <v>42.0715</v>
      </c>
      <c r="F373" s="10">
        <f>42.0694 * CHOOSE(CONTROL!$C$9, $D$9, 100%, $F$9) + CHOOSE(CONTROL!$C$27, 0.0021, 0)</f>
        <v>42.0715</v>
      </c>
      <c r="G373" s="10">
        <f>42.3408 * CHOOSE(CONTROL!$C$9, $D$9, 100%, $F$9) + CHOOSE(CONTROL!$C$27, 0.0021, 0)</f>
        <v>42.3429</v>
      </c>
      <c r="H373" s="10">
        <f>42.206 * CHOOSE(CONTROL!$C$9, $D$9, 100%, $F$9) + CHOOSE(CONTROL!$C$27, 0.0021, 0)</f>
        <v>42.208100000000002</v>
      </c>
      <c r="I373" s="10">
        <f>42.206 * CHOOSE(CONTROL!$C$9, $D$9, 100%, $F$9) + CHOOSE(CONTROL!$C$27, 0.0021, 0)</f>
        <v>42.208100000000002</v>
      </c>
      <c r="J373" s="10">
        <f>42.206 * CHOOSE(CONTROL!$C$9, $D$9, 100%, $F$9) + CHOOSE(CONTROL!$C$27, 0.0021, 0)</f>
        <v>42.208100000000002</v>
      </c>
      <c r="K373" s="10">
        <f>42.206 * CHOOSE(CONTROL!$C$9, $D$9, 100%, $F$9) + CHOOSE(CONTROL!$C$27, 0.0021, 0)</f>
        <v>42.208100000000002</v>
      </c>
      <c r="L373" s="10"/>
    </row>
    <row r="374" spans="1:12" ht="15.75" x14ac:dyDescent="0.25">
      <c r="A374" s="14">
        <v>52687</v>
      </c>
      <c r="B374" s="10">
        <f>42.1535 * CHOOSE(CONTROL!$C$9, $D$9, 100%, $F$9) + CHOOSE(CONTROL!$C$27, 0.0021, 0)</f>
        <v>42.1556</v>
      </c>
      <c r="C374" s="10">
        <f>41.7213 * CHOOSE(CONTROL!$C$9, $D$9, 100%, $F$9) + CHOOSE(CONTROL!$C$27, 0.0021, 0)</f>
        <v>41.723399999999998</v>
      </c>
      <c r="D374" s="10">
        <f>41.7213 * CHOOSE(CONTROL!$C$9, $D$9, 100%, $F$9) + CHOOSE(CONTROL!$C$27, 0.0021, 0)</f>
        <v>41.723399999999998</v>
      </c>
      <c r="E374" s="10">
        <f>41.5846 * CHOOSE(CONTROL!$C$9, $D$9, 100%, $F$9) + CHOOSE(CONTROL!$C$27, 0.0021, 0)</f>
        <v>41.5867</v>
      </c>
      <c r="F374" s="10">
        <f>41.5846 * CHOOSE(CONTROL!$C$9, $D$9, 100%, $F$9) + CHOOSE(CONTROL!$C$27, 0.0021, 0)</f>
        <v>41.5867</v>
      </c>
      <c r="G374" s="10">
        <f>41.856 * CHOOSE(CONTROL!$C$9, $D$9, 100%, $F$9) + CHOOSE(CONTROL!$C$27, 0.0021, 0)</f>
        <v>41.8581</v>
      </c>
      <c r="H374" s="10">
        <f>41.7213 * CHOOSE(CONTROL!$C$9, $D$9, 100%, $F$9) + CHOOSE(CONTROL!$C$27, 0.0021, 0)</f>
        <v>41.723399999999998</v>
      </c>
      <c r="I374" s="10">
        <f>41.7213 * CHOOSE(CONTROL!$C$9, $D$9, 100%, $F$9) + CHOOSE(CONTROL!$C$27, 0.0021, 0)</f>
        <v>41.723399999999998</v>
      </c>
      <c r="J374" s="10">
        <f>41.7213 * CHOOSE(CONTROL!$C$9, $D$9, 100%, $F$9) + CHOOSE(CONTROL!$C$27, 0.0021, 0)</f>
        <v>41.723399999999998</v>
      </c>
      <c r="K374" s="10">
        <f>41.7213 * CHOOSE(CONTROL!$C$9, $D$9, 100%, $F$9) + CHOOSE(CONTROL!$C$27, 0.0021, 0)</f>
        <v>41.723399999999998</v>
      </c>
      <c r="L374" s="10"/>
    </row>
    <row r="375" spans="1:12" ht="15.75" x14ac:dyDescent="0.25">
      <c r="A375" s="14">
        <v>52717</v>
      </c>
      <c r="B375" s="10">
        <f>41.5746 * CHOOSE(CONTROL!$C$9, $D$9, 100%, $F$9) + CHOOSE(CONTROL!$C$27, 0.0021, 0)</f>
        <v>41.576699999999995</v>
      </c>
      <c r="C375" s="10">
        <f>41.1424 * CHOOSE(CONTROL!$C$9, $D$9, 100%, $F$9) + CHOOSE(CONTROL!$C$27, 0.0021, 0)</f>
        <v>41.144500000000001</v>
      </c>
      <c r="D375" s="10">
        <f>41.1424 * CHOOSE(CONTROL!$C$9, $D$9, 100%, $F$9) + CHOOSE(CONTROL!$C$27, 0.0021, 0)</f>
        <v>41.144500000000001</v>
      </c>
      <c r="E375" s="10">
        <f>41.0057 * CHOOSE(CONTROL!$C$9, $D$9, 100%, $F$9) + CHOOSE(CONTROL!$C$27, 0.0021, 0)</f>
        <v>41.007799999999996</v>
      </c>
      <c r="F375" s="10">
        <f>41.0057 * CHOOSE(CONTROL!$C$9, $D$9, 100%, $F$9) + CHOOSE(CONTROL!$C$27, 0.0021, 0)</f>
        <v>41.007799999999996</v>
      </c>
      <c r="G375" s="10">
        <f>41.2771 * CHOOSE(CONTROL!$C$9, $D$9, 100%, $F$9) + CHOOSE(CONTROL!$C$27, 0.0021, 0)</f>
        <v>41.279199999999996</v>
      </c>
      <c r="H375" s="10">
        <f>41.1424 * CHOOSE(CONTROL!$C$9, $D$9, 100%, $F$9) + CHOOSE(CONTROL!$C$27, 0.0021, 0)</f>
        <v>41.144500000000001</v>
      </c>
      <c r="I375" s="10">
        <f>41.1424 * CHOOSE(CONTROL!$C$9, $D$9, 100%, $F$9) + CHOOSE(CONTROL!$C$27, 0.0021, 0)</f>
        <v>41.144500000000001</v>
      </c>
      <c r="J375" s="10">
        <f>41.1424 * CHOOSE(CONTROL!$C$9, $D$9, 100%, $F$9) + CHOOSE(CONTROL!$C$27, 0.0021, 0)</f>
        <v>41.144500000000001</v>
      </c>
      <c r="K375" s="10">
        <f>41.1424 * CHOOSE(CONTROL!$C$9, $D$9, 100%, $F$9) + CHOOSE(CONTROL!$C$27, 0.0021, 0)</f>
        <v>41.144500000000001</v>
      </c>
      <c r="L375" s="10"/>
    </row>
    <row r="376" spans="1:12" ht="15.75" x14ac:dyDescent="0.25">
      <c r="A376" s="14">
        <v>52748</v>
      </c>
      <c r="B376" s="10">
        <f>42.3996 * CHOOSE(CONTROL!$C$9, $D$9, 100%, $F$9) + CHOOSE(CONTROL!$C$27, 0.0021, 0)</f>
        <v>42.401699999999998</v>
      </c>
      <c r="C376" s="10">
        <f>41.9673 * CHOOSE(CONTROL!$C$9, $D$9, 100%, $F$9) + CHOOSE(CONTROL!$C$27, 0.0021, 0)</f>
        <v>41.9694</v>
      </c>
      <c r="D376" s="10">
        <f>41.9673 * CHOOSE(CONTROL!$C$9, $D$9, 100%, $F$9) + CHOOSE(CONTROL!$C$27, 0.0021, 0)</f>
        <v>41.9694</v>
      </c>
      <c r="E376" s="10">
        <f>41.8307 * CHOOSE(CONTROL!$C$9, $D$9, 100%, $F$9) + CHOOSE(CONTROL!$C$27, 0.0021, 0)</f>
        <v>41.832799999999999</v>
      </c>
      <c r="F376" s="10">
        <f>41.8307 * CHOOSE(CONTROL!$C$9, $D$9, 100%, $F$9) + CHOOSE(CONTROL!$C$27, 0.0021, 0)</f>
        <v>41.832799999999999</v>
      </c>
      <c r="G376" s="10">
        <f>42.1021 * CHOOSE(CONTROL!$C$9, $D$9, 100%, $F$9) + CHOOSE(CONTROL!$C$27, 0.0021, 0)</f>
        <v>42.104199999999999</v>
      </c>
      <c r="H376" s="10">
        <f>41.9673 * CHOOSE(CONTROL!$C$9, $D$9, 100%, $F$9) + CHOOSE(CONTROL!$C$27, 0.0021, 0)</f>
        <v>41.9694</v>
      </c>
      <c r="I376" s="10">
        <f>41.9673 * CHOOSE(CONTROL!$C$9, $D$9, 100%, $F$9) + CHOOSE(CONTROL!$C$27, 0.0021, 0)</f>
        <v>41.9694</v>
      </c>
      <c r="J376" s="10">
        <f>41.9673 * CHOOSE(CONTROL!$C$9, $D$9, 100%, $F$9) + CHOOSE(CONTROL!$C$27, 0.0021, 0)</f>
        <v>41.9694</v>
      </c>
      <c r="K376" s="10">
        <f>41.9673 * CHOOSE(CONTROL!$C$9, $D$9, 100%, $F$9) + CHOOSE(CONTROL!$C$27, 0.0021, 0)</f>
        <v>41.9694</v>
      </c>
      <c r="L376" s="10"/>
    </row>
    <row r="377" spans="1:12" ht="15.75" x14ac:dyDescent="0.25">
      <c r="A377" s="14">
        <v>52778</v>
      </c>
      <c r="B377" s="10">
        <f>42.8937 * CHOOSE(CONTROL!$C$9, $D$9, 100%, $F$9) + CHOOSE(CONTROL!$C$27, 0.0021, 0)</f>
        <v>42.895800000000001</v>
      </c>
      <c r="C377" s="10">
        <f>42.4614 * CHOOSE(CONTROL!$C$9, $D$9, 100%, $F$9) + CHOOSE(CONTROL!$C$27, 0.0021, 0)</f>
        <v>42.463499999999996</v>
      </c>
      <c r="D377" s="10">
        <f>42.4614 * CHOOSE(CONTROL!$C$9, $D$9, 100%, $F$9) + CHOOSE(CONTROL!$C$27, 0.0021, 0)</f>
        <v>42.463499999999996</v>
      </c>
      <c r="E377" s="10">
        <f>42.3248 * CHOOSE(CONTROL!$C$9, $D$9, 100%, $F$9) + CHOOSE(CONTROL!$C$27, 0.0021, 0)</f>
        <v>42.326900000000002</v>
      </c>
      <c r="F377" s="10">
        <f>42.3248 * CHOOSE(CONTROL!$C$9, $D$9, 100%, $F$9) + CHOOSE(CONTROL!$C$27, 0.0021, 0)</f>
        <v>42.326900000000002</v>
      </c>
      <c r="G377" s="10">
        <f>42.5962 * CHOOSE(CONTROL!$C$9, $D$9, 100%, $F$9) + CHOOSE(CONTROL!$C$27, 0.0021, 0)</f>
        <v>42.598300000000002</v>
      </c>
      <c r="H377" s="10">
        <f>42.4614 * CHOOSE(CONTROL!$C$9, $D$9, 100%, $F$9) + CHOOSE(CONTROL!$C$27, 0.0021, 0)</f>
        <v>42.463499999999996</v>
      </c>
      <c r="I377" s="10">
        <f>42.4614 * CHOOSE(CONTROL!$C$9, $D$9, 100%, $F$9) + CHOOSE(CONTROL!$C$27, 0.0021, 0)</f>
        <v>42.463499999999996</v>
      </c>
      <c r="J377" s="10">
        <f>42.4614 * CHOOSE(CONTROL!$C$9, $D$9, 100%, $F$9) + CHOOSE(CONTROL!$C$27, 0.0021, 0)</f>
        <v>42.463499999999996</v>
      </c>
      <c r="K377" s="10">
        <f>42.4614 * CHOOSE(CONTROL!$C$9, $D$9, 100%, $F$9) + CHOOSE(CONTROL!$C$27, 0.0021, 0)</f>
        <v>42.463499999999996</v>
      </c>
      <c r="L377" s="10"/>
    </row>
    <row r="378" spans="1:12" ht="15.75" x14ac:dyDescent="0.25">
      <c r="A378" s="14">
        <v>52809</v>
      </c>
      <c r="B378" s="10">
        <f>43.7088 * CHOOSE(CONTROL!$C$9, $D$9, 100%, $F$9) + CHOOSE(CONTROL!$C$27, 0.0021, 0)</f>
        <v>43.710899999999995</v>
      </c>
      <c r="C378" s="10">
        <f>43.2765 * CHOOSE(CONTROL!$C$9, $D$9, 100%, $F$9) + CHOOSE(CONTROL!$C$27, 0.0021, 0)</f>
        <v>43.278599999999997</v>
      </c>
      <c r="D378" s="10">
        <f>43.2765 * CHOOSE(CONTROL!$C$9, $D$9, 100%, $F$9) + CHOOSE(CONTROL!$C$27, 0.0021, 0)</f>
        <v>43.278599999999997</v>
      </c>
      <c r="E378" s="10">
        <f>43.1399 * CHOOSE(CONTROL!$C$9, $D$9, 100%, $F$9) + CHOOSE(CONTROL!$C$27, 0.0021, 0)</f>
        <v>43.141999999999996</v>
      </c>
      <c r="F378" s="10">
        <f>43.1399 * CHOOSE(CONTROL!$C$9, $D$9, 100%, $F$9) + CHOOSE(CONTROL!$C$27, 0.0021, 0)</f>
        <v>43.141999999999996</v>
      </c>
      <c r="G378" s="10">
        <f>43.4113 * CHOOSE(CONTROL!$C$9, $D$9, 100%, $F$9) + CHOOSE(CONTROL!$C$27, 0.0021, 0)</f>
        <v>43.413399999999996</v>
      </c>
      <c r="H378" s="10">
        <f>43.2765 * CHOOSE(CONTROL!$C$9, $D$9, 100%, $F$9) + CHOOSE(CONTROL!$C$27, 0.0021, 0)</f>
        <v>43.278599999999997</v>
      </c>
      <c r="I378" s="10">
        <f>43.2765 * CHOOSE(CONTROL!$C$9, $D$9, 100%, $F$9) + CHOOSE(CONTROL!$C$27, 0.0021, 0)</f>
        <v>43.278599999999997</v>
      </c>
      <c r="J378" s="10">
        <f>43.2765 * CHOOSE(CONTROL!$C$9, $D$9, 100%, $F$9) + CHOOSE(CONTROL!$C$27, 0.0021, 0)</f>
        <v>43.278599999999997</v>
      </c>
      <c r="K378" s="10">
        <f>43.2765 * CHOOSE(CONTROL!$C$9, $D$9, 100%, $F$9) + CHOOSE(CONTROL!$C$27, 0.0021, 0)</f>
        <v>43.278599999999997</v>
      </c>
      <c r="L378" s="10"/>
    </row>
    <row r="379" spans="1:12" ht="15.75" x14ac:dyDescent="0.25">
      <c r="A379" s="14">
        <v>52840</v>
      </c>
      <c r="B379" s="10">
        <f>43.9576 * CHOOSE(CONTROL!$C$9, $D$9, 100%, $F$9) + CHOOSE(CONTROL!$C$27, 0.0021, 0)</f>
        <v>43.959699999999998</v>
      </c>
      <c r="C379" s="10">
        <f>43.5253 * CHOOSE(CONTROL!$C$9, $D$9, 100%, $F$9) + CHOOSE(CONTROL!$C$27, 0.0021, 0)</f>
        <v>43.5274</v>
      </c>
      <c r="D379" s="10">
        <f>43.5253 * CHOOSE(CONTROL!$C$9, $D$9, 100%, $F$9) + CHOOSE(CONTROL!$C$27, 0.0021, 0)</f>
        <v>43.5274</v>
      </c>
      <c r="E379" s="10">
        <f>43.3887 * CHOOSE(CONTROL!$C$9, $D$9, 100%, $F$9) + CHOOSE(CONTROL!$C$27, 0.0021, 0)</f>
        <v>43.390799999999999</v>
      </c>
      <c r="F379" s="10">
        <f>43.3887 * CHOOSE(CONTROL!$C$9, $D$9, 100%, $F$9) + CHOOSE(CONTROL!$C$27, 0.0021, 0)</f>
        <v>43.390799999999999</v>
      </c>
      <c r="G379" s="10">
        <f>43.6601 * CHOOSE(CONTROL!$C$9, $D$9, 100%, $F$9) + CHOOSE(CONTROL!$C$27, 0.0021, 0)</f>
        <v>43.662199999999999</v>
      </c>
      <c r="H379" s="10">
        <f>43.5253 * CHOOSE(CONTROL!$C$9, $D$9, 100%, $F$9) + CHOOSE(CONTROL!$C$27, 0.0021, 0)</f>
        <v>43.5274</v>
      </c>
      <c r="I379" s="10">
        <f>43.5253 * CHOOSE(CONTROL!$C$9, $D$9, 100%, $F$9) + CHOOSE(CONTROL!$C$27, 0.0021, 0)</f>
        <v>43.5274</v>
      </c>
      <c r="J379" s="10">
        <f>43.5253 * CHOOSE(CONTROL!$C$9, $D$9, 100%, $F$9) + CHOOSE(CONTROL!$C$27, 0.0021, 0)</f>
        <v>43.5274</v>
      </c>
      <c r="K379" s="10">
        <f>43.5253 * CHOOSE(CONTROL!$C$9, $D$9, 100%, $F$9) + CHOOSE(CONTROL!$C$27, 0.0021, 0)</f>
        <v>43.5274</v>
      </c>
      <c r="L379" s="10"/>
    </row>
    <row r="380" spans="1:12" ht="15.75" x14ac:dyDescent="0.25">
      <c r="A380" s="14">
        <v>52870</v>
      </c>
      <c r="B380" s="10">
        <f>44.8048 * CHOOSE(CONTROL!$C$9, $D$9, 100%, $F$9) + CHOOSE(CONTROL!$C$27, 0.0021, 0)</f>
        <v>44.806899999999999</v>
      </c>
      <c r="C380" s="10">
        <f>44.3726 * CHOOSE(CONTROL!$C$9, $D$9, 100%, $F$9) + CHOOSE(CONTROL!$C$27, 0.0021, 0)</f>
        <v>44.374699999999997</v>
      </c>
      <c r="D380" s="10">
        <f>44.3726 * CHOOSE(CONTROL!$C$9, $D$9, 100%, $F$9) + CHOOSE(CONTROL!$C$27, 0.0021, 0)</f>
        <v>44.374699999999997</v>
      </c>
      <c r="E380" s="10">
        <f>44.2359 * CHOOSE(CONTROL!$C$9, $D$9, 100%, $F$9) + CHOOSE(CONTROL!$C$27, 0.0021, 0)</f>
        <v>44.238</v>
      </c>
      <c r="F380" s="10">
        <f>44.2359 * CHOOSE(CONTROL!$C$9, $D$9, 100%, $F$9) + CHOOSE(CONTROL!$C$27, 0.0021, 0)</f>
        <v>44.238</v>
      </c>
      <c r="G380" s="10">
        <f>44.5073 * CHOOSE(CONTROL!$C$9, $D$9, 100%, $F$9) + CHOOSE(CONTROL!$C$27, 0.0021, 0)</f>
        <v>44.509399999999999</v>
      </c>
      <c r="H380" s="10">
        <f>44.3726 * CHOOSE(CONTROL!$C$9, $D$9, 100%, $F$9) + CHOOSE(CONTROL!$C$27, 0.0021, 0)</f>
        <v>44.374699999999997</v>
      </c>
      <c r="I380" s="10">
        <f>44.3726 * CHOOSE(CONTROL!$C$9, $D$9, 100%, $F$9) + CHOOSE(CONTROL!$C$27, 0.0021, 0)</f>
        <v>44.374699999999997</v>
      </c>
      <c r="J380" s="10">
        <f>44.3726 * CHOOSE(CONTROL!$C$9, $D$9, 100%, $F$9) + CHOOSE(CONTROL!$C$27, 0.0021, 0)</f>
        <v>44.374699999999997</v>
      </c>
      <c r="K380" s="10">
        <f>44.3726 * CHOOSE(CONTROL!$C$9, $D$9, 100%, $F$9) + CHOOSE(CONTROL!$C$27, 0.0021, 0)</f>
        <v>44.374699999999997</v>
      </c>
      <c r="L380" s="10"/>
    </row>
    <row r="381" spans="1:12" ht="15.75" x14ac:dyDescent="0.25">
      <c r="A381" s="14">
        <v>52901</v>
      </c>
      <c r="B381" s="10">
        <f>45.8773 * CHOOSE(CONTROL!$C$9, $D$9, 100%, $F$9) + CHOOSE(CONTROL!$C$27, 0.0021, 0)</f>
        <v>45.879399999999997</v>
      </c>
      <c r="C381" s="10">
        <f>45.4451 * CHOOSE(CONTROL!$C$9, $D$9, 100%, $F$9) + CHOOSE(CONTROL!$C$27, 0.0021, 0)</f>
        <v>45.447199999999995</v>
      </c>
      <c r="D381" s="10">
        <f>45.4451 * CHOOSE(CONTROL!$C$9, $D$9, 100%, $F$9) + CHOOSE(CONTROL!$C$27, 0.0021, 0)</f>
        <v>45.447199999999995</v>
      </c>
      <c r="E381" s="10">
        <f>45.3084 * CHOOSE(CONTROL!$C$9, $D$9, 100%, $F$9) + CHOOSE(CONTROL!$C$27, 0.0021, 0)</f>
        <v>45.310499999999998</v>
      </c>
      <c r="F381" s="10">
        <f>45.3084 * CHOOSE(CONTROL!$C$9, $D$9, 100%, $F$9) + CHOOSE(CONTROL!$C$27, 0.0021, 0)</f>
        <v>45.310499999999998</v>
      </c>
      <c r="G381" s="10">
        <f>45.5798 * CHOOSE(CONTROL!$C$9, $D$9, 100%, $F$9) + CHOOSE(CONTROL!$C$27, 0.0021, 0)</f>
        <v>45.581899999999997</v>
      </c>
      <c r="H381" s="10">
        <f>45.4451 * CHOOSE(CONTROL!$C$9, $D$9, 100%, $F$9) + CHOOSE(CONTROL!$C$27, 0.0021, 0)</f>
        <v>45.447199999999995</v>
      </c>
      <c r="I381" s="10">
        <f>45.4451 * CHOOSE(CONTROL!$C$9, $D$9, 100%, $F$9) + CHOOSE(CONTROL!$C$27, 0.0021, 0)</f>
        <v>45.447199999999995</v>
      </c>
      <c r="J381" s="10">
        <f>45.4451 * CHOOSE(CONTROL!$C$9, $D$9, 100%, $F$9) + CHOOSE(CONTROL!$C$27, 0.0021, 0)</f>
        <v>45.447199999999995</v>
      </c>
      <c r="K381" s="10">
        <f>45.4451 * CHOOSE(CONTROL!$C$9, $D$9, 100%, $F$9) + CHOOSE(CONTROL!$C$27, 0.0021, 0)</f>
        <v>45.447199999999995</v>
      </c>
      <c r="L381" s="10"/>
    </row>
    <row r="382" spans="1:12" ht="15.75" x14ac:dyDescent="0.25">
      <c r="A382" s="14">
        <v>52931</v>
      </c>
      <c r="B382" s="10">
        <f>45.978 * CHOOSE(CONTROL!$C$9, $D$9, 100%, $F$9) + CHOOSE(CONTROL!$C$27, 0.0021, 0)</f>
        <v>45.9801</v>
      </c>
      <c r="C382" s="10">
        <f>45.5458 * CHOOSE(CONTROL!$C$9, $D$9, 100%, $F$9) + CHOOSE(CONTROL!$C$27, 0.0021, 0)</f>
        <v>45.547899999999998</v>
      </c>
      <c r="D382" s="10">
        <f>45.5458 * CHOOSE(CONTROL!$C$9, $D$9, 100%, $F$9) + CHOOSE(CONTROL!$C$27, 0.0021, 0)</f>
        <v>45.547899999999998</v>
      </c>
      <c r="E382" s="10">
        <f>45.4091 * CHOOSE(CONTROL!$C$9, $D$9, 100%, $F$9) + CHOOSE(CONTROL!$C$27, 0.0021, 0)</f>
        <v>45.411200000000001</v>
      </c>
      <c r="F382" s="10">
        <f>45.4091 * CHOOSE(CONTROL!$C$9, $D$9, 100%, $F$9) + CHOOSE(CONTROL!$C$27, 0.0021, 0)</f>
        <v>45.411200000000001</v>
      </c>
      <c r="G382" s="10">
        <f>45.6805 * CHOOSE(CONTROL!$C$9, $D$9, 100%, $F$9) + CHOOSE(CONTROL!$C$27, 0.0021, 0)</f>
        <v>45.682600000000001</v>
      </c>
      <c r="H382" s="10">
        <f>45.5458 * CHOOSE(CONTROL!$C$9, $D$9, 100%, $F$9) + CHOOSE(CONTROL!$C$27, 0.0021, 0)</f>
        <v>45.547899999999998</v>
      </c>
      <c r="I382" s="10">
        <f>45.5458 * CHOOSE(CONTROL!$C$9, $D$9, 100%, $F$9) + CHOOSE(CONTROL!$C$27, 0.0021, 0)</f>
        <v>45.547899999999998</v>
      </c>
      <c r="J382" s="10">
        <f>45.5458 * CHOOSE(CONTROL!$C$9, $D$9, 100%, $F$9) + CHOOSE(CONTROL!$C$27, 0.0021, 0)</f>
        <v>45.547899999999998</v>
      </c>
      <c r="K382" s="10">
        <f>45.5458 * CHOOSE(CONTROL!$C$9, $D$9, 100%, $F$9) + CHOOSE(CONTROL!$C$27, 0.0021, 0)</f>
        <v>45.547899999999998</v>
      </c>
      <c r="L382" s="10"/>
    </row>
    <row r="383" spans="1:12" ht="15.75" x14ac:dyDescent="0.25">
      <c r="A383" s="14">
        <v>52962</v>
      </c>
      <c r="B383" s="10">
        <f>45.1214 * CHOOSE(CONTROL!$C$9, $D$9, 100%, $F$9) + CHOOSE(CONTROL!$C$27, 0.0021, 0)</f>
        <v>45.1235</v>
      </c>
      <c r="C383" s="10">
        <f>44.6892 * CHOOSE(CONTROL!$C$9, $D$9, 100%, $F$9) + CHOOSE(CONTROL!$C$27, 0.0021, 0)</f>
        <v>44.691299999999998</v>
      </c>
      <c r="D383" s="10">
        <f>44.6892 * CHOOSE(CONTROL!$C$9, $D$9, 100%, $F$9) + CHOOSE(CONTROL!$C$27, 0.0021, 0)</f>
        <v>44.691299999999998</v>
      </c>
      <c r="E383" s="10">
        <f>44.5525 * CHOOSE(CONTROL!$C$9, $D$9, 100%, $F$9) + CHOOSE(CONTROL!$C$27, 0.0021, 0)</f>
        <v>44.554600000000001</v>
      </c>
      <c r="F383" s="10">
        <f>44.5525 * CHOOSE(CONTROL!$C$9, $D$9, 100%, $F$9) + CHOOSE(CONTROL!$C$27, 0.0021, 0)</f>
        <v>44.554600000000001</v>
      </c>
      <c r="G383" s="10">
        <f>44.8239 * CHOOSE(CONTROL!$C$9, $D$9, 100%, $F$9) + CHOOSE(CONTROL!$C$27, 0.0021, 0)</f>
        <v>44.826000000000001</v>
      </c>
      <c r="H383" s="10">
        <f>44.6892 * CHOOSE(CONTROL!$C$9, $D$9, 100%, $F$9) + CHOOSE(CONTROL!$C$27, 0.0021, 0)</f>
        <v>44.691299999999998</v>
      </c>
      <c r="I383" s="10">
        <f>44.6892 * CHOOSE(CONTROL!$C$9, $D$9, 100%, $F$9) + CHOOSE(CONTROL!$C$27, 0.0021, 0)</f>
        <v>44.691299999999998</v>
      </c>
      <c r="J383" s="10">
        <f>44.6892 * CHOOSE(CONTROL!$C$9, $D$9, 100%, $F$9) + CHOOSE(CONTROL!$C$27, 0.0021, 0)</f>
        <v>44.691299999999998</v>
      </c>
      <c r="K383" s="10">
        <f>44.6892 * CHOOSE(CONTROL!$C$9, $D$9, 100%, $F$9) + CHOOSE(CONTROL!$C$27, 0.0021, 0)</f>
        <v>44.691299999999998</v>
      </c>
      <c r="L383" s="10"/>
    </row>
    <row r="384" spans="1:12" ht="15.75" x14ac:dyDescent="0.25">
      <c r="A384" s="14">
        <v>52993</v>
      </c>
      <c r="B384" s="10">
        <f>44.4656 * CHOOSE(CONTROL!$C$9, $D$9, 100%, $F$9) + CHOOSE(CONTROL!$C$27, 0.0021, 0)</f>
        <v>44.467700000000001</v>
      </c>
      <c r="C384" s="10">
        <f>44.0334 * CHOOSE(CONTROL!$C$9, $D$9, 100%, $F$9) + CHOOSE(CONTROL!$C$27, 0.0021, 0)</f>
        <v>44.035499999999999</v>
      </c>
      <c r="D384" s="10">
        <f>44.0334 * CHOOSE(CONTROL!$C$9, $D$9, 100%, $F$9) + CHOOSE(CONTROL!$C$27, 0.0021, 0)</f>
        <v>44.035499999999999</v>
      </c>
      <c r="E384" s="10">
        <f>43.8967 * CHOOSE(CONTROL!$C$9, $D$9, 100%, $F$9) + CHOOSE(CONTROL!$C$27, 0.0021, 0)</f>
        <v>43.898800000000001</v>
      </c>
      <c r="F384" s="10">
        <f>43.8967 * CHOOSE(CONTROL!$C$9, $D$9, 100%, $F$9) + CHOOSE(CONTROL!$C$27, 0.0021, 0)</f>
        <v>43.898800000000001</v>
      </c>
      <c r="G384" s="10">
        <f>44.1681 * CHOOSE(CONTROL!$C$9, $D$9, 100%, $F$9) + CHOOSE(CONTROL!$C$27, 0.0021, 0)</f>
        <v>44.170200000000001</v>
      </c>
      <c r="H384" s="10">
        <f>44.0334 * CHOOSE(CONTROL!$C$9, $D$9, 100%, $F$9) + CHOOSE(CONTROL!$C$27, 0.0021, 0)</f>
        <v>44.035499999999999</v>
      </c>
      <c r="I384" s="10">
        <f>44.0334 * CHOOSE(CONTROL!$C$9, $D$9, 100%, $F$9) + CHOOSE(CONTROL!$C$27, 0.0021, 0)</f>
        <v>44.035499999999999</v>
      </c>
      <c r="J384" s="10">
        <f>44.0334 * CHOOSE(CONTROL!$C$9, $D$9, 100%, $F$9) + CHOOSE(CONTROL!$C$27, 0.0021, 0)</f>
        <v>44.035499999999999</v>
      </c>
      <c r="K384" s="10">
        <f>44.0334 * CHOOSE(CONTROL!$C$9, $D$9, 100%, $F$9) + CHOOSE(CONTROL!$C$27, 0.0021, 0)</f>
        <v>44.035499999999999</v>
      </c>
      <c r="L384" s="10"/>
    </row>
    <row r="385" spans="1:12" ht="15.75" x14ac:dyDescent="0.25">
      <c r="A385" s="14">
        <v>53021</v>
      </c>
      <c r="B385" s="10">
        <f>43.2727 * CHOOSE(CONTROL!$C$9, $D$9, 100%, $F$9) + CHOOSE(CONTROL!$C$27, 0.0021, 0)</f>
        <v>43.274799999999999</v>
      </c>
      <c r="C385" s="10">
        <f>42.8405 * CHOOSE(CONTROL!$C$9, $D$9, 100%, $F$9) + CHOOSE(CONTROL!$C$27, 0.0021, 0)</f>
        <v>42.842599999999997</v>
      </c>
      <c r="D385" s="10">
        <f>42.8405 * CHOOSE(CONTROL!$C$9, $D$9, 100%, $F$9) + CHOOSE(CONTROL!$C$27, 0.0021, 0)</f>
        <v>42.842599999999997</v>
      </c>
      <c r="E385" s="10">
        <f>42.7038 * CHOOSE(CONTROL!$C$9, $D$9, 100%, $F$9) + CHOOSE(CONTROL!$C$27, 0.0021, 0)</f>
        <v>42.7059</v>
      </c>
      <c r="F385" s="10">
        <f>42.7038 * CHOOSE(CONTROL!$C$9, $D$9, 100%, $F$9) + CHOOSE(CONTROL!$C$27, 0.0021, 0)</f>
        <v>42.7059</v>
      </c>
      <c r="G385" s="10">
        <f>42.9752 * CHOOSE(CONTROL!$C$9, $D$9, 100%, $F$9) + CHOOSE(CONTROL!$C$27, 0.0021, 0)</f>
        <v>42.9773</v>
      </c>
      <c r="H385" s="10">
        <f>42.8405 * CHOOSE(CONTROL!$C$9, $D$9, 100%, $F$9) + CHOOSE(CONTROL!$C$27, 0.0021, 0)</f>
        <v>42.842599999999997</v>
      </c>
      <c r="I385" s="10">
        <f>42.8405 * CHOOSE(CONTROL!$C$9, $D$9, 100%, $F$9) + CHOOSE(CONTROL!$C$27, 0.0021, 0)</f>
        <v>42.842599999999997</v>
      </c>
      <c r="J385" s="10">
        <f>42.8405 * CHOOSE(CONTROL!$C$9, $D$9, 100%, $F$9) + CHOOSE(CONTROL!$C$27, 0.0021, 0)</f>
        <v>42.842599999999997</v>
      </c>
      <c r="K385" s="10">
        <f>42.8405 * CHOOSE(CONTROL!$C$9, $D$9, 100%, $F$9) + CHOOSE(CONTROL!$C$27, 0.0021, 0)</f>
        <v>42.842599999999997</v>
      </c>
      <c r="L385" s="10"/>
    </row>
    <row r="386" spans="1:12" ht="15.75" x14ac:dyDescent="0.25">
      <c r="A386" s="14">
        <v>53052</v>
      </c>
      <c r="B386" s="10">
        <f>42.7803 * CHOOSE(CONTROL!$C$9, $D$9, 100%, $F$9) + CHOOSE(CONTROL!$C$27, 0.0021, 0)</f>
        <v>42.782399999999996</v>
      </c>
      <c r="C386" s="10">
        <f>42.3481 * CHOOSE(CONTROL!$C$9, $D$9, 100%, $F$9) + CHOOSE(CONTROL!$C$27, 0.0021, 0)</f>
        <v>42.350200000000001</v>
      </c>
      <c r="D386" s="10">
        <f>42.3481 * CHOOSE(CONTROL!$C$9, $D$9, 100%, $F$9) + CHOOSE(CONTROL!$C$27, 0.0021, 0)</f>
        <v>42.350200000000001</v>
      </c>
      <c r="E386" s="10">
        <f>42.2114 * CHOOSE(CONTROL!$C$9, $D$9, 100%, $F$9) + CHOOSE(CONTROL!$C$27, 0.0021, 0)</f>
        <v>42.213499999999996</v>
      </c>
      <c r="F386" s="10">
        <f>42.2114 * CHOOSE(CONTROL!$C$9, $D$9, 100%, $F$9) + CHOOSE(CONTROL!$C$27, 0.0021, 0)</f>
        <v>42.213499999999996</v>
      </c>
      <c r="G386" s="10">
        <f>42.4828 * CHOOSE(CONTROL!$C$9, $D$9, 100%, $F$9) + CHOOSE(CONTROL!$C$27, 0.0021, 0)</f>
        <v>42.484899999999996</v>
      </c>
      <c r="H386" s="10">
        <f>42.3481 * CHOOSE(CONTROL!$C$9, $D$9, 100%, $F$9) + CHOOSE(CONTROL!$C$27, 0.0021, 0)</f>
        <v>42.350200000000001</v>
      </c>
      <c r="I386" s="10">
        <f>42.3481 * CHOOSE(CONTROL!$C$9, $D$9, 100%, $F$9) + CHOOSE(CONTROL!$C$27, 0.0021, 0)</f>
        <v>42.350200000000001</v>
      </c>
      <c r="J386" s="10">
        <f>42.3481 * CHOOSE(CONTROL!$C$9, $D$9, 100%, $F$9) + CHOOSE(CONTROL!$C$27, 0.0021, 0)</f>
        <v>42.350200000000001</v>
      </c>
      <c r="K386" s="10">
        <f>42.3481 * CHOOSE(CONTROL!$C$9, $D$9, 100%, $F$9) + CHOOSE(CONTROL!$C$27, 0.0021, 0)</f>
        <v>42.350200000000001</v>
      </c>
      <c r="L386" s="10"/>
    </row>
    <row r="387" spans="1:12" ht="15.75" x14ac:dyDescent="0.25">
      <c r="A387" s="14">
        <v>53082</v>
      </c>
      <c r="B387" s="10">
        <f>42.1923 * CHOOSE(CONTROL!$C$9, $D$9, 100%, $F$9) + CHOOSE(CONTROL!$C$27, 0.0021, 0)</f>
        <v>42.194400000000002</v>
      </c>
      <c r="C387" s="10">
        <f>41.7601 * CHOOSE(CONTROL!$C$9, $D$9, 100%, $F$9) + CHOOSE(CONTROL!$C$27, 0.0021, 0)</f>
        <v>41.7622</v>
      </c>
      <c r="D387" s="10">
        <f>41.7601 * CHOOSE(CONTROL!$C$9, $D$9, 100%, $F$9) + CHOOSE(CONTROL!$C$27, 0.0021, 0)</f>
        <v>41.7622</v>
      </c>
      <c r="E387" s="10">
        <f>41.6234 * CHOOSE(CONTROL!$C$9, $D$9, 100%, $F$9) + CHOOSE(CONTROL!$C$27, 0.0021, 0)</f>
        <v>41.625499999999995</v>
      </c>
      <c r="F387" s="10">
        <f>41.6234 * CHOOSE(CONTROL!$C$9, $D$9, 100%, $F$9) + CHOOSE(CONTROL!$C$27, 0.0021, 0)</f>
        <v>41.625499999999995</v>
      </c>
      <c r="G387" s="10">
        <f>41.8948 * CHOOSE(CONTROL!$C$9, $D$9, 100%, $F$9) + CHOOSE(CONTROL!$C$27, 0.0021, 0)</f>
        <v>41.896899999999995</v>
      </c>
      <c r="H387" s="10">
        <f>41.7601 * CHOOSE(CONTROL!$C$9, $D$9, 100%, $F$9) + CHOOSE(CONTROL!$C$27, 0.0021, 0)</f>
        <v>41.7622</v>
      </c>
      <c r="I387" s="10">
        <f>41.7601 * CHOOSE(CONTROL!$C$9, $D$9, 100%, $F$9) + CHOOSE(CONTROL!$C$27, 0.0021, 0)</f>
        <v>41.7622</v>
      </c>
      <c r="J387" s="10">
        <f>41.7601 * CHOOSE(CONTROL!$C$9, $D$9, 100%, $F$9) + CHOOSE(CONTROL!$C$27, 0.0021, 0)</f>
        <v>41.7622</v>
      </c>
      <c r="K387" s="10">
        <f>41.7601 * CHOOSE(CONTROL!$C$9, $D$9, 100%, $F$9) + CHOOSE(CONTROL!$C$27, 0.0021, 0)</f>
        <v>41.7622</v>
      </c>
      <c r="L387" s="10"/>
    </row>
    <row r="388" spans="1:12" ht="15.75" x14ac:dyDescent="0.25">
      <c r="A388" s="14">
        <v>53113</v>
      </c>
      <c r="B388" s="10">
        <f>43.0303 * CHOOSE(CONTROL!$C$9, $D$9, 100%, $F$9) + CHOOSE(CONTROL!$C$27, 0.0021, 0)</f>
        <v>43.032399999999996</v>
      </c>
      <c r="C388" s="10">
        <f>42.598 * CHOOSE(CONTROL!$C$9, $D$9, 100%, $F$9) + CHOOSE(CONTROL!$C$27, 0.0021, 0)</f>
        <v>42.600099999999998</v>
      </c>
      <c r="D388" s="10">
        <f>42.598 * CHOOSE(CONTROL!$C$9, $D$9, 100%, $F$9) + CHOOSE(CONTROL!$C$27, 0.0021, 0)</f>
        <v>42.600099999999998</v>
      </c>
      <c r="E388" s="10">
        <f>42.4614 * CHOOSE(CONTROL!$C$9, $D$9, 100%, $F$9) + CHOOSE(CONTROL!$C$27, 0.0021, 0)</f>
        <v>42.463499999999996</v>
      </c>
      <c r="F388" s="10">
        <f>42.4614 * CHOOSE(CONTROL!$C$9, $D$9, 100%, $F$9) + CHOOSE(CONTROL!$C$27, 0.0021, 0)</f>
        <v>42.463499999999996</v>
      </c>
      <c r="G388" s="10">
        <f>42.7327 * CHOOSE(CONTROL!$C$9, $D$9, 100%, $F$9) + CHOOSE(CONTROL!$C$27, 0.0021, 0)</f>
        <v>42.7348</v>
      </c>
      <c r="H388" s="10">
        <f>42.598 * CHOOSE(CONTROL!$C$9, $D$9, 100%, $F$9) + CHOOSE(CONTROL!$C$27, 0.0021, 0)</f>
        <v>42.600099999999998</v>
      </c>
      <c r="I388" s="10">
        <f>42.598 * CHOOSE(CONTROL!$C$9, $D$9, 100%, $F$9) + CHOOSE(CONTROL!$C$27, 0.0021, 0)</f>
        <v>42.600099999999998</v>
      </c>
      <c r="J388" s="10">
        <f>42.598 * CHOOSE(CONTROL!$C$9, $D$9, 100%, $F$9) + CHOOSE(CONTROL!$C$27, 0.0021, 0)</f>
        <v>42.600099999999998</v>
      </c>
      <c r="K388" s="10">
        <f>42.598 * CHOOSE(CONTROL!$C$9, $D$9, 100%, $F$9) + CHOOSE(CONTROL!$C$27, 0.0021, 0)</f>
        <v>42.600099999999998</v>
      </c>
      <c r="L388" s="10"/>
    </row>
    <row r="389" spans="1:12" ht="15.75" x14ac:dyDescent="0.25">
      <c r="A389" s="14">
        <v>53143</v>
      </c>
      <c r="B389" s="10">
        <f>43.5321 * CHOOSE(CONTROL!$C$9, $D$9, 100%, $F$9) + CHOOSE(CONTROL!$C$27, 0.0021, 0)</f>
        <v>43.534199999999998</v>
      </c>
      <c r="C389" s="10">
        <f>43.0999 * CHOOSE(CONTROL!$C$9, $D$9, 100%, $F$9) + CHOOSE(CONTROL!$C$27, 0.0021, 0)</f>
        <v>43.101999999999997</v>
      </c>
      <c r="D389" s="10">
        <f>43.0999 * CHOOSE(CONTROL!$C$9, $D$9, 100%, $F$9) + CHOOSE(CONTROL!$C$27, 0.0021, 0)</f>
        <v>43.101999999999997</v>
      </c>
      <c r="E389" s="10">
        <f>42.9632 * CHOOSE(CONTROL!$C$9, $D$9, 100%, $F$9) + CHOOSE(CONTROL!$C$27, 0.0021, 0)</f>
        <v>42.965299999999999</v>
      </c>
      <c r="F389" s="10">
        <f>42.9632 * CHOOSE(CONTROL!$C$9, $D$9, 100%, $F$9) + CHOOSE(CONTROL!$C$27, 0.0021, 0)</f>
        <v>42.965299999999999</v>
      </c>
      <c r="G389" s="10">
        <f>43.2346 * CHOOSE(CONTROL!$C$9, $D$9, 100%, $F$9) + CHOOSE(CONTROL!$C$27, 0.0021, 0)</f>
        <v>43.236699999999999</v>
      </c>
      <c r="H389" s="10">
        <f>43.0999 * CHOOSE(CONTROL!$C$9, $D$9, 100%, $F$9) + CHOOSE(CONTROL!$C$27, 0.0021, 0)</f>
        <v>43.101999999999997</v>
      </c>
      <c r="I389" s="10">
        <f>43.0999 * CHOOSE(CONTROL!$C$9, $D$9, 100%, $F$9) + CHOOSE(CONTROL!$C$27, 0.0021, 0)</f>
        <v>43.101999999999997</v>
      </c>
      <c r="J389" s="10">
        <f>43.0999 * CHOOSE(CONTROL!$C$9, $D$9, 100%, $F$9) + CHOOSE(CONTROL!$C$27, 0.0021, 0)</f>
        <v>43.101999999999997</v>
      </c>
      <c r="K389" s="10">
        <f>43.0999 * CHOOSE(CONTROL!$C$9, $D$9, 100%, $F$9) + CHOOSE(CONTROL!$C$27, 0.0021, 0)</f>
        <v>43.101999999999997</v>
      </c>
      <c r="L389" s="10"/>
    </row>
    <row r="390" spans="1:12" ht="15.75" x14ac:dyDescent="0.25">
      <c r="A390" s="14">
        <v>53174</v>
      </c>
      <c r="B390" s="10">
        <f>44.3601 * CHOOSE(CONTROL!$C$9, $D$9, 100%, $F$9) + CHOOSE(CONTROL!$C$27, 0.0021, 0)</f>
        <v>44.362200000000001</v>
      </c>
      <c r="C390" s="10">
        <f>43.9278 * CHOOSE(CONTROL!$C$9, $D$9, 100%, $F$9) + CHOOSE(CONTROL!$C$27, 0.0021, 0)</f>
        <v>43.929899999999996</v>
      </c>
      <c r="D390" s="10">
        <f>43.9278 * CHOOSE(CONTROL!$C$9, $D$9, 100%, $F$9) + CHOOSE(CONTROL!$C$27, 0.0021, 0)</f>
        <v>43.929899999999996</v>
      </c>
      <c r="E390" s="10">
        <f>43.7912 * CHOOSE(CONTROL!$C$9, $D$9, 100%, $F$9) + CHOOSE(CONTROL!$C$27, 0.0021, 0)</f>
        <v>43.793300000000002</v>
      </c>
      <c r="F390" s="10">
        <f>43.7912 * CHOOSE(CONTROL!$C$9, $D$9, 100%, $F$9) + CHOOSE(CONTROL!$C$27, 0.0021, 0)</f>
        <v>43.793300000000002</v>
      </c>
      <c r="G390" s="10">
        <f>44.0625 * CHOOSE(CONTROL!$C$9, $D$9, 100%, $F$9) + CHOOSE(CONTROL!$C$27, 0.0021, 0)</f>
        <v>44.064599999999999</v>
      </c>
      <c r="H390" s="10">
        <f>43.9278 * CHOOSE(CONTROL!$C$9, $D$9, 100%, $F$9) + CHOOSE(CONTROL!$C$27, 0.0021, 0)</f>
        <v>43.929899999999996</v>
      </c>
      <c r="I390" s="10">
        <f>43.9278 * CHOOSE(CONTROL!$C$9, $D$9, 100%, $F$9) + CHOOSE(CONTROL!$C$27, 0.0021, 0)</f>
        <v>43.929899999999996</v>
      </c>
      <c r="J390" s="10">
        <f>43.9278 * CHOOSE(CONTROL!$C$9, $D$9, 100%, $F$9) + CHOOSE(CONTROL!$C$27, 0.0021, 0)</f>
        <v>43.929899999999996</v>
      </c>
      <c r="K390" s="10">
        <f>43.9278 * CHOOSE(CONTROL!$C$9, $D$9, 100%, $F$9) + CHOOSE(CONTROL!$C$27, 0.0021, 0)</f>
        <v>43.929899999999996</v>
      </c>
      <c r="L390" s="10"/>
    </row>
    <row r="391" spans="1:12" ht="15.75" x14ac:dyDescent="0.25">
      <c r="A391" s="14">
        <v>53205</v>
      </c>
      <c r="B391" s="10">
        <f>44.6128 * CHOOSE(CONTROL!$C$9, $D$9, 100%, $F$9) + CHOOSE(CONTROL!$C$27, 0.0021, 0)</f>
        <v>44.614899999999999</v>
      </c>
      <c r="C391" s="10">
        <f>44.1805 * CHOOSE(CONTROL!$C$9, $D$9, 100%, $F$9) + CHOOSE(CONTROL!$C$27, 0.0021, 0)</f>
        <v>44.182600000000001</v>
      </c>
      <c r="D391" s="10">
        <f>44.1805 * CHOOSE(CONTROL!$C$9, $D$9, 100%, $F$9) + CHOOSE(CONTROL!$C$27, 0.0021, 0)</f>
        <v>44.182600000000001</v>
      </c>
      <c r="E391" s="10">
        <f>44.0439 * CHOOSE(CONTROL!$C$9, $D$9, 100%, $F$9) + CHOOSE(CONTROL!$C$27, 0.0021, 0)</f>
        <v>44.045999999999999</v>
      </c>
      <c r="F391" s="10">
        <f>44.0439 * CHOOSE(CONTROL!$C$9, $D$9, 100%, $F$9) + CHOOSE(CONTROL!$C$27, 0.0021, 0)</f>
        <v>44.045999999999999</v>
      </c>
      <c r="G391" s="10">
        <f>44.3152 * CHOOSE(CONTROL!$C$9, $D$9, 100%, $F$9) + CHOOSE(CONTROL!$C$27, 0.0021, 0)</f>
        <v>44.317299999999996</v>
      </c>
      <c r="H391" s="10">
        <f>44.1805 * CHOOSE(CONTROL!$C$9, $D$9, 100%, $F$9) + CHOOSE(CONTROL!$C$27, 0.0021, 0)</f>
        <v>44.182600000000001</v>
      </c>
      <c r="I391" s="10">
        <f>44.1805 * CHOOSE(CONTROL!$C$9, $D$9, 100%, $F$9) + CHOOSE(CONTROL!$C$27, 0.0021, 0)</f>
        <v>44.182600000000001</v>
      </c>
      <c r="J391" s="10">
        <f>44.1805 * CHOOSE(CONTROL!$C$9, $D$9, 100%, $F$9) + CHOOSE(CONTROL!$C$27, 0.0021, 0)</f>
        <v>44.182600000000001</v>
      </c>
      <c r="K391" s="10">
        <f>44.1805 * CHOOSE(CONTROL!$C$9, $D$9, 100%, $F$9) + CHOOSE(CONTROL!$C$27, 0.0021, 0)</f>
        <v>44.182600000000001</v>
      </c>
      <c r="L391" s="10"/>
    </row>
    <row r="392" spans="1:12" ht="15.75" x14ac:dyDescent="0.25">
      <c r="A392" s="14">
        <v>53235</v>
      </c>
      <c r="B392" s="10">
        <f>45.4734 * CHOOSE(CONTROL!$C$9, $D$9, 100%, $F$9) + CHOOSE(CONTROL!$C$27, 0.0021, 0)</f>
        <v>45.475499999999997</v>
      </c>
      <c r="C392" s="10">
        <f>45.0411 * CHOOSE(CONTROL!$C$9, $D$9, 100%, $F$9) + CHOOSE(CONTROL!$C$27, 0.0021, 0)</f>
        <v>45.043199999999999</v>
      </c>
      <c r="D392" s="10">
        <f>45.0411 * CHOOSE(CONTROL!$C$9, $D$9, 100%, $F$9) + CHOOSE(CONTROL!$C$27, 0.0021, 0)</f>
        <v>45.043199999999999</v>
      </c>
      <c r="E392" s="10">
        <f>44.9044 * CHOOSE(CONTROL!$C$9, $D$9, 100%, $F$9) + CHOOSE(CONTROL!$C$27, 0.0021, 0)</f>
        <v>44.906500000000001</v>
      </c>
      <c r="F392" s="10">
        <f>44.9044 * CHOOSE(CONTROL!$C$9, $D$9, 100%, $F$9) + CHOOSE(CONTROL!$C$27, 0.0021, 0)</f>
        <v>44.906500000000001</v>
      </c>
      <c r="G392" s="10">
        <f>45.1758 * CHOOSE(CONTROL!$C$9, $D$9, 100%, $F$9) + CHOOSE(CONTROL!$C$27, 0.0021, 0)</f>
        <v>45.177900000000001</v>
      </c>
      <c r="H392" s="10">
        <f>45.0411 * CHOOSE(CONTROL!$C$9, $D$9, 100%, $F$9) + CHOOSE(CONTROL!$C$27, 0.0021, 0)</f>
        <v>45.043199999999999</v>
      </c>
      <c r="I392" s="10">
        <f>45.0411 * CHOOSE(CONTROL!$C$9, $D$9, 100%, $F$9) + CHOOSE(CONTROL!$C$27, 0.0021, 0)</f>
        <v>45.043199999999999</v>
      </c>
      <c r="J392" s="10">
        <f>45.0411 * CHOOSE(CONTROL!$C$9, $D$9, 100%, $F$9) + CHOOSE(CONTROL!$C$27, 0.0021, 0)</f>
        <v>45.043199999999999</v>
      </c>
      <c r="K392" s="10">
        <f>45.0411 * CHOOSE(CONTROL!$C$9, $D$9, 100%, $F$9) + CHOOSE(CONTROL!$C$27, 0.0021, 0)</f>
        <v>45.043199999999999</v>
      </c>
      <c r="L392" s="10"/>
    </row>
    <row r="393" spans="1:12" ht="15.75" x14ac:dyDescent="0.25">
      <c r="A393" s="14">
        <v>53266</v>
      </c>
      <c r="B393" s="10">
        <f>46.5627 * CHOOSE(CONTROL!$C$9, $D$9, 100%, $F$9) + CHOOSE(CONTROL!$C$27, 0.0021, 0)</f>
        <v>46.564799999999998</v>
      </c>
      <c r="C393" s="10">
        <f>46.1305 * CHOOSE(CONTROL!$C$9, $D$9, 100%, $F$9) + CHOOSE(CONTROL!$C$27, 0.0021, 0)</f>
        <v>46.132599999999996</v>
      </c>
      <c r="D393" s="10">
        <f>46.1305 * CHOOSE(CONTROL!$C$9, $D$9, 100%, $F$9) + CHOOSE(CONTROL!$C$27, 0.0021, 0)</f>
        <v>46.132599999999996</v>
      </c>
      <c r="E393" s="10">
        <f>45.9938 * CHOOSE(CONTROL!$C$9, $D$9, 100%, $F$9) + CHOOSE(CONTROL!$C$27, 0.0021, 0)</f>
        <v>45.995899999999999</v>
      </c>
      <c r="F393" s="10">
        <f>45.9938 * CHOOSE(CONTROL!$C$9, $D$9, 100%, $F$9) + CHOOSE(CONTROL!$C$27, 0.0021, 0)</f>
        <v>45.995899999999999</v>
      </c>
      <c r="G393" s="10">
        <f>46.2652 * CHOOSE(CONTROL!$C$9, $D$9, 100%, $F$9) + CHOOSE(CONTROL!$C$27, 0.0021, 0)</f>
        <v>46.267299999999999</v>
      </c>
      <c r="H393" s="10">
        <f>46.1305 * CHOOSE(CONTROL!$C$9, $D$9, 100%, $F$9) + CHOOSE(CONTROL!$C$27, 0.0021, 0)</f>
        <v>46.132599999999996</v>
      </c>
      <c r="I393" s="10">
        <f>46.1305 * CHOOSE(CONTROL!$C$9, $D$9, 100%, $F$9) + CHOOSE(CONTROL!$C$27, 0.0021, 0)</f>
        <v>46.132599999999996</v>
      </c>
      <c r="J393" s="10">
        <f>46.1305 * CHOOSE(CONTROL!$C$9, $D$9, 100%, $F$9) + CHOOSE(CONTROL!$C$27, 0.0021, 0)</f>
        <v>46.132599999999996</v>
      </c>
      <c r="K393" s="10">
        <f>46.1305 * CHOOSE(CONTROL!$C$9, $D$9, 100%, $F$9) + CHOOSE(CONTROL!$C$27, 0.0021, 0)</f>
        <v>46.132599999999996</v>
      </c>
      <c r="L393" s="10"/>
    </row>
    <row r="394" spans="1:12" ht="15.75" x14ac:dyDescent="0.25">
      <c r="A394" s="14">
        <v>53296</v>
      </c>
      <c r="B394" s="10">
        <f>46.665 * CHOOSE(CONTROL!$C$9, $D$9, 100%, $F$9) + CHOOSE(CONTROL!$C$27, 0.0021, 0)</f>
        <v>46.667099999999998</v>
      </c>
      <c r="C394" s="10">
        <f>46.2327 * CHOOSE(CONTROL!$C$9, $D$9, 100%, $F$9) + CHOOSE(CONTROL!$C$27, 0.0021, 0)</f>
        <v>46.2348</v>
      </c>
      <c r="D394" s="10">
        <f>46.2327 * CHOOSE(CONTROL!$C$9, $D$9, 100%, $F$9) + CHOOSE(CONTROL!$C$27, 0.0021, 0)</f>
        <v>46.2348</v>
      </c>
      <c r="E394" s="10">
        <f>46.0961 * CHOOSE(CONTROL!$C$9, $D$9, 100%, $F$9) + CHOOSE(CONTROL!$C$27, 0.0021, 0)</f>
        <v>46.098199999999999</v>
      </c>
      <c r="F394" s="10">
        <f>46.0961 * CHOOSE(CONTROL!$C$9, $D$9, 100%, $F$9) + CHOOSE(CONTROL!$C$27, 0.0021, 0)</f>
        <v>46.098199999999999</v>
      </c>
      <c r="G394" s="10">
        <f>46.3674 * CHOOSE(CONTROL!$C$9, $D$9, 100%, $F$9) + CHOOSE(CONTROL!$C$27, 0.0021, 0)</f>
        <v>46.369500000000002</v>
      </c>
      <c r="H394" s="10">
        <f>46.2327 * CHOOSE(CONTROL!$C$9, $D$9, 100%, $F$9) + CHOOSE(CONTROL!$C$27, 0.0021, 0)</f>
        <v>46.2348</v>
      </c>
      <c r="I394" s="10">
        <f>46.2327 * CHOOSE(CONTROL!$C$9, $D$9, 100%, $F$9) + CHOOSE(CONTROL!$C$27, 0.0021, 0)</f>
        <v>46.2348</v>
      </c>
      <c r="J394" s="10">
        <f>46.2327 * CHOOSE(CONTROL!$C$9, $D$9, 100%, $F$9) + CHOOSE(CONTROL!$C$27, 0.0021, 0)</f>
        <v>46.2348</v>
      </c>
      <c r="K394" s="10">
        <f>46.2327 * CHOOSE(CONTROL!$C$9, $D$9, 100%, $F$9) + CHOOSE(CONTROL!$C$27, 0.0021, 0)</f>
        <v>46.2348</v>
      </c>
      <c r="L394" s="10"/>
    </row>
    <row r="395" spans="1:12" ht="15.75" x14ac:dyDescent="0.25">
      <c r="A395" s="14">
        <v>53327</v>
      </c>
      <c r="B395" s="10">
        <f>45.7949 * CHOOSE(CONTROL!$C$9, $D$9, 100%, $F$9) + CHOOSE(CONTROL!$C$27, 0.0021, 0)</f>
        <v>45.796999999999997</v>
      </c>
      <c r="C395" s="10">
        <f>45.3627 * CHOOSE(CONTROL!$C$9, $D$9, 100%, $F$9) + CHOOSE(CONTROL!$C$27, 0.0021, 0)</f>
        <v>45.364799999999995</v>
      </c>
      <c r="D395" s="10">
        <f>45.3627 * CHOOSE(CONTROL!$C$9, $D$9, 100%, $F$9) + CHOOSE(CONTROL!$C$27, 0.0021, 0)</f>
        <v>45.364799999999995</v>
      </c>
      <c r="E395" s="10">
        <f>45.226 * CHOOSE(CONTROL!$C$9, $D$9, 100%, $F$9) + CHOOSE(CONTROL!$C$27, 0.0021, 0)</f>
        <v>45.228099999999998</v>
      </c>
      <c r="F395" s="10">
        <f>45.226 * CHOOSE(CONTROL!$C$9, $D$9, 100%, $F$9) + CHOOSE(CONTROL!$C$27, 0.0021, 0)</f>
        <v>45.228099999999998</v>
      </c>
      <c r="G395" s="10">
        <f>45.4974 * CHOOSE(CONTROL!$C$9, $D$9, 100%, $F$9) + CHOOSE(CONTROL!$C$27, 0.0021, 0)</f>
        <v>45.499499999999998</v>
      </c>
      <c r="H395" s="10">
        <f>45.3627 * CHOOSE(CONTROL!$C$9, $D$9, 100%, $F$9) + CHOOSE(CONTROL!$C$27, 0.0021, 0)</f>
        <v>45.364799999999995</v>
      </c>
      <c r="I395" s="10">
        <f>45.3627 * CHOOSE(CONTROL!$C$9, $D$9, 100%, $F$9) + CHOOSE(CONTROL!$C$27, 0.0021, 0)</f>
        <v>45.364799999999995</v>
      </c>
      <c r="J395" s="10">
        <f>45.3627 * CHOOSE(CONTROL!$C$9, $D$9, 100%, $F$9) + CHOOSE(CONTROL!$C$27, 0.0021, 0)</f>
        <v>45.364799999999995</v>
      </c>
      <c r="K395" s="10">
        <f>45.3627 * CHOOSE(CONTROL!$C$9, $D$9, 100%, $F$9) + CHOOSE(CONTROL!$C$27, 0.0021, 0)</f>
        <v>45.364799999999995</v>
      </c>
      <c r="L395" s="10"/>
    </row>
    <row r="396" spans="1:12" ht="15.75" x14ac:dyDescent="0.25">
      <c r="A396" s="14">
        <v>53358</v>
      </c>
      <c r="B396" s="10">
        <f>45.1288 * CHOOSE(CONTROL!$C$9, $D$9, 100%, $F$9) + CHOOSE(CONTROL!$C$27, 0.0021, 0)</f>
        <v>45.130899999999997</v>
      </c>
      <c r="C396" s="10">
        <f>44.6965 * CHOOSE(CONTROL!$C$9, $D$9, 100%, $F$9) + CHOOSE(CONTROL!$C$27, 0.0021, 0)</f>
        <v>44.698599999999999</v>
      </c>
      <c r="D396" s="10">
        <f>44.6965 * CHOOSE(CONTROL!$C$9, $D$9, 100%, $F$9) + CHOOSE(CONTROL!$C$27, 0.0021, 0)</f>
        <v>44.698599999999999</v>
      </c>
      <c r="E396" s="10">
        <f>44.5599 * CHOOSE(CONTROL!$C$9, $D$9, 100%, $F$9) + CHOOSE(CONTROL!$C$27, 0.0021, 0)</f>
        <v>44.561999999999998</v>
      </c>
      <c r="F396" s="10">
        <f>44.5599 * CHOOSE(CONTROL!$C$9, $D$9, 100%, $F$9) + CHOOSE(CONTROL!$C$27, 0.0021, 0)</f>
        <v>44.561999999999998</v>
      </c>
      <c r="G396" s="10">
        <f>44.8313 * CHOOSE(CONTROL!$C$9, $D$9, 100%, $F$9) + CHOOSE(CONTROL!$C$27, 0.0021, 0)</f>
        <v>44.833399999999997</v>
      </c>
      <c r="H396" s="10">
        <f>44.6965 * CHOOSE(CONTROL!$C$9, $D$9, 100%, $F$9) + CHOOSE(CONTROL!$C$27, 0.0021, 0)</f>
        <v>44.698599999999999</v>
      </c>
      <c r="I396" s="10">
        <f>44.6965 * CHOOSE(CONTROL!$C$9, $D$9, 100%, $F$9) + CHOOSE(CONTROL!$C$27, 0.0021, 0)</f>
        <v>44.698599999999999</v>
      </c>
      <c r="J396" s="10">
        <f>44.6965 * CHOOSE(CONTROL!$C$9, $D$9, 100%, $F$9) + CHOOSE(CONTROL!$C$27, 0.0021, 0)</f>
        <v>44.698599999999999</v>
      </c>
      <c r="K396" s="10">
        <f>44.6965 * CHOOSE(CONTROL!$C$9, $D$9, 100%, $F$9) + CHOOSE(CONTROL!$C$27, 0.0021, 0)</f>
        <v>44.698599999999999</v>
      </c>
      <c r="L396" s="10"/>
    </row>
    <row r="397" spans="1:12" ht="15.75" x14ac:dyDescent="0.25">
      <c r="A397" s="14">
        <v>53386</v>
      </c>
      <c r="B397" s="10">
        <f>43.9171 * CHOOSE(CONTROL!$C$9, $D$9, 100%, $F$9) + CHOOSE(CONTROL!$C$27, 0.0021, 0)</f>
        <v>43.919199999999996</v>
      </c>
      <c r="C397" s="10">
        <f>43.4849 * CHOOSE(CONTROL!$C$9, $D$9, 100%, $F$9) + CHOOSE(CONTROL!$C$27, 0.0021, 0)</f>
        <v>43.487000000000002</v>
      </c>
      <c r="D397" s="10">
        <f>43.4849 * CHOOSE(CONTROL!$C$9, $D$9, 100%, $F$9) + CHOOSE(CONTROL!$C$27, 0.0021, 0)</f>
        <v>43.487000000000002</v>
      </c>
      <c r="E397" s="10">
        <f>43.3482 * CHOOSE(CONTROL!$C$9, $D$9, 100%, $F$9) + CHOOSE(CONTROL!$C$27, 0.0021, 0)</f>
        <v>43.350299999999997</v>
      </c>
      <c r="F397" s="10">
        <f>43.3482 * CHOOSE(CONTROL!$C$9, $D$9, 100%, $F$9) + CHOOSE(CONTROL!$C$27, 0.0021, 0)</f>
        <v>43.350299999999997</v>
      </c>
      <c r="G397" s="10">
        <f>43.6196 * CHOOSE(CONTROL!$C$9, $D$9, 100%, $F$9) + CHOOSE(CONTROL!$C$27, 0.0021, 0)</f>
        <v>43.621699999999997</v>
      </c>
      <c r="H397" s="10">
        <f>43.4849 * CHOOSE(CONTROL!$C$9, $D$9, 100%, $F$9) + CHOOSE(CONTROL!$C$27, 0.0021, 0)</f>
        <v>43.487000000000002</v>
      </c>
      <c r="I397" s="10">
        <f>43.4849 * CHOOSE(CONTROL!$C$9, $D$9, 100%, $F$9) + CHOOSE(CONTROL!$C$27, 0.0021, 0)</f>
        <v>43.487000000000002</v>
      </c>
      <c r="J397" s="10">
        <f>43.4849 * CHOOSE(CONTROL!$C$9, $D$9, 100%, $F$9) + CHOOSE(CONTROL!$C$27, 0.0021, 0)</f>
        <v>43.487000000000002</v>
      </c>
      <c r="K397" s="10">
        <f>43.4849 * CHOOSE(CONTROL!$C$9, $D$9, 100%, $F$9) + CHOOSE(CONTROL!$C$27, 0.0021, 0)</f>
        <v>43.487000000000002</v>
      </c>
      <c r="L397" s="10"/>
    </row>
    <row r="398" spans="1:12" ht="15.75" x14ac:dyDescent="0.25">
      <c r="A398" s="14">
        <v>53417</v>
      </c>
      <c r="B398" s="10">
        <f>43.417 * CHOOSE(CONTROL!$C$9, $D$9, 100%, $F$9) + CHOOSE(CONTROL!$C$27, 0.0021, 0)</f>
        <v>43.4191</v>
      </c>
      <c r="C398" s="10">
        <f>42.9847 * CHOOSE(CONTROL!$C$9, $D$9, 100%, $F$9) + CHOOSE(CONTROL!$C$27, 0.0021, 0)</f>
        <v>42.986799999999995</v>
      </c>
      <c r="D398" s="10">
        <f>42.9847 * CHOOSE(CONTROL!$C$9, $D$9, 100%, $F$9) + CHOOSE(CONTROL!$C$27, 0.0021, 0)</f>
        <v>42.986799999999995</v>
      </c>
      <c r="E398" s="10">
        <f>42.8481 * CHOOSE(CONTROL!$C$9, $D$9, 100%, $F$9) + CHOOSE(CONTROL!$C$27, 0.0021, 0)</f>
        <v>42.850200000000001</v>
      </c>
      <c r="F398" s="10">
        <f>42.8481 * CHOOSE(CONTROL!$C$9, $D$9, 100%, $F$9) + CHOOSE(CONTROL!$C$27, 0.0021, 0)</f>
        <v>42.850200000000001</v>
      </c>
      <c r="G398" s="10">
        <f>43.1195 * CHOOSE(CONTROL!$C$9, $D$9, 100%, $F$9) + CHOOSE(CONTROL!$C$27, 0.0021, 0)</f>
        <v>43.121600000000001</v>
      </c>
      <c r="H398" s="10">
        <f>42.9847 * CHOOSE(CONTROL!$C$9, $D$9, 100%, $F$9) + CHOOSE(CONTROL!$C$27, 0.0021, 0)</f>
        <v>42.986799999999995</v>
      </c>
      <c r="I398" s="10">
        <f>42.9847 * CHOOSE(CONTROL!$C$9, $D$9, 100%, $F$9) + CHOOSE(CONTROL!$C$27, 0.0021, 0)</f>
        <v>42.986799999999995</v>
      </c>
      <c r="J398" s="10">
        <f>42.9847 * CHOOSE(CONTROL!$C$9, $D$9, 100%, $F$9) + CHOOSE(CONTROL!$C$27, 0.0021, 0)</f>
        <v>42.986799999999995</v>
      </c>
      <c r="K398" s="10">
        <f>42.9847 * CHOOSE(CONTROL!$C$9, $D$9, 100%, $F$9) + CHOOSE(CONTROL!$C$27, 0.0021, 0)</f>
        <v>42.986799999999995</v>
      </c>
      <c r="L398" s="10"/>
    </row>
    <row r="399" spans="1:12" ht="15.75" x14ac:dyDescent="0.25">
      <c r="A399" s="14">
        <v>53447</v>
      </c>
      <c r="B399" s="10">
        <f>42.8198 * CHOOSE(CONTROL!$C$9, $D$9, 100%, $F$9) + CHOOSE(CONTROL!$C$27, 0.0021, 0)</f>
        <v>42.821899999999999</v>
      </c>
      <c r="C399" s="10">
        <f>42.3875 * CHOOSE(CONTROL!$C$9, $D$9, 100%, $F$9) + CHOOSE(CONTROL!$C$27, 0.0021, 0)</f>
        <v>42.389600000000002</v>
      </c>
      <c r="D399" s="10">
        <f>42.3875 * CHOOSE(CONTROL!$C$9, $D$9, 100%, $F$9) + CHOOSE(CONTROL!$C$27, 0.0021, 0)</f>
        <v>42.389600000000002</v>
      </c>
      <c r="E399" s="10">
        <f>42.2509 * CHOOSE(CONTROL!$C$9, $D$9, 100%, $F$9) + CHOOSE(CONTROL!$C$27, 0.0021, 0)</f>
        <v>42.253</v>
      </c>
      <c r="F399" s="10">
        <f>42.2509 * CHOOSE(CONTROL!$C$9, $D$9, 100%, $F$9) + CHOOSE(CONTROL!$C$27, 0.0021, 0)</f>
        <v>42.253</v>
      </c>
      <c r="G399" s="10">
        <f>42.5222 * CHOOSE(CONTROL!$C$9, $D$9, 100%, $F$9) + CHOOSE(CONTROL!$C$27, 0.0021, 0)</f>
        <v>42.524299999999997</v>
      </c>
      <c r="H399" s="10">
        <f>42.3875 * CHOOSE(CONTROL!$C$9, $D$9, 100%, $F$9) + CHOOSE(CONTROL!$C$27, 0.0021, 0)</f>
        <v>42.389600000000002</v>
      </c>
      <c r="I399" s="10">
        <f>42.3875 * CHOOSE(CONTROL!$C$9, $D$9, 100%, $F$9) + CHOOSE(CONTROL!$C$27, 0.0021, 0)</f>
        <v>42.389600000000002</v>
      </c>
      <c r="J399" s="10">
        <f>42.3875 * CHOOSE(CONTROL!$C$9, $D$9, 100%, $F$9) + CHOOSE(CONTROL!$C$27, 0.0021, 0)</f>
        <v>42.389600000000002</v>
      </c>
      <c r="K399" s="10">
        <f>42.3875 * CHOOSE(CONTROL!$C$9, $D$9, 100%, $F$9) + CHOOSE(CONTROL!$C$27, 0.0021, 0)</f>
        <v>42.389600000000002</v>
      </c>
      <c r="L399" s="10"/>
    </row>
    <row r="400" spans="1:12" ht="15.75" x14ac:dyDescent="0.25">
      <c r="A400" s="14">
        <v>53478</v>
      </c>
      <c r="B400" s="10">
        <f>43.6709 * CHOOSE(CONTROL!$C$9, $D$9, 100%, $F$9) + CHOOSE(CONTROL!$C$27, 0.0021, 0)</f>
        <v>43.673000000000002</v>
      </c>
      <c r="C400" s="10">
        <f>43.2386 * CHOOSE(CONTROL!$C$9, $D$9, 100%, $F$9) + CHOOSE(CONTROL!$C$27, 0.0021, 0)</f>
        <v>43.240699999999997</v>
      </c>
      <c r="D400" s="10">
        <f>43.2386 * CHOOSE(CONTROL!$C$9, $D$9, 100%, $F$9) + CHOOSE(CONTROL!$C$27, 0.0021, 0)</f>
        <v>43.240699999999997</v>
      </c>
      <c r="E400" s="10">
        <f>43.102 * CHOOSE(CONTROL!$C$9, $D$9, 100%, $F$9) + CHOOSE(CONTROL!$C$27, 0.0021, 0)</f>
        <v>43.104099999999995</v>
      </c>
      <c r="F400" s="10">
        <f>43.102 * CHOOSE(CONTROL!$C$9, $D$9, 100%, $F$9) + CHOOSE(CONTROL!$C$27, 0.0021, 0)</f>
        <v>43.104099999999995</v>
      </c>
      <c r="G400" s="10">
        <f>43.3733 * CHOOSE(CONTROL!$C$9, $D$9, 100%, $F$9) + CHOOSE(CONTROL!$C$27, 0.0021, 0)</f>
        <v>43.375399999999999</v>
      </c>
      <c r="H400" s="10">
        <f>43.2386 * CHOOSE(CONTROL!$C$9, $D$9, 100%, $F$9) + CHOOSE(CONTROL!$C$27, 0.0021, 0)</f>
        <v>43.240699999999997</v>
      </c>
      <c r="I400" s="10">
        <f>43.2386 * CHOOSE(CONTROL!$C$9, $D$9, 100%, $F$9) + CHOOSE(CONTROL!$C$27, 0.0021, 0)</f>
        <v>43.240699999999997</v>
      </c>
      <c r="J400" s="10">
        <f>43.2386 * CHOOSE(CONTROL!$C$9, $D$9, 100%, $F$9) + CHOOSE(CONTROL!$C$27, 0.0021, 0)</f>
        <v>43.240699999999997</v>
      </c>
      <c r="K400" s="10">
        <f>43.2386 * CHOOSE(CONTROL!$C$9, $D$9, 100%, $F$9) + CHOOSE(CONTROL!$C$27, 0.0021, 0)</f>
        <v>43.240699999999997</v>
      </c>
      <c r="L400" s="10"/>
    </row>
    <row r="401" spans="1:12" ht="15.75" x14ac:dyDescent="0.25">
      <c r="A401" s="14">
        <v>53508</v>
      </c>
      <c r="B401" s="10">
        <f>44.1806 * CHOOSE(CONTROL!$C$9, $D$9, 100%, $F$9) + CHOOSE(CONTROL!$C$27, 0.0021, 0)</f>
        <v>44.182699999999997</v>
      </c>
      <c r="C401" s="10">
        <f>43.7484 * CHOOSE(CONTROL!$C$9, $D$9, 100%, $F$9) + CHOOSE(CONTROL!$C$27, 0.0021, 0)</f>
        <v>43.750499999999995</v>
      </c>
      <c r="D401" s="10">
        <f>43.7484 * CHOOSE(CONTROL!$C$9, $D$9, 100%, $F$9) + CHOOSE(CONTROL!$C$27, 0.0021, 0)</f>
        <v>43.750499999999995</v>
      </c>
      <c r="E401" s="10">
        <f>43.6117 * CHOOSE(CONTROL!$C$9, $D$9, 100%, $F$9) + CHOOSE(CONTROL!$C$27, 0.0021, 0)</f>
        <v>43.613799999999998</v>
      </c>
      <c r="F401" s="10">
        <f>43.6117 * CHOOSE(CONTROL!$C$9, $D$9, 100%, $F$9) + CHOOSE(CONTROL!$C$27, 0.0021, 0)</f>
        <v>43.613799999999998</v>
      </c>
      <c r="G401" s="10">
        <f>43.8831 * CHOOSE(CONTROL!$C$9, $D$9, 100%, $F$9) + CHOOSE(CONTROL!$C$27, 0.0021, 0)</f>
        <v>43.885199999999998</v>
      </c>
      <c r="H401" s="10">
        <f>43.7484 * CHOOSE(CONTROL!$C$9, $D$9, 100%, $F$9) + CHOOSE(CONTROL!$C$27, 0.0021, 0)</f>
        <v>43.750499999999995</v>
      </c>
      <c r="I401" s="10">
        <f>43.7484 * CHOOSE(CONTROL!$C$9, $D$9, 100%, $F$9) + CHOOSE(CONTROL!$C$27, 0.0021, 0)</f>
        <v>43.750499999999995</v>
      </c>
      <c r="J401" s="10">
        <f>43.7484 * CHOOSE(CONTROL!$C$9, $D$9, 100%, $F$9) + CHOOSE(CONTROL!$C$27, 0.0021, 0)</f>
        <v>43.750499999999995</v>
      </c>
      <c r="K401" s="10">
        <f>43.7484 * CHOOSE(CONTROL!$C$9, $D$9, 100%, $F$9) + CHOOSE(CONTROL!$C$27, 0.0021, 0)</f>
        <v>43.750499999999995</v>
      </c>
      <c r="L401" s="10"/>
    </row>
    <row r="402" spans="1:12" ht="15.75" x14ac:dyDescent="0.25">
      <c r="A402" s="14">
        <v>53539</v>
      </c>
      <c r="B402" s="10">
        <f>45.0216 * CHOOSE(CONTROL!$C$9, $D$9, 100%, $F$9) + CHOOSE(CONTROL!$C$27, 0.0021, 0)</f>
        <v>45.023699999999998</v>
      </c>
      <c r="C402" s="10">
        <f>44.5893 * CHOOSE(CONTROL!$C$9, $D$9, 100%, $F$9) + CHOOSE(CONTROL!$C$27, 0.0021, 0)</f>
        <v>44.5914</v>
      </c>
      <c r="D402" s="10">
        <f>44.5893 * CHOOSE(CONTROL!$C$9, $D$9, 100%, $F$9) + CHOOSE(CONTROL!$C$27, 0.0021, 0)</f>
        <v>44.5914</v>
      </c>
      <c r="E402" s="10">
        <f>44.4527 * CHOOSE(CONTROL!$C$9, $D$9, 100%, $F$9) + CHOOSE(CONTROL!$C$27, 0.0021, 0)</f>
        <v>44.454799999999999</v>
      </c>
      <c r="F402" s="10">
        <f>44.4527 * CHOOSE(CONTROL!$C$9, $D$9, 100%, $F$9) + CHOOSE(CONTROL!$C$27, 0.0021, 0)</f>
        <v>44.454799999999999</v>
      </c>
      <c r="G402" s="10">
        <f>44.724 * CHOOSE(CONTROL!$C$9, $D$9, 100%, $F$9) + CHOOSE(CONTROL!$C$27, 0.0021, 0)</f>
        <v>44.726099999999995</v>
      </c>
      <c r="H402" s="10">
        <f>44.5893 * CHOOSE(CONTROL!$C$9, $D$9, 100%, $F$9) + CHOOSE(CONTROL!$C$27, 0.0021, 0)</f>
        <v>44.5914</v>
      </c>
      <c r="I402" s="10">
        <f>44.5893 * CHOOSE(CONTROL!$C$9, $D$9, 100%, $F$9) + CHOOSE(CONTROL!$C$27, 0.0021, 0)</f>
        <v>44.5914</v>
      </c>
      <c r="J402" s="10">
        <f>44.5893 * CHOOSE(CONTROL!$C$9, $D$9, 100%, $F$9) + CHOOSE(CONTROL!$C$27, 0.0021, 0)</f>
        <v>44.5914</v>
      </c>
      <c r="K402" s="10">
        <f>44.5893 * CHOOSE(CONTROL!$C$9, $D$9, 100%, $F$9) + CHOOSE(CONTROL!$C$27, 0.0021, 0)</f>
        <v>44.5914</v>
      </c>
      <c r="L402" s="10"/>
    </row>
    <row r="403" spans="1:12" ht="15.75" x14ac:dyDescent="0.25">
      <c r="A403" s="14">
        <v>53570</v>
      </c>
      <c r="B403" s="10">
        <f>45.2783 * CHOOSE(CONTROL!$C$9, $D$9, 100%, $F$9) + CHOOSE(CONTROL!$C$27, 0.0021, 0)</f>
        <v>45.2804</v>
      </c>
      <c r="C403" s="10">
        <f>44.846 * CHOOSE(CONTROL!$C$9, $D$9, 100%, $F$9) + CHOOSE(CONTROL!$C$27, 0.0021, 0)</f>
        <v>44.848099999999995</v>
      </c>
      <c r="D403" s="10">
        <f>44.846 * CHOOSE(CONTROL!$C$9, $D$9, 100%, $F$9) + CHOOSE(CONTROL!$C$27, 0.0021, 0)</f>
        <v>44.848099999999995</v>
      </c>
      <c r="E403" s="10">
        <f>44.7093 * CHOOSE(CONTROL!$C$9, $D$9, 100%, $F$9) + CHOOSE(CONTROL!$C$27, 0.0021, 0)</f>
        <v>44.711399999999998</v>
      </c>
      <c r="F403" s="10">
        <f>44.7093 * CHOOSE(CONTROL!$C$9, $D$9, 100%, $F$9) + CHOOSE(CONTROL!$C$27, 0.0021, 0)</f>
        <v>44.711399999999998</v>
      </c>
      <c r="G403" s="10">
        <f>44.9807 * CHOOSE(CONTROL!$C$9, $D$9, 100%, $F$9) + CHOOSE(CONTROL!$C$27, 0.0021, 0)</f>
        <v>44.982799999999997</v>
      </c>
      <c r="H403" s="10">
        <f>44.846 * CHOOSE(CONTROL!$C$9, $D$9, 100%, $F$9) + CHOOSE(CONTROL!$C$27, 0.0021, 0)</f>
        <v>44.848099999999995</v>
      </c>
      <c r="I403" s="10">
        <f>44.846 * CHOOSE(CONTROL!$C$9, $D$9, 100%, $F$9) + CHOOSE(CONTROL!$C$27, 0.0021, 0)</f>
        <v>44.848099999999995</v>
      </c>
      <c r="J403" s="10">
        <f>44.846 * CHOOSE(CONTROL!$C$9, $D$9, 100%, $F$9) + CHOOSE(CONTROL!$C$27, 0.0021, 0)</f>
        <v>44.848099999999995</v>
      </c>
      <c r="K403" s="10">
        <f>44.846 * CHOOSE(CONTROL!$C$9, $D$9, 100%, $F$9) + CHOOSE(CONTROL!$C$27, 0.0021, 0)</f>
        <v>44.848099999999995</v>
      </c>
      <c r="L403" s="10"/>
    </row>
    <row r="404" spans="1:12" ht="15.75" x14ac:dyDescent="0.25">
      <c r="A404" s="14">
        <v>53600</v>
      </c>
      <c r="B404" s="10">
        <f>46.1524 * CHOOSE(CONTROL!$C$9, $D$9, 100%, $F$9) + CHOOSE(CONTROL!$C$27, 0.0021, 0)</f>
        <v>46.154499999999999</v>
      </c>
      <c r="C404" s="10">
        <f>45.7201 * CHOOSE(CONTROL!$C$9, $D$9, 100%, $F$9) + CHOOSE(CONTROL!$C$27, 0.0021, 0)</f>
        <v>45.722200000000001</v>
      </c>
      <c r="D404" s="10">
        <f>45.7201 * CHOOSE(CONTROL!$C$9, $D$9, 100%, $F$9) + CHOOSE(CONTROL!$C$27, 0.0021, 0)</f>
        <v>45.722200000000001</v>
      </c>
      <c r="E404" s="10">
        <f>45.5835 * CHOOSE(CONTROL!$C$9, $D$9, 100%, $F$9) + CHOOSE(CONTROL!$C$27, 0.0021, 0)</f>
        <v>45.585599999999999</v>
      </c>
      <c r="F404" s="10">
        <f>45.5835 * CHOOSE(CONTROL!$C$9, $D$9, 100%, $F$9) + CHOOSE(CONTROL!$C$27, 0.0021, 0)</f>
        <v>45.585599999999999</v>
      </c>
      <c r="G404" s="10">
        <f>45.8548 * CHOOSE(CONTROL!$C$9, $D$9, 100%, $F$9) + CHOOSE(CONTROL!$C$27, 0.0021, 0)</f>
        <v>45.856899999999996</v>
      </c>
      <c r="H404" s="10">
        <f>45.7201 * CHOOSE(CONTROL!$C$9, $D$9, 100%, $F$9) + CHOOSE(CONTROL!$C$27, 0.0021, 0)</f>
        <v>45.722200000000001</v>
      </c>
      <c r="I404" s="10">
        <f>45.7201 * CHOOSE(CONTROL!$C$9, $D$9, 100%, $F$9) + CHOOSE(CONTROL!$C$27, 0.0021, 0)</f>
        <v>45.722200000000001</v>
      </c>
      <c r="J404" s="10">
        <f>45.7201 * CHOOSE(CONTROL!$C$9, $D$9, 100%, $F$9) + CHOOSE(CONTROL!$C$27, 0.0021, 0)</f>
        <v>45.722200000000001</v>
      </c>
      <c r="K404" s="10">
        <f>45.7201 * CHOOSE(CONTROL!$C$9, $D$9, 100%, $F$9) + CHOOSE(CONTROL!$C$27, 0.0021, 0)</f>
        <v>45.722200000000001</v>
      </c>
      <c r="L404" s="10"/>
    </row>
    <row r="405" spans="1:12" ht="15.75" x14ac:dyDescent="0.25">
      <c r="A405" s="14">
        <v>53631</v>
      </c>
      <c r="B405" s="10">
        <f>47.2589 * CHOOSE(CONTROL!$C$9, $D$9, 100%, $F$9) + CHOOSE(CONTROL!$C$27, 0.0021, 0)</f>
        <v>47.260999999999996</v>
      </c>
      <c r="C405" s="10">
        <f>46.8266 * CHOOSE(CONTROL!$C$9, $D$9, 100%, $F$9) + CHOOSE(CONTROL!$C$27, 0.0021, 0)</f>
        <v>46.828699999999998</v>
      </c>
      <c r="D405" s="10">
        <f>46.8266 * CHOOSE(CONTROL!$C$9, $D$9, 100%, $F$9) + CHOOSE(CONTROL!$C$27, 0.0021, 0)</f>
        <v>46.828699999999998</v>
      </c>
      <c r="E405" s="10">
        <f>46.6899 * CHOOSE(CONTROL!$C$9, $D$9, 100%, $F$9) + CHOOSE(CONTROL!$C$27, 0.0021, 0)</f>
        <v>46.692</v>
      </c>
      <c r="F405" s="10">
        <f>46.6899 * CHOOSE(CONTROL!$C$9, $D$9, 100%, $F$9) + CHOOSE(CONTROL!$C$27, 0.0021, 0)</f>
        <v>46.692</v>
      </c>
      <c r="G405" s="10">
        <f>46.9613 * CHOOSE(CONTROL!$C$9, $D$9, 100%, $F$9) + CHOOSE(CONTROL!$C$27, 0.0021, 0)</f>
        <v>46.9634</v>
      </c>
      <c r="H405" s="10">
        <f>46.8266 * CHOOSE(CONTROL!$C$9, $D$9, 100%, $F$9) + CHOOSE(CONTROL!$C$27, 0.0021, 0)</f>
        <v>46.828699999999998</v>
      </c>
      <c r="I405" s="10">
        <f>46.8266 * CHOOSE(CONTROL!$C$9, $D$9, 100%, $F$9) + CHOOSE(CONTROL!$C$27, 0.0021, 0)</f>
        <v>46.828699999999998</v>
      </c>
      <c r="J405" s="10">
        <f>46.8266 * CHOOSE(CONTROL!$C$9, $D$9, 100%, $F$9) + CHOOSE(CONTROL!$C$27, 0.0021, 0)</f>
        <v>46.828699999999998</v>
      </c>
      <c r="K405" s="10">
        <f>46.8266 * CHOOSE(CONTROL!$C$9, $D$9, 100%, $F$9) + CHOOSE(CONTROL!$C$27, 0.0021, 0)</f>
        <v>46.828699999999998</v>
      </c>
      <c r="L405" s="10"/>
    </row>
    <row r="406" spans="1:12" ht="15.75" x14ac:dyDescent="0.25">
      <c r="A406" s="14">
        <v>53661</v>
      </c>
      <c r="B406" s="10">
        <f>47.3627 * CHOOSE(CONTROL!$C$9, $D$9, 100%, $F$9) + CHOOSE(CONTROL!$C$27, 0.0021, 0)</f>
        <v>47.364799999999995</v>
      </c>
      <c r="C406" s="10">
        <f>46.9305 * CHOOSE(CONTROL!$C$9, $D$9, 100%, $F$9) + CHOOSE(CONTROL!$C$27, 0.0021, 0)</f>
        <v>46.932600000000001</v>
      </c>
      <c r="D406" s="10">
        <f>46.9305 * CHOOSE(CONTROL!$C$9, $D$9, 100%, $F$9) + CHOOSE(CONTROL!$C$27, 0.0021, 0)</f>
        <v>46.932600000000001</v>
      </c>
      <c r="E406" s="10">
        <f>46.7938 * CHOOSE(CONTROL!$C$9, $D$9, 100%, $F$9) + CHOOSE(CONTROL!$C$27, 0.0021, 0)</f>
        <v>46.795899999999996</v>
      </c>
      <c r="F406" s="10">
        <f>46.7938 * CHOOSE(CONTROL!$C$9, $D$9, 100%, $F$9) + CHOOSE(CONTROL!$C$27, 0.0021, 0)</f>
        <v>46.795899999999996</v>
      </c>
      <c r="G406" s="10">
        <f>47.0652 * CHOOSE(CONTROL!$C$9, $D$9, 100%, $F$9) + CHOOSE(CONTROL!$C$27, 0.0021, 0)</f>
        <v>47.067299999999996</v>
      </c>
      <c r="H406" s="10">
        <f>46.9305 * CHOOSE(CONTROL!$C$9, $D$9, 100%, $F$9) + CHOOSE(CONTROL!$C$27, 0.0021, 0)</f>
        <v>46.932600000000001</v>
      </c>
      <c r="I406" s="10">
        <f>46.9305 * CHOOSE(CONTROL!$C$9, $D$9, 100%, $F$9) + CHOOSE(CONTROL!$C$27, 0.0021, 0)</f>
        <v>46.932600000000001</v>
      </c>
      <c r="J406" s="10">
        <f>46.9305 * CHOOSE(CONTROL!$C$9, $D$9, 100%, $F$9) + CHOOSE(CONTROL!$C$27, 0.0021, 0)</f>
        <v>46.932600000000001</v>
      </c>
      <c r="K406" s="10">
        <f>46.9305 * CHOOSE(CONTROL!$C$9, $D$9, 100%, $F$9) + CHOOSE(CONTROL!$C$27, 0.0021, 0)</f>
        <v>46.932600000000001</v>
      </c>
      <c r="L406" s="10"/>
    </row>
    <row r="407" spans="1:12" ht="15.75" x14ac:dyDescent="0.25">
      <c r="A407" s="14">
        <v>53692</v>
      </c>
      <c r="B407" s="10">
        <f>46.479 * CHOOSE(CONTROL!$C$9, $D$9, 100%, $F$9) + CHOOSE(CONTROL!$C$27, 0.0021, 0)</f>
        <v>46.481099999999998</v>
      </c>
      <c r="C407" s="10">
        <f>46.0468 * CHOOSE(CONTROL!$C$9, $D$9, 100%, $F$9) + CHOOSE(CONTROL!$C$27, 0.0021, 0)</f>
        <v>46.048899999999996</v>
      </c>
      <c r="D407" s="10">
        <f>46.0468 * CHOOSE(CONTROL!$C$9, $D$9, 100%, $F$9) + CHOOSE(CONTROL!$C$27, 0.0021, 0)</f>
        <v>46.048899999999996</v>
      </c>
      <c r="E407" s="10">
        <f>45.9101 * CHOOSE(CONTROL!$C$9, $D$9, 100%, $F$9) + CHOOSE(CONTROL!$C$27, 0.0021, 0)</f>
        <v>45.912199999999999</v>
      </c>
      <c r="F407" s="10">
        <f>45.9101 * CHOOSE(CONTROL!$C$9, $D$9, 100%, $F$9) + CHOOSE(CONTROL!$C$27, 0.0021, 0)</f>
        <v>45.912199999999999</v>
      </c>
      <c r="G407" s="10">
        <f>46.1815 * CHOOSE(CONTROL!$C$9, $D$9, 100%, $F$9) + CHOOSE(CONTROL!$C$27, 0.0021, 0)</f>
        <v>46.183599999999998</v>
      </c>
      <c r="H407" s="10">
        <f>46.0468 * CHOOSE(CONTROL!$C$9, $D$9, 100%, $F$9) + CHOOSE(CONTROL!$C$27, 0.0021, 0)</f>
        <v>46.048899999999996</v>
      </c>
      <c r="I407" s="10">
        <f>46.0468 * CHOOSE(CONTROL!$C$9, $D$9, 100%, $F$9) + CHOOSE(CONTROL!$C$27, 0.0021, 0)</f>
        <v>46.048899999999996</v>
      </c>
      <c r="J407" s="10">
        <f>46.0468 * CHOOSE(CONTROL!$C$9, $D$9, 100%, $F$9) + CHOOSE(CONTROL!$C$27, 0.0021, 0)</f>
        <v>46.048899999999996</v>
      </c>
      <c r="K407" s="10">
        <f>46.0468 * CHOOSE(CONTROL!$C$9, $D$9, 100%, $F$9) + CHOOSE(CONTROL!$C$27, 0.0021, 0)</f>
        <v>46.048899999999996</v>
      </c>
      <c r="L407" s="10"/>
    </row>
    <row r="408" spans="1:12" ht="15.75" x14ac:dyDescent="0.25">
      <c r="A408" s="14">
        <v>53723</v>
      </c>
      <c r="B408" s="10">
        <f>45.8024 * CHOOSE(CONTROL!$C$9, $D$9, 100%, $F$9) + CHOOSE(CONTROL!$C$27, 0.0021, 0)</f>
        <v>45.804499999999997</v>
      </c>
      <c r="C408" s="10">
        <f>45.3701 * CHOOSE(CONTROL!$C$9, $D$9, 100%, $F$9) + CHOOSE(CONTROL!$C$27, 0.0021, 0)</f>
        <v>45.372199999999999</v>
      </c>
      <c r="D408" s="10">
        <f>45.3701 * CHOOSE(CONTROL!$C$9, $D$9, 100%, $F$9) + CHOOSE(CONTROL!$C$27, 0.0021, 0)</f>
        <v>45.372199999999999</v>
      </c>
      <c r="E408" s="10">
        <f>45.2335 * CHOOSE(CONTROL!$C$9, $D$9, 100%, $F$9) + CHOOSE(CONTROL!$C$27, 0.0021, 0)</f>
        <v>45.235599999999998</v>
      </c>
      <c r="F408" s="10">
        <f>45.2335 * CHOOSE(CONTROL!$C$9, $D$9, 100%, $F$9) + CHOOSE(CONTROL!$C$27, 0.0021, 0)</f>
        <v>45.235599999999998</v>
      </c>
      <c r="G408" s="10">
        <f>45.5049 * CHOOSE(CONTROL!$C$9, $D$9, 100%, $F$9) + CHOOSE(CONTROL!$C$27, 0.0021, 0)</f>
        <v>45.506999999999998</v>
      </c>
      <c r="H408" s="10">
        <f>45.3701 * CHOOSE(CONTROL!$C$9, $D$9, 100%, $F$9) + CHOOSE(CONTROL!$C$27, 0.0021, 0)</f>
        <v>45.372199999999999</v>
      </c>
      <c r="I408" s="10">
        <f>45.3701 * CHOOSE(CONTROL!$C$9, $D$9, 100%, $F$9) + CHOOSE(CONTROL!$C$27, 0.0021, 0)</f>
        <v>45.372199999999999</v>
      </c>
      <c r="J408" s="10">
        <f>45.3701 * CHOOSE(CONTROL!$C$9, $D$9, 100%, $F$9) + CHOOSE(CONTROL!$C$27, 0.0021, 0)</f>
        <v>45.372199999999999</v>
      </c>
      <c r="K408" s="10">
        <f>45.3701 * CHOOSE(CONTROL!$C$9, $D$9, 100%, $F$9) + CHOOSE(CONTROL!$C$27, 0.0021, 0)</f>
        <v>45.372199999999999</v>
      </c>
      <c r="L408" s="10"/>
    </row>
    <row r="409" spans="1:12" ht="15.75" x14ac:dyDescent="0.25">
      <c r="A409" s="14">
        <v>53751</v>
      </c>
      <c r="B409" s="10">
        <f>44.5717 * CHOOSE(CONTROL!$C$9, $D$9, 100%, $F$9) + CHOOSE(CONTROL!$C$27, 0.0021, 0)</f>
        <v>44.573799999999999</v>
      </c>
      <c r="C409" s="10">
        <f>44.1394 * CHOOSE(CONTROL!$C$9, $D$9, 100%, $F$9) + CHOOSE(CONTROL!$C$27, 0.0021, 0)</f>
        <v>44.141500000000001</v>
      </c>
      <c r="D409" s="10">
        <f>44.1394 * CHOOSE(CONTROL!$C$9, $D$9, 100%, $F$9) + CHOOSE(CONTROL!$C$27, 0.0021, 0)</f>
        <v>44.141500000000001</v>
      </c>
      <c r="E409" s="10">
        <f>44.0028 * CHOOSE(CONTROL!$C$9, $D$9, 100%, $F$9) + CHOOSE(CONTROL!$C$27, 0.0021, 0)</f>
        <v>44.004899999999999</v>
      </c>
      <c r="F409" s="10">
        <f>44.0028 * CHOOSE(CONTROL!$C$9, $D$9, 100%, $F$9) + CHOOSE(CONTROL!$C$27, 0.0021, 0)</f>
        <v>44.004899999999999</v>
      </c>
      <c r="G409" s="10">
        <f>44.2742 * CHOOSE(CONTROL!$C$9, $D$9, 100%, $F$9) + CHOOSE(CONTROL!$C$27, 0.0021, 0)</f>
        <v>44.276299999999999</v>
      </c>
      <c r="H409" s="10">
        <f>44.1394 * CHOOSE(CONTROL!$C$9, $D$9, 100%, $F$9) + CHOOSE(CONTROL!$C$27, 0.0021, 0)</f>
        <v>44.141500000000001</v>
      </c>
      <c r="I409" s="10">
        <f>44.1394 * CHOOSE(CONTROL!$C$9, $D$9, 100%, $F$9) + CHOOSE(CONTROL!$C$27, 0.0021, 0)</f>
        <v>44.141500000000001</v>
      </c>
      <c r="J409" s="10">
        <f>44.1394 * CHOOSE(CONTROL!$C$9, $D$9, 100%, $F$9) + CHOOSE(CONTROL!$C$27, 0.0021, 0)</f>
        <v>44.141500000000001</v>
      </c>
      <c r="K409" s="10">
        <f>44.1394 * CHOOSE(CONTROL!$C$9, $D$9, 100%, $F$9) + CHOOSE(CONTROL!$C$27, 0.0021, 0)</f>
        <v>44.141500000000001</v>
      </c>
      <c r="L409" s="10"/>
    </row>
    <row r="410" spans="1:12" ht="15.75" x14ac:dyDescent="0.25">
      <c r="A410" s="14">
        <v>53782</v>
      </c>
      <c r="B410" s="10">
        <f>44.0637 * CHOOSE(CONTROL!$C$9, $D$9, 100%, $F$9) + CHOOSE(CONTROL!$C$27, 0.0021, 0)</f>
        <v>44.065799999999996</v>
      </c>
      <c r="C410" s="10">
        <f>43.6314 * CHOOSE(CONTROL!$C$9, $D$9, 100%, $F$9) + CHOOSE(CONTROL!$C$27, 0.0021, 0)</f>
        <v>43.633499999999998</v>
      </c>
      <c r="D410" s="10">
        <f>43.6314 * CHOOSE(CONTROL!$C$9, $D$9, 100%, $F$9) + CHOOSE(CONTROL!$C$27, 0.0021, 0)</f>
        <v>43.633499999999998</v>
      </c>
      <c r="E410" s="10">
        <f>43.4948 * CHOOSE(CONTROL!$C$9, $D$9, 100%, $F$9) + CHOOSE(CONTROL!$C$27, 0.0021, 0)</f>
        <v>43.496899999999997</v>
      </c>
      <c r="F410" s="10">
        <f>43.4948 * CHOOSE(CONTROL!$C$9, $D$9, 100%, $F$9) + CHOOSE(CONTROL!$C$27, 0.0021, 0)</f>
        <v>43.496899999999997</v>
      </c>
      <c r="G410" s="10">
        <f>43.7661 * CHOOSE(CONTROL!$C$9, $D$9, 100%, $F$9) + CHOOSE(CONTROL!$C$27, 0.0021, 0)</f>
        <v>43.7682</v>
      </c>
      <c r="H410" s="10">
        <f>43.6314 * CHOOSE(CONTROL!$C$9, $D$9, 100%, $F$9) + CHOOSE(CONTROL!$C$27, 0.0021, 0)</f>
        <v>43.633499999999998</v>
      </c>
      <c r="I410" s="10">
        <f>43.6314 * CHOOSE(CONTROL!$C$9, $D$9, 100%, $F$9) + CHOOSE(CONTROL!$C$27, 0.0021, 0)</f>
        <v>43.633499999999998</v>
      </c>
      <c r="J410" s="10">
        <f>43.6314 * CHOOSE(CONTROL!$C$9, $D$9, 100%, $F$9) + CHOOSE(CONTROL!$C$27, 0.0021, 0)</f>
        <v>43.633499999999998</v>
      </c>
      <c r="K410" s="10">
        <f>43.6314 * CHOOSE(CONTROL!$C$9, $D$9, 100%, $F$9) + CHOOSE(CONTROL!$C$27, 0.0021, 0)</f>
        <v>43.633499999999998</v>
      </c>
      <c r="L410" s="10"/>
    </row>
    <row r="411" spans="1:12" ht="15.75" x14ac:dyDescent="0.25">
      <c r="A411" s="14">
        <v>53812</v>
      </c>
      <c r="B411" s="10">
        <f>43.4571 * CHOOSE(CONTROL!$C$9, $D$9, 100%, $F$9) + CHOOSE(CONTROL!$C$27, 0.0021, 0)</f>
        <v>43.459199999999996</v>
      </c>
      <c r="C411" s="10">
        <f>43.0248 * CHOOSE(CONTROL!$C$9, $D$9, 100%, $F$9) + CHOOSE(CONTROL!$C$27, 0.0021, 0)</f>
        <v>43.026899999999998</v>
      </c>
      <c r="D411" s="10">
        <f>43.0248 * CHOOSE(CONTROL!$C$9, $D$9, 100%, $F$9) + CHOOSE(CONTROL!$C$27, 0.0021, 0)</f>
        <v>43.026899999999998</v>
      </c>
      <c r="E411" s="10">
        <f>42.8882 * CHOOSE(CONTROL!$C$9, $D$9, 100%, $F$9) + CHOOSE(CONTROL!$C$27, 0.0021, 0)</f>
        <v>42.890299999999996</v>
      </c>
      <c r="F411" s="10">
        <f>42.8882 * CHOOSE(CONTROL!$C$9, $D$9, 100%, $F$9) + CHOOSE(CONTROL!$C$27, 0.0021, 0)</f>
        <v>42.890299999999996</v>
      </c>
      <c r="G411" s="10">
        <f>43.1595 * CHOOSE(CONTROL!$C$9, $D$9, 100%, $F$9) + CHOOSE(CONTROL!$C$27, 0.0021, 0)</f>
        <v>43.1616</v>
      </c>
      <c r="H411" s="10">
        <f>43.0248 * CHOOSE(CONTROL!$C$9, $D$9, 100%, $F$9) + CHOOSE(CONTROL!$C$27, 0.0021, 0)</f>
        <v>43.026899999999998</v>
      </c>
      <c r="I411" s="10">
        <f>43.0248 * CHOOSE(CONTROL!$C$9, $D$9, 100%, $F$9) + CHOOSE(CONTROL!$C$27, 0.0021, 0)</f>
        <v>43.026899999999998</v>
      </c>
      <c r="J411" s="10">
        <f>43.0248 * CHOOSE(CONTROL!$C$9, $D$9, 100%, $F$9) + CHOOSE(CONTROL!$C$27, 0.0021, 0)</f>
        <v>43.026899999999998</v>
      </c>
      <c r="K411" s="10">
        <f>43.0248 * CHOOSE(CONTROL!$C$9, $D$9, 100%, $F$9) + CHOOSE(CONTROL!$C$27, 0.0021, 0)</f>
        <v>43.026899999999998</v>
      </c>
      <c r="L411" s="10"/>
    </row>
    <row r="412" spans="1:12" ht="15.75" x14ac:dyDescent="0.25">
      <c r="A412" s="14">
        <v>53843</v>
      </c>
      <c r="B412" s="10">
        <f>44.3215 * CHOOSE(CONTROL!$C$9, $D$9, 100%, $F$9) + CHOOSE(CONTROL!$C$27, 0.0021, 0)</f>
        <v>44.323599999999999</v>
      </c>
      <c r="C412" s="10">
        <f>43.8893 * CHOOSE(CONTROL!$C$9, $D$9, 100%, $F$9) + CHOOSE(CONTROL!$C$27, 0.0021, 0)</f>
        <v>43.891399999999997</v>
      </c>
      <c r="D412" s="10">
        <f>43.8893 * CHOOSE(CONTROL!$C$9, $D$9, 100%, $F$9) + CHOOSE(CONTROL!$C$27, 0.0021, 0)</f>
        <v>43.891399999999997</v>
      </c>
      <c r="E412" s="10">
        <f>43.7526 * CHOOSE(CONTROL!$C$9, $D$9, 100%, $F$9) + CHOOSE(CONTROL!$C$27, 0.0021, 0)</f>
        <v>43.7547</v>
      </c>
      <c r="F412" s="10">
        <f>43.7526 * CHOOSE(CONTROL!$C$9, $D$9, 100%, $F$9) + CHOOSE(CONTROL!$C$27, 0.0021, 0)</f>
        <v>43.7547</v>
      </c>
      <c r="G412" s="10">
        <f>44.024 * CHOOSE(CONTROL!$C$9, $D$9, 100%, $F$9) + CHOOSE(CONTROL!$C$27, 0.0021, 0)</f>
        <v>44.0261</v>
      </c>
      <c r="H412" s="10">
        <f>43.8893 * CHOOSE(CONTROL!$C$9, $D$9, 100%, $F$9) + CHOOSE(CONTROL!$C$27, 0.0021, 0)</f>
        <v>43.891399999999997</v>
      </c>
      <c r="I412" s="10">
        <f>43.8893 * CHOOSE(CONTROL!$C$9, $D$9, 100%, $F$9) + CHOOSE(CONTROL!$C$27, 0.0021, 0)</f>
        <v>43.891399999999997</v>
      </c>
      <c r="J412" s="10">
        <f>43.8893 * CHOOSE(CONTROL!$C$9, $D$9, 100%, $F$9) + CHOOSE(CONTROL!$C$27, 0.0021, 0)</f>
        <v>43.891399999999997</v>
      </c>
      <c r="K412" s="10">
        <f>43.8893 * CHOOSE(CONTROL!$C$9, $D$9, 100%, $F$9) + CHOOSE(CONTROL!$C$27, 0.0021, 0)</f>
        <v>43.891399999999997</v>
      </c>
      <c r="L412" s="10"/>
    </row>
    <row r="413" spans="1:12" ht="15.75" x14ac:dyDescent="0.25">
      <c r="A413" s="14">
        <v>53873</v>
      </c>
      <c r="B413" s="10">
        <f>44.8393 * CHOOSE(CONTROL!$C$9, $D$9, 100%, $F$9) + CHOOSE(CONTROL!$C$27, 0.0021, 0)</f>
        <v>44.8414</v>
      </c>
      <c r="C413" s="10">
        <f>44.4071 * CHOOSE(CONTROL!$C$9, $D$9, 100%, $F$9) + CHOOSE(CONTROL!$C$27, 0.0021, 0)</f>
        <v>44.409199999999998</v>
      </c>
      <c r="D413" s="10">
        <f>44.4071 * CHOOSE(CONTROL!$C$9, $D$9, 100%, $F$9) + CHOOSE(CONTROL!$C$27, 0.0021, 0)</f>
        <v>44.409199999999998</v>
      </c>
      <c r="E413" s="10">
        <f>44.2704 * CHOOSE(CONTROL!$C$9, $D$9, 100%, $F$9) + CHOOSE(CONTROL!$C$27, 0.0021, 0)</f>
        <v>44.272500000000001</v>
      </c>
      <c r="F413" s="10">
        <f>44.2704 * CHOOSE(CONTROL!$C$9, $D$9, 100%, $F$9) + CHOOSE(CONTROL!$C$27, 0.0021, 0)</f>
        <v>44.272500000000001</v>
      </c>
      <c r="G413" s="10">
        <f>44.5418 * CHOOSE(CONTROL!$C$9, $D$9, 100%, $F$9) + CHOOSE(CONTROL!$C$27, 0.0021, 0)</f>
        <v>44.543900000000001</v>
      </c>
      <c r="H413" s="10">
        <f>44.4071 * CHOOSE(CONTROL!$C$9, $D$9, 100%, $F$9) + CHOOSE(CONTROL!$C$27, 0.0021, 0)</f>
        <v>44.409199999999998</v>
      </c>
      <c r="I413" s="10">
        <f>44.4071 * CHOOSE(CONTROL!$C$9, $D$9, 100%, $F$9) + CHOOSE(CONTROL!$C$27, 0.0021, 0)</f>
        <v>44.409199999999998</v>
      </c>
      <c r="J413" s="10">
        <f>44.4071 * CHOOSE(CONTROL!$C$9, $D$9, 100%, $F$9) + CHOOSE(CONTROL!$C$27, 0.0021, 0)</f>
        <v>44.409199999999998</v>
      </c>
      <c r="K413" s="10">
        <f>44.4071 * CHOOSE(CONTROL!$C$9, $D$9, 100%, $F$9) + CHOOSE(CONTROL!$C$27, 0.0021, 0)</f>
        <v>44.409199999999998</v>
      </c>
      <c r="L413" s="10"/>
    </row>
    <row r="414" spans="1:12" ht="15.75" x14ac:dyDescent="0.25">
      <c r="A414" s="14">
        <v>53904</v>
      </c>
      <c r="B414" s="10">
        <f>45.6935 * CHOOSE(CONTROL!$C$9, $D$9, 100%, $F$9) + CHOOSE(CONTROL!$C$27, 0.0021, 0)</f>
        <v>45.695599999999999</v>
      </c>
      <c r="C414" s="10">
        <f>45.2612 * CHOOSE(CONTROL!$C$9, $D$9, 100%, $F$9) + CHOOSE(CONTROL!$C$27, 0.0021, 0)</f>
        <v>45.263300000000001</v>
      </c>
      <c r="D414" s="10">
        <f>45.2612 * CHOOSE(CONTROL!$C$9, $D$9, 100%, $F$9) + CHOOSE(CONTROL!$C$27, 0.0021, 0)</f>
        <v>45.263300000000001</v>
      </c>
      <c r="E414" s="10">
        <f>45.1246 * CHOOSE(CONTROL!$C$9, $D$9, 100%, $F$9) + CHOOSE(CONTROL!$C$27, 0.0021, 0)</f>
        <v>45.1267</v>
      </c>
      <c r="F414" s="10">
        <f>45.1246 * CHOOSE(CONTROL!$C$9, $D$9, 100%, $F$9) + CHOOSE(CONTROL!$C$27, 0.0021, 0)</f>
        <v>45.1267</v>
      </c>
      <c r="G414" s="10">
        <f>45.396 * CHOOSE(CONTROL!$C$9, $D$9, 100%, $F$9) + CHOOSE(CONTROL!$C$27, 0.0021, 0)</f>
        <v>45.398099999999999</v>
      </c>
      <c r="H414" s="10">
        <f>45.2612 * CHOOSE(CONTROL!$C$9, $D$9, 100%, $F$9) + CHOOSE(CONTROL!$C$27, 0.0021, 0)</f>
        <v>45.263300000000001</v>
      </c>
      <c r="I414" s="10">
        <f>45.2612 * CHOOSE(CONTROL!$C$9, $D$9, 100%, $F$9) + CHOOSE(CONTROL!$C$27, 0.0021, 0)</f>
        <v>45.263300000000001</v>
      </c>
      <c r="J414" s="10">
        <f>45.2612 * CHOOSE(CONTROL!$C$9, $D$9, 100%, $F$9) + CHOOSE(CONTROL!$C$27, 0.0021, 0)</f>
        <v>45.263300000000001</v>
      </c>
      <c r="K414" s="10">
        <f>45.2612 * CHOOSE(CONTROL!$C$9, $D$9, 100%, $F$9) + CHOOSE(CONTROL!$C$27, 0.0021, 0)</f>
        <v>45.263300000000001</v>
      </c>
      <c r="L414" s="10"/>
    </row>
    <row r="415" spans="1:12" ht="15.75" x14ac:dyDescent="0.25">
      <c r="A415" s="14">
        <v>53935</v>
      </c>
      <c r="B415" s="10">
        <f>45.9542 * CHOOSE(CONTROL!$C$9, $D$9, 100%, $F$9) + CHOOSE(CONTROL!$C$27, 0.0021, 0)</f>
        <v>45.956299999999999</v>
      </c>
      <c r="C415" s="10">
        <f>45.522 * CHOOSE(CONTROL!$C$9, $D$9, 100%, $F$9) + CHOOSE(CONTROL!$C$27, 0.0021, 0)</f>
        <v>45.524099999999997</v>
      </c>
      <c r="D415" s="10">
        <f>45.522 * CHOOSE(CONTROL!$C$9, $D$9, 100%, $F$9) + CHOOSE(CONTROL!$C$27, 0.0021, 0)</f>
        <v>45.524099999999997</v>
      </c>
      <c r="E415" s="10">
        <f>45.3853 * CHOOSE(CONTROL!$C$9, $D$9, 100%, $F$9) + CHOOSE(CONTROL!$C$27, 0.0021, 0)</f>
        <v>45.3874</v>
      </c>
      <c r="F415" s="10">
        <f>45.3853 * CHOOSE(CONTROL!$C$9, $D$9, 100%, $F$9) + CHOOSE(CONTROL!$C$27, 0.0021, 0)</f>
        <v>45.3874</v>
      </c>
      <c r="G415" s="10">
        <f>45.6567 * CHOOSE(CONTROL!$C$9, $D$9, 100%, $F$9) + CHOOSE(CONTROL!$C$27, 0.0021, 0)</f>
        <v>45.658799999999999</v>
      </c>
      <c r="H415" s="10">
        <f>45.522 * CHOOSE(CONTROL!$C$9, $D$9, 100%, $F$9) + CHOOSE(CONTROL!$C$27, 0.0021, 0)</f>
        <v>45.524099999999997</v>
      </c>
      <c r="I415" s="10">
        <f>45.522 * CHOOSE(CONTROL!$C$9, $D$9, 100%, $F$9) + CHOOSE(CONTROL!$C$27, 0.0021, 0)</f>
        <v>45.524099999999997</v>
      </c>
      <c r="J415" s="10">
        <f>45.522 * CHOOSE(CONTROL!$C$9, $D$9, 100%, $F$9) + CHOOSE(CONTROL!$C$27, 0.0021, 0)</f>
        <v>45.524099999999997</v>
      </c>
      <c r="K415" s="10">
        <f>45.522 * CHOOSE(CONTROL!$C$9, $D$9, 100%, $F$9) + CHOOSE(CONTROL!$C$27, 0.0021, 0)</f>
        <v>45.524099999999997</v>
      </c>
      <c r="L415" s="10"/>
    </row>
    <row r="416" spans="1:12" ht="15.75" x14ac:dyDescent="0.25">
      <c r="A416" s="14">
        <v>53965</v>
      </c>
      <c r="B416" s="10">
        <f>46.8421 * CHOOSE(CONTROL!$C$9, $D$9, 100%, $F$9) + CHOOSE(CONTROL!$C$27, 0.0021, 0)</f>
        <v>46.844200000000001</v>
      </c>
      <c r="C416" s="10">
        <f>46.4098 * CHOOSE(CONTROL!$C$9, $D$9, 100%, $F$9) + CHOOSE(CONTROL!$C$27, 0.0021, 0)</f>
        <v>46.411899999999996</v>
      </c>
      <c r="D416" s="10">
        <f>46.4098 * CHOOSE(CONTROL!$C$9, $D$9, 100%, $F$9) + CHOOSE(CONTROL!$C$27, 0.0021, 0)</f>
        <v>46.411899999999996</v>
      </c>
      <c r="E416" s="10">
        <f>46.2732 * CHOOSE(CONTROL!$C$9, $D$9, 100%, $F$9) + CHOOSE(CONTROL!$C$27, 0.0021, 0)</f>
        <v>46.275300000000001</v>
      </c>
      <c r="F416" s="10">
        <f>46.2732 * CHOOSE(CONTROL!$C$9, $D$9, 100%, $F$9) + CHOOSE(CONTROL!$C$27, 0.0021, 0)</f>
        <v>46.275300000000001</v>
      </c>
      <c r="G416" s="10">
        <f>46.5445 * CHOOSE(CONTROL!$C$9, $D$9, 100%, $F$9) + CHOOSE(CONTROL!$C$27, 0.0021, 0)</f>
        <v>46.546599999999998</v>
      </c>
      <c r="H416" s="10">
        <f>46.4098 * CHOOSE(CONTROL!$C$9, $D$9, 100%, $F$9) + CHOOSE(CONTROL!$C$27, 0.0021, 0)</f>
        <v>46.411899999999996</v>
      </c>
      <c r="I416" s="10">
        <f>46.4098 * CHOOSE(CONTROL!$C$9, $D$9, 100%, $F$9) + CHOOSE(CONTROL!$C$27, 0.0021, 0)</f>
        <v>46.411899999999996</v>
      </c>
      <c r="J416" s="10">
        <f>46.4098 * CHOOSE(CONTROL!$C$9, $D$9, 100%, $F$9) + CHOOSE(CONTROL!$C$27, 0.0021, 0)</f>
        <v>46.411899999999996</v>
      </c>
      <c r="K416" s="10">
        <f>46.4098 * CHOOSE(CONTROL!$C$9, $D$9, 100%, $F$9) + CHOOSE(CONTROL!$C$27, 0.0021, 0)</f>
        <v>46.411899999999996</v>
      </c>
      <c r="L416" s="10"/>
    </row>
    <row r="417" spans="1:12" ht="15.75" x14ac:dyDescent="0.25">
      <c r="A417" s="14">
        <v>53996</v>
      </c>
      <c r="B417" s="10">
        <f>47.9659 * CHOOSE(CONTROL!$C$9, $D$9, 100%, $F$9) + CHOOSE(CONTROL!$C$27, 0.0021, 0)</f>
        <v>47.967999999999996</v>
      </c>
      <c r="C417" s="10">
        <f>47.5337 * CHOOSE(CONTROL!$C$9, $D$9, 100%, $F$9) + CHOOSE(CONTROL!$C$27, 0.0021, 0)</f>
        <v>47.535800000000002</v>
      </c>
      <c r="D417" s="10">
        <f>47.5337 * CHOOSE(CONTROL!$C$9, $D$9, 100%, $F$9) + CHOOSE(CONTROL!$C$27, 0.0021, 0)</f>
        <v>47.535800000000002</v>
      </c>
      <c r="E417" s="10">
        <f>47.397 * CHOOSE(CONTROL!$C$9, $D$9, 100%, $F$9) + CHOOSE(CONTROL!$C$27, 0.0021, 0)</f>
        <v>47.399099999999997</v>
      </c>
      <c r="F417" s="10">
        <f>47.397 * CHOOSE(CONTROL!$C$9, $D$9, 100%, $F$9) + CHOOSE(CONTROL!$C$27, 0.0021, 0)</f>
        <v>47.399099999999997</v>
      </c>
      <c r="G417" s="10">
        <f>47.6684 * CHOOSE(CONTROL!$C$9, $D$9, 100%, $F$9) + CHOOSE(CONTROL!$C$27, 0.0021, 0)</f>
        <v>47.670499999999997</v>
      </c>
      <c r="H417" s="10">
        <f>47.5337 * CHOOSE(CONTROL!$C$9, $D$9, 100%, $F$9) + CHOOSE(CONTROL!$C$27, 0.0021, 0)</f>
        <v>47.535800000000002</v>
      </c>
      <c r="I417" s="10">
        <f>47.5337 * CHOOSE(CONTROL!$C$9, $D$9, 100%, $F$9) + CHOOSE(CONTROL!$C$27, 0.0021, 0)</f>
        <v>47.535800000000002</v>
      </c>
      <c r="J417" s="10">
        <f>47.5337 * CHOOSE(CONTROL!$C$9, $D$9, 100%, $F$9) + CHOOSE(CONTROL!$C$27, 0.0021, 0)</f>
        <v>47.535800000000002</v>
      </c>
      <c r="K417" s="10">
        <f>47.5337 * CHOOSE(CONTROL!$C$9, $D$9, 100%, $F$9) + CHOOSE(CONTROL!$C$27, 0.0021, 0)</f>
        <v>47.535800000000002</v>
      </c>
      <c r="L417" s="10"/>
    </row>
    <row r="418" spans="1:12" ht="15.75" x14ac:dyDescent="0.25">
      <c r="A418" s="14">
        <v>54026</v>
      </c>
      <c r="B418" s="10">
        <f>48.0715 * CHOOSE(CONTROL!$C$9, $D$9, 100%, $F$9) + CHOOSE(CONTROL!$C$27, 0.0021, 0)</f>
        <v>48.073599999999999</v>
      </c>
      <c r="C418" s="10">
        <f>47.6392 * CHOOSE(CONTROL!$C$9, $D$9, 100%, $F$9) + CHOOSE(CONTROL!$C$27, 0.0021, 0)</f>
        <v>47.641300000000001</v>
      </c>
      <c r="D418" s="10">
        <f>47.6392 * CHOOSE(CONTROL!$C$9, $D$9, 100%, $F$9) + CHOOSE(CONTROL!$C$27, 0.0021, 0)</f>
        <v>47.641300000000001</v>
      </c>
      <c r="E418" s="10">
        <f>47.5025 * CHOOSE(CONTROL!$C$9, $D$9, 100%, $F$9) + CHOOSE(CONTROL!$C$27, 0.0021, 0)</f>
        <v>47.504599999999996</v>
      </c>
      <c r="F418" s="10">
        <f>47.5025 * CHOOSE(CONTROL!$C$9, $D$9, 100%, $F$9) + CHOOSE(CONTROL!$C$27, 0.0021, 0)</f>
        <v>47.504599999999996</v>
      </c>
      <c r="G418" s="10">
        <f>47.7739 * CHOOSE(CONTROL!$C$9, $D$9, 100%, $F$9) + CHOOSE(CONTROL!$C$27, 0.0021, 0)</f>
        <v>47.775999999999996</v>
      </c>
      <c r="H418" s="10">
        <f>47.6392 * CHOOSE(CONTROL!$C$9, $D$9, 100%, $F$9) + CHOOSE(CONTROL!$C$27, 0.0021, 0)</f>
        <v>47.641300000000001</v>
      </c>
      <c r="I418" s="10">
        <f>47.6392 * CHOOSE(CONTROL!$C$9, $D$9, 100%, $F$9) + CHOOSE(CONTROL!$C$27, 0.0021, 0)</f>
        <v>47.641300000000001</v>
      </c>
      <c r="J418" s="10">
        <f>47.6392 * CHOOSE(CONTROL!$C$9, $D$9, 100%, $F$9) + CHOOSE(CONTROL!$C$27, 0.0021, 0)</f>
        <v>47.641300000000001</v>
      </c>
      <c r="K418" s="10">
        <f>47.6392 * CHOOSE(CONTROL!$C$9, $D$9, 100%, $F$9) + CHOOSE(CONTROL!$C$27, 0.0021, 0)</f>
        <v>47.641300000000001</v>
      </c>
      <c r="L418" s="10"/>
    </row>
    <row r="419" spans="1:12" ht="15.75" x14ac:dyDescent="0.25">
      <c r="A419" s="14">
        <v>54057</v>
      </c>
      <c r="B419" s="10">
        <f>47.1738 * CHOOSE(CONTROL!$C$9, $D$9, 100%, $F$9) + CHOOSE(CONTROL!$C$27, 0.0021, 0)</f>
        <v>47.175899999999999</v>
      </c>
      <c r="C419" s="10">
        <f>46.7416 * CHOOSE(CONTROL!$C$9, $D$9, 100%, $F$9) + CHOOSE(CONTROL!$C$27, 0.0021, 0)</f>
        <v>46.743699999999997</v>
      </c>
      <c r="D419" s="10">
        <f>46.7416 * CHOOSE(CONTROL!$C$9, $D$9, 100%, $F$9) + CHOOSE(CONTROL!$C$27, 0.0021, 0)</f>
        <v>46.743699999999997</v>
      </c>
      <c r="E419" s="10">
        <f>46.6049 * CHOOSE(CONTROL!$C$9, $D$9, 100%, $F$9) + CHOOSE(CONTROL!$C$27, 0.0021, 0)</f>
        <v>46.606999999999999</v>
      </c>
      <c r="F419" s="10">
        <f>46.6049 * CHOOSE(CONTROL!$C$9, $D$9, 100%, $F$9) + CHOOSE(CONTROL!$C$27, 0.0021, 0)</f>
        <v>46.606999999999999</v>
      </c>
      <c r="G419" s="10">
        <f>46.8763 * CHOOSE(CONTROL!$C$9, $D$9, 100%, $F$9) + CHOOSE(CONTROL!$C$27, 0.0021, 0)</f>
        <v>46.878399999999999</v>
      </c>
      <c r="H419" s="10">
        <f>46.7416 * CHOOSE(CONTROL!$C$9, $D$9, 100%, $F$9) + CHOOSE(CONTROL!$C$27, 0.0021, 0)</f>
        <v>46.743699999999997</v>
      </c>
      <c r="I419" s="10">
        <f>46.7416 * CHOOSE(CONTROL!$C$9, $D$9, 100%, $F$9) + CHOOSE(CONTROL!$C$27, 0.0021, 0)</f>
        <v>46.743699999999997</v>
      </c>
      <c r="J419" s="10">
        <f>46.7416 * CHOOSE(CONTROL!$C$9, $D$9, 100%, $F$9) + CHOOSE(CONTROL!$C$27, 0.0021, 0)</f>
        <v>46.743699999999997</v>
      </c>
      <c r="K419" s="10">
        <f>46.7416 * CHOOSE(CONTROL!$C$9, $D$9, 100%, $F$9) + CHOOSE(CONTROL!$C$27, 0.0021, 0)</f>
        <v>46.743699999999997</v>
      </c>
      <c r="L419" s="10"/>
    </row>
    <row r="420" spans="1:12" ht="15.75" x14ac:dyDescent="0.25">
      <c r="A420" s="14">
        <v>54088</v>
      </c>
      <c r="B420" s="10">
        <f>46.4866 * CHOOSE(CONTROL!$C$9, $D$9, 100%, $F$9) + CHOOSE(CONTROL!$C$27, 0.0021, 0)</f>
        <v>46.488700000000001</v>
      </c>
      <c r="C420" s="10">
        <f>46.0543 * CHOOSE(CONTROL!$C$9, $D$9, 100%, $F$9) + CHOOSE(CONTROL!$C$27, 0.0021, 0)</f>
        <v>46.056399999999996</v>
      </c>
      <c r="D420" s="10">
        <f>46.0543 * CHOOSE(CONTROL!$C$9, $D$9, 100%, $F$9) + CHOOSE(CONTROL!$C$27, 0.0021, 0)</f>
        <v>46.056399999999996</v>
      </c>
      <c r="E420" s="10">
        <f>45.9177 * CHOOSE(CONTROL!$C$9, $D$9, 100%, $F$9) + CHOOSE(CONTROL!$C$27, 0.0021, 0)</f>
        <v>45.919800000000002</v>
      </c>
      <c r="F420" s="10">
        <f>45.9177 * CHOOSE(CONTROL!$C$9, $D$9, 100%, $F$9) + CHOOSE(CONTROL!$C$27, 0.0021, 0)</f>
        <v>45.919800000000002</v>
      </c>
      <c r="G420" s="10">
        <f>46.1891 * CHOOSE(CONTROL!$C$9, $D$9, 100%, $F$9) + CHOOSE(CONTROL!$C$27, 0.0021, 0)</f>
        <v>46.191200000000002</v>
      </c>
      <c r="H420" s="10">
        <f>46.0543 * CHOOSE(CONTROL!$C$9, $D$9, 100%, $F$9) + CHOOSE(CONTROL!$C$27, 0.0021, 0)</f>
        <v>46.056399999999996</v>
      </c>
      <c r="I420" s="10">
        <f>46.0543 * CHOOSE(CONTROL!$C$9, $D$9, 100%, $F$9) + CHOOSE(CONTROL!$C$27, 0.0021, 0)</f>
        <v>46.056399999999996</v>
      </c>
      <c r="J420" s="10">
        <f>46.0543 * CHOOSE(CONTROL!$C$9, $D$9, 100%, $F$9) + CHOOSE(CONTROL!$C$27, 0.0021, 0)</f>
        <v>46.056399999999996</v>
      </c>
      <c r="K420" s="10">
        <f>46.0543 * CHOOSE(CONTROL!$C$9, $D$9, 100%, $F$9) + CHOOSE(CONTROL!$C$27, 0.0021, 0)</f>
        <v>46.056399999999996</v>
      </c>
      <c r="L420" s="10"/>
    </row>
    <row r="421" spans="1:12" ht="15.75" x14ac:dyDescent="0.25">
      <c r="A421" s="14">
        <v>54116</v>
      </c>
      <c r="B421" s="10">
        <f>45.2365 * CHOOSE(CONTROL!$C$9, $D$9, 100%, $F$9) + CHOOSE(CONTROL!$C$27, 0.0021, 0)</f>
        <v>45.238599999999998</v>
      </c>
      <c r="C421" s="10">
        <f>44.8043 * CHOOSE(CONTROL!$C$9, $D$9, 100%, $F$9) + CHOOSE(CONTROL!$C$27, 0.0021, 0)</f>
        <v>44.806399999999996</v>
      </c>
      <c r="D421" s="10">
        <f>44.8043 * CHOOSE(CONTROL!$C$9, $D$9, 100%, $F$9) + CHOOSE(CONTROL!$C$27, 0.0021, 0)</f>
        <v>44.806399999999996</v>
      </c>
      <c r="E421" s="10">
        <f>44.6676 * CHOOSE(CONTROL!$C$9, $D$9, 100%, $F$9) + CHOOSE(CONTROL!$C$27, 0.0021, 0)</f>
        <v>44.669699999999999</v>
      </c>
      <c r="F421" s="10">
        <f>44.6676 * CHOOSE(CONTROL!$C$9, $D$9, 100%, $F$9) + CHOOSE(CONTROL!$C$27, 0.0021, 0)</f>
        <v>44.669699999999999</v>
      </c>
      <c r="G421" s="10">
        <f>44.939 * CHOOSE(CONTROL!$C$9, $D$9, 100%, $F$9) + CHOOSE(CONTROL!$C$27, 0.0021, 0)</f>
        <v>44.941099999999999</v>
      </c>
      <c r="H421" s="10">
        <f>44.8043 * CHOOSE(CONTROL!$C$9, $D$9, 100%, $F$9) + CHOOSE(CONTROL!$C$27, 0.0021, 0)</f>
        <v>44.806399999999996</v>
      </c>
      <c r="I421" s="10">
        <f>44.8043 * CHOOSE(CONTROL!$C$9, $D$9, 100%, $F$9) + CHOOSE(CONTROL!$C$27, 0.0021, 0)</f>
        <v>44.806399999999996</v>
      </c>
      <c r="J421" s="10">
        <f>44.8043 * CHOOSE(CONTROL!$C$9, $D$9, 100%, $F$9) + CHOOSE(CONTROL!$C$27, 0.0021, 0)</f>
        <v>44.806399999999996</v>
      </c>
      <c r="K421" s="10">
        <f>44.8043 * CHOOSE(CONTROL!$C$9, $D$9, 100%, $F$9) + CHOOSE(CONTROL!$C$27, 0.0021, 0)</f>
        <v>44.806399999999996</v>
      </c>
      <c r="L421" s="10"/>
    </row>
    <row r="422" spans="1:12" ht="15.75" x14ac:dyDescent="0.25">
      <c r="A422" s="14">
        <v>54148</v>
      </c>
      <c r="B422" s="10">
        <f>44.7205 * CHOOSE(CONTROL!$C$9, $D$9, 100%, $F$9) + CHOOSE(CONTROL!$C$27, 0.0021, 0)</f>
        <v>44.7226</v>
      </c>
      <c r="C422" s="10">
        <f>44.2883 * CHOOSE(CONTROL!$C$9, $D$9, 100%, $F$9) + CHOOSE(CONTROL!$C$27, 0.0021, 0)</f>
        <v>44.290399999999998</v>
      </c>
      <c r="D422" s="10">
        <f>44.2883 * CHOOSE(CONTROL!$C$9, $D$9, 100%, $F$9) + CHOOSE(CONTROL!$C$27, 0.0021, 0)</f>
        <v>44.290399999999998</v>
      </c>
      <c r="E422" s="10">
        <f>44.1516 * CHOOSE(CONTROL!$C$9, $D$9, 100%, $F$9) + CHOOSE(CONTROL!$C$27, 0.0021, 0)</f>
        <v>44.153700000000001</v>
      </c>
      <c r="F422" s="10">
        <f>44.1516 * CHOOSE(CONTROL!$C$9, $D$9, 100%, $F$9) + CHOOSE(CONTROL!$C$27, 0.0021, 0)</f>
        <v>44.153700000000001</v>
      </c>
      <c r="G422" s="10">
        <f>44.423 * CHOOSE(CONTROL!$C$9, $D$9, 100%, $F$9) + CHOOSE(CONTROL!$C$27, 0.0021, 0)</f>
        <v>44.4251</v>
      </c>
      <c r="H422" s="10">
        <f>44.2883 * CHOOSE(CONTROL!$C$9, $D$9, 100%, $F$9) + CHOOSE(CONTROL!$C$27, 0.0021, 0)</f>
        <v>44.290399999999998</v>
      </c>
      <c r="I422" s="10">
        <f>44.2883 * CHOOSE(CONTROL!$C$9, $D$9, 100%, $F$9) + CHOOSE(CONTROL!$C$27, 0.0021, 0)</f>
        <v>44.290399999999998</v>
      </c>
      <c r="J422" s="10">
        <f>44.2883 * CHOOSE(CONTROL!$C$9, $D$9, 100%, $F$9) + CHOOSE(CONTROL!$C$27, 0.0021, 0)</f>
        <v>44.290399999999998</v>
      </c>
      <c r="K422" s="10">
        <f>44.2883 * CHOOSE(CONTROL!$C$9, $D$9, 100%, $F$9) + CHOOSE(CONTROL!$C$27, 0.0021, 0)</f>
        <v>44.290399999999998</v>
      </c>
      <c r="L422" s="10"/>
    </row>
    <row r="423" spans="1:12" ht="15.75" x14ac:dyDescent="0.25">
      <c r="A423" s="14">
        <v>54178</v>
      </c>
      <c r="B423" s="10">
        <f>44.1044 * CHOOSE(CONTROL!$C$9, $D$9, 100%, $F$9) + CHOOSE(CONTROL!$C$27, 0.0021, 0)</f>
        <v>44.106499999999997</v>
      </c>
      <c r="C423" s="10">
        <f>43.6721 * CHOOSE(CONTROL!$C$9, $D$9, 100%, $F$9) + CHOOSE(CONTROL!$C$27, 0.0021, 0)</f>
        <v>43.674199999999999</v>
      </c>
      <c r="D423" s="10">
        <f>43.6721 * CHOOSE(CONTROL!$C$9, $D$9, 100%, $F$9) + CHOOSE(CONTROL!$C$27, 0.0021, 0)</f>
        <v>43.674199999999999</v>
      </c>
      <c r="E423" s="10">
        <f>43.5355 * CHOOSE(CONTROL!$C$9, $D$9, 100%, $F$9) + CHOOSE(CONTROL!$C$27, 0.0021, 0)</f>
        <v>43.537599999999998</v>
      </c>
      <c r="F423" s="10">
        <f>43.5355 * CHOOSE(CONTROL!$C$9, $D$9, 100%, $F$9) + CHOOSE(CONTROL!$C$27, 0.0021, 0)</f>
        <v>43.537599999999998</v>
      </c>
      <c r="G423" s="10">
        <f>43.8068 * CHOOSE(CONTROL!$C$9, $D$9, 100%, $F$9) + CHOOSE(CONTROL!$C$27, 0.0021, 0)</f>
        <v>43.808900000000001</v>
      </c>
      <c r="H423" s="10">
        <f>43.6721 * CHOOSE(CONTROL!$C$9, $D$9, 100%, $F$9) + CHOOSE(CONTROL!$C$27, 0.0021, 0)</f>
        <v>43.674199999999999</v>
      </c>
      <c r="I423" s="10">
        <f>43.6721 * CHOOSE(CONTROL!$C$9, $D$9, 100%, $F$9) + CHOOSE(CONTROL!$C$27, 0.0021, 0)</f>
        <v>43.674199999999999</v>
      </c>
      <c r="J423" s="10">
        <f>43.6721 * CHOOSE(CONTROL!$C$9, $D$9, 100%, $F$9) + CHOOSE(CONTROL!$C$27, 0.0021, 0)</f>
        <v>43.674199999999999</v>
      </c>
      <c r="K423" s="10">
        <f>43.6721 * CHOOSE(CONTROL!$C$9, $D$9, 100%, $F$9) + CHOOSE(CONTROL!$C$27, 0.0021, 0)</f>
        <v>43.674199999999999</v>
      </c>
      <c r="L423" s="10"/>
    </row>
    <row r="424" spans="1:12" ht="15.75" x14ac:dyDescent="0.25">
      <c r="A424" s="14">
        <v>54209</v>
      </c>
      <c r="B424" s="10">
        <f>44.9824 * CHOOSE(CONTROL!$C$9, $D$9, 100%, $F$9) + CHOOSE(CONTROL!$C$27, 0.0021, 0)</f>
        <v>44.984499999999997</v>
      </c>
      <c r="C424" s="10">
        <f>44.5502 * CHOOSE(CONTROL!$C$9, $D$9, 100%, $F$9) + CHOOSE(CONTROL!$C$27, 0.0021, 0)</f>
        <v>44.552299999999995</v>
      </c>
      <c r="D424" s="10">
        <f>44.5502 * CHOOSE(CONTROL!$C$9, $D$9, 100%, $F$9) + CHOOSE(CONTROL!$C$27, 0.0021, 0)</f>
        <v>44.552299999999995</v>
      </c>
      <c r="E424" s="10">
        <f>44.4135 * CHOOSE(CONTROL!$C$9, $D$9, 100%, $F$9) + CHOOSE(CONTROL!$C$27, 0.0021, 0)</f>
        <v>44.415599999999998</v>
      </c>
      <c r="F424" s="10">
        <f>44.4135 * CHOOSE(CONTROL!$C$9, $D$9, 100%, $F$9) + CHOOSE(CONTROL!$C$27, 0.0021, 0)</f>
        <v>44.415599999999998</v>
      </c>
      <c r="G424" s="10">
        <f>44.6849 * CHOOSE(CONTROL!$C$9, $D$9, 100%, $F$9) + CHOOSE(CONTROL!$C$27, 0.0021, 0)</f>
        <v>44.686999999999998</v>
      </c>
      <c r="H424" s="10">
        <f>44.5502 * CHOOSE(CONTROL!$C$9, $D$9, 100%, $F$9) + CHOOSE(CONTROL!$C$27, 0.0021, 0)</f>
        <v>44.552299999999995</v>
      </c>
      <c r="I424" s="10">
        <f>44.5502 * CHOOSE(CONTROL!$C$9, $D$9, 100%, $F$9) + CHOOSE(CONTROL!$C$27, 0.0021, 0)</f>
        <v>44.552299999999995</v>
      </c>
      <c r="J424" s="10">
        <f>44.5502 * CHOOSE(CONTROL!$C$9, $D$9, 100%, $F$9) + CHOOSE(CONTROL!$C$27, 0.0021, 0)</f>
        <v>44.552299999999995</v>
      </c>
      <c r="K424" s="10">
        <f>44.5502 * CHOOSE(CONTROL!$C$9, $D$9, 100%, $F$9) + CHOOSE(CONTROL!$C$27, 0.0021, 0)</f>
        <v>44.552299999999995</v>
      </c>
      <c r="L424" s="10"/>
    </row>
    <row r="425" spans="1:12" ht="15.75" x14ac:dyDescent="0.25">
      <c r="A425" s="14">
        <v>54239</v>
      </c>
      <c r="B425" s="10">
        <f>45.5084 * CHOOSE(CONTROL!$C$9, $D$9, 100%, $F$9) + CHOOSE(CONTROL!$C$27, 0.0021, 0)</f>
        <v>45.5105</v>
      </c>
      <c r="C425" s="10">
        <f>45.0761 * CHOOSE(CONTROL!$C$9, $D$9, 100%, $F$9) + CHOOSE(CONTROL!$C$27, 0.0021, 0)</f>
        <v>45.078199999999995</v>
      </c>
      <c r="D425" s="10">
        <f>45.0761 * CHOOSE(CONTROL!$C$9, $D$9, 100%, $F$9) + CHOOSE(CONTROL!$C$27, 0.0021, 0)</f>
        <v>45.078199999999995</v>
      </c>
      <c r="E425" s="10">
        <f>44.9395 * CHOOSE(CONTROL!$C$9, $D$9, 100%, $F$9) + CHOOSE(CONTROL!$C$27, 0.0021, 0)</f>
        <v>44.941600000000001</v>
      </c>
      <c r="F425" s="10">
        <f>44.9395 * CHOOSE(CONTROL!$C$9, $D$9, 100%, $F$9) + CHOOSE(CONTROL!$C$27, 0.0021, 0)</f>
        <v>44.941600000000001</v>
      </c>
      <c r="G425" s="10">
        <f>45.2108 * CHOOSE(CONTROL!$C$9, $D$9, 100%, $F$9) + CHOOSE(CONTROL!$C$27, 0.0021, 0)</f>
        <v>45.212899999999998</v>
      </c>
      <c r="H425" s="10">
        <f>45.0761 * CHOOSE(CONTROL!$C$9, $D$9, 100%, $F$9) + CHOOSE(CONTROL!$C$27, 0.0021, 0)</f>
        <v>45.078199999999995</v>
      </c>
      <c r="I425" s="10">
        <f>45.0761 * CHOOSE(CONTROL!$C$9, $D$9, 100%, $F$9) + CHOOSE(CONTROL!$C$27, 0.0021, 0)</f>
        <v>45.078199999999995</v>
      </c>
      <c r="J425" s="10">
        <f>45.0761 * CHOOSE(CONTROL!$C$9, $D$9, 100%, $F$9) + CHOOSE(CONTROL!$C$27, 0.0021, 0)</f>
        <v>45.078199999999995</v>
      </c>
      <c r="K425" s="10">
        <f>45.0761 * CHOOSE(CONTROL!$C$9, $D$9, 100%, $F$9) + CHOOSE(CONTROL!$C$27, 0.0021, 0)</f>
        <v>45.078199999999995</v>
      </c>
      <c r="L425" s="10"/>
    </row>
    <row r="426" spans="1:12" ht="15.75" x14ac:dyDescent="0.25">
      <c r="A426" s="14">
        <v>54270</v>
      </c>
      <c r="B426" s="10">
        <f>46.376 * CHOOSE(CONTROL!$C$9, $D$9, 100%, $F$9) + CHOOSE(CONTROL!$C$27, 0.0021, 0)</f>
        <v>46.378099999999996</v>
      </c>
      <c r="C426" s="10">
        <f>45.9437 * CHOOSE(CONTROL!$C$9, $D$9, 100%, $F$9) + CHOOSE(CONTROL!$C$27, 0.0021, 0)</f>
        <v>45.945799999999998</v>
      </c>
      <c r="D426" s="10">
        <f>45.9437 * CHOOSE(CONTROL!$C$9, $D$9, 100%, $F$9) + CHOOSE(CONTROL!$C$27, 0.0021, 0)</f>
        <v>45.945799999999998</v>
      </c>
      <c r="E426" s="10">
        <f>45.8071 * CHOOSE(CONTROL!$C$9, $D$9, 100%, $F$9) + CHOOSE(CONTROL!$C$27, 0.0021, 0)</f>
        <v>45.809199999999997</v>
      </c>
      <c r="F426" s="10">
        <f>45.8071 * CHOOSE(CONTROL!$C$9, $D$9, 100%, $F$9) + CHOOSE(CONTROL!$C$27, 0.0021, 0)</f>
        <v>45.809199999999997</v>
      </c>
      <c r="G426" s="10">
        <f>46.0784 * CHOOSE(CONTROL!$C$9, $D$9, 100%, $F$9) + CHOOSE(CONTROL!$C$27, 0.0021, 0)</f>
        <v>46.080500000000001</v>
      </c>
      <c r="H426" s="10">
        <f>45.9437 * CHOOSE(CONTROL!$C$9, $D$9, 100%, $F$9) + CHOOSE(CONTROL!$C$27, 0.0021, 0)</f>
        <v>45.945799999999998</v>
      </c>
      <c r="I426" s="10">
        <f>45.9437 * CHOOSE(CONTROL!$C$9, $D$9, 100%, $F$9) + CHOOSE(CONTROL!$C$27, 0.0021, 0)</f>
        <v>45.945799999999998</v>
      </c>
      <c r="J426" s="10">
        <f>45.9437 * CHOOSE(CONTROL!$C$9, $D$9, 100%, $F$9) + CHOOSE(CONTROL!$C$27, 0.0021, 0)</f>
        <v>45.945799999999998</v>
      </c>
      <c r="K426" s="10">
        <f>45.9437 * CHOOSE(CONTROL!$C$9, $D$9, 100%, $F$9) + CHOOSE(CONTROL!$C$27, 0.0021, 0)</f>
        <v>45.945799999999998</v>
      </c>
      <c r="L426" s="10"/>
    </row>
    <row r="427" spans="1:12" ht="15.75" x14ac:dyDescent="0.25">
      <c r="A427" s="14">
        <v>54301</v>
      </c>
      <c r="B427" s="10">
        <f>46.6408 * CHOOSE(CONTROL!$C$9, $D$9, 100%, $F$9) + CHOOSE(CONTROL!$C$27, 0.0021, 0)</f>
        <v>46.642899999999997</v>
      </c>
      <c r="C427" s="10">
        <f>46.2085 * CHOOSE(CONTROL!$C$9, $D$9, 100%, $F$9) + CHOOSE(CONTROL!$C$27, 0.0021, 0)</f>
        <v>46.210599999999999</v>
      </c>
      <c r="D427" s="10">
        <f>46.2085 * CHOOSE(CONTROL!$C$9, $D$9, 100%, $F$9) + CHOOSE(CONTROL!$C$27, 0.0021, 0)</f>
        <v>46.210599999999999</v>
      </c>
      <c r="E427" s="10">
        <f>46.0719 * CHOOSE(CONTROL!$C$9, $D$9, 100%, $F$9) + CHOOSE(CONTROL!$C$27, 0.0021, 0)</f>
        <v>46.073999999999998</v>
      </c>
      <c r="F427" s="10">
        <f>46.0719 * CHOOSE(CONTROL!$C$9, $D$9, 100%, $F$9) + CHOOSE(CONTROL!$C$27, 0.0021, 0)</f>
        <v>46.073999999999998</v>
      </c>
      <c r="G427" s="10">
        <f>46.3433 * CHOOSE(CONTROL!$C$9, $D$9, 100%, $F$9) + CHOOSE(CONTROL!$C$27, 0.0021, 0)</f>
        <v>46.345399999999998</v>
      </c>
      <c r="H427" s="10">
        <f>46.2085 * CHOOSE(CONTROL!$C$9, $D$9, 100%, $F$9) + CHOOSE(CONTROL!$C$27, 0.0021, 0)</f>
        <v>46.210599999999999</v>
      </c>
      <c r="I427" s="10">
        <f>46.2085 * CHOOSE(CONTROL!$C$9, $D$9, 100%, $F$9) + CHOOSE(CONTROL!$C$27, 0.0021, 0)</f>
        <v>46.210599999999999</v>
      </c>
      <c r="J427" s="10">
        <f>46.2085 * CHOOSE(CONTROL!$C$9, $D$9, 100%, $F$9) + CHOOSE(CONTROL!$C$27, 0.0021, 0)</f>
        <v>46.210599999999999</v>
      </c>
      <c r="K427" s="10">
        <f>46.2085 * CHOOSE(CONTROL!$C$9, $D$9, 100%, $F$9) + CHOOSE(CONTROL!$C$27, 0.0021, 0)</f>
        <v>46.210599999999999</v>
      </c>
      <c r="L427" s="10"/>
    </row>
    <row r="428" spans="1:12" ht="15.75" x14ac:dyDescent="0.25">
      <c r="A428" s="14">
        <v>54331</v>
      </c>
      <c r="B428" s="10">
        <f>47.5426 * CHOOSE(CONTROL!$C$9, $D$9, 100%, $F$9) + CHOOSE(CONTROL!$C$27, 0.0021, 0)</f>
        <v>47.544699999999999</v>
      </c>
      <c r="C428" s="10">
        <f>47.1104 * CHOOSE(CONTROL!$C$9, $D$9, 100%, $F$9) + CHOOSE(CONTROL!$C$27, 0.0021, 0)</f>
        <v>47.112499999999997</v>
      </c>
      <c r="D428" s="10">
        <f>47.1104 * CHOOSE(CONTROL!$C$9, $D$9, 100%, $F$9) + CHOOSE(CONTROL!$C$27, 0.0021, 0)</f>
        <v>47.112499999999997</v>
      </c>
      <c r="E428" s="10">
        <f>46.9737 * CHOOSE(CONTROL!$C$9, $D$9, 100%, $F$9) + CHOOSE(CONTROL!$C$27, 0.0021, 0)</f>
        <v>46.9758</v>
      </c>
      <c r="F428" s="10">
        <f>46.9737 * CHOOSE(CONTROL!$C$9, $D$9, 100%, $F$9) + CHOOSE(CONTROL!$C$27, 0.0021, 0)</f>
        <v>46.9758</v>
      </c>
      <c r="G428" s="10">
        <f>47.2451 * CHOOSE(CONTROL!$C$9, $D$9, 100%, $F$9) + CHOOSE(CONTROL!$C$27, 0.0021, 0)</f>
        <v>47.247199999999999</v>
      </c>
      <c r="H428" s="10">
        <f>47.1104 * CHOOSE(CONTROL!$C$9, $D$9, 100%, $F$9) + CHOOSE(CONTROL!$C$27, 0.0021, 0)</f>
        <v>47.112499999999997</v>
      </c>
      <c r="I428" s="10">
        <f>47.1104 * CHOOSE(CONTROL!$C$9, $D$9, 100%, $F$9) + CHOOSE(CONTROL!$C$27, 0.0021, 0)</f>
        <v>47.112499999999997</v>
      </c>
      <c r="J428" s="10">
        <f>47.1104 * CHOOSE(CONTROL!$C$9, $D$9, 100%, $F$9) + CHOOSE(CONTROL!$C$27, 0.0021, 0)</f>
        <v>47.112499999999997</v>
      </c>
      <c r="K428" s="10">
        <f>47.1104 * CHOOSE(CONTROL!$C$9, $D$9, 100%, $F$9) + CHOOSE(CONTROL!$C$27, 0.0021, 0)</f>
        <v>47.112499999999997</v>
      </c>
      <c r="L428" s="10"/>
    </row>
    <row r="429" spans="1:12" ht="15.75" x14ac:dyDescent="0.25">
      <c r="A429" s="14">
        <v>54362</v>
      </c>
      <c r="B429" s="10">
        <f>48.6842 * CHOOSE(CONTROL!$C$9, $D$9, 100%, $F$9) + CHOOSE(CONTROL!$C$27, 0.0021, 0)</f>
        <v>48.686299999999996</v>
      </c>
      <c r="C429" s="10">
        <f>48.2519 * CHOOSE(CONTROL!$C$9, $D$9, 100%, $F$9) + CHOOSE(CONTROL!$C$27, 0.0021, 0)</f>
        <v>48.253999999999998</v>
      </c>
      <c r="D429" s="10">
        <f>48.2519 * CHOOSE(CONTROL!$C$9, $D$9, 100%, $F$9) + CHOOSE(CONTROL!$C$27, 0.0021, 0)</f>
        <v>48.253999999999998</v>
      </c>
      <c r="E429" s="10">
        <f>48.1153 * CHOOSE(CONTROL!$C$9, $D$9, 100%, $F$9) + CHOOSE(CONTROL!$C$27, 0.0021, 0)</f>
        <v>48.117399999999996</v>
      </c>
      <c r="F429" s="10">
        <f>48.1153 * CHOOSE(CONTROL!$C$9, $D$9, 100%, $F$9) + CHOOSE(CONTROL!$C$27, 0.0021, 0)</f>
        <v>48.117399999999996</v>
      </c>
      <c r="G429" s="10">
        <f>48.3866 * CHOOSE(CONTROL!$C$9, $D$9, 100%, $F$9) + CHOOSE(CONTROL!$C$27, 0.0021, 0)</f>
        <v>48.3887</v>
      </c>
      <c r="H429" s="10">
        <f>48.2519 * CHOOSE(CONTROL!$C$9, $D$9, 100%, $F$9) + CHOOSE(CONTROL!$C$27, 0.0021, 0)</f>
        <v>48.253999999999998</v>
      </c>
      <c r="I429" s="10">
        <f>48.2519 * CHOOSE(CONTROL!$C$9, $D$9, 100%, $F$9) + CHOOSE(CONTROL!$C$27, 0.0021, 0)</f>
        <v>48.253999999999998</v>
      </c>
      <c r="J429" s="10">
        <f>48.2519 * CHOOSE(CONTROL!$C$9, $D$9, 100%, $F$9) + CHOOSE(CONTROL!$C$27, 0.0021, 0)</f>
        <v>48.253999999999998</v>
      </c>
      <c r="K429" s="10">
        <f>48.2519 * CHOOSE(CONTROL!$C$9, $D$9, 100%, $F$9) + CHOOSE(CONTROL!$C$27, 0.0021, 0)</f>
        <v>48.253999999999998</v>
      </c>
      <c r="L429" s="10"/>
    </row>
    <row r="430" spans="1:12" ht="15.75" x14ac:dyDescent="0.25">
      <c r="A430" s="14">
        <v>54392</v>
      </c>
      <c r="B430" s="10">
        <f>48.7913 * CHOOSE(CONTROL!$C$9, $D$9, 100%, $F$9) + CHOOSE(CONTROL!$C$27, 0.0021, 0)</f>
        <v>48.793399999999998</v>
      </c>
      <c r="C430" s="10">
        <f>48.3591 * CHOOSE(CONTROL!$C$9, $D$9, 100%, $F$9) + CHOOSE(CONTROL!$C$27, 0.0021, 0)</f>
        <v>48.361199999999997</v>
      </c>
      <c r="D430" s="10">
        <f>48.3591 * CHOOSE(CONTROL!$C$9, $D$9, 100%, $F$9) + CHOOSE(CONTROL!$C$27, 0.0021, 0)</f>
        <v>48.361199999999997</v>
      </c>
      <c r="E430" s="10">
        <f>48.2224 * CHOOSE(CONTROL!$C$9, $D$9, 100%, $F$9) + CHOOSE(CONTROL!$C$27, 0.0021, 0)</f>
        <v>48.224499999999999</v>
      </c>
      <c r="F430" s="10">
        <f>48.2224 * CHOOSE(CONTROL!$C$9, $D$9, 100%, $F$9) + CHOOSE(CONTROL!$C$27, 0.0021, 0)</f>
        <v>48.224499999999999</v>
      </c>
      <c r="G430" s="10">
        <f>48.4938 * CHOOSE(CONTROL!$C$9, $D$9, 100%, $F$9) + CHOOSE(CONTROL!$C$27, 0.0021, 0)</f>
        <v>48.495899999999999</v>
      </c>
      <c r="H430" s="10">
        <f>48.3591 * CHOOSE(CONTROL!$C$9, $D$9, 100%, $F$9) + CHOOSE(CONTROL!$C$27, 0.0021, 0)</f>
        <v>48.361199999999997</v>
      </c>
      <c r="I430" s="10">
        <f>48.3591 * CHOOSE(CONTROL!$C$9, $D$9, 100%, $F$9) + CHOOSE(CONTROL!$C$27, 0.0021, 0)</f>
        <v>48.361199999999997</v>
      </c>
      <c r="J430" s="10">
        <f>48.3591 * CHOOSE(CONTROL!$C$9, $D$9, 100%, $F$9) + CHOOSE(CONTROL!$C$27, 0.0021, 0)</f>
        <v>48.361199999999997</v>
      </c>
      <c r="K430" s="10">
        <f>48.3591 * CHOOSE(CONTROL!$C$9, $D$9, 100%, $F$9) + CHOOSE(CONTROL!$C$27, 0.0021, 0)</f>
        <v>48.361199999999997</v>
      </c>
      <c r="L430" s="10"/>
    </row>
    <row r="431" spans="1:12" ht="15.75" x14ac:dyDescent="0.25">
      <c r="A431" s="14">
        <v>54423</v>
      </c>
      <c r="B431" s="10">
        <f>47.8796 * CHOOSE(CONTROL!$C$9, $D$9, 100%, $F$9) + CHOOSE(CONTROL!$C$27, 0.0021, 0)</f>
        <v>47.881700000000002</v>
      </c>
      <c r="C431" s="10">
        <f>47.4473 * CHOOSE(CONTROL!$C$9, $D$9, 100%, $F$9) + CHOOSE(CONTROL!$C$27, 0.0021, 0)</f>
        <v>47.449399999999997</v>
      </c>
      <c r="D431" s="10">
        <f>47.4473 * CHOOSE(CONTROL!$C$9, $D$9, 100%, $F$9) + CHOOSE(CONTROL!$C$27, 0.0021, 0)</f>
        <v>47.449399999999997</v>
      </c>
      <c r="E431" s="10">
        <f>47.3107 * CHOOSE(CONTROL!$C$9, $D$9, 100%, $F$9) + CHOOSE(CONTROL!$C$27, 0.0021, 0)</f>
        <v>47.312799999999996</v>
      </c>
      <c r="F431" s="10">
        <f>47.3107 * CHOOSE(CONTROL!$C$9, $D$9, 100%, $F$9) + CHOOSE(CONTROL!$C$27, 0.0021, 0)</f>
        <v>47.312799999999996</v>
      </c>
      <c r="G431" s="10">
        <f>47.5821 * CHOOSE(CONTROL!$C$9, $D$9, 100%, $F$9) + CHOOSE(CONTROL!$C$27, 0.0021, 0)</f>
        <v>47.584199999999996</v>
      </c>
      <c r="H431" s="10">
        <f>47.4473 * CHOOSE(CONTROL!$C$9, $D$9, 100%, $F$9) + CHOOSE(CONTROL!$C$27, 0.0021, 0)</f>
        <v>47.449399999999997</v>
      </c>
      <c r="I431" s="10">
        <f>47.4473 * CHOOSE(CONTROL!$C$9, $D$9, 100%, $F$9) + CHOOSE(CONTROL!$C$27, 0.0021, 0)</f>
        <v>47.449399999999997</v>
      </c>
      <c r="J431" s="10">
        <f>47.4473 * CHOOSE(CONTROL!$C$9, $D$9, 100%, $F$9) + CHOOSE(CONTROL!$C$27, 0.0021, 0)</f>
        <v>47.449399999999997</v>
      </c>
      <c r="K431" s="10">
        <f>47.4473 * CHOOSE(CONTROL!$C$9, $D$9, 100%, $F$9) + CHOOSE(CONTROL!$C$27, 0.0021, 0)</f>
        <v>47.449399999999997</v>
      </c>
      <c r="L431" s="10"/>
    </row>
    <row r="432" spans="1:12" ht="15.75" x14ac:dyDescent="0.25">
      <c r="A432" s="14">
        <v>54454</v>
      </c>
      <c r="B432" s="10">
        <f>47.1815 * CHOOSE(CONTROL!$C$9, $D$9, 100%, $F$9) + CHOOSE(CONTROL!$C$27, 0.0021, 0)</f>
        <v>47.183599999999998</v>
      </c>
      <c r="C432" s="10">
        <f>46.7493 * CHOOSE(CONTROL!$C$9, $D$9, 100%, $F$9) + CHOOSE(CONTROL!$C$27, 0.0021, 0)</f>
        <v>46.751399999999997</v>
      </c>
      <c r="D432" s="10">
        <f>46.7493 * CHOOSE(CONTROL!$C$9, $D$9, 100%, $F$9) + CHOOSE(CONTROL!$C$27, 0.0021, 0)</f>
        <v>46.751399999999997</v>
      </c>
      <c r="E432" s="10">
        <f>46.6126 * CHOOSE(CONTROL!$C$9, $D$9, 100%, $F$9) + CHOOSE(CONTROL!$C$27, 0.0021, 0)</f>
        <v>46.614699999999999</v>
      </c>
      <c r="F432" s="10">
        <f>46.6126 * CHOOSE(CONTROL!$C$9, $D$9, 100%, $F$9) + CHOOSE(CONTROL!$C$27, 0.0021, 0)</f>
        <v>46.614699999999999</v>
      </c>
      <c r="G432" s="10">
        <f>46.884 * CHOOSE(CONTROL!$C$9, $D$9, 100%, $F$9) + CHOOSE(CONTROL!$C$27, 0.0021, 0)</f>
        <v>46.886099999999999</v>
      </c>
      <c r="H432" s="10">
        <f>46.7493 * CHOOSE(CONTROL!$C$9, $D$9, 100%, $F$9) + CHOOSE(CONTROL!$C$27, 0.0021, 0)</f>
        <v>46.751399999999997</v>
      </c>
      <c r="I432" s="10">
        <f>46.7493 * CHOOSE(CONTROL!$C$9, $D$9, 100%, $F$9) + CHOOSE(CONTROL!$C$27, 0.0021, 0)</f>
        <v>46.751399999999997</v>
      </c>
      <c r="J432" s="10">
        <f>46.7493 * CHOOSE(CONTROL!$C$9, $D$9, 100%, $F$9) + CHOOSE(CONTROL!$C$27, 0.0021, 0)</f>
        <v>46.751399999999997</v>
      </c>
      <c r="K432" s="10">
        <f>46.7493 * CHOOSE(CONTROL!$C$9, $D$9, 100%, $F$9) + CHOOSE(CONTROL!$C$27, 0.0021, 0)</f>
        <v>46.751399999999997</v>
      </c>
      <c r="L432" s="10"/>
    </row>
    <row r="433" spans="1:12" ht="15.75" x14ac:dyDescent="0.25">
      <c r="A433" s="14">
        <v>54482</v>
      </c>
      <c r="B433" s="10">
        <f>45.9118 * CHOOSE(CONTROL!$C$9, $D$9, 100%, $F$9) + CHOOSE(CONTROL!$C$27, 0.0021, 0)</f>
        <v>45.913899999999998</v>
      </c>
      <c r="C433" s="10">
        <f>45.4796 * CHOOSE(CONTROL!$C$9, $D$9, 100%, $F$9) + CHOOSE(CONTROL!$C$27, 0.0021, 0)</f>
        <v>45.481699999999996</v>
      </c>
      <c r="D433" s="10">
        <f>45.4796 * CHOOSE(CONTROL!$C$9, $D$9, 100%, $F$9) + CHOOSE(CONTROL!$C$27, 0.0021, 0)</f>
        <v>45.481699999999996</v>
      </c>
      <c r="E433" s="10">
        <f>45.3429 * CHOOSE(CONTROL!$C$9, $D$9, 100%, $F$9) + CHOOSE(CONTROL!$C$27, 0.0021, 0)</f>
        <v>45.344999999999999</v>
      </c>
      <c r="F433" s="10">
        <f>45.3429 * CHOOSE(CONTROL!$C$9, $D$9, 100%, $F$9) + CHOOSE(CONTROL!$C$27, 0.0021, 0)</f>
        <v>45.344999999999999</v>
      </c>
      <c r="G433" s="10">
        <f>45.6143 * CHOOSE(CONTROL!$C$9, $D$9, 100%, $F$9) + CHOOSE(CONTROL!$C$27, 0.0021, 0)</f>
        <v>45.616399999999999</v>
      </c>
      <c r="H433" s="10">
        <f>45.4796 * CHOOSE(CONTROL!$C$9, $D$9, 100%, $F$9) + CHOOSE(CONTROL!$C$27, 0.0021, 0)</f>
        <v>45.481699999999996</v>
      </c>
      <c r="I433" s="10">
        <f>45.4796 * CHOOSE(CONTROL!$C$9, $D$9, 100%, $F$9) + CHOOSE(CONTROL!$C$27, 0.0021, 0)</f>
        <v>45.481699999999996</v>
      </c>
      <c r="J433" s="10">
        <f>45.4796 * CHOOSE(CONTROL!$C$9, $D$9, 100%, $F$9) + CHOOSE(CONTROL!$C$27, 0.0021, 0)</f>
        <v>45.481699999999996</v>
      </c>
      <c r="K433" s="10">
        <f>45.4796 * CHOOSE(CONTROL!$C$9, $D$9, 100%, $F$9) + CHOOSE(CONTROL!$C$27, 0.0021, 0)</f>
        <v>45.481699999999996</v>
      </c>
      <c r="L433" s="10"/>
    </row>
    <row r="434" spans="1:12" ht="15.75" x14ac:dyDescent="0.25">
      <c r="A434" s="14">
        <v>54513</v>
      </c>
      <c r="B434" s="10">
        <f>45.3877 * CHOOSE(CONTROL!$C$9, $D$9, 100%, $F$9) + CHOOSE(CONTROL!$C$27, 0.0021, 0)</f>
        <v>45.389800000000001</v>
      </c>
      <c r="C434" s="10">
        <f>44.9554 * CHOOSE(CONTROL!$C$9, $D$9, 100%, $F$9) + CHOOSE(CONTROL!$C$27, 0.0021, 0)</f>
        <v>44.957499999999996</v>
      </c>
      <c r="D434" s="10">
        <f>44.9554 * CHOOSE(CONTROL!$C$9, $D$9, 100%, $F$9) + CHOOSE(CONTROL!$C$27, 0.0021, 0)</f>
        <v>44.957499999999996</v>
      </c>
      <c r="E434" s="10">
        <f>44.8188 * CHOOSE(CONTROL!$C$9, $D$9, 100%, $F$9) + CHOOSE(CONTROL!$C$27, 0.0021, 0)</f>
        <v>44.820900000000002</v>
      </c>
      <c r="F434" s="10">
        <f>44.8188 * CHOOSE(CONTROL!$C$9, $D$9, 100%, $F$9) + CHOOSE(CONTROL!$C$27, 0.0021, 0)</f>
        <v>44.820900000000002</v>
      </c>
      <c r="G434" s="10">
        <f>45.0902 * CHOOSE(CONTROL!$C$9, $D$9, 100%, $F$9) + CHOOSE(CONTROL!$C$27, 0.0021, 0)</f>
        <v>45.092300000000002</v>
      </c>
      <c r="H434" s="10">
        <f>44.9554 * CHOOSE(CONTROL!$C$9, $D$9, 100%, $F$9) + CHOOSE(CONTROL!$C$27, 0.0021, 0)</f>
        <v>44.957499999999996</v>
      </c>
      <c r="I434" s="10">
        <f>44.9554 * CHOOSE(CONTROL!$C$9, $D$9, 100%, $F$9) + CHOOSE(CONTROL!$C$27, 0.0021, 0)</f>
        <v>44.957499999999996</v>
      </c>
      <c r="J434" s="10">
        <f>44.9554 * CHOOSE(CONTROL!$C$9, $D$9, 100%, $F$9) + CHOOSE(CONTROL!$C$27, 0.0021, 0)</f>
        <v>44.957499999999996</v>
      </c>
      <c r="K434" s="10">
        <f>44.9554 * CHOOSE(CONTROL!$C$9, $D$9, 100%, $F$9) + CHOOSE(CONTROL!$C$27, 0.0021, 0)</f>
        <v>44.957499999999996</v>
      </c>
      <c r="L434" s="10"/>
    </row>
    <row r="435" spans="1:12" ht="15.75" x14ac:dyDescent="0.25">
      <c r="A435" s="14">
        <v>54543</v>
      </c>
      <c r="B435" s="10">
        <f>44.7619 * CHOOSE(CONTROL!$C$9, $D$9, 100%, $F$9) + CHOOSE(CONTROL!$C$27, 0.0021, 0)</f>
        <v>44.763999999999996</v>
      </c>
      <c r="C435" s="10">
        <f>44.3296 * CHOOSE(CONTROL!$C$9, $D$9, 100%, $F$9) + CHOOSE(CONTROL!$C$27, 0.0021, 0)</f>
        <v>44.331699999999998</v>
      </c>
      <c r="D435" s="10">
        <f>44.3296 * CHOOSE(CONTROL!$C$9, $D$9, 100%, $F$9) + CHOOSE(CONTROL!$C$27, 0.0021, 0)</f>
        <v>44.331699999999998</v>
      </c>
      <c r="E435" s="10">
        <f>44.193 * CHOOSE(CONTROL!$C$9, $D$9, 100%, $F$9) + CHOOSE(CONTROL!$C$27, 0.0021, 0)</f>
        <v>44.195099999999996</v>
      </c>
      <c r="F435" s="10">
        <f>44.193 * CHOOSE(CONTROL!$C$9, $D$9, 100%, $F$9) + CHOOSE(CONTROL!$C$27, 0.0021, 0)</f>
        <v>44.195099999999996</v>
      </c>
      <c r="G435" s="10">
        <f>44.4643 * CHOOSE(CONTROL!$C$9, $D$9, 100%, $F$9) + CHOOSE(CONTROL!$C$27, 0.0021, 0)</f>
        <v>44.4664</v>
      </c>
      <c r="H435" s="10">
        <f>44.3296 * CHOOSE(CONTROL!$C$9, $D$9, 100%, $F$9) + CHOOSE(CONTROL!$C$27, 0.0021, 0)</f>
        <v>44.331699999999998</v>
      </c>
      <c r="I435" s="10">
        <f>44.3296 * CHOOSE(CONTROL!$C$9, $D$9, 100%, $F$9) + CHOOSE(CONTROL!$C$27, 0.0021, 0)</f>
        <v>44.331699999999998</v>
      </c>
      <c r="J435" s="10">
        <f>44.3296 * CHOOSE(CONTROL!$C$9, $D$9, 100%, $F$9) + CHOOSE(CONTROL!$C$27, 0.0021, 0)</f>
        <v>44.331699999999998</v>
      </c>
      <c r="K435" s="10">
        <f>44.3296 * CHOOSE(CONTROL!$C$9, $D$9, 100%, $F$9) + CHOOSE(CONTROL!$C$27, 0.0021, 0)</f>
        <v>44.331699999999998</v>
      </c>
      <c r="L435" s="10"/>
    </row>
    <row r="436" spans="1:12" ht="15.75" x14ac:dyDescent="0.25">
      <c r="A436" s="14">
        <v>54574</v>
      </c>
      <c r="B436" s="10">
        <f>45.6537 * CHOOSE(CONTROL!$C$9, $D$9, 100%, $F$9) + CHOOSE(CONTROL!$C$27, 0.0021, 0)</f>
        <v>45.655799999999999</v>
      </c>
      <c r="C436" s="10">
        <f>45.2215 * CHOOSE(CONTROL!$C$9, $D$9, 100%, $F$9) + CHOOSE(CONTROL!$C$27, 0.0021, 0)</f>
        <v>45.223599999999998</v>
      </c>
      <c r="D436" s="10">
        <f>45.2215 * CHOOSE(CONTROL!$C$9, $D$9, 100%, $F$9) + CHOOSE(CONTROL!$C$27, 0.0021, 0)</f>
        <v>45.223599999999998</v>
      </c>
      <c r="E436" s="10">
        <f>45.0848 * CHOOSE(CONTROL!$C$9, $D$9, 100%, $F$9) + CHOOSE(CONTROL!$C$27, 0.0021, 0)</f>
        <v>45.0869</v>
      </c>
      <c r="F436" s="10">
        <f>45.0848 * CHOOSE(CONTROL!$C$9, $D$9, 100%, $F$9) + CHOOSE(CONTROL!$C$27, 0.0021, 0)</f>
        <v>45.0869</v>
      </c>
      <c r="G436" s="10">
        <f>45.3562 * CHOOSE(CONTROL!$C$9, $D$9, 100%, $F$9) + CHOOSE(CONTROL!$C$27, 0.0021, 0)</f>
        <v>45.3583</v>
      </c>
      <c r="H436" s="10">
        <f>45.2215 * CHOOSE(CONTROL!$C$9, $D$9, 100%, $F$9) + CHOOSE(CONTROL!$C$27, 0.0021, 0)</f>
        <v>45.223599999999998</v>
      </c>
      <c r="I436" s="10">
        <f>45.2215 * CHOOSE(CONTROL!$C$9, $D$9, 100%, $F$9) + CHOOSE(CONTROL!$C$27, 0.0021, 0)</f>
        <v>45.223599999999998</v>
      </c>
      <c r="J436" s="10">
        <f>45.2215 * CHOOSE(CONTROL!$C$9, $D$9, 100%, $F$9) + CHOOSE(CONTROL!$C$27, 0.0021, 0)</f>
        <v>45.223599999999998</v>
      </c>
      <c r="K436" s="10">
        <f>45.2215 * CHOOSE(CONTROL!$C$9, $D$9, 100%, $F$9) + CHOOSE(CONTROL!$C$27, 0.0021, 0)</f>
        <v>45.223599999999998</v>
      </c>
      <c r="L436" s="10"/>
    </row>
    <row r="437" spans="1:12" ht="15.75" x14ac:dyDescent="0.25">
      <c r="A437" s="14">
        <v>54604</v>
      </c>
      <c r="B437" s="10">
        <f>46.1879 * CHOOSE(CONTROL!$C$9, $D$9, 100%, $F$9) + CHOOSE(CONTROL!$C$27, 0.0021, 0)</f>
        <v>46.19</v>
      </c>
      <c r="C437" s="10">
        <f>45.7557 * CHOOSE(CONTROL!$C$9, $D$9, 100%, $F$9) + CHOOSE(CONTROL!$C$27, 0.0021, 0)</f>
        <v>45.757799999999996</v>
      </c>
      <c r="D437" s="10">
        <f>45.7557 * CHOOSE(CONTROL!$C$9, $D$9, 100%, $F$9) + CHOOSE(CONTROL!$C$27, 0.0021, 0)</f>
        <v>45.757799999999996</v>
      </c>
      <c r="E437" s="10">
        <f>45.619 * CHOOSE(CONTROL!$C$9, $D$9, 100%, $F$9) + CHOOSE(CONTROL!$C$27, 0.0021, 0)</f>
        <v>45.621099999999998</v>
      </c>
      <c r="F437" s="10">
        <f>45.619 * CHOOSE(CONTROL!$C$9, $D$9, 100%, $F$9) + CHOOSE(CONTROL!$C$27, 0.0021, 0)</f>
        <v>45.621099999999998</v>
      </c>
      <c r="G437" s="10">
        <f>45.8904 * CHOOSE(CONTROL!$C$9, $D$9, 100%, $F$9) + CHOOSE(CONTROL!$C$27, 0.0021, 0)</f>
        <v>45.892499999999998</v>
      </c>
      <c r="H437" s="10">
        <f>45.7557 * CHOOSE(CONTROL!$C$9, $D$9, 100%, $F$9) + CHOOSE(CONTROL!$C$27, 0.0021, 0)</f>
        <v>45.757799999999996</v>
      </c>
      <c r="I437" s="10">
        <f>45.7557 * CHOOSE(CONTROL!$C$9, $D$9, 100%, $F$9) + CHOOSE(CONTROL!$C$27, 0.0021, 0)</f>
        <v>45.757799999999996</v>
      </c>
      <c r="J437" s="10">
        <f>45.7557 * CHOOSE(CONTROL!$C$9, $D$9, 100%, $F$9) + CHOOSE(CONTROL!$C$27, 0.0021, 0)</f>
        <v>45.757799999999996</v>
      </c>
      <c r="K437" s="10">
        <f>45.7557 * CHOOSE(CONTROL!$C$9, $D$9, 100%, $F$9) + CHOOSE(CONTROL!$C$27, 0.0021, 0)</f>
        <v>45.757799999999996</v>
      </c>
      <c r="L437" s="10"/>
    </row>
    <row r="438" spans="1:12" ht="15.75" x14ac:dyDescent="0.25">
      <c r="A438" s="14">
        <v>54635</v>
      </c>
      <c r="B438" s="10">
        <f>47.0692 * CHOOSE(CONTROL!$C$9, $D$9, 100%, $F$9) + CHOOSE(CONTROL!$C$27, 0.0021, 0)</f>
        <v>47.071300000000001</v>
      </c>
      <c r="C438" s="10">
        <f>46.6369 * CHOOSE(CONTROL!$C$9, $D$9, 100%, $F$9) + CHOOSE(CONTROL!$C$27, 0.0021, 0)</f>
        <v>46.638999999999996</v>
      </c>
      <c r="D438" s="10">
        <f>46.6369 * CHOOSE(CONTROL!$C$9, $D$9, 100%, $F$9) + CHOOSE(CONTROL!$C$27, 0.0021, 0)</f>
        <v>46.638999999999996</v>
      </c>
      <c r="E438" s="10">
        <f>46.5003 * CHOOSE(CONTROL!$C$9, $D$9, 100%, $F$9) + CHOOSE(CONTROL!$C$27, 0.0021, 0)</f>
        <v>46.502400000000002</v>
      </c>
      <c r="F438" s="10">
        <f>46.5003 * CHOOSE(CONTROL!$C$9, $D$9, 100%, $F$9) + CHOOSE(CONTROL!$C$27, 0.0021, 0)</f>
        <v>46.502400000000002</v>
      </c>
      <c r="G438" s="10">
        <f>46.7716 * CHOOSE(CONTROL!$C$9, $D$9, 100%, $F$9) + CHOOSE(CONTROL!$C$27, 0.0021, 0)</f>
        <v>46.773699999999998</v>
      </c>
      <c r="H438" s="10">
        <f>46.6369 * CHOOSE(CONTROL!$C$9, $D$9, 100%, $F$9) + CHOOSE(CONTROL!$C$27, 0.0021, 0)</f>
        <v>46.638999999999996</v>
      </c>
      <c r="I438" s="10">
        <f>46.6369 * CHOOSE(CONTROL!$C$9, $D$9, 100%, $F$9) + CHOOSE(CONTROL!$C$27, 0.0021, 0)</f>
        <v>46.638999999999996</v>
      </c>
      <c r="J438" s="10">
        <f>46.6369 * CHOOSE(CONTROL!$C$9, $D$9, 100%, $F$9) + CHOOSE(CONTROL!$C$27, 0.0021, 0)</f>
        <v>46.638999999999996</v>
      </c>
      <c r="K438" s="10">
        <f>46.6369 * CHOOSE(CONTROL!$C$9, $D$9, 100%, $F$9) + CHOOSE(CONTROL!$C$27, 0.0021, 0)</f>
        <v>46.638999999999996</v>
      </c>
      <c r="L438" s="10"/>
    </row>
    <row r="439" spans="1:12" ht="15.75" x14ac:dyDescent="0.25">
      <c r="A439" s="14">
        <v>54666</v>
      </c>
      <c r="B439" s="10">
        <f>47.3382 * CHOOSE(CONTROL!$C$9, $D$9, 100%, $F$9) + CHOOSE(CONTROL!$C$27, 0.0021, 0)</f>
        <v>47.340299999999999</v>
      </c>
      <c r="C439" s="10">
        <f>46.9059 * CHOOSE(CONTROL!$C$9, $D$9, 100%, $F$9) + CHOOSE(CONTROL!$C$27, 0.0021, 0)</f>
        <v>46.908000000000001</v>
      </c>
      <c r="D439" s="10">
        <f>46.9059 * CHOOSE(CONTROL!$C$9, $D$9, 100%, $F$9) + CHOOSE(CONTROL!$C$27, 0.0021, 0)</f>
        <v>46.908000000000001</v>
      </c>
      <c r="E439" s="10">
        <f>46.7693 * CHOOSE(CONTROL!$C$9, $D$9, 100%, $F$9) + CHOOSE(CONTROL!$C$27, 0.0021, 0)</f>
        <v>46.7714</v>
      </c>
      <c r="F439" s="10">
        <f>46.7693 * CHOOSE(CONTROL!$C$9, $D$9, 100%, $F$9) + CHOOSE(CONTROL!$C$27, 0.0021, 0)</f>
        <v>46.7714</v>
      </c>
      <c r="G439" s="10">
        <f>47.0406 * CHOOSE(CONTROL!$C$9, $D$9, 100%, $F$9) + CHOOSE(CONTROL!$C$27, 0.0021, 0)</f>
        <v>47.042699999999996</v>
      </c>
      <c r="H439" s="10">
        <f>46.9059 * CHOOSE(CONTROL!$C$9, $D$9, 100%, $F$9) + CHOOSE(CONTROL!$C$27, 0.0021, 0)</f>
        <v>46.908000000000001</v>
      </c>
      <c r="I439" s="10">
        <f>46.9059 * CHOOSE(CONTROL!$C$9, $D$9, 100%, $F$9) + CHOOSE(CONTROL!$C$27, 0.0021, 0)</f>
        <v>46.908000000000001</v>
      </c>
      <c r="J439" s="10">
        <f>46.9059 * CHOOSE(CONTROL!$C$9, $D$9, 100%, $F$9) + CHOOSE(CONTROL!$C$27, 0.0021, 0)</f>
        <v>46.908000000000001</v>
      </c>
      <c r="K439" s="10">
        <f>46.9059 * CHOOSE(CONTROL!$C$9, $D$9, 100%, $F$9) + CHOOSE(CONTROL!$C$27, 0.0021, 0)</f>
        <v>46.908000000000001</v>
      </c>
      <c r="L439" s="10"/>
    </row>
    <row r="440" spans="1:12" ht="15.75" x14ac:dyDescent="0.25">
      <c r="A440" s="14">
        <v>54696</v>
      </c>
      <c r="B440" s="10">
        <f>48.2542 * CHOOSE(CONTROL!$C$9, $D$9, 100%, $F$9) + CHOOSE(CONTROL!$C$27, 0.0021, 0)</f>
        <v>48.256299999999996</v>
      </c>
      <c r="C440" s="10">
        <f>47.8219 * CHOOSE(CONTROL!$C$9, $D$9, 100%, $F$9) + CHOOSE(CONTROL!$C$27, 0.0021, 0)</f>
        <v>47.823999999999998</v>
      </c>
      <c r="D440" s="10">
        <f>47.8219 * CHOOSE(CONTROL!$C$9, $D$9, 100%, $F$9) + CHOOSE(CONTROL!$C$27, 0.0021, 0)</f>
        <v>47.823999999999998</v>
      </c>
      <c r="E440" s="10">
        <f>47.6853 * CHOOSE(CONTROL!$C$9, $D$9, 100%, $F$9) + CHOOSE(CONTROL!$C$27, 0.0021, 0)</f>
        <v>47.687399999999997</v>
      </c>
      <c r="F440" s="10">
        <f>47.6853 * CHOOSE(CONTROL!$C$9, $D$9, 100%, $F$9) + CHOOSE(CONTROL!$C$27, 0.0021, 0)</f>
        <v>47.687399999999997</v>
      </c>
      <c r="G440" s="10">
        <f>47.9566 * CHOOSE(CONTROL!$C$9, $D$9, 100%, $F$9) + CHOOSE(CONTROL!$C$27, 0.0021, 0)</f>
        <v>47.9587</v>
      </c>
      <c r="H440" s="10">
        <f>47.8219 * CHOOSE(CONTROL!$C$9, $D$9, 100%, $F$9) + CHOOSE(CONTROL!$C$27, 0.0021, 0)</f>
        <v>47.823999999999998</v>
      </c>
      <c r="I440" s="10">
        <f>47.8219 * CHOOSE(CONTROL!$C$9, $D$9, 100%, $F$9) + CHOOSE(CONTROL!$C$27, 0.0021, 0)</f>
        <v>47.823999999999998</v>
      </c>
      <c r="J440" s="10">
        <f>47.8219 * CHOOSE(CONTROL!$C$9, $D$9, 100%, $F$9) + CHOOSE(CONTROL!$C$27, 0.0021, 0)</f>
        <v>47.823999999999998</v>
      </c>
      <c r="K440" s="10">
        <f>47.8219 * CHOOSE(CONTROL!$C$9, $D$9, 100%, $F$9) + CHOOSE(CONTROL!$C$27, 0.0021, 0)</f>
        <v>47.823999999999998</v>
      </c>
      <c r="L440" s="10"/>
    </row>
    <row r="441" spans="1:12" ht="15.75" x14ac:dyDescent="0.25">
      <c r="A441" s="14">
        <v>54727</v>
      </c>
      <c r="B441" s="10">
        <f>49.4137 * CHOOSE(CONTROL!$C$9, $D$9, 100%, $F$9) + CHOOSE(CONTROL!$C$27, 0.0021, 0)</f>
        <v>49.415799999999997</v>
      </c>
      <c r="C441" s="10">
        <f>48.9814 * CHOOSE(CONTROL!$C$9, $D$9, 100%, $F$9) + CHOOSE(CONTROL!$C$27, 0.0021, 0)</f>
        <v>48.983499999999999</v>
      </c>
      <c r="D441" s="10">
        <f>48.9814 * CHOOSE(CONTROL!$C$9, $D$9, 100%, $F$9) + CHOOSE(CONTROL!$C$27, 0.0021, 0)</f>
        <v>48.983499999999999</v>
      </c>
      <c r="E441" s="10">
        <f>48.8448 * CHOOSE(CONTROL!$C$9, $D$9, 100%, $F$9) + CHOOSE(CONTROL!$C$27, 0.0021, 0)</f>
        <v>48.846899999999998</v>
      </c>
      <c r="F441" s="10">
        <f>48.8448 * CHOOSE(CONTROL!$C$9, $D$9, 100%, $F$9) + CHOOSE(CONTROL!$C$27, 0.0021, 0)</f>
        <v>48.846899999999998</v>
      </c>
      <c r="G441" s="10">
        <f>49.1161 * CHOOSE(CONTROL!$C$9, $D$9, 100%, $F$9) + CHOOSE(CONTROL!$C$27, 0.0021, 0)</f>
        <v>49.118200000000002</v>
      </c>
      <c r="H441" s="10">
        <f>48.9814 * CHOOSE(CONTROL!$C$9, $D$9, 100%, $F$9) + CHOOSE(CONTROL!$C$27, 0.0021, 0)</f>
        <v>48.983499999999999</v>
      </c>
      <c r="I441" s="10">
        <f>48.9814 * CHOOSE(CONTROL!$C$9, $D$9, 100%, $F$9) + CHOOSE(CONTROL!$C$27, 0.0021, 0)</f>
        <v>48.983499999999999</v>
      </c>
      <c r="J441" s="10">
        <f>48.9814 * CHOOSE(CONTROL!$C$9, $D$9, 100%, $F$9) + CHOOSE(CONTROL!$C$27, 0.0021, 0)</f>
        <v>48.983499999999999</v>
      </c>
      <c r="K441" s="10">
        <f>48.9814 * CHOOSE(CONTROL!$C$9, $D$9, 100%, $F$9) + CHOOSE(CONTROL!$C$27, 0.0021, 0)</f>
        <v>48.983499999999999</v>
      </c>
      <c r="L441" s="10"/>
    </row>
    <row r="442" spans="1:12" ht="15.75" x14ac:dyDescent="0.25">
      <c r="A442" s="14">
        <v>54757</v>
      </c>
      <c r="B442" s="10">
        <f>49.5225 * CHOOSE(CONTROL!$C$9, $D$9, 100%, $F$9) + CHOOSE(CONTROL!$C$27, 0.0021, 0)</f>
        <v>49.5246</v>
      </c>
      <c r="C442" s="10">
        <f>49.0903 * CHOOSE(CONTROL!$C$9, $D$9, 100%, $F$9) + CHOOSE(CONTROL!$C$27, 0.0021, 0)</f>
        <v>49.092399999999998</v>
      </c>
      <c r="D442" s="10">
        <f>49.0903 * CHOOSE(CONTROL!$C$9, $D$9, 100%, $F$9) + CHOOSE(CONTROL!$C$27, 0.0021, 0)</f>
        <v>49.092399999999998</v>
      </c>
      <c r="E442" s="10">
        <f>48.9536 * CHOOSE(CONTROL!$C$9, $D$9, 100%, $F$9) + CHOOSE(CONTROL!$C$27, 0.0021, 0)</f>
        <v>48.9557</v>
      </c>
      <c r="F442" s="10">
        <f>48.9536 * CHOOSE(CONTROL!$C$9, $D$9, 100%, $F$9) + CHOOSE(CONTROL!$C$27, 0.0021, 0)</f>
        <v>48.9557</v>
      </c>
      <c r="G442" s="10">
        <f>49.225 * CHOOSE(CONTROL!$C$9, $D$9, 100%, $F$9) + CHOOSE(CONTROL!$C$27, 0.0021, 0)</f>
        <v>49.2271</v>
      </c>
      <c r="H442" s="10">
        <f>49.0903 * CHOOSE(CONTROL!$C$9, $D$9, 100%, $F$9) + CHOOSE(CONTROL!$C$27, 0.0021, 0)</f>
        <v>49.092399999999998</v>
      </c>
      <c r="I442" s="10">
        <f>49.0903 * CHOOSE(CONTROL!$C$9, $D$9, 100%, $F$9) + CHOOSE(CONTROL!$C$27, 0.0021, 0)</f>
        <v>49.092399999999998</v>
      </c>
      <c r="J442" s="10">
        <f>49.0903 * CHOOSE(CONTROL!$C$9, $D$9, 100%, $F$9) + CHOOSE(CONTROL!$C$27, 0.0021, 0)</f>
        <v>49.092399999999998</v>
      </c>
      <c r="K442" s="10">
        <f>49.0903 * CHOOSE(CONTROL!$C$9, $D$9, 100%, $F$9) + CHOOSE(CONTROL!$C$27, 0.0021, 0)</f>
        <v>49.092399999999998</v>
      </c>
      <c r="L442" s="10"/>
    </row>
    <row r="443" spans="1:12" ht="15.75" x14ac:dyDescent="0.25">
      <c r="A443" s="14">
        <v>54788</v>
      </c>
      <c r="B443" s="10">
        <f>48.5964 * CHOOSE(CONTROL!$C$9, $D$9, 100%, $F$9) + CHOOSE(CONTROL!$C$27, 0.0021, 0)</f>
        <v>48.598500000000001</v>
      </c>
      <c r="C443" s="10">
        <f>48.1642 * CHOOSE(CONTROL!$C$9, $D$9, 100%, $F$9) + CHOOSE(CONTROL!$C$27, 0.0021, 0)</f>
        <v>48.1663</v>
      </c>
      <c r="D443" s="10">
        <f>48.1642 * CHOOSE(CONTROL!$C$9, $D$9, 100%, $F$9) + CHOOSE(CONTROL!$C$27, 0.0021, 0)</f>
        <v>48.1663</v>
      </c>
      <c r="E443" s="10">
        <f>48.0275 * CHOOSE(CONTROL!$C$9, $D$9, 100%, $F$9) + CHOOSE(CONTROL!$C$27, 0.0021, 0)</f>
        <v>48.029600000000002</v>
      </c>
      <c r="F443" s="10">
        <f>48.0275 * CHOOSE(CONTROL!$C$9, $D$9, 100%, $F$9) + CHOOSE(CONTROL!$C$27, 0.0021, 0)</f>
        <v>48.029600000000002</v>
      </c>
      <c r="G443" s="10">
        <f>48.2989 * CHOOSE(CONTROL!$C$9, $D$9, 100%, $F$9) + CHOOSE(CONTROL!$C$27, 0.0021, 0)</f>
        <v>48.301000000000002</v>
      </c>
      <c r="H443" s="10">
        <f>48.1642 * CHOOSE(CONTROL!$C$9, $D$9, 100%, $F$9) + CHOOSE(CONTROL!$C$27, 0.0021, 0)</f>
        <v>48.1663</v>
      </c>
      <c r="I443" s="10">
        <f>48.1642 * CHOOSE(CONTROL!$C$9, $D$9, 100%, $F$9) + CHOOSE(CONTROL!$C$27, 0.0021, 0)</f>
        <v>48.1663</v>
      </c>
      <c r="J443" s="10">
        <f>48.1642 * CHOOSE(CONTROL!$C$9, $D$9, 100%, $F$9) + CHOOSE(CONTROL!$C$27, 0.0021, 0)</f>
        <v>48.1663</v>
      </c>
      <c r="K443" s="10">
        <f>48.1642 * CHOOSE(CONTROL!$C$9, $D$9, 100%, $F$9) + CHOOSE(CONTROL!$C$27, 0.0021, 0)</f>
        <v>48.1663</v>
      </c>
      <c r="L443" s="10"/>
    </row>
    <row r="444" spans="1:12" ht="15.75" x14ac:dyDescent="0.25">
      <c r="A444" s="14">
        <v>54819</v>
      </c>
      <c r="B444" s="10">
        <f>47.8874 * CHOOSE(CONTROL!$C$9, $D$9, 100%, $F$9) + CHOOSE(CONTROL!$C$27, 0.0021, 0)</f>
        <v>47.889499999999998</v>
      </c>
      <c r="C444" s="10">
        <f>47.4552 * CHOOSE(CONTROL!$C$9, $D$9, 100%, $F$9) + CHOOSE(CONTROL!$C$27, 0.0021, 0)</f>
        <v>47.457299999999996</v>
      </c>
      <c r="D444" s="10">
        <f>47.4552 * CHOOSE(CONTROL!$C$9, $D$9, 100%, $F$9) + CHOOSE(CONTROL!$C$27, 0.0021, 0)</f>
        <v>47.457299999999996</v>
      </c>
      <c r="E444" s="10">
        <f>47.3185 * CHOOSE(CONTROL!$C$9, $D$9, 100%, $F$9) + CHOOSE(CONTROL!$C$27, 0.0021, 0)</f>
        <v>47.320599999999999</v>
      </c>
      <c r="F444" s="10">
        <f>47.3185 * CHOOSE(CONTROL!$C$9, $D$9, 100%, $F$9) + CHOOSE(CONTROL!$C$27, 0.0021, 0)</f>
        <v>47.320599999999999</v>
      </c>
      <c r="G444" s="10">
        <f>47.5899 * CHOOSE(CONTROL!$C$9, $D$9, 100%, $F$9) + CHOOSE(CONTROL!$C$27, 0.0021, 0)</f>
        <v>47.591999999999999</v>
      </c>
      <c r="H444" s="10">
        <f>47.4552 * CHOOSE(CONTROL!$C$9, $D$9, 100%, $F$9) + CHOOSE(CONTROL!$C$27, 0.0021, 0)</f>
        <v>47.457299999999996</v>
      </c>
      <c r="I444" s="10">
        <f>47.4552 * CHOOSE(CONTROL!$C$9, $D$9, 100%, $F$9) + CHOOSE(CONTROL!$C$27, 0.0021, 0)</f>
        <v>47.457299999999996</v>
      </c>
      <c r="J444" s="10">
        <f>47.4552 * CHOOSE(CONTROL!$C$9, $D$9, 100%, $F$9) + CHOOSE(CONTROL!$C$27, 0.0021, 0)</f>
        <v>47.457299999999996</v>
      </c>
      <c r="K444" s="10">
        <f>47.4552 * CHOOSE(CONTROL!$C$9, $D$9, 100%, $F$9) + CHOOSE(CONTROL!$C$27, 0.0021, 0)</f>
        <v>47.457299999999996</v>
      </c>
      <c r="L444" s="10"/>
    </row>
    <row r="445" spans="1:12" ht="15.75" x14ac:dyDescent="0.25">
      <c r="A445" s="14">
        <v>54847</v>
      </c>
      <c r="B445" s="10">
        <f>46.5977 * CHOOSE(CONTROL!$C$9, $D$9, 100%, $F$9) + CHOOSE(CONTROL!$C$27, 0.0021, 0)</f>
        <v>46.599800000000002</v>
      </c>
      <c r="C445" s="10">
        <f>46.1655 * CHOOSE(CONTROL!$C$9, $D$9, 100%, $F$9) + CHOOSE(CONTROL!$C$27, 0.0021, 0)</f>
        <v>46.1676</v>
      </c>
      <c r="D445" s="10">
        <f>46.1655 * CHOOSE(CONTROL!$C$9, $D$9, 100%, $F$9) + CHOOSE(CONTROL!$C$27, 0.0021, 0)</f>
        <v>46.1676</v>
      </c>
      <c r="E445" s="10">
        <f>46.0288 * CHOOSE(CONTROL!$C$9, $D$9, 100%, $F$9) + CHOOSE(CONTROL!$C$27, 0.0021, 0)</f>
        <v>46.030899999999995</v>
      </c>
      <c r="F445" s="10">
        <f>46.0288 * CHOOSE(CONTROL!$C$9, $D$9, 100%, $F$9) + CHOOSE(CONTROL!$C$27, 0.0021, 0)</f>
        <v>46.030899999999995</v>
      </c>
      <c r="G445" s="10">
        <f>46.3002 * CHOOSE(CONTROL!$C$9, $D$9, 100%, $F$9) + CHOOSE(CONTROL!$C$27, 0.0021, 0)</f>
        <v>46.302299999999995</v>
      </c>
      <c r="H445" s="10">
        <f>46.1655 * CHOOSE(CONTROL!$C$9, $D$9, 100%, $F$9) + CHOOSE(CONTROL!$C$27, 0.0021, 0)</f>
        <v>46.1676</v>
      </c>
      <c r="I445" s="10">
        <f>46.1655 * CHOOSE(CONTROL!$C$9, $D$9, 100%, $F$9) + CHOOSE(CONTROL!$C$27, 0.0021, 0)</f>
        <v>46.1676</v>
      </c>
      <c r="J445" s="10">
        <f>46.1655 * CHOOSE(CONTROL!$C$9, $D$9, 100%, $F$9) + CHOOSE(CONTROL!$C$27, 0.0021, 0)</f>
        <v>46.1676</v>
      </c>
      <c r="K445" s="10">
        <f>46.1655 * CHOOSE(CONTROL!$C$9, $D$9, 100%, $F$9) + CHOOSE(CONTROL!$C$27, 0.0021, 0)</f>
        <v>46.1676</v>
      </c>
      <c r="L445" s="10"/>
    </row>
    <row r="446" spans="1:12" ht="15.75" x14ac:dyDescent="0.25">
      <c r="A446" s="14">
        <v>54878</v>
      </c>
      <c r="B446" s="10">
        <f>46.0654 * CHOOSE(CONTROL!$C$9, $D$9, 100%, $F$9) + CHOOSE(CONTROL!$C$27, 0.0021, 0)</f>
        <v>46.067499999999995</v>
      </c>
      <c r="C446" s="10">
        <f>45.6331 * CHOOSE(CONTROL!$C$9, $D$9, 100%, $F$9) + CHOOSE(CONTROL!$C$27, 0.0021, 0)</f>
        <v>45.635199999999998</v>
      </c>
      <c r="D446" s="10">
        <f>45.6331 * CHOOSE(CONTROL!$C$9, $D$9, 100%, $F$9) + CHOOSE(CONTROL!$C$27, 0.0021, 0)</f>
        <v>45.635199999999998</v>
      </c>
      <c r="E446" s="10">
        <f>45.4965 * CHOOSE(CONTROL!$C$9, $D$9, 100%, $F$9) + CHOOSE(CONTROL!$C$27, 0.0021, 0)</f>
        <v>45.498599999999996</v>
      </c>
      <c r="F446" s="10">
        <f>45.4965 * CHOOSE(CONTROL!$C$9, $D$9, 100%, $F$9) + CHOOSE(CONTROL!$C$27, 0.0021, 0)</f>
        <v>45.498599999999996</v>
      </c>
      <c r="G446" s="10">
        <f>45.7678 * CHOOSE(CONTROL!$C$9, $D$9, 100%, $F$9) + CHOOSE(CONTROL!$C$27, 0.0021, 0)</f>
        <v>45.7699</v>
      </c>
      <c r="H446" s="10">
        <f>45.6331 * CHOOSE(CONTROL!$C$9, $D$9, 100%, $F$9) + CHOOSE(CONTROL!$C$27, 0.0021, 0)</f>
        <v>45.635199999999998</v>
      </c>
      <c r="I446" s="10">
        <f>45.6331 * CHOOSE(CONTROL!$C$9, $D$9, 100%, $F$9) + CHOOSE(CONTROL!$C$27, 0.0021, 0)</f>
        <v>45.635199999999998</v>
      </c>
      <c r="J446" s="10">
        <f>45.6331 * CHOOSE(CONTROL!$C$9, $D$9, 100%, $F$9) + CHOOSE(CONTROL!$C$27, 0.0021, 0)</f>
        <v>45.635199999999998</v>
      </c>
      <c r="K446" s="10">
        <f>45.6331 * CHOOSE(CONTROL!$C$9, $D$9, 100%, $F$9) + CHOOSE(CONTROL!$C$27, 0.0021, 0)</f>
        <v>45.635199999999998</v>
      </c>
      <c r="L446" s="10"/>
    </row>
    <row r="447" spans="1:12" ht="15.75" x14ac:dyDescent="0.25">
      <c r="A447" s="14">
        <v>54908</v>
      </c>
      <c r="B447" s="10">
        <f>45.4297 * CHOOSE(CONTROL!$C$9, $D$9, 100%, $F$9) + CHOOSE(CONTROL!$C$27, 0.0021, 0)</f>
        <v>45.431799999999996</v>
      </c>
      <c r="C447" s="10">
        <f>44.9974 * CHOOSE(CONTROL!$C$9, $D$9, 100%, $F$9) + CHOOSE(CONTROL!$C$27, 0.0021, 0)</f>
        <v>44.999499999999998</v>
      </c>
      <c r="D447" s="10">
        <f>44.9974 * CHOOSE(CONTROL!$C$9, $D$9, 100%, $F$9) + CHOOSE(CONTROL!$C$27, 0.0021, 0)</f>
        <v>44.999499999999998</v>
      </c>
      <c r="E447" s="10">
        <f>44.8608 * CHOOSE(CONTROL!$C$9, $D$9, 100%, $F$9) + CHOOSE(CONTROL!$C$27, 0.0021, 0)</f>
        <v>44.862899999999996</v>
      </c>
      <c r="F447" s="10">
        <f>44.8608 * CHOOSE(CONTROL!$C$9, $D$9, 100%, $F$9) + CHOOSE(CONTROL!$C$27, 0.0021, 0)</f>
        <v>44.862899999999996</v>
      </c>
      <c r="G447" s="10">
        <f>45.1322 * CHOOSE(CONTROL!$C$9, $D$9, 100%, $F$9) + CHOOSE(CONTROL!$C$27, 0.0021, 0)</f>
        <v>45.134299999999996</v>
      </c>
      <c r="H447" s="10">
        <f>44.9974 * CHOOSE(CONTROL!$C$9, $D$9, 100%, $F$9) + CHOOSE(CONTROL!$C$27, 0.0021, 0)</f>
        <v>44.999499999999998</v>
      </c>
      <c r="I447" s="10">
        <f>44.9974 * CHOOSE(CONTROL!$C$9, $D$9, 100%, $F$9) + CHOOSE(CONTROL!$C$27, 0.0021, 0)</f>
        <v>44.999499999999998</v>
      </c>
      <c r="J447" s="10">
        <f>44.9974 * CHOOSE(CONTROL!$C$9, $D$9, 100%, $F$9) + CHOOSE(CONTROL!$C$27, 0.0021, 0)</f>
        <v>44.999499999999998</v>
      </c>
      <c r="K447" s="10">
        <f>44.9974 * CHOOSE(CONTROL!$C$9, $D$9, 100%, $F$9) + CHOOSE(CONTROL!$C$27, 0.0021, 0)</f>
        <v>44.999499999999998</v>
      </c>
      <c r="L447" s="10"/>
    </row>
    <row r="448" spans="1:12" ht="15.75" x14ac:dyDescent="0.25">
      <c r="A448" s="14">
        <v>54939</v>
      </c>
      <c r="B448" s="10">
        <f>46.3356 * CHOOSE(CONTROL!$C$9, $D$9, 100%, $F$9) + CHOOSE(CONTROL!$C$27, 0.0021, 0)</f>
        <v>46.337699999999998</v>
      </c>
      <c r="C448" s="10">
        <f>45.9034 * CHOOSE(CONTROL!$C$9, $D$9, 100%, $F$9) + CHOOSE(CONTROL!$C$27, 0.0021, 0)</f>
        <v>45.905499999999996</v>
      </c>
      <c r="D448" s="10">
        <f>45.9034 * CHOOSE(CONTROL!$C$9, $D$9, 100%, $F$9) + CHOOSE(CONTROL!$C$27, 0.0021, 0)</f>
        <v>45.905499999999996</v>
      </c>
      <c r="E448" s="10">
        <f>45.7667 * CHOOSE(CONTROL!$C$9, $D$9, 100%, $F$9) + CHOOSE(CONTROL!$C$27, 0.0021, 0)</f>
        <v>45.768799999999999</v>
      </c>
      <c r="F448" s="10">
        <f>45.7667 * CHOOSE(CONTROL!$C$9, $D$9, 100%, $F$9) + CHOOSE(CONTROL!$C$27, 0.0021, 0)</f>
        <v>45.768799999999999</v>
      </c>
      <c r="G448" s="10">
        <f>46.0381 * CHOOSE(CONTROL!$C$9, $D$9, 100%, $F$9) + CHOOSE(CONTROL!$C$27, 0.0021, 0)</f>
        <v>46.040199999999999</v>
      </c>
      <c r="H448" s="10">
        <f>45.9034 * CHOOSE(CONTROL!$C$9, $D$9, 100%, $F$9) + CHOOSE(CONTROL!$C$27, 0.0021, 0)</f>
        <v>45.905499999999996</v>
      </c>
      <c r="I448" s="10">
        <f>45.9034 * CHOOSE(CONTROL!$C$9, $D$9, 100%, $F$9) + CHOOSE(CONTROL!$C$27, 0.0021, 0)</f>
        <v>45.905499999999996</v>
      </c>
      <c r="J448" s="10">
        <f>45.9034 * CHOOSE(CONTROL!$C$9, $D$9, 100%, $F$9) + CHOOSE(CONTROL!$C$27, 0.0021, 0)</f>
        <v>45.905499999999996</v>
      </c>
      <c r="K448" s="10">
        <f>45.9034 * CHOOSE(CONTROL!$C$9, $D$9, 100%, $F$9) + CHOOSE(CONTROL!$C$27, 0.0021, 0)</f>
        <v>45.905499999999996</v>
      </c>
      <c r="L448" s="10"/>
    </row>
    <row r="449" spans="1:12" ht="15.75" x14ac:dyDescent="0.25">
      <c r="A449" s="14">
        <v>54969</v>
      </c>
      <c r="B449" s="10">
        <f>46.8782 * CHOOSE(CONTROL!$C$9, $D$9, 100%, $F$9) + CHOOSE(CONTROL!$C$27, 0.0021, 0)</f>
        <v>46.880299999999998</v>
      </c>
      <c r="C449" s="10">
        <f>46.446 * CHOOSE(CONTROL!$C$9, $D$9, 100%, $F$9) + CHOOSE(CONTROL!$C$27, 0.0021, 0)</f>
        <v>46.448099999999997</v>
      </c>
      <c r="D449" s="10">
        <f>46.446 * CHOOSE(CONTROL!$C$9, $D$9, 100%, $F$9) + CHOOSE(CONTROL!$C$27, 0.0021, 0)</f>
        <v>46.448099999999997</v>
      </c>
      <c r="E449" s="10">
        <f>46.3093 * CHOOSE(CONTROL!$C$9, $D$9, 100%, $F$9) + CHOOSE(CONTROL!$C$27, 0.0021, 0)</f>
        <v>46.311399999999999</v>
      </c>
      <c r="F449" s="10">
        <f>46.3093 * CHOOSE(CONTROL!$C$9, $D$9, 100%, $F$9) + CHOOSE(CONTROL!$C$27, 0.0021, 0)</f>
        <v>46.311399999999999</v>
      </c>
      <c r="G449" s="10">
        <f>46.5807 * CHOOSE(CONTROL!$C$9, $D$9, 100%, $F$9) + CHOOSE(CONTROL!$C$27, 0.0021, 0)</f>
        <v>46.582799999999999</v>
      </c>
      <c r="H449" s="10">
        <f>46.446 * CHOOSE(CONTROL!$C$9, $D$9, 100%, $F$9) + CHOOSE(CONTROL!$C$27, 0.0021, 0)</f>
        <v>46.448099999999997</v>
      </c>
      <c r="I449" s="10">
        <f>46.446 * CHOOSE(CONTROL!$C$9, $D$9, 100%, $F$9) + CHOOSE(CONTROL!$C$27, 0.0021, 0)</f>
        <v>46.448099999999997</v>
      </c>
      <c r="J449" s="10">
        <f>46.446 * CHOOSE(CONTROL!$C$9, $D$9, 100%, $F$9) + CHOOSE(CONTROL!$C$27, 0.0021, 0)</f>
        <v>46.448099999999997</v>
      </c>
      <c r="K449" s="10">
        <f>46.446 * CHOOSE(CONTROL!$C$9, $D$9, 100%, $F$9) + CHOOSE(CONTROL!$C$27, 0.0021, 0)</f>
        <v>46.448099999999997</v>
      </c>
      <c r="L449" s="10"/>
    </row>
    <row r="450" spans="1:12" ht="15.75" x14ac:dyDescent="0.25">
      <c r="A450" s="14">
        <v>55000</v>
      </c>
      <c r="B450" s="10">
        <f>47.7733 * CHOOSE(CONTROL!$C$9, $D$9, 100%, $F$9) + CHOOSE(CONTROL!$C$27, 0.0021, 0)</f>
        <v>47.775399999999998</v>
      </c>
      <c r="C450" s="10">
        <f>47.341 * CHOOSE(CONTROL!$C$9, $D$9, 100%, $F$9) + CHOOSE(CONTROL!$C$27, 0.0021, 0)</f>
        <v>47.3431</v>
      </c>
      <c r="D450" s="10">
        <f>47.341 * CHOOSE(CONTROL!$C$9, $D$9, 100%, $F$9) + CHOOSE(CONTROL!$C$27, 0.0021, 0)</f>
        <v>47.3431</v>
      </c>
      <c r="E450" s="10">
        <f>47.2044 * CHOOSE(CONTROL!$C$9, $D$9, 100%, $F$9) + CHOOSE(CONTROL!$C$27, 0.0021, 0)</f>
        <v>47.206499999999998</v>
      </c>
      <c r="F450" s="10">
        <f>47.2044 * CHOOSE(CONTROL!$C$9, $D$9, 100%, $F$9) + CHOOSE(CONTROL!$C$27, 0.0021, 0)</f>
        <v>47.206499999999998</v>
      </c>
      <c r="G450" s="10">
        <f>47.4758 * CHOOSE(CONTROL!$C$9, $D$9, 100%, $F$9) + CHOOSE(CONTROL!$C$27, 0.0021, 0)</f>
        <v>47.477899999999998</v>
      </c>
      <c r="H450" s="10">
        <f>47.341 * CHOOSE(CONTROL!$C$9, $D$9, 100%, $F$9) + CHOOSE(CONTROL!$C$27, 0.0021, 0)</f>
        <v>47.3431</v>
      </c>
      <c r="I450" s="10">
        <f>47.341 * CHOOSE(CONTROL!$C$9, $D$9, 100%, $F$9) + CHOOSE(CONTROL!$C$27, 0.0021, 0)</f>
        <v>47.3431</v>
      </c>
      <c r="J450" s="10">
        <f>47.341 * CHOOSE(CONTROL!$C$9, $D$9, 100%, $F$9) + CHOOSE(CONTROL!$C$27, 0.0021, 0)</f>
        <v>47.3431</v>
      </c>
      <c r="K450" s="10">
        <f>47.341 * CHOOSE(CONTROL!$C$9, $D$9, 100%, $F$9) + CHOOSE(CONTROL!$C$27, 0.0021, 0)</f>
        <v>47.3431</v>
      </c>
      <c r="L450" s="10"/>
    </row>
    <row r="451" spans="1:12" ht="15.75" x14ac:dyDescent="0.25">
      <c r="A451" s="14">
        <v>55031</v>
      </c>
      <c r="B451" s="10">
        <f>48.0465 * CHOOSE(CONTROL!$C$9, $D$9, 100%, $F$9) + CHOOSE(CONTROL!$C$27, 0.0021, 0)</f>
        <v>48.0486</v>
      </c>
      <c r="C451" s="10">
        <f>47.6143 * CHOOSE(CONTROL!$C$9, $D$9, 100%, $F$9) + CHOOSE(CONTROL!$C$27, 0.0021, 0)</f>
        <v>47.616399999999999</v>
      </c>
      <c r="D451" s="10">
        <f>47.6143 * CHOOSE(CONTROL!$C$9, $D$9, 100%, $F$9) + CHOOSE(CONTROL!$C$27, 0.0021, 0)</f>
        <v>47.616399999999999</v>
      </c>
      <c r="E451" s="10">
        <f>47.4776 * CHOOSE(CONTROL!$C$9, $D$9, 100%, $F$9) + CHOOSE(CONTROL!$C$27, 0.0021, 0)</f>
        <v>47.479700000000001</v>
      </c>
      <c r="F451" s="10">
        <f>47.4776 * CHOOSE(CONTROL!$C$9, $D$9, 100%, $F$9) + CHOOSE(CONTROL!$C$27, 0.0021, 0)</f>
        <v>47.479700000000001</v>
      </c>
      <c r="G451" s="10">
        <f>47.749 * CHOOSE(CONTROL!$C$9, $D$9, 100%, $F$9) + CHOOSE(CONTROL!$C$27, 0.0021, 0)</f>
        <v>47.751100000000001</v>
      </c>
      <c r="H451" s="10">
        <f>47.6143 * CHOOSE(CONTROL!$C$9, $D$9, 100%, $F$9) + CHOOSE(CONTROL!$C$27, 0.0021, 0)</f>
        <v>47.616399999999999</v>
      </c>
      <c r="I451" s="10">
        <f>47.6143 * CHOOSE(CONTROL!$C$9, $D$9, 100%, $F$9) + CHOOSE(CONTROL!$C$27, 0.0021, 0)</f>
        <v>47.616399999999999</v>
      </c>
      <c r="J451" s="10">
        <f>47.6143 * CHOOSE(CONTROL!$C$9, $D$9, 100%, $F$9) + CHOOSE(CONTROL!$C$27, 0.0021, 0)</f>
        <v>47.616399999999999</v>
      </c>
      <c r="K451" s="10">
        <f>47.6143 * CHOOSE(CONTROL!$C$9, $D$9, 100%, $F$9) + CHOOSE(CONTROL!$C$27, 0.0021, 0)</f>
        <v>47.616399999999999</v>
      </c>
      <c r="L451" s="10"/>
    </row>
    <row r="452" spans="1:12" ht="15.75" x14ac:dyDescent="0.25">
      <c r="A452" s="14">
        <v>55061</v>
      </c>
      <c r="B452" s="10">
        <f>48.9769 * CHOOSE(CONTROL!$C$9, $D$9, 100%, $F$9) + CHOOSE(CONTROL!$C$27, 0.0021, 0)</f>
        <v>48.978999999999999</v>
      </c>
      <c r="C452" s="10">
        <f>48.5447 * CHOOSE(CONTROL!$C$9, $D$9, 100%, $F$9) + CHOOSE(CONTROL!$C$27, 0.0021, 0)</f>
        <v>48.546799999999998</v>
      </c>
      <c r="D452" s="10">
        <f>48.5447 * CHOOSE(CONTROL!$C$9, $D$9, 100%, $F$9) + CHOOSE(CONTROL!$C$27, 0.0021, 0)</f>
        <v>48.546799999999998</v>
      </c>
      <c r="E452" s="10">
        <f>48.408 * CHOOSE(CONTROL!$C$9, $D$9, 100%, $F$9) + CHOOSE(CONTROL!$C$27, 0.0021, 0)</f>
        <v>48.4101</v>
      </c>
      <c r="F452" s="10">
        <f>48.408 * CHOOSE(CONTROL!$C$9, $D$9, 100%, $F$9) + CHOOSE(CONTROL!$C$27, 0.0021, 0)</f>
        <v>48.4101</v>
      </c>
      <c r="G452" s="10">
        <f>48.6794 * CHOOSE(CONTROL!$C$9, $D$9, 100%, $F$9) + CHOOSE(CONTROL!$C$27, 0.0021, 0)</f>
        <v>48.6815</v>
      </c>
      <c r="H452" s="10">
        <f>48.5447 * CHOOSE(CONTROL!$C$9, $D$9, 100%, $F$9) + CHOOSE(CONTROL!$C$27, 0.0021, 0)</f>
        <v>48.546799999999998</v>
      </c>
      <c r="I452" s="10">
        <f>48.5447 * CHOOSE(CONTROL!$C$9, $D$9, 100%, $F$9) + CHOOSE(CONTROL!$C$27, 0.0021, 0)</f>
        <v>48.546799999999998</v>
      </c>
      <c r="J452" s="10">
        <f>48.5447 * CHOOSE(CONTROL!$C$9, $D$9, 100%, $F$9) + CHOOSE(CONTROL!$C$27, 0.0021, 0)</f>
        <v>48.546799999999998</v>
      </c>
      <c r="K452" s="10">
        <f>48.5447 * CHOOSE(CONTROL!$C$9, $D$9, 100%, $F$9) + CHOOSE(CONTROL!$C$27, 0.0021, 0)</f>
        <v>48.546799999999998</v>
      </c>
      <c r="L452" s="10"/>
    </row>
    <row r="453" spans="1:12" ht="15.75" x14ac:dyDescent="0.25">
      <c r="A453" s="14">
        <v>55092</v>
      </c>
      <c r="B453" s="10">
        <f>50.1546 * CHOOSE(CONTROL!$C$9, $D$9, 100%, $F$9) + CHOOSE(CONTROL!$C$27, 0.0021, 0)</f>
        <v>50.156700000000001</v>
      </c>
      <c r="C453" s="10">
        <f>49.7224 * CHOOSE(CONTROL!$C$9, $D$9, 100%, $F$9) + CHOOSE(CONTROL!$C$27, 0.0021, 0)</f>
        <v>49.724499999999999</v>
      </c>
      <c r="D453" s="10">
        <f>49.7224 * CHOOSE(CONTROL!$C$9, $D$9, 100%, $F$9) + CHOOSE(CONTROL!$C$27, 0.0021, 0)</f>
        <v>49.724499999999999</v>
      </c>
      <c r="E453" s="10">
        <f>49.5857 * CHOOSE(CONTROL!$C$9, $D$9, 100%, $F$9) + CHOOSE(CONTROL!$C$27, 0.0021, 0)</f>
        <v>49.587800000000001</v>
      </c>
      <c r="F453" s="10">
        <f>49.5857 * CHOOSE(CONTROL!$C$9, $D$9, 100%, $F$9) + CHOOSE(CONTROL!$C$27, 0.0021, 0)</f>
        <v>49.587800000000001</v>
      </c>
      <c r="G453" s="10">
        <f>49.8571 * CHOOSE(CONTROL!$C$9, $D$9, 100%, $F$9) + CHOOSE(CONTROL!$C$27, 0.0021, 0)</f>
        <v>49.859200000000001</v>
      </c>
      <c r="H453" s="10">
        <f>49.7224 * CHOOSE(CONTROL!$C$9, $D$9, 100%, $F$9) + CHOOSE(CONTROL!$C$27, 0.0021, 0)</f>
        <v>49.724499999999999</v>
      </c>
      <c r="I453" s="10">
        <f>49.7224 * CHOOSE(CONTROL!$C$9, $D$9, 100%, $F$9) + CHOOSE(CONTROL!$C$27, 0.0021, 0)</f>
        <v>49.724499999999999</v>
      </c>
      <c r="J453" s="10">
        <f>49.7224 * CHOOSE(CONTROL!$C$9, $D$9, 100%, $F$9) + CHOOSE(CONTROL!$C$27, 0.0021, 0)</f>
        <v>49.724499999999999</v>
      </c>
      <c r="K453" s="10">
        <f>49.7224 * CHOOSE(CONTROL!$C$9, $D$9, 100%, $F$9) + CHOOSE(CONTROL!$C$27, 0.0021, 0)</f>
        <v>49.724499999999999</v>
      </c>
      <c r="L453" s="10"/>
    </row>
    <row r="454" spans="1:12" ht="15.75" x14ac:dyDescent="0.25">
      <c r="A454" s="14">
        <v>55122</v>
      </c>
      <c r="B454" s="10">
        <f>50.2652 * CHOOSE(CONTROL!$C$9, $D$9, 100%, $F$9) + CHOOSE(CONTROL!$C$27, 0.0021, 0)</f>
        <v>50.267299999999999</v>
      </c>
      <c r="C454" s="10">
        <f>49.833 * CHOOSE(CONTROL!$C$9, $D$9, 100%, $F$9) + CHOOSE(CONTROL!$C$27, 0.0021, 0)</f>
        <v>49.835099999999997</v>
      </c>
      <c r="D454" s="10">
        <f>49.833 * CHOOSE(CONTROL!$C$9, $D$9, 100%, $F$9) + CHOOSE(CONTROL!$C$27, 0.0021, 0)</f>
        <v>49.835099999999997</v>
      </c>
      <c r="E454" s="10">
        <f>49.6963 * CHOOSE(CONTROL!$C$9, $D$9, 100%, $F$9) + CHOOSE(CONTROL!$C$27, 0.0021, 0)</f>
        <v>49.698399999999999</v>
      </c>
      <c r="F454" s="10">
        <f>49.6963 * CHOOSE(CONTROL!$C$9, $D$9, 100%, $F$9) + CHOOSE(CONTROL!$C$27, 0.0021, 0)</f>
        <v>49.698399999999999</v>
      </c>
      <c r="G454" s="10">
        <f>49.9677 * CHOOSE(CONTROL!$C$9, $D$9, 100%, $F$9) + CHOOSE(CONTROL!$C$27, 0.0021, 0)</f>
        <v>49.969799999999999</v>
      </c>
      <c r="H454" s="10">
        <f>49.833 * CHOOSE(CONTROL!$C$9, $D$9, 100%, $F$9) + CHOOSE(CONTROL!$C$27, 0.0021, 0)</f>
        <v>49.835099999999997</v>
      </c>
      <c r="I454" s="10">
        <f>49.833 * CHOOSE(CONTROL!$C$9, $D$9, 100%, $F$9) + CHOOSE(CONTROL!$C$27, 0.0021, 0)</f>
        <v>49.835099999999997</v>
      </c>
      <c r="J454" s="10">
        <f>49.833 * CHOOSE(CONTROL!$C$9, $D$9, 100%, $F$9) + CHOOSE(CONTROL!$C$27, 0.0021, 0)</f>
        <v>49.835099999999997</v>
      </c>
      <c r="K454" s="10">
        <f>49.833 * CHOOSE(CONTROL!$C$9, $D$9, 100%, $F$9) + CHOOSE(CONTROL!$C$27, 0.0021, 0)</f>
        <v>49.835099999999997</v>
      </c>
      <c r="L454" s="10"/>
    </row>
    <row r="455" spans="1:12" ht="15.75" x14ac:dyDescent="0.25">
      <c r="A455" s="14">
        <v>55153</v>
      </c>
      <c r="B455" s="10">
        <f>49.3246 * CHOOSE(CONTROL!$C$9, $D$9, 100%, $F$9) + CHOOSE(CONTROL!$C$27, 0.0021, 0)</f>
        <v>49.326699999999995</v>
      </c>
      <c r="C455" s="10">
        <f>48.8923 * CHOOSE(CONTROL!$C$9, $D$9, 100%, $F$9) + CHOOSE(CONTROL!$C$27, 0.0021, 0)</f>
        <v>48.894399999999997</v>
      </c>
      <c r="D455" s="10">
        <f>48.8923 * CHOOSE(CONTROL!$C$9, $D$9, 100%, $F$9) + CHOOSE(CONTROL!$C$27, 0.0021, 0)</f>
        <v>48.894399999999997</v>
      </c>
      <c r="E455" s="10">
        <f>48.7557 * CHOOSE(CONTROL!$C$9, $D$9, 100%, $F$9) + CHOOSE(CONTROL!$C$27, 0.0021, 0)</f>
        <v>48.757799999999996</v>
      </c>
      <c r="F455" s="10">
        <f>48.7557 * CHOOSE(CONTROL!$C$9, $D$9, 100%, $F$9) + CHOOSE(CONTROL!$C$27, 0.0021, 0)</f>
        <v>48.757799999999996</v>
      </c>
      <c r="G455" s="10">
        <f>49.027 * CHOOSE(CONTROL!$C$9, $D$9, 100%, $F$9) + CHOOSE(CONTROL!$C$27, 0.0021, 0)</f>
        <v>49.0291</v>
      </c>
      <c r="H455" s="10">
        <f>48.8923 * CHOOSE(CONTROL!$C$9, $D$9, 100%, $F$9) + CHOOSE(CONTROL!$C$27, 0.0021, 0)</f>
        <v>48.894399999999997</v>
      </c>
      <c r="I455" s="10">
        <f>48.8923 * CHOOSE(CONTROL!$C$9, $D$9, 100%, $F$9) + CHOOSE(CONTROL!$C$27, 0.0021, 0)</f>
        <v>48.894399999999997</v>
      </c>
      <c r="J455" s="10">
        <f>48.8923 * CHOOSE(CONTROL!$C$9, $D$9, 100%, $F$9) + CHOOSE(CONTROL!$C$27, 0.0021, 0)</f>
        <v>48.894399999999997</v>
      </c>
      <c r="K455" s="10">
        <f>48.8923 * CHOOSE(CONTROL!$C$9, $D$9, 100%, $F$9) + CHOOSE(CONTROL!$C$27, 0.0021, 0)</f>
        <v>48.894399999999997</v>
      </c>
      <c r="L455" s="10"/>
    </row>
    <row r="456" spans="1:12" ht="15.75" x14ac:dyDescent="0.25">
      <c r="A456" s="14">
        <v>55184</v>
      </c>
      <c r="B456" s="10">
        <f>48.6044 * CHOOSE(CONTROL!$C$9, $D$9, 100%, $F$9) + CHOOSE(CONTROL!$C$27, 0.0021, 0)</f>
        <v>48.606499999999997</v>
      </c>
      <c r="C456" s="10">
        <f>48.1721 * CHOOSE(CONTROL!$C$9, $D$9, 100%, $F$9) + CHOOSE(CONTROL!$C$27, 0.0021, 0)</f>
        <v>48.174199999999999</v>
      </c>
      <c r="D456" s="10">
        <f>48.1721 * CHOOSE(CONTROL!$C$9, $D$9, 100%, $F$9) + CHOOSE(CONTROL!$C$27, 0.0021, 0)</f>
        <v>48.174199999999999</v>
      </c>
      <c r="E456" s="10">
        <f>48.0355 * CHOOSE(CONTROL!$C$9, $D$9, 100%, $F$9) + CHOOSE(CONTROL!$C$27, 0.0021, 0)</f>
        <v>48.037599999999998</v>
      </c>
      <c r="F456" s="10">
        <f>48.0355 * CHOOSE(CONTROL!$C$9, $D$9, 100%, $F$9) + CHOOSE(CONTROL!$C$27, 0.0021, 0)</f>
        <v>48.037599999999998</v>
      </c>
      <c r="G456" s="10">
        <f>48.3069 * CHOOSE(CONTROL!$C$9, $D$9, 100%, $F$9) + CHOOSE(CONTROL!$C$27, 0.0021, 0)</f>
        <v>48.308999999999997</v>
      </c>
      <c r="H456" s="10">
        <f>48.1721 * CHOOSE(CONTROL!$C$9, $D$9, 100%, $F$9) + CHOOSE(CONTROL!$C$27, 0.0021, 0)</f>
        <v>48.174199999999999</v>
      </c>
      <c r="I456" s="10">
        <f>48.1721 * CHOOSE(CONTROL!$C$9, $D$9, 100%, $F$9) + CHOOSE(CONTROL!$C$27, 0.0021, 0)</f>
        <v>48.174199999999999</v>
      </c>
      <c r="J456" s="10">
        <f>48.1721 * CHOOSE(CONTROL!$C$9, $D$9, 100%, $F$9) + CHOOSE(CONTROL!$C$27, 0.0021, 0)</f>
        <v>48.174199999999999</v>
      </c>
      <c r="K456" s="10">
        <f>48.1721 * CHOOSE(CONTROL!$C$9, $D$9, 100%, $F$9) + CHOOSE(CONTROL!$C$27, 0.0021, 0)</f>
        <v>48.174199999999999</v>
      </c>
      <c r="L456" s="10"/>
    </row>
    <row r="457" spans="1:12" ht="15.75" x14ac:dyDescent="0.25">
      <c r="A457" s="14">
        <v>55212</v>
      </c>
      <c r="B457" s="10">
        <f>47.2944 * CHOOSE(CONTROL!$C$9, $D$9, 100%, $F$9) + CHOOSE(CONTROL!$C$27, 0.0021, 0)</f>
        <v>47.296500000000002</v>
      </c>
      <c r="C457" s="10">
        <f>46.8622 * CHOOSE(CONTROL!$C$9, $D$9, 100%, $F$9) + CHOOSE(CONTROL!$C$27, 0.0021, 0)</f>
        <v>46.8643</v>
      </c>
      <c r="D457" s="10">
        <f>46.8622 * CHOOSE(CONTROL!$C$9, $D$9, 100%, $F$9) + CHOOSE(CONTROL!$C$27, 0.0021, 0)</f>
        <v>46.8643</v>
      </c>
      <c r="E457" s="10">
        <f>46.7255 * CHOOSE(CONTROL!$C$9, $D$9, 100%, $F$9) + CHOOSE(CONTROL!$C$27, 0.0021, 0)</f>
        <v>46.727599999999995</v>
      </c>
      <c r="F457" s="10">
        <f>46.7255 * CHOOSE(CONTROL!$C$9, $D$9, 100%, $F$9) + CHOOSE(CONTROL!$C$27, 0.0021, 0)</f>
        <v>46.727599999999995</v>
      </c>
      <c r="G457" s="10">
        <f>46.9969 * CHOOSE(CONTROL!$C$9, $D$9, 100%, $F$9) + CHOOSE(CONTROL!$C$27, 0.0021, 0)</f>
        <v>46.998999999999995</v>
      </c>
      <c r="H457" s="10">
        <f>46.8622 * CHOOSE(CONTROL!$C$9, $D$9, 100%, $F$9) + CHOOSE(CONTROL!$C$27, 0.0021, 0)</f>
        <v>46.8643</v>
      </c>
      <c r="I457" s="10">
        <f>46.8622 * CHOOSE(CONTROL!$C$9, $D$9, 100%, $F$9) + CHOOSE(CONTROL!$C$27, 0.0021, 0)</f>
        <v>46.8643</v>
      </c>
      <c r="J457" s="10">
        <f>46.8622 * CHOOSE(CONTROL!$C$9, $D$9, 100%, $F$9) + CHOOSE(CONTROL!$C$27, 0.0021, 0)</f>
        <v>46.8643</v>
      </c>
      <c r="K457" s="10">
        <f>46.8622 * CHOOSE(CONTROL!$C$9, $D$9, 100%, $F$9) + CHOOSE(CONTROL!$C$27, 0.0021, 0)</f>
        <v>46.8643</v>
      </c>
      <c r="L457" s="10"/>
    </row>
    <row r="458" spans="1:12" ht="15.75" x14ac:dyDescent="0.25">
      <c r="A458" s="14">
        <v>55243</v>
      </c>
      <c r="B458" s="10">
        <f>46.7537 * CHOOSE(CONTROL!$C$9, $D$9, 100%, $F$9) + CHOOSE(CONTROL!$C$27, 0.0021, 0)</f>
        <v>46.755800000000001</v>
      </c>
      <c r="C458" s="10">
        <f>46.3214 * CHOOSE(CONTROL!$C$9, $D$9, 100%, $F$9) + CHOOSE(CONTROL!$C$27, 0.0021, 0)</f>
        <v>46.323499999999996</v>
      </c>
      <c r="D458" s="10">
        <f>46.3214 * CHOOSE(CONTROL!$C$9, $D$9, 100%, $F$9) + CHOOSE(CONTROL!$C$27, 0.0021, 0)</f>
        <v>46.323499999999996</v>
      </c>
      <c r="E458" s="10">
        <f>46.1848 * CHOOSE(CONTROL!$C$9, $D$9, 100%, $F$9) + CHOOSE(CONTROL!$C$27, 0.0021, 0)</f>
        <v>46.186900000000001</v>
      </c>
      <c r="F458" s="10">
        <f>46.1848 * CHOOSE(CONTROL!$C$9, $D$9, 100%, $F$9) + CHOOSE(CONTROL!$C$27, 0.0021, 0)</f>
        <v>46.186900000000001</v>
      </c>
      <c r="G458" s="10">
        <f>46.4562 * CHOOSE(CONTROL!$C$9, $D$9, 100%, $F$9) + CHOOSE(CONTROL!$C$27, 0.0021, 0)</f>
        <v>46.458300000000001</v>
      </c>
      <c r="H458" s="10">
        <f>46.3214 * CHOOSE(CONTROL!$C$9, $D$9, 100%, $F$9) + CHOOSE(CONTROL!$C$27, 0.0021, 0)</f>
        <v>46.323499999999996</v>
      </c>
      <c r="I458" s="10">
        <f>46.3214 * CHOOSE(CONTROL!$C$9, $D$9, 100%, $F$9) + CHOOSE(CONTROL!$C$27, 0.0021, 0)</f>
        <v>46.323499999999996</v>
      </c>
      <c r="J458" s="10">
        <f>46.3214 * CHOOSE(CONTROL!$C$9, $D$9, 100%, $F$9) + CHOOSE(CONTROL!$C$27, 0.0021, 0)</f>
        <v>46.323499999999996</v>
      </c>
      <c r="K458" s="10">
        <f>46.3214 * CHOOSE(CONTROL!$C$9, $D$9, 100%, $F$9) + CHOOSE(CONTROL!$C$27, 0.0021, 0)</f>
        <v>46.323499999999996</v>
      </c>
      <c r="L458" s="10"/>
    </row>
    <row r="459" spans="1:12" ht="15.75" x14ac:dyDescent="0.25">
      <c r="A459" s="14">
        <v>55273</v>
      </c>
      <c r="B459" s="10">
        <f>46.108 * CHOOSE(CONTROL!$C$9, $D$9, 100%, $F$9) + CHOOSE(CONTROL!$C$27, 0.0021, 0)</f>
        <v>46.110099999999996</v>
      </c>
      <c r="C459" s="10">
        <f>45.6758 * CHOOSE(CONTROL!$C$9, $D$9, 100%, $F$9) + CHOOSE(CONTROL!$C$27, 0.0021, 0)</f>
        <v>45.677900000000001</v>
      </c>
      <c r="D459" s="10">
        <f>45.6758 * CHOOSE(CONTROL!$C$9, $D$9, 100%, $F$9) + CHOOSE(CONTROL!$C$27, 0.0021, 0)</f>
        <v>45.677900000000001</v>
      </c>
      <c r="E459" s="10">
        <f>45.5391 * CHOOSE(CONTROL!$C$9, $D$9, 100%, $F$9) + CHOOSE(CONTROL!$C$27, 0.0021, 0)</f>
        <v>45.541199999999996</v>
      </c>
      <c r="F459" s="10">
        <f>45.5391 * CHOOSE(CONTROL!$C$9, $D$9, 100%, $F$9) + CHOOSE(CONTROL!$C$27, 0.0021, 0)</f>
        <v>45.541199999999996</v>
      </c>
      <c r="G459" s="10">
        <f>45.8105 * CHOOSE(CONTROL!$C$9, $D$9, 100%, $F$9) + CHOOSE(CONTROL!$C$27, 0.0021, 0)</f>
        <v>45.812599999999996</v>
      </c>
      <c r="H459" s="10">
        <f>45.6758 * CHOOSE(CONTROL!$C$9, $D$9, 100%, $F$9) + CHOOSE(CONTROL!$C$27, 0.0021, 0)</f>
        <v>45.677900000000001</v>
      </c>
      <c r="I459" s="10">
        <f>45.6758 * CHOOSE(CONTROL!$C$9, $D$9, 100%, $F$9) + CHOOSE(CONTROL!$C$27, 0.0021, 0)</f>
        <v>45.677900000000001</v>
      </c>
      <c r="J459" s="10">
        <f>45.6758 * CHOOSE(CONTROL!$C$9, $D$9, 100%, $F$9) + CHOOSE(CONTROL!$C$27, 0.0021, 0)</f>
        <v>45.677900000000001</v>
      </c>
      <c r="K459" s="10">
        <f>45.6758 * CHOOSE(CONTROL!$C$9, $D$9, 100%, $F$9) + CHOOSE(CONTROL!$C$27, 0.0021, 0)</f>
        <v>45.677900000000001</v>
      </c>
      <c r="L459" s="10"/>
    </row>
    <row r="460" spans="1:12" ht="15.75" x14ac:dyDescent="0.25">
      <c r="A460" s="14">
        <v>55304</v>
      </c>
      <c r="B460" s="10">
        <f>47.0282 * CHOOSE(CONTROL!$C$9, $D$9, 100%, $F$9) + CHOOSE(CONTROL!$C$27, 0.0021, 0)</f>
        <v>47.030299999999997</v>
      </c>
      <c r="C460" s="10">
        <f>46.5959 * CHOOSE(CONTROL!$C$9, $D$9, 100%, $F$9) + CHOOSE(CONTROL!$C$27, 0.0021, 0)</f>
        <v>46.597999999999999</v>
      </c>
      <c r="D460" s="10">
        <f>46.5959 * CHOOSE(CONTROL!$C$9, $D$9, 100%, $F$9) + CHOOSE(CONTROL!$C$27, 0.0021, 0)</f>
        <v>46.597999999999999</v>
      </c>
      <c r="E460" s="10">
        <f>46.4593 * CHOOSE(CONTROL!$C$9, $D$9, 100%, $F$9) + CHOOSE(CONTROL!$C$27, 0.0021, 0)</f>
        <v>46.461399999999998</v>
      </c>
      <c r="F460" s="10">
        <f>46.4593 * CHOOSE(CONTROL!$C$9, $D$9, 100%, $F$9) + CHOOSE(CONTROL!$C$27, 0.0021, 0)</f>
        <v>46.461399999999998</v>
      </c>
      <c r="G460" s="10">
        <f>46.7306 * CHOOSE(CONTROL!$C$9, $D$9, 100%, $F$9) + CHOOSE(CONTROL!$C$27, 0.0021, 0)</f>
        <v>46.732700000000001</v>
      </c>
      <c r="H460" s="10">
        <f>46.5959 * CHOOSE(CONTROL!$C$9, $D$9, 100%, $F$9) + CHOOSE(CONTROL!$C$27, 0.0021, 0)</f>
        <v>46.597999999999999</v>
      </c>
      <c r="I460" s="10">
        <f>46.5959 * CHOOSE(CONTROL!$C$9, $D$9, 100%, $F$9) + CHOOSE(CONTROL!$C$27, 0.0021, 0)</f>
        <v>46.597999999999999</v>
      </c>
      <c r="J460" s="10">
        <f>46.5959 * CHOOSE(CONTROL!$C$9, $D$9, 100%, $F$9) + CHOOSE(CONTROL!$C$27, 0.0021, 0)</f>
        <v>46.597999999999999</v>
      </c>
      <c r="K460" s="10">
        <f>46.5959 * CHOOSE(CONTROL!$C$9, $D$9, 100%, $F$9) + CHOOSE(CONTROL!$C$27, 0.0021, 0)</f>
        <v>46.597999999999999</v>
      </c>
      <c r="L460" s="10"/>
    </row>
    <row r="461" spans="1:12" ht="15.75" x14ac:dyDescent="0.25">
      <c r="A461" s="14">
        <v>55334</v>
      </c>
      <c r="B461" s="10">
        <f>47.5793 * CHOOSE(CONTROL!$C$9, $D$9, 100%, $F$9) + CHOOSE(CONTROL!$C$27, 0.0021, 0)</f>
        <v>47.581400000000002</v>
      </c>
      <c r="C461" s="10">
        <f>47.1471 * CHOOSE(CONTROL!$C$9, $D$9, 100%, $F$9) + CHOOSE(CONTROL!$C$27, 0.0021, 0)</f>
        <v>47.1492</v>
      </c>
      <c r="D461" s="10">
        <f>47.1471 * CHOOSE(CONTROL!$C$9, $D$9, 100%, $F$9) + CHOOSE(CONTROL!$C$27, 0.0021, 0)</f>
        <v>47.1492</v>
      </c>
      <c r="E461" s="10">
        <f>47.0104 * CHOOSE(CONTROL!$C$9, $D$9, 100%, $F$9) + CHOOSE(CONTROL!$C$27, 0.0021, 0)</f>
        <v>47.012499999999996</v>
      </c>
      <c r="F461" s="10">
        <f>47.0104 * CHOOSE(CONTROL!$C$9, $D$9, 100%, $F$9) + CHOOSE(CONTROL!$C$27, 0.0021, 0)</f>
        <v>47.012499999999996</v>
      </c>
      <c r="G461" s="10">
        <f>47.2818 * CHOOSE(CONTROL!$C$9, $D$9, 100%, $F$9) + CHOOSE(CONTROL!$C$27, 0.0021, 0)</f>
        <v>47.283899999999996</v>
      </c>
      <c r="H461" s="10">
        <f>47.1471 * CHOOSE(CONTROL!$C$9, $D$9, 100%, $F$9) + CHOOSE(CONTROL!$C$27, 0.0021, 0)</f>
        <v>47.1492</v>
      </c>
      <c r="I461" s="10">
        <f>47.1471 * CHOOSE(CONTROL!$C$9, $D$9, 100%, $F$9) + CHOOSE(CONTROL!$C$27, 0.0021, 0)</f>
        <v>47.1492</v>
      </c>
      <c r="J461" s="10">
        <f>47.1471 * CHOOSE(CONTROL!$C$9, $D$9, 100%, $F$9) + CHOOSE(CONTROL!$C$27, 0.0021, 0)</f>
        <v>47.1492</v>
      </c>
      <c r="K461" s="10">
        <f>47.1471 * CHOOSE(CONTROL!$C$9, $D$9, 100%, $F$9) + CHOOSE(CONTROL!$C$27, 0.0021, 0)</f>
        <v>47.1492</v>
      </c>
      <c r="L461" s="10"/>
    </row>
    <row r="462" spans="1:12" ht="15.75" x14ac:dyDescent="0.25">
      <c r="A462" s="14">
        <v>55365</v>
      </c>
      <c r="B462" s="10">
        <f>48.4885 * CHOOSE(CONTROL!$C$9, $D$9, 100%, $F$9) + CHOOSE(CONTROL!$C$27, 0.0021, 0)</f>
        <v>48.490600000000001</v>
      </c>
      <c r="C462" s="10">
        <f>48.0562 * CHOOSE(CONTROL!$C$9, $D$9, 100%, $F$9) + CHOOSE(CONTROL!$C$27, 0.0021, 0)</f>
        <v>48.058299999999996</v>
      </c>
      <c r="D462" s="10">
        <f>48.0562 * CHOOSE(CONTROL!$C$9, $D$9, 100%, $F$9) + CHOOSE(CONTROL!$C$27, 0.0021, 0)</f>
        <v>48.058299999999996</v>
      </c>
      <c r="E462" s="10">
        <f>47.9196 * CHOOSE(CONTROL!$C$9, $D$9, 100%, $F$9) + CHOOSE(CONTROL!$C$27, 0.0021, 0)</f>
        <v>47.921700000000001</v>
      </c>
      <c r="F462" s="10">
        <f>47.9196 * CHOOSE(CONTROL!$C$9, $D$9, 100%, $F$9) + CHOOSE(CONTROL!$C$27, 0.0021, 0)</f>
        <v>47.921700000000001</v>
      </c>
      <c r="G462" s="10">
        <f>48.1909 * CHOOSE(CONTROL!$C$9, $D$9, 100%, $F$9) + CHOOSE(CONTROL!$C$27, 0.0021, 0)</f>
        <v>48.192999999999998</v>
      </c>
      <c r="H462" s="10">
        <f>48.0562 * CHOOSE(CONTROL!$C$9, $D$9, 100%, $F$9) + CHOOSE(CONTROL!$C$27, 0.0021, 0)</f>
        <v>48.058299999999996</v>
      </c>
      <c r="I462" s="10">
        <f>48.0562 * CHOOSE(CONTROL!$C$9, $D$9, 100%, $F$9) + CHOOSE(CONTROL!$C$27, 0.0021, 0)</f>
        <v>48.058299999999996</v>
      </c>
      <c r="J462" s="10">
        <f>48.0562 * CHOOSE(CONTROL!$C$9, $D$9, 100%, $F$9) + CHOOSE(CONTROL!$C$27, 0.0021, 0)</f>
        <v>48.058299999999996</v>
      </c>
      <c r="K462" s="10">
        <f>48.0562 * CHOOSE(CONTROL!$C$9, $D$9, 100%, $F$9) + CHOOSE(CONTROL!$C$27, 0.0021, 0)</f>
        <v>48.058299999999996</v>
      </c>
      <c r="L462" s="10"/>
    </row>
    <row r="463" spans="1:12" ht="15.75" x14ac:dyDescent="0.25">
      <c r="A463" s="14">
        <v>55396</v>
      </c>
      <c r="B463" s="10">
        <f>48.766 * CHOOSE(CONTROL!$C$9, $D$9, 100%, $F$9) + CHOOSE(CONTROL!$C$27, 0.0021, 0)</f>
        <v>48.768099999999997</v>
      </c>
      <c r="C463" s="10">
        <f>48.3337 * CHOOSE(CONTROL!$C$9, $D$9, 100%, $F$9) + CHOOSE(CONTROL!$C$27, 0.0021, 0)</f>
        <v>48.335799999999999</v>
      </c>
      <c r="D463" s="10">
        <f>48.3337 * CHOOSE(CONTROL!$C$9, $D$9, 100%, $F$9) + CHOOSE(CONTROL!$C$27, 0.0021, 0)</f>
        <v>48.335799999999999</v>
      </c>
      <c r="E463" s="10">
        <f>48.1971 * CHOOSE(CONTROL!$C$9, $D$9, 100%, $F$9) + CHOOSE(CONTROL!$C$27, 0.0021, 0)</f>
        <v>48.199199999999998</v>
      </c>
      <c r="F463" s="10">
        <f>48.1971 * CHOOSE(CONTROL!$C$9, $D$9, 100%, $F$9) + CHOOSE(CONTROL!$C$27, 0.0021, 0)</f>
        <v>48.199199999999998</v>
      </c>
      <c r="G463" s="10">
        <f>48.4684 * CHOOSE(CONTROL!$C$9, $D$9, 100%, $F$9) + CHOOSE(CONTROL!$C$27, 0.0021, 0)</f>
        <v>48.470500000000001</v>
      </c>
      <c r="H463" s="10">
        <f>48.3337 * CHOOSE(CONTROL!$C$9, $D$9, 100%, $F$9) + CHOOSE(CONTROL!$C$27, 0.0021, 0)</f>
        <v>48.335799999999999</v>
      </c>
      <c r="I463" s="10">
        <f>48.3337 * CHOOSE(CONTROL!$C$9, $D$9, 100%, $F$9) + CHOOSE(CONTROL!$C$27, 0.0021, 0)</f>
        <v>48.335799999999999</v>
      </c>
      <c r="J463" s="10">
        <f>48.3337 * CHOOSE(CONTROL!$C$9, $D$9, 100%, $F$9) + CHOOSE(CONTROL!$C$27, 0.0021, 0)</f>
        <v>48.335799999999999</v>
      </c>
      <c r="K463" s="10">
        <f>48.3337 * CHOOSE(CONTROL!$C$9, $D$9, 100%, $F$9) + CHOOSE(CONTROL!$C$27, 0.0021, 0)</f>
        <v>48.335799999999999</v>
      </c>
      <c r="L463" s="10"/>
    </row>
    <row r="464" spans="1:12" ht="15.75" x14ac:dyDescent="0.25">
      <c r="A464" s="14">
        <v>55426</v>
      </c>
      <c r="B464" s="10">
        <f>49.711 * CHOOSE(CONTROL!$C$9, $D$9, 100%, $F$9) + CHOOSE(CONTROL!$C$27, 0.0021, 0)</f>
        <v>49.713099999999997</v>
      </c>
      <c r="C464" s="10">
        <f>49.2788 * CHOOSE(CONTROL!$C$9, $D$9, 100%, $F$9) + CHOOSE(CONTROL!$C$27, 0.0021, 0)</f>
        <v>49.280899999999995</v>
      </c>
      <c r="D464" s="10">
        <f>49.2788 * CHOOSE(CONTROL!$C$9, $D$9, 100%, $F$9) + CHOOSE(CONTROL!$C$27, 0.0021, 0)</f>
        <v>49.280899999999995</v>
      </c>
      <c r="E464" s="10">
        <f>49.1421 * CHOOSE(CONTROL!$C$9, $D$9, 100%, $F$9) + CHOOSE(CONTROL!$C$27, 0.0021, 0)</f>
        <v>49.144199999999998</v>
      </c>
      <c r="F464" s="10">
        <f>49.1421 * CHOOSE(CONTROL!$C$9, $D$9, 100%, $F$9) + CHOOSE(CONTROL!$C$27, 0.0021, 0)</f>
        <v>49.144199999999998</v>
      </c>
      <c r="G464" s="10">
        <f>49.4135 * CHOOSE(CONTROL!$C$9, $D$9, 100%, $F$9) + CHOOSE(CONTROL!$C$27, 0.0021, 0)</f>
        <v>49.415599999999998</v>
      </c>
      <c r="H464" s="10">
        <f>49.2788 * CHOOSE(CONTROL!$C$9, $D$9, 100%, $F$9) + CHOOSE(CONTROL!$C$27, 0.0021, 0)</f>
        <v>49.280899999999995</v>
      </c>
      <c r="I464" s="10">
        <f>49.2788 * CHOOSE(CONTROL!$C$9, $D$9, 100%, $F$9) + CHOOSE(CONTROL!$C$27, 0.0021, 0)</f>
        <v>49.280899999999995</v>
      </c>
      <c r="J464" s="10">
        <f>49.2788 * CHOOSE(CONTROL!$C$9, $D$9, 100%, $F$9) + CHOOSE(CONTROL!$C$27, 0.0021, 0)</f>
        <v>49.280899999999995</v>
      </c>
      <c r="K464" s="10">
        <f>49.2788 * CHOOSE(CONTROL!$C$9, $D$9, 100%, $F$9) + CHOOSE(CONTROL!$C$27, 0.0021, 0)</f>
        <v>49.280899999999995</v>
      </c>
      <c r="L464" s="10"/>
    </row>
    <row r="465" spans="1:12" ht="15.75" x14ac:dyDescent="0.25">
      <c r="A465" s="14">
        <v>55457</v>
      </c>
      <c r="B465" s="10">
        <f>50.9073 * CHOOSE(CONTROL!$C$9, $D$9, 100%, $F$9) + CHOOSE(CONTROL!$C$27, 0.0021, 0)</f>
        <v>50.909399999999998</v>
      </c>
      <c r="C465" s="10">
        <f>50.475 * CHOOSE(CONTROL!$C$9, $D$9, 100%, $F$9) + CHOOSE(CONTROL!$C$27, 0.0021, 0)</f>
        <v>50.4771</v>
      </c>
      <c r="D465" s="10">
        <f>50.475 * CHOOSE(CONTROL!$C$9, $D$9, 100%, $F$9) + CHOOSE(CONTROL!$C$27, 0.0021, 0)</f>
        <v>50.4771</v>
      </c>
      <c r="E465" s="10">
        <f>50.3384 * CHOOSE(CONTROL!$C$9, $D$9, 100%, $F$9) + CHOOSE(CONTROL!$C$27, 0.0021, 0)</f>
        <v>50.340499999999999</v>
      </c>
      <c r="F465" s="10">
        <f>50.3384 * CHOOSE(CONTROL!$C$9, $D$9, 100%, $F$9) + CHOOSE(CONTROL!$C$27, 0.0021, 0)</f>
        <v>50.340499999999999</v>
      </c>
      <c r="G465" s="10">
        <f>50.6097 * CHOOSE(CONTROL!$C$9, $D$9, 100%, $F$9) + CHOOSE(CONTROL!$C$27, 0.0021, 0)</f>
        <v>50.611799999999995</v>
      </c>
      <c r="H465" s="10">
        <f>50.475 * CHOOSE(CONTROL!$C$9, $D$9, 100%, $F$9) + CHOOSE(CONTROL!$C$27, 0.0021, 0)</f>
        <v>50.4771</v>
      </c>
      <c r="I465" s="10">
        <f>50.475 * CHOOSE(CONTROL!$C$9, $D$9, 100%, $F$9) + CHOOSE(CONTROL!$C$27, 0.0021, 0)</f>
        <v>50.4771</v>
      </c>
      <c r="J465" s="10">
        <f>50.475 * CHOOSE(CONTROL!$C$9, $D$9, 100%, $F$9) + CHOOSE(CONTROL!$C$27, 0.0021, 0)</f>
        <v>50.4771</v>
      </c>
      <c r="K465" s="10">
        <f>50.475 * CHOOSE(CONTROL!$C$9, $D$9, 100%, $F$9) + CHOOSE(CONTROL!$C$27, 0.0021, 0)</f>
        <v>50.4771</v>
      </c>
      <c r="L465" s="10"/>
    </row>
    <row r="466" spans="1:12" ht="15.75" x14ac:dyDescent="0.25">
      <c r="A466" s="14">
        <v>55487</v>
      </c>
      <c r="B466" s="10">
        <f>51.0196 * CHOOSE(CONTROL!$C$9, $D$9, 100%, $F$9) + CHOOSE(CONTROL!$C$27, 0.0021, 0)</f>
        <v>51.021699999999996</v>
      </c>
      <c r="C466" s="10">
        <f>50.5873 * CHOOSE(CONTROL!$C$9, $D$9, 100%, $F$9) + CHOOSE(CONTROL!$C$27, 0.0021, 0)</f>
        <v>50.589399999999998</v>
      </c>
      <c r="D466" s="10">
        <f>50.5873 * CHOOSE(CONTROL!$C$9, $D$9, 100%, $F$9) + CHOOSE(CONTROL!$C$27, 0.0021, 0)</f>
        <v>50.589399999999998</v>
      </c>
      <c r="E466" s="10">
        <f>50.4507 * CHOOSE(CONTROL!$C$9, $D$9, 100%, $F$9) + CHOOSE(CONTROL!$C$27, 0.0021, 0)</f>
        <v>50.452799999999996</v>
      </c>
      <c r="F466" s="10">
        <f>50.4507 * CHOOSE(CONTROL!$C$9, $D$9, 100%, $F$9) + CHOOSE(CONTROL!$C$27, 0.0021, 0)</f>
        <v>50.452799999999996</v>
      </c>
      <c r="G466" s="10">
        <f>50.722 * CHOOSE(CONTROL!$C$9, $D$9, 100%, $F$9) + CHOOSE(CONTROL!$C$27, 0.0021, 0)</f>
        <v>50.7241</v>
      </c>
      <c r="H466" s="10">
        <f>50.5873 * CHOOSE(CONTROL!$C$9, $D$9, 100%, $F$9) + CHOOSE(CONTROL!$C$27, 0.0021, 0)</f>
        <v>50.589399999999998</v>
      </c>
      <c r="I466" s="10">
        <f>50.5873 * CHOOSE(CONTROL!$C$9, $D$9, 100%, $F$9) + CHOOSE(CONTROL!$C$27, 0.0021, 0)</f>
        <v>50.589399999999998</v>
      </c>
      <c r="J466" s="10">
        <f>50.5873 * CHOOSE(CONTROL!$C$9, $D$9, 100%, $F$9) + CHOOSE(CONTROL!$C$27, 0.0021, 0)</f>
        <v>50.589399999999998</v>
      </c>
      <c r="K466" s="10">
        <f>50.5873 * CHOOSE(CONTROL!$C$9, $D$9, 100%, $F$9) + CHOOSE(CONTROL!$C$27, 0.0021, 0)</f>
        <v>50.589399999999998</v>
      </c>
      <c r="L466" s="10"/>
    </row>
    <row r="467" spans="1:12" ht="15.75" x14ac:dyDescent="0.25">
      <c r="A467" s="14">
        <v>55518</v>
      </c>
      <c r="B467" s="10">
        <f>50.0642 * CHOOSE(CONTROL!$C$9, $D$9, 100%, $F$9) + CHOOSE(CONTROL!$C$27, 0.0021, 0)</f>
        <v>50.066299999999998</v>
      </c>
      <c r="C467" s="10">
        <f>49.6319 * CHOOSE(CONTROL!$C$9, $D$9, 100%, $F$9) + CHOOSE(CONTROL!$C$27, 0.0021, 0)</f>
        <v>49.634</v>
      </c>
      <c r="D467" s="10">
        <f>49.6319 * CHOOSE(CONTROL!$C$9, $D$9, 100%, $F$9) + CHOOSE(CONTROL!$C$27, 0.0021, 0)</f>
        <v>49.634</v>
      </c>
      <c r="E467" s="10">
        <f>49.4952 * CHOOSE(CONTROL!$C$9, $D$9, 100%, $F$9) + CHOOSE(CONTROL!$C$27, 0.0021, 0)</f>
        <v>49.497299999999996</v>
      </c>
      <c r="F467" s="10">
        <f>49.4952 * CHOOSE(CONTROL!$C$9, $D$9, 100%, $F$9) + CHOOSE(CONTROL!$C$27, 0.0021, 0)</f>
        <v>49.497299999999996</v>
      </c>
      <c r="G467" s="10">
        <f>49.7666 * CHOOSE(CONTROL!$C$9, $D$9, 100%, $F$9) + CHOOSE(CONTROL!$C$27, 0.0021, 0)</f>
        <v>49.768699999999995</v>
      </c>
      <c r="H467" s="10">
        <f>49.6319 * CHOOSE(CONTROL!$C$9, $D$9, 100%, $F$9) + CHOOSE(CONTROL!$C$27, 0.0021, 0)</f>
        <v>49.634</v>
      </c>
      <c r="I467" s="10">
        <f>49.6319 * CHOOSE(CONTROL!$C$9, $D$9, 100%, $F$9) + CHOOSE(CONTROL!$C$27, 0.0021, 0)</f>
        <v>49.634</v>
      </c>
      <c r="J467" s="10">
        <f>49.6319 * CHOOSE(CONTROL!$C$9, $D$9, 100%, $F$9) + CHOOSE(CONTROL!$C$27, 0.0021, 0)</f>
        <v>49.634</v>
      </c>
      <c r="K467" s="10">
        <f>49.6319 * CHOOSE(CONTROL!$C$9, $D$9, 100%, $F$9) + CHOOSE(CONTROL!$C$27, 0.0021, 0)</f>
        <v>49.634</v>
      </c>
      <c r="L467" s="10"/>
    </row>
    <row r="468" spans="1:12" ht="15.75" x14ac:dyDescent="0.25">
      <c r="A468" s="14">
        <v>55549</v>
      </c>
      <c r="B468" s="10">
        <f>49.3326 * CHOOSE(CONTROL!$C$9, $D$9, 100%, $F$9) + CHOOSE(CONTROL!$C$27, 0.0021, 0)</f>
        <v>49.334699999999998</v>
      </c>
      <c r="C468" s="10">
        <f>48.9004 * CHOOSE(CONTROL!$C$9, $D$9, 100%, $F$9) + CHOOSE(CONTROL!$C$27, 0.0021, 0)</f>
        <v>48.902499999999996</v>
      </c>
      <c r="D468" s="10">
        <f>48.9004 * CHOOSE(CONTROL!$C$9, $D$9, 100%, $F$9) + CHOOSE(CONTROL!$C$27, 0.0021, 0)</f>
        <v>48.902499999999996</v>
      </c>
      <c r="E468" s="10">
        <f>48.7637 * CHOOSE(CONTROL!$C$9, $D$9, 100%, $F$9) + CHOOSE(CONTROL!$C$27, 0.0021, 0)</f>
        <v>48.765799999999999</v>
      </c>
      <c r="F468" s="10">
        <f>48.7637 * CHOOSE(CONTROL!$C$9, $D$9, 100%, $F$9) + CHOOSE(CONTROL!$C$27, 0.0021, 0)</f>
        <v>48.765799999999999</v>
      </c>
      <c r="G468" s="10">
        <f>49.0351 * CHOOSE(CONTROL!$C$9, $D$9, 100%, $F$9) + CHOOSE(CONTROL!$C$27, 0.0021, 0)</f>
        <v>49.037199999999999</v>
      </c>
      <c r="H468" s="10">
        <f>48.9004 * CHOOSE(CONTROL!$C$9, $D$9, 100%, $F$9) + CHOOSE(CONTROL!$C$27, 0.0021, 0)</f>
        <v>48.902499999999996</v>
      </c>
      <c r="I468" s="10">
        <f>48.9004 * CHOOSE(CONTROL!$C$9, $D$9, 100%, $F$9) + CHOOSE(CONTROL!$C$27, 0.0021, 0)</f>
        <v>48.902499999999996</v>
      </c>
      <c r="J468" s="10">
        <f>48.9004 * CHOOSE(CONTROL!$C$9, $D$9, 100%, $F$9) + CHOOSE(CONTROL!$C$27, 0.0021, 0)</f>
        <v>48.902499999999996</v>
      </c>
      <c r="K468" s="10">
        <f>48.9004 * CHOOSE(CONTROL!$C$9, $D$9, 100%, $F$9) + CHOOSE(CONTROL!$C$27, 0.0021, 0)</f>
        <v>48.902499999999996</v>
      </c>
      <c r="L468" s="10"/>
    </row>
    <row r="469" spans="1:12" ht="15.75" x14ac:dyDescent="0.25">
      <c r="A469" s="14">
        <v>55577</v>
      </c>
      <c r="B469" s="10">
        <f>48.0021 * CHOOSE(CONTROL!$C$9, $D$9, 100%, $F$9) + CHOOSE(CONTROL!$C$27, 0.0021, 0)</f>
        <v>48.004199999999997</v>
      </c>
      <c r="C469" s="10">
        <f>47.5698 * CHOOSE(CONTROL!$C$9, $D$9, 100%, $F$9) + CHOOSE(CONTROL!$C$27, 0.0021, 0)</f>
        <v>47.571899999999999</v>
      </c>
      <c r="D469" s="10">
        <f>47.5698 * CHOOSE(CONTROL!$C$9, $D$9, 100%, $F$9) + CHOOSE(CONTROL!$C$27, 0.0021, 0)</f>
        <v>47.571899999999999</v>
      </c>
      <c r="E469" s="10">
        <f>47.4332 * CHOOSE(CONTROL!$C$9, $D$9, 100%, $F$9) + CHOOSE(CONTROL!$C$27, 0.0021, 0)</f>
        <v>47.435299999999998</v>
      </c>
      <c r="F469" s="10">
        <f>47.4332 * CHOOSE(CONTROL!$C$9, $D$9, 100%, $F$9) + CHOOSE(CONTROL!$C$27, 0.0021, 0)</f>
        <v>47.435299999999998</v>
      </c>
      <c r="G469" s="10">
        <f>47.7046 * CHOOSE(CONTROL!$C$9, $D$9, 100%, $F$9) + CHOOSE(CONTROL!$C$27, 0.0021, 0)</f>
        <v>47.706699999999998</v>
      </c>
      <c r="H469" s="10">
        <f>47.5698 * CHOOSE(CONTROL!$C$9, $D$9, 100%, $F$9) + CHOOSE(CONTROL!$C$27, 0.0021, 0)</f>
        <v>47.571899999999999</v>
      </c>
      <c r="I469" s="10">
        <f>47.5698 * CHOOSE(CONTROL!$C$9, $D$9, 100%, $F$9) + CHOOSE(CONTROL!$C$27, 0.0021, 0)</f>
        <v>47.571899999999999</v>
      </c>
      <c r="J469" s="10">
        <f>47.5698 * CHOOSE(CONTROL!$C$9, $D$9, 100%, $F$9) + CHOOSE(CONTROL!$C$27, 0.0021, 0)</f>
        <v>47.571899999999999</v>
      </c>
      <c r="K469" s="10">
        <f>47.5698 * CHOOSE(CONTROL!$C$9, $D$9, 100%, $F$9) + CHOOSE(CONTROL!$C$27, 0.0021, 0)</f>
        <v>47.571899999999999</v>
      </c>
      <c r="L469" s="10"/>
    </row>
    <row r="470" spans="1:12" ht="15.75" x14ac:dyDescent="0.25">
      <c r="A470" s="14">
        <v>55609</v>
      </c>
      <c r="B470" s="10">
        <f>47.4528 * CHOOSE(CONTROL!$C$9, $D$9, 100%, $F$9) + CHOOSE(CONTROL!$C$27, 0.0021, 0)</f>
        <v>47.454900000000002</v>
      </c>
      <c r="C470" s="10">
        <f>47.0206 * CHOOSE(CONTROL!$C$9, $D$9, 100%, $F$9) + CHOOSE(CONTROL!$C$27, 0.0021, 0)</f>
        <v>47.0227</v>
      </c>
      <c r="D470" s="10">
        <f>47.0206 * CHOOSE(CONTROL!$C$9, $D$9, 100%, $F$9) + CHOOSE(CONTROL!$C$27, 0.0021, 0)</f>
        <v>47.0227</v>
      </c>
      <c r="E470" s="10">
        <f>46.8839 * CHOOSE(CONTROL!$C$9, $D$9, 100%, $F$9) + CHOOSE(CONTROL!$C$27, 0.0021, 0)</f>
        <v>46.885999999999996</v>
      </c>
      <c r="F470" s="10">
        <f>46.8839 * CHOOSE(CONTROL!$C$9, $D$9, 100%, $F$9) + CHOOSE(CONTROL!$C$27, 0.0021, 0)</f>
        <v>46.885999999999996</v>
      </c>
      <c r="G470" s="10">
        <f>47.1553 * CHOOSE(CONTROL!$C$9, $D$9, 100%, $F$9) + CHOOSE(CONTROL!$C$27, 0.0021, 0)</f>
        <v>47.157399999999996</v>
      </c>
      <c r="H470" s="10">
        <f>47.0206 * CHOOSE(CONTROL!$C$9, $D$9, 100%, $F$9) + CHOOSE(CONTROL!$C$27, 0.0021, 0)</f>
        <v>47.0227</v>
      </c>
      <c r="I470" s="10">
        <f>47.0206 * CHOOSE(CONTROL!$C$9, $D$9, 100%, $F$9) + CHOOSE(CONTROL!$C$27, 0.0021, 0)</f>
        <v>47.0227</v>
      </c>
      <c r="J470" s="10">
        <f>47.0206 * CHOOSE(CONTROL!$C$9, $D$9, 100%, $F$9) + CHOOSE(CONTROL!$C$27, 0.0021, 0)</f>
        <v>47.0227</v>
      </c>
      <c r="K470" s="10">
        <f>47.0206 * CHOOSE(CONTROL!$C$9, $D$9, 100%, $F$9) + CHOOSE(CONTROL!$C$27, 0.0021, 0)</f>
        <v>47.0227</v>
      </c>
      <c r="L470" s="10"/>
    </row>
    <row r="471" spans="1:12" ht="15.75" x14ac:dyDescent="0.25">
      <c r="A471" s="14">
        <v>55639</v>
      </c>
      <c r="B471" s="10">
        <f>46.797 * CHOOSE(CONTROL!$C$9, $D$9, 100%, $F$9) + CHOOSE(CONTROL!$C$27, 0.0021, 0)</f>
        <v>46.799099999999996</v>
      </c>
      <c r="C471" s="10">
        <f>46.3648 * CHOOSE(CONTROL!$C$9, $D$9, 100%, $F$9) + CHOOSE(CONTROL!$C$27, 0.0021, 0)</f>
        <v>46.366900000000001</v>
      </c>
      <c r="D471" s="10">
        <f>46.3648 * CHOOSE(CONTROL!$C$9, $D$9, 100%, $F$9) + CHOOSE(CONTROL!$C$27, 0.0021, 0)</f>
        <v>46.366900000000001</v>
      </c>
      <c r="E471" s="10">
        <f>46.2281 * CHOOSE(CONTROL!$C$9, $D$9, 100%, $F$9) + CHOOSE(CONTROL!$C$27, 0.0021, 0)</f>
        <v>46.230199999999996</v>
      </c>
      <c r="F471" s="10">
        <f>46.2281 * CHOOSE(CONTROL!$C$9, $D$9, 100%, $F$9) + CHOOSE(CONTROL!$C$27, 0.0021, 0)</f>
        <v>46.230199999999996</v>
      </c>
      <c r="G471" s="10">
        <f>46.4995 * CHOOSE(CONTROL!$C$9, $D$9, 100%, $F$9) + CHOOSE(CONTROL!$C$27, 0.0021, 0)</f>
        <v>46.501599999999996</v>
      </c>
      <c r="H471" s="10">
        <f>46.3648 * CHOOSE(CONTROL!$C$9, $D$9, 100%, $F$9) + CHOOSE(CONTROL!$C$27, 0.0021, 0)</f>
        <v>46.366900000000001</v>
      </c>
      <c r="I471" s="10">
        <f>46.3648 * CHOOSE(CONTROL!$C$9, $D$9, 100%, $F$9) + CHOOSE(CONTROL!$C$27, 0.0021, 0)</f>
        <v>46.366900000000001</v>
      </c>
      <c r="J471" s="10">
        <f>46.3648 * CHOOSE(CONTROL!$C$9, $D$9, 100%, $F$9) + CHOOSE(CONTROL!$C$27, 0.0021, 0)</f>
        <v>46.366900000000001</v>
      </c>
      <c r="K471" s="10">
        <f>46.3648 * CHOOSE(CONTROL!$C$9, $D$9, 100%, $F$9) + CHOOSE(CONTROL!$C$27, 0.0021, 0)</f>
        <v>46.366900000000001</v>
      </c>
      <c r="L471" s="10"/>
    </row>
    <row r="472" spans="1:12" ht="15.75" x14ac:dyDescent="0.25">
      <c r="A472" s="14">
        <v>55670</v>
      </c>
      <c r="B472" s="10">
        <f>47.7316 * CHOOSE(CONTROL!$C$9, $D$9, 100%, $F$9) + CHOOSE(CONTROL!$C$27, 0.0021, 0)</f>
        <v>47.733699999999999</v>
      </c>
      <c r="C472" s="10">
        <f>47.2994 * CHOOSE(CONTROL!$C$9, $D$9, 100%, $F$9) + CHOOSE(CONTROL!$C$27, 0.0021, 0)</f>
        <v>47.301499999999997</v>
      </c>
      <c r="D472" s="10">
        <f>47.2994 * CHOOSE(CONTROL!$C$9, $D$9, 100%, $F$9) + CHOOSE(CONTROL!$C$27, 0.0021, 0)</f>
        <v>47.301499999999997</v>
      </c>
      <c r="E472" s="10">
        <f>47.1627 * CHOOSE(CONTROL!$C$9, $D$9, 100%, $F$9) + CHOOSE(CONTROL!$C$27, 0.0021, 0)</f>
        <v>47.1648</v>
      </c>
      <c r="F472" s="10">
        <f>47.1627 * CHOOSE(CONTROL!$C$9, $D$9, 100%, $F$9) + CHOOSE(CONTROL!$C$27, 0.0021, 0)</f>
        <v>47.1648</v>
      </c>
      <c r="G472" s="10">
        <f>47.4341 * CHOOSE(CONTROL!$C$9, $D$9, 100%, $F$9) + CHOOSE(CONTROL!$C$27, 0.0021, 0)</f>
        <v>47.436199999999999</v>
      </c>
      <c r="H472" s="10">
        <f>47.2994 * CHOOSE(CONTROL!$C$9, $D$9, 100%, $F$9) + CHOOSE(CONTROL!$C$27, 0.0021, 0)</f>
        <v>47.301499999999997</v>
      </c>
      <c r="I472" s="10">
        <f>47.2994 * CHOOSE(CONTROL!$C$9, $D$9, 100%, $F$9) + CHOOSE(CONTROL!$C$27, 0.0021, 0)</f>
        <v>47.301499999999997</v>
      </c>
      <c r="J472" s="10">
        <f>47.2994 * CHOOSE(CONTROL!$C$9, $D$9, 100%, $F$9) + CHOOSE(CONTROL!$C$27, 0.0021, 0)</f>
        <v>47.301499999999997</v>
      </c>
      <c r="K472" s="10">
        <f>47.2994 * CHOOSE(CONTROL!$C$9, $D$9, 100%, $F$9) + CHOOSE(CONTROL!$C$27, 0.0021, 0)</f>
        <v>47.301499999999997</v>
      </c>
      <c r="L472" s="10"/>
    </row>
    <row r="473" spans="1:12" ht="15.75" x14ac:dyDescent="0.25">
      <c r="A473" s="14">
        <v>55700</v>
      </c>
      <c r="B473" s="10">
        <f>48.2914 * CHOOSE(CONTROL!$C$9, $D$9, 100%, $F$9) + CHOOSE(CONTROL!$C$27, 0.0021, 0)</f>
        <v>48.293500000000002</v>
      </c>
      <c r="C473" s="10">
        <f>47.8592 * CHOOSE(CONTROL!$C$9, $D$9, 100%, $F$9) + CHOOSE(CONTROL!$C$27, 0.0021, 0)</f>
        <v>47.8613</v>
      </c>
      <c r="D473" s="10">
        <f>47.8592 * CHOOSE(CONTROL!$C$9, $D$9, 100%, $F$9) + CHOOSE(CONTROL!$C$27, 0.0021, 0)</f>
        <v>47.8613</v>
      </c>
      <c r="E473" s="10">
        <f>47.7225 * CHOOSE(CONTROL!$C$9, $D$9, 100%, $F$9) + CHOOSE(CONTROL!$C$27, 0.0021, 0)</f>
        <v>47.724599999999995</v>
      </c>
      <c r="F473" s="10">
        <f>47.7225 * CHOOSE(CONTROL!$C$9, $D$9, 100%, $F$9) + CHOOSE(CONTROL!$C$27, 0.0021, 0)</f>
        <v>47.724599999999995</v>
      </c>
      <c r="G473" s="10">
        <f>47.9939 * CHOOSE(CONTROL!$C$9, $D$9, 100%, $F$9) + CHOOSE(CONTROL!$C$27, 0.0021, 0)</f>
        <v>47.995999999999995</v>
      </c>
      <c r="H473" s="10">
        <f>47.8592 * CHOOSE(CONTROL!$C$9, $D$9, 100%, $F$9) + CHOOSE(CONTROL!$C$27, 0.0021, 0)</f>
        <v>47.8613</v>
      </c>
      <c r="I473" s="10">
        <f>47.8592 * CHOOSE(CONTROL!$C$9, $D$9, 100%, $F$9) + CHOOSE(CONTROL!$C$27, 0.0021, 0)</f>
        <v>47.8613</v>
      </c>
      <c r="J473" s="10">
        <f>47.8592 * CHOOSE(CONTROL!$C$9, $D$9, 100%, $F$9) + CHOOSE(CONTROL!$C$27, 0.0021, 0)</f>
        <v>47.8613</v>
      </c>
      <c r="K473" s="10">
        <f>47.8592 * CHOOSE(CONTROL!$C$9, $D$9, 100%, $F$9) + CHOOSE(CONTROL!$C$27, 0.0021, 0)</f>
        <v>47.8613</v>
      </c>
      <c r="L473" s="10"/>
    </row>
    <row r="474" spans="1:12" ht="15.75" x14ac:dyDescent="0.25">
      <c r="A474" s="14">
        <v>55731</v>
      </c>
      <c r="B474" s="10">
        <f>49.2149 * CHOOSE(CONTROL!$C$9, $D$9, 100%, $F$9) + CHOOSE(CONTROL!$C$27, 0.0021, 0)</f>
        <v>49.216999999999999</v>
      </c>
      <c r="C474" s="10">
        <f>48.7827 * CHOOSE(CONTROL!$C$9, $D$9, 100%, $F$9) + CHOOSE(CONTROL!$C$27, 0.0021, 0)</f>
        <v>48.784799999999997</v>
      </c>
      <c r="D474" s="10">
        <f>48.7827 * CHOOSE(CONTROL!$C$9, $D$9, 100%, $F$9) + CHOOSE(CONTROL!$C$27, 0.0021, 0)</f>
        <v>48.784799999999997</v>
      </c>
      <c r="E474" s="10">
        <f>48.646 * CHOOSE(CONTROL!$C$9, $D$9, 100%, $F$9) + CHOOSE(CONTROL!$C$27, 0.0021, 0)</f>
        <v>48.648099999999999</v>
      </c>
      <c r="F474" s="10">
        <f>48.646 * CHOOSE(CONTROL!$C$9, $D$9, 100%, $F$9) + CHOOSE(CONTROL!$C$27, 0.0021, 0)</f>
        <v>48.648099999999999</v>
      </c>
      <c r="G474" s="10">
        <f>48.9174 * CHOOSE(CONTROL!$C$9, $D$9, 100%, $F$9) + CHOOSE(CONTROL!$C$27, 0.0021, 0)</f>
        <v>48.919499999999999</v>
      </c>
      <c r="H474" s="10">
        <f>48.7827 * CHOOSE(CONTROL!$C$9, $D$9, 100%, $F$9) + CHOOSE(CONTROL!$C$27, 0.0021, 0)</f>
        <v>48.784799999999997</v>
      </c>
      <c r="I474" s="10">
        <f>48.7827 * CHOOSE(CONTROL!$C$9, $D$9, 100%, $F$9) + CHOOSE(CONTROL!$C$27, 0.0021, 0)</f>
        <v>48.784799999999997</v>
      </c>
      <c r="J474" s="10">
        <f>48.7827 * CHOOSE(CONTROL!$C$9, $D$9, 100%, $F$9) + CHOOSE(CONTROL!$C$27, 0.0021, 0)</f>
        <v>48.784799999999997</v>
      </c>
      <c r="K474" s="10">
        <f>48.7827 * CHOOSE(CONTROL!$C$9, $D$9, 100%, $F$9) + CHOOSE(CONTROL!$C$27, 0.0021, 0)</f>
        <v>48.784799999999997</v>
      </c>
      <c r="L474" s="10"/>
    </row>
    <row r="475" spans="1:12" ht="15.75" x14ac:dyDescent="0.25">
      <c r="A475" s="14">
        <v>55762</v>
      </c>
      <c r="B475" s="10">
        <f>49.4968 * CHOOSE(CONTROL!$C$9, $D$9, 100%, $F$9) + CHOOSE(CONTROL!$C$27, 0.0021, 0)</f>
        <v>49.498899999999999</v>
      </c>
      <c r="C475" s="10">
        <f>49.0645 * CHOOSE(CONTROL!$C$9, $D$9, 100%, $F$9) + CHOOSE(CONTROL!$C$27, 0.0021, 0)</f>
        <v>49.066600000000001</v>
      </c>
      <c r="D475" s="10">
        <f>49.0645 * CHOOSE(CONTROL!$C$9, $D$9, 100%, $F$9) + CHOOSE(CONTROL!$C$27, 0.0021, 0)</f>
        <v>49.066600000000001</v>
      </c>
      <c r="E475" s="10">
        <f>48.9279 * CHOOSE(CONTROL!$C$9, $D$9, 100%, $F$9) + CHOOSE(CONTROL!$C$27, 0.0021, 0)</f>
        <v>48.93</v>
      </c>
      <c r="F475" s="10">
        <f>48.9279 * CHOOSE(CONTROL!$C$9, $D$9, 100%, $F$9) + CHOOSE(CONTROL!$C$27, 0.0021, 0)</f>
        <v>48.93</v>
      </c>
      <c r="G475" s="10">
        <f>49.1992 * CHOOSE(CONTROL!$C$9, $D$9, 100%, $F$9) + CHOOSE(CONTROL!$C$27, 0.0021, 0)</f>
        <v>49.201299999999996</v>
      </c>
      <c r="H475" s="10">
        <f>49.0645 * CHOOSE(CONTROL!$C$9, $D$9, 100%, $F$9) + CHOOSE(CONTROL!$C$27, 0.0021, 0)</f>
        <v>49.066600000000001</v>
      </c>
      <c r="I475" s="10">
        <f>49.0645 * CHOOSE(CONTROL!$C$9, $D$9, 100%, $F$9) + CHOOSE(CONTROL!$C$27, 0.0021, 0)</f>
        <v>49.066600000000001</v>
      </c>
      <c r="J475" s="10">
        <f>49.0645 * CHOOSE(CONTROL!$C$9, $D$9, 100%, $F$9) + CHOOSE(CONTROL!$C$27, 0.0021, 0)</f>
        <v>49.066600000000001</v>
      </c>
      <c r="K475" s="10">
        <f>49.0645 * CHOOSE(CONTROL!$C$9, $D$9, 100%, $F$9) + CHOOSE(CONTROL!$C$27, 0.0021, 0)</f>
        <v>49.066600000000001</v>
      </c>
      <c r="L475" s="10"/>
    </row>
    <row r="476" spans="1:12" ht="15.75" x14ac:dyDescent="0.25">
      <c r="A476" s="14">
        <v>55792</v>
      </c>
      <c r="B476" s="10">
        <f>50.4567 * CHOOSE(CONTROL!$C$9, $D$9, 100%, $F$9) + CHOOSE(CONTROL!$C$27, 0.0021, 0)</f>
        <v>50.458799999999997</v>
      </c>
      <c r="C476" s="10">
        <f>50.0244 * CHOOSE(CONTROL!$C$9, $D$9, 100%, $F$9) + CHOOSE(CONTROL!$C$27, 0.0021, 0)</f>
        <v>50.026499999999999</v>
      </c>
      <c r="D476" s="10">
        <f>50.0244 * CHOOSE(CONTROL!$C$9, $D$9, 100%, $F$9) + CHOOSE(CONTROL!$C$27, 0.0021, 0)</f>
        <v>50.026499999999999</v>
      </c>
      <c r="E476" s="10">
        <f>49.8878 * CHOOSE(CONTROL!$C$9, $D$9, 100%, $F$9) + CHOOSE(CONTROL!$C$27, 0.0021, 0)</f>
        <v>49.889899999999997</v>
      </c>
      <c r="F476" s="10">
        <f>49.8878 * CHOOSE(CONTROL!$C$9, $D$9, 100%, $F$9) + CHOOSE(CONTROL!$C$27, 0.0021, 0)</f>
        <v>49.889899999999997</v>
      </c>
      <c r="G476" s="10">
        <f>50.1591 * CHOOSE(CONTROL!$C$9, $D$9, 100%, $F$9) + CHOOSE(CONTROL!$C$27, 0.0021, 0)</f>
        <v>50.161200000000001</v>
      </c>
      <c r="H476" s="10">
        <f>50.0244 * CHOOSE(CONTROL!$C$9, $D$9, 100%, $F$9) + CHOOSE(CONTROL!$C$27, 0.0021, 0)</f>
        <v>50.026499999999999</v>
      </c>
      <c r="I476" s="10">
        <f>50.0244 * CHOOSE(CONTROL!$C$9, $D$9, 100%, $F$9) + CHOOSE(CONTROL!$C$27, 0.0021, 0)</f>
        <v>50.026499999999999</v>
      </c>
      <c r="J476" s="10">
        <f>50.0244 * CHOOSE(CONTROL!$C$9, $D$9, 100%, $F$9) + CHOOSE(CONTROL!$C$27, 0.0021, 0)</f>
        <v>50.026499999999999</v>
      </c>
      <c r="K476" s="10">
        <f>50.0244 * CHOOSE(CONTROL!$C$9, $D$9, 100%, $F$9) + CHOOSE(CONTROL!$C$27, 0.0021, 0)</f>
        <v>50.026499999999999</v>
      </c>
      <c r="L476" s="10"/>
    </row>
    <row r="477" spans="1:12" ht="15.75" x14ac:dyDescent="0.25">
      <c r="A477" s="14">
        <v>55823</v>
      </c>
      <c r="B477" s="10">
        <f>51.6717 * CHOOSE(CONTROL!$C$9, $D$9, 100%, $F$9) + CHOOSE(CONTROL!$C$27, 0.0021, 0)</f>
        <v>51.6738</v>
      </c>
      <c r="C477" s="10">
        <f>51.2395 * CHOOSE(CONTROL!$C$9, $D$9, 100%, $F$9) + CHOOSE(CONTROL!$C$27, 0.0021, 0)</f>
        <v>51.241599999999998</v>
      </c>
      <c r="D477" s="10">
        <f>51.2395 * CHOOSE(CONTROL!$C$9, $D$9, 100%, $F$9) + CHOOSE(CONTROL!$C$27, 0.0021, 0)</f>
        <v>51.241599999999998</v>
      </c>
      <c r="E477" s="10">
        <f>51.1028 * CHOOSE(CONTROL!$C$9, $D$9, 100%, $F$9) + CHOOSE(CONTROL!$C$27, 0.0021, 0)</f>
        <v>51.104900000000001</v>
      </c>
      <c r="F477" s="10">
        <f>51.1028 * CHOOSE(CONTROL!$C$9, $D$9, 100%, $F$9) + CHOOSE(CONTROL!$C$27, 0.0021, 0)</f>
        <v>51.104900000000001</v>
      </c>
      <c r="G477" s="10">
        <f>51.3742 * CHOOSE(CONTROL!$C$9, $D$9, 100%, $F$9) + CHOOSE(CONTROL!$C$27, 0.0021, 0)</f>
        <v>51.376300000000001</v>
      </c>
      <c r="H477" s="10">
        <f>51.2395 * CHOOSE(CONTROL!$C$9, $D$9, 100%, $F$9) + CHOOSE(CONTROL!$C$27, 0.0021, 0)</f>
        <v>51.241599999999998</v>
      </c>
      <c r="I477" s="10">
        <f>51.2395 * CHOOSE(CONTROL!$C$9, $D$9, 100%, $F$9) + CHOOSE(CONTROL!$C$27, 0.0021, 0)</f>
        <v>51.241599999999998</v>
      </c>
      <c r="J477" s="10">
        <f>51.2395 * CHOOSE(CONTROL!$C$9, $D$9, 100%, $F$9) + CHOOSE(CONTROL!$C$27, 0.0021, 0)</f>
        <v>51.241599999999998</v>
      </c>
      <c r="K477" s="10">
        <f>51.2395 * CHOOSE(CONTROL!$C$9, $D$9, 100%, $F$9) + CHOOSE(CONTROL!$C$27, 0.0021, 0)</f>
        <v>51.241599999999998</v>
      </c>
      <c r="L477" s="10"/>
    </row>
    <row r="478" spans="1:12" ht="15.75" x14ac:dyDescent="0.25">
      <c r="A478" s="14">
        <v>55853</v>
      </c>
      <c r="B478" s="10">
        <f>51.7858 * CHOOSE(CONTROL!$C$9, $D$9, 100%, $F$9) + CHOOSE(CONTROL!$C$27, 0.0021, 0)</f>
        <v>51.7879</v>
      </c>
      <c r="C478" s="10">
        <f>51.3536 * CHOOSE(CONTROL!$C$9, $D$9, 100%, $F$9) + CHOOSE(CONTROL!$C$27, 0.0021, 0)</f>
        <v>51.355699999999999</v>
      </c>
      <c r="D478" s="10">
        <f>51.3536 * CHOOSE(CONTROL!$C$9, $D$9, 100%, $F$9) + CHOOSE(CONTROL!$C$27, 0.0021, 0)</f>
        <v>51.355699999999999</v>
      </c>
      <c r="E478" s="10">
        <f>51.2169 * CHOOSE(CONTROL!$C$9, $D$9, 100%, $F$9) + CHOOSE(CONTROL!$C$27, 0.0021, 0)</f>
        <v>51.219000000000001</v>
      </c>
      <c r="F478" s="10">
        <f>51.2169 * CHOOSE(CONTROL!$C$9, $D$9, 100%, $F$9) + CHOOSE(CONTROL!$C$27, 0.0021, 0)</f>
        <v>51.219000000000001</v>
      </c>
      <c r="G478" s="10">
        <f>51.4883 * CHOOSE(CONTROL!$C$9, $D$9, 100%, $F$9) + CHOOSE(CONTROL!$C$27, 0.0021, 0)</f>
        <v>51.490400000000001</v>
      </c>
      <c r="H478" s="10">
        <f>51.3536 * CHOOSE(CONTROL!$C$9, $D$9, 100%, $F$9) + CHOOSE(CONTROL!$C$27, 0.0021, 0)</f>
        <v>51.355699999999999</v>
      </c>
      <c r="I478" s="10">
        <f>51.3536 * CHOOSE(CONTROL!$C$9, $D$9, 100%, $F$9) + CHOOSE(CONTROL!$C$27, 0.0021, 0)</f>
        <v>51.355699999999999</v>
      </c>
      <c r="J478" s="10">
        <f>51.3536 * CHOOSE(CONTROL!$C$9, $D$9, 100%, $F$9) + CHOOSE(CONTROL!$C$27, 0.0021, 0)</f>
        <v>51.355699999999999</v>
      </c>
      <c r="K478" s="10">
        <f>51.3536 * CHOOSE(CONTROL!$C$9, $D$9, 100%, $F$9) + CHOOSE(CONTROL!$C$27, 0.0021, 0)</f>
        <v>51.355699999999999</v>
      </c>
      <c r="L478" s="10"/>
    </row>
    <row r="479" spans="1:12" ht="15.75" x14ac:dyDescent="0.25">
      <c r="A479" s="14">
        <v>55884</v>
      </c>
      <c r="B479" s="10">
        <f>50.8154 * CHOOSE(CONTROL!$C$9, $D$9, 100%, $F$9) + CHOOSE(CONTROL!$C$27, 0.0021, 0)</f>
        <v>50.817499999999995</v>
      </c>
      <c r="C479" s="10">
        <f>50.3831 * CHOOSE(CONTROL!$C$9, $D$9, 100%, $F$9) + CHOOSE(CONTROL!$C$27, 0.0021, 0)</f>
        <v>50.385199999999998</v>
      </c>
      <c r="D479" s="10">
        <f>50.3831 * CHOOSE(CONTROL!$C$9, $D$9, 100%, $F$9) + CHOOSE(CONTROL!$C$27, 0.0021, 0)</f>
        <v>50.385199999999998</v>
      </c>
      <c r="E479" s="10">
        <f>50.2465 * CHOOSE(CONTROL!$C$9, $D$9, 100%, $F$9) + CHOOSE(CONTROL!$C$27, 0.0021, 0)</f>
        <v>50.248599999999996</v>
      </c>
      <c r="F479" s="10">
        <f>50.2465 * CHOOSE(CONTROL!$C$9, $D$9, 100%, $F$9) + CHOOSE(CONTROL!$C$27, 0.0021, 0)</f>
        <v>50.248599999999996</v>
      </c>
      <c r="G479" s="10">
        <f>50.5178 * CHOOSE(CONTROL!$C$9, $D$9, 100%, $F$9) + CHOOSE(CONTROL!$C$27, 0.0021, 0)</f>
        <v>50.5199</v>
      </c>
      <c r="H479" s="10">
        <f>50.3831 * CHOOSE(CONTROL!$C$9, $D$9, 100%, $F$9) + CHOOSE(CONTROL!$C$27, 0.0021, 0)</f>
        <v>50.385199999999998</v>
      </c>
      <c r="I479" s="10">
        <f>50.3831 * CHOOSE(CONTROL!$C$9, $D$9, 100%, $F$9) + CHOOSE(CONTROL!$C$27, 0.0021, 0)</f>
        <v>50.385199999999998</v>
      </c>
      <c r="J479" s="10">
        <f>50.3831 * CHOOSE(CONTROL!$C$9, $D$9, 100%, $F$9) + CHOOSE(CONTROL!$C$27, 0.0021, 0)</f>
        <v>50.385199999999998</v>
      </c>
      <c r="K479" s="10">
        <f>50.3831 * CHOOSE(CONTROL!$C$9, $D$9, 100%, $F$9) + CHOOSE(CONTROL!$C$27, 0.0021, 0)</f>
        <v>50.385199999999998</v>
      </c>
      <c r="L479" s="10"/>
    </row>
    <row r="480" spans="1:12" ht="15.75" x14ac:dyDescent="0.25">
      <c r="A480" s="14">
        <v>55915</v>
      </c>
      <c r="B480" s="10">
        <f>50.0724 * CHOOSE(CONTROL!$C$9, $D$9, 100%, $F$9) + CHOOSE(CONTROL!$C$27, 0.0021, 0)</f>
        <v>50.0745</v>
      </c>
      <c r="C480" s="10">
        <f>49.6401 * CHOOSE(CONTROL!$C$9, $D$9, 100%, $F$9) + CHOOSE(CONTROL!$C$27, 0.0021, 0)</f>
        <v>49.642199999999995</v>
      </c>
      <c r="D480" s="10">
        <f>49.6401 * CHOOSE(CONTROL!$C$9, $D$9, 100%, $F$9) + CHOOSE(CONTROL!$C$27, 0.0021, 0)</f>
        <v>49.642199999999995</v>
      </c>
      <c r="E480" s="10">
        <f>49.5034 * CHOOSE(CONTROL!$C$9, $D$9, 100%, $F$9) + CHOOSE(CONTROL!$C$27, 0.0021, 0)</f>
        <v>49.505499999999998</v>
      </c>
      <c r="F480" s="10">
        <f>49.5034 * CHOOSE(CONTROL!$C$9, $D$9, 100%, $F$9) + CHOOSE(CONTROL!$C$27, 0.0021, 0)</f>
        <v>49.505499999999998</v>
      </c>
      <c r="G480" s="10">
        <f>49.7748 * CHOOSE(CONTROL!$C$9, $D$9, 100%, $F$9) + CHOOSE(CONTROL!$C$27, 0.0021, 0)</f>
        <v>49.776899999999998</v>
      </c>
      <c r="H480" s="10">
        <f>49.6401 * CHOOSE(CONTROL!$C$9, $D$9, 100%, $F$9) + CHOOSE(CONTROL!$C$27, 0.0021, 0)</f>
        <v>49.642199999999995</v>
      </c>
      <c r="I480" s="10">
        <f>49.6401 * CHOOSE(CONTROL!$C$9, $D$9, 100%, $F$9) + CHOOSE(CONTROL!$C$27, 0.0021, 0)</f>
        <v>49.642199999999995</v>
      </c>
      <c r="J480" s="10">
        <f>49.6401 * CHOOSE(CONTROL!$C$9, $D$9, 100%, $F$9) + CHOOSE(CONTROL!$C$27, 0.0021, 0)</f>
        <v>49.642199999999995</v>
      </c>
      <c r="K480" s="10">
        <f>49.6401 * CHOOSE(CONTROL!$C$9, $D$9, 100%, $F$9) + CHOOSE(CONTROL!$C$27, 0.0021, 0)</f>
        <v>49.642199999999995</v>
      </c>
      <c r="L480" s="10"/>
    </row>
    <row r="481" spans="1:12" ht="15.75" x14ac:dyDescent="0.25">
      <c r="A481" s="14">
        <v>55943</v>
      </c>
      <c r="B481" s="10">
        <f>48.7209 * CHOOSE(CONTROL!$C$9, $D$9, 100%, $F$9) + CHOOSE(CONTROL!$C$27, 0.0021, 0)</f>
        <v>48.722999999999999</v>
      </c>
      <c r="C481" s="10">
        <f>48.2886 * CHOOSE(CONTROL!$C$9, $D$9, 100%, $F$9) + CHOOSE(CONTROL!$C$27, 0.0021, 0)</f>
        <v>48.290700000000001</v>
      </c>
      <c r="D481" s="10">
        <f>48.2886 * CHOOSE(CONTROL!$C$9, $D$9, 100%, $F$9) + CHOOSE(CONTROL!$C$27, 0.0021, 0)</f>
        <v>48.290700000000001</v>
      </c>
      <c r="E481" s="10">
        <f>48.152 * CHOOSE(CONTROL!$C$9, $D$9, 100%, $F$9) + CHOOSE(CONTROL!$C$27, 0.0021, 0)</f>
        <v>48.1541</v>
      </c>
      <c r="F481" s="10">
        <f>48.152 * CHOOSE(CONTROL!$C$9, $D$9, 100%, $F$9) + CHOOSE(CONTROL!$C$27, 0.0021, 0)</f>
        <v>48.1541</v>
      </c>
      <c r="G481" s="10">
        <f>48.4233 * CHOOSE(CONTROL!$C$9, $D$9, 100%, $F$9) + CHOOSE(CONTROL!$C$27, 0.0021, 0)</f>
        <v>48.425399999999996</v>
      </c>
      <c r="H481" s="10">
        <f>48.2886 * CHOOSE(CONTROL!$C$9, $D$9, 100%, $F$9) + CHOOSE(CONTROL!$C$27, 0.0021, 0)</f>
        <v>48.290700000000001</v>
      </c>
      <c r="I481" s="10">
        <f>48.2886 * CHOOSE(CONTROL!$C$9, $D$9, 100%, $F$9) + CHOOSE(CONTROL!$C$27, 0.0021, 0)</f>
        <v>48.290700000000001</v>
      </c>
      <c r="J481" s="10">
        <f>48.2886 * CHOOSE(CONTROL!$C$9, $D$9, 100%, $F$9) + CHOOSE(CONTROL!$C$27, 0.0021, 0)</f>
        <v>48.290700000000001</v>
      </c>
      <c r="K481" s="10">
        <f>48.2886 * CHOOSE(CONTROL!$C$9, $D$9, 100%, $F$9) + CHOOSE(CONTROL!$C$27, 0.0021, 0)</f>
        <v>48.290700000000001</v>
      </c>
      <c r="L481" s="10"/>
    </row>
    <row r="482" spans="1:12" ht="15.75" x14ac:dyDescent="0.25">
      <c r="A482" s="14">
        <v>55974</v>
      </c>
      <c r="B482" s="10">
        <f>48.163 * CHOOSE(CONTROL!$C$9, $D$9, 100%, $F$9) + CHOOSE(CONTROL!$C$27, 0.0021, 0)</f>
        <v>48.165099999999995</v>
      </c>
      <c r="C482" s="10">
        <f>47.7307 * CHOOSE(CONTROL!$C$9, $D$9, 100%, $F$9) + CHOOSE(CONTROL!$C$27, 0.0021, 0)</f>
        <v>47.732799999999997</v>
      </c>
      <c r="D482" s="10">
        <f>47.7307 * CHOOSE(CONTROL!$C$9, $D$9, 100%, $F$9) + CHOOSE(CONTROL!$C$27, 0.0021, 0)</f>
        <v>47.732799999999997</v>
      </c>
      <c r="E482" s="10">
        <f>47.5941 * CHOOSE(CONTROL!$C$9, $D$9, 100%, $F$9) + CHOOSE(CONTROL!$C$27, 0.0021, 0)</f>
        <v>47.596199999999996</v>
      </c>
      <c r="F482" s="10">
        <f>47.5941 * CHOOSE(CONTROL!$C$9, $D$9, 100%, $F$9) + CHOOSE(CONTROL!$C$27, 0.0021, 0)</f>
        <v>47.596199999999996</v>
      </c>
      <c r="G482" s="10">
        <f>47.8655 * CHOOSE(CONTROL!$C$9, $D$9, 100%, $F$9) + CHOOSE(CONTROL!$C$27, 0.0021, 0)</f>
        <v>47.867599999999996</v>
      </c>
      <c r="H482" s="10">
        <f>47.7307 * CHOOSE(CONTROL!$C$9, $D$9, 100%, $F$9) + CHOOSE(CONTROL!$C$27, 0.0021, 0)</f>
        <v>47.732799999999997</v>
      </c>
      <c r="I482" s="10">
        <f>47.7307 * CHOOSE(CONTROL!$C$9, $D$9, 100%, $F$9) + CHOOSE(CONTROL!$C$27, 0.0021, 0)</f>
        <v>47.732799999999997</v>
      </c>
      <c r="J482" s="10">
        <f>47.7307 * CHOOSE(CONTROL!$C$9, $D$9, 100%, $F$9) + CHOOSE(CONTROL!$C$27, 0.0021, 0)</f>
        <v>47.732799999999997</v>
      </c>
      <c r="K482" s="10">
        <f>47.7307 * CHOOSE(CONTROL!$C$9, $D$9, 100%, $F$9) + CHOOSE(CONTROL!$C$27, 0.0021, 0)</f>
        <v>47.732799999999997</v>
      </c>
      <c r="L482" s="10"/>
    </row>
    <row r="483" spans="1:12" ht="15.75" x14ac:dyDescent="0.25">
      <c r="A483" s="14">
        <v>56004</v>
      </c>
      <c r="B483" s="10">
        <f>47.4969 * CHOOSE(CONTROL!$C$9, $D$9, 100%, $F$9) + CHOOSE(CONTROL!$C$27, 0.0021, 0)</f>
        <v>47.498999999999995</v>
      </c>
      <c r="C483" s="10">
        <f>47.0646 * CHOOSE(CONTROL!$C$9, $D$9, 100%, $F$9) + CHOOSE(CONTROL!$C$27, 0.0021, 0)</f>
        <v>47.066699999999997</v>
      </c>
      <c r="D483" s="10">
        <f>47.0646 * CHOOSE(CONTROL!$C$9, $D$9, 100%, $F$9) + CHOOSE(CONTROL!$C$27, 0.0021, 0)</f>
        <v>47.066699999999997</v>
      </c>
      <c r="E483" s="10">
        <f>46.928 * CHOOSE(CONTROL!$C$9, $D$9, 100%, $F$9) + CHOOSE(CONTROL!$C$27, 0.0021, 0)</f>
        <v>46.930099999999996</v>
      </c>
      <c r="F483" s="10">
        <f>46.928 * CHOOSE(CONTROL!$C$9, $D$9, 100%, $F$9) + CHOOSE(CONTROL!$C$27, 0.0021, 0)</f>
        <v>46.930099999999996</v>
      </c>
      <c r="G483" s="10">
        <f>47.1993 * CHOOSE(CONTROL!$C$9, $D$9, 100%, $F$9) + CHOOSE(CONTROL!$C$27, 0.0021, 0)</f>
        <v>47.2014</v>
      </c>
      <c r="H483" s="10">
        <f>47.0646 * CHOOSE(CONTROL!$C$9, $D$9, 100%, $F$9) + CHOOSE(CONTROL!$C$27, 0.0021, 0)</f>
        <v>47.066699999999997</v>
      </c>
      <c r="I483" s="10">
        <f>47.0646 * CHOOSE(CONTROL!$C$9, $D$9, 100%, $F$9) + CHOOSE(CONTROL!$C$27, 0.0021, 0)</f>
        <v>47.066699999999997</v>
      </c>
      <c r="J483" s="10">
        <f>47.0646 * CHOOSE(CONTROL!$C$9, $D$9, 100%, $F$9) + CHOOSE(CONTROL!$C$27, 0.0021, 0)</f>
        <v>47.066699999999997</v>
      </c>
      <c r="K483" s="10">
        <f>47.0646 * CHOOSE(CONTROL!$C$9, $D$9, 100%, $F$9) + CHOOSE(CONTROL!$C$27, 0.0021, 0)</f>
        <v>47.066699999999997</v>
      </c>
      <c r="L483" s="10"/>
    </row>
    <row r="484" spans="1:12" ht="15.75" x14ac:dyDescent="0.25">
      <c r="A484" s="14">
        <v>56035</v>
      </c>
      <c r="B484" s="10">
        <f>48.4462 * CHOOSE(CONTROL!$C$9, $D$9, 100%, $F$9) + CHOOSE(CONTROL!$C$27, 0.0021, 0)</f>
        <v>48.448299999999996</v>
      </c>
      <c r="C484" s="10">
        <f>48.0139 * CHOOSE(CONTROL!$C$9, $D$9, 100%, $F$9) + CHOOSE(CONTROL!$C$27, 0.0021, 0)</f>
        <v>48.015999999999998</v>
      </c>
      <c r="D484" s="10">
        <f>48.0139 * CHOOSE(CONTROL!$C$9, $D$9, 100%, $F$9) + CHOOSE(CONTROL!$C$27, 0.0021, 0)</f>
        <v>48.015999999999998</v>
      </c>
      <c r="E484" s="10">
        <f>47.8773 * CHOOSE(CONTROL!$C$9, $D$9, 100%, $F$9) + CHOOSE(CONTROL!$C$27, 0.0021, 0)</f>
        <v>47.879399999999997</v>
      </c>
      <c r="F484" s="10">
        <f>47.8773 * CHOOSE(CONTROL!$C$9, $D$9, 100%, $F$9) + CHOOSE(CONTROL!$C$27, 0.0021, 0)</f>
        <v>47.879399999999997</v>
      </c>
      <c r="G484" s="10">
        <f>48.1486 * CHOOSE(CONTROL!$C$9, $D$9, 100%, $F$9) + CHOOSE(CONTROL!$C$27, 0.0021, 0)</f>
        <v>48.150700000000001</v>
      </c>
      <c r="H484" s="10">
        <f>48.0139 * CHOOSE(CONTROL!$C$9, $D$9, 100%, $F$9) + CHOOSE(CONTROL!$C$27, 0.0021, 0)</f>
        <v>48.015999999999998</v>
      </c>
      <c r="I484" s="10">
        <f>48.0139 * CHOOSE(CONTROL!$C$9, $D$9, 100%, $F$9) + CHOOSE(CONTROL!$C$27, 0.0021, 0)</f>
        <v>48.015999999999998</v>
      </c>
      <c r="J484" s="10">
        <f>48.0139 * CHOOSE(CONTROL!$C$9, $D$9, 100%, $F$9) + CHOOSE(CONTROL!$C$27, 0.0021, 0)</f>
        <v>48.015999999999998</v>
      </c>
      <c r="K484" s="10">
        <f>48.0139 * CHOOSE(CONTROL!$C$9, $D$9, 100%, $F$9) + CHOOSE(CONTROL!$C$27, 0.0021, 0)</f>
        <v>48.015999999999998</v>
      </c>
      <c r="L484" s="10"/>
    </row>
    <row r="485" spans="1:12" ht="15.75" x14ac:dyDescent="0.25">
      <c r="A485" s="14">
        <v>56065</v>
      </c>
      <c r="B485" s="10">
        <f>49.0148 * CHOOSE(CONTROL!$C$9, $D$9, 100%, $F$9) + CHOOSE(CONTROL!$C$27, 0.0021, 0)</f>
        <v>49.0169</v>
      </c>
      <c r="C485" s="10">
        <f>48.5825 * CHOOSE(CONTROL!$C$9, $D$9, 100%, $F$9) + CHOOSE(CONTROL!$C$27, 0.0021, 0)</f>
        <v>48.584600000000002</v>
      </c>
      <c r="D485" s="10">
        <f>48.5825 * CHOOSE(CONTROL!$C$9, $D$9, 100%, $F$9) + CHOOSE(CONTROL!$C$27, 0.0021, 0)</f>
        <v>48.584600000000002</v>
      </c>
      <c r="E485" s="10">
        <f>48.4459 * CHOOSE(CONTROL!$C$9, $D$9, 100%, $F$9) + CHOOSE(CONTROL!$C$27, 0.0021, 0)</f>
        <v>48.448</v>
      </c>
      <c r="F485" s="10">
        <f>48.4459 * CHOOSE(CONTROL!$C$9, $D$9, 100%, $F$9) + CHOOSE(CONTROL!$C$27, 0.0021, 0)</f>
        <v>48.448</v>
      </c>
      <c r="G485" s="10">
        <f>48.7172 * CHOOSE(CONTROL!$C$9, $D$9, 100%, $F$9) + CHOOSE(CONTROL!$C$27, 0.0021, 0)</f>
        <v>48.719299999999997</v>
      </c>
      <c r="H485" s="10">
        <f>48.5825 * CHOOSE(CONTROL!$C$9, $D$9, 100%, $F$9) + CHOOSE(CONTROL!$C$27, 0.0021, 0)</f>
        <v>48.584600000000002</v>
      </c>
      <c r="I485" s="10">
        <f>48.5825 * CHOOSE(CONTROL!$C$9, $D$9, 100%, $F$9) + CHOOSE(CONTROL!$C$27, 0.0021, 0)</f>
        <v>48.584600000000002</v>
      </c>
      <c r="J485" s="10">
        <f>48.5825 * CHOOSE(CONTROL!$C$9, $D$9, 100%, $F$9) + CHOOSE(CONTROL!$C$27, 0.0021, 0)</f>
        <v>48.584600000000002</v>
      </c>
      <c r="K485" s="10">
        <f>48.5825 * CHOOSE(CONTROL!$C$9, $D$9, 100%, $F$9) + CHOOSE(CONTROL!$C$27, 0.0021, 0)</f>
        <v>48.584600000000002</v>
      </c>
      <c r="L485" s="10"/>
    </row>
    <row r="486" spans="1:12" ht="15.75" x14ac:dyDescent="0.25">
      <c r="A486" s="14">
        <v>56096</v>
      </c>
      <c r="B486" s="10">
        <f>49.9528 * CHOOSE(CONTROL!$C$9, $D$9, 100%, $F$9) + CHOOSE(CONTROL!$C$27, 0.0021, 0)</f>
        <v>49.954900000000002</v>
      </c>
      <c r="C486" s="10">
        <f>49.5205 * CHOOSE(CONTROL!$C$9, $D$9, 100%, $F$9) + CHOOSE(CONTROL!$C$27, 0.0021, 0)</f>
        <v>49.522599999999997</v>
      </c>
      <c r="D486" s="10">
        <f>49.5205 * CHOOSE(CONTROL!$C$9, $D$9, 100%, $F$9) + CHOOSE(CONTROL!$C$27, 0.0021, 0)</f>
        <v>49.522599999999997</v>
      </c>
      <c r="E486" s="10">
        <f>49.3839 * CHOOSE(CONTROL!$C$9, $D$9, 100%, $F$9) + CHOOSE(CONTROL!$C$27, 0.0021, 0)</f>
        <v>49.385999999999996</v>
      </c>
      <c r="F486" s="10">
        <f>49.3839 * CHOOSE(CONTROL!$C$9, $D$9, 100%, $F$9) + CHOOSE(CONTROL!$C$27, 0.0021, 0)</f>
        <v>49.385999999999996</v>
      </c>
      <c r="G486" s="10">
        <f>49.6552 * CHOOSE(CONTROL!$C$9, $D$9, 100%, $F$9) + CHOOSE(CONTROL!$C$27, 0.0021, 0)</f>
        <v>49.657299999999999</v>
      </c>
      <c r="H486" s="10">
        <f>49.5205 * CHOOSE(CONTROL!$C$9, $D$9, 100%, $F$9) + CHOOSE(CONTROL!$C$27, 0.0021, 0)</f>
        <v>49.522599999999997</v>
      </c>
      <c r="I486" s="10">
        <f>49.5205 * CHOOSE(CONTROL!$C$9, $D$9, 100%, $F$9) + CHOOSE(CONTROL!$C$27, 0.0021, 0)</f>
        <v>49.522599999999997</v>
      </c>
      <c r="J486" s="10">
        <f>49.5205 * CHOOSE(CONTROL!$C$9, $D$9, 100%, $F$9) + CHOOSE(CONTROL!$C$27, 0.0021, 0)</f>
        <v>49.522599999999997</v>
      </c>
      <c r="K486" s="10">
        <f>49.5205 * CHOOSE(CONTROL!$C$9, $D$9, 100%, $F$9) + CHOOSE(CONTROL!$C$27, 0.0021, 0)</f>
        <v>49.522599999999997</v>
      </c>
      <c r="L486" s="10"/>
    </row>
    <row r="487" spans="1:12" ht="15.75" x14ac:dyDescent="0.25">
      <c r="A487" s="14">
        <v>56127</v>
      </c>
      <c r="B487" s="10">
        <f>50.2391 * CHOOSE(CONTROL!$C$9, $D$9, 100%, $F$9) + CHOOSE(CONTROL!$C$27, 0.0021, 0)</f>
        <v>50.241199999999999</v>
      </c>
      <c r="C487" s="10">
        <f>49.8068 * CHOOSE(CONTROL!$C$9, $D$9, 100%, $F$9) + CHOOSE(CONTROL!$C$27, 0.0021, 0)</f>
        <v>49.808900000000001</v>
      </c>
      <c r="D487" s="10">
        <f>49.8068 * CHOOSE(CONTROL!$C$9, $D$9, 100%, $F$9) + CHOOSE(CONTROL!$C$27, 0.0021, 0)</f>
        <v>49.808900000000001</v>
      </c>
      <c r="E487" s="10">
        <f>49.6702 * CHOOSE(CONTROL!$C$9, $D$9, 100%, $F$9) + CHOOSE(CONTROL!$C$27, 0.0021, 0)</f>
        <v>49.6723</v>
      </c>
      <c r="F487" s="10">
        <f>49.6702 * CHOOSE(CONTROL!$C$9, $D$9, 100%, $F$9) + CHOOSE(CONTROL!$C$27, 0.0021, 0)</f>
        <v>49.6723</v>
      </c>
      <c r="G487" s="10">
        <f>49.9415 * CHOOSE(CONTROL!$C$9, $D$9, 100%, $F$9) + CHOOSE(CONTROL!$C$27, 0.0021, 0)</f>
        <v>49.943599999999996</v>
      </c>
      <c r="H487" s="10">
        <f>49.8068 * CHOOSE(CONTROL!$C$9, $D$9, 100%, $F$9) + CHOOSE(CONTROL!$C$27, 0.0021, 0)</f>
        <v>49.808900000000001</v>
      </c>
      <c r="I487" s="10">
        <f>49.8068 * CHOOSE(CONTROL!$C$9, $D$9, 100%, $F$9) + CHOOSE(CONTROL!$C$27, 0.0021, 0)</f>
        <v>49.808900000000001</v>
      </c>
      <c r="J487" s="10">
        <f>49.8068 * CHOOSE(CONTROL!$C$9, $D$9, 100%, $F$9) + CHOOSE(CONTROL!$C$27, 0.0021, 0)</f>
        <v>49.808900000000001</v>
      </c>
      <c r="K487" s="10">
        <f>49.8068 * CHOOSE(CONTROL!$C$9, $D$9, 100%, $F$9) + CHOOSE(CONTROL!$C$27, 0.0021, 0)</f>
        <v>49.808900000000001</v>
      </c>
      <c r="L487" s="10"/>
    </row>
    <row r="488" spans="1:12" ht="15.75" x14ac:dyDescent="0.25">
      <c r="A488" s="14">
        <v>56157</v>
      </c>
      <c r="B488" s="10">
        <f>51.2141 * CHOOSE(CONTROL!$C$9, $D$9, 100%, $F$9) + CHOOSE(CONTROL!$C$27, 0.0021, 0)</f>
        <v>51.216200000000001</v>
      </c>
      <c r="C488" s="10">
        <f>50.7818 * CHOOSE(CONTROL!$C$9, $D$9, 100%, $F$9) + CHOOSE(CONTROL!$C$27, 0.0021, 0)</f>
        <v>50.783899999999996</v>
      </c>
      <c r="D488" s="10">
        <f>50.7818 * CHOOSE(CONTROL!$C$9, $D$9, 100%, $F$9) + CHOOSE(CONTROL!$C$27, 0.0021, 0)</f>
        <v>50.783899999999996</v>
      </c>
      <c r="E488" s="10">
        <f>50.6451 * CHOOSE(CONTROL!$C$9, $D$9, 100%, $F$9) + CHOOSE(CONTROL!$C$27, 0.0021, 0)</f>
        <v>50.647199999999998</v>
      </c>
      <c r="F488" s="10">
        <f>50.6451 * CHOOSE(CONTROL!$C$9, $D$9, 100%, $F$9) + CHOOSE(CONTROL!$C$27, 0.0021, 0)</f>
        <v>50.647199999999998</v>
      </c>
      <c r="G488" s="10">
        <f>50.9165 * CHOOSE(CONTROL!$C$9, $D$9, 100%, $F$9) + CHOOSE(CONTROL!$C$27, 0.0021, 0)</f>
        <v>50.918599999999998</v>
      </c>
      <c r="H488" s="10">
        <f>50.7818 * CHOOSE(CONTROL!$C$9, $D$9, 100%, $F$9) + CHOOSE(CONTROL!$C$27, 0.0021, 0)</f>
        <v>50.783899999999996</v>
      </c>
      <c r="I488" s="10">
        <f>50.7818 * CHOOSE(CONTROL!$C$9, $D$9, 100%, $F$9) + CHOOSE(CONTROL!$C$27, 0.0021, 0)</f>
        <v>50.783899999999996</v>
      </c>
      <c r="J488" s="10">
        <f>50.7818 * CHOOSE(CONTROL!$C$9, $D$9, 100%, $F$9) + CHOOSE(CONTROL!$C$27, 0.0021, 0)</f>
        <v>50.783899999999996</v>
      </c>
      <c r="K488" s="10">
        <f>50.7818 * CHOOSE(CONTROL!$C$9, $D$9, 100%, $F$9) + CHOOSE(CONTROL!$C$27, 0.0021, 0)</f>
        <v>50.783899999999996</v>
      </c>
      <c r="L488" s="10"/>
    </row>
    <row r="489" spans="1:12" ht="15.75" x14ac:dyDescent="0.25">
      <c r="A489" s="14">
        <v>56188</v>
      </c>
      <c r="B489" s="10">
        <f>52.4482 * CHOOSE(CONTROL!$C$9, $D$9, 100%, $F$9) + CHOOSE(CONTROL!$C$27, 0.0021, 0)</f>
        <v>52.450299999999999</v>
      </c>
      <c r="C489" s="10">
        <f>52.016 * CHOOSE(CONTROL!$C$9, $D$9, 100%, $F$9) + CHOOSE(CONTROL!$C$27, 0.0021, 0)</f>
        <v>52.018099999999997</v>
      </c>
      <c r="D489" s="10">
        <f>52.016 * CHOOSE(CONTROL!$C$9, $D$9, 100%, $F$9) + CHOOSE(CONTROL!$C$27, 0.0021, 0)</f>
        <v>52.018099999999997</v>
      </c>
      <c r="E489" s="10">
        <f>51.8793 * CHOOSE(CONTROL!$C$9, $D$9, 100%, $F$9) + CHOOSE(CONTROL!$C$27, 0.0021, 0)</f>
        <v>51.881399999999999</v>
      </c>
      <c r="F489" s="10">
        <f>51.8793 * CHOOSE(CONTROL!$C$9, $D$9, 100%, $F$9) + CHOOSE(CONTROL!$C$27, 0.0021, 0)</f>
        <v>51.881399999999999</v>
      </c>
      <c r="G489" s="10">
        <f>52.1507 * CHOOSE(CONTROL!$C$9, $D$9, 100%, $F$9) + CHOOSE(CONTROL!$C$27, 0.0021, 0)</f>
        <v>52.152799999999999</v>
      </c>
      <c r="H489" s="10">
        <f>52.016 * CHOOSE(CONTROL!$C$9, $D$9, 100%, $F$9) + CHOOSE(CONTROL!$C$27, 0.0021, 0)</f>
        <v>52.018099999999997</v>
      </c>
      <c r="I489" s="10">
        <f>52.016 * CHOOSE(CONTROL!$C$9, $D$9, 100%, $F$9) + CHOOSE(CONTROL!$C$27, 0.0021, 0)</f>
        <v>52.018099999999997</v>
      </c>
      <c r="J489" s="10">
        <f>52.016 * CHOOSE(CONTROL!$C$9, $D$9, 100%, $F$9) + CHOOSE(CONTROL!$C$27, 0.0021, 0)</f>
        <v>52.018099999999997</v>
      </c>
      <c r="K489" s="10">
        <f>52.016 * CHOOSE(CONTROL!$C$9, $D$9, 100%, $F$9) + CHOOSE(CONTROL!$C$27, 0.0021, 0)</f>
        <v>52.018099999999997</v>
      </c>
      <c r="L489" s="10"/>
    </row>
    <row r="490" spans="1:12" ht="15.75" x14ac:dyDescent="0.25">
      <c r="A490" s="14">
        <v>56218</v>
      </c>
      <c r="B490" s="10">
        <f>52.5641 * CHOOSE(CONTROL!$C$9, $D$9, 100%, $F$9) + CHOOSE(CONTROL!$C$27, 0.0021, 0)</f>
        <v>52.566200000000002</v>
      </c>
      <c r="C490" s="10">
        <f>52.1318 * CHOOSE(CONTROL!$C$9, $D$9, 100%, $F$9) + CHOOSE(CONTROL!$C$27, 0.0021, 0)</f>
        <v>52.133899999999997</v>
      </c>
      <c r="D490" s="10">
        <f>52.1318 * CHOOSE(CONTROL!$C$9, $D$9, 100%, $F$9) + CHOOSE(CONTROL!$C$27, 0.0021, 0)</f>
        <v>52.133899999999997</v>
      </c>
      <c r="E490" s="10">
        <f>51.9952 * CHOOSE(CONTROL!$C$9, $D$9, 100%, $F$9) + CHOOSE(CONTROL!$C$27, 0.0021, 0)</f>
        <v>51.997299999999996</v>
      </c>
      <c r="F490" s="10">
        <f>51.9952 * CHOOSE(CONTROL!$C$9, $D$9, 100%, $F$9) + CHOOSE(CONTROL!$C$27, 0.0021, 0)</f>
        <v>51.997299999999996</v>
      </c>
      <c r="G490" s="10">
        <f>52.2666 * CHOOSE(CONTROL!$C$9, $D$9, 100%, $F$9) + CHOOSE(CONTROL!$C$27, 0.0021, 0)</f>
        <v>52.268699999999995</v>
      </c>
      <c r="H490" s="10">
        <f>52.1318 * CHOOSE(CONTROL!$C$9, $D$9, 100%, $F$9) + CHOOSE(CONTROL!$C$27, 0.0021, 0)</f>
        <v>52.133899999999997</v>
      </c>
      <c r="I490" s="10">
        <f>52.1318 * CHOOSE(CONTROL!$C$9, $D$9, 100%, $F$9) + CHOOSE(CONTROL!$C$27, 0.0021, 0)</f>
        <v>52.133899999999997</v>
      </c>
      <c r="J490" s="10">
        <f>52.1318 * CHOOSE(CONTROL!$C$9, $D$9, 100%, $F$9) + CHOOSE(CONTROL!$C$27, 0.0021, 0)</f>
        <v>52.133899999999997</v>
      </c>
      <c r="K490" s="10">
        <f>52.1318 * CHOOSE(CONTROL!$C$9, $D$9, 100%, $F$9) + CHOOSE(CONTROL!$C$27, 0.0021, 0)</f>
        <v>52.133899999999997</v>
      </c>
      <c r="L490" s="10"/>
    </row>
    <row r="491" spans="1:12" ht="15.75" x14ac:dyDescent="0.25">
      <c r="A491" s="14">
        <v>56249</v>
      </c>
      <c r="B491" s="10">
        <f>51.5784 * CHOOSE(CONTROL!$C$9, $D$9, 100%, $F$9) + CHOOSE(CONTROL!$C$27, 0.0021, 0)</f>
        <v>51.580500000000001</v>
      </c>
      <c r="C491" s="10">
        <f>51.1461 * CHOOSE(CONTROL!$C$9, $D$9, 100%, $F$9) + CHOOSE(CONTROL!$C$27, 0.0021, 0)</f>
        <v>51.148199999999996</v>
      </c>
      <c r="D491" s="10">
        <f>51.1461 * CHOOSE(CONTROL!$C$9, $D$9, 100%, $F$9) + CHOOSE(CONTROL!$C$27, 0.0021, 0)</f>
        <v>51.148199999999996</v>
      </c>
      <c r="E491" s="10">
        <f>51.0095 * CHOOSE(CONTROL!$C$9, $D$9, 100%, $F$9) + CHOOSE(CONTROL!$C$27, 0.0021, 0)</f>
        <v>51.011600000000001</v>
      </c>
      <c r="F491" s="10">
        <f>51.0095 * CHOOSE(CONTROL!$C$9, $D$9, 100%, $F$9) + CHOOSE(CONTROL!$C$27, 0.0021, 0)</f>
        <v>51.011600000000001</v>
      </c>
      <c r="G491" s="10">
        <f>51.2809 * CHOOSE(CONTROL!$C$9, $D$9, 100%, $F$9) + CHOOSE(CONTROL!$C$27, 0.0021, 0)</f>
        <v>51.283000000000001</v>
      </c>
      <c r="H491" s="10">
        <f>51.1461 * CHOOSE(CONTROL!$C$9, $D$9, 100%, $F$9) + CHOOSE(CONTROL!$C$27, 0.0021, 0)</f>
        <v>51.148199999999996</v>
      </c>
      <c r="I491" s="10">
        <f>51.1461 * CHOOSE(CONTROL!$C$9, $D$9, 100%, $F$9) + CHOOSE(CONTROL!$C$27, 0.0021, 0)</f>
        <v>51.148199999999996</v>
      </c>
      <c r="J491" s="10">
        <f>51.1461 * CHOOSE(CONTROL!$C$9, $D$9, 100%, $F$9) + CHOOSE(CONTROL!$C$27, 0.0021, 0)</f>
        <v>51.148199999999996</v>
      </c>
      <c r="K491" s="10">
        <f>51.1461 * CHOOSE(CONTROL!$C$9, $D$9, 100%, $F$9) + CHOOSE(CONTROL!$C$27, 0.0021, 0)</f>
        <v>51.148199999999996</v>
      </c>
      <c r="L491" s="10"/>
    </row>
    <row r="492" spans="1:12" ht="15.75" x14ac:dyDescent="0.25">
      <c r="A492" s="14">
        <v>56280</v>
      </c>
      <c r="B492" s="10">
        <f>50.8237 * CHOOSE(CONTROL!$C$9, $D$9, 100%, $F$9) + CHOOSE(CONTROL!$C$27, 0.0021, 0)</f>
        <v>50.825800000000001</v>
      </c>
      <c r="C492" s="10">
        <f>50.3914 * CHOOSE(CONTROL!$C$9, $D$9, 100%, $F$9) + CHOOSE(CONTROL!$C$27, 0.0021, 0)</f>
        <v>50.393499999999996</v>
      </c>
      <c r="D492" s="10">
        <f>50.3914 * CHOOSE(CONTROL!$C$9, $D$9, 100%, $F$9) + CHOOSE(CONTROL!$C$27, 0.0021, 0)</f>
        <v>50.393499999999996</v>
      </c>
      <c r="E492" s="10">
        <f>50.2548 * CHOOSE(CONTROL!$C$9, $D$9, 100%, $F$9) + CHOOSE(CONTROL!$C$27, 0.0021, 0)</f>
        <v>50.256900000000002</v>
      </c>
      <c r="F492" s="10">
        <f>50.2548 * CHOOSE(CONTROL!$C$9, $D$9, 100%, $F$9) + CHOOSE(CONTROL!$C$27, 0.0021, 0)</f>
        <v>50.256900000000002</v>
      </c>
      <c r="G492" s="10">
        <f>50.5262 * CHOOSE(CONTROL!$C$9, $D$9, 100%, $F$9) + CHOOSE(CONTROL!$C$27, 0.0021, 0)</f>
        <v>50.528300000000002</v>
      </c>
      <c r="H492" s="10">
        <f>50.3914 * CHOOSE(CONTROL!$C$9, $D$9, 100%, $F$9) + CHOOSE(CONTROL!$C$27, 0.0021, 0)</f>
        <v>50.393499999999996</v>
      </c>
      <c r="I492" s="10">
        <f>50.3914 * CHOOSE(CONTROL!$C$9, $D$9, 100%, $F$9) + CHOOSE(CONTROL!$C$27, 0.0021, 0)</f>
        <v>50.393499999999996</v>
      </c>
      <c r="J492" s="10">
        <f>50.3914 * CHOOSE(CONTROL!$C$9, $D$9, 100%, $F$9) + CHOOSE(CONTROL!$C$27, 0.0021, 0)</f>
        <v>50.393499999999996</v>
      </c>
      <c r="K492" s="10">
        <f>50.3914 * CHOOSE(CONTROL!$C$9, $D$9, 100%, $F$9) + CHOOSE(CONTROL!$C$27, 0.0021, 0)</f>
        <v>50.393499999999996</v>
      </c>
      <c r="L492" s="10"/>
    </row>
    <row r="493" spans="1:12" ht="15.75" x14ac:dyDescent="0.25">
      <c r="A493" s="14">
        <v>56308</v>
      </c>
      <c r="B493" s="10">
        <f>49.451 * CHOOSE(CONTROL!$C$9, $D$9, 100%, $F$9) + CHOOSE(CONTROL!$C$27, 0.0021, 0)</f>
        <v>49.453099999999999</v>
      </c>
      <c r="C493" s="10">
        <f>49.0187 * CHOOSE(CONTROL!$C$9, $D$9, 100%, $F$9) + CHOOSE(CONTROL!$C$27, 0.0021, 0)</f>
        <v>49.020800000000001</v>
      </c>
      <c r="D493" s="10">
        <f>49.0187 * CHOOSE(CONTROL!$C$9, $D$9, 100%, $F$9) + CHOOSE(CONTROL!$C$27, 0.0021, 0)</f>
        <v>49.020800000000001</v>
      </c>
      <c r="E493" s="10">
        <f>48.8821 * CHOOSE(CONTROL!$C$9, $D$9, 100%, $F$9) + CHOOSE(CONTROL!$C$27, 0.0021, 0)</f>
        <v>48.8842</v>
      </c>
      <c r="F493" s="10">
        <f>48.8821 * CHOOSE(CONTROL!$C$9, $D$9, 100%, $F$9) + CHOOSE(CONTROL!$C$27, 0.0021, 0)</f>
        <v>48.8842</v>
      </c>
      <c r="G493" s="10">
        <f>49.1534 * CHOOSE(CONTROL!$C$9, $D$9, 100%, $F$9) + CHOOSE(CONTROL!$C$27, 0.0021, 0)</f>
        <v>49.155499999999996</v>
      </c>
      <c r="H493" s="10">
        <f>49.0187 * CHOOSE(CONTROL!$C$9, $D$9, 100%, $F$9) + CHOOSE(CONTROL!$C$27, 0.0021, 0)</f>
        <v>49.020800000000001</v>
      </c>
      <c r="I493" s="10">
        <f>49.0187 * CHOOSE(CONTROL!$C$9, $D$9, 100%, $F$9) + CHOOSE(CONTROL!$C$27, 0.0021, 0)</f>
        <v>49.020800000000001</v>
      </c>
      <c r="J493" s="10">
        <f>49.0187 * CHOOSE(CONTROL!$C$9, $D$9, 100%, $F$9) + CHOOSE(CONTROL!$C$27, 0.0021, 0)</f>
        <v>49.020800000000001</v>
      </c>
      <c r="K493" s="10">
        <f>49.0187 * CHOOSE(CONTROL!$C$9, $D$9, 100%, $F$9) + CHOOSE(CONTROL!$C$27, 0.0021, 0)</f>
        <v>49.020800000000001</v>
      </c>
      <c r="L493" s="10"/>
    </row>
    <row r="494" spans="1:12" ht="15.75" x14ac:dyDescent="0.25">
      <c r="A494" s="14">
        <v>56339</v>
      </c>
      <c r="B494" s="10">
        <f>48.8843 * CHOOSE(CONTROL!$C$9, $D$9, 100%, $F$9) + CHOOSE(CONTROL!$C$27, 0.0021, 0)</f>
        <v>48.886400000000002</v>
      </c>
      <c r="C494" s="10">
        <f>48.4521 * CHOOSE(CONTROL!$C$9, $D$9, 100%, $F$9) + CHOOSE(CONTROL!$C$27, 0.0021, 0)</f>
        <v>48.4542</v>
      </c>
      <c r="D494" s="10">
        <f>48.4521 * CHOOSE(CONTROL!$C$9, $D$9, 100%, $F$9) + CHOOSE(CONTROL!$C$27, 0.0021, 0)</f>
        <v>48.4542</v>
      </c>
      <c r="E494" s="10">
        <f>48.3154 * CHOOSE(CONTROL!$C$9, $D$9, 100%, $F$9) + CHOOSE(CONTROL!$C$27, 0.0021, 0)</f>
        <v>48.317499999999995</v>
      </c>
      <c r="F494" s="10">
        <f>48.3154 * CHOOSE(CONTROL!$C$9, $D$9, 100%, $F$9) + CHOOSE(CONTROL!$C$27, 0.0021, 0)</f>
        <v>48.317499999999995</v>
      </c>
      <c r="G494" s="10">
        <f>48.5868 * CHOOSE(CONTROL!$C$9, $D$9, 100%, $F$9) + CHOOSE(CONTROL!$C$27, 0.0021, 0)</f>
        <v>48.588899999999995</v>
      </c>
      <c r="H494" s="10">
        <f>48.4521 * CHOOSE(CONTROL!$C$9, $D$9, 100%, $F$9) + CHOOSE(CONTROL!$C$27, 0.0021, 0)</f>
        <v>48.4542</v>
      </c>
      <c r="I494" s="10">
        <f>48.4521 * CHOOSE(CONTROL!$C$9, $D$9, 100%, $F$9) + CHOOSE(CONTROL!$C$27, 0.0021, 0)</f>
        <v>48.4542</v>
      </c>
      <c r="J494" s="10">
        <f>48.4521 * CHOOSE(CONTROL!$C$9, $D$9, 100%, $F$9) + CHOOSE(CONTROL!$C$27, 0.0021, 0)</f>
        <v>48.4542</v>
      </c>
      <c r="K494" s="10">
        <f>48.4521 * CHOOSE(CONTROL!$C$9, $D$9, 100%, $F$9) + CHOOSE(CONTROL!$C$27, 0.0021, 0)</f>
        <v>48.4542</v>
      </c>
      <c r="L494" s="10"/>
    </row>
    <row r="495" spans="1:12" ht="15.75" x14ac:dyDescent="0.25">
      <c r="A495" s="14">
        <v>56369</v>
      </c>
      <c r="B495" s="10">
        <f>48.2077 * CHOOSE(CONTROL!$C$9, $D$9, 100%, $F$9) + CHOOSE(CONTROL!$C$27, 0.0021, 0)</f>
        <v>48.209800000000001</v>
      </c>
      <c r="C495" s="10">
        <f>47.7754 * CHOOSE(CONTROL!$C$9, $D$9, 100%, $F$9) + CHOOSE(CONTROL!$C$27, 0.0021, 0)</f>
        <v>47.777499999999996</v>
      </c>
      <c r="D495" s="10">
        <f>47.7754 * CHOOSE(CONTROL!$C$9, $D$9, 100%, $F$9) + CHOOSE(CONTROL!$C$27, 0.0021, 0)</f>
        <v>47.777499999999996</v>
      </c>
      <c r="E495" s="10">
        <f>47.6388 * CHOOSE(CONTROL!$C$9, $D$9, 100%, $F$9) + CHOOSE(CONTROL!$C$27, 0.0021, 0)</f>
        <v>47.640900000000002</v>
      </c>
      <c r="F495" s="10">
        <f>47.6388 * CHOOSE(CONTROL!$C$9, $D$9, 100%, $F$9) + CHOOSE(CONTROL!$C$27, 0.0021, 0)</f>
        <v>47.640900000000002</v>
      </c>
      <c r="G495" s="10">
        <f>47.9102 * CHOOSE(CONTROL!$C$9, $D$9, 100%, $F$9) + CHOOSE(CONTROL!$C$27, 0.0021, 0)</f>
        <v>47.912300000000002</v>
      </c>
      <c r="H495" s="10">
        <f>47.7754 * CHOOSE(CONTROL!$C$9, $D$9, 100%, $F$9) + CHOOSE(CONTROL!$C$27, 0.0021, 0)</f>
        <v>47.777499999999996</v>
      </c>
      <c r="I495" s="10">
        <f>47.7754 * CHOOSE(CONTROL!$C$9, $D$9, 100%, $F$9) + CHOOSE(CONTROL!$C$27, 0.0021, 0)</f>
        <v>47.777499999999996</v>
      </c>
      <c r="J495" s="10">
        <f>47.7754 * CHOOSE(CONTROL!$C$9, $D$9, 100%, $F$9) + CHOOSE(CONTROL!$C$27, 0.0021, 0)</f>
        <v>47.777499999999996</v>
      </c>
      <c r="K495" s="10">
        <f>47.7754 * CHOOSE(CONTROL!$C$9, $D$9, 100%, $F$9) + CHOOSE(CONTROL!$C$27, 0.0021, 0)</f>
        <v>47.777499999999996</v>
      </c>
      <c r="L495" s="10"/>
    </row>
    <row r="496" spans="1:12" ht="15.75" x14ac:dyDescent="0.25">
      <c r="A496" s="14">
        <v>56400</v>
      </c>
      <c r="B496" s="10">
        <f>49.1719 * CHOOSE(CONTROL!$C$9, $D$9, 100%, $F$9) + CHOOSE(CONTROL!$C$27, 0.0021, 0)</f>
        <v>49.173999999999999</v>
      </c>
      <c r="C496" s="10">
        <f>48.7397 * CHOOSE(CONTROL!$C$9, $D$9, 100%, $F$9) + CHOOSE(CONTROL!$C$27, 0.0021, 0)</f>
        <v>48.741799999999998</v>
      </c>
      <c r="D496" s="10">
        <f>48.7397 * CHOOSE(CONTROL!$C$9, $D$9, 100%, $F$9) + CHOOSE(CONTROL!$C$27, 0.0021, 0)</f>
        <v>48.741799999999998</v>
      </c>
      <c r="E496" s="10">
        <f>48.603 * CHOOSE(CONTROL!$C$9, $D$9, 100%, $F$9) + CHOOSE(CONTROL!$C$27, 0.0021, 0)</f>
        <v>48.6051</v>
      </c>
      <c r="F496" s="10">
        <f>48.603 * CHOOSE(CONTROL!$C$9, $D$9, 100%, $F$9) + CHOOSE(CONTROL!$C$27, 0.0021, 0)</f>
        <v>48.6051</v>
      </c>
      <c r="G496" s="10">
        <f>48.8744 * CHOOSE(CONTROL!$C$9, $D$9, 100%, $F$9) + CHOOSE(CONTROL!$C$27, 0.0021, 0)</f>
        <v>48.8765</v>
      </c>
      <c r="H496" s="10">
        <f>48.7397 * CHOOSE(CONTROL!$C$9, $D$9, 100%, $F$9) + CHOOSE(CONTROL!$C$27, 0.0021, 0)</f>
        <v>48.741799999999998</v>
      </c>
      <c r="I496" s="10">
        <f>48.7397 * CHOOSE(CONTROL!$C$9, $D$9, 100%, $F$9) + CHOOSE(CONTROL!$C$27, 0.0021, 0)</f>
        <v>48.741799999999998</v>
      </c>
      <c r="J496" s="10">
        <f>48.7397 * CHOOSE(CONTROL!$C$9, $D$9, 100%, $F$9) + CHOOSE(CONTROL!$C$27, 0.0021, 0)</f>
        <v>48.741799999999998</v>
      </c>
      <c r="K496" s="10">
        <f>48.7397 * CHOOSE(CONTROL!$C$9, $D$9, 100%, $F$9) + CHOOSE(CONTROL!$C$27, 0.0021, 0)</f>
        <v>48.741799999999998</v>
      </c>
      <c r="L496" s="10"/>
    </row>
    <row r="497" spans="1:12" ht="15.75" x14ac:dyDescent="0.25">
      <c r="A497" s="14">
        <v>56430</v>
      </c>
      <c r="B497" s="10">
        <f>49.7495 * CHOOSE(CONTROL!$C$9, $D$9, 100%, $F$9) + CHOOSE(CONTROL!$C$27, 0.0021, 0)</f>
        <v>49.751599999999996</v>
      </c>
      <c r="C497" s="10">
        <f>49.3172 * CHOOSE(CONTROL!$C$9, $D$9, 100%, $F$9) + CHOOSE(CONTROL!$C$27, 0.0021, 0)</f>
        <v>49.319299999999998</v>
      </c>
      <c r="D497" s="10">
        <f>49.3172 * CHOOSE(CONTROL!$C$9, $D$9, 100%, $F$9) + CHOOSE(CONTROL!$C$27, 0.0021, 0)</f>
        <v>49.319299999999998</v>
      </c>
      <c r="E497" s="10">
        <f>49.1806 * CHOOSE(CONTROL!$C$9, $D$9, 100%, $F$9) + CHOOSE(CONTROL!$C$27, 0.0021, 0)</f>
        <v>49.182699999999997</v>
      </c>
      <c r="F497" s="10">
        <f>49.1806 * CHOOSE(CONTROL!$C$9, $D$9, 100%, $F$9) + CHOOSE(CONTROL!$C$27, 0.0021, 0)</f>
        <v>49.182699999999997</v>
      </c>
      <c r="G497" s="10">
        <f>49.452 * CHOOSE(CONTROL!$C$9, $D$9, 100%, $F$9) + CHOOSE(CONTROL!$C$27, 0.0021, 0)</f>
        <v>49.454099999999997</v>
      </c>
      <c r="H497" s="10">
        <f>49.3172 * CHOOSE(CONTROL!$C$9, $D$9, 100%, $F$9) + CHOOSE(CONTROL!$C$27, 0.0021, 0)</f>
        <v>49.319299999999998</v>
      </c>
      <c r="I497" s="10">
        <f>49.3172 * CHOOSE(CONTROL!$C$9, $D$9, 100%, $F$9) + CHOOSE(CONTROL!$C$27, 0.0021, 0)</f>
        <v>49.319299999999998</v>
      </c>
      <c r="J497" s="10">
        <f>49.3172 * CHOOSE(CONTROL!$C$9, $D$9, 100%, $F$9) + CHOOSE(CONTROL!$C$27, 0.0021, 0)</f>
        <v>49.319299999999998</v>
      </c>
      <c r="K497" s="10">
        <f>49.3172 * CHOOSE(CONTROL!$C$9, $D$9, 100%, $F$9) + CHOOSE(CONTROL!$C$27, 0.0021, 0)</f>
        <v>49.319299999999998</v>
      </c>
      <c r="L497" s="10"/>
    </row>
    <row r="498" spans="1:12" ht="15.75" x14ac:dyDescent="0.25">
      <c r="A498" s="14">
        <v>56461</v>
      </c>
      <c r="B498" s="10">
        <f>50.7022 * CHOOSE(CONTROL!$C$9, $D$9, 100%, $F$9) + CHOOSE(CONTROL!$C$27, 0.0021, 0)</f>
        <v>50.704299999999996</v>
      </c>
      <c r="C498" s="10">
        <f>50.27 * CHOOSE(CONTROL!$C$9, $D$9, 100%, $F$9) + CHOOSE(CONTROL!$C$27, 0.0021, 0)</f>
        <v>50.272100000000002</v>
      </c>
      <c r="D498" s="10">
        <f>50.27 * CHOOSE(CONTROL!$C$9, $D$9, 100%, $F$9) + CHOOSE(CONTROL!$C$27, 0.0021, 0)</f>
        <v>50.272100000000002</v>
      </c>
      <c r="E498" s="10">
        <f>50.1333 * CHOOSE(CONTROL!$C$9, $D$9, 100%, $F$9) + CHOOSE(CONTROL!$C$27, 0.0021, 0)</f>
        <v>50.135399999999997</v>
      </c>
      <c r="F498" s="10">
        <f>50.1333 * CHOOSE(CONTROL!$C$9, $D$9, 100%, $F$9) + CHOOSE(CONTROL!$C$27, 0.0021, 0)</f>
        <v>50.135399999999997</v>
      </c>
      <c r="G498" s="10">
        <f>50.4047 * CHOOSE(CONTROL!$C$9, $D$9, 100%, $F$9) + CHOOSE(CONTROL!$C$27, 0.0021, 0)</f>
        <v>50.406799999999997</v>
      </c>
      <c r="H498" s="10">
        <f>50.27 * CHOOSE(CONTROL!$C$9, $D$9, 100%, $F$9) + CHOOSE(CONTROL!$C$27, 0.0021, 0)</f>
        <v>50.272100000000002</v>
      </c>
      <c r="I498" s="10">
        <f>50.27 * CHOOSE(CONTROL!$C$9, $D$9, 100%, $F$9) + CHOOSE(CONTROL!$C$27, 0.0021, 0)</f>
        <v>50.272100000000002</v>
      </c>
      <c r="J498" s="10">
        <f>50.27 * CHOOSE(CONTROL!$C$9, $D$9, 100%, $F$9) + CHOOSE(CONTROL!$C$27, 0.0021, 0)</f>
        <v>50.272100000000002</v>
      </c>
      <c r="K498" s="10">
        <f>50.27 * CHOOSE(CONTROL!$C$9, $D$9, 100%, $F$9) + CHOOSE(CONTROL!$C$27, 0.0021, 0)</f>
        <v>50.272100000000002</v>
      </c>
      <c r="L498" s="10"/>
    </row>
    <row r="499" spans="1:12" ht="15.75" x14ac:dyDescent="0.25">
      <c r="A499" s="14">
        <v>56492</v>
      </c>
      <c r="B499" s="10">
        <f>50.993 * CHOOSE(CONTROL!$C$9, $D$9, 100%, $F$9) + CHOOSE(CONTROL!$C$27, 0.0021, 0)</f>
        <v>50.995100000000001</v>
      </c>
      <c r="C499" s="10">
        <f>50.5608 * CHOOSE(CONTROL!$C$9, $D$9, 100%, $F$9) + CHOOSE(CONTROL!$C$27, 0.0021, 0)</f>
        <v>50.562899999999999</v>
      </c>
      <c r="D499" s="10">
        <f>50.5608 * CHOOSE(CONTROL!$C$9, $D$9, 100%, $F$9) + CHOOSE(CONTROL!$C$27, 0.0021, 0)</f>
        <v>50.562899999999999</v>
      </c>
      <c r="E499" s="10">
        <f>50.4241 * CHOOSE(CONTROL!$C$9, $D$9, 100%, $F$9) + CHOOSE(CONTROL!$C$27, 0.0021, 0)</f>
        <v>50.426200000000001</v>
      </c>
      <c r="F499" s="10">
        <f>50.4241 * CHOOSE(CONTROL!$C$9, $D$9, 100%, $F$9) + CHOOSE(CONTROL!$C$27, 0.0021, 0)</f>
        <v>50.426200000000001</v>
      </c>
      <c r="G499" s="10">
        <f>50.6955 * CHOOSE(CONTROL!$C$9, $D$9, 100%, $F$9) + CHOOSE(CONTROL!$C$27, 0.0021, 0)</f>
        <v>50.697600000000001</v>
      </c>
      <c r="H499" s="10">
        <f>50.5608 * CHOOSE(CONTROL!$C$9, $D$9, 100%, $F$9) + CHOOSE(CONTROL!$C$27, 0.0021, 0)</f>
        <v>50.562899999999999</v>
      </c>
      <c r="I499" s="10">
        <f>50.5608 * CHOOSE(CONTROL!$C$9, $D$9, 100%, $F$9) + CHOOSE(CONTROL!$C$27, 0.0021, 0)</f>
        <v>50.562899999999999</v>
      </c>
      <c r="J499" s="10">
        <f>50.5608 * CHOOSE(CONTROL!$C$9, $D$9, 100%, $F$9) + CHOOSE(CONTROL!$C$27, 0.0021, 0)</f>
        <v>50.562899999999999</v>
      </c>
      <c r="K499" s="10">
        <f>50.5608 * CHOOSE(CONTROL!$C$9, $D$9, 100%, $F$9) + CHOOSE(CONTROL!$C$27, 0.0021, 0)</f>
        <v>50.562899999999999</v>
      </c>
      <c r="L499" s="10"/>
    </row>
    <row r="500" spans="1:12" ht="15.75" x14ac:dyDescent="0.25">
      <c r="A500" s="14">
        <v>56522</v>
      </c>
      <c r="B500" s="10">
        <f>51.9833 * CHOOSE(CONTROL!$C$9, $D$9, 100%, $F$9) + CHOOSE(CONTROL!$C$27, 0.0021, 0)</f>
        <v>51.985399999999998</v>
      </c>
      <c r="C500" s="10">
        <f>51.5511 * CHOOSE(CONTROL!$C$9, $D$9, 100%, $F$9) + CHOOSE(CONTROL!$C$27, 0.0021, 0)</f>
        <v>51.553199999999997</v>
      </c>
      <c r="D500" s="10">
        <f>51.5511 * CHOOSE(CONTROL!$C$9, $D$9, 100%, $F$9) + CHOOSE(CONTROL!$C$27, 0.0021, 0)</f>
        <v>51.553199999999997</v>
      </c>
      <c r="E500" s="10">
        <f>51.4144 * CHOOSE(CONTROL!$C$9, $D$9, 100%, $F$9) + CHOOSE(CONTROL!$C$27, 0.0021, 0)</f>
        <v>51.416499999999999</v>
      </c>
      <c r="F500" s="10">
        <f>51.4144 * CHOOSE(CONTROL!$C$9, $D$9, 100%, $F$9) + CHOOSE(CONTROL!$C$27, 0.0021, 0)</f>
        <v>51.416499999999999</v>
      </c>
      <c r="G500" s="10">
        <f>51.6858 * CHOOSE(CONTROL!$C$9, $D$9, 100%, $F$9) + CHOOSE(CONTROL!$C$27, 0.0021, 0)</f>
        <v>51.687899999999999</v>
      </c>
      <c r="H500" s="10">
        <f>51.5511 * CHOOSE(CONTROL!$C$9, $D$9, 100%, $F$9) + CHOOSE(CONTROL!$C$27, 0.0021, 0)</f>
        <v>51.553199999999997</v>
      </c>
      <c r="I500" s="10">
        <f>51.5511 * CHOOSE(CONTROL!$C$9, $D$9, 100%, $F$9) + CHOOSE(CONTROL!$C$27, 0.0021, 0)</f>
        <v>51.553199999999997</v>
      </c>
      <c r="J500" s="10">
        <f>51.5511 * CHOOSE(CONTROL!$C$9, $D$9, 100%, $F$9) + CHOOSE(CONTROL!$C$27, 0.0021, 0)</f>
        <v>51.553199999999997</v>
      </c>
      <c r="K500" s="10">
        <f>51.5511 * CHOOSE(CONTROL!$C$9, $D$9, 100%, $F$9) + CHOOSE(CONTROL!$C$27, 0.0021, 0)</f>
        <v>51.553199999999997</v>
      </c>
      <c r="L500" s="10"/>
    </row>
    <row r="501" spans="1:12" ht="15.75" x14ac:dyDescent="0.25">
      <c r="A501" s="14">
        <v>56553</v>
      </c>
      <c r="B501" s="10">
        <f>53.2369 * CHOOSE(CONTROL!$C$9, $D$9, 100%, $F$9) + CHOOSE(CONTROL!$C$27, 0.0021, 0)</f>
        <v>53.238999999999997</v>
      </c>
      <c r="C501" s="10">
        <f>52.8047 * CHOOSE(CONTROL!$C$9, $D$9, 100%, $F$9) + CHOOSE(CONTROL!$C$27, 0.0021, 0)</f>
        <v>52.806799999999996</v>
      </c>
      <c r="D501" s="10">
        <f>52.8047 * CHOOSE(CONTROL!$C$9, $D$9, 100%, $F$9) + CHOOSE(CONTROL!$C$27, 0.0021, 0)</f>
        <v>52.806799999999996</v>
      </c>
      <c r="E501" s="10">
        <f>52.668 * CHOOSE(CONTROL!$C$9, $D$9, 100%, $F$9) + CHOOSE(CONTROL!$C$27, 0.0021, 0)</f>
        <v>52.670099999999998</v>
      </c>
      <c r="F501" s="10">
        <f>52.668 * CHOOSE(CONTROL!$C$9, $D$9, 100%, $F$9) + CHOOSE(CONTROL!$C$27, 0.0021, 0)</f>
        <v>52.670099999999998</v>
      </c>
      <c r="G501" s="10">
        <f>52.9394 * CHOOSE(CONTROL!$C$9, $D$9, 100%, $F$9) + CHOOSE(CONTROL!$C$27, 0.0021, 0)</f>
        <v>52.941499999999998</v>
      </c>
      <c r="H501" s="10">
        <f>52.8047 * CHOOSE(CONTROL!$C$9, $D$9, 100%, $F$9) + CHOOSE(CONTROL!$C$27, 0.0021, 0)</f>
        <v>52.806799999999996</v>
      </c>
      <c r="I501" s="10">
        <f>52.8047 * CHOOSE(CONTROL!$C$9, $D$9, 100%, $F$9) + CHOOSE(CONTROL!$C$27, 0.0021, 0)</f>
        <v>52.806799999999996</v>
      </c>
      <c r="J501" s="10">
        <f>52.8047 * CHOOSE(CONTROL!$C$9, $D$9, 100%, $F$9) + CHOOSE(CONTROL!$C$27, 0.0021, 0)</f>
        <v>52.806799999999996</v>
      </c>
      <c r="K501" s="10">
        <f>52.8047 * CHOOSE(CONTROL!$C$9, $D$9, 100%, $F$9) + CHOOSE(CONTROL!$C$27, 0.0021, 0)</f>
        <v>52.806799999999996</v>
      </c>
      <c r="L501" s="10"/>
    </row>
    <row r="502" spans="1:12" ht="15.75" x14ac:dyDescent="0.25">
      <c r="A502" s="14">
        <v>56583</v>
      </c>
      <c r="B502" s="10">
        <f>53.3546 * CHOOSE(CONTROL!$C$9, $D$9, 100%, $F$9) + CHOOSE(CONTROL!$C$27, 0.0021, 0)</f>
        <v>53.356699999999996</v>
      </c>
      <c r="C502" s="10">
        <f>52.9224 * CHOOSE(CONTROL!$C$9, $D$9, 100%, $F$9) + CHOOSE(CONTROL!$C$27, 0.0021, 0)</f>
        <v>52.924500000000002</v>
      </c>
      <c r="D502" s="10">
        <f>52.9224 * CHOOSE(CONTROL!$C$9, $D$9, 100%, $F$9) + CHOOSE(CONTROL!$C$27, 0.0021, 0)</f>
        <v>52.924500000000002</v>
      </c>
      <c r="E502" s="10">
        <f>52.7857 * CHOOSE(CONTROL!$C$9, $D$9, 100%, $F$9) + CHOOSE(CONTROL!$C$27, 0.0021, 0)</f>
        <v>52.787799999999997</v>
      </c>
      <c r="F502" s="10">
        <f>52.7857 * CHOOSE(CONTROL!$C$9, $D$9, 100%, $F$9) + CHOOSE(CONTROL!$C$27, 0.0021, 0)</f>
        <v>52.787799999999997</v>
      </c>
      <c r="G502" s="10">
        <f>53.0571 * CHOOSE(CONTROL!$C$9, $D$9, 100%, $F$9) + CHOOSE(CONTROL!$C$27, 0.0021, 0)</f>
        <v>53.059199999999997</v>
      </c>
      <c r="H502" s="10">
        <f>52.9224 * CHOOSE(CONTROL!$C$9, $D$9, 100%, $F$9) + CHOOSE(CONTROL!$C$27, 0.0021, 0)</f>
        <v>52.924500000000002</v>
      </c>
      <c r="I502" s="10">
        <f>52.9224 * CHOOSE(CONTROL!$C$9, $D$9, 100%, $F$9) + CHOOSE(CONTROL!$C$27, 0.0021, 0)</f>
        <v>52.924500000000002</v>
      </c>
      <c r="J502" s="10">
        <f>52.9224 * CHOOSE(CONTROL!$C$9, $D$9, 100%, $F$9) + CHOOSE(CONTROL!$C$27, 0.0021, 0)</f>
        <v>52.924500000000002</v>
      </c>
      <c r="K502" s="10">
        <f>52.9224 * CHOOSE(CONTROL!$C$9, $D$9, 100%, $F$9) + CHOOSE(CONTROL!$C$27, 0.0021, 0)</f>
        <v>52.924500000000002</v>
      </c>
      <c r="L502" s="10"/>
    </row>
    <row r="503" spans="1:12" ht="15.75" x14ac:dyDescent="0.25">
      <c r="A503" s="14">
        <v>56614</v>
      </c>
      <c r="B503" s="10">
        <f>52.3534 * CHOOSE(CONTROL!$C$9, $D$9, 100%, $F$9) + CHOOSE(CONTROL!$C$27, 0.0021, 0)</f>
        <v>52.355499999999999</v>
      </c>
      <c r="C503" s="10">
        <f>51.9212 * CHOOSE(CONTROL!$C$9, $D$9, 100%, $F$9) + CHOOSE(CONTROL!$C$27, 0.0021, 0)</f>
        <v>51.923299999999998</v>
      </c>
      <c r="D503" s="10">
        <f>51.9212 * CHOOSE(CONTROL!$C$9, $D$9, 100%, $F$9) + CHOOSE(CONTROL!$C$27, 0.0021, 0)</f>
        <v>51.923299999999998</v>
      </c>
      <c r="E503" s="10">
        <f>51.7845 * CHOOSE(CONTROL!$C$9, $D$9, 100%, $F$9) + CHOOSE(CONTROL!$C$27, 0.0021, 0)</f>
        <v>51.7866</v>
      </c>
      <c r="F503" s="10">
        <f>51.7845 * CHOOSE(CONTROL!$C$9, $D$9, 100%, $F$9) + CHOOSE(CONTROL!$C$27, 0.0021, 0)</f>
        <v>51.7866</v>
      </c>
      <c r="G503" s="10">
        <f>52.0559 * CHOOSE(CONTROL!$C$9, $D$9, 100%, $F$9) + CHOOSE(CONTROL!$C$27, 0.0021, 0)</f>
        <v>52.058</v>
      </c>
      <c r="H503" s="10">
        <f>51.9212 * CHOOSE(CONTROL!$C$9, $D$9, 100%, $F$9) + CHOOSE(CONTROL!$C$27, 0.0021, 0)</f>
        <v>51.923299999999998</v>
      </c>
      <c r="I503" s="10">
        <f>51.9212 * CHOOSE(CONTROL!$C$9, $D$9, 100%, $F$9) + CHOOSE(CONTROL!$C$27, 0.0021, 0)</f>
        <v>51.923299999999998</v>
      </c>
      <c r="J503" s="10">
        <f>51.9212 * CHOOSE(CONTROL!$C$9, $D$9, 100%, $F$9) + CHOOSE(CONTROL!$C$27, 0.0021, 0)</f>
        <v>51.923299999999998</v>
      </c>
      <c r="K503" s="10">
        <f>51.9212 * CHOOSE(CONTROL!$C$9, $D$9, 100%, $F$9) + CHOOSE(CONTROL!$C$27, 0.0021, 0)</f>
        <v>51.923299999999998</v>
      </c>
      <c r="L503" s="10"/>
    </row>
    <row r="504" spans="1:12" ht="15.75" x14ac:dyDescent="0.25">
      <c r="A504" s="13">
        <v>56645</v>
      </c>
      <c r="B504" s="10">
        <f>51.5868 * CHOOSE(CONTROL!$C$9, $D$9, 100%, $F$9) + CHOOSE(CONTROL!$C$27, 0.0021, 0)</f>
        <v>51.588899999999995</v>
      </c>
      <c r="C504" s="10">
        <f>51.1546 * CHOOSE(CONTROL!$C$9, $D$9, 100%, $F$9) + CHOOSE(CONTROL!$C$27, 0.0021, 0)</f>
        <v>51.156700000000001</v>
      </c>
      <c r="D504" s="10">
        <f>51.1546 * CHOOSE(CONTROL!$C$9, $D$9, 100%, $F$9) + CHOOSE(CONTROL!$C$27, 0.0021, 0)</f>
        <v>51.156700000000001</v>
      </c>
      <c r="E504" s="10">
        <f>51.0179 * CHOOSE(CONTROL!$C$9, $D$9, 100%, $F$9) + CHOOSE(CONTROL!$C$27, 0.0021, 0)</f>
        <v>51.019999999999996</v>
      </c>
      <c r="F504" s="10">
        <f>51.0179 * CHOOSE(CONTROL!$C$9, $D$9, 100%, $F$9) + CHOOSE(CONTROL!$C$27, 0.0021, 0)</f>
        <v>51.019999999999996</v>
      </c>
      <c r="G504" s="10">
        <f>51.2893 * CHOOSE(CONTROL!$C$9, $D$9, 100%, $F$9) + CHOOSE(CONTROL!$C$27, 0.0021, 0)</f>
        <v>51.291399999999996</v>
      </c>
      <c r="H504" s="10">
        <f>51.1546 * CHOOSE(CONTROL!$C$9, $D$9, 100%, $F$9) + CHOOSE(CONTROL!$C$27, 0.0021, 0)</f>
        <v>51.156700000000001</v>
      </c>
      <c r="I504" s="10">
        <f>51.1546 * CHOOSE(CONTROL!$C$9, $D$9, 100%, $F$9) + CHOOSE(CONTROL!$C$27, 0.0021, 0)</f>
        <v>51.156700000000001</v>
      </c>
      <c r="J504" s="10">
        <f>51.1546 * CHOOSE(CONTROL!$C$9, $D$9, 100%, $F$9) + CHOOSE(CONTROL!$C$27, 0.0021, 0)</f>
        <v>51.156700000000001</v>
      </c>
      <c r="K504" s="10">
        <f>51.1546 * CHOOSE(CONTROL!$C$9, $D$9, 100%, $F$9) + CHOOSE(CONTROL!$C$27, 0.0021, 0)</f>
        <v>51.156700000000001</v>
      </c>
      <c r="L504" s="10"/>
    </row>
    <row r="505" spans="1:12" ht="15.75" x14ac:dyDescent="0.25">
      <c r="A505" s="13">
        <v>56673</v>
      </c>
      <c r="B505" s="10">
        <f>50.1925 * CHOOSE(CONTROL!$C$9, $D$9, 100%, $F$9) + CHOOSE(CONTROL!$C$27, 0.0021, 0)</f>
        <v>50.194600000000001</v>
      </c>
      <c r="C505" s="10">
        <f>49.7603 * CHOOSE(CONTROL!$C$9, $D$9, 100%, $F$9) + CHOOSE(CONTROL!$C$27, 0.0021, 0)</f>
        <v>49.7624</v>
      </c>
      <c r="D505" s="10">
        <f>49.7603 * CHOOSE(CONTROL!$C$9, $D$9, 100%, $F$9) + CHOOSE(CONTROL!$C$27, 0.0021, 0)</f>
        <v>49.7624</v>
      </c>
      <c r="E505" s="10">
        <f>49.6236 * CHOOSE(CONTROL!$C$9, $D$9, 100%, $F$9) + CHOOSE(CONTROL!$C$27, 0.0021, 0)</f>
        <v>49.625700000000002</v>
      </c>
      <c r="F505" s="10">
        <f>49.6236 * CHOOSE(CONTROL!$C$9, $D$9, 100%, $F$9) + CHOOSE(CONTROL!$C$27, 0.0021, 0)</f>
        <v>49.625700000000002</v>
      </c>
      <c r="G505" s="10">
        <f>49.895 * CHOOSE(CONTROL!$C$9, $D$9, 100%, $F$9) + CHOOSE(CONTROL!$C$27, 0.0021, 0)</f>
        <v>49.897100000000002</v>
      </c>
      <c r="H505" s="10">
        <f>49.7603 * CHOOSE(CONTROL!$C$9, $D$9, 100%, $F$9) + CHOOSE(CONTROL!$C$27, 0.0021, 0)</f>
        <v>49.7624</v>
      </c>
      <c r="I505" s="10">
        <f>49.7603 * CHOOSE(CONTROL!$C$9, $D$9, 100%, $F$9) + CHOOSE(CONTROL!$C$27, 0.0021, 0)</f>
        <v>49.7624</v>
      </c>
      <c r="J505" s="10">
        <f>49.7603 * CHOOSE(CONTROL!$C$9, $D$9, 100%, $F$9) + CHOOSE(CONTROL!$C$27, 0.0021, 0)</f>
        <v>49.7624</v>
      </c>
      <c r="K505" s="10">
        <f>49.7603 * CHOOSE(CONTROL!$C$9, $D$9, 100%, $F$9) + CHOOSE(CONTROL!$C$27, 0.0021, 0)</f>
        <v>49.7624</v>
      </c>
      <c r="L505" s="10"/>
    </row>
    <row r="506" spans="1:12" ht="15.75" x14ac:dyDescent="0.25">
      <c r="A506" s="13">
        <v>56704</v>
      </c>
      <c r="B506" s="10">
        <f>49.617 * CHOOSE(CONTROL!$C$9, $D$9, 100%, $F$9) + CHOOSE(CONTROL!$C$27, 0.0021, 0)</f>
        <v>49.619099999999996</v>
      </c>
      <c r="C506" s="10">
        <f>49.1847 * CHOOSE(CONTROL!$C$9, $D$9, 100%, $F$9) + CHOOSE(CONTROL!$C$27, 0.0021, 0)</f>
        <v>49.186799999999998</v>
      </c>
      <c r="D506" s="10">
        <f>49.1847 * CHOOSE(CONTROL!$C$9, $D$9, 100%, $F$9) + CHOOSE(CONTROL!$C$27, 0.0021, 0)</f>
        <v>49.186799999999998</v>
      </c>
      <c r="E506" s="10">
        <f>49.048 * CHOOSE(CONTROL!$C$9, $D$9, 100%, $F$9) + CHOOSE(CONTROL!$C$27, 0.0021, 0)</f>
        <v>49.0501</v>
      </c>
      <c r="F506" s="10">
        <f>49.048 * CHOOSE(CONTROL!$C$9, $D$9, 100%, $F$9) + CHOOSE(CONTROL!$C$27, 0.0021, 0)</f>
        <v>49.0501</v>
      </c>
      <c r="G506" s="10">
        <f>49.3194 * CHOOSE(CONTROL!$C$9, $D$9, 100%, $F$9) + CHOOSE(CONTROL!$C$27, 0.0021, 0)</f>
        <v>49.3215</v>
      </c>
      <c r="H506" s="10">
        <f>49.1847 * CHOOSE(CONTROL!$C$9, $D$9, 100%, $F$9) + CHOOSE(CONTROL!$C$27, 0.0021, 0)</f>
        <v>49.186799999999998</v>
      </c>
      <c r="I506" s="10">
        <f>49.1847 * CHOOSE(CONTROL!$C$9, $D$9, 100%, $F$9) + CHOOSE(CONTROL!$C$27, 0.0021, 0)</f>
        <v>49.186799999999998</v>
      </c>
      <c r="J506" s="10">
        <f>49.1847 * CHOOSE(CONTROL!$C$9, $D$9, 100%, $F$9) + CHOOSE(CONTROL!$C$27, 0.0021, 0)</f>
        <v>49.186799999999998</v>
      </c>
      <c r="K506" s="10">
        <f>49.1847 * CHOOSE(CONTROL!$C$9, $D$9, 100%, $F$9) + CHOOSE(CONTROL!$C$27, 0.0021, 0)</f>
        <v>49.186799999999998</v>
      </c>
      <c r="L506" s="10"/>
    </row>
    <row r="507" spans="1:12" ht="15.75" x14ac:dyDescent="0.25">
      <c r="A507" s="13">
        <v>56734</v>
      </c>
      <c r="B507" s="10">
        <f>48.9297 * CHOOSE(CONTROL!$C$9, $D$9, 100%, $F$9) + CHOOSE(CONTROL!$C$27, 0.0021, 0)</f>
        <v>48.931799999999996</v>
      </c>
      <c r="C507" s="10">
        <f>48.4975 * CHOOSE(CONTROL!$C$9, $D$9, 100%, $F$9) + CHOOSE(CONTROL!$C$27, 0.0021, 0)</f>
        <v>48.499600000000001</v>
      </c>
      <c r="D507" s="10">
        <f>48.4975 * CHOOSE(CONTROL!$C$9, $D$9, 100%, $F$9) + CHOOSE(CONTROL!$C$27, 0.0021, 0)</f>
        <v>48.499600000000001</v>
      </c>
      <c r="E507" s="10">
        <f>48.3608 * CHOOSE(CONTROL!$C$9, $D$9, 100%, $F$9) + CHOOSE(CONTROL!$C$27, 0.0021, 0)</f>
        <v>48.362899999999996</v>
      </c>
      <c r="F507" s="10">
        <f>48.3608 * CHOOSE(CONTROL!$C$9, $D$9, 100%, $F$9) + CHOOSE(CONTROL!$C$27, 0.0021, 0)</f>
        <v>48.362899999999996</v>
      </c>
      <c r="G507" s="10">
        <f>48.6322 * CHOOSE(CONTROL!$C$9, $D$9, 100%, $F$9) + CHOOSE(CONTROL!$C$27, 0.0021, 0)</f>
        <v>48.634299999999996</v>
      </c>
      <c r="H507" s="10">
        <f>48.4975 * CHOOSE(CONTROL!$C$9, $D$9, 100%, $F$9) + CHOOSE(CONTROL!$C$27, 0.0021, 0)</f>
        <v>48.499600000000001</v>
      </c>
      <c r="I507" s="10">
        <f>48.4975 * CHOOSE(CONTROL!$C$9, $D$9, 100%, $F$9) + CHOOSE(CONTROL!$C$27, 0.0021, 0)</f>
        <v>48.499600000000001</v>
      </c>
      <c r="J507" s="10">
        <f>48.4975 * CHOOSE(CONTROL!$C$9, $D$9, 100%, $F$9) + CHOOSE(CONTROL!$C$27, 0.0021, 0)</f>
        <v>48.499600000000001</v>
      </c>
      <c r="K507" s="10">
        <f>48.4975 * CHOOSE(CONTROL!$C$9, $D$9, 100%, $F$9) + CHOOSE(CONTROL!$C$27, 0.0021, 0)</f>
        <v>48.499600000000001</v>
      </c>
      <c r="L507" s="10"/>
    </row>
    <row r="508" spans="1:12" ht="15.75" x14ac:dyDescent="0.25">
      <c r="A508" s="13">
        <v>56765</v>
      </c>
      <c r="B508" s="10">
        <f>49.9091 * CHOOSE(CONTROL!$C$9, $D$9, 100%, $F$9) + CHOOSE(CONTROL!$C$27, 0.0021, 0)</f>
        <v>49.911200000000001</v>
      </c>
      <c r="C508" s="10">
        <f>49.4769 * CHOOSE(CONTROL!$C$9, $D$9, 100%, $F$9) + CHOOSE(CONTROL!$C$27, 0.0021, 0)</f>
        <v>49.478999999999999</v>
      </c>
      <c r="D508" s="10">
        <f>49.4769 * CHOOSE(CONTROL!$C$9, $D$9, 100%, $F$9) + CHOOSE(CONTROL!$C$27, 0.0021, 0)</f>
        <v>49.478999999999999</v>
      </c>
      <c r="E508" s="10">
        <f>49.3402 * CHOOSE(CONTROL!$C$9, $D$9, 100%, $F$9) + CHOOSE(CONTROL!$C$27, 0.0021, 0)</f>
        <v>49.342300000000002</v>
      </c>
      <c r="F508" s="10">
        <f>49.3402 * CHOOSE(CONTROL!$C$9, $D$9, 100%, $F$9) + CHOOSE(CONTROL!$C$27, 0.0021, 0)</f>
        <v>49.342300000000002</v>
      </c>
      <c r="G508" s="10">
        <f>49.6116 * CHOOSE(CONTROL!$C$9, $D$9, 100%, $F$9) + CHOOSE(CONTROL!$C$27, 0.0021, 0)</f>
        <v>49.613700000000001</v>
      </c>
      <c r="H508" s="10">
        <f>49.4769 * CHOOSE(CONTROL!$C$9, $D$9, 100%, $F$9) + CHOOSE(CONTROL!$C$27, 0.0021, 0)</f>
        <v>49.478999999999999</v>
      </c>
      <c r="I508" s="10">
        <f>49.4769 * CHOOSE(CONTROL!$C$9, $D$9, 100%, $F$9) + CHOOSE(CONTROL!$C$27, 0.0021, 0)</f>
        <v>49.478999999999999</v>
      </c>
      <c r="J508" s="10">
        <f>49.4769 * CHOOSE(CONTROL!$C$9, $D$9, 100%, $F$9) + CHOOSE(CONTROL!$C$27, 0.0021, 0)</f>
        <v>49.478999999999999</v>
      </c>
      <c r="K508" s="10">
        <f>49.4769 * CHOOSE(CONTROL!$C$9, $D$9, 100%, $F$9) + CHOOSE(CONTROL!$C$27, 0.0021, 0)</f>
        <v>49.478999999999999</v>
      </c>
      <c r="L508" s="10"/>
    </row>
    <row r="509" spans="1:12" ht="15.75" x14ac:dyDescent="0.25">
      <c r="A509" s="13">
        <v>56795</v>
      </c>
      <c r="B509" s="10">
        <f>50.4957 * CHOOSE(CONTROL!$C$9, $D$9, 100%, $F$9) + CHOOSE(CONTROL!$C$27, 0.0021, 0)</f>
        <v>50.497799999999998</v>
      </c>
      <c r="C509" s="10">
        <f>50.0635 * CHOOSE(CONTROL!$C$9, $D$9, 100%, $F$9) + CHOOSE(CONTROL!$C$27, 0.0021, 0)</f>
        <v>50.065599999999996</v>
      </c>
      <c r="D509" s="10">
        <f>50.0635 * CHOOSE(CONTROL!$C$9, $D$9, 100%, $F$9) + CHOOSE(CONTROL!$C$27, 0.0021, 0)</f>
        <v>50.065599999999996</v>
      </c>
      <c r="E509" s="10">
        <f>49.9268 * CHOOSE(CONTROL!$C$9, $D$9, 100%, $F$9) + CHOOSE(CONTROL!$C$27, 0.0021, 0)</f>
        <v>49.928899999999999</v>
      </c>
      <c r="F509" s="10">
        <f>49.9268 * CHOOSE(CONTROL!$C$9, $D$9, 100%, $F$9) + CHOOSE(CONTROL!$C$27, 0.0021, 0)</f>
        <v>49.928899999999999</v>
      </c>
      <c r="G509" s="10">
        <f>50.1982 * CHOOSE(CONTROL!$C$9, $D$9, 100%, $F$9) + CHOOSE(CONTROL!$C$27, 0.0021, 0)</f>
        <v>50.200299999999999</v>
      </c>
      <c r="H509" s="10">
        <f>50.0635 * CHOOSE(CONTROL!$C$9, $D$9, 100%, $F$9) + CHOOSE(CONTROL!$C$27, 0.0021, 0)</f>
        <v>50.065599999999996</v>
      </c>
      <c r="I509" s="10">
        <f>50.0635 * CHOOSE(CONTROL!$C$9, $D$9, 100%, $F$9) + CHOOSE(CONTROL!$C$27, 0.0021, 0)</f>
        <v>50.065599999999996</v>
      </c>
      <c r="J509" s="10">
        <f>50.0635 * CHOOSE(CONTROL!$C$9, $D$9, 100%, $F$9) + CHOOSE(CONTROL!$C$27, 0.0021, 0)</f>
        <v>50.065599999999996</v>
      </c>
      <c r="K509" s="10">
        <f>50.0635 * CHOOSE(CONTROL!$C$9, $D$9, 100%, $F$9) + CHOOSE(CONTROL!$C$27, 0.0021, 0)</f>
        <v>50.065599999999996</v>
      </c>
      <c r="L509" s="10"/>
    </row>
    <row r="510" spans="1:12" ht="15.75" x14ac:dyDescent="0.25">
      <c r="A510" s="13">
        <v>56826</v>
      </c>
      <c r="B510" s="10">
        <f>51.4635 * CHOOSE(CONTROL!$C$9, $D$9, 100%, $F$9) + CHOOSE(CONTROL!$C$27, 0.0021, 0)</f>
        <v>51.465600000000002</v>
      </c>
      <c r="C510" s="10">
        <f>51.0312 * CHOOSE(CONTROL!$C$9, $D$9, 100%, $F$9) + CHOOSE(CONTROL!$C$27, 0.0021, 0)</f>
        <v>51.033299999999997</v>
      </c>
      <c r="D510" s="10">
        <f>51.0312 * CHOOSE(CONTROL!$C$9, $D$9, 100%, $F$9) + CHOOSE(CONTROL!$C$27, 0.0021, 0)</f>
        <v>51.033299999999997</v>
      </c>
      <c r="E510" s="10">
        <f>50.8946 * CHOOSE(CONTROL!$C$9, $D$9, 100%, $F$9) + CHOOSE(CONTROL!$C$27, 0.0021, 0)</f>
        <v>50.896699999999996</v>
      </c>
      <c r="F510" s="10">
        <f>50.8946 * CHOOSE(CONTROL!$C$9, $D$9, 100%, $F$9) + CHOOSE(CONTROL!$C$27, 0.0021, 0)</f>
        <v>50.896699999999996</v>
      </c>
      <c r="G510" s="10">
        <f>51.1659 * CHOOSE(CONTROL!$C$9, $D$9, 100%, $F$9) + CHOOSE(CONTROL!$C$27, 0.0021, 0)</f>
        <v>51.167999999999999</v>
      </c>
      <c r="H510" s="10">
        <f>51.0312 * CHOOSE(CONTROL!$C$9, $D$9, 100%, $F$9) + CHOOSE(CONTROL!$C$27, 0.0021, 0)</f>
        <v>51.033299999999997</v>
      </c>
      <c r="I510" s="10">
        <f>51.0312 * CHOOSE(CONTROL!$C$9, $D$9, 100%, $F$9) + CHOOSE(CONTROL!$C$27, 0.0021, 0)</f>
        <v>51.033299999999997</v>
      </c>
      <c r="J510" s="10">
        <f>51.0312 * CHOOSE(CONTROL!$C$9, $D$9, 100%, $F$9) + CHOOSE(CONTROL!$C$27, 0.0021, 0)</f>
        <v>51.033299999999997</v>
      </c>
      <c r="K510" s="10">
        <f>51.0312 * CHOOSE(CONTROL!$C$9, $D$9, 100%, $F$9) + CHOOSE(CONTROL!$C$27, 0.0021, 0)</f>
        <v>51.033299999999997</v>
      </c>
      <c r="L510" s="10"/>
    </row>
    <row r="511" spans="1:12" ht="15.75" x14ac:dyDescent="0.25">
      <c r="A511" s="13">
        <v>56857</v>
      </c>
      <c r="B511" s="10">
        <f>51.7588 * CHOOSE(CONTROL!$C$9, $D$9, 100%, $F$9) + CHOOSE(CONTROL!$C$27, 0.0021, 0)</f>
        <v>51.760899999999999</v>
      </c>
      <c r="C511" s="10">
        <f>51.3266 * CHOOSE(CONTROL!$C$9, $D$9, 100%, $F$9) + CHOOSE(CONTROL!$C$27, 0.0021, 0)</f>
        <v>51.328699999999998</v>
      </c>
      <c r="D511" s="10">
        <f>51.3266 * CHOOSE(CONTROL!$C$9, $D$9, 100%, $F$9) + CHOOSE(CONTROL!$C$27, 0.0021, 0)</f>
        <v>51.328699999999998</v>
      </c>
      <c r="E511" s="10">
        <f>51.1899 * CHOOSE(CONTROL!$C$9, $D$9, 100%, $F$9) + CHOOSE(CONTROL!$C$27, 0.0021, 0)</f>
        <v>51.192</v>
      </c>
      <c r="F511" s="10">
        <f>51.1899 * CHOOSE(CONTROL!$C$9, $D$9, 100%, $F$9) + CHOOSE(CONTROL!$C$27, 0.0021, 0)</f>
        <v>51.192</v>
      </c>
      <c r="G511" s="10">
        <f>51.4613 * CHOOSE(CONTROL!$C$9, $D$9, 100%, $F$9) + CHOOSE(CONTROL!$C$27, 0.0021, 0)</f>
        <v>51.4634</v>
      </c>
      <c r="H511" s="10">
        <f>51.3266 * CHOOSE(CONTROL!$C$9, $D$9, 100%, $F$9) + CHOOSE(CONTROL!$C$27, 0.0021, 0)</f>
        <v>51.328699999999998</v>
      </c>
      <c r="I511" s="10">
        <f>51.3266 * CHOOSE(CONTROL!$C$9, $D$9, 100%, $F$9) + CHOOSE(CONTROL!$C$27, 0.0021, 0)</f>
        <v>51.328699999999998</v>
      </c>
      <c r="J511" s="10">
        <f>51.3266 * CHOOSE(CONTROL!$C$9, $D$9, 100%, $F$9) + CHOOSE(CONTROL!$C$27, 0.0021, 0)</f>
        <v>51.328699999999998</v>
      </c>
      <c r="K511" s="10">
        <f>51.3266 * CHOOSE(CONTROL!$C$9, $D$9, 100%, $F$9) + CHOOSE(CONTROL!$C$27, 0.0021, 0)</f>
        <v>51.328699999999998</v>
      </c>
      <c r="L511" s="10"/>
    </row>
    <row r="512" spans="1:12" ht="15.75" x14ac:dyDescent="0.25">
      <c r="A512" s="13">
        <v>56887</v>
      </c>
      <c r="B512" s="10">
        <f>52.7647 * CHOOSE(CONTROL!$C$9, $D$9, 100%, $F$9) + CHOOSE(CONTROL!$C$27, 0.0021, 0)</f>
        <v>52.766799999999996</v>
      </c>
      <c r="C512" s="10">
        <f>52.3325 * CHOOSE(CONTROL!$C$9, $D$9, 100%, $F$9) + CHOOSE(CONTROL!$C$27, 0.0021, 0)</f>
        <v>52.334600000000002</v>
      </c>
      <c r="D512" s="10">
        <f>52.3325 * CHOOSE(CONTROL!$C$9, $D$9, 100%, $F$9) + CHOOSE(CONTROL!$C$27, 0.0021, 0)</f>
        <v>52.334600000000002</v>
      </c>
      <c r="E512" s="10">
        <f>52.1958 * CHOOSE(CONTROL!$C$9, $D$9, 100%, $F$9) + CHOOSE(CONTROL!$C$27, 0.0021, 0)</f>
        <v>52.197899999999997</v>
      </c>
      <c r="F512" s="10">
        <f>52.1958 * CHOOSE(CONTROL!$C$9, $D$9, 100%, $F$9) + CHOOSE(CONTROL!$C$27, 0.0021, 0)</f>
        <v>52.197899999999997</v>
      </c>
      <c r="G512" s="10">
        <f>52.4672 * CHOOSE(CONTROL!$C$9, $D$9, 100%, $F$9) + CHOOSE(CONTROL!$C$27, 0.0021, 0)</f>
        <v>52.469299999999997</v>
      </c>
      <c r="H512" s="10">
        <f>52.3325 * CHOOSE(CONTROL!$C$9, $D$9, 100%, $F$9) + CHOOSE(CONTROL!$C$27, 0.0021, 0)</f>
        <v>52.334600000000002</v>
      </c>
      <c r="I512" s="10">
        <f>52.3325 * CHOOSE(CONTROL!$C$9, $D$9, 100%, $F$9) + CHOOSE(CONTROL!$C$27, 0.0021, 0)</f>
        <v>52.334600000000002</v>
      </c>
      <c r="J512" s="10">
        <f>52.3325 * CHOOSE(CONTROL!$C$9, $D$9, 100%, $F$9) + CHOOSE(CONTROL!$C$27, 0.0021, 0)</f>
        <v>52.334600000000002</v>
      </c>
      <c r="K512" s="10">
        <f>52.3325 * CHOOSE(CONTROL!$C$9, $D$9, 100%, $F$9) + CHOOSE(CONTROL!$C$27, 0.0021, 0)</f>
        <v>52.334600000000002</v>
      </c>
      <c r="L512" s="10"/>
    </row>
    <row r="513" spans="1:12" ht="15.75" x14ac:dyDescent="0.25">
      <c r="A513" s="13">
        <v>56918</v>
      </c>
      <c r="B513" s="10">
        <f>54.038 * CHOOSE(CONTROL!$C$9, $D$9, 100%, $F$9) + CHOOSE(CONTROL!$C$27, 0.0021, 0)</f>
        <v>54.040099999999995</v>
      </c>
      <c r="C513" s="10">
        <f>53.6058 * CHOOSE(CONTROL!$C$9, $D$9, 100%, $F$9) + CHOOSE(CONTROL!$C$27, 0.0021, 0)</f>
        <v>53.607900000000001</v>
      </c>
      <c r="D513" s="10">
        <f>53.6058 * CHOOSE(CONTROL!$C$9, $D$9, 100%, $F$9) + CHOOSE(CONTROL!$C$27, 0.0021, 0)</f>
        <v>53.607900000000001</v>
      </c>
      <c r="E513" s="10">
        <f>53.4691 * CHOOSE(CONTROL!$C$9, $D$9, 100%, $F$9) + CHOOSE(CONTROL!$C$27, 0.0021, 0)</f>
        <v>53.471199999999996</v>
      </c>
      <c r="F513" s="10">
        <f>53.4691 * CHOOSE(CONTROL!$C$9, $D$9, 100%, $F$9) + CHOOSE(CONTROL!$C$27, 0.0021, 0)</f>
        <v>53.471199999999996</v>
      </c>
      <c r="G513" s="10">
        <f>53.7405 * CHOOSE(CONTROL!$C$9, $D$9, 100%, $F$9) + CHOOSE(CONTROL!$C$27, 0.0021, 0)</f>
        <v>53.742599999999996</v>
      </c>
      <c r="H513" s="10">
        <f>53.6058 * CHOOSE(CONTROL!$C$9, $D$9, 100%, $F$9) + CHOOSE(CONTROL!$C$27, 0.0021, 0)</f>
        <v>53.607900000000001</v>
      </c>
      <c r="I513" s="10">
        <f>53.6058 * CHOOSE(CONTROL!$C$9, $D$9, 100%, $F$9) + CHOOSE(CONTROL!$C$27, 0.0021, 0)</f>
        <v>53.607900000000001</v>
      </c>
      <c r="J513" s="10">
        <f>53.6058 * CHOOSE(CONTROL!$C$9, $D$9, 100%, $F$9) + CHOOSE(CONTROL!$C$27, 0.0021, 0)</f>
        <v>53.607900000000001</v>
      </c>
      <c r="K513" s="10">
        <f>53.6058 * CHOOSE(CONTROL!$C$9, $D$9, 100%, $F$9) + CHOOSE(CONTROL!$C$27, 0.0021, 0)</f>
        <v>53.607900000000001</v>
      </c>
      <c r="L513" s="10"/>
    </row>
    <row r="514" spans="1:12" ht="15.75" x14ac:dyDescent="0.25">
      <c r="A514" s="13">
        <v>56948</v>
      </c>
      <c r="B514" s="10">
        <f>54.1576 * CHOOSE(CONTROL!$C$9, $D$9, 100%, $F$9) + CHOOSE(CONTROL!$C$27, 0.0021, 0)</f>
        <v>54.159700000000001</v>
      </c>
      <c r="C514" s="10">
        <f>53.7253 * CHOOSE(CONTROL!$C$9, $D$9, 100%, $F$9) + CHOOSE(CONTROL!$C$27, 0.0021, 0)</f>
        <v>53.727399999999996</v>
      </c>
      <c r="D514" s="10">
        <f>53.7253 * CHOOSE(CONTROL!$C$9, $D$9, 100%, $F$9) + CHOOSE(CONTROL!$C$27, 0.0021, 0)</f>
        <v>53.727399999999996</v>
      </c>
      <c r="E514" s="10">
        <f>53.5887 * CHOOSE(CONTROL!$C$9, $D$9, 100%, $F$9) + CHOOSE(CONTROL!$C$27, 0.0021, 0)</f>
        <v>53.590800000000002</v>
      </c>
      <c r="F514" s="10">
        <f>53.5887 * CHOOSE(CONTROL!$C$9, $D$9, 100%, $F$9) + CHOOSE(CONTROL!$C$27, 0.0021, 0)</f>
        <v>53.590800000000002</v>
      </c>
      <c r="G514" s="10">
        <f>53.86 * CHOOSE(CONTROL!$C$9, $D$9, 100%, $F$9) + CHOOSE(CONTROL!$C$27, 0.0021, 0)</f>
        <v>53.862099999999998</v>
      </c>
      <c r="H514" s="10">
        <f>53.7253 * CHOOSE(CONTROL!$C$9, $D$9, 100%, $F$9) + CHOOSE(CONTROL!$C$27, 0.0021, 0)</f>
        <v>53.727399999999996</v>
      </c>
      <c r="I514" s="10">
        <f>53.7253 * CHOOSE(CONTROL!$C$9, $D$9, 100%, $F$9) + CHOOSE(CONTROL!$C$27, 0.0021, 0)</f>
        <v>53.727399999999996</v>
      </c>
      <c r="J514" s="10">
        <f>53.7253 * CHOOSE(CONTROL!$C$9, $D$9, 100%, $F$9) + CHOOSE(CONTROL!$C$27, 0.0021, 0)</f>
        <v>53.727399999999996</v>
      </c>
      <c r="K514" s="10">
        <f>53.7253 * CHOOSE(CONTROL!$C$9, $D$9, 100%, $F$9) + CHOOSE(CONTROL!$C$27, 0.0021, 0)</f>
        <v>53.727399999999996</v>
      </c>
      <c r="L514" s="10"/>
    </row>
    <row r="515" spans="1:12" ht="15.75" x14ac:dyDescent="0.25">
      <c r="A515" s="13">
        <v>56979</v>
      </c>
      <c r="B515" s="10">
        <f>53.1406 * CHOOSE(CONTROL!$C$9, $D$9, 100%, $F$9) + CHOOSE(CONTROL!$C$27, 0.0021, 0)</f>
        <v>53.142699999999998</v>
      </c>
      <c r="C515" s="10">
        <f>52.7084 * CHOOSE(CONTROL!$C$9, $D$9, 100%, $F$9) + CHOOSE(CONTROL!$C$27, 0.0021, 0)</f>
        <v>52.710499999999996</v>
      </c>
      <c r="D515" s="10">
        <f>52.7084 * CHOOSE(CONTROL!$C$9, $D$9, 100%, $F$9) + CHOOSE(CONTROL!$C$27, 0.0021, 0)</f>
        <v>52.710499999999996</v>
      </c>
      <c r="E515" s="10">
        <f>52.5717 * CHOOSE(CONTROL!$C$9, $D$9, 100%, $F$9) + CHOOSE(CONTROL!$C$27, 0.0021, 0)</f>
        <v>52.573799999999999</v>
      </c>
      <c r="F515" s="10">
        <f>52.5717 * CHOOSE(CONTROL!$C$9, $D$9, 100%, $F$9) + CHOOSE(CONTROL!$C$27, 0.0021, 0)</f>
        <v>52.573799999999999</v>
      </c>
      <c r="G515" s="10">
        <f>52.8431 * CHOOSE(CONTROL!$C$9, $D$9, 100%, $F$9) + CHOOSE(CONTROL!$C$27, 0.0021, 0)</f>
        <v>52.845199999999998</v>
      </c>
      <c r="H515" s="10">
        <f>52.7084 * CHOOSE(CONTROL!$C$9, $D$9, 100%, $F$9) + CHOOSE(CONTROL!$C$27, 0.0021, 0)</f>
        <v>52.710499999999996</v>
      </c>
      <c r="I515" s="10">
        <f>52.7084 * CHOOSE(CONTROL!$C$9, $D$9, 100%, $F$9) + CHOOSE(CONTROL!$C$27, 0.0021, 0)</f>
        <v>52.710499999999996</v>
      </c>
      <c r="J515" s="10">
        <f>52.7084 * CHOOSE(CONTROL!$C$9, $D$9, 100%, $F$9) + CHOOSE(CONTROL!$C$27, 0.0021, 0)</f>
        <v>52.710499999999996</v>
      </c>
      <c r="K515" s="10">
        <f>52.7084 * CHOOSE(CONTROL!$C$9, $D$9, 100%, $F$9) + CHOOSE(CONTROL!$C$27, 0.0021, 0)</f>
        <v>52.710499999999996</v>
      </c>
      <c r="L515" s="10"/>
    </row>
    <row r="516" spans="1:12" ht="15.75" x14ac:dyDescent="0.25">
      <c r="A516" s="13">
        <v>57010</v>
      </c>
      <c r="B516" s="10">
        <f>52.362 * CHOOSE(CONTROL!$C$9, $D$9, 100%, $F$9) + CHOOSE(CONTROL!$C$27, 0.0021, 0)</f>
        <v>52.364100000000001</v>
      </c>
      <c r="C516" s="10">
        <f>51.9297 * CHOOSE(CONTROL!$C$9, $D$9, 100%, $F$9) + CHOOSE(CONTROL!$C$27, 0.0021, 0)</f>
        <v>51.931799999999996</v>
      </c>
      <c r="D516" s="10">
        <f>51.9297 * CHOOSE(CONTROL!$C$9, $D$9, 100%, $F$9) + CHOOSE(CONTROL!$C$27, 0.0021, 0)</f>
        <v>51.931799999999996</v>
      </c>
      <c r="E516" s="10">
        <f>51.7931 * CHOOSE(CONTROL!$C$9, $D$9, 100%, $F$9) + CHOOSE(CONTROL!$C$27, 0.0021, 0)</f>
        <v>51.795200000000001</v>
      </c>
      <c r="F516" s="10">
        <f>51.7931 * CHOOSE(CONTROL!$C$9, $D$9, 100%, $F$9) + CHOOSE(CONTROL!$C$27, 0.0021, 0)</f>
        <v>51.795200000000001</v>
      </c>
      <c r="G516" s="10">
        <f>52.0645 * CHOOSE(CONTROL!$C$9, $D$9, 100%, $F$9) + CHOOSE(CONTROL!$C$27, 0.0021, 0)</f>
        <v>52.066600000000001</v>
      </c>
      <c r="H516" s="10">
        <f>51.9297 * CHOOSE(CONTROL!$C$9, $D$9, 100%, $F$9) + CHOOSE(CONTROL!$C$27, 0.0021, 0)</f>
        <v>51.931799999999996</v>
      </c>
      <c r="I516" s="10">
        <f>51.9297 * CHOOSE(CONTROL!$C$9, $D$9, 100%, $F$9) + CHOOSE(CONTROL!$C$27, 0.0021, 0)</f>
        <v>51.931799999999996</v>
      </c>
      <c r="J516" s="10">
        <f>51.9297 * CHOOSE(CONTROL!$C$9, $D$9, 100%, $F$9) + CHOOSE(CONTROL!$C$27, 0.0021, 0)</f>
        <v>51.931799999999996</v>
      </c>
      <c r="K516" s="10">
        <f>51.9297 * CHOOSE(CONTROL!$C$9, $D$9, 100%, $F$9) + CHOOSE(CONTROL!$C$27, 0.0021, 0)</f>
        <v>51.931799999999996</v>
      </c>
      <c r="L516" s="10"/>
    </row>
    <row r="517" spans="1:12" ht="15.75" x14ac:dyDescent="0.25">
      <c r="A517" s="13">
        <v>57038</v>
      </c>
      <c r="B517" s="10">
        <f>50.9458 * CHOOSE(CONTROL!$C$9, $D$9, 100%, $F$9) + CHOOSE(CONTROL!$C$27, 0.0021, 0)</f>
        <v>50.947899999999997</v>
      </c>
      <c r="C517" s="10">
        <f>50.5135 * CHOOSE(CONTROL!$C$9, $D$9, 100%, $F$9) + CHOOSE(CONTROL!$C$27, 0.0021, 0)</f>
        <v>50.515599999999999</v>
      </c>
      <c r="D517" s="10">
        <f>50.5135 * CHOOSE(CONTROL!$C$9, $D$9, 100%, $F$9) + CHOOSE(CONTROL!$C$27, 0.0021, 0)</f>
        <v>50.515599999999999</v>
      </c>
      <c r="E517" s="10">
        <f>50.3768 * CHOOSE(CONTROL!$C$9, $D$9, 100%, $F$9) + CHOOSE(CONTROL!$C$27, 0.0021, 0)</f>
        <v>50.378900000000002</v>
      </c>
      <c r="F517" s="10">
        <f>50.3768 * CHOOSE(CONTROL!$C$9, $D$9, 100%, $F$9) + CHOOSE(CONTROL!$C$27, 0.0021, 0)</f>
        <v>50.378900000000002</v>
      </c>
      <c r="G517" s="10">
        <f>50.6482 * CHOOSE(CONTROL!$C$9, $D$9, 100%, $F$9) + CHOOSE(CONTROL!$C$27, 0.0021, 0)</f>
        <v>50.650300000000001</v>
      </c>
      <c r="H517" s="10">
        <f>50.5135 * CHOOSE(CONTROL!$C$9, $D$9, 100%, $F$9) + CHOOSE(CONTROL!$C$27, 0.0021, 0)</f>
        <v>50.515599999999999</v>
      </c>
      <c r="I517" s="10">
        <f>50.5135 * CHOOSE(CONTROL!$C$9, $D$9, 100%, $F$9) + CHOOSE(CONTROL!$C$27, 0.0021, 0)</f>
        <v>50.515599999999999</v>
      </c>
      <c r="J517" s="10">
        <f>50.5135 * CHOOSE(CONTROL!$C$9, $D$9, 100%, $F$9) + CHOOSE(CONTROL!$C$27, 0.0021, 0)</f>
        <v>50.515599999999999</v>
      </c>
      <c r="K517" s="10">
        <f>50.5135 * CHOOSE(CONTROL!$C$9, $D$9, 100%, $F$9) + CHOOSE(CONTROL!$C$27, 0.0021, 0)</f>
        <v>50.515599999999999</v>
      </c>
      <c r="L517" s="10"/>
    </row>
    <row r="518" spans="1:12" ht="15.75" x14ac:dyDescent="0.25">
      <c r="A518" s="13">
        <v>57070</v>
      </c>
      <c r="B518" s="10">
        <f>50.3611 * CHOOSE(CONTROL!$C$9, $D$9, 100%, $F$9) + CHOOSE(CONTROL!$C$27, 0.0021, 0)</f>
        <v>50.363199999999999</v>
      </c>
      <c r="C518" s="10">
        <f>49.9289 * CHOOSE(CONTROL!$C$9, $D$9, 100%, $F$9) + CHOOSE(CONTROL!$C$27, 0.0021, 0)</f>
        <v>49.930999999999997</v>
      </c>
      <c r="D518" s="10">
        <f>49.9289 * CHOOSE(CONTROL!$C$9, $D$9, 100%, $F$9) + CHOOSE(CONTROL!$C$27, 0.0021, 0)</f>
        <v>49.930999999999997</v>
      </c>
      <c r="E518" s="10">
        <f>49.7922 * CHOOSE(CONTROL!$C$9, $D$9, 100%, $F$9) + CHOOSE(CONTROL!$C$27, 0.0021, 0)</f>
        <v>49.7943</v>
      </c>
      <c r="F518" s="10">
        <f>49.7922 * CHOOSE(CONTROL!$C$9, $D$9, 100%, $F$9) + CHOOSE(CONTROL!$C$27, 0.0021, 0)</f>
        <v>49.7943</v>
      </c>
      <c r="G518" s="10">
        <f>50.0636 * CHOOSE(CONTROL!$C$9, $D$9, 100%, $F$9) + CHOOSE(CONTROL!$C$27, 0.0021, 0)</f>
        <v>50.0657</v>
      </c>
      <c r="H518" s="10">
        <f>49.9289 * CHOOSE(CONTROL!$C$9, $D$9, 100%, $F$9) + CHOOSE(CONTROL!$C$27, 0.0021, 0)</f>
        <v>49.930999999999997</v>
      </c>
      <c r="I518" s="10">
        <f>49.9289 * CHOOSE(CONTROL!$C$9, $D$9, 100%, $F$9) + CHOOSE(CONTROL!$C$27, 0.0021, 0)</f>
        <v>49.930999999999997</v>
      </c>
      <c r="J518" s="10">
        <f>49.9289 * CHOOSE(CONTROL!$C$9, $D$9, 100%, $F$9) + CHOOSE(CONTROL!$C$27, 0.0021, 0)</f>
        <v>49.930999999999997</v>
      </c>
      <c r="K518" s="10">
        <f>49.9289 * CHOOSE(CONTROL!$C$9, $D$9, 100%, $F$9) + CHOOSE(CONTROL!$C$27, 0.0021, 0)</f>
        <v>49.930999999999997</v>
      </c>
      <c r="L518" s="10"/>
    </row>
    <row r="519" spans="1:12" ht="15.75" x14ac:dyDescent="0.25">
      <c r="A519" s="13">
        <v>57100</v>
      </c>
      <c r="B519" s="10">
        <f>49.6631 * CHOOSE(CONTROL!$C$9, $D$9, 100%, $F$9) + CHOOSE(CONTROL!$C$27, 0.0021, 0)</f>
        <v>49.665199999999999</v>
      </c>
      <c r="C519" s="10">
        <f>49.2308 * CHOOSE(CONTROL!$C$9, $D$9, 100%, $F$9) + CHOOSE(CONTROL!$C$27, 0.0021, 0)</f>
        <v>49.232900000000001</v>
      </c>
      <c r="D519" s="10">
        <f>49.2308 * CHOOSE(CONTROL!$C$9, $D$9, 100%, $F$9) + CHOOSE(CONTROL!$C$27, 0.0021, 0)</f>
        <v>49.232900000000001</v>
      </c>
      <c r="E519" s="10">
        <f>49.0942 * CHOOSE(CONTROL!$C$9, $D$9, 100%, $F$9) + CHOOSE(CONTROL!$C$27, 0.0021, 0)</f>
        <v>49.096299999999999</v>
      </c>
      <c r="F519" s="10">
        <f>49.0942 * CHOOSE(CONTROL!$C$9, $D$9, 100%, $F$9) + CHOOSE(CONTROL!$C$27, 0.0021, 0)</f>
        <v>49.096299999999999</v>
      </c>
      <c r="G519" s="10">
        <f>49.3655 * CHOOSE(CONTROL!$C$9, $D$9, 100%, $F$9) + CHOOSE(CONTROL!$C$27, 0.0021, 0)</f>
        <v>49.367599999999996</v>
      </c>
      <c r="H519" s="10">
        <f>49.2308 * CHOOSE(CONTROL!$C$9, $D$9, 100%, $F$9) + CHOOSE(CONTROL!$C$27, 0.0021, 0)</f>
        <v>49.232900000000001</v>
      </c>
      <c r="I519" s="10">
        <f>49.2308 * CHOOSE(CONTROL!$C$9, $D$9, 100%, $F$9) + CHOOSE(CONTROL!$C$27, 0.0021, 0)</f>
        <v>49.232900000000001</v>
      </c>
      <c r="J519" s="10">
        <f>49.2308 * CHOOSE(CONTROL!$C$9, $D$9, 100%, $F$9) + CHOOSE(CONTROL!$C$27, 0.0021, 0)</f>
        <v>49.232900000000001</v>
      </c>
      <c r="K519" s="10">
        <f>49.2308 * CHOOSE(CONTROL!$C$9, $D$9, 100%, $F$9) + CHOOSE(CONTROL!$C$27, 0.0021, 0)</f>
        <v>49.232900000000001</v>
      </c>
      <c r="L519" s="10"/>
    </row>
    <row r="520" spans="1:12" ht="15.75" x14ac:dyDescent="0.25">
      <c r="A520" s="13">
        <v>57131</v>
      </c>
      <c r="B520" s="10">
        <f>50.6579 * CHOOSE(CONTROL!$C$9, $D$9, 100%, $F$9) + CHOOSE(CONTROL!$C$27, 0.0021, 0)</f>
        <v>50.66</v>
      </c>
      <c r="C520" s="10">
        <f>50.2256 * CHOOSE(CONTROL!$C$9, $D$9, 100%, $F$9) + CHOOSE(CONTROL!$C$27, 0.0021, 0)</f>
        <v>50.227699999999999</v>
      </c>
      <c r="D520" s="10">
        <f>50.2256 * CHOOSE(CONTROL!$C$9, $D$9, 100%, $F$9) + CHOOSE(CONTROL!$C$27, 0.0021, 0)</f>
        <v>50.227699999999999</v>
      </c>
      <c r="E520" s="10">
        <f>50.089 * CHOOSE(CONTROL!$C$9, $D$9, 100%, $F$9) + CHOOSE(CONTROL!$C$27, 0.0021, 0)</f>
        <v>50.091099999999997</v>
      </c>
      <c r="F520" s="10">
        <f>50.089 * CHOOSE(CONTROL!$C$9, $D$9, 100%, $F$9) + CHOOSE(CONTROL!$C$27, 0.0021, 0)</f>
        <v>50.091099999999997</v>
      </c>
      <c r="G520" s="10">
        <f>50.3604 * CHOOSE(CONTROL!$C$9, $D$9, 100%, $F$9) + CHOOSE(CONTROL!$C$27, 0.0021, 0)</f>
        <v>50.362499999999997</v>
      </c>
      <c r="H520" s="10">
        <f>50.2256 * CHOOSE(CONTROL!$C$9, $D$9, 100%, $F$9) + CHOOSE(CONTROL!$C$27, 0.0021, 0)</f>
        <v>50.227699999999999</v>
      </c>
      <c r="I520" s="10">
        <f>50.2256 * CHOOSE(CONTROL!$C$9, $D$9, 100%, $F$9) + CHOOSE(CONTROL!$C$27, 0.0021, 0)</f>
        <v>50.227699999999999</v>
      </c>
      <c r="J520" s="10">
        <f>50.2256 * CHOOSE(CONTROL!$C$9, $D$9, 100%, $F$9) + CHOOSE(CONTROL!$C$27, 0.0021, 0)</f>
        <v>50.227699999999999</v>
      </c>
      <c r="K520" s="10">
        <f>50.2256 * CHOOSE(CONTROL!$C$9, $D$9, 100%, $F$9) + CHOOSE(CONTROL!$C$27, 0.0021, 0)</f>
        <v>50.227699999999999</v>
      </c>
      <c r="L520" s="10"/>
    </row>
    <row r="521" spans="1:12" ht="15.75" x14ac:dyDescent="0.25">
      <c r="A521" s="13">
        <v>57161</v>
      </c>
      <c r="B521" s="10">
        <f>51.2537 * CHOOSE(CONTROL!$C$9, $D$9, 100%, $F$9) + CHOOSE(CONTROL!$C$27, 0.0021, 0)</f>
        <v>51.255800000000001</v>
      </c>
      <c r="C521" s="10">
        <f>50.8215 * CHOOSE(CONTROL!$C$9, $D$9, 100%, $F$9) + CHOOSE(CONTROL!$C$27, 0.0021, 0)</f>
        <v>50.823599999999999</v>
      </c>
      <c r="D521" s="10">
        <f>50.8215 * CHOOSE(CONTROL!$C$9, $D$9, 100%, $F$9) + CHOOSE(CONTROL!$C$27, 0.0021, 0)</f>
        <v>50.823599999999999</v>
      </c>
      <c r="E521" s="10">
        <f>50.6848 * CHOOSE(CONTROL!$C$9, $D$9, 100%, $F$9) + CHOOSE(CONTROL!$C$27, 0.0021, 0)</f>
        <v>50.686900000000001</v>
      </c>
      <c r="F521" s="10">
        <f>50.6848 * CHOOSE(CONTROL!$C$9, $D$9, 100%, $F$9) + CHOOSE(CONTROL!$C$27, 0.0021, 0)</f>
        <v>50.686900000000001</v>
      </c>
      <c r="G521" s="10">
        <f>50.9562 * CHOOSE(CONTROL!$C$9, $D$9, 100%, $F$9) + CHOOSE(CONTROL!$C$27, 0.0021, 0)</f>
        <v>50.958300000000001</v>
      </c>
      <c r="H521" s="10">
        <f>50.8215 * CHOOSE(CONTROL!$C$9, $D$9, 100%, $F$9) + CHOOSE(CONTROL!$C$27, 0.0021, 0)</f>
        <v>50.823599999999999</v>
      </c>
      <c r="I521" s="10">
        <f>50.8215 * CHOOSE(CONTROL!$C$9, $D$9, 100%, $F$9) + CHOOSE(CONTROL!$C$27, 0.0021, 0)</f>
        <v>50.823599999999999</v>
      </c>
      <c r="J521" s="10">
        <f>50.8215 * CHOOSE(CONTROL!$C$9, $D$9, 100%, $F$9) + CHOOSE(CONTROL!$C$27, 0.0021, 0)</f>
        <v>50.823599999999999</v>
      </c>
      <c r="K521" s="10">
        <f>50.8215 * CHOOSE(CONTROL!$C$9, $D$9, 100%, $F$9) + CHOOSE(CONTROL!$C$27, 0.0021, 0)</f>
        <v>50.823599999999999</v>
      </c>
      <c r="L521" s="10"/>
    </row>
    <row r="522" spans="1:12" ht="15.75" x14ac:dyDescent="0.25">
      <c r="A522" s="13">
        <v>57192</v>
      </c>
      <c r="B522" s="10">
        <f>52.2367 * CHOOSE(CONTROL!$C$9, $D$9, 100%, $F$9) + CHOOSE(CONTROL!$C$27, 0.0021, 0)</f>
        <v>52.238799999999998</v>
      </c>
      <c r="C522" s="10">
        <f>51.8044 * CHOOSE(CONTROL!$C$9, $D$9, 100%, $F$9) + CHOOSE(CONTROL!$C$27, 0.0021, 0)</f>
        <v>51.8065</v>
      </c>
      <c r="D522" s="10">
        <f>51.8044 * CHOOSE(CONTROL!$C$9, $D$9, 100%, $F$9) + CHOOSE(CONTROL!$C$27, 0.0021, 0)</f>
        <v>51.8065</v>
      </c>
      <c r="E522" s="10">
        <f>51.6678 * CHOOSE(CONTROL!$C$9, $D$9, 100%, $F$9) + CHOOSE(CONTROL!$C$27, 0.0021, 0)</f>
        <v>51.669899999999998</v>
      </c>
      <c r="F522" s="10">
        <f>51.6678 * CHOOSE(CONTROL!$C$9, $D$9, 100%, $F$9) + CHOOSE(CONTROL!$C$27, 0.0021, 0)</f>
        <v>51.669899999999998</v>
      </c>
      <c r="G522" s="10">
        <f>51.9391 * CHOOSE(CONTROL!$C$9, $D$9, 100%, $F$9) + CHOOSE(CONTROL!$C$27, 0.0021, 0)</f>
        <v>51.941200000000002</v>
      </c>
      <c r="H522" s="10">
        <f>51.8044 * CHOOSE(CONTROL!$C$9, $D$9, 100%, $F$9) + CHOOSE(CONTROL!$C$27, 0.0021, 0)</f>
        <v>51.8065</v>
      </c>
      <c r="I522" s="10">
        <f>51.8044 * CHOOSE(CONTROL!$C$9, $D$9, 100%, $F$9) + CHOOSE(CONTROL!$C$27, 0.0021, 0)</f>
        <v>51.8065</v>
      </c>
      <c r="J522" s="10">
        <f>51.8044 * CHOOSE(CONTROL!$C$9, $D$9, 100%, $F$9) + CHOOSE(CONTROL!$C$27, 0.0021, 0)</f>
        <v>51.8065</v>
      </c>
      <c r="K522" s="10">
        <f>51.8044 * CHOOSE(CONTROL!$C$9, $D$9, 100%, $F$9) + CHOOSE(CONTROL!$C$27, 0.0021, 0)</f>
        <v>51.8065</v>
      </c>
      <c r="L522" s="10"/>
    </row>
    <row r="523" spans="1:12" ht="15.75" x14ac:dyDescent="0.25">
      <c r="A523" s="13">
        <v>57223</v>
      </c>
      <c r="B523" s="10">
        <f>52.5367 * CHOOSE(CONTROL!$C$9, $D$9, 100%, $F$9) + CHOOSE(CONTROL!$C$27, 0.0021, 0)</f>
        <v>52.538800000000002</v>
      </c>
      <c r="C523" s="10">
        <f>52.1044 * CHOOSE(CONTROL!$C$9, $D$9, 100%, $F$9) + CHOOSE(CONTROL!$C$27, 0.0021, 0)</f>
        <v>52.106499999999997</v>
      </c>
      <c r="D523" s="10">
        <f>52.1044 * CHOOSE(CONTROL!$C$9, $D$9, 100%, $F$9) + CHOOSE(CONTROL!$C$27, 0.0021, 0)</f>
        <v>52.106499999999997</v>
      </c>
      <c r="E523" s="10">
        <f>51.9678 * CHOOSE(CONTROL!$C$9, $D$9, 100%, $F$9) + CHOOSE(CONTROL!$C$27, 0.0021, 0)</f>
        <v>51.969899999999996</v>
      </c>
      <c r="F523" s="10">
        <f>51.9678 * CHOOSE(CONTROL!$C$9, $D$9, 100%, $F$9) + CHOOSE(CONTROL!$C$27, 0.0021, 0)</f>
        <v>51.969899999999996</v>
      </c>
      <c r="G523" s="10">
        <f>52.2392 * CHOOSE(CONTROL!$C$9, $D$9, 100%, $F$9) + CHOOSE(CONTROL!$C$27, 0.0021, 0)</f>
        <v>52.241299999999995</v>
      </c>
      <c r="H523" s="10">
        <f>52.1044 * CHOOSE(CONTROL!$C$9, $D$9, 100%, $F$9) + CHOOSE(CONTROL!$C$27, 0.0021, 0)</f>
        <v>52.106499999999997</v>
      </c>
      <c r="I523" s="10">
        <f>52.1044 * CHOOSE(CONTROL!$C$9, $D$9, 100%, $F$9) + CHOOSE(CONTROL!$C$27, 0.0021, 0)</f>
        <v>52.106499999999997</v>
      </c>
      <c r="J523" s="10">
        <f>52.1044 * CHOOSE(CONTROL!$C$9, $D$9, 100%, $F$9) + CHOOSE(CONTROL!$C$27, 0.0021, 0)</f>
        <v>52.106499999999997</v>
      </c>
      <c r="K523" s="10">
        <f>52.1044 * CHOOSE(CONTROL!$C$9, $D$9, 100%, $F$9) + CHOOSE(CONTROL!$C$27, 0.0021, 0)</f>
        <v>52.106499999999997</v>
      </c>
      <c r="L523" s="10"/>
    </row>
    <row r="524" spans="1:12" ht="15.75" x14ac:dyDescent="0.25">
      <c r="A524" s="13">
        <v>57253</v>
      </c>
      <c r="B524" s="10">
        <f>53.5584 * CHOOSE(CONTROL!$C$9, $D$9, 100%, $F$9) + CHOOSE(CONTROL!$C$27, 0.0021, 0)</f>
        <v>53.560499999999998</v>
      </c>
      <c r="C524" s="10">
        <f>53.1262 * CHOOSE(CONTROL!$C$9, $D$9, 100%, $F$9) + CHOOSE(CONTROL!$C$27, 0.0021, 0)</f>
        <v>53.128299999999996</v>
      </c>
      <c r="D524" s="10">
        <f>53.1262 * CHOOSE(CONTROL!$C$9, $D$9, 100%, $F$9) + CHOOSE(CONTROL!$C$27, 0.0021, 0)</f>
        <v>53.128299999999996</v>
      </c>
      <c r="E524" s="10">
        <f>52.9895 * CHOOSE(CONTROL!$C$9, $D$9, 100%, $F$9) + CHOOSE(CONTROL!$C$27, 0.0021, 0)</f>
        <v>52.991599999999998</v>
      </c>
      <c r="F524" s="10">
        <f>52.9895 * CHOOSE(CONTROL!$C$9, $D$9, 100%, $F$9) + CHOOSE(CONTROL!$C$27, 0.0021, 0)</f>
        <v>52.991599999999998</v>
      </c>
      <c r="G524" s="10">
        <f>53.2609 * CHOOSE(CONTROL!$C$9, $D$9, 100%, $F$9) + CHOOSE(CONTROL!$C$27, 0.0021, 0)</f>
        <v>53.262999999999998</v>
      </c>
      <c r="H524" s="10">
        <f>53.1262 * CHOOSE(CONTROL!$C$9, $D$9, 100%, $F$9) + CHOOSE(CONTROL!$C$27, 0.0021, 0)</f>
        <v>53.128299999999996</v>
      </c>
      <c r="I524" s="10">
        <f>53.1262 * CHOOSE(CONTROL!$C$9, $D$9, 100%, $F$9) + CHOOSE(CONTROL!$C$27, 0.0021, 0)</f>
        <v>53.128299999999996</v>
      </c>
      <c r="J524" s="10">
        <f>53.1262 * CHOOSE(CONTROL!$C$9, $D$9, 100%, $F$9) + CHOOSE(CONTROL!$C$27, 0.0021, 0)</f>
        <v>53.128299999999996</v>
      </c>
      <c r="K524" s="10">
        <f>53.1262 * CHOOSE(CONTROL!$C$9, $D$9, 100%, $F$9) + CHOOSE(CONTROL!$C$27, 0.0021, 0)</f>
        <v>53.128299999999996</v>
      </c>
      <c r="L524" s="10"/>
    </row>
    <row r="525" spans="1:12" ht="15.75" x14ac:dyDescent="0.25">
      <c r="A525" s="13">
        <v>57284</v>
      </c>
      <c r="B525" s="10">
        <f>54.8517 * CHOOSE(CONTROL!$C$9, $D$9, 100%, $F$9) + CHOOSE(CONTROL!$C$27, 0.0021, 0)</f>
        <v>54.8538</v>
      </c>
      <c r="C525" s="10">
        <f>54.4195 * CHOOSE(CONTROL!$C$9, $D$9, 100%, $F$9) + CHOOSE(CONTROL!$C$27, 0.0021, 0)</f>
        <v>54.421599999999998</v>
      </c>
      <c r="D525" s="10">
        <f>54.4195 * CHOOSE(CONTROL!$C$9, $D$9, 100%, $F$9) + CHOOSE(CONTROL!$C$27, 0.0021, 0)</f>
        <v>54.421599999999998</v>
      </c>
      <c r="E525" s="10">
        <f>54.2828 * CHOOSE(CONTROL!$C$9, $D$9, 100%, $F$9) + CHOOSE(CONTROL!$C$27, 0.0021, 0)</f>
        <v>54.2849</v>
      </c>
      <c r="F525" s="10">
        <f>54.2828 * CHOOSE(CONTROL!$C$9, $D$9, 100%, $F$9) + CHOOSE(CONTROL!$C$27, 0.0021, 0)</f>
        <v>54.2849</v>
      </c>
      <c r="G525" s="10">
        <f>54.5542 * CHOOSE(CONTROL!$C$9, $D$9, 100%, $F$9) + CHOOSE(CONTROL!$C$27, 0.0021, 0)</f>
        <v>54.5563</v>
      </c>
      <c r="H525" s="10">
        <f>54.4195 * CHOOSE(CONTROL!$C$9, $D$9, 100%, $F$9) + CHOOSE(CONTROL!$C$27, 0.0021, 0)</f>
        <v>54.421599999999998</v>
      </c>
      <c r="I525" s="10">
        <f>54.4195 * CHOOSE(CONTROL!$C$9, $D$9, 100%, $F$9) + CHOOSE(CONTROL!$C$27, 0.0021, 0)</f>
        <v>54.421599999999998</v>
      </c>
      <c r="J525" s="10">
        <f>54.4195 * CHOOSE(CONTROL!$C$9, $D$9, 100%, $F$9) + CHOOSE(CONTROL!$C$27, 0.0021, 0)</f>
        <v>54.421599999999998</v>
      </c>
      <c r="K525" s="10">
        <f>54.4195 * CHOOSE(CONTROL!$C$9, $D$9, 100%, $F$9) + CHOOSE(CONTROL!$C$27, 0.0021, 0)</f>
        <v>54.421599999999998</v>
      </c>
      <c r="L525" s="10"/>
    </row>
    <row r="526" spans="1:12" ht="15.75" x14ac:dyDescent="0.25">
      <c r="A526" s="13">
        <v>57314</v>
      </c>
      <c r="B526" s="10">
        <f>54.9731 * CHOOSE(CONTROL!$C$9, $D$9, 100%, $F$9) + CHOOSE(CONTROL!$C$27, 0.0021, 0)</f>
        <v>54.975200000000001</v>
      </c>
      <c r="C526" s="10">
        <f>54.5409 * CHOOSE(CONTROL!$C$9, $D$9, 100%, $F$9) + CHOOSE(CONTROL!$C$27, 0.0021, 0)</f>
        <v>54.542999999999999</v>
      </c>
      <c r="D526" s="10">
        <f>54.5409 * CHOOSE(CONTROL!$C$9, $D$9, 100%, $F$9) + CHOOSE(CONTROL!$C$27, 0.0021, 0)</f>
        <v>54.542999999999999</v>
      </c>
      <c r="E526" s="10">
        <f>54.4042 * CHOOSE(CONTROL!$C$9, $D$9, 100%, $F$9) + CHOOSE(CONTROL!$C$27, 0.0021, 0)</f>
        <v>54.406300000000002</v>
      </c>
      <c r="F526" s="10">
        <f>54.4042 * CHOOSE(CONTROL!$C$9, $D$9, 100%, $F$9) + CHOOSE(CONTROL!$C$27, 0.0021, 0)</f>
        <v>54.406300000000002</v>
      </c>
      <c r="G526" s="10">
        <f>54.6756 * CHOOSE(CONTROL!$C$9, $D$9, 100%, $F$9) + CHOOSE(CONTROL!$C$27, 0.0021, 0)</f>
        <v>54.677700000000002</v>
      </c>
      <c r="H526" s="10">
        <f>54.5409 * CHOOSE(CONTROL!$C$9, $D$9, 100%, $F$9) + CHOOSE(CONTROL!$C$27, 0.0021, 0)</f>
        <v>54.542999999999999</v>
      </c>
      <c r="I526" s="10">
        <f>54.5409 * CHOOSE(CONTROL!$C$9, $D$9, 100%, $F$9) + CHOOSE(CONTROL!$C$27, 0.0021, 0)</f>
        <v>54.542999999999999</v>
      </c>
      <c r="J526" s="10">
        <f>54.5409 * CHOOSE(CONTROL!$C$9, $D$9, 100%, $F$9) + CHOOSE(CONTROL!$C$27, 0.0021, 0)</f>
        <v>54.542999999999999</v>
      </c>
      <c r="K526" s="10">
        <f>54.5409 * CHOOSE(CONTROL!$C$9, $D$9, 100%, $F$9) + CHOOSE(CONTROL!$C$27, 0.0021, 0)</f>
        <v>54.542999999999999</v>
      </c>
      <c r="L526" s="10"/>
    </row>
    <row r="527" spans="1:12" ht="15.75" x14ac:dyDescent="0.25">
      <c r="A527" s="13">
        <v>57345</v>
      </c>
      <c r="B527" s="10">
        <f>53.9402 * CHOOSE(CONTROL!$C$9, $D$9, 100%, $F$9) + CHOOSE(CONTROL!$C$27, 0.0021, 0)</f>
        <v>53.942299999999996</v>
      </c>
      <c r="C527" s="10">
        <f>53.5079 * CHOOSE(CONTROL!$C$9, $D$9, 100%, $F$9) + CHOOSE(CONTROL!$C$27, 0.0021, 0)</f>
        <v>53.51</v>
      </c>
      <c r="D527" s="10">
        <f>53.5079 * CHOOSE(CONTROL!$C$9, $D$9, 100%, $F$9) + CHOOSE(CONTROL!$C$27, 0.0021, 0)</f>
        <v>53.51</v>
      </c>
      <c r="E527" s="10">
        <f>53.3713 * CHOOSE(CONTROL!$C$9, $D$9, 100%, $F$9) + CHOOSE(CONTROL!$C$27, 0.0021, 0)</f>
        <v>53.373399999999997</v>
      </c>
      <c r="F527" s="10">
        <f>53.3713 * CHOOSE(CONTROL!$C$9, $D$9, 100%, $F$9) + CHOOSE(CONTROL!$C$27, 0.0021, 0)</f>
        <v>53.373399999999997</v>
      </c>
      <c r="G527" s="10">
        <f>53.6427 * CHOOSE(CONTROL!$C$9, $D$9, 100%, $F$9) + CHOOSE(CONTROL!$C$27, 0.0021, 0)</f>
        <v>53.644799999999996</v>
      </c>
      <c r="H527" s="10">
        <f>53.5079 * CHOOSE(CONTROL!$C$9, $D$9, 100%, $F$9) + CHOOSE(CONTROL!$C$27, 0.0021, 0)</f>
        <v>53.51</v>
      </c>
      <c r="I527" s="10">
        <f>53.5079 * CHOOSE(CONTROL!$C$9, $D$9, 100%, $F$9) + CHOOSE(CONTROL!$C$27, 0.0021, 0)</f>
        <v>53.51</v>
      </c>
      <c r="J527" s="10">
        <f>53.5079 * CHOOSE(CONTROL!$C$9, $D$9, 100%, $F$9) + CHOOSE(CONTROL!$C$27, 0.0021, 0)</f>
        <v>53.51</v>
      </c>
      <c r="K527" s="10">
        <f>53.5079 * CHOOSE(CONTROL!$C$9, $D$9, 100%, $F$9) + CHOOSE(CONTROL!$C$27, 0.0021, 0)</f>
        <v>53.51</v>
      </c>
      <c r="L527" s="10"/>
    </row>
    <row r="528" spans="1:12" ht="15.75" x14ac:dyDescent="0.25">
      <c r="A528" s="13">
        <v>57376</v>
      </c>
      <c r="B528" s="10">
        <f>53.1493 * CHOOSE(CONTROL!$C$9, $D$9, 100%, $F$9) + CHOOSE(CONTROL!$C$27, 0.0021, 0)</f>
        <v>53.151399999999995</v>
      </c>
      <c r="C528" s="10">
        <f>52.7171 * CHOOSE(CONTROL!$C$9, $D$9, 100%, $F$9) + CHOOSE(CONTROL!$C$27, 0.0021, 0)</f>
        <v>52.719200000000001</v>
      </c>
      <c r="D528" s="10">
        <f>52.7171 * CHOOSE(CONTROL!$C$9, $D$9, 100%, $F$9) + CHOOSE(CONTROL!$C$27, 0.0021, 0)</f>
        <v>52.719200000000001</v>
      </c>
      <c r="E528" s="10">
        <f>52.5804 * CHOOSE(CONTROL!$C$9, $D$9, 100%, $F$9) + CHOOSE(CONTROL!$C$27, 0.0021, 0)</f>
        <v>52.582499999999996</v>
      </c>
      <c r="F528" s="10">
        <f>52.5804 * CHOOSE(CONTROL!$C$9, $D$9, 100%, $F$9) + CHOOSE(CONTROL!$C$27, 0.0021, 0)</f>
        <v>52.582499999999996</v>
      </c>
      <c r="G528" s="10">
        <f>52.8518 * CHOOSE(CONTROL!$C$9, $D$9, 100%, $F$9) + CHOOSE(CONTROL!$C$27, 0.0021, 0)</f>
        <v>52.853899999999996</v>
      </c>
      <c r="H528" s="10">
        <f>52.7171 * CHOOSE(CONTROL!$C$9, $D$9, 100%, $F$9) + CHOOSE(CONTROL!$C$27, 0.0021, 0)</f>
        <v>52.719200000000001</v>
      </c>
      <c r="I528" s="10">
        <f>52.7171 * CHOOSE(CONTROL!$C$9, $D$9, 100%, $F$9) + CHOOSE(CONTROL!$C$27, 0.0021, 0)</f>
        <v>52.719200000000001</v>
      </c>
      <c r="J528" s="10">
        <f>52.7171 * CHOOSE(CONTROL!$C$9, $D$9, 100%, $F$9) + CHOOSE(CONTROL!$C$27, 0.0021, 0)</f>
        <v>52.719200000000001</v>
      </c>
      <c r="K528" s="10">
        <f>52.7171 * CHOOSE(CONTROL!$C$9, $D$9, 100%, $F$9) + CHOOSE(CONTROL!$C$27, 0.0021, 0)</f>
        <v>52.719200000000001</v>
      </c>
      <c r="L528" s="10"/>
    </row>
    <row r="529" spans="1:12" ht="15.75" x14ac:dyDescent="0.25">
      <c r="A529" s="13">
        <v>57404</v>
      </c>
      <c r="B529" s="10">
        <f>51.7108 * CHOOSE(CONTROL!$C$9, $D$9, 100%, $F$9) + CHOOSE(CONTROL!$C$27, 0.0021, 0)</f>
        <v>51.712899999999998</v>
      </c>
      <c r="C529" s="10">
        <f>51.2786 * CHOOSE(CONTROL!$C$9, $D$9, 100%, $F$9) + CHOOSE(CONTROL!$C$27, 0.0021, 0)</f>
        <v>51.280699999999996</v>
      </c>
      <c r="D529" s="10">
        <f>51.2786 * CHOOSE(CONTROL!$C$9, $D$9, 100%, $F$9) + CHOOSE(CONTROL!$C$27, 0.0021, 0)</f>
        <v>51.280699999999996</v>
      </c>
      <c r="E529" s="10">
        <f>51.1419 * CHOOSE(CONTROL!$C$9, $D$9, 100%, $F$9) + CHOOSE(CONTROL!$C$27, 0.0021, 0)</f>
        <v>51.143999999999998</v>
      </c>
      <c r="F529" s="10">
        <f>51.1419 * CHOOSE(CONTROL!$C$9, $D$9, 100%, $F$9) + CHOOSE(CONTROL!$C$27, 0.0021, 0)</f>
        <v>51.143999999999998</v>
      </c>
      <c r="G529" s="10">
        <f>51.4133 * CHOOSE(CONTROL!$C$9, $D$9, 100%, $F$9) + CHOOSE(CONTROL!$C$27, 0.0021, 0)</f>
        <v>51.415399999999998</v>
      </c>
      <c r="H529" s="10">
        <f>51.2786 * CHOOSE(CONTROL!$C$9, $D$9, 100%, $F$9) + CHOOSE(CONTROL!$C$27, 0.0021, 0)</f>
        <v>51.280699999999996</v>
      </c>
      <c r="I529" s="10">
        <f>51.2786 * CHOOSE(CONTROL!$C$9, $D$9, 100%, $F$9) + CHOOSE(CONTROL!$C$27, 0.0021, 0)</f>
        <v>51.280699999999996</v>
      </c>
      <c r="J529" s="10">
        <f>51.2786 * CHOOSE(CONTROL!$C$9, $D$9, 100%, $F$9) + CHOOSE(CONTROL!$C$27, 0.0021, 0)</f>
        <v>51.280699999999996</v>
      </c>
      <c r="K529" s="10">
        <f>51.2786 * CHOOSE(CONTROL!$C$9, $D$9, 100%, $F$9) + CHOOSE(CONTROL!$C$27, 0.0021, 0)</f>
        <v>51.280699999999996</v>
      </c>
      <c r="L529" s="10"/>
    </row>
    <row r="530" spans="1:12" ht="15.75" x14ac:dyDescent="0.25">
      <c r="A530" s="13">
        <v>57435</v>
      </c>
      <c r="B530" s="10">
        <f>51.117 * CHOOSE(CONTROL!$C$9, $D$9, 100%, $F$9) + CHOOSE(CONTROL!$C$27, 0.0021, 0)</f>
        <v>51.119099999999996</v>
      </c>
      <c r="C530" s="10">
        <f>50.6848 * CHOOSE(CONTROL!$C$9, $D$9, 100%, $F$9) + CHOOSE(CONTROL!$C$27, 0.0021, 0)</f>
        <v>50.686900000000001</v>
      </c>
      <c r="D530" s="10">
        <f>50.6848 * CHOOSE(CONTROL!$C$9, $D$9, 100%, $F$9) + CHOOSE(CONTROL!$C$27, 0.0021, 0)</f>
        <v>50.686900000000001</v>
      </c>
      <c r="E530" s="10">
        <f>50.5481 * CHOOSE(CONTROL!$C$9, $D$9, 100%, $F$9) + CHOOSE(CONTROL!$C$27, 0.0021, 0)</f>
        <v>50.550199999999997</v>
      </c>
      <c r="F530" s="10">
        <f>50.5481 * CHOOSE(CONTROL!$C$9, $D$9, 100%, $F$9) + CHOOSE(CONTROL!$C$27, 0.0021, 0)</f>
        <v>50.550199999999997</v>
      </c>
      <c r="G530" s="10">
        <f>50.8195 * CHOOSE(CONTROL!$C$9, $D$9, 100%, $F$9) + CHOOSE(CONTROL!$C$27, 0.0021, 0)</f>
        <v>50.821599999999997</v>
      </c>
      <c r="H530" s="10">
        <f>50.6848 * CHOOSE(CONTROL!$C$9, $D$9, 100%, $F$9) + CHOOSE(CONTROL!$C$27, 0.0021, 0)</f>
        <v>50.686900000000001</v>
      </c>
      <c r="I530" s="10">
        <f>50.6848 * CHOOSE(CONTROL!$C$9, $D$9, 100%, $F$9) + CHOOSE(CONTROL!$C$27, 0.0021, 0)</f>
        <v>50.686900000000001</v>
      </c>
      <c r="J530" s="10">
        <f>50.6848 * CHOOSE(CONTROL!$C$9, $D$9, 100%, $F$9) + CHOOSE(CONTROL!$C$27, 0.0021, 0)</f>
        <v>50.686900000000001</v>
      </c>
      <c r="K530" s="10">
        <f>50.6848 * CHOOSE(CONTROL!$C$9, $D$9, 100%, $F$9) + CHOOSE(CONTROL!$C$27, 0.0021, 0)</f>
        <v>50.686900000000001</v>
      </c>
      <c r="L530" s="10"/>
    </row>
    <row r="531" spans="1:12" ht="15.75" x14ac:dyDescent="0.25">
      <c r="A531" s="13">
        <v>57465</v>
      </c>
      <c r="B531" s="10">
        <f>50.408 * CHOOSE(CONTROL!$C$9, $D$9, 100%, $F$9) + CHOOSE(CONTROL!$C$27, 0.0021, 0)</f>
        <v>50.4101</v>
      </c>
      <c r="C531" s="10">
        <f>49.9757 * CHOOSE(CONTROL!$C$9, $D$9, 100%, $F$9) + CHOOSE(CONTROL!$C$27, 0.0021, 0)</f>
        <v>49.977800000000002</v>
      </c>
      <c r="D531" s="10">
        <f>49.9757 * CHOOSE(CONTROL!$C$9, $D$9, 100%, $F$9) + CHOOSE(CONTROL!$C$27, 0.0021, 0)</f>
        <v>49.977800000000002</v>
      </c>
      <c r="E531" s="10">
        <f>49.8391 * CHOOSE(CONTROL!$C$9, $D$9, 100%, $F$9) + CHOOSE(CONTROL!$C$27, 0.0021, 0)</f>
        <v>49.841200000000001</v>
      </c>
      <c r="F531" s="10">
        <f>49.8391 * CHOOSE(CONTROL!$C$9, $D$9, 100%, $F$9) + CHOOSE(CONTROL!$C$27, 0.0021, 0)</f>
        <v>49.841200000000001</v>
      </c>
      <c r="G531" s="10">
        <f>50.1105 * CHOOSE(CONTROL!$C$9, $D$9, 100%, $F$9) + CHOOSE(CONTROL!$C$27, 0.0021, 0)</f>
        <v>50.1126</v>
      </c>
      <c r="H531" s="10">
        <f>49.9757 * CHOOSE(CONTROL!$C$9, $D$9, 100%, $F$9) + CHOOSE(CONTROL!$C$27, 0.0021, 0)</f>
        <v>49.977800000000002</v>
      </c>
      <c r="I531" s="10">
        <f>49.9757 * CHOOSE(CONTROL!$C$9, $D$9, 100%, $F$9) + CHOOSE(CONTROL!$C$27, 0.0021, 0)</f>
        <v>49.977800000000002</v>
      </c>
      <c r="J531" s="10">
        <f>49.9757 * CHOOSE(CONTROL!$C$9, $D$9, 100%, $F$9) + CHOOSE(CONTROL!$C$27, 0.0021, 0)</f>
        <v>49.977800000000002</v>
      </c>
      <c r="K531" s="10">
        <f>49.9757 * CHOOSE(CONTROL!$C$9, $D$9, 100%, $F$9) + CHOOSE(CONTROL!$C$27, 0.0021, 0)</f>
        <v>49.977800000000002</v>
      </c>
      <c r="L531" s="10"/>
    </row>
    <row r="532" spans="1:12" ht="15.75" x14ac:dyDescent="0.25">
      <c r="A532" s="13">
        <v>57496</v>
      </c>
      <c r="B532" s="10">
        <f>51.4184 * CHOOSE(CONTROL!$C$9, $D$9, 100%, $F$9) + CHOOSE(CONTROL!$C$27, 0.0021, 0)</f>
        <v>51.420499999999997</v>
      </c>
      <c r="C532" s="10">
        <f>50.9862 * CHOOSE(CONTROL!$C$9, $D$9, 100%, $F$9) + CHOOSE(CONTROL!$C$27, 0.0021, 0)</f>
        <v>50.988299999999995</v>
      </c>
      <c r="D532" s="10">
        <f>50.9862 * CHOOSE(CONTROL!$C$9, $D$9, 100%, $F$9) + CHOOSE(CONTROL!$C$27, 0.0021, 0)</f>
        <v>50.988299999999995</v>
      </c>
      <c r="E532" s="10">
        <f>50.8495 * CHOOSE(CONTROL!$C$9, $D$9, 100%, $F$9) + CHOOSE(CONTROL!$C$27, 0.0021, 0)</f>
        <v>50.851599999999998</v>
      </c>
      <c r="F532" s="10">
        <f>50.8495 * CHOOSE(CONTROL!$C$9, $D$9, 100%, $F$9) + CHOOSE(CONTROL!$C$27, 0.0021, 0)</f>
        <v>50.851599999999998</v>
      </c>
      <c r="G532" s="10">
        <f>51.1209 * CHOOSE(CONTROL!$C$9, $D$9, 100%, $F$9) + CHOOSE(CONTROL!$C$27, 0.0021, 0)</f>
        <v>51.122999999999998</v>
      </c>
      <c r="H532" s="10">
        <f>50.9862 * CHOOSE(CONTROL!$C$9, $D$9, 100%, $F$9) + CHOOSE(CONTROL!$C$27, 0.0021, 0)</f>
        <v>50.988299999999995</v>
      </c>
      <c r="I532" s="10">
        <f>50.9862 * CHOOSE(CONTROL!$C$9, $D$9, 100%, $F$9) + CHOOSE(CONTROL!$C$27, 0.0021, 0)</f>
        <v>50.988299999999995</v>
      </c>
      <c r="J532" s="10">
        <f>50.9862 * CHOOSE(CONTROL!$C$9, $D$9, 100%, $F$9) + CHOOSE(CONTROL!$C$27, 0.0021, 0)</f>
        <v>50.988299999999995</v>
      </c>
      <c r="K532" s="10">
        <f>50.9862 * CHOOSE(CONTROL!$C$9, $D$9, 100%, $F$9) + CHOOSE(CONTROL!$C$27, 0.0021, 0)</f>
        <v>50.988299999999995</v>
      </c>
      <c r="L532" s="10"/>
    </row>
    <row r="533" spans="1:12" ht="15.75" x14ac:dyDescent="0.25">
      <c r="A533" s="13">
        <v>57526</v>
      </c>
      <c r="B533" s="10">
        <f>52.0237 * CHOOSE(CONTROL!$C$9, $D$9, 100%, $F$9) + CHOOSE(CONTROL!$C$27, 0.0021, 0)</f>
        <v>52.025799999999997</v>
      </c>
      <c r="C533" s="10">
        <f>51.5914 * CHOOSE(CONTROL!$C$9, $D$9, 100%, $F$9) + CHOOSE(CONTROL!$C$27, 0.0021, 0)</f>
        <v>51.593499999999999</v>
      </c>
      <c r="D533" s="10">
        <f>51.5914 * CHOOSE(CONTROL!$C$9, $D$9, 100%, $F$9) + CHOOSE(CONTROL!$C$27, 0.0021, 0)</f>
        <v>51.593499999999999</v>
      </c>
      <c r="E533" s="10">
        <f>51.4547 * CHOOSE(CONTROL!$C$9, $D$9, 100%, $F$9) + CHOOSE(CONTROL!$C$27, 0.0021, 0)</f>
        <v>51.456800000000001</v>
      </c>
      <c r="F533" s="10">
        <f>51.4547 * CHOOSE(CONTROL!$C$9, $D$9, 100%, $F$9) + CHOOSE(CONTROL!$C$27, 0.0021, 0)</f>
        <v>51.456800000000001</v>
      </c>
      <c r="G533" s="10">
        <f>51.7261 * CHOOSE(CONTROL!$C$9, $D$9, 100%, $F$9) + CHOOSE(CONTROL!$C$27, 0.0021, 0)</f>
        <v>51.728200000000001</v>
      </c>
      <c r="H533" s="10">
        <f>51.5914 * CHOOSE(CONTROL!$C$9, $D$9, 100%, $F$9) + CHOOSE(CONTROL!$C$27, 0.0021, 0)</f>
        <v>51.593499999999999</v>
      </c>
      <c r="I533" s="10">
        <f>51.5914 * CHOOSE(CONTROL!$C$9, $D$9, 100%, $F$9) + CHOOSE(CONTROL!$C$27, 0.0021, 0)</f>
        <v>51.593499999999999</v>
      </c>
      <c r="J533" s="10">
        <f>51.5914 * CHOOSE(CONTROL!$C$9, $D$9, 100%, $F$9) + CHOOSE(CONTROL!$C$27, 0.0021, 0)</f>
        <v>51.593499999999999</v>
      </c>
      <c r="K533" s="10">
        <f>51.5914 * CHOOSE(CONTROL!$C$9, $D$9, 100%, $F$9) + CHOOSE(CONTROL!$C$27, 0.0021, 0)</f>
        <v>51.593499999999999</v>
      </c>
      <c r="L533" s="10"/>
    </row>
    <row r="534" spans="1:12" ht="15.75" x14ac:dyDescent="0.25">
      <c r="A534" s="13">
        <v>57557</v>
      </c>
      <c r="B534" s="10">
        <f>53.022 * CHOOSE(CONTROL!$C$9, $D$9, 100%, $F$9) + CHOOSE(CONTROL!$C$27, 0.0021, 0)</f>
        <v>53.024099999999997</v>
      </c>
      <c r="C534" s="10">
        <f>52.5898 * CHOOSE(CONTROL!$C$9, $D$9, 100%, $F$9) + CHOOSE(CONTROL!$C$27, 0.0021, 0)</f>
        <v>52.591899999999995</v>
      </c>
      <c r="D534" s="10">
        <f>52.5898 * CHOOSE(CONTROL!$C$9, $D$9, 100%, $F$9) + CHOOSE(CONTROL!$C$27, 0.0021, 0)</f>
        <v>52.591899999999995</v>
      </c>
      <c r="E534" s="10">
        <f>52.4531 * CHOOSE(CONTROL!$C$9, $D$9, 100%, $F$9) + CHOOSE(CONTROL!$C$27, 0.0021, 0)</f>
        <v>52.455199999999998</v>
      </c>
      <c r="F534" s="10">
        <f>52.4531 * CHOOSE(CONTROL!$C$9, $D$9, 100%, $F$9) + CHOOSE(CONTROL!$C$27, 0.0021, 0)</f>
        <v>52.455199999999998</v>
      </c>
      <c r="G534" s="10">
        <f>52.7245 * CHOOSE(CONTROL!$C$9, $D$9, 100%, $F$9) + CHOOSE(CONTROL!$C$27, 0.0021, 0)</f>
        <v>52.726599999999998</v>
      </c>
      <c r="H534" s="10">
        <f>52.5898 * CHOOSE(CONTROL!$C$9, $D$9, 100%, $F$9) + CHOOSE(CONTROL!$C$27, 0.0021, 0)</f>
        <v>52.591899999999995</v>
      </c>
      <c r="I534" s="10">
        <f>52.5898 * CHOOSE(CONTROL!$C$9, $D$9, 100%, $F$9) + CHOOSE(CONTROL!$C$27, 0.0021, 0)</f>
        <v>52.591899999999995</v>
      </c>
      <c r="J534" s="10">
        <f>52.5898 * CHOOSE(CONTROL!$C$9, $D$9, 100%, $F$9) + CHOOSE(CONTROL!$C$27, 0.0021, 0)</f>
        <v>52.591899999999995</v>
      </c>
      <c r="K534" s="10">
        <f>52.5898 * CHOOSE(CONTROL!$C$9, $D$9, 100%, $F$9) + CHOOSE(CONTROL!$C$27, 0.0021, 0)</f>
        <v>52.591899999999995</v>
      </c>
      <c r="L534" s="10"/>
    </row>
    <row r="535" spans="1:12" ht="15.75" x14ac:dyDescent="0.25">
      <c r="A535" s="13">
        <v>57588</v>
      </c>
      <c r="B535" s="10">
        <f>53.3268 * CHOOSE(CONTROL!$C$9, $D$9, 100%, $F$9) + CHOOSE(CONTROL!$C$27, 0.0021, 0)</f>
        <v>53.328899999999997</v>
      </c>
      <c r="C535" s="10">
        <f>52.8945 * CHOOSE(CONTROL!$C$9, $D$9, 100%, $F$9) + CHOOSE(CONTROL!$C$27, 0.0021, 0)</f>
        <v>52.896599999999999</v>
      </c>
      <c r="D535" s="10">
        <f>52.8945 * CHOOSE(CONTROL!$C$9, $D$9, 100%, $F$9) + CHOOSE(CONTROL!$C$27, 0.0021, 0)</f>
        <v>52.896599999999999</v>
      </c>
      <c r="E535" s="10">
        <f>52.7579 * CHOOSE(CONTROL!$C$9, $D$9, 100%, $F$9) + CHOOSE(CONTROL!$C$27, 0.0021, 0)</f>
        <v>52.76</v>
      </c>
      <c r="F535" s="10">
        <f>52.7579 * CHOOSE(CONTROL!$C$9, $D$9, 100%, $F$9) + CHOOSE(CONTROL!$C$27, 0.0021, 0)</f>
        <v>52.76</v>
      </c>
      <c r="G535" s="10">
        <f>53.0292 * CHOOSE(CONTROL!$C$9, $D$9, 100%, $F$9) + CHOOSE(CONTROL!$C$27, 0.0021, 0)</f>
        <v>53.031300000000002</v>
      </c>
      <c r="H535" s="10">
        <f>52.8945 * CHOOSE(CONTROL!$C$9, $D$9, 100%, $F$9) + CHOOSE(CONTROL!$C$27, 0.0021, 0)</f>
        <v>52.896599999999999</v>
      </c>
      <c r="I535" s="10">
        <f>52.8945 * CHOOSE(CONTROL!$C$9, $D$9, 100%, $F$9) + CHOOSE(CONTROL!$C$27, 0.0021, 0)</f>
        <v>52.896599999999999</v>
      </c>
      <c r="J535" s="10">
        <f>52.8945 * CHOOSE(CONTROL!$C$9, $D$9, 100%, $F$9) + CHOOSE(CONTROL!$C$27, 0.0021, 0)</f>
        <v>52.896599999999999</v>
      </c>
      <c r="K535" s="10">
        <f>52.8945 * CHOOSE(CONTROL!$C$9, $D$9, 100%, $F$9) + CHOOSE(CONTROL!$C$27, 0.0021, 0)</f>
        <v>52.896599999999999</v>
      </c>
      <c r="L535" s="10"/>
    </row>
    <row r="536" spans="1:12" ht="15.75" x14ac:dyDescent="0.25">
      <c r="A536" s="13">
        <v>57618</v>
      </c>
      <c r="B536" s="10">
        <f>54.3646 * CHOOSE(CONTROL!$C$9, $D$9, 100%, $F$9) + CHOOSE(CONTROL!$C$27, 0.0021, 0)</f>
        <v>54.366700000000002</v>
      </c>
      <c r="C536" s="10">
        <f>53.9323 * CHOOSE(CONTROL!$C$9, $D$9, 100%, $F$9) + CHOOSE(CONTROL!$C$27, 0.0021, 0)</f>
        <v>53.934399999999997</v>
      </c>
      <c r="D536" s="10">
        <f>53.9323 * CHOOSE(CONTROL!$C$9, $D$9, 100%, $F$9) + CHOOSE(CONTROL!$C$27, 0.0021, 0)</f>
        <v>53.934399999999997</v>
      </c>
      <c r="E536" s="10">
        <f>53.7957 * CHOOSE(CONTROL!$C$9, $D$9, 100%, $F$9) + CHOOSE(CONTROL!$C$27, 0.0021, 0)</f>
        <v>53.797799999999995</v>
      </c>
      <c r="F536" s="10">
        <f>53.7957 * CHOOSE(CONTROL!$C$9, $D$9, 100%, $F$9) + CHOOSE(CONTROL!$C$27, 0.0021, 0)</f>
        <v>53.797799999999995</v>
      </c>
      <c r="G536" s="10">
        <f>54.067 * CHOOSE(CONTROL!$C$9, $D$9, 100%, $F$9) + CHOOSE(CONTROL!$C$27, 0.0021, 0)</f>
        <v>54.069099999999999</v>
      </c>
      <c r="H536" s="10">
        <f>53.9323 * CHOOSE(CONTROL!$C$9, $D$9, 100%, $F$9) + CHOOSE(CONTROL!$C$27, 0.0021, 0)</f>
        <v>53.934399999999997</v>
      </c>
      <c r="I536" s="10">
        <f>53.9323 * CHOOSE(CONTROL!$C$9, $D$9, 100%, $F$9) + CHOOSE(CONTROL!$C$27, 0.0021, 0)</f>
        <v>53.934399999999997</v>
      </c>
      <c r="J536" s="10">
        <f>53.9323 * CHOOSE(CONTROL!$C$9, $D$9, 100%, $F$9) + CHOOSE(CONTROL!$C$27, 0.0021, 0)</f>
        <v>53.934399999999997</v>
      </c>
      <c r="K536" s="10">
        <f>53.9323 * CHOOSE(CONTROL!$C$9, $D$9, 100%, $F$9) + CHOOSE(CONTROL!$C$27, 0.0021, 0)</f>
        <v>53.934399999999997</v>
      </c>
      <c r="L536" s="10"/>
    </row>
    <row r="537" spans="1:12" ht="15.75" x14ac:dyDescent="0.25">
      <c r="A537" s="13">
        <v>57649</v>
      </c>
      <c r="B537" s="10">
        <f>55.6782 * CHOOSE(CONTROL!$C$9, $D$9, 100%, $F$9) + CHOOSE(CONTROL!$C$27, 0.0021, 0)</f>
        <v>55.680299999999995</v>
      </c>
      <c r="C537" s="10">
        <f>55.246 * CHOOSE(CONTROL!$C$9, $D$9, 100%, $F$9) + CHOOSE(CONTROL!$C$27, 0.0021, 0)</f>
        <v>55.248100000000001</v>
      </c>
      <c r="D537" s="10">
        <f>55.246 * CHOOSE(CONTROL!$C$9, $D$9, 100%, $F$9) + CHOOSE(CONTROL!$C$27, 0.0021, 0)</f>
        <v>55.248100000000001</v>
      </c>
      <c r="E537" s="10">
        <f>55.1093 * CHOOSE(CONTROL!$C$9, $D$9, 100%, $F$9) + CHOOSE(CONTROL!$C$27, 0.0021, 0)</f>
        <v>55.111399999999996</v>
      </c>
      <c r="F537" s="10">
        <f>55.1093 * CHOOSE(CONTROL!$C$9, $D$9, 100%, $F$9) + CHOOSE(CONTROL!$C$27, 0.0021, 0)</f>
        <v>55.111399999999996</v>
      </c>
      <c r="G537" s="10">
        <f>55.3807 * CHOOSE(CONTROL!$C$9, $D$9, 100%, $F$9) + CHOOSE(CONTROL!$C$27, 0.0021, 0)</f>
        <v>55.382799999999996</v>
      </c>
      <c r="H537" s="10">
        <f>55.246 * CHOOSE(CONTROL!$C$9, $D$9, 100%, $F$9) + CHOOSE(CONTROL!$C$27, 0.0021, 0)</f>
        <v>55.248100000000001</v>
      </c>
      <c r="I537" s="10">
        <f>55.246 * CHOOSE(CONTROL!$C$9, $D$9, 100%, $F$9) + CHOOSE(CONTROL!$C$27, 0.0021, 0)</f>
        <v>55.248100000000001</v>
      </c>
      <c r="J537" s="10">
        <f>55.246 * CHOOSE(CONTROL!$C$9, $D$9, 100%, $F$9) + CHOOSE(CONTROL!$C$27, 0.0021, 0)</f>
        <v>55.248100000000001</v>
      </c>
      <c r="K537" s="10">
        <f>55.246 * CHOOSE(CONTROL!$C$9, $D$9, 100%, $F$9) + CHOOSE(CONTROL!$C$27, 0.0021, 0)</f>
        <v>55.248100000000001</v>
      </c>
      <c r="L537" s="10"/>
    </row>
    <row r="538" spans="1:12" ht="15.75" x14ac:dyDescent="0.25">
      <c r="A538" s="13">
        <v>57679</v>
      </c>
      <c r="B538" s="10">
        <f>55.8015 * CHOOSE(CONTROL!$C$9, $D$9, 100%, $F$9) + CHOOSE(CONTROL!$C$27, 0.0021, 0)</f>
        <v>55.803599999999996</v>
      </c>
      <c r="C538" s="10">
        <f>55.3693 * CHOOSE(CONTROL!$C$9, $D$9, 100%, $F$9) + CHOOSE(CONTROL!$C$27, 0.0021, 0)</f>
        <v>55.371400000000001</v>
      </c>
      <c r="D538" s="10">
        <f>55.3693 * CHOOSE(CONTROL!$C$9, $D$9, 100%, $F$9) + CHOOSE(CONTROL!$C$27, 0.0021, 0)</f>
        <v>55.371400000000001</v>
      </c>
      <c r="E538" s="10">
        <f>55.2326 * CHOOSE(CONTROL!$C$9, $D$9, 100%, $F$9) + CHOOSE(CONTROL!$C$27, 0.0021, 0)</f>
        <v>55.234699999999997</v>
      </c>
      <c r="F538" s="10">
        <f>55.2326 * CHOOSE(CONTROL!$C$9, $D$9, 100%, $F$9) + CHOOSE(CONTROL!$C$27, 0.0021, 0)</f>
        <v>55.234699999999997</v>
      </c>
      <c r="G538" s="10">
        <f>55.504 * CHOOSE(CONTROL!$C$9, $D$9, 100%, $F$9) + CHOOSE(CONTROL!$C$27, 0.0021, 0)</f>
        <v>55.506099999999996</v>
      </c>
      <c r="H538" s="10">
        <f>55.3693 * CHOOSE(CONTROL!$C$9, $D$9, 100%, $F$9) + CHOOSE(CONTROL!$C$27, 0.0021, 0)</f>
        <v>55.371400000000001</v>
      </c>
      <c r="I538" s="10">
        <f>55.3693 * CHOOSE(CONTROL!$C$9, $D$9, 100%, $F$9) + CHOOSE(CONTROL!$C$27, 0.0021, 0)</f>
        <v>55.371400000000001</v>
      </c>
      <c r="J538" s="10">
        <f>55.3693 * CHOOSE(CONTROL!$C$9, $D$9, 100%, $F$9) + CHOOSE(CONTROL!$C$27, 0.0021, 0)</f>
        <v>55.371400000000001</v>
      </c>
      <c r="K538" s="10">
        <f>55.3693 * CHOOSE(CONTROL!$C$9, $D$9, 100%, $F$9) + CHOOSE(CONTROL!$C$27, 0.0021, 0)</f>
        <v>55.371400000000001</v>
      </c>
      <c r="L538" s="10"/>
    </row>
    <row r="539" spans="1:12" ht="15.75" x14ac:dyDescent="0.25">
      <c r="A539" s="13">
        <v>57710</v>
      </c>
      <c r="B539" s="10">
        <f>54.7523 * CHOOSE(CONTROL!$C$9, $D$9, 100%, $F$9) + CHOOSE(CONTROL!$C$27, 0.0021, 0)</f>
        <v>54.754399999999997</v>
      </c>
      <c r="C539" s="10">
        <f>54.3201 * CHOOSE(CONTROL!$C$9, $D$9, 100%, $F$9) + CHOOSE(CONTROL!$C$27, 0.0021, 0)</f>
        <v>54.322199999999995</v>
      </c>
      <c r="D539" s="10">
        <f>54.3201 * CHOOSE(CONTROL!$C$9, $D$9, 100%, $F$9) + CHOOSE(CONTROL!$C$27, 0.0021, 0)</f>
        <v>54.322199999999995</v>
      </c>
      <c r="E539" s="10">
        <f>54.1834 * CHOOSE(CONTROL!$C$9, $D$9, 100%, $F$9) + CHOOSE(CONTROL!$C$27, 0.0021, 0)</f>
        <v>54.185499999999998</v>
      </c>
      <c r="F539" s="10">
        <f>54.1834 * CHOOSE(CONTROL!$C$9, $D$9, 100%, $F$9) + CHOOSE(CONTROL!$C$27, 0.0021, 0)</f>
        <v>54.185499999999998</v>
      </c>
      <c r="G539" s="10">
        <f>54.4548 * CHOOSE(CONTROL!$C$9, $D$9, 100%, $F$9) + CHOOSE(CONTROL!$C$27, 0.0021, 0)</f>
        <v>54.456899999999997</v>
      </c>
      <c r="H539" s="10">
        <f>54.3201 * CHOOSE(CONTROL!$C$9, $D$9, 100%, $F$9) + CHOOSE(CONTROL!$C$27, 0.0021, 0)</f>
        <v>54.322199999999995</v>
      </c>
      <c r="I539" s="10">
        <f>54.3201 * CHOOSE(CONTROL!$C$9, $D$9, 100%, $F$9) + CHOOSE(CONTROL!$C$27, 0.0021, 0)</f>
        <v>54.322199999999995</v>
      </c>
      <c r="J539" s="10">
        <f>54.3201 * CHOOSE(CONTROL!$C$9, $D$9, 100%, $F$9) + CHOOSE(CONTROL!$C$27, 0.0021, 0)</f>
        <v>54.322199999999995</v>
      </c>
      <c r="K539" s="10">
        <f>54.3201 * CHOOSE(CONTROL!$C$9, $D$9, 100%, $F$9) + CHOOSE(CONTROL!$C$27, 0.0021, 0)</f>
        <v>54.322199999999995</v>
      </c>
      <c r="L539" s="10"/>
    </row>
    <row r="540" spans="1:12" ht="15.75" x14ac:dyDescent="0.25">
      <c r="A540" s="13">
        <v>57741</v>
      </c>
      <c r="B540" s="10">
        <f>53.9491 * CHOOSE(CONTROL!$C$9, $D$9, 100%, $F$9) + CHOOSE(CONTROL!$C$27, 0.0021, 0)</f>
        <v>53.9512</v>
      </c>
      <c r="C540" s="10">
        <f>53.5168 * CHOOSE(CONTROL!$C$9, $D$9, 100%, $F$9) + CHOOSE(CONTROL!$C$27, 0.0021, 0)</f>
        <v>53.518900000000002</v>
      </c>
      <c r="D540" s="10">
        <f>53.5168 * CHOOSE(CONTROL!$C$9, $D$9, 100%, $F$9) + CHOOSE(CONTROL!$C$27, 0.0021, 0)</f>
        <v>53.518900000000002</v>
      </c>
      <c r="E540" s="10">
        <f>53.3802 * CHOOSE(CONTROL!$C$9, $D$9, 100%, $F$9) + CHOOSE(CONTROL!$C$27, 0.0021, 0)</f>
        <v>53.382300000000001</v>
      </c>
      <c r="F540" s="10">
        <f>53.3802 * CHOOSE(CONTROL!$C$9, $D$9, 100%, $F$9) + CHOOSE(CONTROL!$C$27, 0.0021, 0)</f>
        <v>53.382300000000001</v>
      </c>
      <c r="G540" s="10">
        <f>53.6515 * CHOOSE(CONTROL!$C$9, $D$9, 100%, $F$9) + CHOOSE(CONTROL!$C$27, 0.0021, 0)</f>
        <v>53.653599999999997</v>
      </c>
      <c r="H540" s="10">
        <f>53.5168 * CHOOSE(CONTROL!$C$9, $D$9, 100%, $F$9) + CHOOSE(CONTROL!$C$27, 0.0021, 0)</f>
        <v>53.518900000000002</v>
      </c>
      <c r="I540" s="10">
        <f>53.5168 * CHOOSE(CONTROL!$C$9, $D$9, 100%, $F$9) + CHOOSE(CONTROL!$C$27, 0.0021, 0)</f>
        <v>53.518900000000002</v>
      </c>
      <c r="J540" s="10">
        <f>53.5168 * CHOOSE(CONTROL!$C$9, $D$9, 100%, $F$9) + CHOOSE(CONTROL!$C$27, 0.0021, 0)</f>
        <v>53.518900000000002</v>
      </c>
      <c r="K540" s="10">
        <f>53.5168 * CHOOSE(CONTROL!$C$9, $D$9, 100%, $F$9) + CHOOSE(CONTROL!$C$27, 0.0021, 0)</f>
        <v>53.518900000000002</v>
      </c>
      <c r="L540" s="10"/>
    </row>
    <row r="541" spans="1:12" ht="15.75" x14ac:dyDescent="0.25">
      <c r="A541" s="13">
        <v>57769</v>
      </c>
      <c r="B541" s="10">
        <f>52.4879 * CHOOSE(CONTROL!$C$9, $D$9, 100%, $F$9) + CHOOSE(CONTROL!$C$27, 0.0021, 0)</f>
        <v>52.49</v>
      </c>
      <c r="C541" s="10">
        <f>52.0557 * CHOOSE(CONTROL!$C$9, $D$9, 100%, $F$9) + CHOOSE(CONTROL!$C$27, 0.0021, 0)</f>
        <v>52.0578</v>
      </c>
      <c r="D541" s="10">
        <f>52.0557 * CHOOSE(CONTROL!$C$9, $D$9, 100%, $F$9) + CHOOSE(CONTROL!$C$27, 0.0021, 0)</f>
        <v>52.0578</v>
      </c>
      <c r="E541" s="10">
        <f>51.919 * CHOOSE(CONTROL!$C$9, $D$9, 100%, $F$9) + CHOOSE(CONTROL!$C$27, 0.0021, 0)</f>
        <v>51.921099999999996</v>
      </c>
      <c r="F541" s="10">
        <f>51.919 * CHOOSE(CONTROL!$C$9, $D$9, 100%, $F$9) + CHOOSE(CONTROL!$C$27, 0.0021, 0)</f>
        <v>51.921099999999996</v>
      </c>
      <c r="G541" s="10">
        <f>52.1904 * CHOOSE(CONTROL!$C$9, $D$9, 100%, $F$9) + CHOOSE(CONTROL!$C$27, 0.0021, 0)</f>
        <v>52.192499999999995</v>
      </c>
      <c r="H541" s="10">
        <f>52.0557 * CHOOSE(CONTROL!$C$9, $D$9, 100%, $F$9) + CHOOSE(CONTROL!$C$27, 0.0021, 0)</f>
        <v>52.0578</v>
      </c>
      <c r="I541" s="10">
        <f>52.0557 * CHOOSE(CONTROL!$C$9, $D$9, 100%, $F$9) + CHOOSE(CONTROL!$C$27, 0.0021, 0)</f>
        <v>52.0578</v>
      </c>
      <c r="J541" s="10">
        <f>52.0557 * CHOOSE(CONTROL!$C$9, $D$9, 100%, $F$9) + CHOOSE(CONTROL!$C$27, 0.0021, 0)</f>
        <v>52.0578</v>
      </c>
      <c r="K541" s="10">
        <f>52.0557 * CHOOSE(CONTROL!$C$9, $D$9, 100%, $F$9) + CHOOSE(CONTROL!$C$27, 0.0021, 0)</f>
        <v>52.0578</v>
      </c>
      <c r="L541" s="10"/>
    </row>
    <row r="542" spans="1:12" ht="15.75" x14ac:dyDescent="0.25">
      <c r="A542" s="13">
        <v>57800</v>
      </c>
      <c r="B542" s="10">
        <f>51.8848 * CHOOSE(CONTROL!$C$9, $D$9, 100%, $F$9) + CHOOSE(CONTROL!$C$27, 0.0021, 0)</f>
        <v>51.886899999999997</v>
      </c>
      <c r="C542" s="10">
        <f>51.4525 * CHOOSE(CONTROL!$C$9, $D$9, 100%, $F$9) + CHOOSE(CONTROL!$C$27, 0.0021, 0)</f>
        <v>51.454599999999999</v>
      </c>
      <c r="D542" s="10">
        <f>51.4525 * CHOOSE(CONTROL!$C$9, $D$9, 100%, $F$9) + CHOOSE(CONTROL!$C$27, 0.0021, 0)</f>
        <v>51.454599999999999</v>
      </c>
      <c r="E542" s="10">
        <f>51.3159 * CHOOSE(CONTROL!$C$9, $D$9, 100%, $F$9) + CHOOSE(CONTROL!$C$27, 0.0021, 0)</f>
        <v>51.317999999999998</v>
      </c>
      <c r="F542" s="10">
        <f>51.3159 * CHOOSE(CONTROL!$C$9, $D$9, 100%, $F$9) + CHOOSE(CONTROL!$C$27, 0.0021, 0)</f>
        <v>51.317999999999998</v>
      </c>
      <c r="G542" s="10">
        <f>51.5872 * CHOOSE(CONTROL!$C$9, $D$9, 100%, $F$9) + CHOOSE(CONTROL!$C$27, 0.0021, 0)</f>
        <v>51.589300000000001</v>
      </c>
      <c r="H542" s="10">
        <f>51.4525 * CHOOSE(CONTROL!$C$9, $D$9, 100%, $F$9) + CHOOSE(CONTROL!$C$27, 0.0021, 0)</f>
        <v>51.454599999999999</v>
      </c>
      <c r="I542" s="10">
        <f>51.4525 * CHOOSE(CONTROL!$C$9, $D$9, 100%, $F$9) + CHOOSE(CONTROL!$C$27, 0.0021, 0)</f>
        <v>51.454599999999999</v>
      </c>
      <c r="J542" s="10">
        <f>51.4525 * CHOOSE(CONTROL!$C$9, $D$9, 100%, $F$9) + CHOOSE(CONTROL!$C$27, 0.0021, 0)</f>
        <v>51.454599999999999</v>
      </c>
      <c r="K542" s="10">
        <f>51.4525 * CHOOSE(CONTROL!$C$9, $D$9, 100%, $F$9) + CHOOSE(CONTROL!$C$27, 0.0021, 0)</f>
        <v>51.454599999999999</v>
      </c>
      <c r="L542" s="10"/>
    </row>
    <row r="543" spans="1:12" ht="15.75" x14ac:dyDescent="0.25">
      <c r="A543" s="13">
        <v>57830</v>
      </c>
      <c r="B543" s="10">
        <f>51.1646 * CHOOSE(CONTROL!$C$9, $D$9, 100%, $F$9) + CHOOSE(CONTROL!$C$27, 0.0021, 0)</f>
        <v>51.166699999999999</v>
      </c>
      <c r="C543" s="10">
        <f>50.7323 * CHOOSE(CONTROL!$C$9, $D$9, 100%, $F$9) + CHOOSE(CONTROL!$C$27, 0.0021, 0)</f>
        <v>50.734400000000001</v>
      </c>
      <c r="D543" s="10">
        <f>50.7323 * CHOOSE(CONTROL!$C$9, $D$9, 100%, $F$9) + CHOOSE(CONTROL!$C$27, 0.0021, 0)</f>
        <v>50.734400000000001</v>
      </c>
      <c r="E543" s="10">
        <f>50.5957 * CHOOSE(CONTROL!$C$9, $D$9, 100%, $F$9) + CHOOSE(CONTROL!$C$27, 0.0021, 0)</f>
        <v>50.597799999999999</v>
      </c>
      <c r="F543" s="10">
        <f>50.5957 * CHOOSE(CONTROL!$C$9, $D$9, 100%, $F$9) + CHOOSE(CONTROL!$C$27, 0.0021, 0)</f>
        <v>50.597799999999999</v>
      </c>
      <c r="G543" s="10">
        <f>50.8671 * CHOOSE(CONTROL!$C$9, $D$9, 100%, $F$9) + CHOOSE(CONTROL!$C$27, 0.0021, 0)</f>
        <v>50.869199999999999</v>
      </c>
      <c r="H543" s="10">
        <f>50.7323 * CHOOSE(CONTROL!$C$9, $D$9, 100%, $F$9) + CHOOSE(CONTROL!$C$27, 0.0021, 0)</f>
        <v>50.734400000000001</v>
      </c>
      <c r="I543" s="10">
        <f>50.7323 * CHOOSE(CONTROL!$C$9, $D$9, 100%, $F$9) + CHOOSE(CONTROL!$C$27, 0.0021, 0)</f>
        <v>50.734400000000001</v>
      </c>
      <c r="J543" s="10">
        <f>50.7323 * CHOOSE(CONTROL!$C$9, $D$9, 100%, $F$9) + CHOOSE(CONTROL!$C$27, 0.0021, 0)</f>
        <v>50.734400000000001</v>
      </c>
      <c r="K543" s="10">
        <f>50.7323 * CHOOSE(CONTROL!$C$9, $D$9, 100%, $F$9) + CHOOSE(CONTROL!$C$27, 0.0021, 0)</f>
        <v>50.734400000000001</v>
      </c>
      <c r="L543" s="10"/>
    </row>
    <row r="544" spans="1:12" ht="15.75" x14ac:dyDescent="0.25">
      <c r="A544" s="13">
        <v>57861</v>
      </c>
      <c r="B544" s="10">
        <f>52.1909 * CHOOSE(CONTROL!$C$9, $D$9, 100%, $F$9) + CHOOSE(CONTROL!$C$27, 0.0021, 0)</f>
        <v>52.192999999999998</v>
      </c>
      <c r="C544" s="10">
        <f>51.7587 * CHOOSE(CONTROL!$C$9, $D$9, 100%, $F$9) + CHOOSE(CONTROL!$C$27, 0.0021, 0)</f>
        <v>51.760799999999996</v>
      </c>
      <c r="D544" s="10">
        <f>51.7587 * CHOOSE(CONTROL!$C$9, $D$9, 100%, $F$9) + CHOOSE(CONTROL!$C$27, 0.0021, 0)</f>
        <v>51.760799999999996</v>
      </c>
      <c r="E544" s="10">
        <f>51.622 * CHOOSE(CONTROL!$C$9, $D$9, 100%, $F$9) + CHOOSE(CONTROL!$C$27, 0.0021, 0)</f>
        <v>51.624099999999999</v>
      </c>
      <c r="F544" s="10">
        <f>51.622 * CHOOSE(CONTROL!$C$9, $D$9, 100%, $F$9) + CHOOSE(CONTROL!$C$27, 0.0021, 0)</f>
        <v>51.624099999999999</v>
      </c>
      <c r="G544" s="10">
        <f>51.8934 * CHOOSE(CONTROL!$C$9, $D$9, 100%, $F$9) + CHOOSE(CONTROL!$C$27, 0.0021, 0)</f>
        <v>51.895499999999998</v>
      </c>
      <c r="H544" s="10">
        <f>51.7587 * CHOOSE(CONTROL!$C$9, $D$9, 100%, $F$9) + CHOOSE(CONTROL!$C$27, 0.0021, 0)</f>
        <v>51.760799999999996</v>
      </c>
      <c r="I544" s="10">
        <f>51.7587 * CHOOSE(CONTROL!$C$9, $D$9, 100%, $F$9) + CHOOSE(CONTROL!$C$27, 0.0021, 0)</f>
        <v>51.760799999999996</v>
      </c>
      <c r="J544" s="10">
        <f>51.7587 * CHOOSE(CONTROL!$C$9, $D$9, 100%, $F$9) + CHOOSE(CONTROL!$C$27, 0.0021, 0)</f>
        <v>51.760799999999996</v>
      </c>
      <c r="K544" s="10">
        <f>51.7587 * CHOOSE(CONTROL!$C$9, $D$9, 100%, $F$9) + CHOOSE(CONTROL!$C$27, 0.0021, 0)</f>
        <v>51.760799999999996</v>
      </c>
      <c r="L544" s="10"/>
    </row>
    <row r="545" spans="1:12" ht="15.75" x14ac:dyDescent="0.25">
      <c r="A545" s="13">
        <v>57891</v>
      </c>
      <c r="B545" s="10">
        <f>52.8057 * CHOOSE(CONTROL!$C$9, $D$9, 100%, $F$9) + CHOOSE(CONTROL!$C$27, 0.0021, 0)</f>
        <v>52.8078</v>
      </c>
      <c r="C545" s="10">
        <f>52.3734 * CHOOSE(CONTROL!$C$9, $D$9, 100%, $F$9) + CHOOSE(CONTROL!$C$27, 0.0021, 0)</f>
        <v>52.375499999999995</v>
      </c>
      <c r="D545" s="10">
        <f>52.3734 * CHOOSE(CONTROL!$C$9, $D$9, 100%, $F$9) + CHOOSE(CONTROL!$C$27, 0.0021, 0)</f>
        <v>52.375499999999995</v>
      </c>
      <c r="E545" s="10">
        <f>52.2368 * CHOOSE(CONTROL!$C$9, $D$9, 100%, $F$9) + CHOOSE(CONTROL!$C$27, 0.0021, 0)</f>
        <v>52.238900000000001</v>
      </c>
      <c r="F545" s="10">
        <f>52.2368 * CHOOSE(CONTROL!$C$9, $D$9, 100%, $F$9) + CHOOSE(CONTROL!$C$27, 0.0021, 0)</f>
        <v>52.238900000000001</v>
      </c>
      <c r="G545" s="10">
        <f>52.5081 * CHOOSE(CONTROL!$C$9, $D$9, 100%, $F$9) + CHOOSE(CONTROL!$C$27, 0.0021, 0)</f>
        <v>52.510199999999998</v>
      </c>
      <c r="H545" s="10">
        <f>52.3734 * CHOOSE(CONTROL!$C$9, $D$9, 100%, $F$9) + CHOOSE(CONTROL!$C$27, 0.0021, 0)</f>
        <v>52.375499999999995</v>
      </c>
      <c r="I545" s="10">
        <f>52.3734 * CHOOSE(CONTROL!$C$9, $D$9, 100%, $F$9) + CHOOSE(CONTROL!$C$27, 0.0021, 0)</f>
        <v>52.375499999999995</v>
      </c>
      <c r="J545" s="10">
        <f>52.3734 * CHOOSE(CONTROL!$C$9, $D$9, 100%, $F$9) + CHOOSE(CONTROL!$C$27, 0.0021, 0)</f>
        <v>52.375499999999995</v>
      </c>
      <c r="K545" s="10">
        <f>52.3734 * CHOOSE(CONTROL!$C$9, $D$9, 100%, $F$9) + CHOOSE(CONTROL!$C$27, 0.0021, 0)</f>
        <v>52.375499999999995</v>
      </c>
      <c r="L545" s="10"/>
    </row>
    <row r="546" spans="1:12" ht="15.75" x14ac:dyDescent="0.25">
      <c r="A546" s="13">
        <v>57922</v>
      </c>
      <c r="B546" s="10">
        <f>53.8198 * CHOOSE(CONTROL!$C$9, $D$9, 100%, $F$9) + CHOOSE(CONTROL!$C$27, 0.0021, 0)</f>
        <v>53.821899999999999</v>
      </c>
      <c r="C546" s="10">
        <f>53.3875 * CHOOSE(CONTROL!$C$9, $D$9, 100%, $F$9) + CHOOSE(CONTROL!$C$27, 0.0021, 0)</f>
        <v>53.389600000000002</v>
      </c>
      <c r="D546" s="10">
        <f>53.3875 * CHOOSE(CONTROL!$C$9, $D$9, 100%, $F$9) + CHOOSE(CONTROL!$C$27, 0.0021, 0)</f>
        <v>53.389600000000002</v>
      </c>
      <c r="E546" s="10">
        <f>53.2509 * CHOOSE(CONTROL!$C$9, $D$9, 100%, $F$9) + CHOOSE(CONTROL!$C$27, 0.0021, 0)</f>
        <v>53.253</v>
      </c>
      <c r="F546" s="10">
        <f>53.2509 * CHOOSE(CONTROL!$C$9, $D$9, 100%, $F$9) + CHOOSE(CONTROL!$C$27, 0.0021, 0)</f>
        <v>53.253</v>
      </c>
      <c r="G546" s="10">
        <f>53.5222 * CHOOSE(CONTROL!$C$9, $D$9, 100%, $F$9) + CHOOSE(CONTROL!$C$27, 0.0021, 0)</f>
        <v>53.524299999999997</v>
      </c>
      <c r="H546" s="10">
        <f>53.3875 * CHOOSE(CONTROL!$C$9, $D$9, 100%, $F$9) + CHOOSE(CONTROL!$C$27, 0.0021, 0)</f>
        <v>53.389600000000002</v>
      </c>
      <c r="I546" s="10">
        <f>53.3875 * CHOOSE(CONTROL!$C$9, $D$9, 100%, $F$9) + CHOOSE(CONTROL!$C$27, 0.0021, 0)</f>
        <v>53.389600000000002</v>
      </c>
      <c r="J546" s="10">
        <f>53.3875 * CHOOSE(CONTROL!$C$9, $D$9, 100%, $F$9) + CHOOSE(CONTROL!$C$27, 0.0021, 0)</f>
        <v>53.389600000000002</v>
      </c>
      <c r="K546" s="10">
        <f>53.3875 * CHOOSE(CONTROL!$C$9, $D$9, 100%, $F$9) + CHOOSE(CONTROL!$C$27, 0.0021, 0)</f>
        <v>53.389600000000002</v>
      </c>
      <c r="L546" s="10"/>
    </row>
    <row r="547" spans="1:12" ht="15.75" x14ac:dyDescent="0.25">
      <c r="A547" s="13">
        <v>57953</v>
      </c>
      <c r="B547" s="10">
        <f>54.1293 * CHOOSE(CONTROL!$C$9, $D$9, 100%, $F$9) + CHOOSE(CONTROL!$C$27, 0.0021, 0)</f>
        <v>54.131399999999999</v>
      </c>
      <c r="C547" s="10">
        <f>53.697 * CHOOSE(CONTROL!$C$9, $D$9, 100%, $F$9) + CHOOSE(CONTROL!$C$27, 0.0021, 0)</f>
        <v>53.699100000000001</v>
      </c>
      <c r="D547" s="10">
        <f>53.697 * CHOOSE(CONTROL!$C$9, $D$9, 100%, $F$9) + CHOOSE(CONTROL!$C$27, 0.0021, 0)</f>
        <v>53.699100000000001</v>
      </c>
      <c r="E547" s="10">
        <f>53.5604 * CHOOSE(CONTROL!$C$9, $D$9, 100%, $F$9) + CHOOSE(CONTROL!$C$27, 0.0021, 0)</f>
        <v>53.5625</v>
      </c>
      <c r="F547" s="10">
        <f>53.5604 * CHOOSE(CONTROL!$C$9, $D$9, 100%, $F$9) + CHOOSE(CONTROL!$C$27, 0.0021, 0)</f>
        <v>53.5625</v>
      </c>
      <c r="G547" s="10">
        <f>53.8318 * CHOOSE(CONTROL!$C$9, $D$9, 100%, $F$9) + CHOOSE(CONTROL!$C$27, 0.0021, 0)</f>
        <v>53.8339</v>
      </c>
      <c r="H547" s="10">
        <f>53.697 * CHOOSE(CONTROL!$C$9, $D$9, 100%, $F$9) + CHOOSE(CONTROL!$C$27, 0.0021, 0)</f>
        <v>53.699100000000001</v>
      </c>
      <c r="I547" s="10">
        <f>53.697 * CHOOSE(CONTROL!$C$9, $D$9, 100%, $F$9) + CHOOSE(CONTROL!$C$27, 0.0021, 0)</f>
        <v>53.699100000000001</v>
      </c>
      <c r="J547" s="10">
        <f>53.697 * CHOOSE(CONTROL!$C$9, $D$9, 100%, $F$9) + CHOOSE(CONTROL!$C$27, 0.0021, 0)</f>
        <v>53.699100000000001</v>
      </c>
      <c r="K547" s="10">
        <f>53.697 * CHOOSE(CONTROL!$C$9, $D$9, 100%, $F$9) + CHOOSE(CONTROL!$C$27, 0.0021, 0)</f>
        <v>53.699100000000001</v>
      </c>
      <c r="L547" s="10"/>
    </row>
    <row r="548" spans="1:12" ht="15.75" x14ac:dyDescent="0.25">
      <c r="A548" s="13">
        <v>57983</v>
      </c>
      <c r="B548" s="10">
        <f>55.1834 * CHOOSE(CONTROL!$C$9, $D$9, 100%, $F$9) + CHOOSE(CONTROL!$C$27, 0.0021, 0)</f>
        <v>55.185499999999998</v>
      </c>
      <c r="C548" s="10">
        <f>54.7511 * CHOOSE(CONTROL!$C$9, $D$9, 100%, $F$9) + CHOOSE(CONTROL!$C$27, 0.0021, 0)</f>
        <v>54.7532</v>
      </c>
      <c r="D548" s="10">
        <f>54.7511 * CHOOSE(CONTROL!$C$9, $D$9, 100%, $F$9) + CHOOSE(CONTROL!$C$27, 0.0021, 0)</f>
        <v>54.7532</v>
      </c>
      <c r="E548" s="10">
        <f>54.6145 * CHOOSE(CONTROL!$C$9, $D$9, 100%, $F$9) + CHOOSE(CONTROL!$C$27, 0.0021, 0)</f>
        <v>54.616599999999998</v>
      </c>
      <c r="F548" s="10">
        <f>54.6145 * CHOOSE(CONTROL!$C$9, $D$9, 100%, $F$9) + CHOOSE(CONTROL!$C$27, 0.0021, 0)</f>
        <v>54.616599999999998</v>
      </c>
      <c r="G548" s="10">
        <f>54.8859 * CHOOSE(CONTROL!$C$9, $D$9, 100%, $F$9) + CHOOSE(CONTROL!$C$27, 0.0021, 0)</f>
        <v>54.887999999999998</v>
      </c>
      <c r="H548" s="10">
        <f>54.7511 * CHOOSE(CONTROL!$C$9, $D$9, 100%, $F$9) + CHOOSE(CONTROL!$C$27, 0.0021, 0)</f>
        <v>54.7532</v>
      </c>
      <c r="I548" s="10">
        <f>54.7511 * CHOOSE(CONTROL!$C$9, $D$9, 100%, $F$9) + CHOOSE(CONTROL!$C$27, 0.0021, 0)</f>
        <v>54.7532</v>
      </c>
      <c r="J548" s="10">
        <f>54.7511 * CHOOSE(CONTROL!$C$9, $D$9, 100%, $F$9) + CHOOSE(CONTROL!$C$27, 0.0021, 0)</f>
        <v>54.7532</v>
      </c>
      <c r="K548" s="10">
        <f>54.7511 * CHOOSE(CONTROL!$C$9, $D$9, 100%, $F$9) + CHOOSE(CONTROL!$C$27, 0.0021, 0)</f>
        <v>54.7532</v>
      </c>
      <c r="L548" s="10"/>
    </row>
    <row r="549" spans="1:12" ht="15.75" x14ac:dyDescent="0.25">
      <c r="A549" s="13">
        <v>58014</v>
      </c>
      <c r="B549" s="10">
        <f>56.5177 * CHOOSE(CONTROL!$C$9, $D$9, 100%, $F$9) + CHOOSE(CONTROL!$C$27, 0.0021, 0)</f>
        <v>56.519799999999996</v>
      </c>
      <c r="C549" s="10">
        <f>56.0855 * CHOOSE(CONTROL!$C$9, $D$9, 100%, $F$9) + CHOOSE(CONTROL!$C$27, 0.0021, 0)</f>
        <v>56.087600000000002</v>
      </c>
      <c r="D549" s="10">
        <f>56.0855 * CHOOSE(CONTROL!$C$9, $D$9, 100%, $F$9) + CHOOSE(CONTROL!$C$27, 0.0021, 0)</f>
        <v>56.087600000000002</v>
      </c>
      <c r="E549" s="10">
        <f>55.9488 * CHOOSE(CONTROL!$C$9, $D$9, 100%, $F$9) + CHOOSE(CONTROL!$C$27, 0.0021, 0)</f>
        <v>55.950899999999997</v>
      </c>
      <c r="F549" s="10">
        <f>55.9488 * CHOOSE(CONTROL!$C$9, $D$9, 100%, $F$9) + CHOOSE(CONTROL!$C$27, 0.0021, 0)</f>
        <v>55.950899999999997</v>
      </c>
      <c r="G549" s="10">
        <f>56.2202 * CHOOSE(CONTROL!$C$9, $D$9, 100%, $F$9) + CHOOSE(CONTROL!$C$27, 0.0021, 0)</f>
        <v>56.222299999999997</v>
      </c>
      <c r="H549" s="10">
        <f>56.0855 * CHOOSE(CONTROL!$C$9, $D$9, 100%, $F$9) + CHOOSE(CONTROL!$C$27, 0.0021, 0)</f>
        <v>56.087600000000002</v>
      </c>
      <c r="I549" s="10">
        <f>56.0855 * CHOOSE(CONTROL!$C$9, $D$9, 100%, $F$9) + CHOOSE(CONTROL!$C$27, 0.0021, 0)</f>
        <v>56.087600000000002</v>
      </c>
      <c r="J549" s="10">
        <f>56.0855 * CHOOSE(CONTROL!$C$9, $D$9, 100%, $F$9) + CHOOSE(CONTROL!$C$27, 0.0021, 0)</f>
        <v>56.087600000000002</v>
      </c>
      <c r="K549" s="10">
        <f>56.0855 * CHOOSE(CONTROL!$C$9, $D$9, 100%, $F$9) + CHOOSE(CONTROL!$C$27, 0.0021, 0)</f>
        <v>56.087600000000002</v>
      </c>
      <c r="L549" s="10"/>
    </row>
    <row r="550" spans="1:12" ht="15.75" x14ac:dyDescent="0.25">
      <c r="A550" s="13">
        <v>58044</v>
      </c>
      <c r="B550" s="10">
        <f>56.643 * CHOOSE(CONTROL!$C$9, $D$9, 100%, $F$9) + CHOOSE(CONTROL!$C$27, 0.0021, 0)</f>
        <v>56.645099999999999</v>
      </c>
      <c r="C550" s="10">
        <f>56.2107 * CHOOSE(CONTROL!$C$9, $D$9, 100%, $F$9) + CHOOSE(CONTROL!$C$27, 0.0021, 0)</f>
        <v>56.212800000000001</v>
      </c>
      <c r="D550" s="10">
        <f>56.2107 * CHOOSE(CONTROL!$C$9, $D$9, 100%, $F$9) + CHOOSE(CONTROL!$C$27, 0.0021, 0)</f>
        <v>56.212800000000001</v>
      </c>
      <c r="E550" s="10">
        <f>56.0741 * CHOOSE(CONTROL!$C$9, $D$9, 100%, $F$9) + CHOOSE(CONTROL!$C$27, 0.0021, 0)</f>
        <v>56.0762</v>
      </c>
      <c r="F550" s="10">
        <f>56.0741 * CHOOSE(CONTROL!$C$9, $D$9, 100%, $F$9) + CHOOSE(CONTROL!$C$27, 0.0021, 0)</f>
        <v>56.0762</v>
      </c>
      <c r="G550" s="10">
        <f>56.3454 * CHOOSE(CONTROL!$C$9, $D$9, 100%, $F$9) + CHOOSE(CONTROL!$C$27, 0.0021, 0)</f>
        <v>56.347499999999997</v>
      </c>
      <c r="H550" s="10">
        <f>56.2107 * CHOOSE(CONTROL!$C$9, $D$9, 100%, $F$9) + CHOOSE(CONTROL!$C$27, 0.0021, 0)</f>
        <v>56.212800000000001</v>
      </c>
      <c r="I550" s="10">
        <f>56.2107 * CHOOSE(CONTROL!$C$9, $D$9, 100%, $F$9) + CHOOSE(CONTROL!$C$27, 0.0021, 0)</f>
        <v>56.212800000000001</v>
      </c>
      <c r="J550" s="10">
        <f>56.2107 * CHOOSE(CONTROL!$C$9, $D$9, 100%, $F$9) + CHOOSE(CONTROL!$C$27, 0.0021, 0)</f>
        <v>56.212800000000001</v>
      </c>
      <c r="K550" s="10">
        <f>56.2107 * CHOOSE(CONTROL!$C$9, $D$9, 100%, $F$9) + CHOOSE(CONTROL!$C$27, 0.0021, 0)</f>
        <v>56.212800000000001</v>
      </c>
      <c r="L550" s="10"/>
    </row>
    <row r="551" spans="1:12" ht="15.75" x14ac:dyDescent="0.25">
      <c r="A551" s="13">
        <v>58075</v>
      </c>
      <c r="B551" s="10">
        <f>55.5773 * CHOOSE(CONTROL!$C$9, $D$9, 100%, $F$9) + CHOOSE(CONTROL!$C$27, 0.0021, 0)</f>
        <v>55.5794</v>
      </c>
      <c r="C551" s="10">
        <f>55.145 * CHOOSE(CONTROL!$C$9, $D$9, 100%, $F$9) + CHOOSE(CONTROL!$C$27, 0.0021, 0)</f>
        <v>55.147100000000002</v>
      </c>
      <c r="D551" s="10">
        <f>55.145 * CHOOSE(CONTROL!$C$9, $D$9, 100%, $F$9) + CHOOSE(CONTROL!$C$27, 0.0021, 0)</f>
        <v>55.147100000000002</v>
      </c>
      <c r="E551" s="10">
        <f>55.0084 * CHOOSE(CONTROL!$C$9, $D$9, 100%, $F$9) + CHOOSE(CONTROL!$C$27, 0.0021, 0)</f>
        <v>55.0105</v>
      </c>
      <c r="F551" s="10">
        <f>55.0084 * CHOOSE(CONTROL!$C$9, $D$9, 100%, $F$9) + CHOOSE(CONTROL!$C$27, 0.0021, 0)</f>
        <v>55.0105</v>
      </c>
      <c r="G551" s="10">
        <f>55.2797 * CHOOSE(CONTROL!$C$9, $D$9, 100%, $F$9) + CHOOSE(CONTROL!$C$27, 0.0021, 0)</f>
        <v>55.281799999999997</v>
      </c>
      <c r="H551" s="10">
        <f>55.145 * CHOOSE(CONTROL!$C$9, $D$9, 100%, $F$9) + CHOOSE(CONTROL!$C$27, 0.0021, 0)</f>
        <v>55.147100000000002</v>
      </c>
      <c r="I551" s="10">
        <f>55.145 * CHOOSE(CONTROL!$C$9, $D$9, 100%, $F$9) + CHOOSE(CONTROL!$C$27, 0.0021, 0)</f>
        <v>55.147100000000002</v>
      </c>
      <c r="J551" s="10">
        <f>55.145 * CHOOSE(CONTROL!$C$9, $D$9, 100%, $F$9) + CHOOSE(CONTROL!$C$27, 0.0021, 0)</f>
        <v>55.147100000000002</v>
      </c>
      <c r="K551" s="10">
        <f>55.145 * CHOOSE(CONTROL!$C$9, $D$9, 100%, $F$9) + CHOOSE(CONTROL!$C$27, 0.0021, 0)</f>
        <v>55.147100000000002</v>
      </c>
      <c r="L551" s="10"/>
    </row>
    <row r="552" spans="1:12" ht="15.75" x14ac:dyDescent="0.25">
      <c r="A552" s="13">
        <v>58106</v>
      </c>
      <c r="B552" s="10">
        <f>54.7614 * CHOOSE(CONTROL!$C$9, $D$9, 100%, $F$9) + CHOOSE(CONTROL!$C$27, 0.0021, 0)</f>
        <v>54.763500000000001</v>
      </c>
      <c r="C552" s="10">
        <f>54.3291 * CHOOSE(CONTROL!$C$9, $D$9, 100%, $F$9) + CHOOSE(CONTROL!$C$27, 0.0021, 0)</f>
        <v>54.331199999999995</v>
      </c>
      <c r="D552" s="10">
        <f>54.3291 * CHOOSE(CONTROL!$C$9, $D$9, 100%, $F$9) + CHOOSE(CONTROL!$C$27, 0.0021, 0)</f>
        <v>54.331199999999995</v>
      </c>
      <c r="E552" s="10">
        <f>54.1924 * CHOOSE(CONTROL!$C$9, $D$9, 100%, $F$9) + CHOOSE(CONTROL!$C$27, 0.0021, 0)</f>
        <v>54.194499999999998</v>
      </c>
      <c r="F552" s="10">
        <f>54.1924 * CHOOSE(CONTROL!$C$9, $D$9, 100%, $F$9) + CHOOSE(CONTROL!$C$27, 0.0021, 0)</f>
        <v>54.194499999999998</v>
      </c>
      <c r="G552" s="10">
        <f>54.4638 * CHOOSE(CONTROL!$C$9, $D$9, 100%, $F$9) + CHOOSE(CONTROL!$C$27, 0.0021, 0)</f>
        <v>54.465899999999998</v>
      </c>
      <c r="H552" s="10">
        <f>54.3291 * CHOOSE(CONTROL!$C$9, $D$9, 100%, $F$9) + CHOOSE(CONTROL!$C$27, 0.0021, 0)</f>
        <v>54.331199999999995</v>
      </c>
      <c r="I552" s="10">
        <f>54.3291 * CHOOSE(CONTROL!$C$9, $D$9, 100%, $F$9) + CHOOSE(CONTROL!$C$27, 0.0021, 0)</f>
        <v>54.331199999999995</v>
      </c>
      <c r="J552" s="10">
        <f>54.3291 * CHOOSE(CONTROL!$C$9, $D$9, 100%, $F$9) + CHOOSE(CONTROL!$C$27, 0.0021, 0)</f>
        <v>54.331199999999995</v>
      </c>
      <c r="K552" s="10">
        <f>54.3291 * CHOOSE(CONTROL!$C$9, $D$9, 100%, $F$9) + CHOOSE(CONTROL!$C$27, 0.0021, 0)</f>
        <v>54.331199999999995</v>
      </c>
      <c r="L552" s="10"/>
    </row>
    <row r="553" spans="1:12" ht="15.75" x14ac:dyDescent="0.25">
      <c r="A553" s="13">
        <v>58134</v>
      </c>
      <c r="B553" s="10">
        <f>53.2772 * CHOOSE(CONTROL!$C$9, $D$9, 100%, $F$9) + CHOOSE(CONTROL!$C$27, 0.0021, 0)</f>
        <v>53.279299999999999</v>
      </c>
      <c r="C553" s="10">
        <f>52.845 * CHOOSE(CONTROL!$C$9, $D$9, 100%, $F$9) + CHOOSE(CONTROL!$C$27, 0.0021, 0)</f>
        <v>52.847099999999998</v>
      </c>
      <c r="D553" s="10">
        <f>52.845 * CHOOSE(CONTROL!$C$9, $D$9, 100%, $F$9) + CHOOSE(CONTROL!$C$27, 0.0021, 0)</f>
        <v>52.847099999999998</v>
      </c>
      <c r="E553" s="10">
        <f>52.7083 * CHOOSE(CONTROL!$C$9, $D$9, 100%, $F$9) + CHOOSE(CONTROL!$C$27, 0.0021, 0)</f>
        <v>52.7104</v>
      </c>
      <c r="F553" s="10">
        <f>52.7083 * CHOOSE(CONTROL!$C$9, $D$9, 100%, $F$9) + CHOOSE(CONTROL!$C$27, 0.0021, 0)</f>
        <v>52.7104</v>
      </c>
      <c r="G553" s="10">
        <f>52.9797 * CHOOSE(CONTROL!$C$9, $D$9, 100%, $F$9) + CHOOSE(CONTROL!$C$27, 0.0021, 0)</f>
        <v>52.9818</v>
      </c>
      <c r="H553" s="10">
        <f>52.845 * CHOOSE(CONTROL!$C$9, $D$9, 100%, $F$9) + CHOOSE(CONTROL!$C$27, 0.0021, 0)</f>
        <v>52.847099999999998</v>
      </c>
      <c r="I553" s="10">
        <f>52.845 * CHOOSE(CONTROL!$C$9, $D$9, 100%, $F$9) + CHOOSE(CONTROL!$C$27, 0.0021, 0)</f>
        <v>52.847099999999998</v>
      </c>
      <c r="J553" s="10">
        <f>52.845 * CHOOSE(CONTROL!$C$9, $D$9, 100%, $F$9) + CHOOSE(CONTROL!$C$27, 0.0021, 0)</f>
        <v>52.847099999999998</v>
      </c>
      <c r="K553" s="10">
        <f>52.845 * CHOOSE(CONTROL!$C$9, $D$9, 100%, $F$9) + CHOOSE(CONTROL!$C$27, 0.0021, 0)</f>
        <v>52.847099999999998</v>
      </c>
      <c r="L553" s="10"/>
    </row>
    <row r="554" spans="1:12" ht="15.75" x14ac:dyDescent="0.25">
      <c r="A554" s="13">
        <v>58165</v>
      </c>
      <c r="B554" s="10">
        <f>52.6646 * CHOOSE(CONTROL!$C$9, $D$9, 100%, $F$9) + CHOOSE(CONTROL!$C$27, 0.0021, 0)</f>
        <v>52.666699999999999</v>
      </c>
      <c r="C554" s="10">
        <f>52.2324 * CHOOSE(CONTROL!$C$9, $D$9, 100%, $F$9) + CHOOSE(CONTROL!$C$27, 0.0021, 0)</f>
        <v>52.234499999999997</v>
      </c>
      <c r="D554" s="10">
        <f>52.2324 * CHOOSE(CONTROL!$C$9, $D$9, 100%, $F$9) + CHOOSE(CONTROL!$C$27, 0.0021, 0)</f>
        <v>52.234499999999997</v>
      </c>
      <c r="E554" s="10">
        <f>52.0957 * CHOOSE(CONTROL!$C$9, $D$9, 100%, $F$9) + CHOOSE(CONTROL!$C$27, 0.0021, 0)</f>
        <v>52.097799999999999</v>
      </c>
      <c r="F554" s="10">
        <f>52.0957 * CHOOSE(CONTROL!$C$9, $D$9, 100%, $F$9) + CHOOSE(CONTROL!$C$27, 0.0021, 0)</f>
        <v>52.097799999999999</v>
      </c>
      <c r="G554" s="10">
        <f>52.3671 * CHOOSE(CONTROL!$C$9, $D$9, 100%, $F$9) + CHOOSE(CONTROL!$C$27, 0.0021, 0)</f>
        <v>52.369199999999999</v>
      </c>
      <c r="H554" s="10">
        <f>52.2324 * CHOOSE(CONTROL!$C$9, $D$9, 100%, $F$9) + CHOOSE(CONTROL!$C$27, 0.0021, 0)</f>
        <v>52.234499999999997</v>
      </c>
      <c r="I554" s="10">
        <f>52.2324 * CHOOSE(CONTROL!$C$9, $D$9, 100%, $F$9) + CHOOSE(CONTROL!$C$27, 0.0021, 0)</f>
        <v>52.234499999999997</v>
      </c>
      <c r="J554" s="10">
        <f>52.2324 * CHOOSE(CONTROL!$C$9, $D$9, 100%, $F$9) + CHOOSE(CONTROL!$C$27, 0.0021, 0)</f>
        <v>52.234499999999997</v>
      </c>
      <c r="K554" s="10">
        <f>52.2324 * CHOOSE(CONTROL!$C$9, $D$9, 100%, $F$9) + CHOOSE(CONTROL!$C$27, 0.0021, 0)</f>
        <v>52.234499999999997</v>
      </c>
      <c r="L554" s="10"/>
    </row>
    <row r="555" spans="1:12" ht="15.75" x14ac:dyDescent="0.25">
      <c r="A555" s="13">
        <v>58195</v>
      </c>
      <c r="B555" s="10">
        <f>51.9331 * CHOOSE(CONTROL!$C$9, $D$9, 100%, $F$9) + CHOOSE(CONTROL!$C$27, 0.0021, 0)</f>
        <v>51.935200000000002</v>
      </c>
      <c r="C555" s="10">
        <f>51.5009 * CHOOSE(CONTROL!$C$9, $D$9, 100%, $F$9) + CHOOSE(CONTROL!$C$27, 0.0021, 0)</f>
        <v>51.503</v>
      </c>
      <c r="D555" s="10">
        <f>51.5009 * CHOOSE(CONTROL!$C$9, $D$9, 100%, $F$9) + CHOOSE(CONTROL!$C$27, 0.0021, 0)</f>
        <v>51.503</v>
      </c>
      <c r="E555" s="10">
        <f>51.3642 * CHOOSE(CONTROL!$C$9, $D$9, 100%, $F$9) + CHOOSE(CONTROL!$C$27, 0.0021, 0)</f>
        <v>51.366299999999995</v>
      </c>
      <c r="F555" s="10">
        <f>51.3642 * CHOOSE(CONTROL!$C$9, $D$9, 100%, $F$9) + CHOOSE(CONTROL!$C$27, 0.0021, 0)</f>
        <v>51.366299999999995</v>
      </c>
      <c r="G555" s="10">
        <f>51.6356 * CHOOSE(CONTROL!$C$9, $D$9, 100%, $F$9) + CHOOSE(CONTROL!$C$27, 0.0021, 0)</f>
        <v>51.637699999999995</v>
      </c>
      <c r="H555" s="10">
        <f>51.5009 * CHOOSE(CONTROL!$C$9, $D$9, 100%, $F$9) + CHOOSE(CONTROL!$C$27, 0.0021, 0)</f>
        <v>51.503</v>
      </c>
      <c r="I555" s="10">
        <f>51.5009 * CHOOSE(CONTROL!$C$9, $D$9, 100%, $F$9) + CHOOSE(CONTROL!$C$27, 0.0021, 0)</f>
        <v>51.503</v>
      </c>
      <c r="J555" s="10">
        <f>51.5009 * CHOOSE(CONTROL!$C$9, $D$9, 100%, $F$9) + CHOOSE(CONTROL!$C$27, 0.0021, 0)</f>
        <v>51.503</v>
      </c>
      <c r="K555" s="10">
        <f>51.5009 * CHOOSE(CONTROL!$C$9, $D$9, 100%, $F$9) + CHOOSE(CONTROL!$C$27, 0.0021, 0)</f>
        <v>51.503</v>
      </c>
      <c r="L555" s="10"/>
    </row>
    <row r="556" spans="1:12" ht="15.75" x14ac:dyDescent="0.25">
      <c r="A556" s="13">
        <v>58226</v>
      </c>
      <c r="B556" s="10">
        <f>52.9756 * CHOOSE(CONTROL!$C$9, $D$9, 100%, $F$9) + CHOOSE(CONTROL!$C$27, 0.0021, 0)</f>
        <v>52.977699999999999</v>
      </c>
      <c r="C556" s="10">
        <f>52.5433 * CHOOSE(CONTROL!$C$9, $D$9, 100%, $F$9) + CHOOSE(CONTROL!$C$27, 0.0021, 0)</f>
        <v>52.545400000000001</v>
      </c>
      <c r="D556" s="10">
        <f>52.5433 * CHOOSE(CONTROL!$C$9, $D$9, 100%, $F$9) + CHOOSE(CONTROL!$C$27, 0.0021, 0)</f>
        <v>52.545400000000001</v>
      </c>
      <c r="E556" s="10">
        <f>52.4067 * CHOOSE(CONTROL!$C$9, $D$9, 100%, $F$9) + CHOOSE(CONTROL!$C$27, 0.0021, 0)</f>
        <v>52.408799999999999</v>
      </c>
      <c r="F556" s="10">
        <f>52.4067 * CHOOSE(CONTROL!$C$9, $D$9, 100%, $F$9) + CHOOSE(CONTROL!$C$27, 0.0021, 0)</f>
        <v>52.408799999999999</v>
      </c>
      <c r="G556" s="10">
        <f>52.6781 * CHOOSE(CONTROL!$C$9, $D$9, 100%, $F$9) + CHOOSE(CONTROL!$C$27, 0.0021, 0)</f>
        <v>52.680199999999999</v>
      </c>
      <c r="H556" s="10">
        <f>52.5433 * CHOOSE(CONTROL!$C$9, $D$9, 100%, $F$9) + CHOOSE(CONTROL!$C$27, 0.0021, 0)</f>
        <v>52.545400000000001</v>
      </c>
      <c r="I556" s="10">
        <f>52.5433 * CHOOSE(CONTROL!$C$9, $D$9, 100%, $F$9) + CHOOSE(CONTROL!$C$27, 0.0021, 0)</f>
        <v>52.545400000000001</v>
      </c>
      <c r="J556" s="10">
        <f>52.5433 * CHOOSE(CONTROL!$C$9, $D$9, 100%, $F$9) + CHOOSE(CONTROL!$C$27, 0.0021, 0)</f>
        <v>52.545400000000001</v>
      </c>
      <c r="K556" s="10">
        <f>52.5433 * CHOOSE(CONTROL!$C$9, $D$9, 100%, $F$9) + CHOOSE(CONTROL!$C$27, 0.0021, 0)</f>
        <v>52.545400000000001</v>
      </c>
      <c r="L556" s="10"/>
    </row>
    <row r="557" spans="1:12" ht="15.75" x14ac:dyDescent="0.25">
      <c r="A557" s="13">
        <v>58256</v>
      </c>
      <c r="B557" s="10">
        <f>53.6 * CHOOSE(CONTROL!$C$9, $D$9, 100%, $F$9) + CHOOSE(CONTROL!$C$27, 0.0021, 0)</f>
        <v>53.6021</v>
      </c>
      <c r="C557" s="10">
        <f>53.1677 * CHOOSE(CONTROL!$C$9, $D$9, 100%, $F$9) + CHOOSE(CONTROL!$C$27, 0.0021, 0)</f>
        <v>53.169800000000002</v>
      </c>
      <c r="D557" s="10">
        <f>53.1677 * CHOOSE(CONTROL!$C$9, $D$9, 100%, $F$9) + CHOOSE(CONTROL!$C$27, 0.0021, 0)</f>
        <v>53.169800000000002</v>
      </c>
      <c r="E557" s="10">
        <f>53.0311 * CHOOSE(CONTROL!$C$9, $D$9, 100%, $F$9) + CHOOSE(CONTROL!$C$27, 0.0021, 0)</f>
        <v>53.033200000000001</v>
      </c>
      <c r="F557" s="10">
        <f>53.0311 * CHOOSE(CONTROL!$C$9, $D$9, 100%, $F$9) + CHOOSE(CONTROL!$C$27, 0.0021, 0)</f>
        <v>53.033200000000001</v>
      </c>
      <c r="G557" s="10">
        <f>53.3025 * CHOOSE(CONTROL!$C$9, $D$9, 100%, $F$9) + CHOOSE(CONTROL!$C$27, 0.0021, 0)</f>
        <v>53.304600000000001</v>
      </c>
      <c r="H557" s="10">
        <f>53.1677 * CHOOSE(CONTROL!$C$9, $D$9, 100%, $F$9) + CHOOSE(CONTROL!$C$27, 0.0021, 0)</f>
        <v>53.169800000000002</v>
      </c>
      <c r="I557" s="10">
        <f>53.1677 * CHOOSE(CONTROL!$C$9, $D$9, 100%, $F$9) + CHOOSE(CONTROL!$C$27, 0.0021, 0)</f>
        <v>53.169800000000002</v>
      </c>
      <c r="J557" s="10">
        <f>53.1677 * CHOOSE(CONTROL!$C$9, $D$9, 100%, $F$9) + CHOOSE(CONTROL!$C$27, 0.0021, 0)</f>
        <v>53.169800000000002</v>
      </c>
      <c r="K557" s="10">
        <f>53.1677 * CHOOSE(CONTROL!$C$9, $D$9, 100%, $F$9) + CHOOSE(CONTROL!$C$27, 0.0021, 0)</f>
        <v>53.169800000000002</v>
      </c>
      <c r="L557" s="10"/>
    </row>
    <row r="558" spans="1:12" ht="15.75" x14ac:dyDescent="0.25">
      <c r="A558" s="13">
        <v>58287</v>
      </c>
      <c r="B558" s="10">
        <f>54.63 * CHOOSE(CONTROL!$C$9, $D$9, 100%, $F$9) + CHOOSE(CONTROL!$C$27, 0.0021, 0)</f>
        <v>54.632100000000001</v>
      </c>
      <c r="C558" s="10">
        <f>54.1978 * CHOOSE(CONTROL!$C$9, $D$9, 100%, $F$9) + CHOOSE(CONTROL!$C$27, 0.0021, 0)</f>
        <v>54.1999</v>
      </c>
      <c r="D558" s="10">
        <f>54.1978 * CHOOSE(CONTROL!$C$9, $D$9, 100%, $F$9) + CHOOSE(CONTROL!$C$27, 0.0021, 0)</f>
        <v>54.1999</v>
      </c>
      <c r="E558" s="10">
        <f>54.0611 * CHOOSE(CONTROL!$C$9, $D$9, 100%, $F$9) + CHOOSE(CONTROL!$C$27, 0.0021, 0)</f>
        <v>54.063200000000002</v>
      </c>
      <c r="F558" s="10">
        <f>54.0611 * CHOOSE(CONTROL!$C$9, $D$9, 100%, $F$9) + CHOOSE(CONTROL!$C$27, 0.0021, 0)</f>
        <v>54.063200000000002</v>
      </c>
      <c r="G558" s="10">
        <f>54.3325 * CHOOSE(CONTROL!$C$9, $D$9, 100%, $F$9) + CHOOSE(CONTROL!$C$27, 0.0021, 0)</f>
        <v>54.334600000000002</v>
      </c>
      <c r="H558" s="10">
        <f>54.1978 * CHOOSE(CONTROL!$C$9, $D$9, 100%, $F$9) + CHOOSE(CONTROL!$C$27, 0.0021, 0)</f>
        <v>54.1999</v>
      </c>
      <c r="I558" s="10">
        <f>54.1978 * CHOOSE(CONTROL!$C$9, $D$9, 100%, $F$9) + CHOOSE(CONTROL!$C$27, 0.0021, 0)</f>
        <v>54.1999</v>
      </c>
      <c r="J558" s="10">
        <f>54.1978 * CHOOSE(CONTROL!$C$9, $D$9, 100%, $F$9) + CHOOSE(CONTROL!$C$27, 0.0021, 0)</f>
        <v>54.1999</v>
      </c>
      <c r="K558" s="10">
        <f>54.1978 * CHOOSE(CONTROL!$C$9, $D$9, 100%, $F$9) + CHOOSE(CONTROL!$C$27, 0.0021, 0)</f>
        <v>54.1999</v>
      </c>
      <c r="L558" s="10"/>
    </row>
    <row r="559" spans="1:12" ht="15.75" x14ac:dyDescent="0.25">
      <c r="A559" s="13">
        <v>58318</v>
      </c>
      <c r="B559" s="10">
        <f>54.9444 * CHOOSE(CONTROL!$C$9, $D$9, 100%, $F$9) + CHOOSE(CONTROL!$C$27, 0.0021, 0)</f>
        <v>54.9465</v>
      </c>
      <c r="C559" s="10">
        <f>54.5122 * CHOOSE(CONTROL!$C$9, $D$9, 100%, $F$9) + CHOOSE(CONTROL!$C$27, 0.0021, 0)</f>
        <v>54.514299999999999</v>
      </c>
      <c r="D559" s="10">
        <f>54.5122 * CHOOSE(CONTROL!$C$9, $D$9, 100%, $F$9) + CHOOSE(CONTROL!$C$27, 0.0021, 0)</f>
        <v>54.514299999999999</v>
      </c>
      <c r="E559" s="10">
        <f>54.3755 * CHOOSE(CONTROL!$C$9, $D$9, 100%, $F$9) + CHOOSE(CONTROL!$C$27, 0.0021, 0)</f>
        <v>54.377600000000001</v>
      </c>
      <c r="F559" s="10">
        <f>54.3755 * CHOOSE(CONTROL!$C$9, $D$9, 100%, $F$9) + CHOOSE(CONTROL!$C$27, 0.0021, 0)</f>
        <v>54.377600000000001</v>
      </c>
      <c r="G559" s="10">
        <f>54.6469 * CHOOSE(CONTROL!$C$9, $D$9, 100%, $F$9) + CHOOSE(CONTROL!$C$27, 0.0021, 0)</f>
        <v>54.649000000000001</v>
      </c>
      <c r="H559" s="10">
        <f>54.5122 * CHOOSE(CONTROL!$C$9, $D$9, 100%, $F$9) + CHOOSE(CONTROL!$C$27, 0.0021, 0)</f>
        <v>54.514299999999999</v>
      </c>
      <c r="I559" s="10">
        <f>54.5122 * CHOOSE(CONTROL!$C$9, $D$9, 100%, $F$9) + CHOOSE(CONTROL!$C$27, 0.0021, 0)</f>
        <v>54.514299999999999</v>
      </c>
      <c r="J559" s="10">
        <f>54.5122 * CHOOSE(CONTROL!$C$9, $D$9, 100%, $F$9) + CHOOSE(CONTROL!$C$27, 0.0021, 0)</f>
        <v>54.514299999999999</v>
      </c>
      <c r="K559" s="10">
        <f>54.5122 * CHOOSE(CONTROL!$C$9, $D$9, 100%, $F$9) + CHOOSE(CONTROL!$C$27, 0.0021, 0)</f>
        <v>54.514299999999999</v>
      </c>
      <c r="L559" s="10"/>
    </row>
    <row r="560" spans="1:12" ht="15.75" x14ac:dyDescent="0.25">
      <c r="A560" s="13">
        <v>58348</v>
      </c>
      <c r="B560" s="10">
        <f>56.0151 * CHOOSE(CONTROL!$C$9, $D$9, 100%, $F$9) + CHOOSE(CONTROL!$C$27, 0.0021, 0)</f>
        <v>56.017199999999995</v>
      </c>
      <c r="C560" s="10">
        <f>55.5829 * CHOOSE(CONTROL!$C$9, $D$9, 100%, $F$9) + CHOOSE(CONTROL!$C$27, 0.0021, 0)</f>
        <v>55.585000000000001</v>
      </c>
      <c r="D560" s="10">
        <f>55.5829 * CHOOSE(CONTROL!$C$9, $D$9, 100%, $F$9) + CHOOSE(CONTROL!$C$27, 0.0021, 0)</f>
        <v>55.585000000000001</v>
      </c>
      <c r="E560" s="10">
        <f>55.4462 * CHOOSE(CONTROL!$C$9, $D$9, 100%, $F$9) + CHOOSE(CONTROL!$C$27, 0.0021, 0)</f>
        <v>55.448299999999996</v>
      </c>
      <c r="F560" s="10">
        <f>55.4462 * CHOOSE(CONTROL!$C$9, $D$9, 100%, $F$9) + CHOOSE(CONTROL!$C$27, 0.0021, 0)</f>
        <v>55.448299999999996</v>
      </c>
      <c r="G560" s="10">
        <f>55.7176 * CHOOSE(CONTROL!$C$9, $D$9, 100%, $F$9) + CHOOSE(CONTROL!$C$27, 0.0021, 0)</f>
        <v>55.719699999999996</v>
      </c>
      <c r="H560" s="10">
        <f>55.5829 * CHOOSE(CONTROL!$C$9, $D$9, 100%, $F$9) + CHOOSE(CONTROL!$C$27, 0.0021, 0)</f>
        <v>55.585000000000001</v>
      </c>
      <c r="I560" s="10">
        <f>55.5829 * CHOOSE(CONTROL!$C$9, $D$9, 100%, $F$9) + CHOOSE(CONTROL!$C$27, 0.0021, 0)</f>
        <v>55.585000000000001</v>
      </c>
      <c r="J560" s="10">
        <f>55.5829 * CHOOSE(CONTROL!$C$9, $D$9, 100%, $F$9) + CHOOSE(CONTROL!$C$27, 0.0021, 0)</f>
        <v>55.585000000000001</v>
      </c>
      <c r="K560" s="10">
        <f>55.5829 * CHOOSE(CONTROL!$C$9, $D$9, 100%, $F$9) + CHOOSE(CONTROL!$C$27, 0.0021, 0)</f>
        <v>55.585000000000001</v>
      </c>
      <c r="L560" s="10"/>
    </row>
    <row r="561" spans="1:12" ht="15.75" x14ac:dyDescent="0.25">
      <c r="A561" s="13">
        <v>58379</v>
      </c>
      <c r="B561" s="10">
        <f>57.3704 * CHOOSE(CONTROL!$C$9, $D$9, 100%, $F$9) + CHOOSE(CONTROL!$C$27, 0.0021, 0)</f>
        <v>57.372499999999995</v>
      </c>
      <c r="C561" s="10">
        <f>56.9381 * CHOOSE(CONTROL!$C$9, $D$9, 100%, $F$9) + CHOOSE(CONTROL!$C$27, 0.0021, 0)</f>
        <v>56.940199999999997</v>
      </c>
      <c r="D561" s="10">
        <f>56.9381 * CHOOSE(CONTROL!$C$9, $D$9, 100%, $F$9) + CHOOSE(CONTROL!$C$27, 0.0021, 0)</f>
        <v>56.940199999999997</v>
      </c>
      <c r="E561" s="10">
        <f>56.8015 * CHOOSE(CONTROL!$C$9, $D$9, 100%, $F$9) + CHOOSE(CONTROL!$C$27, 0.0021, 0)</f>
        <v>56.803599999999996</v>
      </c>
      <c r="F561" s="10">
        <f>56.8015 * CHOOSE(CONTROL!$C$9, $D$9, 100%, $F$9) + CHOOSE(CONTROL!$C$27, 0.0021, 0)</f>
        <v>56.803599999999996</v>
      </c>
      <c r="G561" s="10">
        <f>57.0729 * CHOOSE(CONTROL!$C$9, $D$9, 100%, $F$9) + CHOOSE(CONTROL!$C$27, 0.0021, 0)</f>
        <v>57.074999999999996</v>
      </c>
      <c r="H561" s="10">
        <f>56.9381 * CHOOSE(CONTROL!$C$9, $D$9, 100%, $F$9) + CHOOSE(CONTROL!$C$27, 0.0021, 0)</f>
        <v>56.940199999999997</v>
      </c>
      <c r="I561" s="10">
        <f>56.9381 * CHOOSE(CONTROL!$C$9, $D$9, 100%, $F$9) + CHOOSE(CONTROL!$C$27, 0.0021, 0)</f>
        <v>56.940199999999997</v>
      </c>
      <c r="J561" s="10">
        <f>56.9381 * CHOOSE(CONTROL!$C$9, $D$9, 100%, $F$9) + CHOOSE(CONTROL!$C$27, 0.0021, 0)</f>
        <v>56.940199999999997</v>
      </c>
      <c r="K561" s="10">
        <f>56.9381 * CHOOSE(CONTROL!$C$9, $D$9, 100%, $F$9) + CHOOSE(CONTROL!$C$27, 0.0021, 0)</f>
        <v>56.940199999999997</v>
      </c>
      <c r="L561" s="10"/>
    </row>
    <row r="562" spans="1:12" ht="15.75" x14ac:dyDescent="0.25">
      <c r="A562" s="13">
        <v>58409</v>
      </c>
      <c r="B562" s="10">
        <f>57.4976 * CHOOSE(CONTROL!$C$9, $D$9, 100%, $F$9) + CHOOSE(CONTROL!$C$27, 0.0021, 0)</f>
        <v>57.499699999999997</v>
      </c>
      <c r="C562" s="10">
        <f>57.0654 * CHOOSE(CONTROL!$C$9, $D$9, 100%, $F$9) + CHOOSE(CONTROL!$C$27, 0.0021, 0)</f>
        <v>57.067499999999995</v>
      </c>
      <c r="D562" s="10">
        <f>57.0654 * CHOOSE(CONTROL!$C$9, $D$9, 100%, $F$9) + CHOOSE(CONTROL!$C$27, 0.0021, 0)</f>
        <v>57.067499999999995</v>
      </c>
      <c r="E562" s="10">
        <f>56.9287 * CHOOSE(CONTROL!$C$9, $D$9, 100%, $F$9) + CHOOSE(CONTROL!$C$27, 0.0021, 0)</f>
        <v>56.930799999999998</v>
      </c>
      <c r="F562" s="10">
        <f>56.9287 * CHOOSE(CONTROL!$C$9, $D$9, 100%, $F$9) + CHOOSE(CONTROL!$C$27, 0.0021, 0)</f>
        <v>56.930799999999998</v>
      </c>
      <c r="G562" s="10">
        <f>57.2001 * CHOOSE(CONTROL!$C$9, $D$9, 100%, $F$9) + CHOOSE(CONTROL!$C$27, 0.0021, 0)</f>
        <v>57.202199999999998</v>
      </c>
      <c r="H562" s="10">
        <f>57.0654 * CHOOSE(CONTROL!$C$9, $D$9, 100%, $F$9) + CHOOSE(CONTROL!$C$27, 0.0021, 0)</f>
        <v>57.067499999999995</v>
      </c>
      <c r="I562" s="10">
        <f>57.0654 * CHOOSE(CONTROL!$C$9, $D$9, 100%, $F$9) + CHOOSE(CONTROL!$C$27, 0.0021, 0)</f>
        <v>57.067499999999995</v>
      </c>
      <c r="J562" s="10">
        <f>57.0654 * CHOOSE(CONTROL!$C$9, $D$9, 100%, $F$9) + CHOOSE(CONTROL!$C$27, 0.0021, 0)</f>
        <v>57.067499999999995</v>
      </c>
      <c r="K562" s="10">
        <f>57.0654 * CHOOSE(CONTROL!$C$9, $D$9, 100%, $F$9) + CHOOSE(CONTROL!$C$27, 0.0021, 0)</f>
        <v>57.067499999999995</v>
      </c>
      <c r="L562" s="10"/>
    </row>
    <row r="563" spans="1:12" ht="15.75" x14ac:dyDescent="0.25">
      <c r="A563" s="13">
        <v>58440</v>
      </c>
      <c r="B563" s="10">
        <f>56.4152 * CHOOSE(CONTROL!$C$9, $D$9, 100%, $F$9) + CHOOSE(CONTROL!$C$27, 0.0021, 0)</f>
        <v>56.417299999999997</v>
      </c>
      <c r="C563" s="10">
        <f>55.9829 * CHOOSE(CONTROL!$C$9, $D$9, 100%, $F$9) + CHOOSE(CONTROL!$C$27, 0.0021, 0)</f>
        <v>55.984999999999999</v>
      </c>
      <c r="D563" s="10">
        <f>55.9829 * CHOOSE(CONTROL!$C$9, $D$9, 100%, $F$9) + CHOOSE(CONTROL!$C$27, 0.0021, 0)</f>
        <v>55.984999999999999</v>
      </c>
      <c r="E563" s="10">
        <f>55.8463 * CHOOSE(CONTROL!$C$9, $D$9, 100%, $F$9) + CHOOSE(CONTROL!$C$27, 0.0021, 0)</f>
        <v>55.848399999999998</v>
      </c>
      <c r="F563" s="10">
        <f>55.8463 * CHOOSE(CONTROL!$C$9, $D$9, 100%, $F$9) + CHOOSE(CONTROL!$C$27, 0.0021, 0)</f>
        <v>55.848399999999998</v>
      </c>
      <c r="G563" s="10">
        <f>56.1177 * CHOOSE(CONTROL!$C$9, $D$9, 100%, $F$9) + CHOOSE(CONTROL!$C$27, 0.0021, 0)</f>
        <v>56.119799999999998</v>
      </c>
      <c r="H563" s="10">
        <f>55.9829 * CHOOSE(CONTROL!$C$9, $D$9, 100%, $F$9) + CHOOSE(CONTROL!$C$27, 0.0021, 0)</f>
        <v>55.984999999999999</v>
      </c>
      <c r="I563" s="10">
        <f>55.9829 * CHOOSE(CONTROL!$C$9, $D$9, 100%, $F$9) + CHOOSE(CONTROL!$C$27, 0.0021, 0)</f>
        <v>55.984999999999999</v>
      </c>
      <c r="J563" s="10">
        <f>55.9829 * CHOOSE(CONTROL!$C$9, $D$9, 100%, $F$9) + CHOOSE(CONTROL!$C$27, 0.0021, 0)</f>
        <v>55.984999999999999</v>
      </c>
      <c r="K563" s="10">
        <f>55.9829 * CHOOSE(CONTROL!$C$9, $D$9, 100%, $F$9) + CHOOSE(CONTROL!$C$27, 0.0021, 0)</f>
        <v>55.984999999999999</v>
      </c>
      <c r="L563" s="10"/>
    </row>
    <row r="564" spans="1:12" ht="15.75" x14ac:dyDescent="0.25">
      <c r="A564" s="13">
        <v>58471</v>
      </c>
      <c r="B564" s="10">
        <f>55.5864 * CHOOSE(CONTROL!$C$9, $D$9, 100%, $F$9) + CHOOSE(CONTROL!$C$27, 0.0021, 0)</f>
        <v>55.588499999999996</v>
      </c>
      <c r="C564" s="10">
        <f>55.1542 * CHOOSE(CONTROL!$C$9, $D$9, 100%, $F$9) + CHOOSE(CONTROL!$C$27, 0.0021, 0)</f>
        <v>55.156300000000002</v>
      </c>
      <c r="D564" s="10">
        <f>55.1542 * CHOOSE(CONTROL!$C$9, $D$9, 100%, $F$9) + CHOOSE(CONTROL!$C$27, 0.0021, 0)</f>
        <v>55.156300000000002</v>
      </c>
      <c r="E564" s="10">
        <f>55.0175 * CHOOSE(CONTROL!$C$9, $D$9, 100%, $F$9) + CHOOSE(CONTROL!$C$27, 0.0021, 0)</f>
        <v>55.019599999999997</v>
      </c>
      <c r="F564" s="10">
        <f>55.0175 * CHOOSE(CONTROL!$C$9, $D$9, 100%, $F$9) + CHOOSE(CONTROL!$C$27, 0.0021, 0)</f>
        <v>55.019599999999997</v>
      </c>
      <c r="G564" s="10">
        <f>55.2889 * CHOOSE(CONTROL!$C$9, $D$9, 100%, $F$9) + CHOOSE(CONTROL!$C$27, 0.0021, 0)</f>
        <v>55.290999999999997</v>
      </c>
      <c r="H564" s="10">
        <f>55.1542 * CHOOSE(CONTROL!$C$9, $D$9, 100%, $F$9) + CHOOSE(CONTROL!$C$27, 0.0021, 0)</f>
        <v>55.156300000000002</v>
      </c>
      <c r="I564" s="10">
        <f>55.1542 * CHOOSE(CONTROL!$C$9, $D$9, 100%, $F$9) + CHOOSE(CONTROL!$C$27, 0.0021, 0)</f>
        <v>55.156300000000002</v>
      </c>
      <c r="J564" s="10">
        <f>55.1542 * CHOOSE(CONTROL!$C$9, $D$9, 100%, $F$9) + CHOOSE(CONTROL!$C$27, 0.0021, 0)</f>
        <v>55.156300000000002</v>
      </c>
      <c r="K564" s="10">
        <f>55.1542 * CHOOSE(CONTROL!$C$9, $D$9, 100%, $F$9) + CHOOSE(CONTROL!$C$27, 0.0021, 0)</f>
        <v>55.156300000000002</v>
      </c>
      <c r="L564" s="10"/>
    </row>
    <row r="565" spans="1:12" ht="15.75" x14ac:dyDescent="0.25">
      <c r="A565" s="13">
        <v>58499</v>
      </c>
      <c r="B565" s="10">
        <f>54.079 * CHOOSE(CONTROL!$C$9, $D$9, 100%, $F$9) + CHOOSE(CONTROL!$C$27, 0.0021, 0)</f>
        <v>54.081099999999999</v>
      </c>
      <c r="C565" s="10">
        <f>53.6467 * CHOOSE(CONTROL!$C$9, $D$9, 100%, $F$9) + CHOOSE(CONTROL!$C$27, 0.0021, 0)</f>
        <v>53.648800000000001</v>
      </c>
      <c r="D565" s="10">
        <f>53.6467 * CHOOSE(CONTROL!$C$9, $D$9, 100%, $F$9) + CHOOSE(CONTROL!$C$27, 0.0021, 0)</f>
        <v>53.648800000000001</v>
      </c>
      <c r="E565" s="10">
        <f>53.5101 * CHOOSE(CONTROL!$C$9, $D$9, 100%, $F$9) + CHOOSE(CONTROL!$C$27, 0.0021, 0)</f>
        <v>53.5122</v>
      </c>
      <c r="F565" s="10">
        <f>53.5101 * CHOOSE(CONTROL!$C$9, $D$9, 100%, $F$9) + CHOOSE(CONTROL!$C$27, 0.0021, 0)</f>
        <v>53.5122</v>
      </c>
      <c r="G565" s="10">
        <f>53.7814 * CHOOSE(CONTROL!$C$9, $D$9, 100%, $F$9) + CHOOSE(CONTROL!$C$27, 0.0021, 0)</f>
        <v>53.783499999999997</v>
      </c>
      <c r="H565" s="10">
        <f>53.6467 * CHOOSE(CONTROL!$C$9, $D$9, 100%, $F$9) + CHOOSE(CONTROL!$C$27, 0.0021, 0)</f>
        <v>53.648800000000001</v>
      </c>
      <c r="I565" s="10">
        <f>53.6467 * CHOOSE(CONTROL!$C$9, $D$9, 100%, $F$9) + CHOOSE(CONTROL!$C$27, 0.0021, 0)</f>
        <v>53.648800000000001</v>
      </c>
      <c r="J565" s="10">
        <f>53.6467 * CHOOSE(CONTROL!$C$9, $D$9, 100%, $F$9) + CHOOSE(CONTROL!$C$27, 0.0021, 0)</f>
        <v>53.648800000000001</v>
      </c>
      <c r="K565" s="10">
        <f>53.6467 * CHOOSE(CONTROL!$C$9, $D$9, 100%, $F$9) + CHOOSE(CONTROL!$C$27, 0.0021, 0)</f>
        <v>53.648800000000001</v>
      </c>
      <c r="L565" s="10"/>
    </row>
    <row r="566" spans="1:12" ht="15.75" x14ac:dyDescent="0.25">
      <c r="A566" s="13">
        <v>58531</v>
      </c>
      <c r="B566" s="10">
        <f>53.4567 * CHOOSE(CONTROL!$C$9, $D$9, 100%, $F$9) + CHOOSE(CONTROL!$C$27, 0.0021, 0)</f>
        <v>53.458799999999997</v>
      </c>
      <c r="C566" s="10">
        <f>53.0245 * CHOOSE(CONTROL!$C$9, $D$9, 100%, $F$9) + CHOOSE(CONTROL!$C$27, 0.0021, 0)</f>
        <v>53.026600000000002</v>
      </c>
      <c r="D566" s="10">
        <f>53.0245 * CHOOSE(CONTROL!$C$9, $D$9, 100%, $F$9) + CHOOSE(CONTROL!$C$27, 0.0021, 0)</f>
        <v>53.026600000000002</v>
      </c>
      <c r="E566" s="10">
        <f>52.8878 * CHOOSE(CONTROL!$C$9, $D$9, 100%, $F$9) + CHOOSE(CONTROL!$C$27, 0.0021, 0)</f>
        <v>52.889899999999997</v>
      </c>
      <c r="F566" s="10">
        <f>52.8878 * CHOOSE(CONTROL!$C$9, $D$9, 100%, $F$9) + CHOOSE(CONTROL!$C$27, 0.0021, 0)</f>
        <v>52.889899999999997</v>
      </c>
      <c r="G566" s="10">
        <f>53.1592 * CHOOSE(CONTROL!$C$9, $D$9, 100%, $F$9) + CHOOSE(CONTROL!$C$27, 0.0021, 0)</f>
        <v>53.161299999999997</v>
      </c>
      <c r="H566" s="10">
        <f>53.0245 * CHOOSE(CONTROL!$C$9, $D$9, 100%, $F$9) + CHOOSE(CONTROL!$C$27, 0.0021, 0)</f>
        <v>53.026600000000002</v>
      </c>
      <c r="I566" s="10">
        <f>53.0245 * CHOOSE(CONTROL!$C$9, $D$9, 100%, $F$9) + CHOOSE(CONTROL!$C$27, 0.0021, 0)</f>
        <v>53.026600000000002</v>
      </c>
      <c r="J566" s="10">
        <f>53.0245 * CHOOSE(CONTROL!$C$9, $D$9, 100%, $F$9) + CHOOSE(CONTROL!$C$27, 0.0021, 0)</f>
        <v>53.026600000000002</v>
      </c>
      <c r="K566" s="10">
        <f>53.0245 * CHOOSE(CONTROL!$C$9, $D$9, 100%, $F$9) + CHOOSE(CONTROL!$C$27, 0.0021, 0)</f>
        <v>53.026600000000002</v>
      </c>
      <c r="L566" s="10"/>
    </row>
    <row r="567" spans="1:12" ht="15.75" x14ac:dyDescent="0.25">
      <c r="A567" s="13">
        <v>58561</v>
      </c>
      <c r="B567" s="10">
        <f>52.7137 * CHOOSE(CONTROL!$C$9, $D$9, 100%, $F$9) + CHOOSE(CONTROL!$C$27, 0.0021, 0)</f>
        <v>52.715800000000002</v>
      </c>
      <c r="C567" s="10">
        <f>52.2815 * CHOOSE(CONTROL!$C$9, $D$9, 100%, $F$9) + CHOOSE(CONTROL!$C$27, 0.0021, 0)</f>
        <v>52.2836</v>
      </c>
      <c r="D567" s="10">
        <f>52.2815 * CHOOSE(CONTROL!$C$9, $D$9, 100%, $F$9) + CHOOSE(CONTROL!$C$27, 0.0021, 0)</f>
        <v>52.2836</v>
      </c>
      <c r="E567" s="10">
        <f>52.1448 * CHOOSE(CONTROL!$C$9, $D$9, 100%, $F$9) + CHOOSE(CONTROL!$C$27, 0.0021, 0)</f>
        <v>52.146899999999995</v>
      </c>
      <c r="F567" s="10">
        <f>52.1448 * CHOOSE(CONTROL!$C$9, $D$9, 100%, $F$9) + CHOOSE(CONTROL!$C$27, 0.0021, 0)</f>
        <v>52.146899999999995</v>
      </c>
      <c r="G567" s="10">
        <f>52.4162 * CHOOSE(CONTROL!$C$9, $D$9, 100%, $F$9) + CHOOSE(CONTROL!$C$27, 0.0021, 0)</f>
        <v>52.418300000000002</v>
      </c>
      <c r="H567" s="10">
        <f>52.2815 * CHOOSE(CONTROL!$C$9, $D$9, 100%, $F$9) + CHOOSE(CONTROL!$C$27, 0.0021, 0)</f>
        <v>52.2836</v>
      </c>
      <c r="I567" s="10">
        <f>52.2815 * CHOOSE(CONTROL!$C$9, $D$9, 100%, $F$9) + CHOOSE(CONTROL!$C$27, 0.0021, 0)</f>
        <v>52.2836</v>
      </c>
      <c r="J567" s="10">
        <f>52.2815 * CHOOSE(CONTROL!$C$9, $D$9, 100%, $F$9) + CHOOSE(CONTROL!$C$27, 0.0021, 0)</f>
        <v>52.2836</v>
      </c>
      <c r="K567" s="10">
        <f>52.2815 * CHOOSE(CONTROL!$C$9, $D$9, 100%, $F$9) + CHOOSE(CONTROL!$C$27, 0.0021, 0)</f>
        <v>52.2836</v>
      </c>
      <c r="L567" s="10"/>
    </row>
    <row r="568" spans="1:12" ht="15.75" x14ac:dyDescent="0.25">
      <c r="A568" s="13">
        <v>58592</v>
      </c>
      <c r="B568" s="10">
        <f>53.7726 * CHOOSE(CONTROL!$C$9, $D$9, 100%, $F$9) + CHOOSE(CONTROL!$C$27, 0.0021, 0)</f>
        <v>53.774699999999996</v>
      </c>
      <c r="C568" s="10">
        <f>53.3403 * CHOOSE(CONTROL!$C$9, $D$9, 100%, $F$9) + CHOOSE(CONTROL!$C$27, 0.0021, 0)</f>
        <v>53.342399999999998</v>
      </c>
      <c r="D568" s="10">
        <f>53.3403 * CHOOSE(CONTROL!$C$9, $D$9, 100%, $F$9) + CHOOSE(CONTROL!$C$27, 0.0021, 0)</f>
        <v>53.342399999999998</v>
      </c>
      <c r="E568" s="10">
        <f>53.2037 * CHOOSE(CONTROL!$C$9, $D$9, 100%, $F$9) + CHOOSE(CONTROL!$C$27, 0.0021, 0)</f>
        <v>53.205799999999996</v>
      </c>
      <c r="F568" s="10">
        <f>53.2037 * CHOOSE(CONTROL!$C$9, $D$9, 100%, $F$9) + CHOOSE(CONTROL!$C$27, 0.0021, 0)</f>
        <v>53.205799999999996</v>
      </c>
      <c r="G568" s="10">
        <f>53.475 * CHOOSE(CONTROL!$C$9, $D$9, 100%, $F$9) + CHOOSE(CONTROL!$C$27, 0.0021, 0)</f>
        <v>53.4771</v>
      </c>
      <c r="H568" s="10">
        <f>53.3403 * CHOOSE(CONTROL!$C$9, $D$9, 100%, $F$9) + CHOOSE(CONTROL!$C$27, 0.0021, 0)</f>
        <v>53.342399999999998</v>
      </c>
      <c r="I568" s="10">
        <f>53.3403 * CHOOSE(CONTROL!$C$9, $D$9, 100%, $F$9) + CHOOSE(CONTROL!$C$27, 0.0021, 0)</f>
        <v>53.342399999999998</v>
      </c>
      <c r="J568" s="10">
        <f>53.3403 * CHOOSE(CONTROL!$C$9, $D$9, 100%, $F$9) + CHOOSE(CONTROL!$C$27, 0.0021, 0)</f>
        <v>53.342399999999998</v>
      </c>
      <c r="K568" s="10">
        <f>53.3403 * CHOOSE(CONTROL!$C$9, $D$9, 100%, $F$9) + CHOOSE(CONTROL!$C$27, 0.0021, 0)</f>
        <v>53.342399999999998</v>
      </c>
      <c r="L568" s="10"/>
    </row>
    <row r="569" spans="1:12" ht="15.75" x14ac:dyDescent="0.25">
      <c r="A569" s="13">
        <v>58622</v>
      </c>
      <c r="B569" s="10">
        <f>54.4068 * CHOOSE(CONTROL!$C$9, $D$9, 100%, $F$9) + CHOOSE(CONTROL!$C$27, 0.0021, 0)</f>
        <v>54.408899999999996</v>
      </c>
      <c r="C569" s="10">
        <f>53.9746 * CHOOSE(CONTROL!$C$9, $D$9, 100%, $F$9) + CHOOSE(CONTROL!$C$27, 0.0021, 0)</f>
        <v>53.976700000000001</v>
      </c>
      <c r="D569" s="10">
        <f>53.9746 * CHOOSE(CONTROL!$C$9, $D$9, 100%, $F$9) + CHOOSE(CONTROL!$C$27, 0.0021, 0)</f>
        <v>53.976700000000001</v>
      </c>
      <c r="E569" s="10">
        <f>53.8379 * CHOOSE(CONTROL!$C$9, $D$9, 100%, $F$9) + CHOOSE(CONTROL!$C$27, 0.0021, 0)</f>
        <v>53.839999999999996</v>
      </c>
      <c r="F569" s="10">
        <f>53.8379 * CHOOSE(CONTROL!$C$9, $D$9, 100%, $F$9) + CHOOSE(CONTROL!$C$27, 0.0021, 0)</f>
        <v>53.839999999999996</v>
      </c>
      <c r="G569" s="10">
        <f>54.1093 * CHOOSE(CONTROL!$C$9, $D$9, 100%, $F$9) + CHOOSE(CONTROL!$C$27, 0.0021, 0)</f>
        <v>54.111399999999996</v>
      </c>
      <c r="H569" s="10">
        <f>53.9746 * CHOOSE(CONTROL!$C$9, $D$9, 100%, $F$9) + CHOOSE(CONTROL!$C$27, 0.0021, 0)</f>
        <v>53.976700000000001</v>
      </c>
      <c r="I569" s="10">
        <f>53.9746 * CHOOSE(CONTROL!$C$9, $D$9, 100%, $F$9) + CHOOSE(CONTROL!$C$27, 0.0021, 0)</f>
        <v>53.976700000000001</v>
      </c>
      <c r="J569" s="10">
        <f>53.9746 * CHOOSE(CONTROL!$C$9, $D$9, 100%, $F$9) + CHOOSE(CONTROL!$C$27, 0.0021, 0)</f>
        <v>53.976700000000001</v>
      </c>
      <c r="K569" s="10">
        <f>53.9746 * CHOOSE(CONTROL!$C$9, $D$9, 100%, $F$9) + CHOOSE(CONTROL!$C$27, 0.0021, 0)</f>
        <v>53.976700000000001</v>
      </c>
      <c r="L569" s="10"/>
    </row>
    <row r="570" spans="1:12" ht="15.75" x14ac:dyDescent="0.25">
      <c r="A570" s="13">
        <v>58653</v>
      </c>
      <c r="B570" s="10">
        <f>55.453 * CHOOSE(CONTROL!$C$9, $D$9, 100%, $F$9) + CHOOSE(CONTROL!$C$27, 0.0021, 0)</f>
        <v>55.455100000000002</v>
      </c>
      <c r="C570" s="10">
        <f>55.0208 * CHOOSE(CONTROL!$C$9, $D$9, 100%, $F$9) + CHOOSE(CONTROL!$C$27, 0.0021, 0)</f>
        <v>55.0229</v>
      </c>
      <c r="D570" s="10">
        <f>55.0208 * CHOOSE(CONTROL!$C$9, $D$9, 100%, $F$9) + CHOOSE(CONTROL!$C$27, 0.0021, 0)</f>
        <v>55.0229</v>
      </c>
      <c r="E570" s="10">
        <f>54.8841 * CHOOSE(CONTROL!$C$9, $D$9, 100%, $F$9) + CHOOSE(CONTROL!$C$27, 0.0021, 0)</f>
        <v>54.886199999999995</v>
      </c>
      <c r="F570" s="10">
        <f>54.8841 * CHOOSE(CONTROL!$C$9, $D$9, 100%, $F$9) + CHOOSE(CONTROL!$C$27, 0.0021, 0)</f>
        <v>54.886199999999995</v>
      </c>
      <c r="G570" s="10">
        <f>55.1555 * CHOOSE(CONTROL!$C$9, $D$9, 100%, $F$9) + CHOOSE(CONTROL!$C$27, 0.0021, 0)</f>
        <v>55.157600000000002</v>
      </c>
      <c r="H570" s="10">
        <f>55.0208 * CHOOSE(CONTROL!$C$9, $D$9, 100%, $F$9) + CHOOSE(CONTROL!$C$27, 0.0021, 0)</f>
        <v>55.0229</v>
      </c>
      <c r="I570" s="10">
        <f>55.0208 * CHOOSE(CONTROL!$C$9, $D$9, 100%, $F$9) + CHOOSE(CONTROL!$C$27, 0.0021, 0)</f>
        <v>55.0229</v>
      </c>
      <c r="J570" s="10">
        <f>55.0208 * CHOOSE(CONTROL!$C$9, $D$9, 100%, $F$9) + CHOOSE(CONTROL!$C$27, 0.0021, 0)</f>
        <v>55.0229</v>
      </c>
      <c r="K570" s="10">
        <f>55.0208 * CHOOSE(CONTROL!$C$9, $D$9, 100%, $F$9) + CHOOSE(CONTROL!$C$27, 0.0021, 0)</f>
        <v>55.0229</v>
      </c>
      <c r="L570" s="10"/>
    </row>
    <row r="571" spans="1:12" ht="15.75" x14ac:dyDescent="0.25">
      <c r="A571" s="13">
        <v>58684</v>
      </c>
      <c r="B571" s="10">
        <f>55.7724 * CHOOSE(CONTROL!$C$9, $D$9, 100%, $F$9) + CHOOSE(CONTROL!$C$27, 0.0021, 0)</f>
        <v>55.774499999999996</v>
      </c>
      <c r="C571" s="10">
        <f>55.3401 * CHOOSE(CONTROL!$C$9, $D$9, 100%, $F$9) + CHOOSE(CONTROL!$C$27, 0.0021, 0)</f>
        <v>55.342199999999998</v>
      </c>
      <c r="D571" s="10">
        <f>55.3401 * CHOOSE(CONTROL!$C$9, $D$9, 100%, $F$9) + CHOOSE(CONTROL!$C$27, 0.0021, 0)</f>
        <v>55.342199999999998</v>
      </c>
      <c r="E571" s="10">
        <f>55.2035 * CHOOSE(CONTROL!$C$9, $D$9, 100%, $F$9) + CHOOSE(CONTROL!$C$27, 0.0021, 0)</f>
        <v>55.205599999999997</v>
      </c>
      <c r="F571" s="10">
        <f>55.2035 * CHOOSE(CONTROL!$C$9, $D$9, 100%, $F$9) + CHOOSE(CONTROL!$C$27, 0.0021, 0)</f>
        <v>55.205599999999997</v>
      </c>
      <c r="G571" s="10">
        <f>55.4748 * CHOOSE(CONTROL!$C$9, $D$9, 100%, $F$9) + CHOOSE(CONTROL!$C$27, 0.0021, 0)</f>
        <v>55.476900000000001</v>
      </c>
      <c r="H571" s="10">
        <f>55.3401 * CHOOSE(CONTROL!$C$9, $D$9, 100%, $F$9) + CHOOSE(CONTROL!$C$27, 0.0021, 0)</f>
        <v>55.342199999999998</v>
      </c>
      <c r="I571" s="10">
        <f>55.3401 * CHOOSE(CONTROL!$C$9, $D$9, 100%, $F$9) + CHOOSE(CONTROL!$C$27, 0.0021, 0)</f>
        <v>55.342199999999998</v>
      </c>
      <c r="J571" s="10">
        <f>55.3401 * CHOOSE(CONTROL!$C$9, $D$9, 100%, $F$9) + CHOOSE(CONTROL!$C$27, 0.0021, 0)</f>
        <v>55.342199999999998</v>
      </c>
      <c r="K571" s="10">
        <f>55.3401 * CHOOSE(CONTROL!$C$9, $D$9, 100%, $F$9) + CHOOSE(CONTROL!$C$27, 0.0021, 0)</f>
        <v>55.342199999999998</v>
      </c>
      <c r="L571" s="10"/>
    </row>
    <row r="572" spans="1:12" ht="15.75" x14ac:dyDescent="0.25">
      <c r="A572" s="13">
        <v>58714</v>
      </c>
      <c r="B572" s="10">
        <f>56.8599 * CHOOSE(CONTROL!$C$9, $D$9, 100%, $F$9) + CHOOSE(CONTROL!$C$27, 0.0021, 0)</f>
        <v>56.862000000000002</v>
      </c>
      <c r="C572" s="10">
        <f>56.4276 * CHOOSE(CONTROL!$C$9, $D$9, 100%, $F$9) + CHOOSE(CONTROL!$C$27, 0.0021, 0)</f>
        <v>56.429699999999997</v>
      </c>
      <c r="D572" s="10">
        <f>56.4276 * CHOOSE(CONTROL!$C$9, $D$9, 100%, $F$9) + CHOOSE(CONTROL!$C$27, 0.0021, 0)</f>
        <v>56.429699999999997</v>
      </c>
      <c r="E572" s="10">
        <f>56.291 * CHOOSE(CONTROL!$C$9, $D$9, 100%, $F$9) + CHOOSE(CONTROL!$C$27, 0.0021, 0)</f>
        <v>56.293099999999995</v>
      </c>
      <c r="F572" s="10">
        <f>56.291 * CHOOSE(CONTROL!$C$9, $D$9, 100%, $F$9) + CHOOSE(CONTROL!$C$27, 0.0021, 0)</f>
        <v>56.293099999999995</v>
      </c>
      <c r="G572" s="10">
        <f>56.5624 * CHOOSE(CONTROL!$C$9, $D$9, 100%, $F$9) + CHOOSE(CONTROL!$C$27, 0.0021, 0)</f>
        <v>56.564499999999995</v>
      </c>
      <c r="H572" s="10">
        <f>56.4276 * CHOOSE(CONTROL!$C$9, $D$9, 100%, $F$9) + CHOOSE(CONTROL!$C$27, 0.0021, 0)</f>
        <v>56.429699999999997</v>
      </c>
      <c r="I572" s="10">
        <f>56.4276 * CHOOSE(CONTROL!$C$9, $D$9, 100%, $F$9) + CHOOSE(CONTROL!$C$27, 0.0021, 0)</f>
        <v>56.429699999999997</v>
      </c>
      <c r="J572" s="10">
        <f>56.4276 * CHOOSE(CONTROL!$C$9, $D$9, 100%, $F$9) + CHOOSE(CONTROL!$C$27, 0.0021, 0)</f>
        <v>56.429699999999997</v>
      </c>
      <c r="K572" s="10">
        <f>56.4276 * CHOOSE(CONTROL!$C$9, $D$9, 100%, $F$9) + CHOOSE(CONTROL!$C$27, 0.0021, 0)</f>
        <v>56.429699999999997</v>
      </c>
      <c r="L572" s="10"/>
    </row>
    <row r="573" spans="1:12" ht="15.75" x14ac:dyDescent="0.25">
      <c r="A573" s="13">
        <v>58745</v>
      </c>
      <c r="B573" s="10">
        <f>58.2365 * CHOOSE(CONTROL!$C$9, $D$9, 100%, $F$9) + CHOOSE(CONTROL!$C$27, 0.0021, 0)</f>
        <v>58.238599999999998</v>
      </c>
      <c r="C573" s="10">
        <f>57.8042 * CHOOSE(CONTROL!$C$9, $D$9, 100%, $F$9) + CHOOSE(CONTROL!$C$27, 0.0021, 0)</f>
        <v>57.8063</v>
      </c>
      <c r="D573" s="10">
        <f>57.8042 * CHOOSE(CONTROL!$C$9, $D$9, 100%, $F$9) + CHOOSE(CONTROL!$C$27, 0.0021, 0)</f>
        <v>57.8063</v>
      </c>
      <c r="E573" s="10">
        <f>57.6676 * CHOOSE(CONTROL!$C$9, $D$9, 100%, $F$9) + CHOOSE(CONTROL!$C$27, 0.0021, 0)</f>
        <v>57.669699999999999</v>
      </c>
      <c r="F573" s="10">
        <f>57.6676 * CHOOSE(CONTROL!$C$9, $D$9, 100%, $F$9) + CHOOSE(CONTROL!$C$27, 0.0021, 0)</f>
        <v>57.669699999999999</v>
      </c>
      <c r="G573" s="10">
        <f>57.939 * CHOOSE(CONTROL!$C$9, $D$9, 100%, $F$9) + CHOOSE(CONTROL!$C$27, 0.0021, 0)</f>
        <v>57.941099999999999</v>
      </c>
      <c r="H573" s="10">
        <f>57.8042 * CHOOSE(CONTROL!$C$9, $D$9, 100%, $F$9) + CHOOSE(CONTROL!$C$27, 0.0021, 0)</f>
        <v>57.8063</v>
      </c>
      <c r="I573" s="10">
        <f>57.8042 * CHOOSE(CONTROL!$C$9, $D$9, 100%, $F$9) + CHOOSE(CONTROL!$C$27, 0.0021, 0)</f>
        <v>57.8063</v>
      </c>
      <c r="J573" s="10">
        <f>57.8042 * CHOOSE(CONTROL!$C$9, $D$9, 100%, $F$9) + CHOOSE(CONTROL!$C$27, 0.0021, 0)</f>
        <v>57.8063</v>
      </c>
      <c r="K573" s="10">
        <f>57.8042 * CHOOSE(CONTROL!$C$9, $D$9, 100%, $F$9) + CHOOSE(CONTROL!$C$27, 0.0021, 0)</f>
        <v>57.8063</v>
      </c>
      <c r="L573" s="10"/>
    </row>
    <row r="574" spans="1:12" ht="15.75" x14ac:dyDescent="0.25">
      <c r="A574" s="13">
        <v>58775</v>
      </c>
      <c r="B574" s="10">
        <f>58.3657 * CHOOSE(CONTROL!$C$9, $D$9, 100%, $F$9) + CHOOSE(CONTROL!$C$27, 0.0021, 0)</f>
        <v>58.367799999999995</v>
      </c>
      <c r="C574" s="10">
        <f>57.9335 * CHOOSE(CONTROL!$C$9, $D$9, 100%, $F$9) + CHOOSE(CONTROL!$C$27, 0.0021, 0)</f>
        <v>57.935600000000001</v>
      </c>
      <c r="D574" s="10">
        <f>57.9335 * CHOOSE(CONTROL!$C$9, $D$9, 100%, $F$9) + CHOOSE(CONTROL!$C$27, 0.0021, 0)</f>
        <v>57.935600000000001</v>
      </c>
      <c r="E574" s="10">
        <f>57.7968 * CHOOSE(CONTROL!$C$9, $D$9, 100%, $F$9) + CHOOSE(CONTROL!$C$27, 0.0021, 0)</f>
        <v>57.798899999999996</v>
      </c>
      <c r="F574" s="10">
        <f>57.7968 * CHOOSE(CONTROL!$C$9, $D$9, 100%, $F$9) + CHOOSE(CONTROL!$C$27, 0.0021, 0)</f>
        <v>57.798899999999996</v>
      </c>
      <c r="G574" s="10">
        <f>58.0682 * CHOOSE(CONTROL!$C$9, $D$9, 100%, $F$9) + CHOOSE(CONTROL!$C$27, 0.0021, 0)</f>
        <v>58.070299999999996</v>
      </c>
      <c r="H574" s="10">
        <f>57.9335 * CHOOSE(CONTROL!$C$9, $D$9, 100%, $F$9) + CHOOSE(CONTROL!$C$27, 0.0021, 0)</f>
        <v>57.935600000000001</v>
      </c>
      <c r="I574" s="10">
        <f>57.9335 * CHOOSE(CONTROL!$C$9, $D$9, 100%, $F$9) + CHOOSE(CONTROL!$C$27, 0.0021, 0)</f>
        <v>57.935600000000001</v>
      </c>
      <c r="J574" s="10">
        <f>57.9335 * CHOOSE(CONTROL!$C$9, $D$9, 100%, $F$9) + CHOOSE(CONTROL!$C$27, 0.0021, 0)</f>
        <v>57.935600000000001</v>
      </c>
      <c r="K574" s="10">
        <f>57.9335 * CHOOSE(CONTROL!$C$9, $D$9, 100%, $F$9) + CHOOSE(CONTROL!$C$27, 0.0021, 0)</f>
        <v>57.935600000000001</v>
      </c>
      <c r="L574" s="10"/>
    </row>
    <row r="575" spans="1:12" ht="15.75" x14ac:dyDescent="0.25">
      <c r="A575" s="13">
        <v>58806</v>
      </c>
      <c r="B575" s="10">
        <f>57.2663 * CHOOSE(CONTROL!$C$9, $D$9, 100%, $F$9) + CHOOSE(CONTROL!$C$27, 0.0021, 0)</f>
        <v>57.2684</v>
      </c>
      <c r="C575" s="10">
        <f>56.834 * CHOOSE(CONTROL!$C$9, $D$9, 100%, $F$9) + CHOOSE(CONTROL!$C$27, 0.0021, 0)</f>
        <v>56.836100000000002</v>
      </c>
      <c r="D575" s="10">
        <f>56.834 * CHOOSE(CONTROL!$C$9, $D$9, 100%, $F$9) + CHOOSE(CONTROL!$C$27, 0.0021, 0)</f>
        <v>56.836100000000002</v>
      </c>
      <c r="E575" s="10">
        <f>56.6974 * CHOOSE(CONTROL!$C$9, $D$9, 100%, $F$9) + CHOOSE(CONTROL!$C$27, 0.0021, 0)</f>
        <v>56.6995</v>
      </c>
      <c r="F575" s="10">
        <f>56.6974 * CHOOSE(CONTROL!$C$9, $D$9, 100%, $F$9) + CHOOSE(CONTROL!$C$27, 0.0021, 0)</f>
        <v>56.6995</v>
      </c>
      <c r="G575" s="10">
        <f>56.9687 * CHOOSE(CONTROL!$C$9, $D$9, 100%, $F$9) + CHOOSE(CONTROL!$C$27, 0.0021, 0)</f>
        <v>56.970799999999997</v>
      </c>
      <c r="H575" s="10">
        <f>56.834 * CHOOSE(CONTROL!$C$9, $D$9, 100%, $F$9) + CHOOSE(CONTROL!$C$27, 0.0021, 0)</f>
        <v>56.836100000000002</v>
      </c>
      <c r="I575" s="10">
        <f>56.834 * CHOOSE(CONTROL!$C$9, $D$9, 100%, $F$9) + CHOOSE(CONTROL!$C$27, 0.0021, 0)</f>
        <v>56.836100000000002</v>
      </c>
      <c r="J575" s="10">
        <f>56.834 * CHOOSE(CONTROL!$C$9, $D$9, 100%, $F$9) + CHOOSE(CONTROL!$C$27, 0.0021, 0)</f>
        <v>56.836100000000002</v>
      </c>
      <c r="K575" s="10">
        <f>56.834 * CHOOSE(CONTROL!$C$9, $D$9, 100%, $F$9) + CHOOSE(CONTROL!$C$27, 0.0021, 0)</f>
        <v>56.836100000000002</v>
      </c>
      <c r="L575" s="10"/>
    </row>
    <row r="576" spans="1:12" ht="15.75" x14ac:dyDescent="0.25">
      <c r="A576" s="13">
        <v>58837</v>
      </c>
      <c r="B576" s="10">
        <f>56.4245 * CHOOSE(CONTROL!$C$9, $D$9, 100%, $F$9) + CHOOSE(CONTROL!$C$27, 0.0021, 0)</f>
        <v>56.426600000000001</v>
      </c>
      <c r="C576" s="10">
        <f>55.9922 * CHOOSE(CONTROL!$C$9, $D$9, 100%, $F$9) + CHOOSE(CONTROL!$C$27, 0.0021, 0)</f>
        <v>55.994299999999996</v>
      </c>
      <c r="D576" s="10">
        <f>55.9922 * CHOOSE(CONTROL!$C$9, $D$9, 100%, $F$9) + CHOOSE(CONTROL!$C$27, 0.0021, 0)</f>
        <v>55.994299999999996</v>
      </c>
      <c r="E576" s="10">
        <f>55.8556 * CHOOSE(CONTROL!$C$9, $D$9, 100%, $F$9) + CHOOSE(CONTROL!$C$27, 0.0021, 0)</f>
        <v>55.857700000000001</v>
      </c>
      <c r="F576" s="10">
        <f>55.8556 * CHOOSE(CONTROL!$C$9, $D$9, 100%, $F$9) + CHOOSE(CONTROL!$C$27, 0.0021, 0)</f>
        <v>55.857700000000001</v>
      </c>
      <c r="G576" s="10">
        <f>56.1269 * CHOOSE(CONTROL!$C$9, $D$9, 100%, $F$9) + CHOOSE(CONTROL!$C$27, 0.0021, 0)</f>
        <v>56.128999999999998</v>
      </c>
      <c r="H576" s="10">
        <f>55.9922 * CHOOSE(CONTROL!$C$9, $D$9, 100%, $F$9) + CHOOSE(CONTROL!$C$27, 0.0021, 0)</f>
        <v>55.994299999999996</v>
      </c>
      <c r="I576" s="10">
        <f>55.9922 * CHOOSE(CONTROL!$C$9, $D$9, 100%, $F$9) + CHOOSE(CONTROL!$C$27, 0.0021, 0)</f>
        <v>55.994299999999996</v>
      </c>
      <c r="J576" s="10">
        <f>55.9922 * CHOOSE(CONTROL!$C$9, $D$9, 100%, $F$9) + CHOOSE(CONTROL!$C$27, 0.0021, 0)</f>
        <v>55.994299999999996</v>
      </c>
      <c r="K576" s="10">
        <f>55.9922 * CHOOSE(CONTROL!$C$9, $D$9, 100%, $F$9) + CHOOSE(CONTROL!$C$27, 0.0021, 0)</f>
        <v>55.994299999999996</v>
      </c>
      <c r="L576" s="10"/>
    </row>
    <row r="577" spans="1:12" ht="15.75" x14ac:dyDescent="0.25">
      <c r="A577" s="13">
        <v>58865</v>
      </c>
      <c r="B577" s="10">
        <f>54.8933 * CHOOSE(CONTROL!$C$9, $D$9, 100%, $F$9) + CHOOSE(CONTROL!$C$27, 0.0021, 0)</f>
        <v>54.895400000000002</v>
      </c>
      <c r="C577" s="10">
        <f>54.4611 * CHOOSE(CONTROL!$C$9, $D$9, 100%, $F$9) + CHOOSE(CONTROL!$C$27, 0.0021, 0)</f>
        <v>54.463200000000001</v>
      </c>
      <c r="D577" s="10">
        <f>54.4611 * CHOOSE(CONTROL!$C$9, $D$9, 100%, $F$9) + CHOOSE(CONTROL!$C$27, 0.0021, 0)</f>
        <v>54.463200000000001</v>
      </c>
      <c r="E577" s="10">
        <f>54.3244 * CHOOSE(CONTROL!$C$9, $D$9, 100%, $F$9) + CHOOSE(CONTROL!$C$27, 0.0021, 0)</f>
        <v>54.326499999999996</v>
      </c>
      <c r="F577" s="10">
        <f>54.3244 * CHOOSE(CONTROL!$C$9, $D$9, 100%, $F$9) + CHOOSE(CONTROL!$C$27, 0.0021, 0)</f>
        <v>54.326499999999996</v>
      </c>
      <c r="G577" s="10">
        <f>54.5958 * CHOOSE(CONTROL!$C$9, $D$9, 100%, $F$9) + CHOOSE(CONTROL!$C$27, 0.0021, 0)</f>
        <v>54.597899999999996</v>
      </c>
      <c r="H577" s="10">
        <f>54.4611 * CHOOSE(CONTROL!$C$9, $D$9, 100%, $F$9) + CHOOSE(CONTROL!$C$27, 0.0021, 0)</f>
        <v>54.463200000000001</v>
      </c>
      <c r="I577" s="10">
        <f>54.4611 * CHOOSE(CONTROL!$C$9, $D$9, 100%, $F$9) + CHOOSE(CONTROL!$C$27, 0.0021, 0)</f>
        <v>54.463200000000001</v>
      </c>
      <c r="J577" s="10">
        <f>54.4611 * CHOOSE(CONTROL!$C$9, $D$9, 100%, $F$9) + CHOOSE(CONTROL!$C$27, 0.0021, 0)</f>
        <v>54.463200000000001</v>
      </c>
      <c r="K577" s="10">
        <f>54.4611 * CHOOSE(CONTROL!$C$9, $D$9, 100%, $F$9) + CHOOSE(CONTROL!$C$27, 0.0021, 0)</f>
        <v>54.463200000000001</v>
      </c>
      <c r="L577" s="10"/>
    </row>
    <row r="578" spans="1:12" ht="15.75" x14ac:dyDescent="0.25">
      <c r="A578" s="13">
        <v>58893</v>
      </c>
      <c r="B578" s="10">
        <f>54.2613 * CHOOSE(CONTROL!$C$9, $D$9, 100%, $F$9) + CHOOSE(CONTROL!$C$27, 0.0021, 0)</f>
        <v>54.263399999999997</v>
      </c>
      <c r="C578" s="10">
        <f>53.829 * CHOOSE(CONTROL!$C$9, $D$9, 100%, $F$9) + CHOOSE(CONTROL!$C$27, 0.0021, 0)</f>
        <v>53.831099999999999</v>
      </c>
      <c r="D578" s="10">
        <f>53.829 * CHOOSE(CONTROL!$C$9, $D$9, 100%, $F$9) + CHOOSE(CONTROL!$C$27, 0.0021, 0)</f>
        <v>53.831099999999999</v>
      </c>
      <c r="E578" s="10">
        <f>53.6924 * CHOOSE(CONTROL!$C$9, $D$9, 100%, $F$9) + CHOOSE(CONTROL!$C$27, 0.0021, 0)</f>
        <v>53.694499999999998</v>
      </c>
      <c r="F578" s="10">
        <f>53.6924 * CHOOSE(CONTROL!$C$9, $D$9, 100%, $F$9) + CHOOSE(CONTROL!$C$27, 0.0021, 0)</f>
        <v>53.694499999999998</v>
      </c>
      <c r="G578" s="10">
        <f>53.9637 * CHOOSE(CONTROL!$C$9, $D$9, 100%, $F$9) + CHOOSE(CONTROL!$C$27, 0.0021, 0)</f>
        <v>53.965800000000002</v>
      </c>
      <c r="H578" s="10">
        <f>53.829 * CHOOSE(CONTROL!$C$9, $D$9, 100%, $F$9) + CHOOSE(CONTROL!$C$27, 0.0021, 0)</f>
        <v>53.831099999999999</v>
      </c>
      <c r="I578" s="10">
        <f>53.829 * CHOOSE(CONTROL!$C$9, $D$9, 100%, $F$9) + CHOOSE(CONTROL!$C$27, 0.0021, 0)</f>
        <v>53.831099999999999</v>
      </c>
      <c r="J578" s="10">
        <f>53.829 * CHOOSE(CONTROL!$C$9, $D$9, 100%, $F$9) + CHOOSE(CONTROL!$C$27, 0.0021, 0)</f>
        <v>53.831099999999999</v>
      </c>
      <c r="K578" s="10">
        <f>53.829 * CHOOSE(CONTROL!$C$9, $D$9, 100%, $F$9) + CHOOSE(CONTROL!$C$27, 0.0021, 0)</f>
        <v>53.831099999999999</v>
      </c>
      <c r="L578" s="10"/>
    </row>
    <row r="579" spans="1:12" ht="15.75" x14ac:dyDescent="0.25">
      <c r="A579" s="13">
        <v>58926</v>
      </c>
      <c r="B579" s="10">
        <f>53.5066 * CHOOSE(CONTROL!$C$9, $D$9, 100%, $F$9) + CHOOSE(CONTROL!$C$27, 0.0021, 0)</f>
        <v>53.508699999999997</v>
      </c>
      <c r="C579" s="10">
        <f>53.0743 * CHOOSE(CONTROL!$C$9, $D$9, 100%, $F$9) + CHOOSE(CONTROL!$C$27, 0.0021, 0)</f>
        <v>53.0764</v>
      </c>
      <c r="D579" s="10">
        <f>53.0743 * CHOOSE(CONTROL!$C$9, $D$9, 100%, $F$9) + CHOOSE(CONTROL!$C$27, 0.0021, 0)</f>
        <v>53.0764</v>
      </c>
      <c r="E579" s="10">
        <f>52.9377 * CHOOSE(CONTROL!$C$9, $D$9, 100%, $F$9) + CHOOSE(CONTROL!$C$27, 0.0021, 0)</f>
        <v>52.939799999999998</v>
      </c>
      <c r="F579" s="10">
        <f>52.9377 * CHOOSE(CONTROL!$C$9, $D$9, 100%, $F$9) + CHOOSE(CONTROL!$C$27, 0.0021, 0)</f>
        <v>52.939799999999998</v>
      </c>
      <c r="G579" s="10">
        <f>53.209 * CHOOSE(CONTROL!$C$9, $D$9, 100%, $F$9) + CHOOSE(CONTROL!$C$27, 0.0021, 0)</f>
        <v>53.211100000000002</v>
      </c>
      <c r="H579" s="10">
        <f>53.0743 * CHOOSE(CONTROL!$C$9, $D$9, 100%, $F$9) + CHOOSE(CONTROL!$C$27, 0.0021, 0)</f>
        <v>53.0764</v>
      </c>
      <c r="I579" s="10">
        <f>53.0743 * CHOOSE(CONTROL!$C$9, $D$9, 100%, $F$9) + CHOOSE(CONTROL!$C$27, 0.0021, 0)</f>
        <v>53.0764</v>
      </c>
      <c r="J579" s="10">
        <f>53.0743 * CHOOSE(CONTROL!$C$9, $D$9, 100%, $F$9) + CHOOSE(CONTROL!$C$27, 0.0021, 0)</f>
        <v>53.0764</v>
      </c>
      <c r="K579" s="10">
        <f>53.0743 * CHOOSE(CONTROL!$C$9, $D$9, 100%, $F$9) + CHOOSE(CONTROL!$C$27, 0.0021, 0)</f>
        <v>53.0764</v>
      </c>
      <c r="L579" s="10"/>
    </row>
    <row r="580" spans="1:12" ht="15.75" x14ac:dyDescent="0.25">
      <c r="A580" s="13">
        <v>58957</v>
      </c>
      <c r="B580" s="10">
        <f>54.5821 * CHOOSE(CONTROL!$C$9, $D$9, 100%, $F$9) + CHOOSE(CONTROL!$C$27, 0.0021, 0)</f>
        <v>54.584199999999996</v>
      </c>
      <c r="C580" s="10">
        <f>54.1499 * CHOOSE(CONTROL!$C$9, $D$9, 100%, $F$9) + CHOOSE(CONTROL!$C$27, 0.0021, 0)</f>
        <v>54.152000000000001</v>
      </c>
      <c r="D580" s="10">
        <f>54.1499 * CHOOSE(CONTROL!$C$9, $D$9, 100%, $F$9) + CHOOSE(CONTROL!$C$27, 0.0021, 0)</f>
        <v>54.152000000000001</v>
      </c>
      <c r="E580" s="10">
        <f>54.0132 * CHOOSE(CONTROL!$C$9, $D$9, 100%, $F$9) + CHOOSE(CONTROL!$C$27, 0.0021, 0)</f>
        <v>54.015299999999996</v>
      </c>
      <c r="F580" s="10">
        <f>54.0132 * CHOOSE(CONTROL!$C$9, $D$9, 100%, $F$9) + CHOOSE(CONTROL!$C$27, 0.0021, 0)</f>
        <v>54.015299999999996</v>
      </c>
      <c r="G580" s="10">
        <f>54.2846 * CHOOSE(CONTROL!$C$9, $D$9, 100%, $F$9) + CHOOSE(CONTROL!$C$27, 0.0021, 0)</f>
        <v>54.286699999999996</v>
      </c>
      <c r="H580" s="10">
        <f>54.1499 * CHOOSE(CONTROL!$C$9, $D$9, 100%, $F$9) + CHOOSE(CONTROL!$C$27, 0.0021, 0)</f>
        <v>54.152000000000001</v>
      </c>
      <c r="I580" s="10">
        <f>54.1499 * CHOOSE(CONTROL!$C$9, $D$9, 100%, $F$9) + CHOOSE(CONTROL!$C$27, 0.0021, 0)</f>
        <v>54.152000000000001</v>
      </c>
      <c r="J580" s="10">
        <f>54.1499 * CHOOSE(CONTROL!$C$9, $D$9, 100%, $F$9) + CHOOSE(CONTROL!$C$27, 0.0021, 0)</f>
        <v>54.152000000000001</v>
      </c>
      <c r="K580" s="10">
        <f>54.1499 * CHOOSE(CONTROL!$C$9, $D$9, 100%, $F$9) + CHOOSE(CONTROL!$C$27, 0.0021, 0)</f>
        <v>54.152000000000001</v>
      </c>
      <c r="L580" s="10"/>
    </row>
    <row r="581" spans="1:12" ht="15.75" x14ac:dyDescent="0.25">
      <c r="A581" s="13">
        <v>58987</v>
      </c>
      <c r="B581" s="10">
        <f>55.2263 * CHOOSE(CONTROL!$C$9, $D$9, 100%, $F$9) + CHOOSE(CONTROL!$C$27, 0.0021, 0)</f>
        <v>55.228400000000001</v>
      </c>
      <c r="C581" s="10">
        <f>54.794 * CHOOSE(CONTROL!$C$9, $D$9, 100%, $F$9) + CHOOSE(CONTROL!$C$27, 0.0021, 0)</f>
        <v>54.796099999999996</v>
      </c>
      <c r="D581" s="10">
        <f>54.794 * CHOOSE(CONTROL!$C$9, $D$9, 100%, $F$9) + CHOOSE(CONTROL!$C$27, 0.0021, 0)</f>
        <v>54.796099999999996</v>
      </c>
      <c r="E581" s="10">
        <f>54.6574 * CHOOSE(CONTROL!$C$9, $D$9, 100%, $F$9) + CHOOSE(CONTROL!$C$27, 0.0021, 0)</f>
        <v>54.659500000000001</v>
      </c>
      <c r="F581" s="10">
        <f>54.6574 * CHOOSE(CONTROL!$C$9, $D$9, 100%, $F$9) + CHOOSE(CONTROL!$C$27, 0.0021, 0)</f>
        <v>54.659500000000001</v>
      </c>
      <c r="G581" s="10">
        <f>54.9288 * CHOOSE(CONTROL!$C$9, $D$9, 100%, $F$9) + CHOOSE(CONTROL!$C$27, 0.0021, 0)</f>
        <v>54.930900000000001</v>
      </c>
      <c r="H581" s="10">
        <f>54.794 * CHOOSE(CONTROL!$C$9, $D$9, 100%, $F$9) + CHOOSE(CONTROL!$C$27, 0.0021, 0)</f>
        <v>54.796099999999996</v>
      </c>
      <c r="I581" s="10">
        <f>54.794 * CHOOSE(CONTROL!$C$9, $D$9, 100%, $F$9) + CHOOSE(CONTROL!$C$27, 0.0021, 0)</f>
        <v>54.796099999999996</v>
      </c>
      <c r="J581" s="10">
        <f>54.794 * CHOOSE(CONTROL!$C$9, $D$9, 100%, $F$9) + CHOOSE(CONTROL!$C$27, 0.0021, 0)</f>
        <v>54.796099999999996</v>
      </c>
      <c r="K581" s="10">
        <f>54.794 * CHOOSE(CONTROL!$C$9, $D$9, 100%, $F$9) + CHOOSE(CONTROL!$C$27, 0.0021, 0)</f>
        <v>54.796099999999996</v>
      </c>
      <c r="L581" s="10"/>
    </row>
    <row r="582" spans="1:12" ht="15.75" x14ac:dyDescent="0.25">
      <c r="A582" s="13">
        <v>59018</v>
      </c>
      <c r="B582" s="10">
        <f>56.289 * CHOOSE(CONTROL!$C$9, $D$9, 100%, $F$9) + CHOOSE(CONTROL!$C$27, 0.0021, 0)</f>
        <v>56.2911</v>
      </c>
      <c r="C582" s="10">
        <f>55.8567 * CHOOSE(CONTROL!$C$9, $D$9, 100%, $F$9) + CHOOSE(CONTROL!$C$27, 0.0021, 0)</f>
        <v>55.858799999999995</v>
      </c>
      <c r="D582" s="10">
        <f>55.8567 * CHOOSE(CONTROL!$C$9, $D$9, 100%, $F$9) + CHOOSE(CONTROL!$C$27, 0.0021, 0)</f>
        <v>55.858799999999995</v>
      </c>
      <c r="E582" s="10">
        <f>55.7201 * CHOOSE(CONTROL!$C$9, $D$9, 100%, $F$9) + CHOOSE(CONTROL!$C$27, 0.0021, 0)</f>
        <v>55.722200000000001</v>
      </c>
      <c r="F582" s="10">
        <f>55.7201 * CHOOSE(CONTROL!$C$9, $D$9, 100%, $F$9) + CHOOSE(CONTROL!$C$27, 0.0021, 0)</f>
        <v>55.722200000000001</v>
      </c>
      <c r="G582" s="10">
        <f>55.9914 * CHOOSE(CONTROL!$C$9, $D$9, 100%, $F$9) + CHOOSE(CONTROL!$C$27, 0.0021, 0)</f>
        <v>55.993499999999997</v>
      </c>
      <c r="H582" s="10">
        <f>55.8567 * CHOOSE(CONTROL!$C$9, $D$9, 100%, $F$9) + CHOOSE(CONTROL!$C$27, 0.0021, 0)</f>
        <v>55.858799999999995</v>
      </c>
      <c r="I582" s="10">
        <f>55.8567 * CHOOSE(CONTROL!$C$9, $D$9, 100%, $F$9) + CHOOSE(CONTROL!$C$27, 0.0021, 0)</f>
        <v>55.858799999999995</v>
      </c>
      <c r="J582" s="10">
        <f>55.8567 * CHOOSE(CONTROL!$C$9, $D$9, 100%, $F$9) + CHOOSE(CONTROL!$C$27, 0.0021, 0)</f>
        <v>55.858799999999995</v>
      </c>
      <c r="K582" s="10">
        <f>55.8567 * CHOOSE(CONTROL!$C$9, $D$9, 100%, $F$9) + CHOOSE(CONTROL!$C$27, 0.0021, 0)</f>
        <v>55.858799999999995</v>
      </c>
      <c r="L582" s="10"/>
    </row>
    <row r="583" spans="1:12" ht="15.75" x14ac:dyDescent="0.25">
      <c r="A583" s="13">
        <v>59049</v>
      </c>
      <c r="B583" s="10">
        <f>56.6133 * CHOOSE(CONTROL!$C$9, $D$9, 100%, $F$9) + CHOOSE(CONTROL!$C$27, 0.0021, 0)</f>
        <v>56.615400000000001</v>
      </c>
      <c r="C583" s="10">
        <f>56.1811 * CHOOSE(CONTROL!$C$9, $D$9, 100%, $F$9) + CHOOSE(CONTROL!$C$27, 0.0021, 0)</f>
        <v>56.183199999999999</v>
      </c>
      <c r="D583" s="10">
        <f>56.1811 * CHOOSE(CONTROL!$C$9, $D$9, 100%, $F$9) + CHOOSE(CONTROL!$C$27, 0.0021, 0)</f>
        <v>56.183199999999999</v>
      </c>
      <c r="E583" s="10">
        <f>56.0444 * CHOOSE(CONTROL!$C$9, $D$9, 100%, $F$9) + CHOOSE(CONTROL!$C$27, 0.0021, 0)</f>
        <v>56.046500000000002</v>
      </c>
      <c r="F583" s="10">
        <f>56.0444 * CHOOSE(CONTROL!$C$9, $D$9, 100%, $F$9) + CHOOSE(CONTROL!$C$27, 0.0021, 0)</f>
        <v>56.046500000000002</v>
      </c>
      <c r="G583" s="10">
        <f>56.3158 * CHOOSE(CONTROL!$C$9, $D$9, 100%, $F$9) + CHOOSE(CONTROL!$C$27, 0.0021, 0)</f>
        <v>56.317900000000002</v>
      </c>
      <c r="H583" s="10">
        <f>56.1811 * CHOOSE(CONTROL!$C$9, $D$9, 100%, $F$9) + CHOOSE(CONTROL!$C$27, 0.0021, 0)</f>
        <v>56.183199999999999</v>
      </c>
      <c r="I583" s="10">
        <f>56.1811 * CHOOSE(CONTROL!$C$9, $D$9, 100%, $F$9) + CHOOSE(CONTROL!$C$27, 0.0021, 0)</f>
        <v>56.183199999999999</v>
      </c>
      <c r="J583" s="10">
        <f>56.1811 * CHOOSE(CONTROL!$C$9, $D$9, 100%, $F$9) + CHOOSE(CONTROL!$C$27, 0.0021, 0)</f>
        <v>56.183199999999999</v>
      </c>
      <c r="K583" s="10">
        <f>56.1811 * CHOOSE(CONTROL!$C$9, $D$9, 100%, $F$9) + CHOOSE(CONTROL!$C$27, 0.0021, 0)</f>
        <v>56.183199999999999</v>
      </c>
      <c r="L583" s="10"/>
    </row>
    <row r="584" spans="1:12" ht="15.75" x14ac:dyDescent="0.25">
      <c r="A584" s="13">
        <v>59079</v>
      </c>
      <c r="B584" s="10">
        <f>57.718 * CHOOSE(CONTROL!$C$9, $D$9, 100%, $F$9) + CHOOSE(CONTROL!$C$27, 0.0021, 0)</f>
        <v>57.720100000000002</v>
      </c>
      <c r="C584" s="10">
        <f>57.2857 * CHOOSE(CONTROL!$C$9, $D$9, 100%, $F$9) + CHOOSE(CONTROL!$C$27, 0.0021, 0)</f>
        <v>57.287799999999997</v>
      </c>
      <c r="D584" s="10">
        <f>57.2857 * CHOOSE(CONTROL!$C$9, $D$9, 100%, $F$9) + CHOOSE(CONTROL!$C$27, 0.0021, 0)</f>
        <v>57.287799999999997</v>
      </c>
      <c r="E584" s="10">
        <f>57.1491 * CHOOSE(CONTROL!$C$9, $D$9, 100%, $F$9) + CHOOSE(CONTROL!$C$27, 0.0021, 0)</f>
        <v>57.151199999999996</v>
      </c>
      <c r="F584" s="10">
        <f>57.1491 * CHOOSE(CONTROL!$C$9, $D$9, 100%, $F$9) + CHOOSE(CONTROL!$C$27, 0.0021, 0)</f>
        <v>57.151199999999996</v>
      </c>
      <c r="G584" s="10">
        <f>57.4204 * CHOOSE(CONTROL!$C$9, $D$9, 100%, $F$9) + CHOOSE(CONTROL!$C$27, 0.0021, 0)</f>
        <v>57.422499999999999</v>
      </c>
      <c r="H584" s="10">
        <f>57.2857 * CHOOSE(CONTROL!$C$9, $D$9, 100%, $F$9) + CHOOSE(CONTROL!$C$27, 0.0021, 0)</f>
        <v>57.287799999999997</v>
      </c>
      <c r="I584" s="10">
        <f>57.2857 * CHOOSE(CONTROL!$C$9, $D$9, 100%, $F$9) + CHOOSE(CONTROL!$C$27, 0.0021, 0)</f>
        <v>57.287799999999997</v>
      </c>
      <c r="J584" s="10">
        <f>57.2857 * CHOOSE(CONTROL!$C$9, $D$9, 100%, $F$9) + CHOOSE(CONTROL!$C$27, 0.0021, 0)</f>
        <v>57.287799999999997</v>
      </c>
      <c r="K584" s="10">
        <f>57.2857 * CHOOSE(CONTROL!$C$9, $D$9, 100%, $F$9) + CHOOSE(CONTROL!$C$27, 0.0021, 0)</f>
        <v>57.287799999999997</v>
      </c>
      <c r="L584" s="10"/>
    </row>
    <row r="585" spans="1:12" ht="15.75" x14ac:dyDescent="0.25">
      <c r="A585" s="13">
        <v>59110</v>
      </c>
      <c r="B585" s="10">
        <f>59.1162 * CHOOSE(CONTROL!$C$9, $D$9, 100%, $F$9) + CHOOSE(CONTROL!$C$27, 0.0021, 0)</f>
        <v>59.118299999999998</v>
      </c>
      <c r="C585" s="10">
        <f>58.684 * CHOOSE(CONTROL!$C$9, $D$9, 100%, $F$9) + CHOOSE(CONTROL!$C$27, 0.0021, 0)</f>
        <v>58.686099999999996</v>
      </c>
      <c r="D585" s="10">
        <f>58.684 * CHOOSE(CONTROL!$C$9, $D$9, 100%, $F$9) + CHOOSE(CONTROL!$C$27, 0.0021, 0)</f>
        <v>58.686099999999996</v>
      </c>
      <c r="E585" s="10">
        <f>58.5473 * CHOOSE(CONTROL!$C$9, $D$9, 100%, $F$9) + CHOOSE(CONTROL!$C$27, 0.0021, 0)</f>
        <v>58.549399999999999</v>
      </c>
      <c r="F585" s="10">
        <f>58.5473 * CHOOSE(CONTROL!$C$9, $D$9, 100%, $F$9) + CHOOSE(CONTROL!$C$27, 0.0021, 0)</f>
        <v>58.549399999999999</v>
      </c>
      <c r="G585" s="10">
        <f>58.8187 * CHOOSE(CONTROL!$C$9, $D$9, 100%, $F$9) + CHOOSE(CONTROL!$C$27, 0.0021, 0)</f>
        <v>58.820799999999998</v>
      </c>
      <c r="H585" s="10">
        <f>58.684 * CHOOSE(CONTROL!$C$9, $D$9, 100%, $F$9) + CHOOSE(CONTROL!$C$27, 0.0021, 0)</f>
        <v>58.686099999999996</v>
      </c>
      <c r="I585" s="10">
        <f>58.684 * CHOOSE(CONTROL!$C$9, $D$9, 100%, $F$9) + CHOOSE(CONTROL!$C$27, 0.0021, 0)</f>
        <v>58.686099999999996</v>
      </c>
      <c r="J585" s="10">
        <f>58.684 * CHOOSE(CONTROL!$C$9, $D$9, 100%, $F$9) + CHOOSE(CONTROL!$C$27, 0.0021, 0)</f>
        <v>58.686099999999996</v>
      </c>
      <c r="K585" s="10">
        <f>58.684 * CHOOSE(CONTROL!$C$9, $D$9, 100%, $F$9) + CHOOSE(CONTROL!$C$27, 0.0021, 0)</f>
        <v>58.686099999999996</v>
      </c>
      <c r="L585" s="10"/>
    </row>
    <row r="586" spans="1:12" ht="15.75" x14ac:dyDescent="0.25">
      <c r="A586" s="13">
        <v>59140</v>
      </c>
      <c r="B586" s="10">
        <f>59.2475 * CHOOSE(CONTROL!$C$9, $D$9, 100%, $F$9) + CHOOSE(CONTROL!$C$27, 0.0021, 0)</f>
        <v>59.249600000000001</v>
      </c>
      <c r="C586" s="10">
        <f>58.8152 * CHOOSE(CONTROL!$C$9, $D$9, 100%, $F$9) + CHOOSE(CONTROL!$C$27, 0.0021, 0)</f>
        <v>58.817299999999996</v>
      </c>
      <c r="D586" s="10">
        <f>58.8152 * CHOOSE(CONTROL!$C$9, $D$9, 100%, $F$9) + CHOOSE(CONTROL!$C$27, 0.0021, 0)</f>
        <v>58.817299999999996</v>
      </c>
      <c r="E586" s="10">
        <f>58.6786 * CHOOSE(CONTROL!$C$9, $D$9, 100%, $F$9) + CHOOSE(CONTROL!$C$27, 0.0021, 0)</f>
        <v>58.680700000000002</v>
      </c>
      <c r="F586" s="10">
        <f>58.6786 * CHOOSE(CONTROL!$C$9, $D$9, 100%, $F$9) + CHOOSE(CONTROL!$C$27, 0.0021, 0)</f>
        <v>58.680700000000002</v>
      </c>
      <c r="G586" s="10">
        <f>58.9499 * CHOOSE(CONTROL!$C$9, $D$9, 100%, $F$9) + CHOOSE(CONTROL!$C$27, 0.0021, 0)</f>
        <v>58.951999999999998</v>
      </c>
      <c r="H586" s="10">
        <f>58.8152 * CHOOSE(CONTROL!$C$9, $D$9, 100%, $F$9) + CHOOSE(CONTROL!$C$27, 0.0021, 0)</f>
        <v>58.817299999999996</v>
      </c>
      <c r="I586" s="10">
        <f>58.8152 * CHOOSE(CONTROL!$C$9, $D$9, 100%, $F$9) + CHOOSE(CONTROL!$C$27, 0.0021, 0)</f>
        <v>58.817299999999996</v>
      </c>
      <c r="J586" s="10">
        <f>58.8152 * CHOOSE(CONTROL!$C$9, $D$9, 100%, $F$9) + CHOOSE(CONTROL!$C$27, 0.0021, 0)</f>
        <v>58.817299999999996</v>
      </c>
      <c r="K586" s="10">
        <f>58.8152 * CHOOSE(CONTROL!$C$9, $D$9, 100%, $F$9) + CHOOSE(CONTROL!$C$27, 0.0021, 0)</f>
        <v>58.817299999999996</v>
      </c>
      <c r="L586" s="10"/>
    </row>
    <row r="587" spans="1:12" ht="15.75" x14ac:dyDescent="0.25">
      <c r="A587" s="13">
        <v>59171</v>
      </c>
      <c r="B587" s="10">
        <f>58.1307 * CHOOSE(CONTROL!$C$9, $D$9, 100%, $F$9) + CHOOSE(CONTROL!$C$27, 0.0021, 0)</f>
        <v>58.132799999999996</v>
      </c>
      <c r="C587" s="10">
        <f>57.6985 * CHOOSE(CONTROL!$C$9, $D$9, 100%, $F$9) + CHOOSE(CONTROL!$C$27, 0.0021, 0)</f>
        <v>57.700600000000001</v>
      </c>
      <c r="D587" s="10">
        <f>57.6985 * CHOOSE(CONTROL!$C$9, $D$9, 100%, $F$9) + CHOOSE(CONTROL!$C$27, 0.0021, 0)</f>
        <v>57.700600000000001</v>
      </c>
      <c r="E587" s="10">
        <f>57.5618 * CHOOSE(CONTROL!$C$9, $D$9, 100%, $F$9) + CHOOSE(CONTROL!$C$27, 0.0021, 0)</f>
        <v>57.563899999999997</v>
      </c>
      <c r="F587" s="10">
        <f>57.5618 * CHOOSE(CONTROL!$C$9, $D$9, 100%, $F$9) + CHOOSE(CONTROL!$C$27, 0.0021, 0)</f>
        <v>57.563899999999997</v>
      </c>
      <c r="G587" s="10">
        <f>57.8332 * CHOOSE(CONTROL!$C$9, $D$9, 100%, $F$9) + CHOOSE(CONTROL!$C$27, 0.0021, 0)</f>
        <v>57.835299999999997</v>
      </c>
      <c r="H587" s="10">
        <f>57.6985 * CHOOSE(CONTROL!$C$9, $D$9, 100%, $F$9) + CHOOSE(CONTROL!$C$27, 0.0021, 0)</f>
        <v>57.700600000000001</v>
      </c>
      <c r="I587" s="10">
        <f>57.6985 * CHOOSE(CONTROL!$C$9, $D$9, 100%, $F$9) + CHOOSE(CONTROL!$C$27, 0.0021, 0)</f>
        <v>57.700600000000001</v>
      </c>
      <c r="J587" s="10">
        <f>57.6985 * CHOOSE(CONTROL!$C$9, $D$9, 100%, $F$9) + CHOOSE(CONTROL!$C$27, 0.0021, 0)</f>
        <v>57.700600000000001</v>
      </c>
      <c r="K587" s="10">
        <f>57.6985 * CHOOSE(CONTROL!$C$9, $D$9, 100%, $F$9) + CHOOSE(CONTROL!$C$27, 0.0021, 0)</f>
        <v>57.700600000000001</v>
      </c>
      <c r="L587" s="10"/>
    </row>
    <row r="588" spans="1:12" ht="15.75" x14ac:dyDescent="0.25">
      <c r="A588" s="13">
        <v>59202</v>
      </c>
      <c r="B588" s="10">
        <f>57.2757 * CHOOSE(CONTROL!$C$9, $D$9, 100%, $F$9) + CHOOSE(CONTROL!$C$27, 0.0021, 0)</f>
        <v>57.277799999999999</v>
      </c>
      <c r="C588" s="10">
        <f>56.8434 * CHOOSE(CONTROL!$C$9, $D$9, 100%, $F$9) + CHOOSE(CONTROL!$C$27, 0.0021, 0)</f>
        <v>56.845500000000001</v>
      </c>
      <c r="D588" s="10">
        <f>56.8434 * CHOOSE(CONTROL!$C$9, $D$9, 100%, $F$9) + CHOOSE(CONTROL!$C$27, 0.0021, 0)</f>
        <v>56.845500000000001</v>
      </c>
      <c r="E588" s="10">
        <f>56.7068 * CHOOSE(CONTROL!$C$9, $D$9, 100%, $F$9) + CHOOSE(CONTROL!$C$27, 0.0021, 0)</f>
        <v>56.7089</v>
      </c>
      <c r="F588" s="10">
        <f>56.7068 * CHOOSE(CONTROL!$C$9, $D$9, 100%, $F$9) + CHOOSE(CONTROL!$C$27, 0.0021, 0)</f>
        <v>56.7089</v>
      </c>
      <c r="G588" s="10">
        <f>56.9782 * CHOOSE(CONTROL!$C$9, $D$9, 100%, $F$9) + CHOOSE(CONTROL!$C$27, 0.0021, 0)</f>
        <v>56.9803</v>
      </c>
      <c r="H588" s="10">
        <f>56.8434 * CHOOSE(CONTROL!$C$9, $D$9, 100%, $F$9) + CHOOSE(CONTROL!$C$27, 0.0021, 0)</f>
        <v>56.845500000000001</v>
      </c>
      <c r="I588" s="10">
        <f>56.8434 * CHOOSE(CONTROL!$C$9, $D$9, 100%, $F$9) + CHOOSE(CONTROL!$C$27, 0.0021, 0)</f>
        <v>56.845500000000001</v>
      </c>
      <c r="J588" s="10">
        <f>56.8434 * CHOOSE(CONTROL!$C$9, $D$9, 100%, $F$9) + CHOOSE(CONTROL!$C$27, 0.0021, 0)</f>
        <v>56.845500000000001</v>
      </c>
      <c r="K588" s="10">
        <f>56.8434 * CHOOSE(CONTROL!$C$9, $D$9, 100%, $F$9) + CHOOSE(CONTROL!$C$27, 0.0021, 0)</f>
        <v>56.845500000000001</v>
      </c>
      <c r="L588" s="10"/>
    </row>
    <row r="589" spans="1:12" ht="15.75" x14ac:dyDescent="0.25">
      <c r="A589" s="13">
        <v>59230</v>
      </c>
      <c r="B589" s="10">
        <f>55.7205 * CHOOSE(CONTROL!$C$9, $D$9, 100%, $F$9) + CHOOSE(CONTROL!$C$27, 0.0021, 0)</f>
        <v>55.7226</v>
      </c>
      <c r="C589" s="10">
        <f>55.2882 * CHOOSE(CONTROL!$C$9, $D$9, 100%, $F$9) + CHOOSE(CONTROL!$C$27, 0.0021, 0)</f>
        <v>55.290300000000002</v>
      </c>
      <c r="D589" s="10">
        <f>55.2882 * CHOOSE(CONTROL!$C$9, $D$9, 100%, $F$9) + CHOOSE(CONTROL!$C$27, 0.0021, 0)</f>
        <v>55.290300000000002</v>
      </c>
      <c r="E589" s="10">
        <f>55.1516 * CHOOSE(CONTROL!$C$9, $D$9, 100%, $F$9) + CHOOSE(CONTROL!$C$27, 0.0021, 0)</f>
        <v>55.153700000000001</v>
      </c>
      <c r="F589" s="10">
        <f>55.1516 * CHOOSE(CONTROL!$C$9, $D$9, 100%, $F$9) + CHOOSE(CONTROL!$C$27, 0.0021, 0)</f>
        <v>55.153700000000001</v>
      </c>
      <c r="G589" s="10">
        <f>55.4229 * CHOOSE(CONTROL!$C$9, $D$9, 100%, $F$9) + CHOOSE(CONTROL!$C$27, 0.0021, 0)</f>
        <v>55.424999999999997</v>
      </c>
      <c r="H589" s="10">
        <f>55.2882 * CHOOSE(CONTROL!$C$9, $D$9, 100%, $F$9) + CHOOSE(CONTROL!$C$27, 0.0021, 0)</f>
        <v>55.290300000000002</v>
      </c>
      <c r="I589" s="10">
        <f>55.2882 * CHOOSE(CONTROL!$C$9, $D$9, 100%, $F$9) + CHOOSE(CONTROL!$C$27, 0.0021, 0)</f>
        <v>55.290300000000002</v>
      </c>
      <c r="J589" s="10">
        <f>55.2882 * CHOOSE(CONTROL!$C$9, $D$9, 100%, $F$9) + CHOOSE(CONTROL!$C$27, 0.0021, 0)</f>
        <v>55.290300000000002</v>
      </c>
      <c r="K589" s="10">
        <f>55.2882 * CHOOSE(CONTROL!$C$9, $D$9, 100%, $F$9) + CHOOSE(CONTROL!$C$27, 0.0021, 0)</f>
        <v>55.290300000000002</v>
      </c>
      <c r="L589" s="10"/>
    </row>
    <row r="590" spans="1:12" ht="15.75" x14ac:dyDescent="0.25">
      <c r="A590" s="13">
        <v>59261</v>
      </c>
      <c r="B590" s="10">
        <f>55.0785 * CHOOSE(CONTROL!$C$9, $D$9, 100%, $F$9) + CHOOSE(CONTROL!$C$27, 0.0021, 0)</f>
        <v>55.080599999999997</v>
      </c>
      <c r="C590" s="10">
        <f>54.6462 * CHOOSE(CONTROL!$C$9, $D$9, 100%, $F$9) + CHOOSE(CONTROL!$C$27, 0.0021, 0)</f>
        <v>54.648299999999999</v>
      </c>
      <c r="D590" s="10">
        <f>54.6462 * CHOOSE(CONTROL!$C$9, $D$9, 100%, $F$9) + CHOOSE(CONTROL!$C$27, 0.0021, 0)</f>
        <v>54.648299999999999</v>
      </c>
      <c r="E590" s="10">
        <f>54.5096 * CHOOSE(CONTROL!$C$9, $D$9, 100%, $F$9) + CHOOSE(CONTROL!$C$27, 0.0021, 0)</f>
        <v>54.511699999999998</v>
      </c>
      <c r="F590" s="10">
        <f>54.5096 * CHOOSE(CONTROL!$C$9, $D$9, 100%, $F$9) + CHOOSE(CONTROL!$C$27, 0.0021, 0)</f>
        <v>54.511699999999998</v>
      </c>
      <c r="G590" s="10">
        <f>54.7809 * CHOOSE(CONTROL!$C$9, $D$9, 100%, $F$9) + CHOOSE(CONTROL!$C$27, 0.0021, 0)</f>
        <v>54.783000000000001</v>
      </c>
      <c r="H590" s="10">
        <f>54.6462 * CHOOSE(CONTROL!$C$9, $D$9, 100%, $F$9) + CHOOSE(CONTROL!$C$27, 0.0021, 0)</f>
        <v>54.648299999999999</v>
      </c>
      <c r="I590" s="10">
        <f>54.6462 * CHOOSE(CONTROL!$C$9, $D$9, 100%, $F$9) + CHOOSE(CONTROL!$C$27, 0.0021, 0)</f>
        <v>54.648299999999999</v>
      </c>
      <c r="J590" s="10">
        <f>54.6462 * CHOOSE(CONTROL!$C$9, $D$9, 100%, $F$9) + CHOOSE(CONTROL!$C$27, 0.0021, 0)</f>
        <v>54.648299999999999</v>
      </c>
      <c r="K590" s="10">
        <f>54.6462 * CHOOSE(CONTROL!$C$9, $D$9, 100%, $F$9) + CHOOSE(CONTROL!$C$27, 0.0021, 0)</f>
        <v>54.648299999999999</v>
      </c>
      <c r="L590" s="10"/>
    </row>
    <row r="591" spans="1:12" ht="15.75" x14ac:dyDescent="0.25">
      <c r="A591" s="13">
        <v>59291</v>
      </c>
      <c r="B591" s="10">
        <f>54.3119 * CHOOSE(CONTROL!$C$9, $D$9, 100%, $F$9) + CHOOSE(CONTROL!$C$27, 0.0021, 0)</f>
        <v>54.314</v>
      </c>
      <c r="C591" s="10">
        <f>53.8797 * CHOOSE(CONTROL!$C$9, $D$9, 100%, $F$9) + CHOOSE(CONTROL!$C$27, 0.0021, 0)</f>
        <v>53.881799999999998</v>
      </c>
      <c r="D591" s="10">
        <f>53.8797 * CHOOSE(CONTROL!$C$9, $D$9, 100%, $F$9) + CHOOSE(CONTROL!$C$27, 0.0021, 0)</f>
        <v>53.881799999999998</v>
      </c>
      <c r="E591" s="10">
        <f>53.743 * CHOOSE(CONTROL!$C$9, $D$9, 100%, $F$9) + CHOOSE(CONTROL!$C$27, 0.0021, 0)</f>
        <v>53.745100000000001</v>
      </c>
      <c r="F591" s="10">
        <f>53.743 * CHOOSE(CONTROL!$C$9, $D$9, 100%, $F$9) + CHOOSE(CONTROL!$C$27, 0.0021, 0)</f>
        <v>53.745100000000001</v>
      </c>
      <c r="G591" s="10">
        <f>54.0144 * CHOOSE(CONTROL!$C$9, $D$9, 100%, $F$9) + CHOOSE(CONTROL!$C$27, 0.0021, 0)</f>
        <v>54.016500000000001</v>
      </c>
      <c r="H591" s="10">
        <f>53.8797 * CHOOSE(CONTROL!$C$9, $D$9, 100%, $F$9) + CHOOSE(CONTROL!$C$27, 0.0021, 0)</f>
        <v>53.881799999999998</v>
      </c>
      <c r="I591" s="10">
        <f>53.8797 * CHOOSE(CONTROL!$C$9, $D$9, 100%, $F$9) + CHOOSE(CONTROL!$C$27, 0.0021, 0)</f>
        <v>53.881799999999998</v>
      </c>
      <c r="J591" s="10">
        <f>53.8797 * CHOOSE(CONTROL!$C$9, $D$9, 100%, $F$9) + CHOOSE(CONTROL!$C$27, 0.0021, 0)</f>
        <v>53.881799999999998</v>
      </c>
      <c r="K591" s="10">
        <f>53.8797 * CHOOSE(CONTROL!$C$9, $D$9, 100%, $F$9) + CHOOSE(CONTROL!$C$27, 0.0021, 0)</f>
        <v>53.881799999999998</v>
      </c>
      <c r="L591" s="10"/>
    </row>
    <row r="592" spans="1:12" ht="15.75" x14ac:dyDescent="0.25">
      <c r="A592" s="13">
        <v>59322</v>
      </c>
      <c r="B592" s="10">
        <f>55.4044 * CHOOSE(CONTROL!$C$9, $D$9, 100%, $F$9) + CHOOSE(CONTROL!$C$27, 0.0021, 0)</f>
        <v>55.406500000000001</v>
      </c>
      <c r="C592" s="10">
        <f>54.9721 * CHOOSE(CONTROL!$C$9, $D$9, 100%, $F$9) + CHOOSE(CONTROL!$C$27, 0.0021, 0)</f>
        <v>54.974199999999996</v>
      </c>
      <c r="D592" s="10">
        <f>54.9721 * CHOOSE(CONTROL!$C$9, $D$9, 100%, $F$9) + CHOOSE(CONTROL!$C$27, 0.0021, 0)</f>
        <v>54.974199999999996</v>
      </c>
      <c r="E592" s="10">
        <f>54.8354 * CHOOSE(CONTROL!$C$9, $D$9, 100%, $F$9) + CHOOSE(CONTROL!$C$27, 0.0021, 0)</f>
        <v>54.837499999999999</v>
      </c>
      <c r="F592" s="10">
        <f>54.8354 * CHOOSE(CONTROL!$C$9, $D$9, 100%, $F$9) + CHOOSE(CONTROL!$C$27, 0.0021, 0)</f>
        <v>54.837499999999999</v>
      </c>
      <c r="G592" s="10">
        <f>55.1068 * CHOOSE(CONTROL!$C$9, $D$9, 100%, $F$9) + CHOOSE(CONTROL!$C$27, 0.0021, 0)</f>
        <v>55.108899999999998</v>
      </c>
      <c r="H592" s="10">
        <f>54.9721 * CHOOSE(CONTROL!$C$9, $D$9, 100%, $F$9) + CHOOSE(CONTROL!$C$27, 0.0021, 0)</f>
        <v>54.974199999999996</v>
      </c>
      <c r="I592" s="10">
        <f>54.9721 * CHOOSE(CONTROL!$C$9, $D$9, 100%, $F$9) + CHOOSE(CONTROL!$C$27, 0.0021, 0)</f>
        <v>54.974199999999996</v>
      </c>
      <c r="J592" s="10">
        <f>54.9721 * CHOOSE(CONTROL!$C$9, $D$9, 100%, $F$9) + CHOOSE(CONTROL!$C$27, 0.0021, 0)</f>
        <v>54.974199999999996</v>
      </c>
      <c r="K592" s="10">
        <f>54.9721 * CHOOSE(CONTROL!$C$9, $D$9, 100%, $F$9) + CHOOSE(CONTROL!$C$27, 0.0021, 0)</f>
        <v>54.974199999999996</v>
      </c>
      <c r="L592" s="10"/>
    </row>
    <row r="593" spans="1:12" ht="15.75" x14ac:dyDescent="0.25">
      <c r="A593" s="13">
        <v>59352</v>
      </c>
      <c r="B593" s="10">
        <f>56.0587 * CHOOSE(CONTROL!$C$9, $D$9, 100%, $F$9) + CHOOSE(CONTROL!$C$27, 0.0021, 0)</f>
        <v>56.0608</v>
      </c>
      <c r="C593" s="10">
        <f>55.6264 * CHOOSE(CONTROL!$C$9, $D$9, 100%, $F$9) + CHOOSE(CONTROL!$C$27, 0.0021, 0)</f>
        <v>55.628499999999995</v>
      </c>
      <c r="D593" s="10">
        <f>55.6264 * CHOOSE(CONTROL!$C$9, $D$9, 100%, $F$9) + CHOOSE(CONTROL!$C$27, 0.0021, 0)</f>
        <v>55.628499999999995</v>
      </c>
      <c r="E593" s="10">
        <f>55.4898 * CHOOSE(CONTROL!$C$9, $D$9, 100%, $F$9) + CHOOSE(CONTROL!$C$27, 0.0021, 0)</f>
        <v>55.491900000000001</v>
      </c>
      <c r="F593" s="10">
        <f>55.4898 * CHOOSE(CONTROL!$C$9, $D$9, 100%, $F$9) + CHOOSE(CONTROL!$C$27, 0.0021, 0)</f>
        <v>55.491900000000001</v>
      </c>
      <c r="G593" s="10">
        <f>55.7611 * CHOOSE(CONTROL!$C$9, $D$9, 100%, $F$9) + CHOOSE(CONTROL!$C$27, 0.0021, 0)</f>
        <v>55.763199999999998</v>
      </c>
      <c r="H593" s="10">
        <f>55.6264 * CHOOSE(CONTROL!$C$9, $D$9, 100%, $F$9) + CHOOSE(CONTROL!$C$27, 0.0021, 0)</f>
        <v>55.628499999999995</v>
      </c>
      <c r="I593" s="10">
        <f>55.6264 * CHOOSE(CONTROL!$C$9, $D$9, 100%, $F$9) + CHOOSE(CONTROL!$C$27, 0.0021, 0)</f>
        <v>55.628499999999995</v>
      </c>
      <c r="J593" s="10">
        <f>55.6264 * CHOOSE(CONTROL!$C$9, $D$9, 100%, $F$9) + CHOOSE(CONTROL!$C$27, 0.0021, 0)</f>
        <v>55.628499999999995</v>
      </c>
      <c r="K593" s="10">
        <f>55.6264 * CHOOSE(CONTROL!$C$9, $D$9, 100%, $F$9) + CHOOSE(CONTROL!$C$27, 0.0021, 0)</f>
        <v>55.628499999999995</v>
      </c>
      <c r="L593" s="10"/>
    </row>
    <row r="594" spans="1:12" ht="15.75" x14ac:dyDescent="0.25">
      <c r="A594" s="13">
        <v>59383</v>
      </c>
      <c r="B594" s="10">
        <f>57.1381 * CHOOSE(CONTROL!$C$9, $D$9, 100%, $F$9) + CHOOSE(CONTROL!$C$27, 0.0021, 0)</f>
        <v>57.1402</v>
      </c>
      <c r="C594" s="10">
        <f>56.7058 * CHOOSE(CONTROL!$C$9, $D$9, 100%, $F$9) + CHOOSE(CONTROL!$C$27, 0.0021, 0)</f>
        <v>56.707900000000002</v>
      </c>
      <c r="D594" s="10">
        <f>56.7058 * CHOOSE(CONTROL!$C$9, $D$9, 100%, $F$9) + CHOOSE(CONTROL!$C$27, 0.0021, 0)</f>
        <v>56.707900000000002</v>
      </c>
      <c r="E594" s="10">
        <f>56.5692 * CHOOSE(CONTROL!$C$9, $D$9, 100%, $F$9) + CHOOSE(CONTROL!$C$27, 0.0021, 0)</f>
        <v>56.571300000000001</v>
      </c>
      <c r="F594" s="10">
        <f>56.5692 * CHOOSE(CONTROL!$C$9, $D$9, 100%, $F$9) + CHOOSE(CONTROL!$C$27, 0.0021, 0)</f>
        <v>56.571300000000001</v>
      </c>
      <c r="G594" s="10">
        <f>56.8405 * CHOOSE(CONTROL!$C$9, $D$9, 100%, $F$9) + CHOOSE(CONTROL!$C$27, 0.0021, 0)</f>
        <v>56.842599999999997</v>
      </c>
      <c r="H594" s="10">
        <f>56.7058 * CHOOSE(CONTROL!$C$9, $D$9, 100%, $F$9) + CHOOSE(CONTROL!$C$27, 0.0021, 0)</f>
        <v>56.707900000000002</v>
      </c>
      <c r="I594" s="10">
        <f>56.7058 * CHOOSE(CONTROL!$C$9, $D$9, 100%, $F$9) + CHOOSE(CONTROL!$C$27, 0.0021, 0)</f>
        <v>56.707900000000002</v>
      </c>
      <c r="J594" s="10">
        <f>56.7058 * CHOOSE(CONTROL!$C$9, $D$9, 100%, $F$9) + CHOOSE(CONTROL!$C$27, 0.0021, 0)</f>
        <v>56.707900000000002</v>
      </c>
      <c r="K594" s="10">
        <f>56.7058 * CHOOSE(CONTROL!$C$9, $D$9, 100%, $F$9) + CHOOSE(CONTROL!$C$27, 0.0021, 0)</f>
        <v>56.707900000000002</v>
      </c>
      <c r="L594" s="10"/>
    </row>
    <row r="595" spans="1:12" ht="15.75" x14ac:dyDescent="0.25">
      <c r="A595" s="13">
        <v>59414</v>
      </c>
      <c r="B595" s="10">
        <f>57.4675 * CHOOSE(CONTROL!$C$9, $D$9, 100%, $F$9) + CHOOSE(CONTROL!$C$27, 0.0021, 0)</f>
        <v>57.4696</v>
      </c>
      <c r="C595" s="10">
        <f>57.0353 * CHOOSE(CONTROL!$C$9, $D$9, 100%, $F$9) + CHOOSE(CONTROL!$C$27, 0.0021, 0)</f>
        <v>57.037399999999998</v>
      </c>
      <c r="D595" s="10">
        <f>57.0353 * CHOOSE(CONTROL!$C$9, $D$9, 100%, $F$9) + CHOOSE(CONTROL!$C$27, 0.0021, 0)</f>
        <v>57.037399999999998</v>
      </c>
      <c r="E595" s="10">
        <f>56.8986 * CHOOSE(CONTROL!$C$9, $D$9, 100%, $F$9) + CHOOSE(CONTROL!$C$27, 0.0021, 0)</f>
        <v>56.900700000000001</v>
      </c>
      <c r="F595" s="10">
        <f>56.8986 * CHOOSE(CONTROL!$C$9, $D$9, 100%, $F$9) + CHOOSE(CONTROL!$C$27, 0.0021, 0)</f>
        <v>56.900700000000001</v>
      </c>
      <c r="G595" s="10">
        <f>57.17 * CHOOSE(CONTROL!$C$9, $D$9, 100%, $F$9) + CHOOSE(CONTROL!$C$27, 0.0021, 0)</f>
        <v>57.1721</v>
      </c>
      <c r="H595" s="10">
        <f>57.0353 * CHOOSE(CONTROL!$C$9, $D$9, 100%, $F$9) + CHOOSE(CONTROL!$C$27, 0.0021, 0)</f>
        <v>57.037399999999998</v>
      </c>
      <c r="I595" s="10">
        <f>57.0353 * CHOOSE(CONTROL!$C$9, $D$9, 100%, $F$9) + CHOOSE(CONTROL!$C$27, 0.0021, 0)</f>
        <v>57.037399999999998</v>
      </c>
      <c r="J595" s="10">
        <f>57.0353 * CHOOSE(CONTROL!$C$9, $D$9, 100%, $F$9) + CHOOSE(CONTROL!$C$27, 0.0021, 0)</f>
        <v>57.037399999999998</v>
      </c>
      <c r="K595" s="10">
        <f>57.0353 * CHOOSE(CONTROL!$C$9, $D$9, 100%, $F$9) + CHOOSE(CONTROL!$C$27, 0.0021, 0)</f>
        <v>57.037399999999998</v>
      </c>
      <c r="L595" s="10"/>
    </row>
    <row r="596" spans="1:12" ht="15.75" x14ac:dyDescent="0.25">
      <c r="A596" s="13">
        <v>59444</v>
      </c>
      <c r="B596" s="10">
        <f>58.5895 * CHOOSE(CONTROL!$C$9, $D$9, 100%, $F$9) + CHOOSE(CONTROL!$C$27, 0.0021, 0)</f>
        <v>58.5916</v>
      </c>
      <c r="C596" s="10">
        <f>58.1573 * CHOOSE(CONTROL!$C$9, $D$9, 100%, $F$9) + CHOOSE(CONTROL!$C$27, 0.0021, 0)</f>
        <v>58.159399999999998</v>
      </c>
      <c r="D596" s="10">
        <f>58.1573 * CHOOSE(CONTROL!$C$9, $D$9, 100%, $F$9) + CHOOSE(CONTROL!$C$27, 0.0021, 0)</f>
        <v>58.159399999999998</v>
      </c>
      <c r="E596" s="10">
        <f>58.0206 * CHOOSE(CONTROL!$C$9, $D$9, 100%, $F$9) + CHOOSE(CONTROL!$C$27, 0.0021, 0)</f>
        <v>58.0227</v>
      </c>
      <c r="F596" s="10">
        <f>58.0206 * CHOOSE(CONTROL!$C$9, $D$9, 100%, $F$9) + CHOOSE(CONTROL!$C$27, 0.0021, 0)</f>
        <v>58.0227</v>
      </c>
      <c r="G596" s="10">
        <f>58.292 * CHOOSE(CONTROL!$C$9, $D$9, 100%, $F$9) + CHOOSE(CONTROL!$C$27, 0.0021, 0)</f>
        <v>58.2941</v>
      </c>
      <c r="H596" s="10">
        <f>58.1573 * CHOOSE(CONTROL!$C$9, $D$9, 100%, $F$9) + CHOOSE(CONTROL!$C$27, 0.0021, 0)</f>
        <v>58.159399999999998</v>
      </c>
      <c r="I596" s="10">
        <f>58.1573 * CHOOSE(CONTROL!$C$9, $D$9, 100%, $F$9) + CHOOSE(CONTROL!$C$27, 0.0021, 0)</f>
        <v>58.159399999999998</v>
      </c>
      <c r="J596" s="10">
        <f>58.1573 * CHOOSE(CONTROL!$C$9, $D$9, 100%, $F$9) + CHOOSE(CONTROL!$C$27, 0.0021, 0)</f>
        <v>58.159399999999998</v>
      </c>
      <c r="K596" s="10">
        <f>58.1573 * CHOOSE(CONTROL!$C$9, $D$9, 100%, $F$9) + CHOOSE(CONTROL!$C$27, 0.0021, 0)</f>
        <v>58.159399999999998</v>
      </c>
      <c r="L596" s="10"/>
    </row>
    <row r="597" spans="1:12" ht="15.75" x14ac:dyDescent="0.25">
      <c r="A597" s="13">
        <v>59475</v>
      </c>
      <c r="B597" s="10">
        <f>60.0098 * CHOOSE(CONTROL!$C$9, $D$9, 100%, $F$9) + CHOOSE(CONTROL!$C$27, 0.0021, 0)</f>
        <v>60.011899999999997</v>
      </c>
      <c r="C597" s="10">
        <f>59.5775 * CHOOSE(CONTROL!$C$9, $D$9, 100%, $F$9) + CHOOSE(CONTROL!$C$27, 0.0021, 0)</f>
        <v>59.579599999999999</v>
      </c>
      <c r="D597" s="10">
        <f>59.5775 * CHOOSE(CONTROL!$C$9, $D$9, 100%, $F$9) + CHOOSE(CONTROL!$C$27, 0.0021, 0)</f>
        <v>59.579599999999999</v>
      </c>
      <c r="E597" s="10">
        <f>59.4409 * CHOOSE(CONTROL!$C$9, $D$9, 100%, $F$9) + CHOOSE(CONTROL!$C$27, 0.0021, 0)</f>
        <v>59.442999999999998</v>
      </c>
      <c r="F597" s="10">
        <f>59.4409 * CHOOSE(CONTROL!$C$9, $D$9, 100%, $F$9) + CHOOSE(CONTROL!$C$27, 0.0021, 0)</f>
        <v>59.442999999999998</v>
      </c>
      <c r="G597" s="10">
        <f>59.7122 * CHOOSE(CONTROL!$C$9, $D$9, 100%, $F$9) + CHOOSE(CONTROL!$C$27, 0.0021, 0)</f>
        <v>59.714300000000001</v>
      </c>
      <c r="H597" s="10">
        <f>59.5775 * CHOOSE(CONTROL!$C$9, $D$9, 100%, $F$9) + CHOOSE(CONTROL!$C$27, 0.0021, 0)</f>
        <v>59.579599999999999</v>
      </c>
      <c r="I597" s="10">
        <f>59.5775 * CHOOSE(CONTROL!$C$9, $D$9, 100%, $F$9) + CHOOSE(CONTROL!$C$27, 0.0021, 0)</f>
        <v>59.579599999999999</v>
      </c>
      <c r="J597" s="10">
        <f>59.5775 * CHOOSE(CONTROL!$C$9, $D$9, 100%, $F$9) + CHOOSE(CONTROL!$C$27, 0.0021, 0)</f>
        <v>59.579599999999999</v>
      </c>
      <c r="K597" s="10">
        <f>59.5775 * CHOOSE(CONTROL!$C$9, $D$9, 100%, $F$9) + CHOOSE(CONTROL!$C$27, 0.0021, 0)</f>
        <v>59.579599999999999</v>
      </c>
      <c r="L597" s="10"/>
    </row>
    <row r="598" spans="1:12" ht="15.75" x14ac:dyDescent="0.25">
      <c r="A598" s="13">
        <v>59505</v>
      </c>
      <c r="B598" s="10">
        <f>60.1431 * CHOOSE(CONTROL!$C$9, $D$9, 100%, $F$9) + CHOOSE(CONTROL!$C$27, 0.0021, 0)</f>
        <v>60.145199999999996</v>
      </c>
      <c r="C598" s="10">
        <f>59.7108 * CHOOSE(CONTROL!$C$9, $D$9, 100%, $F$9) + CHOOSE(CONTROL!$C$27, 0.0021, 0)</f>
        <v>59.712899999999998</v>
      </c>
      <c r="D598" s="10">
        <f>59.7108 * CHOOSE(CONTROL!$C$9, $D$9, 100%, $F$9) + CHOOSE(CONTROL!$C$27, 0.0021, 0)</f>
        <v>59.712899999999998</v>
      </c>
      <c r="E598" s="10">
        <f>59.5742 * CHOOSE(CONTROL!$C$9, $D$9, 100%, $F$9) + CHOOSE(CONTROL!$C$27, 0.0021, 0)</f>
        <v>59.576299999999996</v>
      </c>
      <c r="F598" s="10">
        <f>59.5742 * CHOOSE(CONTROL!$C$9, $D$9, 100%, $F$9) + CHOOSE(CONTROL!$C$27, 0.0021, 0)</f>
        <v>59.576299999999996</v>
      </c>
      <c r="G598" s="10">
        <f>59.8456 * CHOOSE(CONTROL!$C$9, $D$9, 100%, $F$9) + CHOOSE(CONTROL!$C$27, 0.0021, 0)</f>
        <v>59.847699999999996</v>
      </c>
      <c r="H598" s="10">
        <f>59.7108 * CHOOSE(CONTROL!$C$9, $D$9, 100%, $F$9) + CHOOSE(CONTROL!$C$27, 0.0021, 0)</f>
        <v>59.712899999999998</v>
      </c>
      <c r="I598" s="10">
        <f>59.7108 * CHOOSE(CONTROL!$C$9, $D$9, 100%, $F$9) + CHOOSE(CONTROL!$C$27, 0.0021, 0)</f>
        <v>59.712899999999998</v>
      </c>
      <c r="J598" s="10">
        <f>59.7108 * CHOOSE(CONTROL!$C$9, $D$9, 100%, $F$9) + CHOOSE(CONTROL!$C$27, 0.0021, 0)</f>
        <v>59.712899999999998</v>
      </c>
      <c r="K598" s="10">
        <f>59.7108 * CHOOSE(CONTROL!$C$9, $D$9, 100%, $F$9) + CHOOSE(CONTROL!$C$27, 0.0021, 0)</f>
        <v>59.712899999999998</v>
      </c>
      <c r="L598" s="10"/>
    </row>
    <row r="599" spans="1:12" ht="15.75" x14ac:dyDescent="0.25">
      <c r="A599" s="13">
        <v>59536</v>
      </c>
      <c r="B599" s="10">
        <f>59.0088 * CHOOSE(CONTROL!$C$9, $D$9, 100%, $F$9) + CHOOSE(CONTROL!$C$27, 0.0021, 0)</f>
        <v>59.010899999999999</v>
      </c>
      <c r="C599" s="10">
        <f>58.5765 * CHOOSE(CONTROL!$C$9, $D$9, 100%, $F$9) + CHOOSE(CONTROL!$C$27, 0.0021, 0)</f>
        <v>58.578600000000002</v>
      </c>
      <c r="D599" s="10">
        <f>58.5765 * CHOOSE(CONTROL!$C$9, $D$9, 100%, $F$9) + CHOOSE(CONTROL!$C$27, 0.0021, 0)</f>
        <v>58.578600000000002</v>
      </c>
      <c r="E599" s="10">
        <f>58.4399 * CHOOSE(CONTROL!$C$9, $D$9, 100%, $F$9) + CHOOSE(CONTROL!$C$27, 0.0021, 0)</f>
        <v>58.442</v>
      </c>
      <c r="F599" s="10">
        <f>58.4399 * CHOOSE(CONTROL!$C$9, $D$9, 100%, $F$9) + CHOOSE(CONTROL!$C$27, 0.0021, 0)</f>
        <v>58.442</v>
      </c>
      <c r="G599" s="10">
        <f>58.7112 * CHOOSE(CONTROL!$C$9, $D$9, 100%, $F$9) + CHOOSE(CONTROL!$C$27, 0.0021, 0)</f>
        <v>58.713299999999997</v>
      </c>
      <c r="H599" s="10">
        <f>58.5765 * CHOOSE(CONTROL!$C$9, $D$9, 100%, $F$9) + CHOOSE(CONTROL!$C$27, 0.0021, 0)</f>
        <v>58.578600000000002</v>
      </c>
      <c r="I599" s="10">
        <f>58.5765 * CHOOSE(CONTROL!$C$9, $D$9, 100%, $F$9) + CHOOSE(CONTROL!$C$27, 0.0021, 0)</f>
        <v>58.578600000000002</v>
      </c>
      <c r="J599" s="10">
        <f>58.5765 * CHOOSE(CONTROL!$C$9, $D$9, 100%, $F$9) + CHOOSE(CONTROL!$C$27, 0.0021, 0)</f>
        <v>58.578600000000002</v>
      </c>
      <c r="K599" s="10">
        <f>58.5765 * CHOOSE(CONTROL!$C$9, $D$9, 100%, $F$9) + CHOOSE(CONTROL!$C$27, 0.0021, 0)</f>
        <v>58.578600000000002</v>
      </c>
      <c r="L599" s="10"/>
    </row>
    <row r="600" spans="1:12" ht="15.75" x14ac:dyDescent="0.25">
      <c r="A600" s="13">
        <v>59567</v>
      </c>
      <c r="B600" s="10">
        <f>58.1403 * CHOOSE(CONTROL!$C$9, $D$9, 100%, $F$9) + CHOOSE(CONTROL!$C$27, 0.0021, 0)</f>
        <v>58.142400000000002</v>
      </c>
      <c r="C600" s="10">
        <f>57.7081 * CHOOSE(CONTROL!$C$9, $D$9, 100%, $F$9) + CHOOSE(CONTROL!$C$27, 0.0021, 0)</f>
        <v>57.7102</v>
      </c>
      <c r="D600" s="10">
        <f>57.7081 * CHOOSE(CONTROL!$C$9, $D$9, 100%, $F$9) + CHOOSE(CONTROL!$C$27, 0.0021, 0)</f>
        <v>57.7102</v>
      </c>
      <c r="E600" s="10">
        <f>57.5714 * CHOOSE(CONTROL!$C$9, $D$9, 100%, $F$9) + CHOOSE(CONTROL!$C$27, 0.0021, 0)</f>
        <v>57.573499999999996</v>
      </c>
      <c r="F600" s="10">
        <f>57.5714 * CHOOSE(CONTROL!$C$9, $D$9, 100%, $F$9) + CHOOSE(CONTROL!$C$27, 0.0021, 0)</f>
        <v>57.573499999999996</v>
      </c>
      <c r="G600" s="10">
        <f>57.8428 * CHOOSE(CONTROL!$C$9, $D$9, 100%, $F$9) + CHOOSE(CONTROL!$C$27, 0.0021, 0)</f>
        <v>57.844899999999996</v>
      </c>
      <c r="H600" s="10">
        <f>57.7081 * CHOOSE(CONTROL!$C$9, $D$9, 100%, $F$9) + CHOOSE(CONTROL!$C$27, 0.0021, 0)</f>
        <v>57.7102</v>
      </c>
      <c r="I600" s="10">
        <f>57.7081 * CHOOSE(CONTROL!$C$9, $D$9, 100%, $F$9) + CHOOSE(CONTROL!$C$27, 0.0021, 0)</f>
        <v>57.7102</v>
      </c>
      <c r="J600" s="10">
        <f>57.7081 * CHOOSE(CONTROL!$C$9, $D$9, 100%, $F$9) + CHOOSE(CONTROL!$C$27, 0.0021, 0)</f>
        <v>57.7102</v>
      </c>
      <c r="K600" s="10">
        <f>57.7081 * CHOOSE(CONTROL!$C$9, $D$9, 100%, $F$9) + CHOOSE(CONTROL!$C$27, 0.0021, 0)</f>
        <v>57.7102</v>
      </c>
      <c r="L600" s="10"/>
    </row>
    <row r="601" spans="1:12" ht="15.75" x14ac:dyDescent="0.25">
      <c r="A601" s="13">
        <v>59595</v>
      </c>
      <c r="B601" s="10">
        <f>56.5606 * CHOOSE(CONTROL!$C$9, $D$9, 100%, $F$9) + CHOOSE(CONTROL!$C$27, 0.0021, 0)</f>
        <v>56.5627</v>
      </c>
      <c r="C601" s="10">
        <f>56.1284 * CHOOSE(CONTROL!$C$9, $D$9, 100%, $F$9) + CHOOSE(CONTROL!$C$27, 0.0021, 0)</f>
        <v>56.130499999999998</v>
      </c>
      <c r="D601" s="10">
        <f>56.1284 * CHOOSE(CONTROL!$C$9, $D$9, 100%, $F$9) + CHOOSE(CONTROL!$C$27, 0.0021, 0)</f>
        <v>56.130499999999998</v>
      </c>
      <c r="E601" s="10">
        <f>55.9917 * CHOOSE(CONTROL!$C$9, $D$9, 100%, $F$9) + CHOOSE(CONTROL!$C$27, 0.0021, 0)</f>
        <v>55.9938</v>
      </c>
      <c r="F601" s="10">
        <f>55.9917 * CHOOSE(CONTROL!$C$9, $D$9, 100%, $F$9) + CHOOSE(CONTROL!$C$27, 0.0021, 0)</f>
        <v>55.9938</v>
      </c>
      <c r="G601" s="10">
        <f>56.2631 * CHOOSE(CONTROL!$C$9, $D$9, 100%, $F$9) + CHOOSE(CONTROL!$C$27, 0.0021, 0)</f>
        <v>56.2652</v>
      </c>
      <c r="H601" s="10">
        <f>56.1284 * CHOOSE(CONTROL!$C$9, $D$9, 100%, $F$9) + CHOOSE(CONTROL!$C$27, 0.0021, 0)</f>
        <v>56.130499999999998</v>
      </c>
      <c r="I601" s="10">
        <f>56.1284 * CHOOSE(CONTROL!$C$9, $D$9, 100%, $F$9) + CHOOSE(CONTROL!$C$27, 0.0021, 0)</f>
        <v>56.130499999999998</v>
      </c>
      <c r="J601" s="10">
        <f>56.1284 * CHOOSE(CONTROL!$C$9, $D$9, 100%, $F$9) + CHOOSE(CONTROL!$C$27, 0.0021, 0)</f>
        <v>56.130499999999998</v>
      </c>
      <c r="K601" s="10">
        <f>56.1284 * CHOOSE(CONTROL!$C$9, $D$9, 100%, $F$9) + CHOOSE(CONTROL!$C$27, 0.0021, 0)</f>
        <v>56.130499999999998</v>
      </c>
      <c r="L601" s="10"/>
    </row>
    <row r="602" spans="1:12" ht="15.75" x14ac:dyDescent="0.25">
      <c r="A602" s="13">
        <v>59626</v>
      </c>
      <c r="B602" s="10">
        <f>55.9085 * CHOOSE(CONTROL!$C$9, $D$9, 100%, $F$9) + CHOOSE(CONTROL!$C$27, 0.0021, 0)</f>
        <v>55.910599999999995</v>
      </c>
      <c r="C602" s="10">
        <f>55.4763 * CHOOSE(CONTROL!$C$9, $D$9, 100%, $F$9) + CHOOSE(CONTROL!$C$27, 0.0021, 0)</f>
        <v>55.478400000000001</v>
      </c>
      <c r="D602" s="10">
        <f>55.4763 * CHOOSE(CONTROL!$C$9, $D$9, 100%, $F$9) + CHOOSE(CONTROL!$C$27, 0.0021, 0)</f>
        <v>55.478400000000001</v>
      </c>
      <c r="E602" s="10">
        <f>55.3396 * CHOOSE(CONTROL!$C$9, $D$9, 100%, $F$9) + CHOOSE(CONTROL!$C$27, 0.0021, 0)</f>
        <v>55.341699999999996</v>
      </c>
      <c r="F602" s="10">
        <f>55.3396 * CHOOSE(CONTROL!$C$9, $D$9, 100%, $F$9) + CHOOSE(CONTROL!$C$27, 0.0021, 0)</f>
        <v>55.341699999999996</v>
      </c>
      <c r="G602" s="10">
        <f>55.611 * CHOOSE(CONTROL!$C$9, $D$9, 100%, $F$9) + CHOOSE(CONTROL!$C$27, 0.0021, 0)</f>
        <v>55.613099999999996</v>
      </c>
      <c r="H602" s="10">
        <f>55.4763 * CHOOSE(CONTROL!$C$9, $D$9, 100%, $F$9) + CHOOSE(CONTROL!$C$27, 0.0021, 0)</f>
        <v>55.478400000000001</v>
      </c>
      <c r="I602" s="10">
        <f>55.4763 * CHOOSE(CONTROL!$C$9, $D$9, 100%, $F$9) + CHOOSE(CONTROL!$C$27, 0.0021, 0)</f>
        <v>55.478400000000001</v>
      </c>
      <c r="J602" s="10">
        <f>55.4763 * CHOOSE(CONTROL!$C$9, $D$9, 100%, $F$9) + CHOOSE(CONTROL!$C$27, 0.0021, 0)</f>
        <v>55.478400000000001</v>
      </c>
      <c r="K602" s="10">
        <f>55.4763 * CHOOSE(CONTROL!$C$9, $D$9, 100%, $F$9) + CHOOSE(CONTROL!$C$27, 0.0021, 0)</f>
        <v>55.478400000000001</v>
      </c>
      <c r="L602" s="10"/>
    </row>
    <row r="603" spans="1:12" ht="15.75" x14ac:dyDescent="0.25">
      <c r="A603" s="13">
        <v>59656</v>
      </c>
      <c r="B603" s="10">
        <f>55.1299 * CHOOSE(CONTROL!$C$9, $D$9, 100%, $F$9) + CHOOSE(CONTROL!$C$27, 0.0021, 0)</f>
        <v>55.131999999999998</v>
      </c>
      <c r="C603" s="10">
        <f>54.6977 * CHOOSE(CONTROL!$C$9, $D$9, 100%, $F$9) + CHOOSE(CONTROL!$C$27, 0.0021, 0)</f>
        <v>54.699799999999996</v>
      </c>
      <c r="D603" s="10">
        <f>54.6977 * CHOOSE(CONTROL!$C$9, $D$9, 100%, $F$9) + CHOOSE(CONTROL!$C$27, 0.0021, 0)</f>
        <v>54.699799999999996</v>
      </c>
      <c r="E603" s="10">
        <f>54.561 * CHOOSE(CONTROL!$C$9, $D$9, 100%, $F$9) + CHOOSE(CONTROL!$C$27, 0.0021, 0)</f>
        <v>54.563099999999999</v>
      </c>
      <c r="F603" s="10">
        <f>54.561 * CHOOSE(CONTROL!$C$9, $D$9, 100%, $F$9) + CHOOSE(CONTROL!$C$27, 0.0021, 0)</f>
        <v>54.563099999999999</v>
      </c>
      <c r="G603" s="10">
        <f>54.8324 * CHOOSE(CONTROL!$C$9, $D$9, 100%, $F$9) + CHOOSE(CONTROL!$C$27, 0.0021, 0)</f>
        <v>54.834499999999998</v>
      </c>
      <c r="H603" s="10">
        <f>54.6977 * CHOOSE(CONTROL!$C$9, $D$9, 100%, $F$9) + CHOOSE(CONTROL!$C$27, 0.0021, 0)</f>
        <v>54.699799999999996</v>
      </c>
      <c r="I603" s="10">
        <f>54.6977 * CHOOSE(CONTROL!$C$9, $D$9, 100%, $F$9) + CHOOSE(CONTROL!$C$27, 0.0021, 0)</f>
        <v>54.699799999999996</v>
      </c>
      <c r="J603" s="10">
        <f>54.6977 * CHOOSE(CONTROL!$C$9, $D$9, 100%, $F$9) + CHOOSE(CONTROL!$C$27, 0.0021, 0)</f>
        <v>54.699799999999996</v>
      </c>
      <c r="K603" s="10">
        <f>54.6977 * CHOOSE(CONTROL!$C$9, $D$9, 100%, $F$9) + CHOOSE(CONTROL!$C$27, 0.0021, 0)</f>
        <v>54.699799999999996</v>
      </c>
      <c r="L603" s="10"/>
    </row>
    <row r="604" spans="1:12" ht="15.75" x14ac:dyDescent="0.25">
      <c r="A604" s="13">
        <v>59687</v>
      </c>
      <c r="B604" s="10">
        <f>56.2395 * CHOOSE(CONTROL!$C$9, $D$9, 100%, $F$9) + CHOOSE(CONTROL!$C$27, 0.0021, 0)</f>
        <v>56.241599999999998</v>
      </c>
      <c r="C604" s="10">
        <f>55.8073 * CHOOSE(CONTROL!$C$9, $D$9, 100%, $F$9) + CHOOSE(CONTROL!$C$27, 0.0021, 0)</f>
        <v>55.809399999999997</v>
      </c>
      <c r="D604" s="10">
        <f>55.8073 * CHOOSE(CONTROL!$C$9, $D$9, 100%, $F$9) + CHOOSE(CONTROL!$C$27, 0.0021, 0)</f>
        <v>55.809399999999997</v>
      </c>
      <c r="E604" s="10">
        <f>55.6706 * CHOOSE(CONTROL!$C$9, $D$9, 100%, $F$9) + CHOOSE(CONTROL!$C$27, 0.0021, 0)</f>
        <v>55.672699999999999</v>
      </c>
      <c r="F604" s="10">
        <f>55.6706 * CHOOSE(CONTROL!$C$9, $D$9, 100%, $F$9) + CHOOSE(CONTROL!$C$27, 0.0021, 0)</f>
        <v>55.672699999999999</v>
      </c>
      <c r="G604" s="10">
        <f>55.942 * CHOOSE(CONTROL!$C$9, $D$9, 100%, $F$9) + CHOOSE(CONTROL!$C$27, 0.0021, 0)</f>
        <v>55.944099999999999</v>
      </c>
      <c r="H604" s="10">
        <f>55.8073 * CHOOSE(CONTROL!$C$9, $D$9, 100%, $F$9) + CHOOSE(CONTROL!$C$27, 0.0021, 0)</f>
        <v>55.809399999999997</v>
      </c>
      <c r="I604" s="10">
        <f>55.8073 * CHOOSE(CONTROL!$C$9, $D$9, 100%, $F$9) + CHOOSE(CONTROL!$C$27, 0.0021, 0)</f>
        <v>55.809399999999997</v>
      </c>
      <c r="J604" s="10">
        <f>55.8073 * CHOOSE(CONTROL!$C$9, $D$9, 100%, $F$9) + CHOOSE(CONTROL!$C$27, 0.0021, 0)</f>
        <v>55.809399999999997</v>
      </c>
      <c r="K604" s="10">
        <f>55.8073 * CHOOSE(CONTROL!$C$9, $D$9, 100%, $F$9) + CHOOSE(CONTROL!$C$27, 0.0021, 0)</f>
        <v>55.809399999999997</v>
      </c>
      <c r="L604" s="10"/>
    </row>
    <row r="605" spans="1:12" ht="15.75" x14ac:dyDescent="0.25">
      <c r="A605" s="13">
        <v>59717</v>
      </c>
      <c r="B605" s="10">
        <f>56.9041 * CHOOSE(CONTROL!$C$9, $D$9, 100%, $F$9) + CHOOSE(CONTROL!$C$27, 0.0021, 0)</f>
        <v>56.906199999999998</v>
      </c>
      <c r="C605" s="10">
        <f>56.4719 * CHOOSE(CONTROL!$C$9, $D$9, 100%, $F$9) + CHOOSE(CONTROL!$C$27, 0.0021, 0)</f>
        <v>56.473999999999997</v>
      </c>
      <c r="D605" s="10">
        <f>56.4719 * CHOOSE(CONTROL!$C$9, $D$9, 100%, $F$9) + CHOOSE(CONTROL!$C$27, 0.0021, 0)</f>
        <v>56.473999999999997</v>
      </c>
      <c r="E605" s="10">
        <f>56.3352 * CHOOSE(CONTROL!$C$9, $D$9, 100%, $F$9) + CHOOSE(CONTROL!$C$27, 0.0021, 0)</f>
        <v>56.337299999999999</v>
      </c>
      <c r="F605" s="10">
        <f>56.3352 * CHOOSE(CONTROL!$C$9, $D$9, 100%, $F$9) + CHOOSE(CONTROL!$C$27, 0.0021, 0)</f>
        <v>56.337299999999999</v>
      </c>
      <c r="G605" s="10">
        <f>56.6066 * CHOOSE(CONTROL!$C$9, $D$9, 100%, $F$9) + CHOOSE(CONTROL!$C$27, 0.0021, 0)</f>
        <v>56.608699999999999</v>
      </c>
      <c r="H605" s="10">
        <f>56.4719 * CHOOSE(CONTROL!$C$9, $D$9, 100%, $F$9) + CHOOSE(CONTROL!$C$27, 0.0021, 0)</f>
        <v>56.473999999999997</v>
      </c>
      <c r="I605" s="10">
        <f>56.4719 * CHOOSE(CONTROL!$C$9, $D$9, 100%, $F$9) + CHOOSE(CONTROL!$C$27, 0.0021, 0)</f>
        <v>56.473999999999997</v>
      </c>
      <c r="J605" s="10">
        <f>56.4719 * CHOOSE(CONTROL!$C$9, $D$9, 100%, $F$9) + CHOOSE(CONTROL!$C$27, 0.0021, 0)</f>
        <v>56.473999999999997</v>
      </c>
      <c r="K605" s="10">
        <f>56.4719 * CHOOSE(CONTROL!$C$9, $D$9, 100%, $F$9) + CHOOSE(CONTROL!$C$27, 0.0021, 0)</f>
        <v>56.473999999999997</v>
      </c>
      <c r="L605" s="10"/>
    </row>
    <row r="606" spans="1:12" ht="15.75" x14ac:dyDescent="0.25">
      <c r="A606" s="13">
        <v>59748</v>
      </c>
      <c r="B606" s="10">
        <f>58.0005 * CHOOSE(CONTROL!$C$9, $D$9, 100%, $F$9) + CHOOSE(CONTROL!$C$27, 0.0021, 0)</f>
        <v>58.002600000000001</v>
      </c>
      <c r="C606" s="10">
        <f>57.5683 * CHOOSE(CONTROL!$C$9, $D$9, 100%, $F$9) + CHOOSE(CONTROL!$C$27, 0.0021, 0)</f>
        <v>57.570399999999999</v>
      </c>
      <c r="D606" s="10">
        <f>57.5683 * CHOOSE(CONTROL!$C$9, $D$9, 100%, $F$9) + CHOOSE(CONTROL!$C$27, 0.0021, 0)</f>
        <v>57.570399999999999</v>
      </c>
      <c r="E606" s="10">
        <f>57.4316 * CHOOSE(CONTROL!$C$9, $D$9, 100%, $F$9) + CHOOSE(CONTROL!$C$27, 0.0021, 0)</f>
        <v>57.433700000000002</v>
      </c>
      <c r="F606" s="10">
        <f>57.4316 * CHOOSE(CONTROL!$C$9, $D$9, 100%, $F$9) + CHOOSE(CONTROL!$C$27, 0.0021, 0)</f>
        <v>57.433700000000002</v>
      </c>
      <c r="G606" s="10">
        <f>57.703 * CHOOSE(CONTROL!$C$9, $D$9, 100%, $F$9) + CHOOSE(CONTROL!$C$27, 0.0021, 0)</f>
        <v>57.705100000000002</v>
      </c>
      <c r="H606" s="10">
        <f>57.5683 * CHOOSE(CONTROL!$C$9, $D$9, 100%, $F$9) + CHOOSE(CONTROL!$C$27, 0.0021, 0)</f>
        <v>57.570399999999999</v>
      </c>
      <c r="I606" s="10">
        <f>57.5683 * CHOOSE(CONTROL!$C$9, $D$9, 100%, $F$9) + CHOOSE(CONTROL!$C$27, 0.0021, 0)</f>
        <v>57.570399999999999</v>
      </c>
      <c r="J606" s="10">
        <f>57.5683 * CHOOSE(CONTROL!$C$9, $D$9, 100%, $F$9) + CHOOSE(CONTROL!$C$27, 0.0021, 0)</f>
        <v>57.570399999999999</v>
      </c>
      <c r="K606" s="10">
        <f>57.5683 * CHOOSE(CONTROL!$C$9, $D$9, 100%, $F$9) + CHOOSE(CONTROL!$C$27, 0.0021, 0)</f>
        <v>57.570399999999999</v>
      </c>
      <c r="L606" s="10"/>
    </row>
    <row r="607" spans="1:12" ht="15.75" x14ac:dyDescent="0.25">
      <c r="A607" s="13">
        <v>59779</v>
      </c>
      <c r="B607" s="10">
        <f>58.3352 * CHOOSE(CONTROL!$C$9, $D$9, 100%, $F$9) + CHOOSE(CONTROL!$C$27, 0.0021, 0)</f>
        <v>58.337299999999999</v>
      </c>
      <c r="C607" s="10">
        <f>57.9029 * CHOOSE(CONTROL!$C$9, $D$9, 100%, $F$9) + CHOOSE(CONTROL!$C$27, 0.0021, 0)</f>
        <v>57.905000000000001</v>
      </c>
      <c r="D607" s="10">
        <f>57.9029 * CHOOSE(CONTROL!$C$9, $D$9, 100%, $F$9) + CHOOSE(CONTROL!$C$27, 0.0021, 0)</f>
        <v>57.905000000000001</v>
      </c>
      <c r="E607" s="10">
        <f>57.7663 * CHOOSE(CONTROL!$C$9, $D$9, 100%, $F$9) + CHOOSE(CONTROL!$C$27, 0.0021, 0)</f>
        <v>57.7684</v>
      </c>
      <c r="F607" s="10">
        <f>57.7663 * CHOOSE(CONTROL!$C$9, $D$9, 100%, $F$9) + CHOOSE(CONTROL!$C$27, 0.0021, 0)</f>
        <v>57.7684</v>
      </c>
      <c r="G607" s="10">
        <f>58.0376 * CHOOSE(CONTROL!$C$9, $D$9, 100%, $F$9) + CHOOSE(CONTROL!$C$27, 0.0021, 0)</f>
        <v>58.039699999999996</v>
      </c>
      <c r="H607" s="10">
        <f>57.9029 * CHOOSE(CONTROL!$C$9, $D$9, 100%, $F$9) + CHOOSE(CONTROL!$C$27, 0.0021, 0)</f>
        <v>57.905000000000001</v>
      </c>
      <c r="I607" s="10">
        <f>57.9029 * CHOOSE(CONTROL!$C$9, $D$9, 100%, $F$9) + CHOOSE(CONTROL!$C$27, 0.0021, 0)</f>
        <v>57.905000000000001</v>
      </c>
      <c r="J607" s="10">
        <f>57.9029 * CHOOSE(CONTROL!$C$9, $D$9, 100%, $F$9) + CHOOSE(CONTROL!$C$27, 0.0021, 0)</f>
        <v>57.905000000000001</v>
      </c>
      <c r="K607" s="10">
        <f>57.9029 * CHOOSE(CONTROL!$C$9, $D$9, 100%, $F$9) + CHOOSE(CONTROL!$C$27, 0.0021, 0)</f>
        <v>57.905000000000001</v>
      </c>
      <c r="L607" s="10"/>
    </row>
    <row r="608" spans="1:12" ht="15.75" x14ac:dyDescent="0.25">
      <c r="A608" s="13">
        <v>59809</v>
      </c>
      <c r="B608" s="10">
        <f>59.4748 * CHOOSE(CONTROL!$C$9, $D$9, 100%, $F$9) + CHOOSE(CONTROL!$C$27, 0.0021, 0)</f>
        <v>59.476900000000001</v>
      </c>
      <c r="C608" s="10">
        <f>59.0425 * CHOOSE(CONTROL!$C$9, $D$9, 100%, $F$9) + CHOOSE(CONTROL!$C$27, 0.0021, 0)</f>
        <v>59.044599999999996</v>
      </c>
      <c r="D608" s="10">
        <f>59.0425 * CHOOSE(CONTROL!$C$9, $D$9, 100%, $F$9) + CHOOSE(CONTROL!$C$27, 0.0021, 0)</f>
        <v>59.044599999999996</v>
      </c>
      <c r="E608" s="10">
        <f>58.9059 * CHOOSE(CONTROL!$C$9, $D$9, 100%, $F$9) + CHOOSE(CONTROL!$C$27, 0.0021, 0)</f>
        <v>58.908000000000001</v>
      </c>
      <c r="F608" s="10">
        <f>58.9059 * CHOOSE(CONTROL!$C$9, $D$9, 100%, $F$9) + CHOOSE(CONTROL!$C$27, 0.0021, 0)</f>
        <v>58.908000000000001</v>
      </c>
      <c r="G608" s="10">
        <f>59.1773 * CHOOSE(CONTROL!$C$9, $D$9, 100%, $F$9) + CHOOSE(CONTROL!$C$27, 0.0021, 0)</f>
        <v>59.179400000000001</v>
      </c>
      <c r="H608" s="10">
        <f>59.0425 * CHOOSE(CONTROL!$C$9, $D$9, 100%, $F$9) + CHOOSE(CONTROL!$C$27, 0.0021, 0)</f>
        <v>59.044599999999996</v>
      </c>
      <c r="I608" s="10">
        <f>59.0425 * CHOOSE(CONTROL!$C$9, $D$9, 100%, $F$9) + CHOOSE(CONTROL!$C$27, 0.0021, 0)</f>
        <v>59.044599999999996</v>
      </c>
      <c r="J608" s="10">
        <f>59.0425 * CHOOSE(CONTROL!$C$9, $D$9, 100%, $F$9) + CHOOSE(CONTROL!$C$27, 0.0021, 0)</f>
        <v>59.044599999999996</v>
      </c>
      <c r="K608" s="10">
        <f>59.0425 * CHOOSE(CONTROL!$C$9, $D$9, 100%, $F$9) + CHOOSE(CONTROL!$C$27, 0.0021, 0)</f>
        <v>59.044599999999996</v>
      </c>
      <c r="L608" s="10"/>
    </row>
    <row r="609" spans="1:12" ht="15.75" x14ac:dyDescent="0.25">
      <c r="A609" s="13">
        <v>59840</v>
      </c>
      <c r="B609" s="10">
        <f>60.9174 * CHOOSE(CONTROL!$C$9, $D$9, 100%, $F$9) + CHOOSE(CONTROL!$C$27, 0.0021, 0)</f>
        <v>60.919499999999999</v>
      </c>
      <c r="C609" s="10">
        <f>60.4851 * CHOOSE(CONTROL!$C$9, $D$9, 100%, $F$9) + CHOOSE(CONTROL!$C$27, 0.0021, 0)</f>
        <v>60.487200000000001</v>
      </c>
      <c r="D609" s="10">
        <f>60.4851 * CHOOSE(CONTROL!$C$9, $D$9, 100%, $F$9) + CHOOSE(CONTROL!$C$27, 0.0021, 0)</f>
        <v>60.487200000000001</v>
      </c>
      <c r="E609" s="10">
        <f>60.3485 * CHOOSE(CONTROL!$C$9, $D$9, 100%, $F$9) + CHOOSE(CONTROL!$C$27, 0.0021, 0)</f>
        <v>60.3506</v>
      </c>
      <c r="F609" s="10">
        <f>60.3485 * CHOOSE(CONTROL!$C$9, $D$9, 100%, $F$9) + CHOOSE(CONTROL!$C$27, 0.0021, 0)</f>
        <v>60.3506</v>
      </c>
      <c r="G609" s="10">
        <f>60.6198 * CHOOSE(CONTROL!$C$9, $D$9, 100%, $F$9) + CHOOSE(CONTROL!$C$27, 0.0021, 0)</f>
        <v>60.621899999999997</v>
      </c>
      <c r="H609" s="10">
        <f>60.4851 * CHOOSE(CONTROL!$C$9, $D$9, 100%, $F$9) + CHOOSE(CONTROL!$C$27, 0.0021, 0)</f>
        <v>60.487200000000001</v>
      </c>
      <c r="I609" s="10">
        <f>60.4851 * CHOOSE(CONTROL!$C$9, $D$9, 100%, $F$9) + CHOOSE(CONTROL!$C$27, 0.0021, 0)</f>
        <v>60.487200000000001</v>
      </c>
      <c r="J609" s="10">
        <f>60.4851 * CHOOSE(CONTROL!$C$9, $D$9, 100%, $F$9) + CHOOSE(CONTROL!$C$27, 0.0021, 0)</f>
        <v>60.487200000000001</v>
      </c>
      <c r="K609" s="10">
        <f>60.4851 * CHOOSE(CONTROL!$C$9, $D$9, 100%, $F$9) + CHOOSE(CONTROL!$C$27, 0.0021, 0)</f>
        <v>60.487200000000001</v>
      </c>
      <c r="L609" s="10"/>
    </row>
    <row r="610" spans="1:12" ht="15.75" x14ac:dyDescent="0.25">
      <c r="A610" s="13">
        <v>59870</v>
      </c>
      <c r="B610" s="10">
        <f>61.0528 * CHOOSE(CONTROL!$C$9, $D$9, 100%, $F$9) + CHOOSE(CONTROL!$C$27, 0.0021, 0)</f>
        <v>61.054899999999996</v>
      </c>
      <c r="C610" s="10">
        <f>60.6205 * CHOOSE(CONTROL!$C$9, $D$9, 100%, $F$9) + CHOOSE(CONTROL!$C$27, 0.0021, 0)</f>
        <v>60.622599999999998</v>
      </c>
      <c r="D610" s="10">
        <f>60.6205 * CHOOSE(CONTROL!$C$9, $D$9, 100%, $F$9) + CHOOSE(CONTROL!$C$27, 0.0021, 0)</f>
        <v>60.622599999999998</v>
      </c>
      <c r="E610" s="10">
        <f>60.4839 * CHOOSE(CONTROL!$C$9, $D$9, 100%, $F$9) + CHOOSE(CONTROL!$C$27, 0.0021, 0)</f>
        <v>60.485999999999997</v>
      </c>
      <c r="F610" s="10">
        <f>60.4839 * CHOOSE(CONTROL!$C$9, $D$9, 100%, $F$9) + CHOOSE(CONTROL!$C$27, 0.0021, 0)</f>
        <v>60.485999999999997</v>
      </c>
      <c r="G610" s="10">
        <f>60.7553 * CHOOSE(CONTROL!$C$9, $D$9, 100%, $F$9) + CHOOSE(CONTROL!$C$27, 0.0021, 0)</f>
        <v>60.757399999999997</v>
      </c>
      <c r="H610" s="10">
        <f>60.6205 * CHOOSE(CONTROL!$C$9, $D$9, 100%, $F$9) + CHOOSE(CONTROL!$C$27, 0.0021, 0)</f>
        <v>60.622599999999998</v>
      </c>
      <c r="I610" s="10">
        <f>60.6205 * CHOOSE(CONTROL!$C$9, $D$9, 100%, $F$9) + CHOOSE(CONTROL!$C$27, 0.0021, 0)</f>
        <v>60.622599999999998</v>
      </c>
      <c r="J610" s="10">
        <f>60.6205 * CHOOSE(CONTROL!$C$9, $D$9, 100%, $F$9) + CHOOSE(CONTROL!$C$27, 0.0021, 0)</f>
        <v>60.622599999999998</v>
      </c>
      <c r="K610" s="10">
        <f>60.6205 * CHOOSE(CONTROL!$C$9, $D$9, 100%, $F$9) + CHOOSE(CONTROL!$C$27, 0.0021, 0)</f>
        <v>60.622599999999998</v>
      </c>
      <c r="L610" s="10"/>
    </row>
    <row r="611" spans="1:12" ht="15.75" x14ac:dyDescent="0.25">
      <c r="A611" s="13">
        <v>59901</v>
      </c>
      <c r="B611" s="10">
        <f>59.9006 * CHOOSE(CONTROL!$C$9, $D$9, 100%, $F$9) + CHOOSE(CONTROL!$C$27, 0.0021, 0)</f>
        <v>59.902699999999996</v>
      </c>
      <c r="C611" s="10">
        <f>59.4684 * CHOOSE(CONTROL!$C$9, $D$9, 100%, $F$9) + CHOOSE(CONTROL!$C$27, 0.0021, 0)</f>
        <v>59.470500000000001</v>
      </c>
      <c r="D611" s="10">
        <f>59.4684 * CHOOSE(CONTROL!$C$9, $D$9, 100%, $F$9) + CHOOSE(CONTROL!$C$27, 0.0021, 0)</f>
        <v>59.470500000000001</v>
      </c>
      <c r="E611" s="10">
        <f>59.3317 * CHOOSE(CONTROL!$C$9, $D$9, 100%, $F$9) + CHOOSE(CONTROL!$C$27, 0.0021, 0)</f>
        <v>59.333799999999997</v>
      </c>
      <c r="F611" s="10">
        <f>59.3317 * CHOOSE(CONTROL!$C$9, $D$9, 100%, $F$9) + CHOOSE(CONTROL!$C$27, 0.0021, 0)</f>
        <v>59.333799999999997</v>
      </c>
      <c r="G611" s="10">
        <f>59.6031 * CHOOSE(CONTROL!$C$9, $D$9, 100%, $F$9) + CHOOSE(CONTROL!$C$27, 0.0021, 0)</f>
        <v>59.605199999999996</v>
      </c>
      <c r="H611" s="10">
        <f>59.4684 * CHOOSE(CONTROL!$C$9, $D$9, 100%, $F$9) + CHOOSE(CONTROL!$C$27, 0.0021, 0)</f>
        <v>59.470500000000001</v>
      </c>
      <c r="I611" s="10">
        <f>59.4684 * CHOOSE(CONTROL!$C$9, $D$9, 100%, $F$9) + CHOOSE(CONTROL!$C$27, 0.0021, 0)</f>
        <v>59.470500000000001</v>
      </c>
      <c r="J611" s="10">
        <f>59.4684 * CHOOSE(CONTROL!$C$9, $D$9, 100%, $F$9) + CHOOSE(CONTROL!$C$27, 0.0021, 0)</f>
        <v>59.470500000000001</v>
      </c>
      <c r="K611" s="10">
        <f>59.4684 * CHOOSE(CONTROL!$C$9, $D$9, 100%, $F$9) + CHOOSE(CONTROL!$C$27, 0.0021, 0)</f>
        <v>59.470500000000001</v>
      </c>
      <c r="L611" s="10"/>
    </row>
    <row r="612" spans="1:12" ht="15.75" x14ac:dyDescent="0.25">
      <c r="A612" s="13">
        <v>59932</v>
      </c>
      <c r="B612" s="10">
        <f>59.0185 * CHOOSE(CONTROL!$C$9, $D$9, 100%, $F$9) + CHOOSE(CONTROL!$C$27, 0.0021, 0)</f>
        <v>59.020600000000002</v>
      </c>
      <c r="C612" s="10">
        <f>58.5863 * CHOOSE(CONTROL!$C$9, $D$9, 100%, $F$9) + CHOOSE(CONTROL!$C$27, 0.0021, 0)</f>
        <v>58.5884</v>
      </c>
      <c r="D612" s="10">
        <f>58.5863 * CHOOSE(CONTROL!$C$9, $D$9, 100%, $F$9) + CHOOSE(CONTROL!$C$27, 0.0021, 0)</f>
        <v>58.5884</v>
      </c>
      <c r="E612" s="10">
        <f>58.4496 * CHOOSE(CONTROL!$C$9, $D$9, 100%, $F$9) + CHOOSE(CONTROL!$C$27, 0.0021, 0)</f>
        <v>58.451699999999995</v>
      </c>
      <c r="F612" s="10">
        <f>58.4496 * CHOOSE(CONTROL!$C$9, $D$9, 100%, $F$9) + CHOOSE(CONTROL!$C$27, 0.0021, 0)</f>
        <v>58.451699999999995</v>
      </c>
      <c r="G612" s="10">
        <f>58.721 * CHOOSE(CONTROL!$C$9, $D$9, 100%, $F$9) + CHOOSE(CONTROL!$C$27, 0.0021, 0)</f>
        <v>58.723099999999995</v>
      </c>
      <c r="H612" s="10">
        <f>58.5863 * CHOOSE(CONTROL!$C$9, $D$9, 100%, $F$9) + CHOOSE(CONTROL!$C$27, 0.0021, 0)</f>
        <v>58.5884</v>
      </c>
      <c r="I612" s="10">
        <f>58.5863 * CHOOSE(CONTROL!$C$9, $D$9, 100%, $F$9) + CHOOSE(CONTROL!$C$27, 0.0021, 0)</f>
        <v>58.5884</v>
      </c>
      <c r="J612" s="10">
        <f>58.5863 * CHOOSE(CONTROL!$C$9, $D$9, 100%, $F$9) + CHOOSE(CONTROL!$C$27, 0.0021, 0)</f>
        <v>58.5884</v>
      </c>
      <c r="K612" s="10">
        <f>58.5863 * CHOOSE(CONTROL!$C$9, $D$9, 100%, $F$9) + CHOOSE(CONTROL!$C$27, 0.0021, 0)</f>
        <v>58.5884</v>
      </c>
      <c r="L612" s="10"/>
    </row>
    <row r="613" spans="1:12" ht="15.75" x14ac:dyDescent="0.25">
      <c r="A613" s="13">
        <v>59961</v>
      </c>
      <c r="B613" s="10">
        <f>57.414 * CHOOSE(CONTROL!$C$9, $D$9, 100%, $F$9) + CHOOSE(CONTROL!$C$27, 0.0021, 0)</f>
        <v>57.4161</v>
      </c>
      <c r="C613" s="10">
        <f>56.9817 * CHOOSE(CONTROL!$C$9, $D$9, 100%, $F$9) + CHOOSE(CONTROL!$C$27, 0.0021, 0)</f>
        <v>56.983799999999995</v>
      </c>
      <c r="D613" s="10">
        <f>56.9817 * CHOOSE(CONTROL!$C$9, $D$9, 100%, $F$9) + CHOOSE(CONTROL!$C$27, 0.0021, 0)</f>
        <v>56.983799999999995</v>
      </c>
      <c r="E613" s="10">
        <f>56.8451 * CHOOSE(CONTROL!$C$9, $D$9, 100%, $F$9) + CHOOSE(CONTROL!$C$27, 0.0021, 0)</f>
        <v>56.847200000000001</v>
      </c>
      <c r="F613" s="10">
        <f>56.8451 * CHOOSE(CONTROL!$C$9, $D$9, 100%, $F$9) + CHOOSE(CONTROL!$C$27, 0.0021, 0)</f>
        <v>56.847200000000001</v>
      </c>
      <c r="G613" s="10">
        <f>57.1165 * CHOOSE(CONTROL!$C$9, $D$9, 100%, $F$9) + CHOOSE(CONTROL!$C$27, 0.0021, 0)</f>
        <v>57.118600000000001</v>
      </c>
      <c r="H613" s="10">
        <f>56.9817 * CHOOSE(CONTROL!$C$9, $D$9, 100%, $F$9) + CHOOSE(CONTROL!$C$27, 0.0021, 0)</f>
        <v>56.983799999999995</v>
      </c>
      <c r="I613" s="10">
        <f>56.9817 * CHOOSE(CONTROL!$C$9, $D$9, 100%, $F$9) + CHOOSE(CONTROL!$C$27, 0.0021, 0)</f>
        <v>56.983799999999995</v>
      </c>
      <c r="J613" s="10">
        <f>56.9817 * CHOOSE(CONTROL!$C$9, $D$9, 100%, $F$9) + CHOOSE(CONTROL!$C$27, 0.0021, 0)</f>
        <v>56.983799999999995</v>
      </c>
      <c r="K613" s="10">
        <f>56.9817 * CHOOSE(CONTROL!$C$9, $D$9, 100%, $F$9) + CHOOSE(CONTROL!$C$27, 0.0021, 0)</f>
        <v>56.983799999999995</v>
      </c>
      <c r="L613" s="10"/>
    </row>
    <row r="614" spans="1:12" ht="15.75" x14ac:dyDescent="0.25">
      <c r="A614" s="13">
        <v>59992</v>
      </c>
      <c r="B614" s="10">
        <f>56.7516 * CHOOSE(CONTROL!$C$9, $D$9, 100%, $F$9) + CHOOSE(CONTROL!$C$27, 0.0021, 0)</f>
        <v>56.753700000000002</v>
      </c>
      <c r="C614" s="10">
        <f>56.3194 * CHOOSE(CONTROL!$C$9, $D$9, 100%, $F$9) + CHOOSE(CONTROL!$C$27, 0.0021, 0)</f>
        <v>56.3215</v>
      </c>
      <c r="D614" s="10">
        <f>56.3194 * CHOOSE(CONTROL!$C$9, $D$9, 100%, $F$9) + CHOOSE(CONTROL!$C$27, 0.0021, 0)</f>
        <v>56.3215</v>
      </c>
      <c r="E614" s="10">
        <f>56.1827 * CHOOSE(CONTROL!$C$9, $D$9, 100%, $F$9) + CHOOSE(CONTROL!$C$27, 0.0021, 0)</f>
        <v>56.184799999999996</v>
      </c>
      <c r="F614" s="10">
        <f>56.1827 * CHOOSE(CONTROL!$C$9, $D$9, 100%, $F$9) + CHOOSE(CONTROL!$C$27, 0.0021, 0)</f>
        <v>56.184799999999996</v>
      </c>
      <c r="G614" s="10">
        <f>56.4541 * CHOOSE(CONTROL!$C$9, $D$9, 100%, $F$9) + CHOOSE(CONTROL!$C$27, 0.0021, 0)</f>
        <v>56.456199999999995</v>
      </c>
      <c r="H614" s="10">
        <f>56.3194 * CHOOSE(CONTROL!$C$9, $D$9, 100%, $F$9) + CHOOSE(CONTROL!$C$27, 0.0021, 0)</f>
        <v>56.3215</v>
      </c>
      <c r="I614" s="10">
        <f>56.3194 * CHOOSE(CONTROL!$C$9, $D$9, 100%, $F$9) + CHOOSE(CONTROL!$C$27, 0.0021, 0)</f>
        <v>56.3215</v>
      </c>
      <c r="J614" s="10">
        <f>56.3194 * CHOOSE(CONTROL!$C$9, $D$9, 100%, $F$9) + CHOOSE(CONTROL!$C$27, 0.0021, 0)</f>
        <v>56.3215</v>
      </c>
      <c r="K614" s="10">
        <f>56.3194 * CHOOSE(CONTROL!$C$9, $D$9, 100%, $F$9) + CHOOSE(CONTROL!$C$27, 0.0021, 0)</f>
        <v>56.3215</v>
      </c>
      <c r="L614" s="10"/>
    </row>
    <row r="615" spans="1:12" ht="15.75" x14ac:dyDescent="0.25">
      <c r="A615" s="13">
        <v>60022</v>
      </c>
      <c r="B615" s="10">
        <f>55.9608 * CHOOSE(CONTROL!$C$9, $D$9, 100%, $F$9) + CHOOSE(CONTROL!$C$27, 0.0021, 0)</f>
        <v>55.962899999999998</v>
      </c>
      <c r="C615" s="10">
        <f>55.5285 * CHOOSE(CONTROL!$C$9, $D$9, 100%, $F$9) + CHOOSE(CONTROL!$C$27, 0.0021, 0)</f>
        <v>55.5306</v>
      </c>
      <c r="D615" s="10">
        <f>55.5285 * CHOOSE(CONTROL!$C$9, $D$9, 100%, $F$9) + CHOOSE(CONTROL!$C$27, 0.0021, 0)</f>
        <v>55.5306</v>
      </c>
      <c r="E615" s="10">
        <f>55.3919 * CHOOSE(CONTROL!$C$9, $D$9, 100%, $F$9) + CHOOSE(CONTROL!$C$27, 0.0021, 0)</f>
        <v>55.393999999999998</v>
      </c>
      <c r="F615" s="10">
        <f>55.3919 * CHOOSE(CONTROL!$C$9, $D$9, 100%, $F$9) + CHOOSE(CONTROL!$C$27, 0.0021, 0)</f>
        <v>55.393999999999998</v>
      </c>
      <c r="G615" s="10">
        <f>55.6633 * CHOOSE(CONTROL!$C$9, $D$9, 100%, $F$9) + CHOOSE(CONTROL!$C$27, 0.0021, 0)</f>
        <v>55.665399999999998</v>
      </c>
      <c r="H615" s="10">
        <f>55.5285 * CHOOSE(CONTROL!$C$9, $D$9, 100%, $F$9) + CHOOSE(CONTROL!$C$27, 0.0021, 0)</f>
        <v>55.5306</v>
      </c>
      <c r="I615" s="10">
        <f>55.5285 * CHOOSE(CONTROL!$C$9, $D$9, 100%, $F$9) + CHOOSE(CONTROL!$C$27, 0.0021, 0)</f>
        <v>55.5306</v>
      </c>
      <c r="J615" s="10">
        <f>55.5285 * CHOOSE(CONTROL!$C$9, $D$9, 100%, $F$9) + CHOOSE(CONTROL!$C$27, 0.0021, 0)</f>
        <v>55.5306</v>
      </c>
      <c r="K615" s="10">
        <f>55.5285 * CHOOSE(CONTROL!$C$9, $D$9, 100%, $F$9) + CHOOSE(CONTROL!$C$27, 0.0021, 0)</f>
        <v>55.5306</v>
      </c>
      <c r="L615" s="10"/>
    </row>
    <row r="616" spans="1:12" ht="15.75" x14ac:dyDescent="0.25">
      <c r="A616" s="13">
        <v>60053</v>
      </c>
      <c r="B616" s="10">
        <f>57.0878 * CHOOSE(CONTROL!$C$9, $D$9, 100%, $F$9) + CHOOSE(CONTROL!$C$27, 0.0021, 0)</f>
        <v>57.0899</v>
      </c>
      <c r="C616" s="10">
        <f>56.6556 * CHOOSE(CONTROL!$C$9, $D$9, 100%, $F$9) + CHOOSE(CONTROL!$C$27, 0.0021, 0)</f>
        <v>56.657699999999998</v>
      </c>
      <c r="D616" s="10">
        <f>56.6556 * CHOOSE(CONTROL!$C$9, $D$9, 100%, $F$9) + CHOOSE(CONTROL!$C$27, 0.0021, 0)</f>
        <v>56.657699999999998</v>
      </c>
      <c r="E616" s="10">
        <f>56.5189 * CHOOSE(CONTROL!$C$9, $D$9, 100%, $F$9) + CHOOSE(CONTROL!$C$27, 0.0021, 0)</f>
        <v>56.521000000000001</v>
      </c>
      <c r="F616" s="10">
        <f>56.5189 * CHOOSE(CONTROL!$C$9, $D$9, 100%, $F$9) + CHOOSE(CONTROL!$C$27, 0.0021, 0)</f>
        <v>56.521000000000001</v>
      </c>
      <c r="G616" s="10">
        <f>56.7903 * CHOOSE(CONTROL!$C$9, $D$9, 100%, $F$9) + CHOOSE(CONTROL!$C$27, 0.0021, 0)</f>
        <v>56.792400000000001</v>
      </c>
      <c r="H616" s="10">
        <f>56.6556 * CHOOSE(CONTROL!$C$9, $D$9, 100%, $F$9) + CHOOSE(CONTROL!$C$27, 0.0021, 0)</f>
        <v>56.657699999999998</v>
      </c>
      <c r="I616" s="10">
        <f>56.6556 * CHOOSE(CONTROL!$C$9, $D$9, 100%, $F$9) + CHOOSE(CONTROL!$C$27, 0.0021, 0)</f>
        <v>56.657699999999998</v>
      </c>
      <c r="J616" s="10">
        <f>56.6556 * CHOOSE(CONTROL!$C$9, $D$9, 100%, $F$9) + CHOOSE(CONTROL!$C$27, 0.0021, 0)</f>
        <v>56.657699999999998</v>
      </c>
      <c r="K616" s="10">
        <f>56.6556 * CHOOSE(CONTROL!$C$9, $D$9, 100%, $F$9) + CHOOSE(CONTROL!$C$27, 0.0021, 0)</f>
        <v>56.657699999999998</v>
      </c>
      <c r="L616" s="10"/>
    </row>
    <row r="617" spans="1:12" ht="15.75" x14ac:dyDescent="0.25">
      <c r="A617" s="13">
        <v>60083</v>
      </c>
      <c r="B617" s="10">
        <f>57.7629 * CHOOSE(CONTROL!$C$9, $D$9, 100%, $F$9) + CHOOSE(CONTROL!$C$27, 0.0021, 0)</f>
        <v>57.765000000000001</v>
      </c>
      <c r="C617" s="10">
        <f>57.3307 * CHOOSE(CONTROL!$C$9, $D$9, 100%, $F$9) + CHOOSE(CONTROL!$C$27, 0.0021, 0)</f>
        <v>57.332799999999999</v>
      </c>
      <c r="D617" s="10">
        <f>57.3307 * CHOOSE(CONTROL!$C$9, $D$9, 100%, $F$9) + CHOOSE(CONTROL!$C$27, 0.0021, 0)</f>
        <v>57.332799999999999</v>
      </c>
      <c r="E617" s="10">
        <f>57.194 * CHOOSE(CONTROL!$C$9, $D$9, 100%, $F$9) + CHOOSE(CONTROL!$C$27, 0.0021, 0)</f>
        <v>57.196100000000001</v>
      </c>
      <c r="F617" s="10">
        <f>57.194 * CHOOSE(CONTROL!$C$9, $D$9, 100%, $F$9) + CHOOSE(CONTROL!$C$27, 0.0021, 0)</f>
        <v>57.196100000000001</v>
      </c>
      <c r="G617" s="10">
        <f>57.4654 * CHOOSE(CONTROL!$C$9, $D$9, 100%, $F$9) + CHOOSE(CONTROL!$C$27, 0.0021, 0)</f>
        <v>57.467500000000001</v>
      </c>
      <c r="H617" s="10">
        <f>57.3307 * CHOOSE(CONTROL!$C$9, $D$9, 100%, $F$9) + CHOOSE(CONTROL!$C$27, 0.0021, 0)</f>
        <v>57.332799999999999</v>
      </c>
      <c r="I617" s="10">
        <f>57.3307 * CHOOSE(CONTROL!$C$9, $D$9, 100%, $F$9) + CHOOSE(CONTROL!$C$27, 0.0021, 0)</f>
        <v>57.332799999999999</v>
      </c>
      <c r="J617" s="10">
        <f>57.3307 * CHOOSE(CONTROL!$C$9, $D$9, 100%, $F$9) + CHOOSE(CONTROL!$C$27, 0.0021, 0)</f>
        <v>57.332799999999999</v>
      </c>
      <c r="K617" s="10">
        <f>57.3307 * CHOOSE(CONTROL!$C$9, $D$9, 100%, $F$9) + CHOOSE(CONTROL!$C$27, 0.0021, 0)</f>
        <v>57.332799999999999</v>
      </c>
      <c r="L617" s="10"/>
    </row>
    <row r="618" spans="1:12" ht="15.75" x14ac:dyDescent="0.25">
      <c r="A618" s="13">
        <v>60114</v>
      </c>
      <c r="B618" s="10">
        <f>58.8765 * CHOOSE(CONTROL!$C$9, $D$9, 100%, $F$9) + CHOOSE(CONTROL!$C$27, 0.0021, 0)</f>
        <v>58.878599999999999</v>
      </c>
      <c r="C618" s="10">
        <f>58.4443 * CHOOSE(CONTROL!$C$9, $D$9, 100%, $F$9) + CHOOSE(CONTROL!$C$27, 0.0021, 0)</f>
        <v>58.446399999999997</v>
      </c>
      <c r="D618" s="10">
        <f>58.4443 * CHOOSE(CONTROL!$C$9, $D$9, 100%, $F$9) + CHOOSE(CONTROL!$C$27, 0.0021, 0)</f>
        <v>58.446399999999997</v>
      </c>
      <c r="E618" s="10">
        <f>58.3076 * CHOOSE(CONTROL!$C$9, $D$9, 100%, $F$9) + CHOOSE(CONTROL!$C$27, 0.0021, 0)</f>
        <v>58.309699999999999</v>
      </c>
      <c r="F618" s="10">
        <f>58.3076 * CHOOSE(CONTROL!$C$9, $D$9, 100%, $F$9) + CHOOSE(CONTROL!$C$27, 0.0021, 0)</f>
        <v>58.309699999999999</v>
      </c>
      <c r="G618" s="10">
        <f>58.579 * CHOOSE(CONTROL!$C$9, $D$9, 100%, $F$9) + CHOOSE(CONTROL!$C$27, 0.0021, 0)</f>
        <v>58.581099999999999</v>
      </c>
      <c r="H618" s="10">
        <f>58.4443 * CHOOSE(CONTROL!$C$9, $D$9, 100%, $F$9) + CHOOSE(CONTROL!$C$27, 0.0021, 0)</f>
        <v>58.446399999999997</v>
      </c>
      <c r="I618" s="10">
        <f>58.4443 * CHOOSE(CONTROL!$C$9, $D$9, 100%, $F$9) + CHOOSE(CONTROL!$C$27, 0.0021, 0)</f>
        <v>58.446399999999997</v>
      </c>
      <c r="J618" s="10">
        <f>58.4443 * CHOOSE(CONTROL!$C$9, $D$9, 100%, $F$9) + CHOOSE(CONTROL!$C$27, 0.0021, 0)</f>
        <v>58.446399999999997</v>
      </c>
      <c r="K618" s="10">
        <f>58.4443 * CHOOSE(CONTROL!$C$9, $D$9, 100%, $F$9) + CHOOSE(CONTROL!$C$27, 0.0021, 0)</f>
        <v>58.446399999999997</v>
      </c>
      <c r="L618" s="10"/>
    </row>
    <row r="619" spans="1:12" ht="15.75" x14ac:dyDescent="0.25">
      <c r="A619" s="13">
        <v>60145</v>
      </c>
      <c r="B619" s="10">
        <f>59.2164 * CHOOSE(CONTROL!$C$9, $D$9, 100%, $F$9) + CHOOSE(CONTROL!$C$27, 0.0021, 0)</f>
        <v>59.218499999999999</v>
      </c>
      <c r="C619" s="10">
        <f>58.7842 * CHOOSE(CONTROL!$C$9, $D$9, 100%, $F$9) + CHOOSE(CONTROL!$C$27, 0.0021, 0)</f>
        <v>58.786299999999997</v>
      </c>
      <c r="D619" s="10">
        <f>58.7842 * CHOOSE(CONTROL!$C$9, $D$9, 100%, $F$9) + CHOOSE(CONTROL!$C$27, 0.0021, 0)</f>
        <v>58.786299999999997</v>
      </c>
      <c r="E619" s="10">
        <f>58.6475 * CHOOSE(CONTROL!$C$9, $D$9, 100%, $F$9) + CHOOSE(CONTROL!$C$27, 0.0021, 0)</f>
        <v>58.6496</v>
      </c>
      <c r="F619" s="10">
        <f>58.6475 * CHOOSE(CONTROL!$C$9, $D$9, 100%, $F$9) + CHOOSE(CONTROL!$C$27, 0.0021, 0)</f>
        <v>58.6496</v>
      </c>
      <c r="G619" s="10">
        <f>58.9189 * CHOOSE(CONTROL!$C$9, $D$9, 100%, $F$9) + CHOOSE(CONTROL!$C$27, 0.0021, 0)</f>
        <v>58.920999999999999</v>
      </c>
      <c r="H619" s="10">
        <f>58.7842 * CHOOSE(CONTROL!$C$9, $D$9, 100%, $F$9) + CHOOSE(CONTROL!$C$27, 0.0021, 0)</f>
        <v>58.786299999999997</v>
      </c>
      <c r="I619" s="10">
        <f>58.7842 * CHOOSE(CONTROL!$C$9, $D$9, 100%, $F$9) + CHOOSE(CONTROL!$C$27, 0.0021, 0)</f>
        <v>58.786299999999997</v>
      </c>
      <c r="J619" s="10">
        <f>58.7842 * CHOOSE(CONTROL!$C$9, $D$9, 100%, $F$9) + CHOOSE(CONTROL!$C$27, 0.0021, 0)</f>
        <v>58.786299999999997</v>
      </c>
      <c r="K619" s="10">
        <f>58.7842 * CHOOSE(CONTROL!$C$9, $D$9, 100%, $F$9) + CHOOSE(CONTROL!$C$27, 0.0021, 0)</f>
        <v>58.786299999999997</v>
      </c>
      <c r="L619" s="10"/>
    </row>
    <row r="620" spans="1:12" ht="15.75" x14ac:dyDescent="0.25">
      <c r="A620" s="13">
        <v>60175</v>
      </c>
      <c r="B620" s="10">
        <f>60.374 * CHOOSE(CONTROL!$C$9, $D$9, 100%, $F$9) + CHOOSE(CONTROL!$C$27, 0.0021, 0)</f>
        <v>60.376100000000001</v>
      </c>
      <c r="C620" s="10">
        <f>59.9417 * CHOOSE(CONTROL!$C$9, $D$9, 100%, $F$9) + CHOOSE(CONTROL!$C$27, 0.0021, 0)</f>
        <v>59.943799999999996</v>
      </c>
      <c r="D620" s="10">
        <f>59.9417 * CHOOSE(CONTROL!$C$9, $D$9, 100%, $F$9) + CHOOSE(CONTROL!$C$27, 0.0021, 0)</f>
        <v>59.943799999999996</v>
      </c>
      <c r="E620" s="10">
        <f>59.8051 * CHOOSE(CONTROL!$C$9, $D$9, 100%, $F$9) + CHOOSE(CONTROL!$C$27, 0.0021, 0)</f>
        <v>59.807200000000002</v>
      </c>
      <c r="F620" s="10">
        <f>59.8051 * CHOOSE(CONTROL!$C$9, $D$9, 100%, $F$9) + CHOOSE(CONTROL!$C$27, 0.0021, 0)</f>
        <v>59.807200000000002</v>
      </c>
      <c r="G620" s="10">
        <f>60.0764 * CHOOSE(CONTROL!$C$9, $D$9, 100%, $F$9) + CHOOSE(CONTROL!$C$27, 0.0021, 0)</f>
        <v>60.078499999999998</v>
      </c>
      <c r="H620" s="10">
        <f>59.9417 * CHOOSE(CONTROL!$C$9, $D$9, 100%, $F$9) + CHOOSE(CONTROL!$C$27, 0.0021, 0)</f>
        <v>59.943799999999996</v>
      </c>
      <c r="I620" s="10">
        <f>59.9417 * CHOOSE(CONTROL!$C$9, $D$9, 100%, $F$9) + CHOOSE(CONTROL!$C$27, 0.0021, 0)</f>
        <v>59.943799999999996</v>
      </c>
      <c r="J620" s="10">
        <f>59.9417 * CHOOSE(CONTROL!$C$9, $D$9, 100%, $F$9) + CHOOSE(CONTROL!$C$27, 0.0021, 0)</f>
        <v>59.943799999999996</v>
      </c>
      <c r="K620" s="10">
        <f>59.9417 * CHOOSE(CONTROL!$C$9, $D$9, 100%, $F$9) + CHOOSE(CONTROL!$C$27, 0.0021, 0)</f>
        <v>59.943799999999996</v>
      </c>
      <c r="L620" s="10"/>
    </row>
    <row r="621" spans="1:12" ht="15.75" x14ac:dyDescent="0.25">
      <c r="A621" s="13">
        <v>60206</v>
      </c>
      <c r="B621" s="10">
        <f>61.8392 * CHOOSE(CONTROL!$C$9, $D$9, 100%, $F$9) + CHOOSE(CONTROL!$C$27, 0.0021, 0)</f>
        <v>61.841299999999997</v>
      </c>
      <c r="C621" s="10">
        <f>61.407 * CHOOSE(CONTROL!$C$9, $D$9, 100%, $F$9) + CHOOSE(CONTROL!$C$27, 0.0021, 0)</f>
        <v>61.409099999999995</v>
      </c>
      <c r="D621" s="10">
        <f>61.407 * CHOOSE(CONTROL!$C$9, $D$9, 100%, $F$9) + CHOOSE(CONTROL!$C$27, 0.0021, 0)</f>
        <v>61.409099999999995</v>
      </c>
      <c r="E621" s="10">
        <f>61.2703 * CHOOSE(CONTROL!$C$9, $D$9, 100%, $F$9) + CHOOSE(CONTROL!$C$27, 0.0021, 0)</f>
        <v>61.272399999999998</v>
      </c>
      <c r="F621" s="10">
        <f>61.2703 * CHOOSE(CONTROL!$C$9, $D$9, 100%, $F$9) + CHOOSE(CONTROL!$C$27, 0.0021, 0)</f>
        <v>61.272399999999998</v>
      </c>
      <c r="G621" s="10">
        <f>61.5417 * CHOOSE(CONTROL!$C$9, $D$9, 100%, $F$9) + CHOOSE(CONTROL!$C$27, 0.0021, 0)</f>
        <v>61.543799999999997</v>
      </c>
      <c r="H621" s="10">
        <f>61.407 * CHOOSE(CONTROL!$C$9, $D$9, 100%, $F$9) + CHOOSE(CONTROL!$C$27, 0.0021, 0)</f>
        <v>61.409099999999995</v>
      </c>
      <c r="I621" s="10">
        <f>61.407 * CHOOSE(CONTROL!$C$9, $D$9, 100%, $F$9) + CHOOSE(CONTROL!$C$27, 0.0021, 0)</f>
        <v>61.409099999999995</v>
      </c>
      <c r="J621" s="10">
        <f>61.407 * CHOOSE(CONTROL!$C$9, $D$9, 100%, $F$9) + CHOOSE(CONTROL!$C$27, 0.0021, 0)</f>
        <v>61.409099999999995</v>
      </c>
      <c r="K621" s="10">
        <f>61.407 * CHOOSE(CONTROL!$C$9, $D$9, 100%, $F$9) + CHOOSE(CONTROL!$C$27, 0.0021, 0)</f>
        <v>61.409099999999995</v>
      </c>
      <c r="L621" s="10"/>
    </row>
    <row r="622" spans="1:12" ht="15.75" x14ac:dyDescent="0.25">
      <c r="A622" s="13">
        <v>60236</v>
      </c>
      <c r="B622" s="10">
        <f>61.9768 * CHOOSE(CONTROL!$C$9, $D$9, 100%, $F$9) + CHOOSE(CONTROL!$C$27, 0.0021, 0)</f>
        <v>61.978899999999996</v>
      </c>
      <c r="C622" s="10">
        <f>61.5445 * CHOOSE(CONTROL!$C$9, $D$9, 100%, $F$9) + CHOOSE(CONTROL!$C$27, 0.0021, 0)</f>
        <v>61.546599999999998</v>
      </c>
      <c r="D622" s="10">
        <f>61.5445 * CHOOSE(CONTROL!$C$9, $D$9, 100%, $F$9) + CHOOSE(CONTROL!$C$27, 0.0021, 0)</f>
        <v>61.546599999999998</v>
      </c>
      <c r="E622" s="10">
        <f>61.4079 * CHOOSE(CONTROL!$C$9, $D$9, 100%, $F$9) + CHOOSE(CONTROL!$C$27, 0.0021, 0)</f>
        <v>61.41</v>
      </c>
      <c r="F622" s="10">
        <f>61.4079 * CHOOSE(CONTROL!$C$9, $D$9, 100%, $F$9) + CHOOSE(CONTROL!$C$27, 0.0021, 0)</f>
        <v>61.41</v>
      </c>
      <c r="G622" s="10">
        <f>61.6793 * CHOOSE(CONTROL!$C$9, $D$9, 100%, $F$9) + CHOOSE(CONTROL!$C$27, 0.0021, 0)</f>
        <v>61.681399999999996</v>
      </c>
      <c r="H622" s="10">
        <f>61.5445 * CHOOSE(CONTROL!$C$9, $D$9, 100%, $F$9) + CHOOSE(CONTROL!$C$27, 0.0021, 0)</f>
        <v>61.546599999999998</v>
      </c>
      <c r="I622" s="10">
        <f>61.5445 * CHOOSE(CONTROL!$C$9, $D$9, 100%, $F$9) + CHOOSE(CONTROL!$C$27, 0.0021, 0)</f>
        <v>61.546599999999998</v>
      </c>
      <c r="J622" s="10">
        <f>61.5445 * CHOOSE(CONTROL!$C$9, $D$9, 100%, $F$9) + CHOOSE(CONTROL!$C$27, 0.0021, 0)</f>
        <v>61.546599999999998</v>
      </c>
      <c r="K622" s="10">
        <f>61.5445 * CHOOSE(CONTROL!$C$9, $D$9, 100%, $F$9) + CHOOSE(CONTROL!$C$27, 0.0021, 0)</f>
        <v>61.546599999999998</v>
      </c>
      <c r="L622" s="10"/>
    </row>
    <row r="623" spans="1:12" ht="15.75" x14ac:dyDescent="0.25">
      <c r="A623" s="13">
        <v>60267</v>
      </c>
      <c r="B623" s="10">
        <f>60.8065 * CHOOSE(CONTROL!$C$9, $D$9, 100%, $F$9) + CHOOSE(CONTROL!$C$27, 0.0021, 0)</f>
        <v>60.808599999999998</v>
      </c>
      <c r="C623" s="10">
        <f>60.3743 * CHOOSE(CONTROL!$C$9, $D$9, 100%, $F$9) + CHOOSE(CONTROL!$C$27, 0.0021, 0)</f>
        <v>60.376399999999997</v>
      </c>
      <c r="D623" s="10">
        <f>60.3743 * CHOOSE(CONTROL!$C$9, $D$9, 100%, $F$9) + CHOOSE(CONTROL!$C$27, 0.0021, 0)</f>
        <v>60.376399999999997</v>
      </c>
      <c r="E623" s="10">
        <f>60.2376 * CHOOSE(CONTROL!$C$9, $D$9, 100%, $F$9) + CHOOSE(CONTROL!$C$27, 0.0021, 0)</f>
        <v>60.239699999999999</v>
      </c>
      <c r="F623" s="10">
        <f>60.2376 * CHOOSE(CONTROL!$C$9, $D$9, 100%, $F$9) + CHOOSE(CONTROL!$C$27, 0.0021, 0)</f>
        <v>60.239699999999999</v>
      </c>
      <c r="G623" s="10">
        <f>60.509 * CHOOSE(CONTROL!$C$9, $D$9, 100%, $F$9) + CHOOSE(CONTROL!$C$27, 0.0021, 0)</f>
        <v>60.511099999999999</v>
      </c>
      <c r="H623" s="10">
        <f>60.3743 * CHOOSE(CONTROL!$C$9, $D$9, 100%, $F$9) + CHOOSE(CONTROL!$C$27, 0.0021, 0)</f>
        <v>60.376399999999997</v>
      </c>
      <c r="I623" s="10">
        <f>60.3743 * CHOOSE(CONTROL!$C$9, $D$9, 100%, $F$9) + CHOOSE(CONTROL!$C$27, 0.0021, 0)</f>
        <v>60.376399999999997</v>
      </c>
      <c r="J623" s="10">
        <f>60.3743 * CHOOSE(CONTROL!$C$9, $D$9, 100%, $F$9) + CHOOSE(CONTROL!$C$27, 0.0021, 0)</f>
        <v>60.376399999999997</v>
      </c>
      <c r="K623" s="10">
        <f>60.3743 * CHOOSE(CONTROL!$C$9, $D$9, 100%, $F$9) + CHOOSE(CONTROL!$C$27, 0.0021, 0)</f>
        <v>60.376399999999997</v>
      </c>
      <c r="L623" s="10"/>
    </row>
    <row r="624" spans="1:12" ht="15.75" x14ac:dyDescent="0.25">
      <c r="A624" s="13">
        <v>60298</v>
      </c>
      <c r="B624" s="10">
        <f>59.9105 * CHOOSE(CONTROL!$C$9, $D$9, 100%, $F$9) + CHOOSE(CONTROL!$C$27, 0.0021, 0)</f>
        <v>59.912599999999998</v>
      </c>
      <c r="C624" s="10">
        <f>59.4783 * CHOOSE(CONTROL!$C$9, $D$9, 100%, $F$9) + CHOOSE(CONTROL!$C$27, 0.0021, 0)</f>
        <v>59.480399999999996</v>
      </c>
      <c r="D624" s="10">
        <f>59.4783 * CHOOSE(CONTROL!$C$9, $D$9, 100%, $F$9) + CHOOSE(CONTROL!$C$27, 0.0021, 0)</f>
        <v>59.480399999999996</v>
      </c>
      <c r="E624" s="10">
        <f>59.3416 * CHOOSE(CONTROL!$C$9, $D$9, 100%, $F$9) + CHOOSE(CONTROL!$C$27, 0.0021, 0)</f>
        <v>59.343699999999998</v>
      </c>
      <c r="F624" s="10">
        <f>59.3416 * CHOOSE(CONTROL!$C$9, $D$9, 100%, $F$9) + CHOOSE(CONTROL!$C$27, 0.0021, 0)</f>
        <v>59.343699999999998</v>
      </c>
      <c r="G624" s="10">
        <f>59.613 * CHOOSE(CONTROL!$C$9, $D$9, 100%, $F$9) + CHOOSE(CONTROL!$C$27, 0.0021, 0)</f>
        <v>59.615099999999998</v>
      </c>
      <c r="H624" s="10">
        <f>59.4783 * CHOOSE(CONTROL!$C$9, $D$9, 100%, $F$9) + CHOOSE(CONTROL!$C$27, 0.0021, 0)</f>
        <v>59.480399999999996</v>
      </c>
      <c r="I624" s="10">
        <f>59.4783 * CHOOSE(CONTROL!$C$9, $D$9, 100%, $F$9) + CHOOSE(CONTROL!$C$27, 0.0021, 0)</f>
        <v>59.480399999999996</v>
      </c>
      <c r="J624" s="10">
        <f>59.4783 * CHOOSE(CONTROL!$C$9, $D$9, 100%, $F$9) + CHOOSE(CONTROL!$C$27, 0.0021, 0)</f>
        <v>59.480399999999996</v>
      </c>
      <c r="K624" s="10">
        <f>59.4783 * CHOOSE(CONTROL!$C$9, $D$9, 100%, $F$9) + CHOOSE(CONTROL!$C$27, 0.0021, 0)</f>
        <v>59.480399999999996</v>
      </c>
      <c r="L624" s="10"/>
    </row>
    <row r="625" spans="1:12" ht="15.75" x14ac:dyDescent="0.25">
      <c r="A625" s="13">
        <v>60326</v>
      </c>
      <c r="B625" s="10">
        <f>58.2808 * CHOOSE(CONTROL!$C$9, $D$9, 100%, $F$9) + CHOOSE(CONTROL!$C$27, 0.0021, 0)</f>
        <v>58.282899999999998</v>
      </c>
      <c r="C625" s="10">
        <f>57.8485 * CHOOSE(CONTROL!$C$9, $D$9, 100%, $F$9) + CHOOSE(CONTROL!$C$27, 0.0021, 0)</f>
        <v>57.8506</v>
      </c>
      <c r="D625" s="10">
        <f>57.8485 * CHOOSE(CONTROL!$C$9, $D$9, 100%, $F$9) + CHOOSE(CONTROL!$C$27, 0.0021, 0)</f>
        <v>57.8506</v>
      </c>
      <c r="E625" s="10">
        <f>57.7119 * CHOOSE(CONTROL!$C$9, $D$9, 100%, $F$9) + CHOOSE(CONTROL!$C$27, 0.0021, 0)</f>
        <v>57.713999999999999</v>
      </c>
      <c r="F625" s="10">
        <f>57.7119 * CHOOSE(CONTROL!$C$9, $D$9, 100%, $F$9) + CHOOSE(CONTROL!$C$27, 0.0021, 0)</f>
        <v>57.713999999999999</v>
      </c>
      <c r="G625" s="10">
        <f>57.9832 * CHOOSE(CONTROL!$C$9, $D$9, 100%, $F$9) + CHOOSE(CONTROL!$C$27, 0.0021, 0)</f>
        <v>57.985299999999995</v>
      </c>
      <c r="H625" s="10">
        <f>57.8485 * CHOOSE(CONTROL!$C$9, $D$9, 100%, $F$9) + CHOOSE(CONTROL!$C$27, 0.0021, 0)</f>
        <v>57.8506</v>
      </c>
      <c r="I625" s="10">
        <f>57.8485 * CHOOSE(CONTROL!$C$9, $D$9, 100%, $F$9) + CHOOSE(CONTROL!$C$27, 0.0021, 0)</f>
        <v>57.8506</v>
      </c>
      <c r="J625" s="10">
        <f>57.8485 * CHOOSE(CONTROL!$C$9, $D$9, 100%, $F$9) + CHOOSE(CONTROL!$C$27, 0.0021, 0)</f>
        <v>57.8506</v>
      </c>
      <c r="K625" s="10">
        <f>57.8485 * CHOOSE(CONTROL!$C$9, $D$9, 100%, $F$9) + CHOOSE(CONTROL!$C$27, 0.0021, 0)</f>
        <v>57.8506</v>
      </c>
      <c r="L625" s="10"/>
    </row>
    <row r="626" spans="1:12" ht="15.75" x14ac:dyDescent="0.25">
      <c r="A626" s="13">
        <v>60357</v>
      </c>
      <c r="B626" s="10">
        <f>57.608 * CHOOSE(CONTROL!$C$9, $D$9, 100%, $F$9) + CHOOSE(CONTROL!$C$27, 0.0021, 0)</f>
        <v>57.610099999999996</v>
      </c>
      <c r="C626" s="10">
        <f>57.1758 * CHOOSE(CONTROL!$C$9, $D$9, 100%, $F$9) + CHOOSE(CONTROL!$C$27, 0.0021, 0)</f>
        <v>57.177900000000001</v>
      </c>
      <c r="D626" s="10">
        <f>57.1758 * CHOOSE(CONTROL!$C$9, $D$9, 100%, $F$9) + CHOOSE(CONTROL!$C$27, 0.0021, 0)</f>
        <v>57.177900000000001</v>
      </c>
      <c r="E626" s="10">
        <f>57.0391 * CHOOSE(CONTROL!$C$9, $D$9, 100%, $F$9) + CHOOSE(CONTROL!$C$27, 0.0021, 0)</f>
        <v>57.041199999999996</v>
      </c>
      <c r="F626" s="10">
        <f>57.0391 * CHOOSE(CONTROL!$C$9, $D$9, 100%, $F$9) + CHOOSE(CONTROL!$C$27, 0.0021, 0)</f>
        <v>57.041199999999996</v>
      </c>
      <c r="G626" s="10">
        <f>57.3105 * CHOOSE(CONTROL!$C$9, $D$9, 100%, $F$9) + CHOOSE(CONTROL!$C$27, 0.0021, 0)</f>
        <v>57.312599999999996</v>
      </c>
      <c r="H626" s="10">
        <f>57.1758 * CHOOSE(CONTROL!$C$9, $D$9, 100%, $F$9) + CHOOSE(CONTROL!$C$27, 0.0021, 0)</f>
        <v>57.177900000000001</v>
      </c>
      <c r="I626" s="10">
        <f>57.1758 * CHOOSE(CONTROL!$C$9, $D$9, 100%, $F$9) + CHOOSE(CONTROL!$C$27, 0.0021, 0)</f>
        <v>57.177900000000001</v>
      </c>
      <c r="J626" s="10">
        <f>57.1758 * CHOOSE(CONTROL!$C$9, $D$9, 100%, $F$9) + CHOOSE(CONTROL!$C$27, 0.0021, 0)</f>
        <v>57.177900000000001</v>
      </c>
      <c r="K626" s="10">
        <f>57.1758 * CHOOSE(CONTROL!$C$9, $D$9, 100%, $F$9) + CHOOSE(CONTROL!$C$27, 0.0021, 0)</f>
        <v>57.177900000000001</v>
      </c>
      <c r="L626" s="10"/>
    </row>
    <row r="627" spans="1:12" ht="15.75" x14ac:dyDescent="0.25">
      <c r="A627" s="13">
        <v>60387</v>
      </c>
      <c r="B627" s="10">
        <f>56.8047 * CHOOSE(CONTROL!$C$9, $D$9, 100%, $F$9) + CHOOSE(CONTROL!$C$27, 0.0021, 0)</f>
        <v>56.806799999999996</v>
      </c>
      <c r="C627" s="10">
        <f>56.3725 * CHOOSE(CONTROL!$C$9, $D$9, 100%, $F$9) + CHOOSE(CONTROL!$C$27, 0.0021, 0)</f>
        <v>56.374600000000001</v>
      </c>
      <c r="D627" s="10">
        <f>56.3725 * CHOOSE(CONTROL!$C$9, $D$9, 100%, $F$9) + CHOOSE(CONTROL!$C$27, 0.0021, 0)</f>
        <v>56.374600000000001</v>
      </c>
      <c r="E627" s="10">
        <f>56.2358 * CHOOSE(CONTROL!$C$9, $D$9, 100%, $F$9) + CHOOSE(CONTROL!$C$27, 0.0021, 0)</f>
        <v>56.237899999999996</v>
      </c>
      <c r="F627" s="10">
        <f>56.2358 * CHOOSE(CONTROL!$C$9, $D$9, 100%, $F$9) + CHOOSE(CONTROL!$C$27, 0.0021, 0)</f>
        <v>56.237899999999996</v>
      </c>
      <c r="G627" s="10">
        <f>56.5072 * CHOOSE(CONTROL!$C$9, $D$9, 100%, $F$9) + CHOOSE(CONTROL!$C$27, 0.0021, 0)</f>
        <v>56.509299999999996</v>
      </c>
      <c r="H627" s="10">
        <f>56.3725 * CHOOSE(CONTROL!$C$9, $D$9, 100%, $F$9) + CHOOSE(CONTROL!$C$27, 0.0021, 0)</f>
        <v>56.374600000000001</v>
      </c>
      <c r="I627" s="10">
        <f>56.3725 * CHOOSE(CONTROL!$C$9, $D$9, 100%, $F$9) + CHOOSE(CONTROL!$C$27, 0.0021, 0)</f>
        <v>56.374600000000001</v>
      </c>
      <c r="J627" s="10">
        <f>56.3725 * CHOOSE(CONTROL!$C$9, $D$9, 100%, $F$9) + CHOOSE(CONTROL!$C$27, 0.0021, 0)</f>
        <v>56.374600000000001</v>
      </c>
      <c r="K627" s="10">
        <f>56.3725 * CHOOSE(CONTROL!$C$9, $D$9, 100%, $F$9) + CHOOSE(CONTROL!$C$27, 0.0021, 0)</f>
        <v>56.374600000000001</v>
      </c>
      <c r="L627" s="10"/>
    </row>
    <row r="628" spans="1:12" ht="15.75" x14ac:dyDescent="0.25">
      <c r="A628" s="13">
        <v>60418</v>
      </c>
      <c r="B628" s="10">
        <f>57.9495 * CHOOSE(CONTROL!$C$9, $D$9, 100%, $F$9) + CHOOSE(CONTROL!$C$27, 0.0021, 0)</f>
        <v>57.951599999999999</v>
      </c>
      <c r="C628" s="10">
        <f>57.5173 * CHOOSE(CONTROL!$C$9, $D$9, 100%, $F$9) + CHOOSE(CONTROL!$C$27, 0.0021, 0)</f>
        <v>57.519399999999997</v>
      </c>
      <c r="D628" s="10">
        <f>57.5173 * CHOOSE(CONTROL!$C$9, $D$9, 100%, $F$9) + CHOOSE(CONTROL!$C$27, 0.0021, 0)</f>
        <v>57.519399999999997</v>
      </c>
      <c r="E628" s="10">
        <f>57.3806 * CHOOSE(CONTROL!$C$9, $D$9, 100%, $F$9) + CHOOSE(CONTROL!$C$27, 0.0021, 0)</f>
        <v>57.3827</v>
      </c>
      <c r="F628" s="10">
        <f>57.3806 * CHOOSE(CONTROL!$C$9, $D$9, 100%, $F$9) + CHOOSE(CONTROL!$C$27, 0.0021, 0)</f>
        <v>57.3827</v>
      </c>
      <c r="G628" s="10">
        <f>57.652 * CHOOSE(CONTROL!$C$9, $D$9, 100%, $F$9) + CHOOSE(CONTROL!$C$27, 0.0021, 0)</f>
        <v>57.6541</v>
      </c>
      <c r="H628" s="10">
        <f>57.5173 * CHOOSE(CONTROL!$C$9, $D$9, 100%, $F$9) + CHOOSE(CONTROL!$C$27, 0.0021, 0)</f>
        <v>57.519399999999997</v>
      </c>
      <c r="I628" s="10">
        <f>57.5173 * CHOOSE(CONTROL!$C$9, $D$9, 100%, $F$9) + CHOOSE(CONTROL!$C$27, 0.0021, 0)</f>
        <v>57.519399999999997</v>
      </c>
      <c r="J628" s="10">
        <f>57.5173 * CHOOSE(CONTROL!$C$9, $D$9, 100%, $F$9) + CHOOSE(CONTROL!$C$27, 0.0021, 0)</f>
        <v>57.519399999999997</v>
      </c>
      <c r="K628" s="10">
        <f>57.5173 * CHOOSE(CONTROL!$C$9, $D$9, 100%, $F$9) + CHOOSE(CONTROL!$C$27, 0.0021, 0)</f>
        <v>57.519399999999997</v>
      </c>
      <c r="L628" s="10"/>
    </row>
    <row r="629" spans="1:12" ht="15.75" x14ac:dyDescent="0.25">
      <c r="A629" s="13">
        <v>60448</v>
      </c>
      <c r="B629" s="10">
        <f>58.6352 * CHOOSE(CONTROL!$C$9, $D$9, 100%, $F$9) + CHOOSE(CONTROL!$C$27, 0.0021, 0)</f>
        <v>58.637299999999996</v>
      </c>
      <c r="C629" s="10">
        <f>58.2029 * CHOOSE(CONTROL!$C$9, $D$9, 100%, $F$9) + CHOOSE(CONTROL!$C$27, 0.0021, 0)</f>
        <v>58.204999999999998</v>
      </c>
      <c r="D629" s="10">
        <f>58.2029 * CHOOSE(CONTROL!$C$9, $D$9, 100%, $F$9) + CHOOSE(CONTROL!$C$27, 0.0021, 0)</f>
        <v>58.204999999999998</v>
      </c>
      <c r="E629" s="10">
        <f>58.0663 * CHOOSE(CONTROL!$C$9, $D$9, 100%, $F$9) + CHOOSE(CONTROL!$C$27, 0.0021, 0)</f>
        <v>58.068399999999997</v>
      </c>
      <c r="F629" s="10">
        <f>58.0663 * CHOOSE(CONTROL!$C$9, $D$9, 100%, $F$9) + CHOOSE(CONTROL!$C$27, 0.0021, 0)</f>
        <v>58.068399999999997</v>
      </c>
      <c r="G629" s="10">
        <f>58.3377 * CHOOSE(CONTROL!$C$9, $D$9, 100%, $F$9) + CHOOSE(CONTROL!$C$27, 0.0021, 0)</f>
        <v>58.339799999999997</v>
      </c>
      <c r="H629" s="10">
        <f>58.2029 * CHOOSE(CONTROL!$C$9, $D$9, 100%, $F$9) + CHOOSE(CONTROL!$C$27, 0.0021, 0)</f>
        <v>58.204999999999998</v>
      </c>
      <c r="I629" s="10">
        <f>58.2029 * CHOOSE(CONTROL!$C$9, $D$9, 100%, $F$9) + CHOOSE(CONTROL!$C$27, 0.0021, 0)</f>
        <v>58.204999999999998</v>
      </c>
      <c r="J629" s="10">
        <f>58.2029 * CHOOSE(CONTROL!$C$9, $D$9, 100%, $F$9) + CHOOSE(CONTROL!$C$27, 0.0021, 0)</f>
        <v>58.204999999999998</v>
      </c>
      <c r="K629" s="10">
        <f>58.2029 * CHOOSE(CONTROL!$C$9, $D$9, 100%, $F$9) + CHOOSE(CONTROL!$C$27, 0.0021, 0)</f>
        <v>58.204999999999998</v>
      </c>
      <c r="L629" s="10"/>
    </row>
    <row r="630" spans="1:12" ht="15.75" x14ac:dyDescent="0.25">
      <c r="A630" s="13">
        <v>60479</v>
      </c>
      <c r="B630" s="10">
        <f>59.7663 * CHOOSE(CONTROL!$C$9, $D$9, 100%, $F$9) + CHOOSE(CONTROL!$C$27, 0.0021, 0)</f>
        <v>59.7684</v>
      </c>
      <c r="C630" s="10">
        <f>59.3341 * CHOOSE(CONTROL!$C$9, $D$9, 100%, $F$9) + CHOOSE(CONTROL!$C$27, 0.0021, 0)</f>
        <v>59.336199999999998</v>
      </c>
      <c r="D630" s="10">
        <f>59.3341 * CHOOSE(CONTROL!$C$9, $D$9, 100%, $F$9) + CHOOSE(CONTROL!$C$27, 0.0021, 0)</f>
        <v>59.336199999999998</v>
      </c>
      <c r="E630" s="10">
        <f>59.1974 * CHOOSE(CONTROL!$C$9, $D$9, 100%, $F$9) + CHOOSE(CONTROL!$C$27, 0.0021, 0)</f>
        <v>59.1995</v>
      </c>
      <c r="F630" s="10">
        <f>59.1974 * CHOOSE(CONTROL!$C$9, $D$9, 100%, $F$9) + CHOOSE(CONTROL!$C$27, 0.0021, 0)</f>
        <v>59.1995</v>
      </c>
      <c r="G630" s="10">
        <f>59.4688 * CHOOSE(CONTROL!$C$9, $D$9, 100%, $F$9) + CHOOSE(CONTROL!$C$27, 0.0021, 0)</f>
        <v>59.4709</v>
      </c>
      <c r="H630" s="10">
        <f>59.3341 * CHOOSE(CONTROL!$C$9, $D$9, 100%, $F$9) + CHOOSE(CONTROL!$C$27, 0.0021, 0)</f>
        <v>59.336199999999998</v>
      </c>
      <c r="I630" s="10">
        <f>59.3341 * CHOOSE(CONTROL!$C$9, $D$9, 100%, $F$9) + CHOOSE(CONTROL!$C$27, 0.0021, 0)</f>
        <v>59.336199999999998</v>
      </c>
      <c r="J630" s="10">
        <f>59.3341 * CHOOSE(CONTROL!$C$9, $D$9, 100%, $F$9) + CHOOSE(CONTROL!$C$27, 0.0021, 0)</f>
        <v>59.336199999999998</v>
      </c>
      <c r="K630" s="10">
        <f>59.3341 * CHOOSE(CONTROL!$C$9, $D$9, 100%, $F$9) + CHOOSE(CONTROL!$C$27, 0.0021, 0)</f>
        <v>59.336199999999998</v>
      </c>
      <c r="L630" s="10"/>
    </row>
    <row r="631" spans="1:12" ht="15.75" x14ac:dyDescent="0.25">
      <c r="A631" s="13">
        <v>60510</v>
      </c>
      <c r="B631" s="10">
        <f>60.1116 * CHOOSE(CONTROL!$C$9, $D$9, 100%, $F$9) + CHOOSE(CONTROL!$C$27, 0.0021, 0)</f>
        <v>60.113700000000001</v>
      </c>
      <c r="C631" s="10">
        <f>59.6793 * CHOOSE(CONTROL!$C$9, $D$9, 100%, $F$9) + CHOOSE(CONTROL!$C$27, 0.0021, 0)</f>
        <v>59.681399999999996</v>
      </c>
      <c r="D631" s="10">
        <f>59.6793 * CHOOSE(CONTROL!$C$9, $D$9, 100%, $F$9) + CHOOSE(CONTROL!$C$27, 0.0021, 0)</f>
        <v>59.681399999999996</v>
      </c>
      <c r="E631" s="10">
        <f>59.5426 * CHOOSE(CONTROL!$C$9, $D$9, 100%, $F$9) + CHOOSE(CONTROL!$C$27, 0.0021, 0)</f>
        <v>59.544699999999999</v>
      </c>
      <c r="F631" s="10">
        <f>59.5426 * CHOOSE(CONTROL!$C$9, $D$9, 100%, $F$9) + CHOOSE(CONTROL!$C$27, 0.0021, 0)</f>
        <v>59.544699999999999</v>
      </c>
      <c r="G631" s="10">
        <f>59.814 * CHOOSE(CONTROL!$C$9, $D$9, 100%, $F$9) + CHOOSE(CONTROL!$C$27, 0.0021, 0)</f>
        <v>59.816099999999999</v>
      </c>
      <c r="H631" s="10">
        <f>59.6793 * CHOOSE(CONTROL!$C$9, $D$9, 100%, $F$9) + CHOOSE(CONTROL!$C$27, 0.0021, 0)</f>
        <v>59.681399999999996</v>
      </c>
      <c r="I631" s="10">
        <f>59.6793 * CHOOSE(CONTROL!$C$9, $D$9, 100%, $F$9) + CHOOSE(CONTROL!$C$27, 0.0021, 0)</f>
        <v>59.681399999999996</v>
      </c>
      <c r="J631" s="10">
        <f>59.6793 * CHOOSE(CONTROL!$C$9, $D$9, 100%, $F$9) + CHOOSE(CONTROL!$C$27, 0.0021, 0)</f>
        <v>59.681399999999996</v>
      </c>
      <c r="K631" s="10">
        <f>59.6793 * CHOOSE(CONTROL!$C$9, $D$9, 100%, $F$9) + CHOOSE(CONTROL!$C$27, 0.0021, 0)</f>
        <v>59.681399999999996</v>
      </c>
      <c r="L631" s="10"/>
    </row>
    <row r="632" spans="1:12" ht="15.75" x14ac:dyDescent="0.25">
      <c r="A632" s="13">
        <v>60540</v>
      </c>
      <c r="B632" s="10">
        <f>61.2873 * CHOOSE(CONTROL!$C$9, $D$9, 100%, $F$9) + CHOOSE(CONTROL!$C$27, 0.0021, 0)</f>
        <v>61.289400000000001</v>
      </c>
      <c r="C632" s="10">
        <f>60.8551 * CHOOSE(CONTROL!$C$9, $D$9, 100%, $F$9) + CHOOSE(CONTROL!$C$27, 0.0021, 0)</f>
        <v>60.857199999999999</v>
      </c>
      <c r="D632" s="10">
        <f>60.8551 * CHOOSE(CONTROL!$C$9, $D$9, 100%, $F$9) + CHOOSE(CONTROL!$C$27, 0.0021, 0)</f>
        <v>60.857199999999999</v>
      </c>
      <c r="E632" s="10">
        <f>60.7184 * CHOOSE(CONTROL!$C$9, $D$9, 100%, $F$9) + CHOOSE(CONTROL!$C$27, 0.0021, 0)</f>
        <v>60.720500000000001</v>
      </c>
      <c r="F632" s="10">
        <f>60.7184 * CHOOSE(CONTROL!$C$9, $D$9, 100%, $F$9) + CHOOSE(CONTROL!$C$27, 0.0021, 0)</f>
        <v>60.720500000000001</v>
      </c>
      <c r="G632" s="10">
        <f>60.9898 * CHOOSE(CONTROL!$C$9, $D$9, 100%, $F$9) + CHOOSE(CONTROL!$C$27, 0.0021, 0)</f>
        <v>60.991900000000001</v>
      </c>
      <c r="H632" s="10">
        <f>60.8551 * CHOOSE(CONTROL!$C$9, $D$9, 100%, $F$9) + CHOOSE(CONTROL!$C$27, 0.0021, 0)</f>
        <v>60.857199999999999</v>
      </c>
      <c r="I632" s="10">
        <f>60.8551 * CHOOSE(CONTROL!$C$9, $D$9, 100%, $F$9) + CHOOSE(CONTROL!$C$27, 0.0021, 0)</f>
        <v>60.857199999999999</v>
      </c>
      <c r="J632" s="10">
        <f>60.8551 * CHOOSE(CONTROL!$C$9, $D$9, 100%, $F$9) + CHOOSE(CONTROL!$C$27, 0.0021, 0)</f>
        <v>60.857199999999999</v>
      </c>
      <c r="K632" s="10">
        <f>60.8551 * CHOOSE(CONTROL!$C$9, $D$9, 100%, $F$9) + CHOOSE(CONTROL!$C$27, 0.0021, 0)</f>
        <v>60.857199999999999</v>
      </c>
      <c r="L632" s="10"/>
    </row>
    <row r="633" spans="1:12" ht="15.75" x14ac:dyDescent="0.25">
      <c r="A633" s="13">
        <v>60571</v>
      </c>
      <c r="B633" s="10">
        <f>62.7756 * CHOOSE(CONTROL!$C$9, $D$9, 100%, $F$9) + CHOOSE(CONTROL!$C$27, 0.0021, 0)</f>
        <v>62.777699999999996</v>
      </c>
      <c r="C633" s="10">
        <f>62.3434 * CHOOSE(CONTROL!$C$9, $D$9, 100%, $F$9) + CHOOSE(CONTROL!$C$27, 0.0021, 0)</f>
        <v>62.345500000000001</v>
      </c>
      <c r="D633" s="10">
        <f>62.3434 * CHOOSE(CONTROL!$C$9, $D$9, 100%, $F$9) + CHOOSE(CONTROL!$C$27, 0.0021, 0)</f>
        <v>62.345500000000001</v>
      </c>
      <c r="E633" s="10">
        <f>62.2067 * CHOOSE(CONTROL!$C$9, $D$9, 100%, $F$9) + CHOOSE(CONTROL!$C$27, 0.0021, 0)</f>
        <v>62.208799999999997</v>
      </c>
      <c r="F633" s="10">
        <f>62.2067 * CHOOSE(CONTROL!$C$9, $D$9, 100%, $F$9) + CHOOSE(CONTROL!$C$27, 0.0021, 0)</f>
        <v>62.208799999999997</v>
      </c>
      <c r="G633" s="10">
        <f>62.4781 * CHOOSE(CONTROL!$C$9, $D$9, 100%, $F$9) + CHOOSE(CONTROL!$C$27, 0.0021, 0)</f>
        <v>62.480199999999996</v>
      </c>
      <c r="H633" s="10">
        <f>62.3434 * CHOOSE(CONTROL!$C$9, $D$9, 100%, $F$9) + CHOOSE(CONTROL!$C$27, 0.0021, 0)</f>
        <v>62.345500000000001</v>
      </c>
      <c r="I633" s="10">
        <f>62.3434 * CHOOSE(CONTROL!$C$9, $D$9, 100%, $F$9) + CHOOSE(CONTROL!$C$27, 0.0021, 0)</f>
        <v>62.345500000000001</v>
      </c>
      <c r="J633" s="10">
        <f>62.3434 * CHOOSE(CONTROL!$C$9, $D$9, 100%, $F$9) + CHOOSE(CONTROL!$C$27, 0.0021, 0)</f>
        <v>62.345500000000001</v>
      </c>
      <c r="K633" s="10">
        <f>62.3434 * CHOOSE(CONTROL!$C$9, $D$9, 100%, $F$9) + CHOOSE(CONTROL!$C$27, 0.0021, 0)</f>
        <v>62.345500000000001</v>
      </c>
      <c r="L633" s="10"/>
    </row>
    <row r="634" spans="1:12" ht="15.75" x14ac:dyDescent="0.25">
      <c r="A634" s="13">
        <v>60601</v>
      </c>
      <c r="B634" s="10">
        <f>62.9153 * CHOOSE(CONTROL!$C$9, $D$9, 100%, $F$9) + CHOOSE(CONTROL!$C$27, 0.0021, 0)</f>
        <v>62.917400000000001</v>
      </c>
      <c r="C634" s="10">
        <f>62.4831 * CHOOSE(CONTROL!$C$9, $D$9, 100%, $F$9) + CHOOSE(CONTROL!$C$27, 0.0021, 0)</f>
        <v>62.485199999999999</v>
      </c>
      <c r="D634" s="10">
        <f>62.4831 * CHOOSE(CONTROL!$C$9, $D$9, 100%, $F$9) + CHOOSE(CONTROL!$C$27, 0.0021, 0)</f>
        <v>62.485199999999999</v>
      </c>
      <c r="E634" s="10">
        <f>62.3464 * CHOOSE(CONTROL!$C$9, $D$9, 100%, $F$9) + CHOOSE(CONTROL!$C$27, 0.0021, 0)</f>
        <v>62.348500000000001</v>
      </c>
      <c r="F634" s="10">
        <f>62.3464 * CHOOSE(CONTROL!$C$9, $D$9, 100%, $F$9) + CHOOSE(CONTROL!$C$27, 0.0021, 0)</f>
        <v>62.348500000000001</v>
      </c>
      <c r="G634" s="10">
        <f>62.6178 * CHOOSE(CONTROL!$C$9, $D$9, 100%, $F$9) + CHOOSE(CONTROL!$C$27, 0.0021, 0)</f>
        <v>62.619900000000001</v>
      </c>
      <c r="H634" s="10">
        <f>62.4831 * CHOOSE(CONTROL!$C$9, $D$9, 100%, $F$9) + CHOOSE(CONTROL!$C$27, 0.0021, 0)</f>
        <v>62.485199999999999</v>
      </c>
      <c r="I634" s="10">
        <f>62.4831 * CHOOSE(CONTROL!$C$9, $D$9, 100%, $F$9) + CHOOSE(CONTROL!$C$27, 0.0021, 0)</f>
        <v>62.485199999999999</v>
      </c>
      <c r="J634" s="10">
        <f>62.4831 * CHOOSE(CONTROL!$C$9, $D$9, 100%, $F$9) + CHOOSE(CONTROL!$C$27, 0.0021, 0)</f>
        <v>62.485199999999999</v>
      </c>
      <c r="K634" s="10">
        <f>62.4831 * CHOOSE(CONTROL!$C$9, $D$9, 100%, $F$9) + CHOOSE(CONTROL!$C$27, 0.0021, 0)</f>
        <v>62.485199999999999</v>
      </c>
      <c r="L634" s="10"/>
    </row>
    <row r="635" spans="1:12" ht="15.75" x14ac:dyDescent="0.25">
      <c r="A635" s="13">
        <v>60632</v>
      </c>
      <c r="B635" s="10">
        <f>61.7267 * CHOOSE(CONTROL!$C$9, $D$9, 100%, $F$9) + CHOOSE(CONTROL!$C$27, 0.0021, 0)</f>
        <v>61.7288</v>
      </c>
      <c r="C635" s="10">
        <f>61.2944 * CHOOSE(CONTROL!$C$9, $D$9, 100%, $F$9) + CHOOSE(CONTROL!$C$27, 0.0021, 0)</f>
        <v>61.296500000000002</v>
      </c>
      <c r="D635" s="10">
        <f>61.2944 * CHOOSE(CONTROL!$C$9, $D$9, 100%, $F$9) + CHOOSE(CONTROL!$C$27, 0.0021, 0)</f>
        <v>61.296500000000002</v>
      </c>
      <c r="E635" s="10">
        <f>61.1577 * CHOOSE(CONTROL!$C$9, $D$9, 100%, $F$9) + CHOOSE(CONTROL!$C$27, 0.0021, 0)</f>
        <v>61.159799999999997</v>
      </c>
      <c r="F635" s="10">
        <f>61.1577 * CHOOSE(CONTROL!$C$9, $D$9, 100%, $F$9) + CHOOSE(CONTROL!$C$27, 0.0021, 0)</f>
        <v>61.159799999999997</v>
      </c>
      <c r="G635" s="10">
        <f>61.4291 * CHOOSE(CONTROL!$C$9, $D$9, 100%, $F$9) + CHOOSE(CONTROL!$C$27, 0.0021, 0)</f>
        <v>61.431199999999997</v>
      </c>
      <c r="H635" s="10">
        <f>61.2944 * CHOOSE(CONTROL!$C$9, $D$9, 100%, $F$9) + CHOOSE(CONTROL!$C$27, 0.0021, 0)</f>
        <v>61.296500000000002</v>
      </c>
      <c r="I635" s="10">
        <f>61.2944 * CHOOSE(CONTROL!$C$9, $D$9, 100%, $F$9) + CHOOSE(CONTROL!$C$27, 0.0021, 0)</f>
        <v>61.296500000000002</v>
      </c>
      <c r="J635" s="10">
        <f>61.2944 * CHOOSE(CONTROL!$C$9, $D$9, 100%, $F$9) + CHOOSE(CONTROL!$C$27, 0.0021, 0)</f>
        <v>61.296500000000002</v>
      </c>
      <c r="K635" s="10">
        <f>61.2944 * CHOOSE(CONTROL!$C$9, $D$9, 100%, $F$9) + CHOOSE(CONTROL!$C$27, 0.0021, 0)</f>
        <v>61.296500000000002</v>
      </c>
      <c r="L635" s="10"/>
    </row>
    <row r="636" spans="1:12" ht="15.75" x14ac:dyDescent="0.25">
      <c r="A636" s="13">
        <v>60663</v>
      </c>
      <c r="B636" s="10">
        <f>60.8166 * CHOOSE(CONTROL!$C$9, $D$9, 100%, $F$9) + CHOOSE(CONTROL!$C$27, 0.0021, 0)</f>
        <v>60.8187</v>
      </c>
      <c r="C636" s="10">
        <f>60.3843 * CHOOSE(CONTROL!$C$9, $D$9, 100%, $F$9) + CHOOSE(CONTROL!$C$27, 0.0021, 0)</f>
        <v>60.386400000000002</v>
      </c>
      <c r="D636" s="10">
        <f>60.3843 * CHOOSE(CONTROL!$C$9, $D$9, 100%, $F$9) + CHOOSE(CONTROL!$C$27, 0.0021, 0)</f>
        <v>60.386400000000002</v>
      </c>
      <c r="E636" s="10">
        <f>60.2477 * CHOOSE(CONTROL!$C$9, $D$9, 100%, $F$9) + CHOOSE(CONTROL!$C$27, 0.0021, 0)</f>
        <v>60.2498</v>
      </c>
      <c r="F636" s="10">
        <f>60.2477 * CHOOSE(CONTROL!$C$9, $D$9, 100%, $F$9) + CHOOSE(CONTROL!$C$27, 0.0021, 0)</f>
        <v>60.2498</v>
      </c>
      <c r="G636" s="10">
        <f>60.519 * CHOOSE(CONTROL!$C$9, $D$9, 100%, $F$9) + CHOOSE(CONTROL!$C$27, 0.0021, 0)</f>
        <v>60.521099999999997</v>
      </c>
      <c r="H636" s="10">
        <f>60.3843 * CHOOSE(CONTROL!$C$9, $D$9, 100%, $F$9) + CHOOSE(CONTROL!$C$27, 0.0021, 0)</f>
        <v>60.386400000000002</v>
      </c>
      <c r="I636" s="10">
        <f>60.3843 * CHOOSE(CONTROL!$C$9, $D$9, 100%, $F$9) + CHOOSE(CONTROL!$C$27, 0.0021, 0)</f>
        <v>60.386400000000002</v>
      </c>
      <c r="J636" s="10">
        <f>60.3843 * CHOOSE(CONTROL!$C$9, $D$9, 100%, $F$9) + CHOOSE(CONTROL!$C$27, 0.0021, 0)</f>
        <v>60.386400000000002</v>
      </c>
      <c r="K636" s="10">
        <f>60.3843 * CHOOSE(CONTROL!$C$9, $D$9, 100%, $F$9) + CHOOSE(CONTROL!$C$27, 0.0021, 0)</f>
        <v>60.386400000000002</v>
      </c>
      <c r="L636" s="10"/>
    </row>
    <row r="637" spans="1:12" ht="15.75" x14ac:dyDescent="0.25">
      <c r="A637" s="13">
        <v>60691</v>
      </c>
      <c r="B637" s="10">
        <f>59.1612 * CHOOSE(CONTROL!$C$9, $D$9, 100%, $F$9) + CHOOSE(CONTROL!$C$27, 0.0021, 0)</f>
        <v>59.1633</v>
      </c>
      <c r="C637" s="10">
        <f>58.7289 * CHOOSE(CONTROL!$C$9, $D$9, 100%, $F$9) + CHOOSE(CONTROL!$C$27, 0.0021, 0)</f>
        <v>58.731000000000002</v>
      </c>
      <c r="D637" s="10">
        <f>58.7289 * CHOOSE(CONTROL!$C$9, $D$9, 100%, $F$9) + CHOOSE(CONTROL!$C$27, 0.0021, 0)</f>
        <v>58.731000000000002</v>
      </c>
      <c r="E637" s="10">
        <f>58.5923 * CHOOSE(CONTROL!$C$9, $D$9, 100%, $F$9) + CHOOSE(CONTROL!$C$27, 0.0021, 0)</f>
        <v>58.5944</v>
      </c>
      <c r="F637" s="10">
        <f>58.5923 * CHOOSE(CONTROL!$C$9, $D$9, 100%, $F$9) + CHOOSE(CONTROL!$C$27, 0.0021, 0)</f>
        <v>58.5944</v>
      </c>
      <c r="G637" s="10">
        <f>58.8637 * CHOOSE(CONTROL!$C$9, $D$9, 100%, $F$9) + CHOOSE(CONTROL!$C$27, 0.0021, 0)</f>
        <v>58.8658</v>
      </c>
      <c r="H637" s="10">
        <f>58.7289 * CHOOSE(CONTROL!$C$9, $D$9, 100%, $F$9) + CHOOSE(CONTROL!$C$27, 0.0021, 0)</f>
        <v>58.731000000000002</v>
      </c>
      <c r="I637" s="10">
        <f>58.7289 * CHOOSE(CONTROL!$C$9, $D$9, 100%, $F$9) + CHOOSE(CONTROL!$C$27, 0.0021, 0)</f>
        <v>58.731000000000002</v>
      </c>
      <c r="J637" s="10">
        <f>58.7289 * CHOOSE(CONTROL!$C$9, $D$9, 100%, $F$9) + CHOOSE(CONTROL!$C$27, 0.0021, 0)</f>
        <v>58.731000000000002</v>
      </c>
      <c r="K637" s="10">
        <f>58.7289 * CHOOSE(CONTROL!$C$9, $D$9, 100%, $F$9) + CHOOSE(CONTROL!$C$27, 0.0021, 0)</f>
        <v>58.731000000000002</v>
      </c>
      <c r="L637" s="10"/>
    </row>
    <row r="638" spans="1:12" ht="15.75" x14ac:dyDescent="0.25">
      <c r="A638" s="13">
        <v>60722</v>
      </c>
      <c r="B638" s="10">
        <f>58.4778 * CHOOSE(CONTROL!$C$9, $D$9, 100%, $F$9) + CHOOSE(CONTROL!$C$27, 0.0021, 0)</f>
        <v>58.479900000000001</v>
      </c>
      <c r="C638" s="10">
        <f>58.0456 * CHOOSE(CONTROL!$C$9, $D$9, 100%, $F$9) + CHOOSE(CONTROL!$C$27, 0.0021, 0)</f>
        <v>58.047699999999999</v>
      </c>
      <c r="D638" s="10">
        <f>58.0456 * CHOOSE(CONTROL!$C$9, $D$9, 100%, $F$9) + CHOOSE(CONTROL!$C$27, 0.0021, 0)</f>
        <v>58.047699999999999</v>
      </c>
      <c r="E638" s="10">
        <f>57.9089 * CHOOSE(CONTROL!$C$9, $D$9, 100%, $F$9) + CHOOSE(CONTROL!$C$27, 0.0021, 0)</f>
        <v>57.911000000000001</v>
      </c>
      <c r="F638" s="10">
        <f>57.9089 * CHOOSE(CONTROL!$C$9, $D$9, 100%, $F$9) + CHOOSE(CONTROL!$C$27, 0.0021, 0)</f>
        <v>57.911000000000001</v>
      </c>
      <c r="G638" s="10">
        <f>58.1803 * CHOOSE(CONTROL!$C$9, $D$9, 100%, $F$9) + CHOOSE(CONTROL!$C$27, 0.0021, 0)</f>
        <v>58.182400000000001</v>
      </c>
      <c r="H638" s="10">
        <f>58.0456 * CHOOSE(CONTROL!$C$9, $D$9, 100%, $F$9) + CHOOSE(CONTROL!$C$27, 0.0021, 0)</f>
        <v>58.047699999999999</v>
      </c>
      <c r="I638" s="10">
        <f>58.0456 * CHOOSE(CONTROL!$C$9, $D$9, 100%, $F$9) + CHOOSE(CONTROL!$C$27, 0.0021, 0)</f>
        <v>58.047699999999999</v>
      </c>
      <c r="J638" s="10">
        <f>58.0456 * CHOOSE(CONTROL!$C$9, $D$9, 100%, $F$9) + CHOOSE(CONTROL!$C$27, 0.0021, 0)</f>
        <v>58.047699999999999</v>
      </c>
      <c r="K638" s="10">
        <f>58.0456 * CHOOSE(CONTROL!$C$9, $D$9, 100%, $F$9) + CHOOSE(CONTROL!$C$27, 0.0021, 0)</f>
        <v>58.047699999999999</v>
      </c>
      <c r="L638" s="10"/>
    </row>
    <row r="639" spans="1:12" ht="15.75" x14ac:dyDescent="0.25">
      <c r="A639" s="13">
        <v>60752</v>
      </c>
      <c r="B639" s="10">
        <f>57.6619 * CHOOSE(CONTROL!$C$9, $D$9, 100%, $F$9) + CHOOSE(CONTROL!$C$27, 0.0021, 0)</f>
        <v>57.664000000000001</v>
      </c>
      <c r="C639" s="10">
        <f>57.2297 * CHOOSE(CONTROL!$C$9, $D$9, 100%, $F$9) + CHOOSE(CONTROL!$C$27, 0.0021, 0)</f>
        <v>57.2318</v>
      </c>
      <c r="D639" s="10">
        <f>57.2297 * CHOOSE(CONTROL!$C$9, $D$9, 100%, $F$9) + CHOOSE(CONTROL!$C$27, 0.0021, 0)</f>
        <v>57.2318</v>
      </c>
      <c r="E639" s="10">
        <f>57.093 * CHOOSE(CONTROL!$C$9, $D$9, 100%, $F$9) + CHOOSE(CONTROL!$C$27, 0.0021, 0)</f>
        <v>57.095100000000002</v>
      </c>
      <c r="F639" s="10">
        <f>57.093 * CHOOSE(CONTROL!$C$9, $D$9, 100%, $F$9) + CHOOSE(CONTROL!$C$27, 0.0021, 0)</f>
        <v>57.095100000000002</v>
      </c>
      <c r="G639" s="10">
        <f>57.3644 * CHOOSE(CONTROL!$C$9, $D$9, 100%, $F$9) + CHOOSE(CONTROL!$C$27, 0.0021, 0)</f>
        <v>57.366500000000002</v>
      </c>
      <c r="H639" s="10">
        <f>57.2297 * CHOOSE(CONTROL!$C$9, $D$9, 100%, $F$9) + CHOOSE(CONTROL!$C$27, 0.0021, 0)</f>
        <v>57.2318</v>
      </c>
      <c r="I639" s="10">
        <f>57.2297 * CHOOSE(CONTROL!$C$9, $D$9, 100%, $F$9) + CHOOSE(CONTROL!$C$27, 0.0021, 0)</f>
        <v>57.2318</v>
      </c>
      <c r="J639" s="10">
        <f>57.2297 * CHOOSE(CONTROL!$C$9, $D$9, 100%, $F$9) + CHOOSE(CONTROL!$C$27, 0.0021, 0)</f>
        <v>57.2318</v>
      </c>
      <c r="K639" s="10">
        <f>57.2297 * CHOOSE(CONTROL!$C$9, $D$9, 100%, $F$9) + CHOOSE(CONTROL!$C$27, 0.0021, 0)</f>
        <v>57.2318</v>
      </c>
      <c r="L639" s="10"/>
    </row>
    <row r="640" spans="1:12" ht="15.75" x14ac:dyDescent="0.25">
      <c r="A640" s="13">
        <v>60783</v>
      </c>
      <c r="B640" s="10">
        <f>58.8247 * CHOOSE(CONTROL!$C$9, $D$9, 100%, $F$9) + CHOOSE(CONTROL!$C$27, 0.0021, 0)</f>
        <v>58.826799999999999</v>
      </c>
      <c r="C640" s="10">
        <f>58.3925 * CHOOSE(CONTROL!$C$9, $D$9, 100%, $F$9) + CHOOSE(CONTROL!$C$27, 0.0021, 0)</f>
        <v>58.394599999999997</v>
      </c>
      <c r="D640" s="10">
        <f>58.3925 * CHOOSE(CONTROL!$C$9, $D$9, 100%, $F$9) + CHOOSE(CONTROL!$C$27, 0.0021, 0)</f>
        <v>58.394599999999997</v>
      </c>
      <c r="E640" s="10">
        <f>58.2558 * CHOOSE(CONTROL!$C$9, $D$9, 100%, $F$9) + CHOOSE(CONTROL!$C$27, 0.0021, 0)</f>
        <v>58.257899999999999</v>
      </c>
      <c r="F640" s="10">
        <f>58.2558 * CHOOSE(CONTROL!$C$9, $D$9, 100%, $F$9) + CHOOSE(CONTROL!$C$27, 0.0021, 0)</f>
        <v>58.257899999999999</v>
      </c>
      <c r="G640" s="10">
        <f>58.5272 * CHOOSE(CONTROL!$C$9, $D$9, 100%, $F$9) + CHOOSE(CONTROL!$C$27, 0.0021, 0)</f>
        <v>58.529299999999999</v>
      </c>
      <c r="H640" s="10">
        <f>58.3925 * CHOOSE(CONTROL!$C$9, $D$9, 100%, $F$9) + CHOOSE(CONTROL!$C$27, 0.0021, 0)</f>
        <v>58.394599999999997</v>
      </c>
      <c r="I640" s="10">
        <f>58.3925 * CHOOSE(CONTROL!$C$9, $D$9, 100%, $F$9) + CHOOSE(CONTROL!$C$27, 0.0021, 0)</f>
        <v>58.394599999999997</v>
      </c>
      <c r="J640" s="10">
        <f>58.3925 * CHOOSE(CONTROL!$C$9, $D$9, 100%, $F$9) + CHOOSE(CONTROL!$C$27, 0.0021, 0)</f>
        <v>58.394599999999997</v>
      </c>
      <c r="K640" s="10">
        <f>58.3925 * CHOOSE(CONTROL!$C$9, $D$9, 100%, $F$9) + CHOOSE(CONTROL!$C$27, 0.0021, 0)</f>
        <v>58.394599999999997</v>
      </c>
      <c r="L640" s="10"/>
    </row>
    <row r="641" spans="1:12" ht="15.75" x14ac:dyDescent="0.25">
      <c r="A641" s="13">
        <v>60813</v>
      </c>
      <c r="B641" s="10">
        <f>59.5212 * CHOOSE(CONTROL!$C$9, $D$9, 100%, $F$9) + CHOOSE(CONTROL!$C$27, 0.0021, 0)</f>
        <v>59.523299999999999</v>
      </c>
      <c r="C641" s="10">
        <f>59.0889 * CHOOSE(CONTROL!$C$9, $D$9, 100%, $F$9) + CHOOSE(CONTROL!$C$27, 0.0021, 0)</f>
        <v>59.091000000000001</v>
      </c>
      <c r="D641" s="10">
        <f>59.0889 * CHOOSE(CONTROL!$C$9, $D$9, 100%, $F$9) + CHOOSE(CONTROL!$C$27, 0.0021, 0)</f>
        <v>59.091000000000001</v>
      </c>
      <c r="E641" s="10">
        <f>58.9523 * CHOOSE(CONTROL!$C$9, $D$9, 100%, $F$9) + CHOOSE(CONTROL!$C$27, 0.0021, 0)</f>
        <v>58.9544</v>
      </c>
      <c r="F641" s="10">
        <f>58.9523 * CHOOSE(CONTROL!$C$9, $D$9, 100%, $F$9) + CHOOSE(CONTROL!$C$27, 0.0021, 0)</f>
        <v>58.9544</v>
      </c>
      <c r="G641" s="10">
        <f>59.2236 * CHOOSE(CONTROL!$C$9, $D$9, 100%, $F$9) + CHOOSE(CONTROL!$C$27, 0.0021, 0)</f>
        <v>59.225699999999996</v>
      </c>
      <c r="H641" s="10">
        <f>59.0889 * CHOOSE(CONTROL!$C$9, $D$9, 100%, $F$9) + CHOOSE(CONTROL!$C$27, 0.0021, 0)</f>
        <v>59.091000000000001</v>
      </c>
      <c r="I641" s="10">
        <f>59.0889 * CHOOSE(CONTROL!$C$9, $D$9, 100%, $F$9) + CHOOSE(CONTROL!$C$27, 0.0021, 0)</f>
        <v>59.091000000000001</v>
      </c>
      <c r="J641" s="10">
        <f>59.0889 * CHOOSE(CONTROL!$C$9, $D$9, 100%, $F$9) + CHOOSE(CONTROL!$C$27, 0.0021, 0)</f>
        <v>59.091000000000001</v>
      </c>
      <c r="K641" s="10">
        <f>59.0889 * CHOOSE(CONTROL!$C$9, $D$9, 100%, $F$9) + CHOOSE(CONTROL!$C$27, 0.0021, 0)</f>
        <v>59.091000000000001</v>
      </c>
      <c r="L641" s="10"/>
    </row>
    <row r="642" spans="1:12" ht="15.75" x14ac:dyDescent="0.25">
      <c r="A642" s="13">
        <v>60844</v>
      </c>
      <c r="B642" s="10">
        <f>60.6701 * CHOOSE(CONTROL!$C$9, $D$9, 100%, $F$9) + CHOOSE(CONTROL!$C$27, 0.0021, 0)</f>
        <v>60.672199999999997</v>
      </c>
      <c r="C642" s="10">
        <f>60.2378 * CHOOSE(CONTROL!$C$9, $D$9, 100%, $F$9) + CHOOSE(CONTROL!$C$27, 0.0021, 0)</f>
        <v>60.239899999999999</v>
      </c>
      <c r="D642" s="10">
        <f>60.2378 * CHOOSE(CONTROL!$C$9, $D$9, 100%, $F$9) + CHOOSE(CONTROL!$C$27, 0.0021, 0)</f>
        <v>60.239899999999999</v>
      </c>
      <c r="E642" s="10">
        <f>60.1012 * CHOOSE(CONTROL!$C$9, $D$9, 100%, $F$9) + CHOOSE(CONTROL!$C$27, 0.0021, 0)</f>
        <v>60.103299999999997</v>
      </c>
      <c r="F642" s="10">
        <f>60.1012 * CHOOSE(CONTROL!$C$9, $D$9, 100%, $F$9) + CHOOSE(CONTROL!$C$27, 0.0021, 0)</f>
        <v>60.103299999999997</v>
      </c>
      <c r="G642" s="10">
        <f>60.3725 * CHOOSE(CONTROL!$C$9, $D$9, 100%, $F$9) + CHOOSE(CONTROL!$C$27, 0.0021, 0)</f>
        <v>60.374600000000001</v>
      </c>
      <c r="H642" s="10">
        <f>60.2378 * CHOOSE(CONTROL!$C$9, $D$9, 100%, $F$9) + CHOOSE(CONTROL!$C$27, 0.0021, 0)</f>
        <v>60.239899999999999</v>
      </c>
      <c r="I642" s="10">
        <f>60.2378 * CHOOSE(CONTROL!$C$9, $D$9, 100%, $F$9) + CHOOSE(CONTROL!$C$27, 0.0021, 0)</f>
        <v>60.239899999999999</v>
      </c>
      <c r="J642" s="10">
        <f>60.2378 * CHOOSE(CONTROL!$C$9, $D$9, 100%, $F$9) + CHOOSE(CONTROL!$C$27, 0.0021, 0)</f>
        <v>60.239899999999999</v>
      </c>
      <c r="K642" s="10">
        <f>60.2378 * CHOOSE(CONTROL!$C$9, $D$9, 100%, $F$9) + CHOOSE(CONTROL!$C$27, 0.0021, 0)</f>
        <v>60.239899999999999</v>
      </c>
      <c r="L642" s="10"/>
    </row>
    <row r="643" spans="1:12" ht="15.75" x14ac:dyDescent="0.25">
      <c r="A643" s="13">
        <v>60875</v>
      </c>
      <c r="B643" s="10">
        <f>61.0208 * CHOOSE(CONTROL!$C$9, $D$9, 100%, $F$9) + CHOOSE(CONTROL!$C$27, 0.0021, 0)</f>
        <v>61.0229</v>
      </c>
      <c r="C643" s="10">
        <f>60.5885 * CHOOSE(CONTROL!$C$9, $D$9, 100%, $F$9) + CHOOSE(CONTROL!$C$27, 0.0021, 0)</f>
        <v>60.590600000000002</v>
      </c>
      <c r="D643" s="10">
        <f>60.5885 * CHOOSE(CONTROL!$C$9, $D$9, 100%, $F$9) + CHOOSE(CONTROL!$C$27, 0.0021, 0)</f>
        <v>60.590600000000002</v>
      </c>
      <c r="E643" s="10">
        <f>60.4519 * CHOOSE(CONTROL!$C$9, $D$9, 100%, $F$9) + CHOOSE(CONTROL!$C$27, 0.0021, 0)</f>
        <v>60.454000000000001</v>
      </c>
      <c r="F643" s="10">
        <f>60.4519 * CHOOSE(CONTROL!$C$9, $D$9, 100%, $F$9) + CHOOSE(CONTROL!$C$27, 0.0021, 0)</f>
        <v>60.454000000000001</v>
      </c>
      <c r="G643" s="10">
        <f>60.7232 * CHOOSE(CONTROL!$C$9, $D$9, 100%, $F$9) + CHOOSE(CONTROL!$C$27, 0.0021, 0)</f>
        <v>60.725299999999997</v>
      </c>
      <c r="H643" s="10">
        <f>60.5885 * CHOOSE(CONTROL!$C$9, $D$9, 100%, $F$9) + CHOOSE(CONTROL!$C$27, 0.0021, 0)</f>
        <v>60.590600000000002</v>
      </c>
      <c r="I643" s="10">
        <f>60.5885 * CHOOSE(CONTROL!$C$9, $D$9, 100%, $F$9) + CHOOSE(CONTROL!$C$27, 0.0021, 0)</f>
        <v>60.590600000000002</v>
      </c>
      <c r="J643" s="10">
        <f>60.5885 * CHOOSE(CONTROL!$C$9, $D$9, 100%, $F$9) + CHOOSE(CONTROL!$C$27, 0.0021, 0)</f>
        <v>60.590600000000002</v>
      </c>
      <c r="K643" s="10">
        <f>60.5885 * CHOOSE(CONTROL!$C$9, $D$9, 100%, $F$9) + CHOOSE(CONTROL!$C$27, 0.0021, 0)</f>
        <v>60.590600000000002</v>
      </c>
      <c r="L643" s="10"/>
    </row>
    <row r="644" spans="1:12" ht="15.75" x14ac:dyDescent="0.25">
      <c r="A644" s="13">
        <v>60905</v>
      </c>
      <c r="B644" s="10">
        <f>62.215 * CHOOSE(CONTROL!$C$9, $D$9, 100%, $F$9) + CHOOSE(CONTROL!$C$27, 0.0021, 0)</f>
        <v>62.217100000000002</v>
      </c>
      <c r="C644" s="10">
        <f>61.7828 * CHOOSE(CONTROL!$C$9, $D$9, 100%, $F$9) + CHOOSE(CONTROL!$C$27, 0.0021, 0)</f>
        <v>61.7849</v>
      </c>
      <c r="D644" s="10">
        <f>61.7828 * CHOOSE(CONTROL!$C$9, $D$9, 100%, $F$9) + CHOOSE(CONTROL!$C$27, 0.0021, 0)</f>
        <v>61.7849</v>
      </c>
      <c r="E644" s="10">
        <f>61.6461 * CHOOSE(CONTROL!$C$9, $D$9, 100%, $F$9) + CHOOSE(CONTROL!$C$27, 0.0021, 0)</f>
        <v>61.648199999999996</v>
      </c>
      <c r="F644" s="10">
        <f>61.6461 * CHOOSE(CONTROL!$C$9, $D$9, 100%, $F$9) + CHOOSE(CONTROL!$C$27, 0.0021, 0)</f>
        <v>61.648199999999996</v>
      </c>
      <c r="G644" s="10">
        <f>61.9175 * CHOOSE(CONTROL!$C$9, $D$9, 100%, $F$9) + CHOOSE(CONTROL!$C$27, 0.0021, 0)</f>
        <v>61.919599999999996</v>
      </c>
      <c r="H644" s="10">
        <f>61.7828 * CHOOSE(CONTROL!$C$9, $D$9, 100%, $F$9) + CHOOSE(CONTROL!$C$27, 0.0021, 0)</f>
        <v>61.7849</v>
      </c>
      <c r="I644" s="10">
        <f>61.7828 * CHOOSE(CONTROL!$C$9, $D$9, 100%, $F$9) + CHOOSE(CONTROL!$C$27, 0.0021, 0)</f>
        <v>61.7849</v>
      </c>
      <c r="J644" s="10">
        <f>61.7828 * CHOOSE(CONTROL!$C$9, $D$9, 100%, $F$9) + CHOOSE(CONTROL!$C$27, 0.0021, 0)</f>
        <v>61.7849</v>
      </c>
      <c r="K644" s="10">
        <f>61.7828 * CHOOSE(CONTROL!$C$9, $D$9, 100%, $F$9) + CHOOSE(CONTROL!$C$27, 0.0021, 0)</f>
        <v>61.7849</v>
      </c>
      <c r="L644" s="10"/>
    </row>
    <row r="645" spans="1:12" ht="15.75" x14ac:dyDescent="0.25">
      <c r="A645" s="13">
        <v>60936</v>
      </c>
      <c r="B645" s="10">
        <f>63.7267 * CHOOSE(CONTROL!$C$9, $D$9, 100%, $F$9) + CHOOSE(CONTROL!$C$27, 0.0021, 0)</f>
        <v>63.7288</v>
      </c>
      <c r="C645" s="10">
        <f>63.2945 * CHOOSE(CONTROL!$C$9, $D$9, 100%, $F$9) + CHOOSE(CONTROL!$C$27, 0.0021, 0)</f>
        <v>63.296599999999998</v>
      </c>
      <c r="D645" s="10">
        <f>63.2945 * CHOOSE(CONTROL!$C$9, $D$9, 100%, $F$9) + CHOOSE(CONTROL!$C$27, 0.0021, 0)</f>
        <v>63.296599999999998</v>
      </c>
      <c r="E645" s="10">
        <f>63.1578 * CHOOSE(CONTROL!$C$9, $D$9, 100%, $F$9) + CHOOSE(CONTROL!$C$27, 0.0021, 0)</f>
        <v>63.1599</v>
      </c>
      <c r="F645" s="10">
        <f>63.1578 * CHOOSE(CONTROL!$C$9, $D$9, 100%, $F$9) + CHOOSE(CONTROL!$C$27, 0.0021, 0)</f>
        <v>63.1599</v>
      </c>
      <c r="G645" s="10">
        <f>63.4292 * CHOOSE(CONTROL!$C$9, $D$9, 100%, $F$9) + CHOOSE(CONTROL!$C$27, 0.0021, 0)</f>
        <v>63.4313</v>
      </c>
      <c r="H645" s="10">
        <f>63.2945 * CHOOSE(CONTROL!$C$9, $D$9, 100%, $F$9) + CHOOSE(CONTROL!$C$27, 0.0021, 0)</f>
        <v>63.296599999999998</v>
      </c>
      <c r="I645" s="10">
        <f>63.2945 * CHOOSE(CONTROL!$C$9, $D$9, 100%, $F$9) + CHOOSE(CONTROL!$C$27, 0.0021, 0)</f>
        <v>63.296599999999998</v>
      </c>
      <c r="J645" s="10">
        <f>63.2945 * CHOOSE(CONTROL!$C$9, $D$9, 100%, $F$9) + CHOOSE(CONTROL!$C$27, 0.0021, 0)</f>
        <v>63.296599999999998</v>
      </c>
      <c r="K645" s="10">
        <f>63.2945 * CHOOSE(CONTROL!$C$9, $D$9, 100%, $F$9) + CHOOSE(CONTROL!$C$27, 0.0021, 0)</f>
        <v>63.296599999999998</v>
      </c>
      <c r="L645" s="10"/>
    </row>
    <row r="646" spans="1:12" ht="15.75" x14ac:dyDescent="0.25">
      <c r="A646" s="13">
        <v>60966</v>
      </c>
      <c r="B646" s="10">
        <f>63.8686 * CHOOSE(CONTROL!$C$9, $D$9, 100%, $F$9) + CHOOSE(CONTROL!$C$27, 0.0021, 0)</f>
        <v>63.870699999999999</v>
      </c>
      <c r="C646" s="10">
        <f>63.4364 * CHOOSE(CONTROL!$C$9, $D$9, 100%, $F$9) + CHOOSE(CONTROL!$C$27, 0.0021, 0)</f>
        <v>63.438499999999998</v>
      </c>
      <c r="D646" s="10">
        <f>63.4364 * CHOOSE(CONTROL!$C$9, $D$9, 100%, $F$9) + CHOOSE(CONTROL!$C$27, 0.0021, 0)</f>
        <v>63.438499999999998</v>
      </c>
      <c r="E646" s="10">
        <f>63.2997 * CHOOSE(CONTROL!$C$9, $D$9, 100%, $F$9) + CHOOSE(CONTROL!$C$27, 0.0021, 0)</f>
        <v>63.3018</v>
      </c>
      <c r="F646" s="10">
        <f>63.2997 * CHOOSE(CONTROL!$C$9, $D$9, 100%, $F$9) + CHOOSE(CONTROL!$C$27, 0.0021, 0)</f>
        <v>63.3018</v>
      </c>
      <c r="G646" s="10">
        <f>63.5711 * CHOOSE(CONTROL!$C$9, $D$9, 100%, $F$9) + CHOOSE(CONTROL!$C$27, 0.0021, 0)</f>
        <v>63.5732</v>
      </c>
      <c r="H646" s="10">
        <f>63.4364 * CHOOSE(CONTROL!$C$9, $D$9, 100%, $F$9) + CHOOSE(CONTROL!$C$27, 0.0021, 0)</f>
        <v>63.438499999999998</v>
      </c>
      <c r="I646" s="10">
        <f>63.4364 * CHOOSE(CONTROL!$C$9, $D$9, 100%, $F$9) + CHOOSE(CONTROL!$C$27, 0.0021, 0)</f>
        <v>63.438499999999998</v>
      </c>
      <c r="J646" s="10">
        <f>63.4364 * CHOOSE(CONTROL!$C$9, $D$9, 100%, $F$9) + CHOOSE(CONTROL!$C$27, 0.0021, 0)</f>
        <v>63.438499999999998</v>
      </c>
      <c r="K646" s="10">
        <f>63.4364 * CHOOSE(CONTROL!$C$9, $D$9, 100%, $F$9) + CHOOSE(CONTROL!$C$27, 0.0021, 0)</f>
        <v>63.438499999999998</v>
      </c>
      <c r="L646" s="10"/>
    </row>
    <row r="647" spans="1:12" ht="15.75" x14ac:dyDescent="0.25">
      <c r="A647" s="13">
        <v>60997</v>
      </c>
      <c r="B647" s="10">
        <f>62.6613 * CHOOSE(CONTROL!$C$9, $D$9, 100%, $F$9) + CHOOSE(CONTROL!$C$27, 0.0021, 0)</f>
        <v>62.663399999999996</v>
      </c>
      <c r="C647" s="10">
        <f>62.229 * CHOOSE(CONTROL!$C$9, $D$9, 100%, $F$9) + CHOOSE(CONTROL!$C$27, 0.0021, 0)</f>
        <v>62.231099999999998</v>
      </c>
      <c r="D647" s="10">
        <f>62.229 * CHOOSE(CONTROL!$C$9, $D$9, 100%, $F$9) + CHOOSE(CONTROL!$C$27, 0.0021, 0)</f>
        <v>62.231099999999998</v>
      </c>
      <c r="E647" s="10">
        <f>62.0923 * CHOOSE(CONTROL!$C$9, $D$9, 100%, $F$9) + CHOOSE(CONTROL!$C$27, 0.0021, 0)</f>
        <v>62.0944</v>
      </c>
      <c r="F647" s="10">
        <f>62.0923 * CHOOSE(CONTROL!$C$9, $D$9, 100%, $F$9) + CHOOSE(CONTROL!$C$27, 0.0021, 0)</f>
        <v>62.0944</v>
      </c>
      <c r="G647" s="10">
        <f>62.3637 * CHOOSE(CONTROL!$C$9, $D$9, 100%, $F$9) + CHOOSE(CONTROL!$C$27, 0.0021, 0)</f>
        <v>62.3658</v>
      </c>
      <c r="H647" s="10">
        <f>62.229 * CHOOSE(CONTROL!$C$9, $D$9, 100%, $F$9) + CHOOSE(CONTROL!$C$27, 0.0021, 0)</f>
        <v>62.231099999999998</v>
      </c>
      <c r="I647" s="10">
        <f>62.229 * CHOOSE(CONTROL!$C$9, $D$9, 100%, $F$9) + CHOOSE(CONTROL!$C$27, 0.0021, 0)</f>
        <v>62.231099999999998</v>
      </c>
      <c r="J647" s="10">
        <f>62.229 * CHOOSE(CONTROL!$C$9, $D$9, 100%, $F$9) + CHOOSE(CONTROL!$C$27, 0.0021, 0)</f>
        <v>62.231099999999998</v>
      </c>
      <c r="K647" s="10">
        <f>62.229 * CHOOSE(CONTROL!$C$9, $D$9, 100%, $F$9) + CHOOSE(CONTROL!$C$27, 0.0021, 0)</f>
        <v>62.231099999999998</v>
      </c>
      <c r="L647" s="10"/>
    </row>
    <row r="648" spans="1:12" ht="15.75" x14ac:dyDescent="0.25">
      <c r="A648" s="13">
        <v>61028</v>
      </c>
      <c r="B648" s="10">
        <f>61.7369 * CHOOSE(CONTROL!$C$9, $D$9, 100%, $F$9) + CHOOSE(CONTROL!$C$27, 0.0021, 0)</f>
        <v>61.738999999999997</v>
      </c>
      <c r="C648" s="10">
        <f>61.3046 * CHOOSE(CONTROL!$C$9, $D$9, 100%, $F$9) + CHOOSE(CONTROL!$C$27, 0.0021, 0)</f>
        <v>61.306699999999999</v>
      </c>
      <c r="D648" s="10">
        <f>61.3046 * CHOOSE(CONTROL!$C$9, $D$9, 100%, $F$9) + CHOOSE(CONTROL!$C$27, 0.0021, 0)</f>
        <v>61.306699999999999</v>
      </c>
      <c r="E648" s="10">
        <f>61.1679 * CHOOSE(CONTROL!$C$9, $D$9, 100%, $F$9) + CHOOSE(CONTROL!$C$27, 0.0021, 0)</f>
        <v>61.17</v>
      </c>
      <c r="F648" s="10">
        <f>61.1679 * CHOOSE(CONTROL!$C$9, $D$9, 100%, $F$9) + CHOOSE(CONTROL!$C$27, 0.0021, 0)</f>
        <v>61.17</v>
      </c>
      <c r="G648" s="10">
        <f>61.4393 * CHOOSE(CONTROL!$C$9, $D$9, 100%, $F$9) + CHOOSE(CONTROL!$C$27, 0.0021, 0)</f>
        <v>61.441400000000002</v>
      </c>
      <c r="H648" s="10">
        <f>61.3046 * CHOOSE(CONTROL!$C$9, $D$9, 100%, $F$9) + CHOOSE(CONTROL!$C$27, 0.0021, 0)</f>
        <v>61.306699999999999</v>
      </c>
      <c r="I648" s="10">
        <f>61.3046 * CHOOSE(CONTROL!$C$9, $D$9, 100%, $F$9) + CHOOSE(CONTROL!$C$27, 0.0021, 0)</f>
        <v>61.306699999999999</v>
      </c>
      <c r="J648" s="10">
        <f>61.3046 * CHOOSE(CONTROL!$C$9, $D$9, 100%, $F$9) + CHOOSE(CONTROL!$C$27, 0.0021, 0)</f>
        <v>61.306699999999999</v>
      </c>
      <c r="K648" s="10">
        <f>61.3046 * CHOOSE(CONTROL!$C$9, $D$9, 100%, $F$9) + CHOOSE(CONTROL!$C$27, 0.0021, 0)</f>
        <v>61.306699999999999</v>
      </c>
      <c r="L648" s="10"/>
    </row>
    <row r="649" spans="1:12" ht="15.75" x14ac:dyDescent="0.25">
      <c r="A649" s="13">
        <v>61056</v>
      </c>
      <c r="B649" s="10">
        <f>60.0554 * CHOOSE(CONTROL!$C$9, $D$9, 100%, $F$9) + CHOOSE(CONTROL!$C$27, 0.0021, 0)</f>
        <v>60.057499999999997</v>
      </c>
      <c r="C649" s="10">
        <f>59.6232 * CHOOSE(CONTROL!$C$9, $D$9, 100%, $F$9) + CHOOSE(CONTROL!$C$27, 0.0021, 0)</f>
        <v>59.625299999999996</v>
      </c>
      <c r="D649" s="10">
        <f>59.6232 * CHOOSE(CONTROL!$C$9, $D$9, 100%, $F$9) + CHOOSE(CONTROL!$C$27, 0.0021, 0)</f>
        <v>59.625299999999996</v>
      </c>
      <c r="E649" s="10">
        <f>59.4865 * CHOOSE(CONTROL!$C$9, $D$9, 100%, $F$9) + CHOOSE(CONTROL!$C$27, 0.0021, 0)</f>
        <v>59.488599999999998</v>
      </c>
      <c r="F649" s="10">
        <f>59.4865 * CHOOSE(CONTROL!$C$9, $D$9, 100%, $F$9) + CHOOSE(CONTROL!$C$27, 0.0021, 0)</f>
        <v>59.488599999999998</v>
      </c>
      <c r="G649" s="10">
        <f>59.7579 * CHOOSE(CONTROL!$C$9, $D$9, 100%, $F$9) + CHOOSE(CONTROL!$C$27, 0.0021, 0)</f>
        <v>59.76</v>
      </c>
      <c r="H649" s="10">
        <f>59.6232 * CHOOSE(CONTROL!$C$9, $D$9, 100%, $F$9) + CHOOSE(CONTROL!$C$27, 0.0021, 0)</f>
        <v>59.625299999999996</v>
      </c>
      <c r="I649" s="10">
        <f>59.6232 * CHOOSE(CONTROL!$C$9, $D$9, 100%, $F$9) + CHOOSE(CONTROL!$C$27, 0.0021, 0)</f>
        <v>59.625299999999996</v>
      </c>
      <c r="J649" s="10">
        <f>59.6232 * CHOOSE(CONTROL!$C$9, $D$9, 100%, $F$9) + CHOOSE(CONTROL!$C$27, 0.0021, 0)</f>
        <v>59.625299999999996</v>
      </c>
      <c r="K649" s="10">
        <f>59.6232 * CHOOSE(CONTROL!$C$9, $D$9, 100%, $F$9) + CHOOSE(CONTROL!$C$27, 0.0021, 0)</f>
        <v>59.625299999999996</v>
      </c>
      <c r="L649" s="10"/>
    </row>
    <row r="650" spans="1:12" ht="15.75" x14ac:dyDescent="0.25">
      <c r="A650" s="13">
        <v>61087</v>
      </c>
      <c r="B650" s="10">
        <f>59.3614 * CHOOSE(CONTROL!$C$9, $D$9, 100%, $F$9) + CHOOSE(CONTROL!$C$27, 0.0021, 0)</f>
        <v>59.363500000000002</v>
      </c>
      <c r="C650" s="10">
        <f>58.9291 * CHOOSE(CONTROL!$C$9, $D$9, 100%, $F$9) + CHOOSE(CONTROL!$C$27, 0.0021, 0)</f>
        <v>58.931199999999997</v>
      </c>
      <c r="D650" s="10">
        <f>58.9291 * CHOOSE(CONTROL!$C$9, $D$9, 100%, $F$9) + CHOOSE(CONTROL!$C$27, 0.0021, 0)</f>
        <v>58.931199999999997</v>
      </c>
      <c r="E650" s="10">
        <f>58.7925 * CHOOSE(CONTROL!$C$9, $D$9, 100%, $F$9) + CHOOSE(CONTROL!$C$27, 0.0021, 0)</f>
        <v>58.794599999999996</v>
      </c>
      <c r="F650" s="10">
        <f>58.7925 * CHOOSE(CONTROL!$C$9, $D$9, 100%, $F$9) + CHOOSE(CONTROL!$C$27, 0.0021, 0)</f>
        <v>58.794599999999996</v>
      </c>
      <c r="G650" s="10">
        <f>59.0638 * CHOOSE(CONTROL!$C$9, $D$9, 100%, $F$9) + CHOOSE(CONTROL!$C$27, 0.0021, 0)</f>
        <v>59.065899999999999</v>
      </c>
      <c r="H650" s="10">
        <f>58.9291 * CHOOSE(CONTROL!$C$9, $D$9, 100%, $F$9) + CHOOSE(CONTROL!$C$27, 0.0021, 0)</f>
        <v>58.931199999999997</v>
      </c>
      <c r="I650" s="10">
        <f>58.9291 * CHOOSE(CONTROL!$C$9, $D$9, 100%, $F$9) + CHOOSE(CONTROL!$C$27, 0.0021, 0)</f>
        <v>58.931199999999997</v>
      </c>
      <c r="J650" s="10">
        <f>58.9291 * CHOOSE(CONTROL!$C$9, $D$9, 100%, $F$9) + CHOOSE(CONTROL!$C$27, 0.0021, 0)</f>
        <v>58.931199999999997</v>
      </c>
      <c r="K650" s="10">
        <f>58.9291 * CHOOSE(CONTROL!$C$9, $D$9, 100%, $F$9) + CHOOSE(CONTROL!$C$27, 0.0021, 0)</f>
        <v>58.931199999999997</v>
      </c>
      <c r="L650" s="10"/>
    </row>
    <row r="651" spans="1:12" ht="15.75" x14ac:dyDescent="0.25">
      <c r="A651" s="13">
        <v>61117</v>
      </c>
      <c r="B651" s="10">
        <f>58.5326 * CHOOSE(CONTROL!$C$9, $D$9, 100%, $F$9) + CHOOSE(CONTROL!$C$27, 0.0021, 0)</f>
        <v>58.534700000000001</v>
      </c>
      <c r="C651" s="10">
        <f>58.1004 * CHOOSE(CONTROL!$C$9, $D$9, 100%, $F$9) + CHOOSE(CONTROL!$C$27, 0.0021, 0)</f>
        <v>58.102499999999999</v>
      </c>
      <c r="D651" s="10">
        <f>58.1004 * CHOOSE(CONTROL!$C$9, $D$9, 100%, $F$9) + CHOOSE(CONTROL!$C$27, 0.0021, 0)</f>
        <v>58.102499999999999</v>
      </c>
      <c r="E651" s="10">
        <f>57.9637 * CHOOSE(CONTROL!$C$9, $D$9, 100%, $F$9) + CHOOSE(CONTROL!$C$27, 0.0021, 0)</f>
        <v>57.965800000000002</v>
      </c>
      <c r="F651" s="10">
        <f>57.9637 * CHOOSE(CONTROL!$C$9, $D$9, 100%, $F$9) + CHOOSE(CONTROL!$C$27, 0.0021, 0)</f>
        <v>57.965800000000002</v>
      </c>
      <c r="G651" s="10">
        <f>58.2351 * CHOOSE(CONTROL!$C$9, $D$9, 100%, $F$9) + CHOOSE(CONTROL!$C$27, 0.0021, 0)</f>
        <v>58.237200000000001</v>
      </c>
      <c r="H651" s="10">
        <f>58.1004 * CHOOSE(CONTROL!$C$9, $D$9, 100%, $F$9) + CHOOSE(CONTROL!$C$27, 0.0021, 0)</f>
        <v>58.102499999999999</v>
      </c>
      <c r="I651" s="10">
        <f>58.1004 * CHOOSE(CONTROL!$C$9, $D$9, 100%, $F$9) + CHOOSE(CONTROL!$C$27, 0.0021, 0)</f>
        <v>58.102499999999999</v>
      </c>
      <c r="J651" s="10">
        <f>58.1004 * CHOOSE(CONTROL!$C$9, $D$9, 100%, $F$9) + CHOOSE(CONTROL!$C$27, 0.0021, 0)</f>
        <v>58.102499999999999</v>
      </c>
      <c r="K651" s="10">
        <f>58.1004 * CHOOSE(CONTROL!$C$9, $D$9, 100%, $F$9) + CHOOSE(CONTROL!$C$27, 0.0021, 0)</f>
        <v>58.102499999999999</v>
      </c>
      <c r="L651" s="10"/>
    </row>
    <row r="652" spans="1:12" ht="15.75" x14ac:dyDescent="0.25">
      <c r="A652" s="13">
        <v>61148</v>
      </c>
      <c r="B652" s="10">
        <f>59.7137 * CHOOSE(CONTROL!$C$9, $D$9, 100%, $F$9) + CHOOSE(CONTROL!$C$27, 0.0021, 0)</f>
        <v>59.715800000000002</v>
      </c>
      <c r="C652" s="10">
        <f>59.2814 * CHOOSE(CONTROL!$C$9, $D$9, 100%, $F$9) + CHOOSE(CONTROL!$C$27, 0.0021, 0)</f>
        <v>59.283499999999997</v>
      </c>
      <c r="D652" s="10">
        <f>59.2814 * CHOOSE(CONTROL!$C$9, $D$9, 100%, $F$9) + CHOOSE(CONTROL!$C$27, 0.0021, 0)</f>
        <v>59.283499999999997</v>
      </c>
      <c r="E652" s="10">
        <f>59.1448 * CHOOSE(CONTROL!$C$9, $D$9, 100%, $F$9) + CHOOSE(CONTROL!$C$27, 0.0021, 0)</f>
        <v>59.146899999999995</v>
      </c>
      <c r="F652" s="10">
        <f>59.1448 * CHOOSE(CONTROL!$C$9, $D$9, 100%, $F$9) + CHOOSE(CONTROL!$C$27, 0.0021, 0)</f>
        <v>59.146899999999995</v>
      </c>
      <c r="G652" s="10">
        <f>59.4161 * CHOOSE(CONTROL!$C$9, $D$9, 100%, $F$9) + CHOOSE(CONTROL!$C$27, 0.0021, 0)</f>
        <v>59.418199999999999</v>
      </c>
      <c r="H652" s="10">
        <f>59.2814 * CHOOSE(CONTROL!$C$9, $D$9, 100%, $F$9) + CHOOSE(CONTROL!$C$27, 0.0021, 0)</f>
        <v>59.283499999999997</v>
      </c>
      <c r="I652" s="10">
        <f>59.2814 * CHOOSE(CONTROL!$C$9, $D$9, 100%, $F$9) + CHOOSE(CONTROL!$C$27, 0.0021, 0)</f>
        <v>59.283499999999997</v>
      </c>
      <c r="J652" s="10">
        <f>59.2814 * CHOOSE(CONTROL!$C$9, $D$9, 100%, $F$9) + CHOOSE(CONTROL!$C$27, 0.0021, 0)</f>
        <v>59.283499999999997</v>
      </c>
      <c r="K652" s="10">
        <f>59.2814 * CHOOSE(CONTROL!$C$9, $D$9, 100%, $F$9) + CHOOSE(CONTROL!$C$27, 0.0021, 0)</f>
        <v>59.283499999999997</v>
      </c>
      <c r="L652" s="10"/>
    </row>
    <row r="653" spans="1:12" ht="15.75" x14ac:dyDescent="0.25">
      <c r="A653" s="13">
        <v>61178</v>
      </c>
      <c r="B653" s="10">
        <f>60.4211 * CHOOSE(CONTROL!$C$9, $D$9, 100%, $F$9) + CHOOSE(CONTROL!$C$27, 0.0021, 0)</f>
        <v>60.423200000000001</v>
      </c>
      <c r="C653" s="10">
        <f>59.9888 * CHOOSE(CONTROL!$C$9, $D$9, 100%, $F$9) + CHOOSE(CONTROL!$C$27, 0.0021, 0)</f>
        <v>59.990899999999996</v>
      </c>
      <c r="D653" s="10">
        <f>59.9888 * CHOOSE(CONTROL!$C$9, $D$9, 100%, $F$9) + CHOOSE(CONTROL!$C$27, 0.0021, 0)</f>
        <v>59.990899999999996</v>
      </c>
      <c r="E653" s="10">
        <f>59.8522 * CHOOSE(CONTROL!$C$9, $D$9, 100%, $F$9) + CHOOSE(CONTROL!$C$27, 0.0021, 0)</f>
        <v>59.854300000000002</v>
      </c>
      <c r="F653" s="10">
        <f>59.8522 * CHOOSE(CONTROL!$C$9, $D$9, 100%, $F$9) + CHOOSE(CONTROL!$C$27, 0.0021, 0)</f>
        <v>59.854300000000002</v>
      </c>
      <c r="G653" s="10">
        <f>60.1236 * CHOOSE(CONTROL!$C$9, $D$9, 100%, $F$9) + CHOOSE(CONTROL!$C$27, 0.0021, 0)</f>
        <v>60.125700000000002</v>
      </c>
      <c r="H653" s="10">
        <f>59.9888 * CHOOSE(CONTROL!$C$9, $D$9, 100%, $F$9) + CHOOSE(CONTROL!$C$27, 0.0021, 0)</f>
        <v>59.990899999999996</v>
      </c>
      <c r="I653" s="10">
        <f>59.9888 * CHOOSE(CONTROL!$C$9, $D$9, 100%, $F$9) + CHOOSE(CONTROL!$C$27, 0.0021, 0)</f>
        <v>59.990899999999996</v>
      </c>
      <c r="J653" s="10">
        <f>59.9888 * CHOOSE(CONTROL!$C$9, $D$9, 100%, $F$9) + CHOOSE(CONTROL!$C$27, 0.0021, 0)</f>
        <v>59.990899999999996</v>
      </c>
      <c r="K653" s="10">
        <f>59.9888 * CHOOSE(CONTROL!$C$9, $D$9, 100%, $F$9) + CHOOSE(CONTROL!$C$27, 0.0021, 0)</f>
        <v>59.990899999999996</v>
      </c>
      <c r="L653" s="10"/>
    </row>
    <row r="654" spans="1:12" ht="15.75" x14ac:dyDescent="0.25">
      <c r="A654" s="13">
        <v>61209</v>
      </c>
      <c r="B654" s="10">
        <f>61.5881 * CHOOSE(CONTROL!$C$9, $D$9, 100%, $F$9) + CHOOSE(CONTROL!$C$27, 0.0021, 0)</f>
        <v>61.590199999999996</v>
      </c>
      <c r="C654" s="10">
        <f>61.1558 * CHOOSE(CONTROL!$C$9, $D$9, 100%, $F$9) + CHOOSE(CONTROL!$C$27, 0.0021, 0)</f>
        <v>61.157899999999998</v>
      </c>
      <c r="D654" s="10">
        <f>61.1558 * CHOOSE(CONTROL!$C$9, $D$9, 100%, $F$9) + CHOOSE(CONTROL!$C$27, 0.0021, 0)</f>
        <v>61.157899999999998</v>
      </c>
      <c r="E654" s="10">
        <f>61.0192 * CHOOSE(CONTROL!$C$9, $D$9, 100%, $F$9) + CHOOSE(CONTROL!$C$27, 0.0021, 0)</f>
        <v>61.021299999999997</v>
      </c>
      <c r="F654" s="10">
        <f>61.0192 * CHOOSE(CONTROL!$C$9, $D$9, 100%, $F$9) + CHOOSE(CONTROL!$C$27, 0.0021, 0)</f>
        <v>61.021299999999997</v>
      </c>
      <c r="G654" s="10">
        <f>61.2905 * CHOOSE(CONTROL!$C$9, $D$9, 100%, $F$9) + CHOOSE(CONTROL!$C$27, 0.0021, 0)</f>
        <v>61.2926</v>
      </c>
      <c r="H654" s="10">
        <f>61.1558 * CHOOSE(CONTROL!$C$9, $D$9, 100%, $F$9) + CHOOSE(CONTROL!$C$27, 0.0021, 0)</f>
        <v>61.157899999999998</v>
      </c>
      <c r="I654" s="10">
        <f>61.1558 * CHOOSE(CONTROL!$C$9, $D$9, 100%, $F$9) + CHOOSE(CONTROL!$C$27, 0.0021, 0)</f>
        <v>61.157899999999998</v>
      </c>
      <c r="J654" s="10">
        <f>61.1558 * CHOOSE(CONTROL!$C$9, $D$9, 100%, $F$9) + CHOOSE(CONTROL!$C$27, 0.0021, 0)</f>
        <v>61.157899999999998</v>
      </c>
      <c r="K654" s="10">
        <f>61.1558 * CHOOSE(CONTROL!$C$9, $D$9, 100%, $F$9) + CHOOSE(CONTROL!$C$27, 0.0021, 0)</f>
        <v>61.157899999999998</v>
      </c>
      <c r="L654" s="10"/>
    </row>
    <row r="655" spans="1:12" ht="15.75" x14ac:dyDescent="0.25">
      <c r="A655" s="13">
        <v>61240</v>
      </c>
      <c r="B655" s="10">
        <f>61.9443 * CHOOSE(CONTROL!$C$9, $D$9, 100%, $F$9) + CHOOSE(CONTROL!$C$27, 0.0021, 0)</f>
        <v>61.946399999999997</v>
      </c>
      <c r="C655" s="10">
        <f>61.512 * CHOOSE(CONTROL!$C$9, $D$9, 100%, $F$9) + CHOOSE(CONTROL!$C$27, 0.0021, 0)</f>
        <v>61.514099999999999</v>
      </c>
      <c r="D655" s="10">
        <f>61.512 * CHOOSE(CONTROL!$C$9, $D$9, 100%, $F$9) + CHOOSE(CONTROL!$C$27, 0.0021, 0)</f>
        <v>61.514099999999999</v>
      </c>
      <c r="E655" s="10">
        <f>61.3754 * CHOOSE(CONTROL!$C$9, $D$9, 100%, $F$9) + CHOOSE(CONTROL!$C$27, 0.0021, 0)</f>
        <v>61.377499999999998</v>
      </c>
      <c r="F655" s="10">
        <f>61.3754 * CHOOSE(CONTROL!$C$9, $D$9, 100%, $F$9) + CHOOSE(CONTROL!$C$27, 0.0021, 0)</f>
        <v>61.377499999999998</v>
      </c>
      <c r="G655" s="10">
        <f>61.6467 * CHOOSE(CONTROL!$C$9, $D$9, 100%, $F$9) + CHOOSE(CONTROL!$C$27, 0.0021, 0)</f>
        <v>61.648800000000001</v>
      </c>
      <c r="H655" s="10">
        <f>61.512 * CHOOSE(CONTROL!$C$9, $D$9, 100%, $F$9) + CHOOSE(CONTROL!$C$27, 0.0021, 0)</f>
        <v>61.514099999999999</v>
      </c>
      <c r="I655" s="10">
        <f>61.512 * CHOOSE(CONTROL!$C$9, $D$9, 100%, $F$9) + CHOOSE(CONTROL!$C$27, 0.0021, 0)</f>
        <v>61.514099999999999</v>
      </c>
      <c r="J655" s="10">
        <f>61.512 * CHOOSE(CONTROL!$C$9, $D$9, 100%, $F$9) + CHOOSE(CONTROL!$C$27, 0.0021, 0)</f>
        <v>61.514099999999999</v>
      </c>
      <c r="K655" s="10">
        <f>61.512 * CHOOSE(CONTROL!$C$9, $D$9, 100%, $F$9) + CHOOSE(CONTROL!$C$27, 0.0021, 0)</f>
        <v>61.514099999999999</v>
      </c>
      <c r="L655" s="10"/>
    </row>
    <row r="656" spans="1:12" ht="15.75" x14ac:dyDescent="0.25">
      <c r="A656" s="13">
        <v>61270</v>
      </c>
      <c r="B656" s="10">
        <f>63.1573 * CHOOSE(CONTROL!$C$9, $D$9, 100%, $F$9) + CHOOSE(CONTROL!$C$27, 0.0021, 0)</f>
        <v>63.159399999999998</v>
      </c>
      <c r="C656" s="10">
        <f>62.725 * CHOOSE(CONTROL!$C$9, $D$9, 100%, $F$9) + CHOOSE(CONTROL!$C$27, 0.0021, 0)</f>
        <v>62.7271</v>
      </c>
      <c r="D656" s="10">
        <f>62.725 * CHOOSE(CONTROL!$C$9, $D$9, 100%, $F$9) + CHOOSE(CONTROL!$C$27, 0.0021, 0)</f>
        <v>62.7271</v>
      </c>
      <c r="E656" s="10">
        <f>62.5884 * CHOOSE(CONTROL!$C$9, $D$9, 100%, $F$9) + CHOOSE(CONTROL!$C$27, 0.0021, 0)</f>
        <v>62.590499999999999</v>
      </c>
      <c r="F656" s="10">
        <f>62.5884 * CHOOSE(CONTROL!$C$9, $D$9, 100%, $F$9) + CHOOSE(CONTROL!$C$27, 0.0021, 0)</f>
        <v>62.590499999999999</v>
      </c>
      <c r="G656" s="10">
        <f>62.8597 * CHOOSE(CONTROL!$C$9, $D$9, 100%, $F$9) + CHOOSE(CONTROL!$C$27, 0.0021, 0)</f>
        <v>62.861799999999995</v>
      </c>
      <c r="H656" s="10">
        <f>62.725 * CHOOSE(CONTROL!$C$9, $D$9, 100%, $F$9) + CHOOSE(CONTROL!$C$27, 0.0021, 0)</f>
        <v>62.7271</v>
      </c>
      <c r="I656" s="10">
        <f>62.725 * CHOOSE(CONTROL!$C$9, $D$9, 100%, $F$9) + CHOOSE(CONTROL!$C$27, 0.0021, 0)</f>
        <v>62.7271</v>
      </c>
      <c r="J656" s="10">
        <f>62.725 * CHOOSE(CONTROL!$C$9, $D$9, 100%, $F$9) + CHOOSE(CONTROL!$C$27, 0.0021, 0)</f>
        <v>62.7271</v>
      </c>
      <c r="K656" s="10">
        <f>62.725 * CHOOSE(CONTROL!$C$9, $D$9, 100%, $F$9) + CHOOSE(CONTROL!$C$27, 0.0021, 0)</f>
        <v>62.7271</v>
      </c>
      <c r="L656" s="10"/>
    </row>
    <row r="657" spans="1:12" ht="15.75" x14ac:dyDescent="0.25">
      <c r="A657" s="13">
        <v>61301</v>
      </c>
      <c r="B657" s="10">
        <f>64.6928 * CHOOSE(CONTROL!$C$9, $D$9, 100%, $F$9) + CHOOSE(CONTROL!$C$27, 0.0021, 0)</f>
        <v>64.694900000000004</v>
      </c>
      <c r="C657" s="10">
        <f>64.2605 * CHOOSE(CONTROL!$C$9, $D$9, 100%, $F$9) + CHOOSE(CONTROL!$C$27, 0.0021, 0)</f>
        <v>64.262599999999992</v>
      </c>
      <c r="D657" s="10">
        <f>64.2605 * CHOOSE(CONTROL!$C$9, $D$9, 100%, $F$9) + CHOOSE(CONTROL!$C$27, 0.0021, 0)</f>
        <v>64.262599999999992</v>
      </c>
      <c r="E657" s="10">
        <f>64.1238 * CHOOSE(CONTROL!$C$9, $D$9, 100%, $F$9) + CHOOSE(CONTROL!$C$27, 0.0021, 0)</f>
        <v>64.125900000000001</v>
      </c>
      <c r="F657" s="10">
        <f>64.1238 * CHOOSE(CONTROL!$C$9, $D$9, 100%, $F$9) + CHOOSE(CONTROL!$C$27, 0.0021, 0)</f>
        <v>64.125900000000001</v>
      </c>
      <c r="G657" s="10">
        <f>64.3952 * CHOOSE(CONTROL!$C$9, $D$9, 100%, $F$9) + CHOOSE(CONTROL!$C$27, 0.0021, 0)</f>
        <v>64.397300000000001</v>
      </c>
      <c r="H657" s="10">
        <f>64.2605 * CHOOSE(CONTROL!$C$9, $D$9, 100%, $F$9) + CHOOSE(CONTROL!$C$27, 0.0021, 0)</f>
        <v>64.262599999999992</v>
      </c>
      <c r="I657" s="10">
        <f>64.2605 * CHOOSE(CONTROL!$C$9, $D$9, 100%, $F$9) + CHOOSE(CONTROL!$C$27, 0.0021, 0)</f>
        <v>64.262599999999992</v>
      </c>
      <c r="J657" s="10">
        <f>64.2605 * CHOOSE(CONTROL!$C$9, $D$9, 100%, $F$9) + CHOOSE(CONTROL!$C$27, 0.0021, 0)</f>
        <v>64.262599999999992</v>
      </c>
      <c r="K657" s="10">
        <f>64.2605 * CHOOSE(CONTROL!$C$9, $D$9, 100%, $F$9) + CHOOSE(CONTROL!$C$27, 0.0021, 0)</f>
        <v>64.262599999999992</v>
      </c>
      <c r="L657" s="10"/>
    </row>
    <row r="658" spans="1:12" ht="15.75" x14ac:dyDescent="0.25">
      <c r="A658" s="13">
        <v>61331</v>
      </c>
      <c r="B658" s="10">
        <f>64.8369 * CHOOSE(CONTROL!$C$9, $D$9, 100%, $F$9) + CHOOSE(CONTROL!$C$27, 0.0021, 0)</f>
        <v>64.838999999999999</v>
      </c>
      <c r="C658" s="10">
        <f>64.4047 * CHOOSE(CONTROL!$C$9, $D$9, 100%, $F$9) + CHOOSE(CONTROL!$C$27, 0.0021, 0)</f>
        <v>64.406800000000004</v>
      </c>
      <c r="D658" s="10">
        <f>64.4047 * CHOOSE(CONTROL!$C$9, $D$9, 100%, $F$9) + CHOOSE(CONTROL!$C$27, 0.0021, 0)</f>
        <v>64.406800000000004</v>
      </c>
      <c r="E658" s="10">
        <f>64.268 * CHOOSE(CONTROL!$C$9, $D$9, 100%, $F$9) + CHOOSE(CONTROL!$C$27, 0.0021, 0)</f>
        <v>64.270099999999999</v>
      </c>
      <c r="F658" s="10">
        <f>64.268 * CHOOSE(CONTROL!$C$9, $D$9, 100%, $F$9) + CHOOSE(CONTROL!$C$27, 0.0021, 0)</f>
        <v>64.270099999999999</v>
      </c>
      <c r="G658" s="10">
        <f>64.5394 * CHOOSE(CONTROL!$C$9, $D$9, 100%, $F$9) + CHOOSE(CONTROL!$C$27, 0.0021, 0)</f>
        <v>64.541499999999999</v>
      </c>
      <c r="H658" s="10">
        <f>64.4047 * CHOOSE(CONTROL!$C$9, $D$9, 100%, $F$9) + CHOOSE(CONTROL!$C$27, 0.0021, 0)</f>
        <v>64.406800000000004</v>
      </c>
      <c r="I658" s="10">
        <f>64.4047 * CHOOSE(CONTROL!$C$9, $D$9, 100%, $F$9) + CHOOSE(CONTROL!$C$27, 0.0021, 0)</f>
        <v>64.406800000000004</v>
      </c>
      <c r="J658" s="10">
        <f>64.4047 * CHOOSE(CONTROL!$C$9, $D$9, 100%, $F$9) + CHOOSE(CONTROL!$C$27, 0.0021, 0)</f>
        <v>64.406800000000004</v>
      </c>
      <c r="K658" s="10">
        <f>64.4047 * CHOOSE(CONTROL!$C$9, $D$9, 100%, $F$9) + CHOOSE(CONTROL!$C$27, 0.0021, 0)</f>
        <v>64.406800000000004</v>
      </c>
      <c r="L658" s="10"/>
    </row>
    <row r="659" spans="1:12" ht="15.75" x14ac:dyDescent="0.25">
      <c r="A659" s="13">
        <v>61362</v>
      </c>
      <c r="B659" s="10">
        <f>63.6105 * CHOOSE(CONTROL!$C$9, $D$9, 100%, $F$9) + CHOOSE(CONTROL!$C$27, 0.0021, 0)</f>
        <v>63.6126</v>
      </c>
      <c r="C659" s="10">
        <f>63.1783 * CHOOSE(CONTROL!$C$9, $D$9, 100%, $F$9) + CHOOSE(CONTROL!$C$27, 0.0021, 0)</f>
        <v>63.180399999999999</v>
      </c>
      <c r="D659" s="10">
        <f>63.1783 * CHOOSE(CONTROL!$C$9, $D$9, 100%, $F$9) + CHOOSE(CONTROL!$C$27, 0.0021, 0)</f>
        <v>63.180399999999999</v>
      </c>
      <c r="E659" s="10">
        <f>63.0416 * CHOOSE(CONTROL!$C$9, $D$9, 100%, $F$9) + CHOOSE(CONTROL!$C$27, 0.0021, 0)</f>
        <v>63.043700000000001</v>
      </c>
      <c r="F659" s="10">
        <f>63.0416 * CHOOSE(CONTROL!$C$9, $D$9, 100%, $F$9) + CHOOSE(CONTROL!$C$27, 0.0021, 0)</f>
        <v>63.043700000000001</v>
      </c>
      <c r="G659" s="10">
        <f>63.313 * CHOOSE(CONTROL!$C$9, $D$9, 100%, $F$9) + CHOOSE(CONTROL!$C$27, 0.0021, 0)</f>
        <v>63.315100000000001</v>
      </c>
      <c r="H659" s="10">
        <f>63.1783 * CHOOSE(CONTROL!$C$9, $D$9, 100%, $F$9) + CHOOSE(CONTROL!$C$27, 0.0021, 0)</f>
        <v>63.180399999999999</v>
      </c>
      <c r="I659" s="10">
        <f>63.1783 * CHOOSE(CONTROL!$C$9, $D$9, 100%, $F$9) + CHOOSE(CONTROL!$C$27, 0.0021, 0)</f>
        <v>63.180399999999999</v>
      </c>
      <c r="J659" s="10">
        <f>63.1783 * CHOOSE(CONTROL!$C$9, $D$9, 100%, $F$9) + CHOOSE(CONTROL!$C$27, 0.0021, 0)</f>
        <v>63.180399999999999</v>
      </c>
      <c r="K659" s="10">
        <f>63.1783 * CHOOSE(CONTROL!$C$9, $D$9, 100%, $F$9) + CHOOSE(CONTROL!$C$27, 0.0021, 0)</f>
        <v>63.180399999999999</v>
      </c>
      <c r="L659" s="10"/>
    </row>
    <row r="660" spans="1:12" ht="15.75" x14ac:dyDescent="0.25">
      <c r="A660" s="13">
        <v>61393</v>
      </c>
      <c r="B660" s="10">
        <f>62.6716 * CHOOSE(CONTROL!$C$9, $D$9, 100%, $F$9) + CHOOSE(CONTROL!$C$27, 0.0021, 0)</f>
        <v>62.673699999999997</v>
      </c>
      <c r="C660" s="10">
        <f>62.2394 * CHOOSE(CONTROL!$C$9, $D$9, 100%, $F$9) + CHOOSE(CONTROL!$C$27, 0.0021, 0)</f>
        <v>62.241500000000002</v>
      </c>
      <c r="D660" s="10">
        <f>62.2394 * CHOOSE(CONTROL!$C$9, $D$9, 100%, $F$9) + CHOOSE(CONTROL!$C$27, 0.0021, 0)</f>
        <v>62.241500000000002</v>
      </c>
      <c r="E660" s="10">
        <f>62.1027 * CHOOSE(CONTROL!$C$9, $D$9, 100%, $F$9) + CHOOSE(CONTROL!$C$27, 0.0021, 0)</f>
        <v>62.104799999999997</v>
      </c>
      <c r="F660" s="10">
        <f>62.1027 * CHOOSE(CONTROL!$C$9, $D$9, 100%, $F$9) + CHOOSE(CONTROL!$C$27, 0.0021, 0)</f>
        <v>62.104799999999997</v>
      </c>
      <c r="G660" s="10">
        <f>62.3741 * CHOOSE(CONTROL!$C$9, $D$9, 100%, $F$9) + CHOOSE(CONTROL!$C$27, 0.0021, 0)</f>
        <v>62.376199999999997</v>
      </c>
      <c r="H660" s="10">
        <f>62.2394 * CHOOSE(CONTROL!$C$9, $D$9, 100%, $F$9) + CHOOSE(CONTROL!$C$27, 0.0021, 0)</f>
        <v>62.241500000000002</v>
      </c>
      <c r="I660" s="10">
        <f>62.2394 * CHOOSE(CONTROL!$C$9, $D$9, 100%, $F$9) + CHOOSE(CONTROL!$C$27, 0.0021, 0)</f>
        <v>62.241500000000002</v>
      </c>
      <c r="J660" s="10">
        <f>62.2394 * CHOOSE(CONTROL!$C$9, $D$9, 100%, $F$9) + CHOOSE(CONTROL!$C$27, 0.0021, 0)</f>
        <v>62.241500000000002</v>
      </c>
      <c r="K660" s="10">
        <f>62.2394 * CHOOSE(CONTROL!$C$9, $D$9, 100%, $F$9) + CHOOSE(CONTROL!$C$27, 0.0021, 0)</f>
        <v>62.241500000000002</v>
      </c>
      <c r="L660" s="10"/>
    </row>
    <row r="661" spans="1:12" ht="15.75" x14ac:dyDescent="0.25">
      <c r="A661" s="13">
        <v>61422</v>
      </c>
      <c r="B661" s="10">
        <f>60.9638 * CHOOSE(CONTROL!$C$9, $D$9, 100%, $F$9) + CHOOSE(CONTROL!$C$27, 0.0021, 0)</f>
        <v>60.965899999999998</v>
      </c>
      <c r="C661" s="10">
        <f>60.5315 * CHOOSE(CONTROL!$C$9, $D$9, 100%, $F$9) + CHOOSE(CONTROL!$C$27, 0.0021, 0)</f>
        <v>60.5336</v>
      </c>
      <c r="D661" s="10">
        <f>60.5315 * CHOOSE(CONTROL!$C$9, $D$9, 100%, $F$9) + CHOOSE(CONTROL!$C$27, 0.0021, 0)</f>
        <v>60.5336</v>
      </c>
      <c r="E661" s="10">
        <f>60.3949 * CHOOSE(CONTROL!$C$9, $D$9, 100%, $F$9) + CHOOSE(CONTROL!$C$27, 0.0021, 0)</f>
        <v>60.396999999999998</v>
      </c>
      <c r="F661" s="10">
        <f>60.3949 * CHOOSE(CONTROL!$C$9, $D$9, 100%, $F$9) + CHOOSE(CONTROL!$C$27, 0.0021, 0)</f>
        <v>60.396999999999998</v>
      </c>
      <c r="G661" s="10">
        <f>60.6662 * CHOOSE(CONTROL!$C$9, $D$9, 100%, $F$9) + CHOOSE(CONTROL!$C$27, 0.0021, 0)</f>
        <v>60.668300000000002</v>
      </c>
      <c r="H661" s="10">
        <f>60.5315 * CHOOSE(CONTROL!$C$9, $D$9, 100%, $F$9) + CHOOSE(CONTROL!$C$27, 0.0021, 0)</f>
        <v>60.5336</v>
      </c>
      <c r="I661" s="10">
        <f>60.5315 * CHOOSE(CONTROL!$C$9, $D$9, 100%, $F$9) + CHOOSE(CONTROL!$C$27, 0.0021, 0)</f>
        <v>60.5336</v>
      </c>
      <c r="J661" s="10">
        <f>60.5315 * CHOOSE(CONTROL!$C$9, $D$9, 100%, $F$9) + CHOOSE(CONTROL!$C$27, 0.0021, 0)</f>
        <v>60.5336</v>
      </c>
      <c r="K661" s="10">
        <f>60.5315 * CHOOSE(CONTROL!$C$9, $D$9, 100%, $F$9) + CHOOSE(CONTROL!$C$27, 0.0021, 0)</f>
        <v>60.5336</v>
      </c>
      <c r="L661" s="10"/>
    </row>
    <row r="662" spans="1:12" ht="15.75" x14ac:dyDescent="0.25">
      <c r="A662" s="13">
        <v>61453</v>
      </c>
      <c r="B662" s="10">
        <f>60.2588 * CHOOSE(CONTROL!$C$9, $D$9, 100%, $F$9) + CHOOSE(CONTROL!$C$27, 0.0021, 0)</f>
        <v>60.260899999999999</v>
      </c>
      <c r="C662" s="10">
        <f>59.8265 * CHOOSE(CONTROL!$C$9, $D$9, 100%, $F$9) + CHOOSE(CONTROL!$C$27, 0.0021, 0)</f>
        <v>59.828600000000002</v>
      </c>
      <c r="D662" s="10">
        <f>59.8265 * CHOOSE(CONTROL!$C$9, $D$9, 100%, $F$9) + CHOOSE(CONTROL!$C$27, 0.0021, 0)</f>
        <v>59.828600000000002</v>
      </c>
      <c r="E662" s="10">
        <f>59.6899 * CHOOSE(CONTROL!$C$9, $D$9, 100%, $F$9) + CHOOSE(CONTROL!$C$27, 0.0021, 0)</f>
        <v>59.692</v>
      </c>
      <c r="F662" s="10">
        <f>59.6899 * CHOOSE(CONTROL!$C$9, $D$9, 100%, $F$9) + CHOOSE(CONTROL!$C$27, 0.0021, 0)</f>
        <v>59.692</v>
      </c>
      <c r="G662" s="10">
        <f>59.9612 * CHOOSE(CONTROL!$C$9, $D$9, 100%, $F$9) + CHOOSE(CONTROL!$C$27, 0.0021, 0)</f>
        <v>59.963299999999997</v>
      </c>
      <c r="H662" s="10">
        <f>59.8265 * CHOOSE(CONTROL!$C$9, $D$9, 100%, $F$9) + CHOOSE(CONTROL!$C$27, 0.0021, 0)</f>
        <v>59.828600000000002</v>
      </c>
      <c r="I662" s="10">
        <f>59.8265 * CHOOSE(CONTROL!$C$9, $D$9, 100%, $F$9) + CHOOSE(CONTROL!$C$27, 0.0021, 0)</f>
        <v>59.828600000000002</v>
      </c>
      <c r="J662" s="10">
        <f>59.8265 * CHOOSE(CONTROL!$C$9, $D$9, 100%, $F$9) + CHOOSE(CONTROL!$C$27, 0.0021, 0)</f>
        <v>59.828600000000002</v>
      </c>
      <c r="K662" s="10">
        <f>59.8265 * CHOOSE(CONTROL!$C$9, $D$9, 100%, $F$9) + CHOOSE(CONTROL!$C$27, 0.0021, 0)</f>
        <v>59.828600000000002</v>
      </c>
      <c r="L662" s="10"/>
    </row>
    <row r="663" spans="1:12" ht="15.75" x14ac:dyDescent="0.25">
      <c r="A663" s="13">
        <v>61483</v>
      </c>
      <c r="B663" s="10">
        <f>59.417 * CHOOSE(CONTROL!$C$9, $D$9, 100%, $F$9) + CHOOSE(CONTROL!$C$27, 0.0021, 0)</f>
        <v>59.4191</v>
      </c>
      <c r="C663" s="10">
        <f>58.9847 * CHOOSE(CONTROL!$C$9, $D$9, 100%, $F$9) + CHOOSE(CONTROL!$C$27, 0.0021, 0)</f>
        <v>58.986799999999995</v>
      </c>
      <c r="D663" s="10">
        <f>58.9847 * CHOOSE(CONTROL!$C$9, $D$9, 100%, $F$9) + CHOOSE(CONTROL!$C$27, 0.0021, 0)</f>
        <v>58.986799999999995</v>
      </c>
      <c r="E663" s="10">
        <f>58.8481 * CHOOSE(CONTROL!$C$9, $D$9, 100%, $F$9) + CHOOSE(CONTROL!$C$27, 0.0021, 0)</f>
        <v>58.850200000000001</v>
      </c>
      <c r="F663" s="10">
        <f>58.8481 * CHOOSE(CONTROL!$C$9, $D$9, 100%, $F$9) + CHOOSE(CONTROL!$C$27, 0.0021, 0)</f>
        <v>58.850200000000001</v>
      </c>
      <c r="G663" s="10">
        <f>59.1194 * CHOOSE(CONTROL!$C$9, $D$9, 100%, $F$9) + CHOOSE(CONTROL!$C$27, 0.0021, 0)</f>
        <v>59.121499999999997</v>
      </c>
      <c r="H663" s="10">
        <f>58.9847 * CHOOSE(CONTROL!$C$9, $D$9, 100%, $F$9) + CHOOSE(CONTROL!$C$27, 0.0021, 0)</f>
        <v>58.986799999999995</v>
      </c>
      <c r="I663" s="10">
        <f>58.9847 * CHOOSE(CONTROL!$C$9, $D$9, 100%, $F$9) + CHOOSE(CONTROL!$C$27, 0.0021, 0)</f>
        <v>58.986799999999995</v>
      </c>
      <c r="J663" s="10">
        <f>58.9847 * CHOOSE(CONTROL!$C$9, $D$9, 100%, $F$9) + CHOOSE(CONTROL!$C$27, 0.0021, 0)</f>
        <v>58.986799999999995</v>
      </c>
      <c r="K663" s="10">
        <f>58.9847 * CHOOSE(CONTROL!$C$9, $D$9, 100%, $F$9) + CHOOSE(CONTROL!$C$27, 0.0021, 0)</f>
        <v>58.986799999999995</v>
      </c>
      <c r="L663" s="10"/>
    </row>
    <row r="664" spans="1:12" ht="15.75" x14ac:dyDescent="0.25">
      <c r="A664" s="13">
        <v>61514</v>
      </c>
      <c r="B664" s="10">
        <f>60.6166 * CHOOSE(CONTROL!$C$9, $D$9, 100%, $F$9) + CHOOSE(CONTROL!$C$27, 0.0021, 0)</f>
        <v>60.618699999999997</v>
      </c>
      <c r="C664" s="10">
        <f>60.1844 * CHOOSE(CONTROL!$C$9, $D$9, 100%, $F$9) + CHOOSE(CONTROL!$C$27, 0.0021, 0)</f>
        <v>60.186499999999995</v>
      </c>
      <c r="D664" s="10">
        <f>60.1844 * CHOOSE(CONTROL!$C$9, $D$9, 100%, $F$9) + CHOOSE(CONTROL!$C$27, 0.0021, 0)</f>
        <v>60.186499999999995</v>
      </c>
      <c r="E664" s="10">
        <f>60.0477 * CHOOSE(CONTROL!$C$9, $D$9, 100%, $F$9) + CHOOSE(CONTROL!$C$27, 0.0021, 0)</f>
        <v>60.049799999999998</v>
      </c>
      <c r="F664" s="10">
        <f>60.0477 * CHOOSE(CONTROL!$C$9, $D$9, 100%, $F$9) + CHOOSE(CONTROL!$C$27, 0.0021, 0)</f>
        <v>60.049799999999998</v>
      </c>
      <c r="G664" s="10">
        <f>60.3191 * CHOOSE(CONTROL!$C$9, $D$9, 100%, $F$9) + CHOOSE(CONTROL!$C$27, 0.0021, 0)</f>
        <v>60.321199999999997</v>
      </c>
      <c r="H664" s="10">
        <f>60.1844 * CHOOSE(CONTROL!$C$9, $D$9, 100%, $F$9) + CHOOSE(CONTROL!$C$27, 0.0021, 0)</f>
        <v>60.186499999999995</v>
      </c>
      <c r="I664" s="10">
        <f>60.1844 * CHOOSE(CONTROL!$C$9, $D$9, 100%, $F$9) + CHOOSE(CONTROL!$C$27, 0.0021, 0)</f>
        <v>60.186499999999995</v>
      </c>
      <c r="J664" s="10">
        <f>60.1844 * CHOOSE(CONTROL!$C$9, $D$9, 100%, $F$9) + CHOOSE(CONTROL!$C$27, 0.0021, 0)</f>
        <v>60.186499999999995</v>
      </c>
      <c r="K664" s="10">
        <f>60.1844 * CHOOSE(CONTROL!$C$9, $D$9, 100%, $F$9) + CHOOSE(CONTROL!$C$27, 0.0021, 0)</f>
        <v>60.186499999999995</v>
      </c>
      <c r="L664" s="10"/>
    </row>
    <row r="665" spans="1:12" ht="15.75" x14ac:dyDescent="0.25">
      <c r="A665" s="13">
        <v>61544</v>
      </c>
      <c r="B665" s="10">
        <f>61.3352 * CHOOSE(CONTROL!$C$9, $D$9, 100%, $F$9) + CHOOSE(CONTROL!$C$27, 0.0021, 0)</f>
        <v>61.337299999999999</v>
      </c>
      <c r="C665" s="10">
        <f>60.9029 * CHOOSE(CONTROL!$C$9, $D$9, 100%, $F$9) + CHOOSE(CONTROL!$C$27, 0.0021, 0)</f>
        <v>60.905000000000001</v>
      </c>
      <c r="D665" s="10">
        <f>60.9029 * CHOOSE(CONTROL!$C$9, $D$9, 100%, $F$9) + CHOOSE(CONTROL!$C$27, 0.0021, 0)</f>
        <v>60.905000000000001</v>
      </c>
      <c r="E665" s="10">
        <f>60.7663 * CHOOSE(CONTROL!$C$9, $D$9, 100%, $F$9) + CHOOSE(CONTROL!$C$27, 0.0021, 0)</f>
        <v>60.7684</v>
      </c>
      <c r="F665" s="10">
        <f>60.7663 * CHOOSE(CONTROL!$C$9, $D$9, 100%, $F$9) + CHOOSE(CONTROL!$C$27, 0.0021, 0)</f>
        <v>60.7684</v>
      </c>
      <c r="G665" s="10">
        <f>61.0376 * CHOOSE(CONTROL!$C$9, $D$9, 100%, $F$9) + CHOOSE(CONTROL!$C$27, 0.0021, 0)</f>
        <v>61.039699999999996</v>
      </c>
      <c r="H665" s="10">
        <f>60.9029 * CHOOSE(CONTROL!$C$9, $D$9, 100%, $F$9) + CHOOSE(CONTROL!$C$27, 0.0021, 0)</f>
        <v>60.905000000000001</v>
      </c>
      <c r="I665" s="10">
        <f>60.9029 * CHOOSE(CONTROL!$C$9, $D$9, 100%, $F$9) + CHOOSE(CONTROL!$C$27, 0.0021, 0)</f>
        <v>60.905000000000001</v>
      </c>
      <c r="J665" s="10">
        <f>60.9029 * CHOOSE(CONTROL!$C$9, $D$9, 100%, $F$9) + CHOOSE(CONTROL!$C$27, 0.0021, 0)</f>
        <v>60.905000000000001</v>
      </c>
      <c r="K665" s="10">
        <f>60.9029 * CHOOSE(CONTROL!$C$9, $D$9, 100%, $F$9) + CHOOSE(CONTROL!$C$27, 0.0021, 0)</f>
        <v>60.905000000000001</v>
      </c>
      <c r="L665" s="10"/>
    </row>
    <row r="666" spans="1:12" ht="15.75" x14ac:dyDescent="0.25">
      <c r="A666" s="13">
        <v>61575</v>
      </c>
      <c r="B666" s="10">
        <f>62.5205 * CHOOSE(CONTROL!$C$9, $D$9, 100%, $F$9) + CHOOSE(CONTROL!$C$27, 0.0021, 0)</f>
        <v>62.522599999999997</v>
      </c>
      <c r="C666" s="10">
        <f>62.0882 * CHOOSE(CONTROL!$C$9, $D$9, 100%, $F$9) + CHOOSE(CONTROL!$C$27, 0.0021, 0)</f>
        <v>62.090299999999999</v>
      </c>
      <c r="D666" s="10">
        <f>62.0882 * CHOOSE(CONTROL!$C$9, $D$9, 100%, $F$9) + CHOOSE(CONTROL!$C$27, 0.0021, 0)</f>
        <v>62.090299999999999</v>
      </c>
      <c r="E666" s="10">
        <f>61.9516 * CHOOSE(CONTROL!$C$9, $D$9, 100%, $F$9) + CHOOSE(CONTROL!$C$27, 0.0021, 0)</f>
        <v>61.953699999999998</v>
      </c>
      <c r="F666" s="10">
        <f>61.9516 * CHOOSE(CONTROL!$C$9, $D$9, 100%, $F$9) + CHOOSE(CONTROL!$C$27, 0.0021, 0)</f>
        <v>61.953699999999998</v>
      </c>
      <c r="G666" s="10">
        <f>62.223 * CHOOSE(CONTROL!$C$9, $D$9, 100%, $F$9) + CHOOSE(CONTROL!$C$27, 0.0021, 0)</f>
        <v>62.225099999999998</v>
      </c>
      <c r="H666" s="10">
        <f>62.0882 * CHOOSE(CONTROL!$C$9, $D$9, 100%, $F$9) + CHOOSE(CONTROL!$C$27, 0.0021, 0)</f>
        <v>62.090299999999999</v>
      </c>
      <c r="I666" s="10">
        <f>62.0882 * CHOOSE(CONTROL!$C$9, $D$9, 100%, $F$9) + CHOOSE(CONTROL!$C$27, 0.0021, 0)</f>
        <v>62.090299999999999</v>
      </c>
      <c r="J666" s="10">
        <f>62.0882 * CHOOSE(CONTROL!$C$9, $D$9, 100%, $F$9) + CHOOSE(CONTROL!$C$27, 0.0021, 0)</f>
        <v>62.090299999999999</v>
      </c>
      <c r="K666" s="10">
        <f>62.0882 * CHOOSE(CONTROL!$C$9, $D$9, 100%, $F$9) + CHOOSE(CONTROL!$C$27, 0.0021, 0)</f>
        <v>62.090299999999999</v>
      </c>
      <c r="L666" s="10"/>
    </row>
    <row r="667" spans="1:12" ht="15.75" x14ac:dyDescent="0.25">
      <c r="A667" s="13">
        <v>61606</v>
      </c>
      <c r="B667" s="10">
        <f>62.8823 * CHOOSE(CONTROL!$C$9, $D$9, 100%, $F$9) + CHOOSE(CONTROL!$C$27, 0.0021, 0)</f>
        <v>62.884399999999999</v>
      </c>
      <c r="C667" s="10">
        <f>62.45 * CHOOSE(CONTROL!$C$9, $D$9, 100%, $F$9) + CHOOSE(CONTROL!$C$27, 0.0021, 0)</f>
        <v>62.452100000000002</v>
      </c>
      <c r="D667" s="10">
        <f>62.45 * CHOOSE(CONTROL!$C$9, $D$9, 100%, $F$9) + CHOOSE(CONTROL!$C$27, 0.0021, 0)</f>
        <v>62.452100000000002</v>
      </c>
      <c r="E667" s="10">
        <f>62.3134 * CHOOSE(CONTROL!$C$9, $D$9, 100%, $F$9) + CHOOSE(CONTROL!$C$27, 0.0021, 0)</f>
        <v>62.3155</v>
      </c>
      <c r="F667" s="10">
        <f>62.3134 * CHOOSE(CONTROL!$C$9, $D$9, 100%, $F$9) + CHOOSE(CONTROL!$C$27, 0.0021, 0)</f>
        <v>62.3155</v>
      </c>
      <c r="G667" s="10">
        <f>62.5847 * CHOOSE(CONTROL!$C$9, $D$9, 100%, $F$9) + CHOOSE(CONTROL!$C$27, 0.0021, 0)</f>
        <v>62.586799999999997</v>
      </c>
      <c r="H667" s="10">
        <f>62.45 * CHOOSE(CONTROL!$C$9, $D$9, 100%, $F$9) + CHOOSE(CONTROL!$C$27, 0.0021, 0)</f>
        <v>62.452100000000002</v>
      </c>
      <c r="I667" s="10">
        <f>62.45 * CHOOSE(CONTROL!$C$9, $D$9, 100%, $F$9) + CHOOSE(CONTROL!$C$27, 0.0021, 0)</f>
        <v>62.452100000000002</v>
      </c>
      <c r="J667" s="10">
        <f>62.45 * CHOOSE(CONTROL!$C$9, $D$9, 100%, $F$9) + CHOOSE(CONTROL!$C$27, 0.0021, 0)</f>
        <v>62.452100000000002</v>
      </c>
      <c r="K667" s="10">
        <f>62.45 * CHOOSE(CONTROL!$C$9, $D$9, 100%, $F$9) + CHOOSE(CONTROL!$C$27, 0.0021, 0)</f>
        <v>62.452100000000002</v>
      </c>
      <c r="L667" s="10"/>
    </row>
    <row r="668" spans="1:12" ht="15.75" x14ac:dyDescent="0.25">
      <c r="A668" s="13">
        <v>61636</v>
      </c>
      <c r="B668" s="10">
        <f>64.1144 * CHOOSE(CONTROL!$C$9, $D$9, 100%, $F$9) + CHOOSE(CONTROL!$C$27, 0.0021, 0)</f>
        <v>64.116500000000002</v>
      </c>
      <c r="C668" s="10">
        <f>63.6821 * CHOOSE(CONTROL!$C$9, $D$9, 100%, $F$9) + CHOOSE(CONTROL!$C$27, 0.0021, 0)</f>
        <v>63.684199999999997</v>
      </c>
      <c r="D668" s="10">
        <f>63.6821 * CHOOSE(CONTROL!$C$9, $D$9, 100%, $F$9) + CHOOSE(CONTROL!$C$27, 0.0021, 0)</f>
        <v>63.684199999999997</v>
      </c>
      <c r="E668" s="10">
        <f>63.5455 * CHOOSE(CONTROL!$C$9, $D$9, 100%, $F$9) + CHOOSE(CONTROL!$C$27, 0.0021, 0)</f>
        <v>63.547599999999996</v>
      </c>
      <c r="F668" s="10">
        <f>63.5455 * CHOOSE(CONTROL!$C$9, $D$9, 100%, $F$9) + CHOOSE(CONTROL!$C$27, 0.0021, 0)</f>
        <v>63.547599999999996</v>
      </c>
      <c r="G668" s="10">
        <f>63.8168 * CHOOSE(CONTROL!$C$9, $D$9, 100%, $F$9) + CHOOSE(CONTROL!$C$27, 0.0021, 0)</f>
        <v>63.818899999999999</v>
      </c>
      <c r="H668" s="10">
        <f>63.6821 * CHOOSE(CONTROL!$C$9, $D$9, 100%, $F$9) + CHOOSE(CONTROL!$C$27, 0.0021, 0)</f>
        <v>63.684199999999997</v>
      </c>
      <c r="I668" s="10">
        <f>63.6821 * CHOOSE(CONTROL!$C$9, $D$9, 100%, $F$9) + CHOOSE(CONTROL!$C$27, 0.0021, 0)</f>
        <v>63.684199999999997</v>
      </c>
      <c r="J668" s="10">
        <f>63.6821 * CHOOSE(CONTROL!$C$9, $D$9, 100%, $F$9) + CHOOSE(CONTROL!$C$27, 0.0021, 0)</f>
        <v>63.684199999999997</v>
      </c>
      <c r="K668" s="10">
        <f>63.6821 * CHOOSE(CONTROL!$C$9, $D$9, 100%, $F$9) + CHOOSE(CONTROL!$C$27, 0.0021, 0)</f>
        <v>63.684199999999997</v>
      </c>
      <c r="L668" s="10"/>
    </row>
    <row r="669" spans="1:12" ht="15.75" x14ac:dyDescent="0.25">
      <c r="A669" s="13">
        <v>61667</v>
      </c>
      <c r="B669" s="10">
        <f>65.674 * CHOOSE(CONTROL!$C$9, $D$9, 100%, $F$9) + CHOOSE(CONTROL!$C$27, 0.0021, 0)</f>
        <v>65.676100000000005</v>
      </c>
      <c r="C669" s="10">
        <f>65.2417 * CHOOSE(CONTROL!$C$9, $D$9, 100%, $F$9) + CHOOSE(CONTROL!$C$27, 0.0021, 0)</f>
        <v>65.243799999999993</v>
      </c>
      <c r="D669" s="10">
        <f>65.2417 * CHOOSE(CONTROL!$C$9, $D$9, 100%, $F$9) + CHOOSE(CONTROL!$C$27, 0.0021, 0)</f>
        <v>65.243799999999993</v>
      </c>
      <c r="E669" s="10">
        <f>65.1051 * CHOOSE(CONTROL!$C$9, $D$9, 100%, $F$9) + CHOOSE(CONTROL!$C$27, 0.0021, 0)</f>
        <v>65.107199999999992</v>
      </c>
      <c r="F669" s="10">
        <f>65.1051 * CHOOSE(CONTROL!$C$9, $D$9, 100%, $F$9) + CHOOSE(CONTROL!$C$27, 0.0021, 0)</f>
        <v>65.107199999999992</v>
      </c>
      <c r="G669" s="10">
        <f>65.3765 * CHOOSE(CONTROL!$C$9, $D$9, 100%, $F$9) + CHOOSE(CONTROL!$C$27, 0.0021, 0)</f>
        <v>65.378599999999992</v>
      </c>
      <c r="H669" s="10">
        <f>65.2417 * CHOOSE(CONTROL!$C$9, $D$9, 100%, $F$9) + CHOOSE(CONTROL!$C$27, 0.0021, 0)</f>
        <v>65.243799999999993</v>
      </c>
      <c r="I669" s="10">
        <f>65.2417 * CHOOSE(CONTROL!$C$9, $D$9, 100%, $F$9) + CHOOSE(CONTROL!$C$27, 0.0021, 0)</f>
        <v>65.243799999999993</v>
      </c>
      <c r="J669" s="10">
        <f>65.2417 * CHOOSE(CONTROL!$C$9, $D$9, 100%, $F$9) + CHOOSE(CONTROL!$C$27, 0.0021, 0)</f>
        <v>65.243799999999993</v>
      </c>
      <c r="K669" s="10">
        <f>65.2417 * CHOOSE(CONTROL!$C$9, $D$9, 100%, $F$9) + CHOOSE(CONTROL!$C$27, 0.0021, 0)</f>
        <v>65.243799999999993</v>
      </c>
      <c r="L669" s="10"/>
    </row>
    <row r="670" spans="1:12" ht="15.75" x14ac:dyDescent="0.25">
      <c r="A670" s="13">
        <v>61697</v>
      </c>
      <c r="B670" s="10">
        <f>65.8204 * CHOOSE(CONTROL!$C$9, $D$9, 100%, $F$9) + CHOOSE(CONTROL!$C$27, 0.0021, 0)</f>
        <v>65.822500000000005</v>
      </c>
      <c r="C670" s="10">
        <f>65.3882 * CHOOSE(CONTROL!$C$9, $D$9, 100%, $F$9) + CHOOSE(CONTROL!$C$27, 0.0021, 0)</f>
        <v>65.390299999999996</v>
      </c>
      <c r="D670" s="10">
        <f>65.3882 * CHOOSE(CONTROL!$C$9, $D$9, 100%, $F$9) + CHOOSE(CONTROL!$C$27, 0.0021, 0)</f>
        <v>65.390299999999996</v>
      </c>
      <c r="E670" s="10">
        <f>65.2515 * CHOOSE(CONTROL!$C$9, $D$9, 100%, $F$9) + CHOOSE(CONTROL!$C$27, 0.0021, 0)</f>
        <v>65.253599999999992</v>
      </c>
      <c r="F670" s="10">
        <f>65.2515 * CHOOSE(CONTROL!$C$9, $D$9, 100%, $F$9) + CHOOSE(CONTROL!$C$27, 0.0021, 0)</f>
        <v>65.253599999999992</v>
      </c>
      <c r="G670" s="10">
        <f>65.5229 * CHOOSE(CONTROL!$C$9, $D$9, 100%, $F$9) + CHOOSE(CONTROL!$C$27, 0.0021, 0)</f>
        <v>65.525000000000006</v>
      </c>
      <c r="H670" s="10">
        <f>65.3882 * CHOOSE(CONTROL!$C$9, $D$9, 100%, $F$9) + CHOOSE(CONTROL!$C$27, 0.0021, 0)</f>
        <v>65.390299999999996</v>
      </c>
      <c r="I670" s="10">
        <f>65.3882 * CHOOSE(CONTROL!$C$9, $D$9, 100%, $F$9) + CHOOSE(CONTROL!$C$27, 0.0021, 0)</f>
        <v>65.390299999999996</v>
      </c>
      <c r="J670" s="10">
        <f>65.3882 * CHOOSE(CONTROL!$C$9, $D$9, 100%, $F$9) + CHOOSE(CONTROL!$C$27, 0.0021, 0)</f>
        <v>65.390299999999996</v>
      </c>
      <c r="K670" s="10">
        <f>65.3882 * CHOOSE(CONTROL!$C$9, $D$9, 100%, $F$9) + CHOOSE(CONTROL!$C$27, 0.0021, 0)</f>
        <v>65.390299999999996</v>
      </c>
      <c r="L670" s="10"/>
    </row>
    <row r="671" spans="1:12" ht="15.75" x14ac:dyDescent="0.25">
      <c r="A671" s="13">
        <v>61728</v>
      </c>
      <c r="B671" s="10">
        <f>64.5748 * CHOOSE(CONTROL!$C$9, $D$9, 100%, $F$9) + CHOOSE(CONTROL!$C$27, 0.0021, 0)</f>
        <v>64.576899999999995</v>
      </c>
      <c r="C671" s="10">
        <f>64.1425 * CHOOSE(CONTROL!$C$9, $D$9, 100%, $F$9) + CHOOSE(CONTROL!$C$27, 0.0021, 0)</f>
        <v>64.144599999999997</v>
      </c>
      <c r="D671" s="10">
        <f>64.1425 * CHOOSE(CONTROL!$C$9, $D$9, 100%, $F$9) + CHOOSE(CONTROL!$C$27, 0.0021, 0)</f>
        <v>64.144599999999997</v>
      </c>
      <c r="E671" s="10">
        <f>64.0059 * CHOOSE(CONTROL!$C$9, $D$9, 100%, $F$9) + CHOOSE(CONTROL!$C$27, 0.0021, 0)</f>
        <v>64.007999999999996</v>
      </c>
      <c r="F671" s="10">
        <f>64.0059 * CHOOSE(CONTROL!$C$9, $D$9, 100%, $F$9) + CHOOSE(CONTROL!$C$27, 0.0021, 0)</f>
        <v>64.007999999999996</v>
      </c>
      <c r="G671" s="10">
        <f>64.2772 * CHOOSE(CONTROL!$C$9, $D$9, 100%, $F$9) + CHOOSE(CONTROL!$C$27, 0.0021, 0)</f>
        <v>64.279299999999992</v>
      </c>
      <c r="H671" s="10">
        <f>64.1425 * CHOOSE(CONTROL!$C$9, $D$9, 100%, $F$9) + CHOOSE(CONTROL!$C$27, 0.0021, 0)</f>
        <v>64.144599999999997</v>
      </c>
      <c r="I671" s="10">
        <f>64.1425 * CHOOSE(CONTROL!$C$9, $D$9, 100%, $F$9) + CHOOSE(CONTROL!$C$27, 0.0021, 0)</f>
        <v>64.144599999999997</v>
      </c>
      <c r="J671" s="10">
        <f>64.1425 * CHOOSE(CONTROL!$C$9, $D$9, 100%, $F$9) + CHOOSE(CONTROL!$C$27, 0.0021, 0)</f>
        <v>64.144599999999997</v>
      </c>
      <c r="K671" s="10">
        <f>64.1425 * CHOOSE(CONTROL!$C$9, $D$9, 100%, $F$9) + CHOOSE(CONTROL!$C$27, 0.0021, 0)</f>
        <v>64.144599999999997</v>
      </c>
      <c r="L671" s="10"/>
    </row>
    <row r="672" spans="1:12" ht="15.75" x14ac:dyDescent="0.25">
      <c r="A672" s="13">
        <v>61759</v>
      </c>
      <c r="B672" s="10">
        <f>63.6211 * CHOOSE(CONTROL!$C$9, $D$9, 100%, $F$9) + CHOOSE(CONTROL!$C$27, 0.0021, 0)</f>
        <v>63.623199999999997</v>
      </c>
      <c r="C672" s="10">
        <f>63.1888 * CHOOSE(CONTROL!$C$9, $D$9, 100%, $F$9) + CHOOSE(CONTROL!$C$27, 0.0021, 0)</f>
        <v>63.190899999999999</v>
      </c>
      <c r="D672" s="10">
        <f>63.1888 * CHOOSE(CONTROL!$C$9, $D$9, 100%, $F$9) + CHOOSE(CONTROL!$C$27, 0.0021, 0)</f>
        <v>63.190899999999999</v>
      </c>
      <c r="E672" s="10">
        <f>63.0522 * CHOOSE(CONTROL!$C$9, $D$9, 100%, $F$9) + CHOOSE(CONTROL!$C$27, 0.0021, 0)</f>
        <v>63.054299999999998</v>
      </c>
      <c r="F672" s="10">
        <f>63.0522 * CHOOSE(CONTROL!$C$9, $D$9, 100%, $F$9) + CHOOSE(CONTROL!$C$27, 0.0021, 0)</f>
        <v>63.054299999999998</v>
      </c>
      <c r="G672" s="10">
        <f>63.3235 * CHOOSE(CONTROL!$C$9, $D$9, 100%, $F$9) + CHOOSE(CONTROL!$C$27, 0.0021, 0)</f>
        <v>63.325600000000001</v>
      </c>
      <c r="H672" s="10">
        <f>63.1888 * CHOOSE(CONTROL!$C$9, $D$9, 100%, $F$9) + CHOOSE(CONTROL!$C$27, 0.0021, 0)</f>
        <v>63.190899999999999</v>
      </c>
      <c r="I672" s="10">
        <f>63.1888 * CHOOSE(CONTROL!$C$9, $D$9, 100%, $F$9) + CHOOSE(CONTROL!$C$27, 0.0021, 0)</f>
        <v>63.190899999999999</v>
      </c>
      <c r="J672" s="10">
        <f>63.1888 * CHOOSE(CONTROL!$C$9, $D$9, 100%, $F$9) + CHOOSE(CONTROL!$C$27, 0.0021, 0)</f>
        <v>63.190899999999999</v>
      </c>
      <c r="K672" s="10">
        <f>63.1888 * CHOOSE(CONTROL!$C$9, $D$9, 100%, $F$9) + CHOOSE(CONTROL!$C$27, 0.0021, 0)</f>
        <v>63.190899999999999</v>
      </c>
      <c r="L672" s="10"/>
    </row>
    <row r="673" spans="1:12" ht="15.75" x14ac:dyDescent="0.25">
      <c r="A673" s="13">
        <v>61787</v>
      </c>
      <c r="B673" s="10">
        <f>61.8864 * CHOOSE(CONTROL!$C$9, $D$9, 100%, $F$9) + CHOOSE(CONTROL!$C$27, 0.0021, 0)</f>
        <v>61.888500000000001</v>
      </c>
      <c r="C673" s="10">
        <f>61.4541 * CHOOSE(CONTROL!$C$9, $D$9, 100%, $F$9) + CHOOSE(CONTROL!$C$27, 0.0021, 0)</f>
        <v>61.456199999999995</v>
      </c>
      <c r="D673" s="10">
        <f>61.4541 * CHOOSE(CONTROL!$C$9, $D$9, 100%, $F$9) + CHOOSE(CONTROL!$C$27, 0.0021, 0)</f>
        <v>61.456199999999995</v>
      </c>
      <c r="E673" s="10">
        <f>61.3175 * CHOOSE(CONTROL!$C$9, $D$9, 100%, $F$9) + CHOOSE(CONTROL!$C$27, 0.0021, 0)</f>
        <v>61.319600000000001</v>
      </c>
      <c r="F673" s="10">
        <f>61.3175 * CHOOSE(CONTROL!$C$9, $D$9, 100%, $F$9) + CHOOSE(CONTROL!$C$27, 0.0021, 0)</f>
        <v>61.319600000000001</v>
      </c>
      <c r="G673" s="10">
        <f>61.5888 * CHOOSE(CONTROL!$C$9, $D$9, 100%, $F$9) + CHOOSE(CONTROL!$C$27, 0.0021, 0)</f>
        <v>61.590899999999998</v>
      </c>
      <c r="H673" s="10">
        <f>61.4541 * CHOOSE(CONTROL!$C$9, $D$9, 100%, $F$9) + CHOOSE(CONTROL!$C$27, 0.0021, 0)</f>
        <v>61.456199999999995</v>
      </c>
      <c r="I673" s="10">
        <f>61.4541 * CHOOSE(CONTROL!$C$9, $D$9, 100%, $F$9) + CHOOSE(CONTROL!$C$27, 0.0021, 0)</f>
        <v>61.456199999999995</v>
      </c>
      <c r="J673" s="10">
        <f>61.4541 * CHOOSE(CONTROL!$C$9, $D$9, 100%, $F$9) + CHOOSE(CONTROL!$C$27, 0.0021, 0)</f>
        <v>61.456199999999995</v>
      </c>
      <c r="K673" s="10">
        <f>61.4541 * CHOOSE(CONTROL!$C$9, $D$9, 100%, $F$9) + CHOOSE(CONTROL!$C$27, 0.0021, 0)</f>
        <v>61.456199999999995</v>
      </c>
      <c r="L673" s="10"/>
    </row>
    <row r="674" spans="1:12" ht="15.75" x14ac:dyDescent="0.25">
      <c r="A674" s="13">
        <v>61818</v>
      </c>
      <c r="B674" s="10">
        <f>61.1703 * CHOOSE(CONTROL!$C$9, $D$9, 100%, $F$9) + CHOOSE(CONTROL!$C$27, 0.0021, 0)</f>
        <v>61.172399999999996</v>
      </c>
      <c r="C674" s="10">
        <f>60.738 * CHOOSE(CONTROL!$C$9, $D$9, 100%, $F$9) + CHOOSE(CONTROL!$C$27, 0.0021, 0)</f>
        <v>60.740099999999998</v>
      </c>
      <c r="D674" s="10">
        <f>60.738 * CHOOSE(CONTROL!$C$9, $D$9, 100%, $F$9) + CHOOSE(CONTROL!$C$27, 0.0021, 0)</f>
        <v>60.740099999999998</v>
      </c>
      <c r="E674" s="10">
        <f>60.6014 * CHOOSE(CONTROL!$C$9, $D$9, 100%, $F$9) + CHOOSE(CONTROL!$C$27, 0.0021, 0)</f>
        <v>60.603499999999997</v>
      </c>
      <c r="F674" s="10">
        <f>60.6014 * CHOOSE(CONTROL!$C$9, $D$9, 100%, $F$9) + CHOOSE(CONTROL!$C$27, 0.0021, 0)</f>
        <v>60.603499999999997</v>
      </c>
      <c r="G674" s="10">
        <f>60.8727 * CHOOSE(CONTROL!$C$9, $D$9, 100%, $F$9) + CHOOSE(CONTROL!$C$27, 0.0021, 0)</f>
        <v>60.8748</v>
      </c>
      <c r="H674" s="10">
        <f>60.738 * CHOOSE(CONTROL!$C$9, $D$9, 100%, $F$9) + CHOOSE(CONTROL!$C$27, 0.0021, 0)</f>
        <v>60.740099999999998</v>
      </c>
      <c r="I674" s="10">
        <f>60.738 * CHOOSE(CONTROL!$C$9, $D$9, 100%, $F$9) + CHOOSE(CONTROL!$C$27, 0.0021, 0)</f>
        <v>60.740099999999998</v>
      </c>
      <c r="J674" s="10">
        <f>60.738 * CHOOSE(CONTROL!$C$9, $D$9, 100%, $F$9) + CHOOSE(CONTROL!$C$27, 0.0021, 0)</f>
        <v>60.740099999999998</v>
      </c>
      <c r="K674" s="10">
        <f>60.738 * CHOOSE(CONTROL!$C$9, $D$9, 100%, $F$9) + CHOOSE(CONTROL!$C$27, 0.0021, 0)</f>
        <v>60.740099999999998</v>
      </c>
      <c r="L674" s="10"/>
    </row>
    <row r="675" spans="1:12" ht="15.75" x14ac:dyDescent="0.25">
      <c r="A675" s="13">
        <v>61848</v>
      </c>
      <c r="B675" s="10">
        <f>60.3153 * CHOOSE(CONTROL!$C$9, $D$9, 100%, $F$9) + CHOOSE(CONTROL!$C$27, 0.0021, 0)</f>
        <v>60.317399999999999</v>
      </c>
      <c r="C675" s="10">
        <f>59.883 * CHOOSE(CONTROL!$C$9, $D$9, 100%, $F$9) + CHOOSE(CONTROL!$C$27, 0.0021, 0)</f>
        <v>59.885100000000001</v>
      </c>
      <c r="D675" s="10">
        <f>59.883 * CHOOSE(CONTROL!$C$9, $D$9, 100%, $F$9) + CHOOSE(CONTROL!$C$27, 0.0021, 0)</f>
        <v>59.885100000000001</v>
      </c>
      <c r="E675" s="10">
        <f>59.7464 * CHOOSE(CONTROL!$C$9, $D$9, 100%, $F$9) + CHOOSE(CONTROL!$C$27, 0.0021, 0)</f>
        <v>59.7485</v>
      </c>
      <c r="F675" s="10">
        <f>59.7464 * CHOOSE(CONTROL!$C$9, $D$9, 100%, $F$9) + CHOOSE(CONTROL!$C$27, 0.0021, 0)</f>
        <v>59.7485</v>
      </c>
      <c r="G675" s="10">
        <f>60.0177 * CHOOSE(CONTROL!$C$9, $D$9, 100%, $F$9) + CHOOSE(CONTROL!$C$27, 0.0021, 0)</f>
        <v>60.019799999999996</v>
      </c>
      <c r="H675" s="10">
        <f>59.883 * CHOOSE(CONTROL!$C$9, $D$9, 100%, $F$9) + CHOOSE(CONTROL!$C$27, 0.0021, 0)</f>
        <v>59.885100000000001</v>
      </c>
      <c r="I675" s="10">
        <f>59.883 * CHOOSE(CONTROL!$C$9, $D$9, 100%, $F$9) + CHOOSE(CONTROL!$C$27, 0.0021, 0)</f>
        <v>59.885100000000001</v>
      </c>
      <c r="J675" s="10">
        <f>59.883 * CHOOSE(CONTROL!$C$9, $D$9, 100%, $F$9) + CHOOSE(CONTROL!$C$27, 0.0021, 0)</f>
        <v>59.885100000000001</v>
      </c>
      <c r="K675" s="10">
        <f>59.883 * CHOOSE(CONTROL!$C$9, $D$9, 100%, $F$9) + CHOOSE(CONTROL!$C$27, 0.0021, 0)</f>
        <v>59.885100000000001</v>
      </c>
      <c r="L675" s="10"/>
    </row>
    <row r="676" spans="1:12" ht="15.75" x14ac:dyDescent="0.25">
      <c r="A676" s="13">
        <v>61879</v>
      </c>
      <c r="B676" s="10">
        <f>61.5338 * CHOOSE(CONTROL!$C$9, $D$9, 100%, $F$9) + CHOOSE(CONTROL!$C$27, 0.0021, 0)</f>
        <v>61.535899999999998</v>
      </c>
      <c r="C676" s="10">
        <f>61.1015 * CHOOSE(CONTROL!$C$9, $D$9, 100%, $F$9) + CHOOSE(CONTROL!$C$27, 0.0021, 0)</f>
        <v>61.1036</v>
      </c>
      <c r="D676" s="10">
        <f>61.1015 * CHOOSE(CONTROL!$C$9, $D$9, 100%, $F$9) + CHOOSE(CONTROL!$C$27, 0.0021, 0)</f>
        <v>61.1036</v>
      </c>
      <c r="E676" s="10">
        <f>60.9649 * CHOOSE(CONTROL!$C$9, $D$9, 100%, $F$9) + CHOOSE(CONTROL!$C$27, 0.0021, 0)</f>
        <v>60.966999999999999</v>
      </c>
      <c r="F676" s="10">
        <f>60.9649 * CHOOSE(CONTROL!$C$9, $D$9, 100%, $F$9) + CHOOSE(CONTROL!$C$27, 0.0021, 0)</f>
        <v>60.966999999999999</v>
      </c>
      <c r="G676" s="10">
        <f>61.2362 * CHOOSE(CONTROL!$C$9, $D$9, 100%, $F$9) + CHOOSE(CONTROL!$C$27, 0.0021, 0)</f>
        <v>61.238299999999995</v>
      </c>
      <c r="H676" s="10">
        <f>61.1015 * CHOOSE(CONTROL!$C$9, $D$9, 100%, $F$9) + CHOOSE(CONTROL!$C$27, 0.0021, 0)</f>
        <v>61.1036</v>
      </c>
      <c r="I676" s="10">
        <f>61.1015 * CHOOSE(CONTROL!$C$9, $D$9, 100%, $F$9) + CHOOSE(CONTROL!$C$27, 0.0021, 0)</f>
        <v>61.1036</v>
      </c>
      <c r="J676" s="10">
        <f>61.1015 * CHOOSE(CONTROL!$C$9, $D$9, 100%, $F$9) + CHOOSE(CONTROL!$C$27, 0.0021, 0)</f>
        <v>61.1036</v>
      </c>
      <c r="K676" s="10">
        <f>61.1015 * CHOOSE(CONTROL!$C$9, $D$9, 100%, $F$9) + CHOOSE(CONTROL!$C$27, 0.0021, 0)</f>
        <v>61.1036</v>
      </c>
      <c r="L676" s="10"/>
    </row>
    <row r="677" spans="1:12" ht="15.75" x14ac:dyDescent="0.25">
      <c r="A677" s="13">
        <v>61909</v>
      </c>
      <c r="B677" s="10">
        <f>62.2636 * CHOOSE(CONTROL!$C$9, $D$9, 100%, $F$9) + CHOOSE(CONTROL!$C$27, 0.0021, 0)</f>
        <v>62.265699999999995</v>
      </c>
      <c r="C677" s="10">
        <f>61.8314 * CHOOSE(CONTROL!$C$9, $D$9, 100%, $F$9) + CHOOSE(CONTROL!$C$27, 0.0021, 0)</f>
        <v>61.833500000000001</v>
      </c>
      <c r="D677" s="10">
        <f>61.8314 * CHOOSE(CONTROL!$C$9, $D$9, 100%, $F$9) + CHOOSE(CONTROL!$C$27, 0.0021, 0)</f>
        <v>61.833500000000001</v>
      </c>
      <c r="E677" s="10">
        <f>61.6947 * CHOOSE(CONTROL!$C$9, $D$9, 100%, $F$9) + CHOOSE(CONTROL!$C$27, 0.0021, 0)</f>
        <v>61.696799999999996</v>
      </c>
      <c r="F677" s="10">
        <f>61.6947 * CHOOSE(CONTROL!$C$9, $D$9, 100%, $F$9) + CHOOSE(CONTROL!$C$27, 0.0021, 0)</f>
        <v>61.696799999999996</v>
      </c>
      <c r="G677" s="10">
        <f>61.9661 * CHOOSE(CONTROL!$C$9, $D$9, 100%, $F$9) + CHOOSE(CONTROL!$C$27, 0.0021, 0)</f>
        <v>61.968199999999996</v>
      </c>
      <c r="H677" s="10">
        <f>61.8314 * CHOOSE(CONTROL!$C$9, $D$9, 100%, $F$9) + CHOOSE(CONTROL!$C$27, 0.0021, 0)</f>
        <v>61.833500000000001</v>
      </c>
      <c r="I677" s="10">
        <f>61.8314 * CHOOSE(CONTROL!$C$9, $D$9, 100%, $F$9) + CHOOSE(CONTROL!$C$27, 0.0021, 0)</f>
        <v>61.833500000000001</v>
      </c>
      <c r="J677" s="10">
        <f>61.8314 * CHOOSE(CONTROL!$C$9, $D$9, 100%, $F$9) + CHOOSE(CONTROL!$C$27, 0.0021, 0)</f>
        <v>61.833500000000001</v>
      </c>
      <c r="K677" s="10">
        <f>61.8314 * CHOOSE(CONTROL!$C$9, $D$9, 100%, $F$9) + CHOOSE(CONTROL!$C$27, 0.0021, 0)</f>
        <v>61.833500000000001</v>
      </c>
      <c r="L677" s="10"/>
    </row>
    <row r="678" spans="1:12" ht="15.75" x14ac:dyDescent="0.25">
      <c r="A678" s="13">
        <v>61940</v>
      </c>
      <c r="B678" s="10">
        <f>63.4676 * CHOOSE(CONTROL!$C$9, $D$9, 100%, $F$9) + CHOOSE(CONTROL!$C$27, 0.0021, 0)</f>
        <v>63.469699999999996</v>
      </c>
      <c r="C678" s="10">
        <f>63.0353 * CHOOSE(CONTROL!$C$9, $D$9, 100%, $F$9) + CHOOSE(CONTROL!$C$27, 0.0021, 0)</f>
        <v>63.037399999999998</v>
      </c>
      <c r="D678" s="10">
        <f>63.0353 * CHOOSE(CONTROL!$C$9, $D$9, 100%, $F$9) + CHOOSE(CONTROL!$C$27, 0.0021, 0)</f>
        <v>63.037399999999998</v>
      </c>
      <c r="E678" s="10">
        <f>62.8987 * CHOOSE(CONTROL!$C$9, $D$9, 100%, $F$9) + CHOOSE(CONTROL!$C$27, 0.0021, 0)</f>
        <v>62.900799999999997</v>
      </c>
      <c r="F678" s="10">
        <f>62.8987 * CHOOSE(CONTROL!$C$9, $D$9, 100%, $F$9) + CHOOSE(CONTROL!$C$27, 0.0021, 0)</f>
        <v>62.900799999999997</v>
      </c>
      <c r="G678" s="10">
        <f>63.17 * CHOOSE(CONTROL!$C$9, $D$9, 100%, $F$9) + CHOOSE(CONTROL!$C$27, 0.0021, 0)</f>
        <v>63.1721</v>
      </c>
      <c r="H678" s="10">
        <f>63.0353 * CHOOSE(CONTROL!$C$9, $D$9, 100%, $F$9) + CHOOSE(CONTROL!$C$27, 0.0021, 0)</f>
        <v>63.037399999999998</v>
      </c>
      <c r="I678" s="10">
        <f>63.0353 * CHOOSE(CONTROL!$C$9, $D$9, 100%, $F$9) + CHOOSE(CONTROL!$C$27, 0.0021, 0)</f>
        <v>63.037399999999998</v>
      </c>
      <c r="J678" s="10">
        <f>63.0353 * CHOOSE(CONTROL!$C$9, $D$9, 100%, $F$9) + CHOOSE(CONTROL!$C$27, 0.0021, 0)</f>
        <v>63.037399999999998</v>
      </c>
      <c r="K678" s="10">
        <f>63.0353 * CHOOSE(CONTROL!$C$9, $D$9, 100%, $F$9) + CHOOSE(CONTROL!$C$27, 0.0021, 0)</f>
        <v>63.037399999999998</v>
      </c>
      <c r="L678" s="10"/>
    </row>
    <row r="679" spans="1:12" ht="15.75" x14ac:dyDescent="0.25">
      <c r="A679" s="13">
        <v>61971</v>
      </c>
      <c r="B679" s="10">
        <f>63.8351 * CHOOSE(CONTROL!$C$9, $D$9, 100%, $F$9) + CHOOSE(CONTROL!$C$27, 0.0021, 0)</f>
        <v>63.837199999999996</v>
      </c>
      <c r="C679" s="10">
        <f>63.4028 * CHOOSE(CONTROL!$C$9, $D$9, 100%, $F$9) + CHOOSE(CONTROL!$C$27, 0.0021, 0)</f>
        <v>63.404899999999998</v>
      </c>
      <c r="D679" s="10">
        <f>63.4028 * CHOOSE(CONTROL!$C$9, $D$9, 100%, $F$9) + CHOOSE(CONTROL!$C$27, 0.0021, 0)</f>
        <v>63.404899999999998</v>
      </c>
      <c r="E679" s="10">
        <f>63.2661 * CHOOSE(CONTROL!$C$9, $D$9, 100%, $F$9) + CHOOSE(CONTROL!$C$27, 0.0021, 0)</f>
        <v>63.2682</v>
      </c>
      <c r="F679" s="10">
        <f>63.2661 * CHOOSE(CONTROL!$C$9, $D$9, 100%, $F$9) + CHOOSE(CONTROL!$C$27, 0.0021, 0)</f>
        <v>63.2682</v>
      </c>
      <c r="G679" s="10">
        <f>63.5375 * CHOOSE(CONTROL!$C$9, $D$9, 100%, $F$9) + CHOOSE(CONTROL!$C$27, 0.0021, 0)</f>
        <v>63.5396</v>
      </c>
      <c r="H679" s="10">
        <f>63.4028 * CHOOSE(CONTROL!$C$9, $D$9, 100%, $F$9) + CHOOSE(CONTROL!$C$27, 0.0021, 0)</f>
        <v>63.404899999999998</v>
      </c>
      <c r="I679" s="10">
        <f>63.4028 * CHOOSE(CONTROL!$C$9, $D$9, 100%, $F$9) + CHOOSE(CONTROL!$C$27, 0.0021, 0)</f>
        <v>63.404899999999998</v>
      </c>
      <c r="J679" s="10">
        <f>63.4028 * CHOOSE(CONTROL!$C$9, $D$9, 100%, $F$9) + CHOOSE(CONTROL!$C$27, 0.0021, 0)</f>
        <v>63.404899999999998</v>
      </c>
      <c r="K679" s="10">
        <f>63.4028 * CHOOSE(CONTROL!$C$9, $D$9, 100%, $F$9) + CHOOSE(CONTROL!$C$27, 0.0021, 0)</f>
        <v>63.404899999999998</v>
      </c>
      <c r="L679" s="10"/>
    </row>
    <row r="680" spans="1:12" ht="15.75" x14ac:dyDescent="0.25">
      <c r="A680" s="13">
        <v>62001</v>
      </c>
      <c r="B680" s="10">
        <f>65.0865 * CHOOSE(CONTROL!$C$9, $D$9, 100%, $F$9) + CHOOSE(CONTROL!$C$27, 0.0021, 0)</f>
        <v>65.0886</v>
      </c>
      <c r="C680" s="10">
        <f>64.6543 * CHOOSE(CONTROL!$C$9, $D$9, 100%, $F$9) + CHOOSE(CONTROL!$C$27, 0.0021, 0)</f>
        <v>64.656400000000005</v>
      </c>
      <c r="D680" s="10">
        <f>64.6543 * CHOOSE(CONTROL!$C$9, $D$9, 100%, $F$9) + CHOOSE(CONTROL!$C$27, 0.0021, 0)</f>
        <v>64.656400000000005</v>
      </c>
      <c r="E680" s="10">
        <f>64.5176 * CHOOSE(CONTROL!$C$9, $D$9, 100%, $F$9) + CHOOSE(CONTROL!$C$27, 0.0021, 0)</f>
        <v>64.5197</v>
      </c>
      <c r="F680" s="10">
        <f>64.5176 * CHOOSE(CONTROL!$C$9, $D$9, 100%, $F$9) + CHOOSE(CONTROL!$C$27, 0.0021, 0)</f>
        <v>64.5197</v>
      </c>
      <c r="G680" s="10">
        <f>64.789 * CHOOSE(CONTROL!$C$9, $D$9, 100%, $F$9) + CHOOSE(CONTROL!$C$27, 0.0021, 0)</f>
        <v>64.7911</v>
      </c>
      <c r="H680" s="10">
        <f>64.6543 * CHOOSE(CONTROL!$C$9, $D$9, 100%, $F$9) + CHOOSE(CONTROL!$C$27, 0.0021, 0)</f>
        <v>64.656400000000005</v>
      </c>
      <c r="I680" s="10">
        <f>64.6543 * CHOOSE(CONTROL!$C$9, $D$9, 100%, $F$9) + CHOOSE(CONTROL!$C$27, 0.0021, 0)</f>
        <v>64.656400000000005</v>
      </c>
      <c r="J680" s="10">
        <f>64.6543 * CHOOSE(CONTROL!$C$9, $D$9, 100%, $F$9) + CHOOSE(CONTROL!$C$27, 0.0021, 0)</f>
        <v>64.656400000000005</v>
      </c>
      <c r="K680" s="10">
        <f>64.6543 * CHOOSE(CONTROL!$C$9, $D$9, 100%, $F$9) + CHOOSE(CONTROL!$C$27, 0.0021, 0)</f>
        <v>64.656400000000005</v>
      </c>
      <c r="L680" s="10"/>
    </row>
    <row r="681" spans="1:12" ht="15.75" x14ac:dyDescent="0.25">
      <c r="A681" s="13">
        <v>62032</v>
      </c>
      <c r="B681" s="10">
        <f>66.6707 * CHOOSE(CONTROL!$C$9, $D$9, 100%, $F$9) + CHOOSE(CONTROL!$C$27, 0.0021, 0)</f>
        <v>66.672799999999995</v>
      </c>
      <c r="C681" s="10">
        <f>66.2384 * CHOOSE(CONTROL!$C$9, $D$9, 100%, $F$9) + CHOOSE(CONTROL!$C$27, 0.0021, 0)</f>
        <v>66.240499999999997</v>
      </c>
      <c r="D681" s="10">
        <f>66.2384 * CHOOSE(CONTROL!$C$9, $D$9, 100%, $F$9) + CHOOSE(CONTROL!$C$27, 0.0021, 0)</f>
        <v>66.240499999999997</v>
      </c>
      <c r="E681" s="10">
        <f>66.1018 * CHOOSE(CONTROL!$C$9, $D$9, 100%, $F$9) + CHOOSE(CONTROL!$C$27, 0.0021, 0)</f>
        <v>66.103899999999996</v>
      </c>
      <c r="F681" s="10">
        <f>66.1018 * CHOOSE(CONTROL!$C$9, $D$9, 100%, $F$9) + CHOOSE(CONTROL!$C$27, 0.0021, 0)</f>
        <v>66.103899999999996</v>
      </c>
      <c r="G681" s="10">
        <f>66.3731 * CHOOSE(CONTROL!$C$9, $D$9, 100%, $F$9) + CHOOSE(CONTROL!$C$27, 0.0021, 0)</f>
        <v>66.375199999999992</v>
      </c>
      <c r="H681" s="10">
        <f>66.2384 * CHOOSE(CONTROL!$C$9, $D$9, 100%, $F$9) + CHOOSE(CONTROL!$C$27, 0.0021, 0)</f>
        <v>66.240499999999997</v>
      </c>
      <c r="I681" s="10">
        <f>66.2384 * CHOOSE(CONTROL!$C$9, $D$9, 100%, $F$9) + CHOOSE(CONTROL!$C$27, 0.0021, 0)</f>
        <v>66.240499999999997</v>
      </c>
      <c r="J681" s="10">
        <f>66.2384 * CHOOSE(CONTROL!$C$9, $D$9, 100%, $F$9) + CHOOSE(CONTROL!$C$27, 0.0021, 0)</f>
        <v>66.240499999999997</v>
      </c>
      <c r="K681" s="10">
        <f>66.2384 * CHOOSE(CONTROL!$C$9, $D$9, 100%, $F$9) + CHOOSE(CONTROL!$C$27, 0.0021, 0)</f>
        <v>66.240499999999997</v>
      </c>
      <c r="L681" s="10"/>
    </row>
    <row r="682" spans="1:12" ht="15.75" x14ac:dyDescent="0.25">
      <c r="A682" s="13">
        <v>62062</v>
      </c>
      <c r="B682" s="10">
        <f>66.8194 * CHOOSE(CONTROL!$C$9, $D$9, 100%, $F$9) + CHOOSE(CONTROL!$C$27, 0.0021, 0)</f>
        <v>66.8215</v>
      </c>
      <c r="C682" s="10">
        <f>66.3871 * CHOOSE(CONTROL!$C$9, $D$9, 100%, $F$9) + CHOOSE(CONTROL!$C$27, 0.0021, 0)</f>
        <v>66.389200000000002</v>
      </c>
      <c r="D682" s="10">
        <f>66.3871 * CHOOSE(CONTROL!$C$9, $D$9, 100%, $F$9) + CHOOSE(CONTROL!$C$27, 0.0021, 0)</f>
        <v>66.389200000000002</v>
      </c>
      <c r="E682" s="10">
        <f>66.2505 * CHOOSE(CONTROL!$C$9, $D$9, 100%, $F$9) + CHOOSE(CONTROL!$C$27, 0.0021, 0)</f>
        <v>66.252600000000001</v>
      </c>
      <c r="F682" s="10">
        <f>66.2505 * CHOOSE(CONTROL!$C$9, $D$9, 100%, $F$9) + CHOOSE(CONTROL!$C$27, 0.0021, 0)</f>
        <v>66.252600000000001</v>
      </c>
      <c r="G682" s="10">
        <f>66.5219 * CHOOSE(CONTROL!$C$9, $D$9, 100%, $F$9) + CHOOSE(CONTROL!$C$27, 0.0021, 0)</f>
        <v>66.524000000000001</v>
      </c>
      <c r="H682" s="10">
        <f>66.3871 * CHOOSE(CONTROL!$C$9, $D$9, 100%, $F$9) + CHOOSE(CONTROL!$C$27, 0.0021, 0)</f>
        <v>66.389200000000002</v>
      </c>
      <c r="I682" s="10">
        <f>66.3871 * CHOOSE(CONTROL!$C$9, $D$9, 100%, $F$9) + CHOOSE(CONTROL!$C$27, 0.0021, 0)</f>
        <v>66.389200000000002</v>
      </c>
      <c r="J682" s="10">
        <f>66.3871 * CHOOSE(CONTROL!$C$9, $D$9, 100%, $F$9) + CHOOSE(CONTROL!$C$27, 0.0021, 0)</f>
        <v>66.389200000000002</v>
      </c>
      <c r="K682" s="10">
        <f>66.3871 * CHOOSE(CONTROL!$C$9, $D$9, 100%, $F$9) + CHOOSE(CONTROL!$C$27, 0.0021, 0)</f>
        <v>66.389200000000002</v>
      </c>
      <c r="L682" s="10"/>
    </row>
    <row r="683" spans="1:12" ht="15.75" x14ac:dyDescent="0.25">
      <c r="A683" s="13">
        <v>62093</v>
      </c>
      <c r="B683" s="10">
        <f>65.5542 * CHOOSE(CONTROL!$C$9, $D$9, 100%, $F$9) + CHOOSE(CONTROL!$C$27, 0.0021, 0)</f>
        <v>65.556299999999993</v>
      </c>
      <c r="C683" s="10">
        <f>65.1219 * CHOOSE(CONTROL!$C$9, $D$9, 100%, $F$9) + CHOOSE(CONTROL!$C$27, 0.0021, 0)</f>
        <v>65.123999999999995</v>
      </c>
      <c r="D683" s="10">
        <f>65.1219 * CHOOSE(CONTROL!$C$9, $D$9, 100%, $F$9) + CHOOSE(CONTROL!$C$27, 0.0021, 0)</f>
        <v>65.123999999999995</v>
      </c>
      <c r="E683" s="10">
        <f>64.9853 * CHOOSE(CONTROL!$C$9, $D$9, 100%, $F$9) + CHOOSE(CONTROL!$C$27, 0.0021, 0)</f>
        <v>64.987399999999994</v>
      </c>
      <c r="F683" s="10">
        <f>64.9853 * CHOOSE(CONTROL!$C$9, $D$9, 100%, $F$9) + CHOOSE(CONTROL!$C$27, 0.0021, 0)</f>
        <v>64.987399999999994</v>
      </c>
      <c r="G683" s="10">
        <f>65.2566 * CHOOSE(CONTROL!$C$9, $D$9, 100%, $F$9) + CHOOSE(CONTROL!$C$27, 0.0021, 0)</f>
        <v>65.258700000000005</v>
      </c>
      <c r="H683" s="10">
        <f>65.1219 * CHOOSE(CONTROL!$C$9, $D$9, 100%, $F$9) + CHOOSE(CONTROL!$C$27, 0.0021, 0)</f>
        <v>65.123999999999995</v>
      </c>
      <c r="I683" s="10">
        <f>65.1219 * CHOOSE(CONTROL!$C$9, $D$9, 100%, $F$9) + CHOOSE(CONTROL!$C$27, 0.0021, 0)</f>
        <v>65.123999999999995</v>
      </c>
      <c r="J683" s="10">
        <f>65.1219 * CHOOSE(CONTROL!$C$9, $D$9, 100%, $F$9) + CHOOSE(CONTROL!$C$27, 0.0021, 0)</f>
        <v>65.123999999999995</v>
      </c>
      <c r="K683" s="10">
        <f>65.1219 * CHOOSE(CONTROL!$C$9, $D$9, 100%, $F$9) + CHOOSE(CONTROL!$C$27, 0.0021, 0)</f>
        <v>65.123999999999995</v>
      </c>
      <c r="L683" s="10"/>
    </row>
    <row r="684" spans="1:12" ht="15.75" x14ac:dyDescent="0.25">
      <c r="A684" s="13">
        <v>62124</v>
      </c>
      <c r="B684" s="10">
        <f>64.5855 * CHOOSE(CONTROL!$C$9, $D$9, 100%, $F$9) + CHOOSE(CONTROL!$C$27, 0.0021, 0)</f>
        <v>64.587599999999995</v>
      </c>
      <c r="C684" s="10">
        <f>64.1532 * CHOOSE(CONTROL!$C$9, $D$9, 100%, $F$9) + CHOOSE(CONTROL!$C$27, 0.0021, 0)</f>
        <v>64.155299999999997</v>
      </c>
      <c r="D684" s="10">
        <f>64.1532 * CHOOSE(CONTROL!$C$9, $D$9, 100%, $F$9) + CHOOSE(CONTROL!$C$27, 0.0021, 0)</f>
        <v>64.155299999999997</v>
      </c>
      <c r="E684" s="10">
        <f>64.0166 * CHOOSE(CONTROL!$C$9, $D$9, 100%, $F$9) + CHOOSE(CONTROL!$C$27, 0.0021, 0)</f>
        <v>64.018699999999995</v>
      </c>
      <c r="F684" s="10">
        <f>64.0166 * CHOOSE(CONTROL!$C$9, $D$9, 100%, $F$9) + CHOOSE(CONTROL!$C$27, 0.0021, 0)</f>
        <v>64.018699999999995</v>
      </c>
      <c r="G684" s="10">
        <f>64.2879 * CHOOSE(CONTROL!$C$9, $D$9, 100%, $F$9) + CHOOSE(CONTROL!$C$27, 0.0021, 0)</f>
        <v>64.289999999999992</v>
      </c>
      <c r="H684" s="10">
        <f>64.1532 * CHOOSE(CONTROL!$C$9, $D$9, 100%, $F$9) + CHOOSE(CONTROL!$C$27, 0.0021, 0)</f>
        <v>64.155299999999997</v>
      </c>
      <c r="I684" s="10">
        <f>64.1532 * CHOOSE(CONTROL!$C$9, $D$9, 100%, $F$9) + CHOOSE(CONTROL!$C$27, 0.0021, 0)</f>
        <v>64.155299999999997</v>
      </c>
      <c r="J684" s="10">
        <f>64.1532 * CHOOSE(CONTROL!$C$9, $D$9, 100%, $F$9) + CHOOSE(CONTROL!$C$27, 0.0021, 0)</f>
        <v>64.155299999999997</v>
      </c>
      <c r="K684" s="10">
        <f>64.1532 * CHOOSE(CONTROL!$C$9, $D$9, 100%, $F$9) + CHOOSE(CONTROL!$C$27, 0.0021, 0)</f>
        <v>64.155299999999997</v>
      </c>
      <c r="L684" s="10"/>
    </row>
    <row r="685" spans="1:12" ht="15.75" x14ac:dyDescent="0.25">
      <c r="A685" s="13">
        <v>62152</v>
      </c>
      <c r="B685" s="10">
        <f>62.8235 * CHOOSE(CONTROL!$C$9, $D$9, 100%, $F$9) + CHOOSE(CONTROL!$C$27, 0.0021, 0)</f>
        <v>62.825600000000001</v>
      </c>
      <c r="C685" s="10">
        <f>62.3912 * CHOOSE(CONTROL!$C$9, $D$9, 100%, $F$9) + CHOOSE(CONTROL!$C$27, 0.0021, 0)</f>
        <v>62.393299999999996</v>
      </c>
      <c r="D685" s="10">
        <f>62.3912 * CHOOSE(CONTROL!$C$9, $D$9, 100%, $F$9) + CHOOSE(CONTROL!$C$27, 0.0021, 0)</f>
        <v>62.393299999999996</v>
      </c>
      <c r="E685" s="10">
        <f>62.2546 * CHOOSE(CONTROL!$C$9, $D$9, 100%, $F$9) + CHOOSE(CONTROL!$C$27, 0.0021, 0)</f>
        <v>62.256700000000002</v>
      </c>
      <c r="F685" s="10">
        <f>62.2546 * CHOOSE(CONTROL!$C$9, $D$9, 100%, $F$9) + CHOOSE(CONTROL!$C$27, 0.0021, 0)</f>
        <v>62.256700000000002</v>
      </c>
      <c r="G685" s="10">
        <f>62.5259 * CHOOSE(CONTROL!$C$9, $D$9, 100%, $F$9) + CHOOSE(CONTROL!$C$27, 0.0021, 0)</f>
        <v>62.527999999999999</v>
      </c>
      <c r="H685" s="10">
        <f>62.3912 * CHOOSE(CONTROL!$C$9, $D$9, 100%, $F$9) + CHOOSE(CONTROL!$C$27, 0.0021, 0)</f>
        <v>62.393299999999996</v>
      </c>
      <c r="I685" s="10">
        <f>62.3912 * CHOOSE(CONTROL!$C$9, $D$9, 100%, $F$9) + CHOOSE(CONTROL!$C$27, 0.0021, 0)</f>
        <v>62.393299999999996</v>
      </c>
      <c r="J685" s="10">
        <f>62.3912 * CHOOSE(CONTROL!$C$9, $D$9, 100%, $F$9) + CHOOSE(CONTROL!$C$27, 0.0021, 0)</f>
        <v>62.393299999999996</v>
      </c>
      <c r="K685" s="10">
        <f>62.3912 * CHOOSE(CONTROL!$C$9, $D$9, 100%, $F$9) + CHOOSE(CONTROL!$C$27, 0.0021, 0)</f>
        <v>62.393299999999996</v>
      </c>
      <c r="L685" s="10"/>
    </row>
    <row r="686" spans="1:12" ht="15.75" x14ac:dyDescent="0.25">
      <c r="A686" s="13">
        <v>62183</v>
      </c>
      <c r="B686" s="10">
        <f>62.0961 * CHOOSE(CONTROL!$C$9, $D$9, 100%, $F$9) + CHOOSE(CONTROL!$C$27, 0.0021, 0)</f>
        <v>62.098199999999999</v>
      </c>
      <c r="C686" s="10">
        <f>61.6639 * CHOOSE(CONTROL!$C$9, $D$9, 100%, $F$9) + CHOOSE(CONTROL!$C$27, 0.0021, 0)</f>
        <v>61.665999999999997</v>
      </c>
      <c r="D686" s="10">
        <f>61.6639 * CHOOSE(CONTROL!$C$9, $D$9, 100%, $F$9) + CHOOSE(CONTROL!$C$27, 0.0021, 0)</f>
        <v>61.665999999999997</v>
      </c>
      <c r="E686" s="10">
        <f>61.5272 * CHOOSE(CONTROL!$C$9, $D$9, 100%, $F$9) + CHOOSE(CONTROL!$C$27, 0.0021, 0)</f>
        <v>61.529299999999999</v>
      </c>
      <c r="F686" s="10">
        <f>61.5272 * CHOOSE(CONTROL!$C$9, $D$9, 100%, $F$9) + CHOOSE(CONTROL!$C$27, 0.0021, 0)</f>
        <v>61.529299999999999</v>
      </c>
      <c r="G686" s="10">
        <f>61.7986 * CHOOSE(CONTROL!$C$9, $D$9, 100%, $F$9) + CHOOSE(CONTROL!$C$27, 0.0021, 0)</f>
        <v>61.800699999999999</v>
      </c>
      <c r="H686" s="10">
        <f>61.6639 * CHOOSE(CONTROL!$C$9, $D$9, 100%, $F$9) + CHOOSE(CONTROL!$C$27, 0.0021, 0)</f>
        <v>61.665999999999997</v>
      </c>
      <c r="I686" s="10">
        <f>61.6639 * CHOOSE(CONTROL!$C$9, $D$9, 100%, $F$9) + CHOOSE(CONTROL!$C$27, 0.0021, 0)</f>
        <v>61.665999999999997</v>
      </c>
      <c r="J686" s="10">
        <f>61.6639 * CHOOSE(CONTROL!$C$9, $D$9, 100%, $F$9) + CHOOSE(CONTROL!$C$27, 0.0021, 0)</f>
        <v>61.665999999999997</v>
      </c>
      <c r="K686" s="10">
        <f>61.6639 * CHOOSE(CONTROL!$C$9, $D$9, 100%, $F$9) + CHOOSE(CONTROL!$C$27, 0.0021, 0)</f>
        <v>61.665999999999997</v>
      </c>
      <c r="L686" s="10"/>
    </row>
    <row r="687" spans="1:12" ht="15.75" x14ac:dyDescent="0.25">
      <c r="A687" s="13">
        <v>62213</v>
      </c>
      <c r="B687" s="10">
        <f>61.2277 * CHOOSE(CONTROL!$C$9, $D$9, 100%, $F$9) + CHOOSE(CONTROL!$C$27, 0.0021, 0)</f>
        <v>61.229799999999997</v>
      </c>
      <c r="C687" s="10">
        <f>60.7954 * CHOOSE(CONTROL!$C$9, $D$9, 100%, $F$9) + CHOOSE(CONTROL!$C$27, 0.0021, 0)</f>
        <v>60.797499999999999</v>
      </c>
      <c r="D687" s="10">
        <f>60.7954 * CHOOSE(CONTROL!$C$9, $D$9, 100%, $F$9) + CHOOSE(CONTROL!$C$27, 0.0021, 0)</f>
        <v>60.797499999999999</v>
      </c>
      <c r="E687" s="10">
        <f>60.6588 * CHOOSE(CONTROL!$C$9, $D$9, 100%, $F$9) + CHOOSE(CONTROL!$C$27, 0.0021, 0)</f>
        <v>60.660899999999998</v>
      </c>
      <c r="F687" s="10">
        <f>60.6588 * CHOOSE(CONTROL!$C$9, $D$9, 100%, $F$9) + CHOOSE(CONTROL!$C$27, 0.0021, 0)</f>
        <v>60.660899999999998</v>
      </c>
      <c r="G687" s="10">
        <f>60.9301 * CHOOSE(CONTROL!$C$9, $D$9, 100%, $F$9) + CHOOSE(CONTROL!$C$27, 0.0021, 0)</f>
        <v>60.932200000000002</v>
      </c>
      <c r="H687" s="10">
        <f>60.7954 * CHOOSE(CONTROL!$C$9, $D$9, 100%, $F$9) + CHOOSE(CONTROL!$C$27, 0.0021, 0)</f>
        <v>60.797499999999999</v>
      </c>
      <c r="I687" s="10">
        <f>60.7954 * CHOOSE(CONTROL!$C$9, $D$9, 100%, $F$9) + CHOOSE(CONTROL!$C$27, 0.0021, 0)</f>
        <v>60.797499999999999</v>
      </c>
      <c r="J687" s="10">
        <f>60.7954 * CHOOSE(CONTROL!$C$9, $D$9, 100%, $F$9) + CHOOSE(CONTROL!$C$27, 0.0021, 0)</f>
        <v>60.797499999999999</v>
      </c>
      <c r="K687" s="10">
        <f>60.7954 * CHOOSE(CONTROL!$C$9, $D$9, 100%, $F$9) + CHOOSE(CONTROL!$C$27, 0.0021, 0)</f>
        <v>60.797499999999999</v>
      </c>
      <c r="L687" s="10"/>
    </row>
    <row r="688" spans="1:12" ht="15.75" x14ac:dyDescent="0.25">
      <c r="A688" s="13">
        <v>62244</v>
      </c>
      <c r="B688" s="10">
        <f>62.4653 * CHOOSE(CONTROL!$C$9, $D$9, 100%, $F$9) + CHOOSE(CONTROL!$C$27, 0.0021, 0)</f>
        <v>62.467399999999998</v>
      </c>
      <c r="C688" s="10">
        <f>62.0331 * CHOOSE(CONTROL!$C$9, $D$9, 100%, $F$9) + CHOOSE(CONTROL!$C$27, 0.0021, 0)</f>
        <v>62.035199999999996</v>
      </c>
      <c r="D688" s="10">
        <f>62.0331 * CHOOSE(CONTROL!$C$9, $D$9, 100%, $F$9) + CHOOSE(CONTROL!$C$27, 0.0021, 0)</f>
        <v>62.035199999999996</v>
      </c>
      <c r="E688" s="10">
        <f>61.8964 * CHOOSE(CONTROL!$C$9, $D$9, 100%, $F$9) + CHOOSE(CONTROL!$C$27, 0.0021, 0)</f>
        <v>61.898499999999999</v>
      </c>
      <c r="F688" s="10">
        <f>61.8964 * CHOOSE(CONTROL!$C$9, $D$9, 100%, $F$9) + CHOOSE(CONTROL!$C$27, 0.0021, 0)</f>
        <v>61.898499999999999</v>
      </c>
      <c r="G688" s="10">
        <f>62.1678 * CHOOSE(CONTROL!$C$9, $D$9, 100%, $F$9) + CHOOSE(CONTROL!$C$27, 0.0021, 0)</f>
        <v>62.169899999999998</v>
      </c>
      <c r="H688" s="10">
        <f>62.0331 * CHOOSE(CONTROL!$C$9, $D$9, 100%, $F$9) + CHOOSE(CONTROL!$C$27, 0.0021, 0)</f>
        <v>62.035199999999996</v>
      </c>
      <c r="I688" s="10">
        <f>62.0331 * CHOOSE(CONTROL!$C$9, $D$9, 100%, $F$9) + CHOOSE(CONTROL!$C$27, 0.0021, 0)</f>
        <v>62.035199999999996</v>
      </c>
      <c r="J688" s="10">
        <f>62.0331 * CHOOSE(CONTROL!$C$9, $D$9, 100%, $F$9) + CHOOSE(CONTROL!$C$27, 0.0021, 0)</f>
        <v>62.035199999999996</v>
      </c>
      <c r="K688" s="10">
        <f>62.0331 * CHOOSE(CONTROL!$C$9, $D$9, 100%, $F$9) + CHOOSE(CONTROL!$C$27, 0.0021, 0)</f>
        <v>62.035199999999996</v>
      </c>
      <c r="L688" s="10"/>
    </row>
    <row r="689" spans="1:12" ht="15.75" x14ac:dyDescent="0.25">
      <c r="A689" s="13">
        <v>62274</v>
      </c>
      <c r="B689" s="10">
        <f>63.2066 * CHOOSE(CONTROL!$C$9, $D$9, 100%, $F$9) + CHOOSE(CONTROL!$C$27, 0.0021, 0)</f>
        <v>63.2087</v>
      </c>
      <c r="C689" s="10">
        <f>62.7744 * CHOOSE(CONTROL!$C$9, $D$9, 100%, $F$9) + CHOOSE(CONTROL!$C$27, 0.0021, 0)</f>
        <v>62.776499999999999</v>
      </c>
      <c r="D689" s="10">
        <f>62.7744 * CHOOSE(CONTROL!$C$9, $D$9, 100%, $F$9) + CHOOSE(CONTROL!$C$27, 0.0021, 0)</f>
        <v>62.776499999999999</v>
      </c>
      <c r="E689" s="10">
        <f>62.6377 * CHOOSE(CONTROL!$C$9, $D$9, 100%, $F$9) + CHOOSE(CONTROL!$C$27, 0.0021, 0)</f>
        <v>62.639800000000001</v>
      </c>
      <c r="F689" s="10">
        <f>62.6377 * CHOOSE(CONTROL!$C$9, $D$9, 100%, $F$9) + CHOOSE(CONTROL!$C$27, 0.0021, 0)</f>
        <v>62.639800000000001</v>
      </c>
      <c r="G689" s="10">
        <f>62.9091 * CHOOSE(CONTROL!$C$9, $D$9, 100%, $F$9) + CHOOSE(CONTROL!$C$27, 0.0021, 0)</f>
        <v>62.911200000000001</v>
      </c>
      <c r="H689" s="10">
        <f>62.7744 * CHOOSE(CONTROL!$C$9, $D$9, 100%, $F$9) + CHOOSE(CONTROL!$C$27, 0.0021, 0)</f>
        <v>62.776499999999999</v>
      </c>
      <c r="I689" s="10">
        <f>62.7744 * CHOOSE(CONTROL!$C$9, $D$9, 100%, $F$9) + CHOOSE(CONTROL!$C$27, 0.0021, 0)</f>
        <v>62.776499999999999</v>
      </c>
      <c r="J689" s="10">
        <f>62.7744 * CHOOSE(CONTROL!$C$9, $D$9, 100%, $F$9) + CHOOSE(CONTROL!$C$27, 0.0021, 0)</f>
        <v>62.776499999999999</v>
      </c>
      <c r="K689" s="10">
        <f>62.7744 * CHOOSE(CONTROL!$C$9, $D$9, 100%, $F$9) + CHOOSE(CONTROL!$C$27, 0.0021, 0)</f>
        <v>62.776499999999999</v>
      </c>
      <c r="L689" s="10"/>
    </row>
    <row r="690" spans="1:12" ht="15.75" x14ac:dyDescent="0.25">
      <c r="A690" s="13">
        <v>62305</v>
      </c>
      <c r="B690" s="10">
        <f>64.4295 * CHOOSE(CONTROL!$C$9, $D$9, 100%, $F$9) + CHOOSE(CONTROL!$C$27, 0.0021, 0)</f>
        <v>64.431600000000003</v>
      </c>
      <c r="C690" s="10">
        <f>63.9973 * CHOOSE(CONTROL!$C$9, $D$9, 100%, $F$9) + CHOOSE(CONTROL!$C$27, 0.0021, 0)</f>
        <v>63.999400000000001</v>
      </c>
      <c r="D690" s="10">
        <f>63.9973 * CHOOSE(CONTROL!$C$9, $D$9, 100%, $F$9) + CHOOSE(CONTROL!$C$27, 0.0021, 0)</f>
        <v>63.999400000000001</v>
      </c>
      <c r="E690" s="10">
        <f>63.8606 * CHOOSE(CONTROL!$C$9, $D$9, 100%, $F$9) + CHOOSE(CONTROL!$C$27, 0.0021, 0)</f>
        <v>63.862699999999997</v>
      </c>
      <c r="F690" s="10">
        <f>63.8606 * CHOOSE(CONTROL!$C$9, $D$9, 100%, $F$9) + CHOOSE(CONTROL!$C$27, 0.0021, 0)</f>
        <v>63.862699999999997</v>
      </c>
      <c r="G690" s="10">
        <f>64.132 * CHOOSE(CONTROL!$C$9, $D$9, 100%, $F$9) + CHOOSE(CONTROL!$C$27, 0.0021, 0)</f>
        <v>64.134100000000004</v>
      </c>
      <c r="H690" s="10">
        <f>63.9973 * CHOOSE(CONTROL!$C$9, $D$9, 100%, $F$9) + CHOOSE(CONTROL!$C$27, 0.0021, 0)</f>
        <v>63.999400000000001</v>
      </c>
      <c r="I690" s="10">
        <f>63.9973 * CHOOSE(CONTROL!$C$9, $D$9, 100%, $F$9) + CHOOSE(CONTROL!$C$27, 0.0021, 0)</f>
        <v>63.999400000000001</v>
      </c>
      <c r="J690" s="10">
        <f>63.9973 * CHOOSE(CONTROL!$C$9, $D$9, 100%, $F$9) + CHOOSE(CONTROL!$C$27, 0.0021, 0)</f>
        <v>63.999400000000001</v>
      </c>
      <c r="K690" s="10">
        <f>63.9973 * CHOOSE(CONTROL!$C$9, $D$9, 100%, $F$9) + CHOOSE(CONTROL!$C$27, 0.0021, 0)</f>
        <v>63.999400000000001</v>
      </c>
      <c r="L690" s="10"/>
    </row>
    <row r="691" spans="1:12" ht="15.75" x14ac:dyDescent="0.25">
      <c r="A691" s="13">
        <v>62336</v>
      </c>
      <c r="B691" s="10">
        <f>64.8028 * CHOOSE(CONTROL!$C$9, $D$9, 100%, $F$9) + CHOOSE(CONTROL!$C$27, 0.0021, 0)</f>
        <v>64.804900000000004</v>
      </c>
      <c r="C691" s="10">
        <f>64.3706 * CHOOSE(CONTROL!$C$9, $D$9, 100%, $F$9) + CHOOSE(CONTROL!$C$27, 0.0021, 0)</f>
        <v>64.372699999999995</v>
      </c>
      <c r="D691" s="10">
        <f>64.3706 * CHOOSE(CONTROL!$C$9, $D$9, 100%, $F$9) + CHOOSE(CONTROL!$C$27, 0.0021, 0)</f>
        <v>64.372699999999995</v>
      </c>
      <c r="E691" s="10">
        <f>64.2339 * CHOOSE(CONTROL!$C$9, $D$9, 100%, $F$9) + CHOOSE(CONTROL!$C$27, 0.0021, 0)</f>
        <v>64.236000000000004</v>
      </c>
      <c r="F691" s="10">
        <f>64.2339 * CHOOSE(CONTROL!$C$9, $D$9, 100%, $F$9) + CHOOSE(CONTROL!$C$27, 0.0021, 0)</f>
        <v>64.236000000000004</v>
      </c>
      <c r="G691" s="10">
        <f>64.5053 * CHOOSE(CONTROL!$C$9, $D$9, 100%, $F$9) + CHOOSE(CONTROL!$C$27, 0.0021, 0)</f>
        <v>64.507400000000004</v>
      </c>
      <c r="H691" s="10">
        <f>64.3706 * CHOOSE(CONTROL!$C$9, $D$9, 100%, $F$9) + CHOOSE(CONTROL!$C$27, 0.0021, 0)</f>
        <v>64.372699999999995</v>
      </c>
      <c r="I691" s="10">
        <f>64.3706 * CHOOSE(CONTROL!$C$9, $D$9, 100%, $F$9) + CHOOSE(CONTROL!$C$27, 0.0021, 0)</f>
        <v>64.372699999999995</v>
      </c>
      <c r="J691" s="10">
        <f>64.3706 * CHOOSE(CONTROL!$C$9, $D$9, 100%, $F$9) + CHOOSE(CONTROL!$C$27, 0.0021, 0)</f>
        <v>64.372699999999995</v>
      </c>
      <c r="K691" s="10">
        <f>64.3706 * CHOOSE(CONTROL!$C$9, $D$9, 100%, $F$9) + CHOOSE(CONTROL!$C$27, 0.0021, 0)</f>
        <v>64.372699999999995</v>
      </c>
      <c r="L691" s="10"/>
    </row>
    <row r="692" spans="1:12" ht="15.75" x14ac:dyDescent="0.25">
      <c r="A692" s="13">
        <v>62366</v>
      </c>
      <c r="B692" s="10">
        <f>66.074 * CHOOSE(CONTROL!$C$9, $D$9, 100%, $F$9) + CHOOSE(CONTROL!$C$27, 0.0021, 0)</f>
        <v>66.076099999999997</v>
      </c>
      <c r="C692" s="10">
        <f>65.6417 * CHOOSE(CONTROL!$C$9, $D$9, 100%, $F$9) + CHOOSE(CONTROL!$C$27, 0.0021, 0)</f>
        <v>65.643799999999999</v>
      </c>
      <c r="D692" s="10">
        <f>65.6417 * CHOOSE(CONTROL!$C$9, $D$9, 100%, $F$9) + CHOOSE(CONTROL!$C$27, 0.0021, 0)</f>
        <v>65.643799999999999</v>
      </c>
      <c r="E692" s="10">
        <f>65.505 * CHOOSE(CONTROL!$C$9, $D$9, 100%, $F$9) + CHOOSE(CONTROL!$C$27, 0.0021, 0)</f>
        <v>65.507099999999994</v>
      </c>
      <c r="F692" s="10">
        <f>65.505 * CHOOSE(CONTROL!$C$9, $D$9, 100%, $F$9) + CHOOSE(CONTROL!$C$27, 0.0021, 0)</f>
        <v>65.507099999999994</v>
      </c>
      <c r="G692" s="10">
        <f>65.7764 * CHOOSE(CONTROL!$C$9, $D$9, 100%, $F$9) + CHOOSE(CONTROL!$C$27, 0.0021, 0)</f>
        <v>65.778499999999994</v>
      </c>
      <c r="H692" s="10">
        <f>65.6417 * CHOOSE(CONTROL!$C$9, $D$9, 100%, $F$9) + CHOOSE(CONTROL!$C$27, 0.0021, 0)</f>
        <v>65.643799999999999</v>
      </c>
      <c r="I692" s="10">
        <f>65.6417 * CHOOSE(CONTROL!$C$9, $D$9, 100%, $F$9) + CHOOSE(CONTROL!$C$27, 0.0021, 0)</f>
        <v>65.643799999999999</v>
      </c>
      <c r="J692" s="10">
        <f>65.6417 * CHOOSE(CONTROL!$C$9, $D$9, 100%, $F$9) + CHOOSE(CONTROL!$C$27, 0.0021, 0)</f>
        <v>65.643799999999999</v>
      </c>
      <c r="K692" s="10">
        <f>65.6417 * CHOOSE(CONTROL!$C$9, $D$9, 100%, $F$9) + CHOOSE(CONTROL!$C$27, 0.0021, 0)</f>
        <v>65.643799999999999</v>
      </c>
      <c r="L692" s="10"/>
    </row>
    <row r="693" spans="1:12" ht="15.75" x14ac:dyDescent="0.25">
      <c r="A693" s="13">
        <v>62397</v>
      </c>
      <c r="B693" s="10">
        <f>67.683 * CHOOSE(CONTROL!$C$9, $D$9, 100%, $F$9) + CHOOSE(CONTROL!$C$27, 0.0021, 0)</f>
        <v>67.685100000000006</v>
      </c>
      <c r="C693" s="10">
        <f>67.2508 * CHOOSE(CONTROL!$C$9, $D$9, 100%, $F$9) + CHOOSE(CONTROL!$C$27, 0.0021, 0)</f>
        <v>67.252899999999997</v>
      </c>
      <c r="D693" s="10">
        <f>67.2508 * CHOOSE(CONTROL!$C$9, $D$9, 100%, $F$9) + CHOOSE(CONTROL!$C$27, 0.0021, 0)</f>
        <v>67.252899999999997</v>
      </c>
      <c r="E693" s="10">
        <f>67.1141 * CHOOSE(CONTROL!$C$9, $D$9, 100%, $F$9) + CHOOSE(CONTROL!$C$27, 0.0021, 0)</f>
        <v>67.116199999999992</v>
      </c>
      <c r="F693" s="10">
        <f>67.1141 * CHOOSE(CONTROL!$C$9, $D$9, 100%, $F$9) + CHOOSE(CONTROL!$C$27, 0.0021, 0)</f>
        <v>67.116199999999992</v>
      </c>
      <c r="G693" s="10">
        <f>67.3855 * CHOOSE(CONTROL!$C$9, $D$9, 100%, $F$9) + CHOOSE(CONTROL!$C$27, 0.0021, 0)</f>
        <v>67.387599999999992</v>
      </c>
      <c r="H693" s="10">
        <f>67.2508 * CHOOSE(CONTROL!$C$9, $D$9, 100%, $F$9) + CHOOSE(CONTROL!$C$27, 0.0021, 0)</f>
        <v>67.252899999999997</v>
      </c>
      <c r="I693" s="10">
        <f>67.2508 * CHOOSE(CONTROL!$C$9, $D$9, 100%, $F$9) + CHOOSE(CONTROL!$C$27, 0.0021, 0)</f>
        <v>67.252899999999997</v>
      </c>
      <c r="J693" s="10">
        <f>67.2508 * CHOOSE(CONTROL!$C$9, $D$9, 100%, $F$9) + CHOOSE(CONTROL!$C$27, 0.0021, 0)</f>
        <v>67.252899999999997</v>
      </c>
      <c r="K693" s="10">
        <f>67.2508 * CHOOSE(CONTROL!$C$9, $D$9, 100%, $F$9) + CHOOSE(CONTROL!$C$27, 0.0021, 0)</f>
        <v>67.252899999999997</v>
      </c>
      <c r="L693" s="10"/>
    </row>
    <row r="694" spans="1:12" ht="15.75" x14ac:dyDescent="0.25">
      <c r="A694" s="13">
        <v>62427</v>
      </c>
      <c r="B694" s="10">
        <f>67.8341 * CHOOSE(CONTROL!$C$9, $D$9, 100%, $F$9) + CHOOSE(CONTROL!$C$27, 0.0021, 0)</f>
        <v>67.836200000000005</v>
      </c>
      <c r="C694" s="10">
        <f>67.4018 * CHOOSE(CONTROL!$C$9, $D$9, 100%, $F$9) + CHOOSE(CONTROL!$C$27, 0.0021, 0)</f>
        <v>67.403899999999993</v>
      </c>
      <c r="D694" s="10">
        <f>67.4018 * CHOOSE(CONTROL!$C$9, $D$9, 100%, $F$9) + CHOOSE(CONTROL!$C$27, 0.0021, 0)</f>
        <v>67.403899999999993</v>
      </c>
      <c r="E694" s="10">
        <f>67.2652 * CHOOSE(CONTROL!$C$9, $D$9, 100%, $F$9) + CHOOSE(CONTROL!$C$27, 0.0021, 0)</f>
        <v>67.267299999999992</v>
      </c>
      <c r="F694" s="10">
        <f>67.2652 * CHOOSE(CONTROL!$C$9, $D$9, 100%, $F$9) + CHOOSE(CONTROL!$C$27, 0.0021, 0)</f>
        <v>67.267299999999992</v>
      </c>
      <c r="G694" s="10">
        <f>67.5365 * CHOOSE(CONTROL!$C$9, $D$9, 100%, $F$9) + CHOOSE(CONTROL!$C$27, 0.0021, 0)</f>
        <v>67.538600000000002</v>
      </c>
      <c r="H694" s="10">
        <f>67.4018 * CHOOSE(CONTROL!$C$9, $D$9, 100%, $F$9) + CHOOSE(CONTROL!$C$27, 0.0021, 0)</f>
        <v>67.403899999999993</v>
      </c>
      <c r="I694" s="10">
        <f>67.4018 * CHOOSE(CONTROL!$C$9, $D$9, 100%, $F$9) + CHOOSE(CONTROL!$C$27, 0.0021, 0)</f>
        <v>67.403899999999993</v>
      </c>
      <c r="J694" s="10">
        <f>67.4018 * CHOOSE(CONTROL!$C$9, $D$9, 100%, $F$9) + CHOOSE(CONTROL!$C$27, 0.0021, 0)</f>
        <v>67.403899999999993</v>
      </c>
      <c r="K694" s="10">
        <f>67.4018 * CHOOSE(CONTROL!$C$9, $D$9, 100%, $F$9) + CHOOSE(CONTROL!$C$27, 0.0021, 0)</f>
        <v>67.403899999999993</v>
      </c>
      <c r="L694" s="10"/>
    </row>
    <row r="695" spans="1:12" ht="15.75" x14ac:dyDescent="0.25">
      <c r="A695" s="13">
        <v>62458</v>
      </c>
      <c r="B695" s="10">
        <f>66.5489 * CHOOSE(CONTROL!$C$9, $D$9, 100%, $F$9) + CHOOSE(CONTROL!$C$27, 0.0021, 0)</f>
        <v>66.551000000000002</v>
      </c>
      <c r="C695" s="10">
        <f>66.1167 * CHOOSE(CONTROL!$C$9, $D$9, 100%, $F$9) + CHOOSE(CONTROL!$C$27, 0.0021, 0)</f>
        <v>66.118799999999993</v>
      </c>
      <c r="D695" s="10">
        <f>66.1167 * CHOOSE(CONTROL!$C$9, $D$9, 100%, $F$9) + CHOOSE(CONTROL!$C$27, 0.0021, 0)</f>
        <v>66.118799999999993</v>
      </c>
      <c r="E695" s="10">
        <f>65.98 * CHOOSE(CONTROL!$C$9, $D$9, 100%, $F$9) + CHOOSE(CONTROL!$C$27, 0.0021, 0)</f>
        <v>65.982100000000003</v>
      </c>
      <c r="F695" s="10">
        <f>65.98 * CHOOSE(CONTROL!$C$9, $D$9, 100%, $F$9) + CHOOSE(CONTROL!$C$27, 0.0021, 0)</f>
        <v>65.982100000000003</v>
      </c>
      <c r="G695" s="10">
        <f>66.2514 * CHOOSE(CONTROL!$C$9, $D$9, 100%, $F$9) + CHOOSE(CONTROL!$C$27, 0.0021, 0)</f>
        <v>66.253500000000003</v>
      </c>
      <c r="H695" s="10">
        <f>66.1167 * CHOOSE(CONTROL!$C$9, $D$9, 100%, $F$9) + CHOOSE(CONTROL!$C$27, 0.0021, 0)</f>
        <v>66.118799999999993</v>
      </c>
      <c r="I695" s="10">
        <f>66.1167 * CHOOSE(CONTROL!$C$9, $D$9, 100%, $F$9) + CHOOSE(CONTROL!$C$27, 0.0021, 0)</f>
        <v>66.118799999999993</v>
      </c>
      <c r="J695" s="10">
        <f>66.1167 * CHOOSE(CONTROL!$C$9, $D$9, 100%, $F$9) + CHOOSE(CONTROL!$C$27, 0.0021, 0)</f>
        <v>66.118799999999993</v>
      </c>
      <c r="K695" s="10">
        <f>66.1167 * CHOOSE(CONTROL!$C$9, $D$9, 100%, $F$9) + CHOOSE(CONTROL!$C$27, 0.0021, 0)</f>
        <v>66.118799999999993</v>
      </c>
      <c r="L695" s="10"/>
    </row>
    <row r="696" spans="1:12" ht="15.75" x14ac:dyDescent="0.25">
      <c r="A696" s="13">
        <v>62489</v>
      </c>
      <c r="B696" s="10">
        <f>65.565 * CHOOSE(CONTROL!$C$9, $D$9, 100%, $F$9) + CHOOSE(CONTROL!$C$27, 0.0021, 0)</f>
        <v>65.567099999999996</v>
      </c>
      <c r="C696" s="10">
        <f>65.1328 * CHOOSE(CONTROL!$C$9, $D$9, 100%, $F$9) + CHOOSE(CONTROL!$C$27, 0.0021, 0)</f>
        <v>65.134900000000002</v>
      </c>
      <c r="D696" s="10">
        <f>65.1328 * CHOOSE(CONTROL!$C$9, $D$9, 100%, $F$9) + CHOOSE(CONTROL!$C$27, 0.0021, 0)</f>
        <v>65.134900000000002</v>
      </c>
      <c r="E696" s="10">
        <f>64.9961 * CHOOSE(CONTROL!$C$9, $D$9, 100%, $F$9) + CHOOSE(CONTROL!$C$27, 0.0021, 0)</f>
        <v>64.998199999999997</v>
      </c>
      <c r="F696" s="10">
        <f>64.9961 * CHOOSE(CONTROL!$C$9, $D$9, 100%, $F$9) + CHOOSE(CONTROL!$C$27, 0.0021, 0)</f>
        <v>64.998199999999997</v>
      </c>
      <c r="G696" s="10">
        <f>65.2675 * CHOOSE(CONTROL!$C$9, $D$9, 100%, $F$9) + CHOOSE(CONTROL!$C$27, 0.0021, 0)</f>
        <v>65.269599999999997</v>
      </c>
      <c r="H696" s="10">
        <f>65.1328 * CHOOSE(CONTROL!$C$9, $D$9, 100%, $F$9) + CHOOSE(CONTROL!$C$27, 0.0021, 0)</f>
        <v>65.134900000000002</v>
      </c>
      <c r="I696" s="10">
        <f>65.1328 * CHOOSE(CONTROL!$C$9, $D$9, 100%, $F$9) + CHOOSE(CONTROL!$C$27, 0.0021, 0)</f>
        <v>65.134900000000002</v>
      </c>
      <c r="J696" s="10">
        <f>65.1328 * CHOOSE(CONTROL!$C$9, $D$9, 100%, $F$9) + CHOOSE(CONTROL!$C$27, 0.0021, 0)</f>
        <v>65.134900000000002</v>
      </c>
      <c r="K696" s="10">
        <f>65.1328 * CHOOSE(CONTROL!$C$9, $D$9, 100%, $F$9) + CHOOSE(CONTROL!$C$27, 0.0021, 0)</f>
        <v>65.134900000000002</v>
      </c>
      <c r="L696" s="10"/>
    </row>
    <row r="697" spans="1:12" ht="15.75" x14ac:dyDescent="0.25">
      <c r="A697" s="13">
        <v>62517</v>
      </c>
      <c r="B697" s="10">
        <f>63.7753 * CHOOSE(CONTROL!$C$9, $D$9, 100%, $F$9) + CHOOSE(CONTROL!$C$27, 0.0021, 0)</f>
        <v>63.7774</v>
      </c>
      <c r="C697" s="10">
        <f>63.3431 * CHOOSE(CONTROL!$C$9, $D$9, 100%, $F$9) + CHOOSE(CONTROL!$C$27, 0.0021, 0)</f>
        <v>63.345199999999998</v>
      </c>
      <c r="D697" s="10">
        <f>63.3431 * CHOOSE(CONTROL!$C$9, $D$9, 100%, $F$9) + CHOOSE(CONTROL!$C$27, 0.0021, 0)</f>
        <v>63.345199999999998</v>
      </c>
      <c r="E697" s="10">
        <f>63.2064 * CHOOSE(CONTROL!$C$9, $D$9, 100%, $F$9) + CHOOSE(CONTROL!$C$27, 0.0021, 0)</f>
        <v>63.208500000000001</v>
      </c>
      <c r="F697" s="10">
        <f>63.2064 * CHOOSE(CONTROL!$C$9, $D$9, 100%, $F$9) + CHOOSE(CONTROL!$C$27, 0.0021, 0)</f>
        <v>63.208500000000001</v>
      </c>
      <c r="G697" s="10">
        <f>63.4778 * CHOOSE(CONTROL!$C$9, $D$9, 100%, $F$9) + CHOOSE(CONTROL!$C$27, 0.0021, 0)</f>
        <v>63.479900000000001</v>
      </c>
      <c r="H697" s="10">
        <f>63.3431 * CHOOSE(CONTROL!$C$9, $D$9, 100%, $F$9) + CHOOSE(CONTROL!$C$27, 0.0021, 0)</f>
        <v>63.345199999999998</v>
      </c>
      <c r="I697" s="10">
        <f>63.3431 * CHOOSE(CONTROL!$C$9, $D$9, 100%, $F$9) + CHOOSE(CONTROL!$C$27, 0.0021, 0)</f>
        <v>63.345199999999998</v>
      </c>
      <c r="J697" s="10">
        <f>63.3431 * CHOOSE(CONTROL!$C$9, $D$9, 100%, $F$9) + CHOOSE(CONTROL!$C$27, 0.0021, 0)</f>
        <v>63.345199999999998</v>
      </c>
      <c r="K697" s="10">
        <f>63.3431 * CHOOSE(CONTROL!$C$9, $D$9, 100%, $F$9) + CHOOSE(CONTROL!$C$27, 0.0021, 0)</f>
        <v>63.345199999999998</v>
      </c>
      <c r="L697" s="10"/>
    </row>
    <row r="698" spans="1:12" ht="15.75" x14ac:dyDescent="0.25">
      <c r="A698" s="13">
        <v>62548</v>
      </c>
      <c r="B698" s="10">
        <f>63.0365 * CHOOSE(CONTROL!$C$9, $D$9, 100%, $F$9) + CHOOSE(CONTROL!$C$27, 0.0021, 0)</f>
        <v>63.038599999999995</v>
      </c>
      <c r="C698" s="10">
        <f>62.6043 * CHOOSE(CONTROL!$C$9, $D$9, 100%, $F$9) + CHOOSE(CONTROL!$C$27, 0.0021, 0)</f>
        <v>62.606400000000001</v>
      </c>
      <c r="D698" s="10">
        <f>62.6043 * CHOOSE(CONTROL!$C$9, $D$9, 100%, $F$9) + CHOOSE(CONTROL!$C$27, 0.0021, 0)</f>
        <v>62.606400000000001</v>
      </c>
      <c r="E698" s="10">
        <f>62.4676 * CHOOSE(CONTROL!$C$9, $D$9, 100%, $F$9) + CHOOSE(CONTROL!$C$27, 0.0021, 0)</f>
        <v>62.469699999999996</v>
      </c>
      <c r="F698" s="10">
        <f>62.4676 * CHOOSE(CONTROL!$C$9, $D$9, 100%, $F$9) + CHOOSE(CONTROL!$C$27, 0.0021, 0)</f>
        <v>62.469699999999996</v>
      </c>
      <c r="G698" s="10">
        <f>62.739 * CHOOSE(CONTROL!$C$9, $D$9, 100%, $F$9) + CHOOSE(CONTROL!$C$27, 0.0021, 0)</f>
        <v>62.741099999999996</v>
      </c>
      <c r="H698" s="10">
        <f>62.6043 * CHOOSE(CONTROL!$C$9, $D$9, 100%, $F$9) + CHOOSE(CONTROL!$C$27, 0.0021, 0)</f>
        <v>62.606400000000001</v>
      </c>
      <c r="I698" s="10">
        <f>62.6043 * CHOOSE(CONTROL!$C$9, $D$9, 100%, $F$9) + CHOOSE(CONTROL!$C$27, 0.0021, 0)</f>
        <v>62.606400000000001</v>
      </c>
      <c r="J698" s="10">
        <f>62.6043 * CHOOSE(CONTROL!$C$9, $D$9, 100%, $F$9) + CHOOSE(CONTROL!$C$27, 0.0021, 0)</f>
        <v>62.606400000000001</v>
      </c>
      <c r="K698" s="10">
        <f>62.6043 * CHOOSE(CONTROL!$C$9, $D$9, 100%, $F$9) + CHOOSE(CONTROL!$C$27, 0.0021, 0)</f>
        <v>62.606400000000001</v>
      </c>
      <c r="L698" s="10"/>
    </row>
    <row r="699" spans="1:12" ht="15.75" x14ac:dyDescent="0.25">
      <c r="A699" s="13">
        <v>62578</v>
      </c>
      <c r="B699" s="10">
        <f>62.1544 * CHOOSE(CONTROL!$C$9, $D$9, 100%, $F$9) + CHOOSE(CONTROL!$C$27, 0.0021, 0)</f>
        <v>62.156500000000001</v>
      </c>
      <c r="C699" s="10">
        <f>61.7222 * CHOOSE(CONTROL!$C$9, $D$9, 100%, $F$9) + CHOOSE(CONTROL!$C$27, 0.0021, 0)</f>
        <v>61.724299999999999</v>
      </c>
      <c r="D699" s="10">
        <f>61.7222 * CHOOSE(CONTROL!$C$9, $D$9, 100%, $F$9) + CHOOSE(CONTROL!$C$27, 0.0021, 0)</f>
        <v>61.724299999999999</v>
      </c>
      <c r="E699" s="10">
        <f>61.5855 * CHOOSE(CONTROL!$C$9, $D$9, 100%, $F$9) + CHOOSE(CONTROL!$C$27, 0.0021, 0)</f>
        <v>61.587600000000002</v>
      </c>
      <c r="F699" s="10">
        <f>61.5855 * CHOOSE(CONTROL!$C$9, $D$9, 100%, $F$9) + CHOOSE(CONTROL!$C$27, 0.0021, 0)</f>
        <v>61.587600000000002</v>
      </c>
      <c r="G699" s="10">
        <f>61.8569 * CHOOSE(CONTROL!$C$9, $D$9, 100%, $F$9) + CHOOSE(CONTROL!$C$27, 0.0021, 0)</f>
        <v>61.859000000000002</v>
      </c>
      <c r="H699" s="10">
        <f>61.7222 * CHOOSE(CONTROL!$C$9, $D$9, 100%, $F$9) + CHOOSE(CONTROL!$C$27, 0.0021, 0)</f>
        <v>61.724299999999999</v>
      </c>
      <c r="I699" s="10">
        <f>61.7222 * CHOOSE(CONTROL!$C$9, $D$9, 100%, $F$9) + CHOOSE(CONTROL!$C$27, 0.0021, 0)</f>
        <v>61.724299999999999</v>
      </c>
      <c r="J699" s="10">
        <f>61.7222 * CHOOSE(CONTROL!$C$9, $D$9, 100%, $F$9) + CHOOSE(CONTROL!$C$27, 0.0021, 0)</f>
        <v>61.724299999999999</v>
      </c>
      <c r="K699" s="10">
        <f>61.7222 * CHOOSE(CONTROL!$C$9, $D$9, 100%, $F$9) + CHOOSE(CONTROL!$C$27, 0.0021, 0)</f>
        <v>61.724299999999999</v>
      </c>
      <c r="L699" s="10"/>
    </row>
    <row r="700" spans="1:12" ht="15.75" x14ac:dyDescent="0.25">
      <c r="A700" s="13">
        <v>62609</v>
      </c>
      <c r="B700" s="10">
        <f>63.4115 * CHOOSE(CONTROL!$C$9, $D$9, 100%, $F$9) + CHOOSE(CONTROL!$C$27, 0.0021, 0)</f>
        <v>63.413599999999995</v>
      </c>
      <c r="C700" s="10">
        <f>62.9793 * CHOOSE(CONTROL!$C$9, $D$9, 100%, $F$9) + CHOOSE(CONTROL!$C$27, 0.0021, 0)</f>
        <v>62.981400000000001</v>
      </c>
      <c r="D700" s="10">
        <f>62.9793 * CHOOSE(CONTROL!$C$9, $D$9, 100%, $F$9) + CHOOSE(CONTROL!$C$27, 0.0021, 0)</f>
        <v>62.981400000000001</v>
      </c>
      <c r="E700" s="10">
        <f>62.8426 * CHOOSE(CONTROL!$C$9, $D$9, 100%, $F$9) + CHOOSE(CONTROL!$C$27, 0.0021, 0)</f>
        <v>62.844699999999996</v>
      </c>
      <c r="F700" s="10">
        <f>62.8426 * CHOOSE(CONTROL!$C$9, $D$9, 100%, $F$9) + CHOOSE(CONTROL!$C$27, 0.0021, 0)</f>
        <v>62.844699999999996</v>
      </c>
      <c r="G700" s="10">
        <f>63.114 * CHOOSE(CONTROL!$C$9, $D$9, 100%, $F$9) + CHOOSE(CONTROL!$C$27, 0.0021, 0)</f>
        <v>63.116099999999996</v>
      </c>
      <c r="H700" s="10">
        <f>62.9793 * CHOOSE(CONTROL!$C$9, $D$9, 100%, $F$9) + CHOOSE(CONTROL!$C$27, 0.0021, 0)</f>
        <v>62.981400000000001</v>
      </c>
      <c r="I700" s="10">
        <f>62.9793 * CHOOSE(CONTROL!$C$9, $D$9, 100%, $F$9) + CHOOSE(CONTROL!$C$27, 0.0021, 0)</f>
        <v>62.981400000000001</v>
      </c>
      <c r="J700" s="10">
        <f>62.9793 * CHOOSE(CONTROL!$C$9, $D$9, 100%, $F$9) + CHOOSE(CONTROL!$C$27, 0.0021, 0)</f>
        <v>62.981400000000001</v>
      </c>
      <c r="K700" s="10">
        <f>62.9793 * CHOOSE(CONTROL!$C$9, $D$9, 100%, $F$9) + CHOOSE(CONTROL!$C$27, 0.0021, 0)</f>
        <v>62.981400000000001</v>
      </c>
      <c r="L700" s="10"/>
    </row>
    <row r="701" spans="1:12" ht="15.75" x14ac:dyDescent="0.25">
      <c r="A701" s="13">
        <v>62639</v>
      </c>
      <c r="B701" s="10">
        <f>64.1645 * CHOOSE(CONTROL!$C$9, $D$9, 100%, $F$9) + CHOOSE(CONTROL!$C$27, 0.0021, 0)</f>
        <v>64.166600000000003</v>
      </c>
      <c r="C701" s="10">
        <f>63.7323 * CHOOSE(CONTROL!$C$9, $D$9, 100%, $F$9) + CHOOSE(CONTROL!$C$27, 0.0021, 0)</f>
        <v>63.734400000000001</v>
      </c>
      <c r="D701" s="10">
        <f>63.7323 * CHOOSE(CONTROL!$C$9, $D$9, 100%, $F$9) + CHOOSE(CONTROL!$C$27, 0.0021, 0)</f>
        <v>63.734400000000001</v>
      </c>
      <c r="E701" s="10">
        <f>63.5956 * CHOOSE(CONTROL!$C$9, $D$9, 100%, $F$9) + CHOOSE(CONTROL!$C$27, 0.0021, 0)</f>
        <v>63.597699999999996</v>
      </c>
      <c r="F701" s="10">
        <f>63.5956 * CHOOSE(CONTROL!$C$9, $D$9, 100%, $F$9) + CHOOSE(CONTROL!$C$27, 0.0021, 0)</f>
        <v>63.597699999999996</v>
      </c>
      <c r="G701" s="10">
        <f>63.867 * CHOOSE(CONTROL!$C$9, $D$9, 100%, $F$9) + CHOOSE(CONTROL!$C$27, 0.0021, 0)</f>
        <v>63.869099999999996</v>
      </c>
      <c r="H701" s="10">
        <f>63.7323 * CHOOSE(CONTROL!$C$9, $D$9, 100%, $F$9) + CHOOSE(CONTROL!$C$27, 0.0021, 0)</f>
        <v>63.734400000000001</v>
      </c>
      <c r="I701" s="10">
        <f>63.7323 * CHOOSE(CONTROL!$C$9, $D$9, 100%, $F$9) + CHOOSE(CONTROL!$C$27, 0.0021, 0)</f>
        <v>63.734400000000001</v>
      </c>
      <c r="J701" s="10">
        <f>63.7323 * CHOOSE(CONTROL!$C$9, $D$9, 100%, $F$9) + CHOOSE(CONTROL!$C$27, 0.0021, 0)</f>
        <v>63.734400000000001</v>
      </c>
      <c r="K701" s="10">
        <f>63.7323 * CHOOSE(CONTROL!$C$9, $D$9, 100%, $F$9) + CHOOSE(CONTROL!$C$27, 0.0021, 0)</f>
        <v>63.734400000000001</v>
      </c>
      <c r="L701" s="10"/>
    </row>
    <row r="702" spans="1:12" ht="15.75" x14ac:dyDescent="0.25">
      <c r="A702" s="13">
        <v>62670</v>
      </c>
      <c r="B702" s="10">
        <f>65.4066 * CHOOSE(CONTROL!$C$9, $D$9, 100%, $F$9) + CHOOSE(CONTROL!$C$27, 0.0021, 0)</f>
        <v>65.408699999999996</v>
      </c>
      <c r="C702" s="10">
        <f>64.9744 * CHOOSE(CONTROL!$C$9, $D$9, 100%, $F$9) + CHOOSE(CONTROL!$C$27, 0.0021, 0)</f>
        <v>64.976500000000001</v>
      </c>
      <c r="D702" s="10">
        <f>64.9744 * CHOOSE(CONTROL!$C$9, $D$9, 100%, $F$9) + CHOOSE(CONTROL!$C$27, 0.0021, 0)</f>
        <v>64.976500000000001</v>
      </c>
      <c r="E702" s="10">
        <f>64.8377 * CHOOSE(CONTROL!$C$9, $D$9, 100%, $F$9) + CHOOSE(CONTROL!$C$27, 0.0021, 0)</f>
        <v>64.839799999999997</v>
      </c>
      <c r="F702" s="10">
        <f>64.8377 * CHOOSE(CONTROL!$C$9, $D$9, 100%, $F$9) + CHOOSE(CONTROL!$C$27, 0.0021, 0)</f>
        <v>64.839799999999997</v>
      </c>
      <c r="G702" s="10">
        <f>65.1091 * CHOOSE(CONTROL!$C$9, $D$9, 100%, $F$9) + CHOOSE(CONTROL!$C$27, 0.0021, 0)</f>
        <v>65.111199999999997</v>
      </c>
      <c r="H702" s="10">
        <f>64.9744 * CHOOSE(CONTROL!$C$9, $D$9, 100%, $F$9) + CHOOSE(CONTROL!$C$27, 0.0021, 0)</f>
        <v>64.976500000000001</v>
      </c>
      <c r="I702" s="10">
        <f>64.9744 * CHOOSE(CONTROL!$C$9, $D$9, 100%, $F$9) + CHOOSE(CONTROL!$C$27, 0.0021, 0)</f>
        <v>64.976500000000001</v>
      </c>
      <c r="J702" s="10">
        <f>64.9744 * CHOOSE(CONTROL!$C$9, $D$9, 100%, $F$9) + CHOOSE(CONTROL!$C$27, 0.0021, 0)</f>
        <v>64.976500000000001</v>
      </c>
      <c r="K702" s="10">
        <f>64.9744 * CHOOSE(CONTROL!$C$9, $D$9, 100%, $F$9) + CHOOSE(CONTROL!$C$27, 0.0021, 0)</f>
        <v>64.976500000000001</v>
      </c>
      <c r="L702" s="10"/>
    </row>
    <row r="703" spans="1:12" ht="15.75" x14ac:dyDescent="0.25">
      <c r="A703" s="13">
        <v>62701</v>
      </c>
      <c r="B703" s="10">
        <f>65.7858 * CHOOSE(CONTROL!$C$9, $D$9, 100%, $F$9) + CHOOSE(CONTROL!$C$27, 0.0021, 0)</f>
        <v>65.787899999999993</v>
      </c>
      <c r="C703" s="10">
        <f>65.3535 * CHOOSE(CONTROL!$C$9, $D$9, 100%, $F$9) + CHOOSE(CONTROL!$C$27, 0.0021, 0)</f>
        <v>65.355599999999995</v>
      </c>
      <c r="D703" s="10">
        <f>65.3535 * CHOOSE(CONTROL!$C$9, $D$9, 100%, $F$9) + CHOOSE(CONTROL!$C$27, 0.0021, 0)</f>
        <v>65.355599999999995</v>
      </c>
      <c r="E703" s="10">
        <f>65.2169 * CHOOSE(CONTROL!$C$9, $D$9, 100%, $F$9) + CHOOSE(CONTROL!$C$27, 0.0021, 0)</f>
        <v>65.218999999999994</v>
      </c>
      <c r="F703" s="10">
        <f>65.2169 * CHOOSE(CONTROL!$C$9, $D$9, 100%, $F$9) + CHOOSE(CONTROL!$C$27, 0.0021, 0)</f>
        <v>65.218999999999994</v>
      </c>
      <c r="G703" s="10">
        <f>65.4882 * CHOOSE(CONTROL!$C$9, $D$9, 100%, $F$9) + CHOOSE(CONTROL!$C$27, 0.0021, 0)</f>
        <v>65.490300000000005</v>
      </c>
      <c r="H703" s="10">
        <f>65.3535 * CHOOSE(CONTROL!$C$9, $D$9, 100%, $F$9) + CHOOSE(CONTROL!$C$27, 0.0021, 0)</f>
        <v>65.355599999999995</v>
      </c>
      <c r="I703" s="10">
        <f>65.3535 * CHOOSE(CONTROL!$C$9, $D$9, 100%, $F$9) + CHOOSE(CONTROL!$C$27, 0.0021, 0)</f>
        <v>65.355599999999995</v>
      </c>
      <c r="J703" s="10">
        <f>65.3535 * CHOOSE(CONTROL!$C$9, $D$9, 100%, $F$9) + CHOOSE(CONTROL!$C$27, 0.0021, 0)</f>
        <v>65.355599999999995</v>
      </c>
      <c r="K703" s="10">
        <f>65.3535 * CHOOSE(CONTROL!$C$9, $D$9, 100%, $F$9) + CHOOSE(CONTROL!$C$27, 0.0021, 0)</f>
        <v>65.355599999999995</v>
      </c>
      <c r="L703" s="10"/>
    </row>
    <row r="704" spans="1:12" ht="15.75" x14ac:dyDescent="0.25">
      <c r="A704" s="13">
        <v>62731</v>
      </c>
      <c r="B704" s="10">
        <f>67.0769 * CHOOSE(CONTROL!$C$9, $D$9, 100%, $F$9) + CHOOSE(CONTROL!$C$27, 0.0021, 0)</f>
        <v>67.078999999999994</v>
      </c>
      <c r="C704" s="10">
        <f>66.6447 * CHOOSE(CONTROL!$C$9, $D$9, 100%, $F$9) + CHOOSE(CONTROL!$C$27, 0.0021, 0)</f>
        <v>66.646799999999999</v>
      </c>
      <c r="D704" s="10">
        <f>66.6447 * CHOOSE(CONTROL!$C$9, $D$9, 100%, $F$9) + CHOOSE(CONTROL!$C$27, 0.0021, 0)</f>
        <v>66.646799999999999</v>
      </c>
      <c r="E704" s="10">
        <f>66.508 * CHOOSE(CONTROL!$C$9, $D$9, 100%, $F$9) + CHOOSE(CONTROL!$C$27, 0.0021, 0)</f>
        <v>66.510099999999994</v>
      </c>
      <c r="F704" s="10">
        <f>66.508 * CHOOSE(CONTROL!$C$9, $D$9, 100%, $F$9) + CHOOSE(CONTROL!$C$27, 0.0021, 0)</f>
        <v>66.510099999999994</v>
      </c>
      <c r="G704" s="10">
        <f>66.7794 * CHOOSE(CONTROL!$C$9, $D$9, 100%, $F$9) + CHOOSE(CONTROL!$C$27, 0.0021, 0)</f>
        <v>66.781499999999994</v>
      </c>
      <c r="H704" s="10">
        <f>66.6447 * CHOOSE(CONTROL!$C$9, $D$9, 100%, $F$9) + CHOOSE(CONTROL!$C$27, 0.0021, 0)</f>
        <v>66.646799999999999</v>
      </c>
      <c r="I704" s="10">
        <f>66.6447 * CHOOSE(CONTROL!$C$9, $D$9, 100%, $F$9) + CHOOSE(CONTROL!$C$27, 0.0021, 0)</f>
        <v>66.646799999999999</v>
      </c>
      <c r="J704" s="10">
        <f>66.6447 * CHOOSE(CONTROL!$C$9, $D$9, 100%, $F$9) + CHOOSE(CONTROL!$C$27, 0.0021, 0)</f>
        <v>66.646799999999999</v>
      </c>
      <c r="K704" s="10">
        <f>66.6447 * CHOOSE(CONTROL!$C$9, $D$9, 100%, $F$9) + CHOOSE(CONTROL!$C$27, 0.0021, 0)</f>
        <v>66.646799999999999</v>
      </c>
      <c r="L704" s="10"/>
    </row>
    <row r="705" spans="1:12" ht="15.75" x14ac:dyDescent="0.25">
      <c r="A705" s="13">
        <v>62762</v>
      </c>
      <c r="B705" s="10">
        <f>68.7113 * CHOOSE(CONTROL!$C$9, $D$9, 100%, $F$9) + CHOOSE(CONTROL!$C$27, 0.0021, 0)</f>
        <v>68.713399999999993</v>
      </c>
      <c r="C705" s="10">
        <f>68.279 * CHOOSE(CONTROL!$C$9, $D$9, 100%, $F$9) + CHOOSE(CONTROL!$C$27, 0.0021, 0)</f>
        <v>68.281099999999995</v>
      </c>
      <c r="D705" s="10">
        <f>68.279 * CHOOSE(CONTROL!$C$9, $D$9, 100%, $F$9) + CHOOSE(CONTROL!$C$27, 0.0021, 0)</f>
        <v>68.281099999999995</v>
      </c>
      <c r="E705" s="10">
        <f>68.1424 * CHOOSE(CONTROL!$C$9, $D$9, 100%, $F$9) + CHOOSE(CONTROL!$C$27, 0.0021, 0)</f>
        <v>68.144499999999994</v>
      </c>
      <c r="F705" s="10">
        <f>68.1424 * CHOOSE(CONTROL!$C$9, $D$9, 100%, $F$9) + CHOOSE(CONTROL!$C$27, 0.0021, 0)</f>
        <v>68.144499999999994</v>
      </c>
      <c r="G705" s="10">
        <f>68.4137 * CHOOSE(CONTROL!$C$9, $D$9, 100%, $F$9) + CHOOSE(CONTROL!$C$27, 0.0021, 0)</f>
        <v>68.415800000000004</v>
      </c>
      <c r="H705" s="10">
        <f>68.279 * CHOOSE(CONTROL!$C$9, $D$9, 100%, $F$9) + CHOOSE(CONTROL!$C$27, 0.0021, 0)</f>
        <v>68.281099999999995</v>
      </c>
      <c r="I705" s="10">
        <f>68.279 * CHOOSE(CONTROL!$C$9, $D$9, 100%, $F$9) + CHOOSE(CONTROL!$C$27, 0.0021, 0)</f>
        <v>68.281099999999995</v>
      </c>
      <c r="J705" s="10">
        <f>68.279 * CHOOSE(CONTROL!$C$9, $D$9, 100%, $F$9) + CHOOSE(CONTROL!$C$27, 0.0021, 0)</f>
        <v>68.281099999999995</v>
      </c>
      <c r="K705" s="10">
        <f>68.279 * CHOOSE(CONTROL!$C$9, $D$9, 100%, $F$9) + CHOOSE(CONTROL!$C$27, 0.0021, 0)</f>
        <v>68.281099999999995</v>
      </c>
      <c r="L705" s="10"/>
    </row>
    <row r="706" spans="1:12" ht="15.75" x14ac:dyDescent="0.25">
      <c r="A706" s="13">
        <v>62792</v>
      </c>
      <c r="B706" s="10">
        <f>68.8647 * CHOOSE(CONTROL!$C$9, $D$9, 100%, $F$9) + CHOOSE(CONTROL!$C$27, 0.0021, 0)</f>
        <v>68.866799999999998</v>
      </c>
      <c r="C706" s="10">
        <f>68.4325 * CHOOSE(CONTROL!$C$9, $D$9, 100%, $F$9) + CHOOSE(CONTROL!$C$27, 0.0021, 0)</f>
        <v>68.434600000000003</v>
      </c>
      <c r="D706" s="10">
        <f>68.4325 * CHOOSE(CONTROL!$C$9, $D$9, 100%, $F$9) + CHOOSE(CONTROL!$C$27, 0.0021, 0)</f>
        <v>68.434600000000003</v>
      </c>
      <c r="E706" s="10">
        <f>68.2958 * CHOOSE(CONTROL!$C$9, $D$9, 100%, $F$9) + CHOOSE(CONTROL!$C$27, 0.0021, 0)</f>
        <v>68.297899999999998</v>
      </c>
      <c r="F706" s="10">
        <f>68.2958 * CHOOSE(CONTROL!$C$9, $D$9, 100%, $F$9) + CHOOSE(CONTROL!$C$27, 0.0021, 0)</f>
        <v>68.297899999999998</v>
      </c>
      <c r="G706" s="10">
        <f>68.5672 * CHOOSE(CONTROL!$C$9, $D$9, 100%, $F$9) + CHOOSE(CONTROL!$C$27, 0.0021, 0)</f>
        <v>68.569299999999998</v>
      </c>
      <c r="H706" s="10">
        <f>68.4325 * CHOOSE(CONTROL!$C$9, $D$9, 100%, $F$9) + CHOOSE(CONTROL!$C$27, 0.0021, 0)</f>
        <v>68.434600000000003</v>
      </c>
      <c r="I706" s="10">
        <f>68.4325 * CHOOSE(CONTROL!$C$9, $D$9, 100%, $F$9) + CHOOSE(CONTROL!$C$27, 0.0021, 0)</f>
        <v>68.434600000000003</v>
      </c>
      <c r="J706" s="10">
        <f>68.4325 * CHOOSE(CONTROL!$C$9, $D$9, 100%, $F$9) + CHOOSE(CONTROL!$C$27, 0.0021, 0)</f>
        <v>68.434600000000003</v>
      </c>
      <c r="K706" s="10">
        <f>68.4325 * CHOOSE(CONTROL!$C$9, $D$9, 100%, $F$9) + CHOOSE(CONTROL!$C$27, 0.0021, 0)</f>
        <v>68.434600000000003</v>
      </c>
      <c r="L706" s="10"/>
    </row>
    <row r="707" spans="1:12" ht="15.75" x14ac:dyDescent="0.25">
      <c r="A707" s="13">
        <v>62823</v>
      </c>
      <c r="B707" s="10">
        <f>67.5594 * CHOOSE(CONTROL!$C$9, $D$9, 100%, $F$9) + CHOOSE(CONTROL!$C$27, 0.0021, 0)</f>
        <v>67.561499999999995</v>
      </c>
      <c r="C707" s="10">
        <f>67.1271 * CHOOSE(CONTROL!$C$9, $D$9, 100%, $F$9) + CHOOSE(CONTROL!$C$27, 0.0021, 0)</f>
        <v>67.129199999999997</v>
      </c>
      <c r="D707" s="10">
        <f>67.1271 * CHOOSE(CONTROL!$C$9, $D$9, 100%, $F$9) + CHOOSE(CONTROL!$C$27, 0.0021, 0)</f>
        <v>67.129199999999997</v>
      </c>
      <c r="E707" s="10">
        <f>66.9905 * CHOOSE(CONTROL!$C$9, $D$9, 100%, $F$9) + CHOOSE(CONTROL!$C$27, 0.0021, 0)</f>
        <v>66.992599999999996</v>
      </c>
      <c r="F707" s="10">
        <f>66.9905 * CHOOSE(CONTROL!$C$9, $D$9, 100%, $F$9) + CHOOSE(CONTROL!$C$27, 0.0021, 0)</f>
        <v>66.992599999999996</v>
      </c>
      <c r="G707" s="10">
        <f>67.2618 * CHOOSE(CONTROL!$C$9, $D$9, 100%, $F$9) + CHOOSE(CONTROL!$C$27, 0.0021, 0)</f>
        <v>67.263899999999992</v>
      </c>
      <c r="H707" s="10">
        <f>67.1271 * CHOOSE(CONTROL!$C$9, $D$9, 100%, $F$9) + CHOOSE(CONTROL!$C$27, 0.0021, 0)</f>
        <v>67.129199999999997</v>
      </c>
      <c r="I707" s="10">
        <f>67.1271 * CHOOSE(CONTROL!$C$9, $D$9, 100%, $F$9) + CHOOSE(CONTROL!$C$27, 0.0021, 0)</f>
        <v>67.129199999999997</v>
      </c>
      <c r="J707" s="10">
        <f>67.1271 * CHOOSE(CONTROL!$C$9, $D$9, 100%, $F$9) + CHOOSE(CONTROL!$C$27, 0.0021, 0)</f>
        <v>67.129199999999997</v>
      </c>
      <c r="K707" s="10">
        <f>67.1271 * CHOOSE(CONTROL!$C$9, $D$9, 100%, $F$9) + CHOOSE(CONTROL!$C$27, 0.0021, 0)</f>
        <v>67.129199999999997</v>
      </c>
      <c r="L707" s="10"/>
    </row>
    <row r="708" spans="1:12" ht="15.75" x14ac:dyDescent="0.25">
      <c r="A708" s="13">
        <v>62854</v>
      </c>
      <c r="B708" s="10">
        <f>66.56 * CHOOSE(CONTROL!$C$9, $D$9, 100%, $F$9) + CHOOSE(CONTROL!$C$27, 0.0021, 0)</f>
        <v>66.562100000000001</v>
      </c>
      <c r="C708" s="10">
        <f>66.1277 * CHOOSE(CONTROL!$C$9, $D$9, 100%, $F$9) + CHOOSE(CONTROL!$C$27, 0.0021, 0)</f>
        <v>66.129800000000003</v>
      </c>
      <c r="D708" s="10">
        <f>66.1277 * CHOOSE(CONTROL!$C$9, $D$9, 100%, $F$9) + CHOOSE(CONTROL!$C$27, 0.0021, 0)</f>
        <v>66.129800000000003</v>
      </c>
      <c r="E708" s="10">
        <f>65.9911 * CHOOSE(CONTROL!$C$9, $D$9, 100%, $F$9) + CHOOSE(CONTROL!$C$27, 0.0021, 0)</f>
        <v>65.993200000000002</v>
      </c>
      <c r="F708" s="10">
        <f>65.9911 * CHOOSE(CONTROL!$C$9, $D$9, 100%, $F$9) + CHOOSE(CONTROL!$C$27, 0.0021, 0)</f>
        <v>65.993200000000002</v>
      </c>
      <c r="G708" s="10">
        <f>66.2624 * CHOOSE(CONTROL!$C$9, $D$9, 100%, $F$9) + CHOOSE(CONTROL!$C$27, 0.0021, 0)</f>
        <v>66.264499999999998</v>
      </c>
      <c r="H708" s="10">
        <f>66.1277 * CHOOSE(CONTROL!$C$9, $D$9, 100%, $F$9) + CHOOSE(CONTROL!$C$27, 0.0021, 0)</f>
        <v>66.129800000000003</v>
      </c>
      <c r="I708" s="10">
        <f>66.1277 * CHOOSE(CONTROL!$C$9, $D$9, 100%, $F$9) + CHOOSE(CONTROL!$C$27, 0.0021, 0)</f>
        <v>66.129800000000003</v>
      </c>
      <c r="J708" s="10">
        <f>66.1277 * CHOOSE(CONTROL!$C$9, $D$9, 100%, $F$9) + CHOOSE(CONTROL!$C$27, 0.0021, 0)</f>
        <v>66.129800000000003</v>
      </c>
      <c r="K708" s="10">
        <f>66.1277 * CHOOSE(CONTROL!$C$9, $D$9, 100%, $F$9) + CHOOSE(CONTROL!$C$27, 0.0021, 0)</f>
        <v>66.129800000000003</v>
      </c>
      <c r="L708" s="10"/>
    </row>
    <row r="709" spans="1:12" ht="15.75" x14ac:dyDescent="0.25">
      <c r="A709" s="13">
        <v>62883</v>
      </c>
      <c r="B709" s="10">
        <f>64.7421 * CHOOSE(CONTROL!$C$9, $D$9, 100%, $F$9) + CHOOSE(CONTROL!$C$27, 0.0021, 0)</f>
        <v>64.744199999999992</v>
      </c>
      <c r="C709" s="10">
        <f>64.3099 * CHOOSE(CONTROL!$C$9, $D$9, 100%, $F$9) + CHOOSE(CONTROL!$C$27, 0.0021, 0)</f>
        <v>64.311999999999998</v>
      </c>
      <c r="D709" s="10">
        <f>64.3099 * CHOOSE(CONTROL!$C$9, $D$9, 100%, $F$9) + CHOOSE(CONTROL!$C$27, 0.0021, 0)</f>
        <v>64.311999999999998</v>
      </c>
      <c r="E709" s="10">
        <f>64.1732 * CHOOSE(CONTROL!$C$9, $D$9, 100%, $F$9) + CHOOSE(CONTROL!$C$27, 0.0021, 0)</f>
        <v>64.175299999999993</v>
      </c>
      <c r="F709" s="10">
        <f>64.1732 * CHOOSE(CONTROL!$C$9, $D$9, 100%, $F$9) + CHOOSE(CONTROL!$C$27, 0.0021, 0)</f>
        <v>64.175299999999993</v>
      </c>
      <c r="G709" s="10">
        <f>64.4446 * CHOOSE(CONTROL!$C$9, $D$9, 100%, $F$9) + CHOOSE(CONTROL!$C$27, 0.0021, 0)</f>
        <v>64.446699999999993</v>
      </c>
      <c r="H709" s="10">
        <f>64.3099 * CHOOSE(CONTROL!$C$9, $D$9, 100%, $F$9) + CHOOSE(CONTROL!$C$27, 0.0021, 0)</f>
        <v>64.311999999999998</v>
      </c>
      <c r="I709" s="10">
        <f>64.3099 * CHOOSE(CONTROL!$C$9, $D$9, 100%, $F$9) + CHOOSE(CONTROL!$C$27, 0.0021, 0)</f>
        <v>64.311999999999998</v>
      </c>
      <c r="J709" s="10">
        <f>64.3099 * CHOOSE(CONTROL!$C$9, $D$9, 100%, $F$9) + CHOOSE(CONTROL!$C$27, 0.0021, 0)</f>
        <v>64.311999999999998</v>
      </c>
      <c r="K709" s="10">
        <f>64.3099 * CHOOSE(CONTROL!$C$9, $D$9, 100%, $F$9) + CHOOSE(CONTROL!$C$27, 0.0021, 0)</f>
        <v>64.311999999999998</v>
      </c>
      <c r="L709" s="10"/>
    </row>
    <row r="710" spans="1:12" ht="15.75" x14ac:dyDescent="0.25">
      <c r="A710" s="13">
        <v>62914</v>
      </c>
      <c r="B710" s="10">
        <f>63.9917 * CHOOSE(CONTROL!$C$9, $D$9, 100%, $F$9) + CHOOSE(CONTROL!$C$27, 0.0021, 0)</f>
        <v>63.9938</v>
      </c>
      <c r="C710" s="10">
        <f>63.5595 * CHOOSE(CONTROL!$C$9, $D$9, 100%, $F$9) + CHOOSE(CONTROL!$C$27, 0.0021, 0)</f>
        <v>63.561599999999999</v>
      </c>
      <c r="D710" s="10">
        <f>63.5595 * CHOOSE(CONTROL!$C$9, $D$9, 100%, $F$9) + CHOOSE(CONTROL!$C$27, 0.0021, 0)</f>
        <v>63.561599999999999</v>
      </c>
      <c r="E710" s="10">
        <f>63.4228 * CHOOSE(CONTROL!$C$9, $D$9, 100%, $F$9) + CHOOSE(CONTROL!$C$27, 0.0021, 0)</f>
        <v>63.424900000000001</v>
      </c>
      <c r="F710" s="10">
        <f>63.4228 * CHOOSE(CONTROL!$C$9, $D$9, 100%, $F$9) + CHOOSE(CONTROL!$C$27, 0.0021, 0)</f>
        <v>63.424900000000001</v>
      </c>
      <c r="G710" s="10">
        <f>63.6942 * CHOOSE(CONTROL!$C$9, $D$9, 100%, $F$9) + CHOOSE(CONTROL!$C$27, 0.0021, 0)</f>
        <v>63.696300000000001</v>
      </c>
      <c r="H710" s="10">
        <f>63.5595 * CHOOSE(CONTROL!$C$9, $D$9, 100%, $F$9) + CHOOSE(CONTROL!$C$27, 0.0021, 0)</f>
        <v>63.561599999999999</v>
      </c>
      <c r="I710" s="10">
        <f>63.5595 * CHOOSE(CONTROL!$C$9, $D$9, 100%, $F$9) + CHOOSE(CONTROL!$C$27, 0.0021, 0)</f>
        <v>63.561599999999999</v>
      </c>
      <c r="J710" s="10">
        <f>63.5595 * CHOOSE(CONTROL!$C$9, $D$9, 100%, $F$9) + CHOOSE(CONTROL!$C$27, 0.0021, 0)</f>
        <v>63.561599999999999</v>
      </c>
      <c r="K710" s="10">
        <f>63.5595 * CHOOSE(CONTROL!$C$9, $D$9, 100%, $F$9) + CHOOSE(CONTROL!$C$27, 0.0021, 0)</f>
        <v>63.561599999999999</v>
      </c>
      <c r="L710" s="10"/>
    </row>
    <row r="711" spans="1:12" ht="15.75" x14ac:dyDescent="0.25">
      <c r="A711" s="13">
        <v>62944</v>
      </c>
      <c r="B711" s="10">
        <f>63.0957 * CHOOSE(CONTROL!$C$9, $D$9, 100%, $F$9) + CHOOSE(CONTROL!$C$27, 0.0021, 0)</f>
        <v>63.097799999999999</v>
      </c>
      <c r="C711" s="10">
        <f>62.6635 * CHOOSE(CONTROL!$C$9, $D$9, 100%, $F$9) + CHOOSE(CONTROL!$C$27, 0.0021, 0)</f>
        <v>62.665599999999998</v>
      </c>
      <c r="D711" s="10">
        <f>62.6635 * CHOOSE(CONTROL!$C$9, $D$9, 100%, $F$9) + CHOOSE(CONTROL!$C$27, 0.0021, 0)</f>
        <v>62.665599999999998</v>
      </c>
      <c r="E711" s="10">
        <f>62.5268 * CHOOSE(CONTROL!$C$9, $D$9, 100%, $F$9) + CHOOSE(CONTROL!$C$27, 0.0021, 0)</f>
        <v>62.5289</v>
      </c>
      <c r="F711" s="10">
        <f>62.5268 * CHOOSE(CONTROL!$C$9, $D$9, 100%, $F$9) + CHOOSE(CONTROL!$C$27, 0.0021, 0)</f>
        <v>62.5289</v>
      </c>
      <c r="G711" s="10">
        <f>62.7982 * CHOOSE(CONTROL!$C$9, $D$9, 100%, $F$9) + CHOOSE(CONTROL!$C$27, 0.0021, 0)</f>
        <v>62.8003</v>
      </c>
      <c r="H711" s="10">
        <f>62.6635 * CHOOSE(CONTROL!$C$9, $D$9, 100%, $F$9) + CHOOSE(CONTROL!$C$27, 0.0021, 0)</f>
        <v>62.665599999999998</v>
      </c>
      <c r="I711" s="10">
        <f>62.6635 * CHOOSE(CONTROL!$C$9, $D$9, 100%, $F$9) + CHOOSE(CONTROL!$C$27, 0.0021, 0)</f>
        <v>62.665599999999998</v>
      </c>
      <c r="J711" s="10">
        <f>62.6635 * CHOOSE(CONTROL!$C$9, $D$9, 100%, $F$9) + CHOOSE(CONTROL!$C$27, 0.0021, 0)</f>
        <v>62.665599999999998</v>
      </c>
      <c r="K711" s="10">
        <f>62.6635 * CHOOSE(CONTROL!$C$9, $D$9, 100%, $F$9) + CHOOSE(CONTROL!$C$27, 0.0021, 0)</f>
        <v>62.665599999999998</v>
      </c>
      <c r="L711" s="10"/>
    </row>
    <row r="712" spans="1:12" ht="15.75" x14ac:dyDescent="0.25">
      <c r="A712" s="13">
        <v>62975</v>
      </c>
      <c r="B712" s="10">
        <f>64.3726 * CHOOSE(CONTROL!$C$9, $D$9, 100%, $F$9) + CHOOSE(CONTROL!$C$27, 0.0021, 0)</f>
        <v>64.374700000000004</v>
      </c>
      <c r="C712" s="10">
        <f>63.9404 * CHOOSE(CONTROL!$C$9, $D$9, 100%, $F$9) + CHOOSE(CONTROL!$C$27, 0.0021, 0)</f>
        <v>63.942499999999995</v>
      </c>
      <c r="D712" s="10">
        <f>63.9404 * CHOOSE(CONTROL!$C$9, $D$9, 100%, $F$9) + CHOOSE(CONTROL!$C$27, 0.0021, 0)</f>
        <v>63.942499999999995</v>
      </c>
      <c r="E712" s="10">
        <f>63.8037 * CHOOSE(CONTROL!$C$9, $D$9, 100%, $F$9) + CHOOSE(CONTROL!$C$27, 0.0021, 0)</f>
        <v>63.805799999999998</v>
      </c>
      <c r="F712" s="10">
        <f>63.8037 * CHOOSE(CONTROL!$C$9, $D$9, 100%, $F$9) + CHOOSE(CONTROL!$C$27, 0.0021, 0)</f>
        <v>63.805799999999998</v>
      </c>
      <c r="G712" s="10">
        <f>64.0751 * CHOOSE(CONTROL!$C$9, $D$9, 100%, $F$9) + CHOOSE(CONTROL!$C$27, 0.0021, 0)</f>
        <v>64.077200000000005</v>
      </c>
      <c r="H712" s="10">
        <f>63.9404 * CHOOSE(CONTROL!$C$9, $D$9, 100%, $F$9) + CHOOSE(CONTROL!$C$27, 0.0021, 0)</f>
        <v>63.942499999999995</v>
      </c>
      <c r="I712" s="10">
        <f>63.9404 * CHOOSE(CONTROL!$C$9, $D$9, 100%, $F$9) + CHOOSE(CONTROL!$C$27, 0.0021, 0)</f>
        <v>63.942499999999995</v>
      </c>
      <c r="J712" s="10">
        <f>63.9404 * CHOOSE(CONTROL!$C$9, $D$9, 100%, $F$9) + CHOOSE(CONTROL!$C$27, 0.0021, 0)</f>
        <v>63.942499999999995</v>
      </c>
      <c r="K712" s="10">
        <f>63.9404 * CHOOSE(CONTROL!$C$9, $D$9, 100%, $F$9) + CHOOSE(CONTROL!$C$27, 0.0021, 0)</f>
        <v>63.942499999999995</v>
      </c>
      <c r="L712" s="10"/>
    </row>
    <row r="713" spans="1:12" ht="15.75" x14ac:dyDescent="0.25">
      <c r="A713" s="13">
        <v>63005</v>
      </c>
      <c r="B713" s="10">
        <f>65.1375 * CHOOSE(CONTROL!$C$9, $D$9, 100%, $F$9) + CHOOSE(CONTROL!$C$27, 0.0021, 0)</f>
        <v>65.139600000000002</v>
      </c>
      <c r="C713" s="10">
        <f>64.7052 * CHOOSE(CONTROL!$C$9, $D$9, 100%, $F$9) + CHOOSE(CONTROL!$C$27, 0.0021, 0)</f>
        <v>64.707300000000004</v>
      </c>
      <c r="D713" s="10">
        <f>64.7052 * CHOOSE(CONTROL!$C$9, $D$9, 100%, $F$9) + CHOOSE(CONTROL!$C$27, 0.0021, 0)</f>
        <v>64.707300000000004</v>
      </c>
      <c r="E713" s="10">
        <f>64.5685 * CHOOSE(CONTROL!$C$9, $D$9, 100%, $F$9) + CHOOSE(CONTROL!$C$27, 0.0021, 0)</f>
        <v>64.570599999999999</v>
      </c>
      <c r="F713" s="10">
        <f>64.5685 * CHOOSE(CONTROL!$C$9, $D$9, 100%, $F$9) + CHOOSE(CONTROL!$C$27, 0.0021, 0)</f>
        <v>64.570599999999999</v>
      </c>
      <c r="G713" s="10">
        <f>64.8399 * CHOOSE(CONTROL!$C$9, $D$9, 100%, $F$9) + CHOOSE(CONTROL!$C$27, 0.0021, 0)</f>
        <v>64.841999999999999</v>
      </c>
      <c r="H713" s="10">
        <f>64.7052 * CHOOSE(CONTROL!$C$9, $D$9, 100%, $F$9) + CHOOSE(CONTROL!$C$27, 0.0021, 0)</f>
        <v>64.707300000000004</v>
      </c>
      <c r="I713" s="10">
        <f>64.7052 * CHOOSE(CONTROL!$C$9, $D$9, 100%, $F$9) + CHOOSE(CONTROL!$C$27, 0.0021, 0)</f>
        <v>64.707300000000004</v>
      </c>
      <c r="J713" s="10">
        <f>64.7052 * CHOOSE(CONTROL!$C$9, $D$9, 100%, $F$9) + CHOOSE(CONTROL!$C$27, 0.0021, 0)</f>
        <v>64.707300000000004</v>
      </c>
      <c r="K713" s="10">
        <f>64.7052 * CHOOSE(CONTROL!$C$9, $D$9, 100%, $F$9) + CHOOSE(CONTROL!$C$27, 0.0021, 0)</f>
        <v>64.707300000000004</v>
      </c>
      <c r="L713" s="10"/>
    </row>
    <row r="714" spans="1:12" ht="15.75" x14ac:dyDescent="0.25">
      <c r="A714" s="13">
        <v>63036</v>
      </c>
      <c r="B714" s="10">
        <f>66.3991 * CHOOSE(CONTROL!$C$9, $D$9, 100%, $F$9) + CHOOSE(CONTROL!$C$27, 0.0021, 0)</f>
        <v>66.401200000000003</v>
      </c>
      <c r="C714" s="10">
        <f>65.9669 * CHOOSE(CONTROL!$C$9, $D$9, 100%, $F$9) + CHOOSE(CONTROL!$C$27, 0.0021, 0)</f>
        <v>65.968999999999994</v>
      </c>
      <c r="D714" s="10">
        <f>65.9669 * CHOOSE(CONTROL!$C$9, $D$9, 100%, $F$9) + CHOOSE(CONTROL!$C$27, 0.0021, 0)</f>
        <v>65.968999999999994</v>
      </c>
      <c r="E714" s="10">
        <f>65.8302 * CHOOSE(CONTROL!$C$9, $D$9, 100%, $F$9) + CHOOSE(CONTROL!$C$27, 0.0021, 0)</f>
        <v>65.832300000000004</v>
      </c>
      <c r="F714" s="10">
        <f>65.8302 * CHOOSE(CONTROL!$C$9, $D$9, 100%, $F$9) + CHOOSE(CONTROL!$C$27, 0.0021, 0)</f>
        <v>65.832300000000004</v>
      </c>
      <c r="G714" s="10">
        <f>66.1016 * CHOOSE(CONTROL!$C$9, $D$9, 100%, $F$9) + CHOOSE(CONTROL!$C$27, 0.0021, 0)</f>
        <v>66.103700000000003</v>
      </c>
      <c r="H714" s="10">
        <f>65.9669 * CHOOSE(CONTROL!$C$9, $D$9, 100%, $F$9) + CHOOSE(CONTROL!$C$27, 0.0021, 0)</f>
        <v>65.968999999999994</v>
      </c>
      <c r="I714" s="10">
        <f>65.9669 * CHOOSE(CONTROL!$C$9, $D$9, 100%, $F$9) + CHOOSE(CONTROL!$C$27, 0.0021, 0)</f>
        <v>65.968999999999994</v>
      </c>
      <c r="J714" s="10">
        <f>65.9669 * CHOOSE(CONTROL!$C$9, $D$9, 100%, $F$9) + CHOOSE(CONTROL!$C$27, 0.0021, 0)</f>
        <v>65.968999999999994</v>
      </c>
      <c r="K714" s="10">
        <f>65.9669 * CHOOSE(CONTROL!$C$9, $D$9, 100%, $F$9) + CHOOSE(CONTROL!$C$27, 0.0021, 0)</f>
        <v>65.968999999999994</v>
      </c>
      <c r="L714" s="10"/>
    </row>
    <row r="715" spans="1:12" ht="15.75" x14ac:dyDescent="0.25">
      <c r="A715" s="13">
        <v>63067</v>
      </c>
      <c r="B715" s="10">
        <f>66.7842 * CHOOSE(CONTROL!$C$9, $D$9, 100%, $F$9) + CHOOSE(CONTROL!$C$27, 0.0021, 0)</f>
        <v>66.786299999999997</v>
      </c>
      <c r="C715" s="10">
        <f>66.352 * CHOOSE(CONTROL!$C$9, $D$9, 100%, $F$9) + CHOOSE(CONTROL!$C$27, 0.0021, 0)</f>
        <v>66.354100000000003</v>
      </c>
      <c r="D715" s="10">
        <f>66.352 * CHOOSE(CONTROL!$C$9, $D$9, 100%, $F$9) + CHOOSE(CONTROL!$C$27, 0.0021, 0)</f>
        <v>66.354100000000003</v>
      </c>
      <c r="E715" s="10">
        <f>66.2153 * CHOOSE(CONTROL!$C$9, $D$9, 100%, $F$9) + CHOOSE(CONTROL!$C$27, 0.0021, 0)</f>
        <v>66.217399999999998</v>
      </c>
      <c r="F715" s="10">
        <f>66.2153 * CHOOSE(CONTROL!$C$9, $D$9, 100%, $F$9) + CHOOSE(CONTROL!$C$27, 0.0021, 0)</f>
        <v>66.217399999999998</v>
      </c>
      <c r="G715" s="10">
        <f>66.4867 * CHOOSE(CONTROL!$C$9, $D$9, 100%, $F$9) + CHOOSE(CONTROL!$C$27, 0.0021, 0)</f>
        <v>66.488799999999998</v>
      </c>
      <c r="H715" s="10">
        <f>66.352 * CHOOSE(CONTROL!$C$9, $D$9, 100%, $F$9) + CHOOSE(CONTROL!$C$27, 0.0021, 0)</f>
        <v>66.354100000000003</v>
      </c>
      <c r="I715" s="10">
        <f>66.352 * CHOOSE(CONTROL!$C$9, $D$9, 100%, $F$9) + CHOOSE(CONTROL!$C$27, 0.0021, 0)</f>
        <v>66.354100000000003</v>
      </c>
      <c r="J715" s="10">
        <f>66.352 * CHOOSE(CONTROL!$C$9, $D$9, 100%, $F$9) + CHOOSE(CONTROL!$C$27, 0.0021, 0)</f>
        <v>66.354100000000003</v>
      </c>
      <c r="K715" s="10">
        <f>66.352 * CHOOSE(CONTROL!$C$9, $D$9, 100%, $F$9) + CHOOSE(CONTROL!$C$27, 0.0021, 0)</f>
        <v>66.354100000000003</v>
      </c>
      <c r="L715" s="10"/>
    </row>
    <row r="716" spans="1:12" ht="15.75" x14ac:dyDescent="0.25">
      <c r="A716" s="13">
        <v>63097</v>
      </c>
      <c r="B716" s="10">
        <f>68.0956 * CHOOSE(CONTROL!$C$9, $D$9, 100%, $F$9) + CHOOSE(CONTROL!$C$27, 0.0021, 0)</f>
        <v>68.097700000000003</v>
      </c>
      <c r="C716" s="10">
        <f>67.6634 * CHOOSE(CONTROL!$C$9, $D$9, 100%, $F$9) + CHOOSE(CONTROL!$C$27, 0.0021, 0)</f>
        <v>67.665499999999994</v>
      </c>
      <c r="D716" s="10">
        <f>67.6634 * CHOOSE(CONTROL!$C$9, $D$9, 100%, $F$9) + CHOOSE(CONTROL!$C$27, 0.0021, 0)</f>
        <v>67.665499999999994</v>
      </c>
      <c r="E716" s="10">
        <f>67.5267 * CHOOSE(CONTROL!$C$9, $D$9, 100%, $F$9) + CHOOSE(CONTROL!$C$27, 0.0021, 0)</f>
        <v>67.528800000000004</v>
      </c>
      <c r="F716" s="10">
        <f>67.5267 * CHOOSE(CONTROL!$C$9, $D$9, 100%, $F$9) + CHOOSE(CONTROL!$C$27, 0.0021, 0)</f>
        <v>67.528800000000004</v>
      </c>
      <c r="G716" s="10">
        <f>67.7981 * CHOOSE(CONTROL!$C$9, $D$9, 100%, $F$9) + CHOOSE(CONTROL!$C$27, 0.0021, 0)</f>
        <v>67.800200000000004</v>
      </c>
      <c r="H716" s="10">
        <f>67.6634 * CHOOSE(CONTROL!$C$9, $D$9, 100%, $F$9) + CHOOSE(CONTROL!$C$27, 0.0021, 0)</f>
        <v>67.665499999999994</v>
      </c>
      <c r="I716" s="10">
        <f>67.6634 * CHOOSE(CONTROL!$C$9, $D$9, 100%, $F$9) + CHOOSE(CONTROL!$C$27, 0.0021, 0)</f>
        <v>67.665499999999994</v>
      </c>
      <c r="J716" s="10">
        <f>67.6634 * CHOOSE(CONTROL!$C$9, $D$9, 100%, $F$9) + CHOOSE(CONTROL!$C$27, 0.0021, 0)</f>
        <v>67.665499999999994</v>
      </c>
      <c r="K716" s="10">
        <f>67.6634 * CHOOSE(CONTROL!$C$9, $D$9, 100%, $F$9) + CHOOSE(CONTROL!$C$27, 0.0021, 0)</f>
        <v>67.665499999999994</v>
      </c>
      <c r="L716" s="10"/>
    </row>
    <row r="717" spans="1:12" ht="15.75" x14ac:dyDescent="0.25">
      <c r="A717" s="13">
        <v>63128</v>
      </c>
      <c r="B717" s="10">
        <f>69.7557 * CHOOSE(CONTROL!$C$9, $D$9, 100%, $F$9) + CHOOSE(CONTROL!$C$27, 0.0021, 0)</f>
        <v>69.757800000000003</v>
      </c>
      <c r="C717" s="10">
        <f>69.3235 * CHOOSE(CONTROL!$C$9, $D$9, 100%, $F$9) + CHOOSE(CONTROL!$C$27, 0.0021, 0)</f>
        <v>69.325599999999994</v>
      </c>
      <c r="D717" s="10">
        <f>69.3235 * CHOOSE(CONTROL!$C$9, $D$9, 100%, $F$9) + CHOOSE(CONTROL!$C$27, 0.0021, 0)</f>
        <v>69.325599999999994</v>
      </c>
      <c r="E717" s="10">
        <f>69.1868 * CHOOSE(CONTROL!$C$9, $D$9, 100%, $F$9) + CHOOSE(CONTROL!$C$27, 0.0021, 0)</f>
        <v>69.188900000000004</v>
      </c>
      <c r="F717" s="10">
        <f>69.1868 * CHOOSE(CONTROL!$C$9, $D$9, 100%, $F$9) + CHOOSE(CONTROL!$C$27, 0.0021, 0)</f>
        <v>69.188900000000004</v>
      </c>
      <c r="G717" s="10">
        <f>69.4582 * CHOOSE(CONTROL!$C$9, $D$9, 100%, $F$9) + CHOOSE(CONTROL!$C$27, 0.0021, 0)</f>
        <v>69.460300000000004</v>
      </c>
      <c r="H717" s="10">
        <f>69.3235 * CHOOSE(CONTROL!$C$9, $D$9, 100%, $F$9) + CHOOSE(CONTROL!$C$27, 0.0021, 0)</f>
        <v>69.325599999999994</v>
      </c>
      <c r="I717" s="10">
        <f>69.3235 * CHOOSE(CONTROL!$C$9, $D$9, 100%, $F$9) + CHOOSE(CONTROL!$C$27, 0.0021, 0)</f>
        <v>69.325599999999994</v>
      </c>
      <c r="J717" s="10">
        <f>69.3235 * CHOOSE(CONTROL!$C$9, $D$9, 100%, $F$9) + CHOOSE(CONTROL!$C$27, 0.0021, 0)</f>
        <v>69.325599999999994</v>
      </c>
      <c r="K717" s="10">
        <f>69.3235 * CHOOSE(CONTROL!$C$9, $D$9, 100%, $F$9) + CHOOSE(CONTROL!$C$27, 0.0021, 0)</f>
        <v>69.325599999999994</v>
      </c>
      <c r="L717" s="10"/>
    </row>
    <row r="718" spans="1:12" ht="15.75" x14ac:dyDescent="0.25">
      <c r="A718" s="13">
        <v>63158</v>
      </c>
      <c r="B718" s="10">
        <f>69.9115 * CHOOSE(CONTROL!$C$9, $D$9, 100%, $F$9) + CHOOSE(CONTROL!$C$27, 0.0021, 0)</f>
        <v>69.913600000000002</v>
      </c>
      <c r="C718" s="10">
        <f>69.4793 * CHOOSE(CONTROL!$C$9, $D$9, 100%, $F$9) + CHOOSE(CONTROL!$C$27, 0.0021, 0)</f>
        <v>69.481399999999994</v>
      </c>
      <c r="D718" s="10">
        <f>69.4793 * CHOOSE(CONTROL!$C$9, $D$9, 100%, $F$9) + CHOOSE(CONTROL!$C$27, 0.0021, 0)</f>
        <v>69.481399999999994</v>
      </c>
      <c r="E718" s="10">
        <f>69.3426 * CHOOSE(CONTROL!$C$9, $D$9, 100%, $F$9) + CHOOSE(CONTROL!$C$27, 0.0021, 0)</f>
        <v>69.344700000000003</v>
      </c>
      <c r="F718" s="10">
        <f>69.3426 * CHOOSE(CONTROL!$C$9, $D$9, 100%, $F$9) + CHOOSE(CONTROL!$C$27, 0.0021, 0)</f>
        <v>69.344700000000003</v>
      </c>
      <c r="G718" s="10">
        <f>69.614 * CHOOSE(CONTROL!$C$9, $D$9, 100%, $F$9) + CHOOSE(CONTROL!$C$27, 0.0021, 0)</f>
        <v>69.616100000000003</v>
      </c>
      <c r="H718" s="10">
        <f>69.4793 * CHOOSE(CONTROL!$C$9, $D$9, 100%, $F$9) + CHOOSE(CONTROL!$C$27, 0.0021, 0)</f>
        <v>69.481399999999994</v>
      </c>
      <c r="I718" s="10">
        <f>69.4793 * CHOOSE(CONTROL!$C$9, $D$9, 100%, $F$9) + CHOOSE(CONTROL!$C$27, 0.0021, 0)</f>
        <v>69.481399999999994</v>
      </c>
      <c r="J718" s="10">
        <f>69.4793 * CHOOSE(CONTROL!$C$9, $D$9, 100%, $F$9) + CHOOSE(CONTROL!$C$27, 0.0021, 0)</f>
        <v>69.481399999999994</v>
      </c>
      <c r="K718" s="10">
        <f>69.4793 * CHOOSE(CONTROL!$C$9, $D$9, 100%, $F$9) + CHOOSE(CONTROL!$C$27, 0.0021, 0)</f>
        <v>69.481399999999994</v>
      </c>
      <c r="L718" s="10"/>
    </row>
    <row r="719" spans="1:12" ht="15.75" x14ac:dyDescent="0.25">
      <c r="A719" s="13">
        <v>63189</v>
      </c>
      <c r="B719" s="10">
        <f>68.5857 * CHOOSE(CONTROL!$C$9, $D$9, 100%, $F$9) + CHOOSE(CONTROL!$C$27, 0.0021, 0)</f>
        <v>68.587800000000001</v>
      </c>
      <c r="C719" s="10">
        <f>68.1534 * CHOOSE(CONTROL!$C$9, $D$9, 100%, $F$9) + CHOOSE(CONTROL!$C$27, 0.0021, 0)</f>
        <v>68.155500000000004</v>
      </c>
      <c r="D719" s="10">
        <f>68.1534 * CHOOSE(CONTROL!$C$9, $D$9, 100%, $F$9) + CHOOSE(CONTROL!$C$27, 0.0021, 0)</f>
        <v>68.155500000000004</v>
      </c>
      <c r="E719" s="10">
        <f>68.0168 * CHOOSE(CONTROL!$C$9, $D$9, 100%, $F$9) + CHOOSE(CONTROL!$C$27, 0.0021, 0)</f>
        <v>68.018900000000002</v>
      </c>
      <c r="F719" s="10">
        <f>68.0168 * CHOOSE(CONTROL!$C$9, $D$9, 100%, $F$9) + CHOOSE(CONTROL!$C$27, 0.0021, 0)</f>
        <v>68.018900000000002</v>
      </c>
      <c r="G719" s="10">
        <f>68.2882 * CHOOSE(CONTROL!$C$9, $D$9, 100%, $F$9) + CHOOSE(CONTROL!$C$27, 0.0021, 0)</f>
        <v>68.290300000000002</v>
      </c>
      <c r="H719" s="10">
        <f>68.1534 * CHOOSE(CONTROL!$C$9, $D$9, 100%, $F$9) + CHOOSE(CONTROL!$C$27, 0.0021, 0)</f>
        <v>68.155500000000004</v>
      </c>
      <c r="I719" s="10">
        <f>68.1534 * CHOOSE(CONTROL!$C$9, $D$9, 100%, $F$9) + CHOOSE(CONTROL!$C$27, 0.0021, 0)</f>
        <v>68.155500000000004</v>
      </c>
      <c r="J719" s="10">
        <f>68.1534 * CHOOSE(CONTROL!$C$9, $D$9, 100%, $F$9) + CHOOSE(CONTROL!$C$27, 0.0021, 0)</f>
        <v>68.155500000000004</v>
      </c>
      <c r="K719" s="10">
        <f>68.1534 * CHOOSE(CONTROL!$C$9, $D$9, 100%, $F$9) + CHOOSE(CONTROL!$C$27, 0.0021, 0)</f>
        <v>68.155500000000004</v>
      </c>
      <c r="L719" s="10"/>
    </row>
    <row r="720" spans="1:12" ht="15.75" x14ac:dyDescent="0.25">
      <c r="A720" s="13">
        <v>63220</v>
      </c>
      <c r="B720" s="10">
        <f>67.5706 * CHOOSE(CONTROL!$C$9, $D$9, 100%, $F$9) + CHOOSE(CONTROL!$C$27, 0.0021, 0)</f>
        <v>67.572699999999998</v>
      </c>
      <c r="C720" s="10">
        <f>67.1383 * CHOOSE(CONTROL!$C$9, $D$9, 100%, $F$9) + CHOOSE(CONTROL!$C$27, 0.0021, 0)</f>
        <v>67.1404</v>
      </c>
      <c r="D720" s="10">
        <f>67.1383 * CHOOSE(CONTROL!$C$9, $D$9, 100%, $F$9) + CHOOSE(CONTROL!$C$27, 0.0021, 0)</f>
        <v>67.1404</v>
      </c>
      <c r="E720" s="10">
        <f>67.0017 * CHOOSE(CONTROL!$C$9, $D$9, 100%, $F$9) + CHOOSE(CONTROL!$C$27, 0.0021, 0)</f>
        <v>67.003799999999998</v>
      </c>
      <c r="F720" s="10">
        <f>67.0017 * CHOOSE(CONTROL!$C$9, $D$9, 100%, $F$9) + CHOOSE(CONTROL!$C$27, 0.0021, 0)</f>
        <v>67.003799999999998</v>
      </c>
      <c r="G720" s="10">
        <f>67.273 * CHOOSE(CONTROL!$C$9, $D$9, 100%, $F$9) + CHOOSE(CONTROL!$C$27, 0.0021, 0)</f>
        <v>67.275099999999995</v>
      </c>
      <c r="H720" s="10">
        <f>67.1383 * CHOOSE(CONTROL!$C$9, $D$9, 100%, $F$9) + CHOOSE(CONTROL!$C$27, 0.0021, 0)</f>
        <v>67.1404</v>
      </c>
      <c r="I720" s="10">
        <f>67.1383 * CHOOSE(CONTROL!$C$9, $D$9, 100%, $F$9) + CHOOSE(CONTROL!$C$27, 0.0021, 0)</f>
        <v>67.1404</v>
      </c>
      <c r="J720" s="10">
        <f>67.1383 * CHOOSE(CONTROL!$C$9, $D$9, 100%, $F$9) + CHOOSE(CONTROL!$C$27, 0.0021, 0)</f>
        <v>67.1404</v>
      </c>
      <c r="K720" s="10">
        <f>67.1383 * CHOOSE(CONTROL!$C$9, $D$9, 100%, $F$9) + CHOOSE(CONTROL!$C$27, 0.0021, 0)</f>
        <v>67.1404</v>
      </c>
      <c r="L720" s="10"/>
    </row>
    <row r="721" spans="1:12" ht="15.75" x14ac:dyDescent="0.25">
      <c r="A721" s="13">
        <v>63248</v>
      </c>
      <c r="B721" s="10">
        <f>65.7242 * CHOOSE(CONTROL!$C$9, $D$9, 100%, $F$9) + CHOOSE(CONTROL!$C$27, 0.0021, 0)</f>
        <v>65.726299999999995</v>
      </c>
      <c r="C721" s="10">
        <f>65.2919 * CHOOSE(CONTROL!$C$9, $D$9, 100%, $F$9) + CHOOSE(CONTROL!$C$27, 0.0021, 0)</f>
        <v>65.293999999999997</v>
      </c>
      <c r="D721" s="10">
        <f>65.2919 * CHOOSE(CONTROL!$C$9, $D$9, 100%, $F$9) + CHOOSE(CONTROL!$C$27, 0.0021, 0)</f>
        <v>65.293999999999997</v>
      </c>
      <c r="E721" s="10">
        <f>65.1552 * CHOOSE(CONTROL!$C$9, $D$9, 100%, $F$9) + CHOOSE(CONTROL!$C$27, 0.0021, 0)</f>
        <v>65.157299999999992</v>
      </c>
      <c r="F721" s="10">
        <f>65.1552 * CHOOSE(CONTROL!$C$9, $D$9, 100%, $F$9) + CHOOSE(CONTROL!$C$27, 0.0021, 0)</f>
        <v>65.157299999999992</v>
      </c>
      <c r="G721" s="10">
        <f>65.4266 * CHOOSE(CONTROL!$C$9, $D$9, 100%, $F$9) + CHOOSE(CONTROL!$C$27, 0.0021, 0)</f>
        <v>65.428699999999992</v>
      </c>
      <c r="H721" s="10">
        <f>65.2919 * CHOOSE(CONTROL!$C$9, $D$9, 100%, $F$9) + CHOOSE(CONTROL!$C$27, 0.0021, 0)</f>
        <v>65.293999999999997</v>
      </c>
      <c r="I721" s="10">
        <f>65.2919 * CHOOSE(CONTROL!$C$9, $D$9, 100%, $F$9) + CHOOSE(CONTROL!$C$27, 0.0021, 0)</f>
        <v>65.293999999999997</v>
      </c>
      <c r="J721" s="10">
        <f>65.2919 * CHOOSE(CONTROL!$C$9, $D$9, 100%, $F$9) + CHOOSE(CONTROL!$C$27, 0.0021, 0)</f>
        <v>65.293999999999997</v>
      </c>
      <c r="K721" s="10">
        <f>65.2919 * CHOOSE(CONTROL!$C$9, $D$9, 100%, $F$9) + CHOOSE(CONTROL!$C$27, 0.0021, 0)</f>
        <v>65.293999999999997</v>
      </c>
      <c r="L721" s="10"/>
    </row>
    <row r="722" spans="1:12" ht="15.75" x14ac:dyDescent="0.25">
      <c r="A722" s="13">
        <v>63279</v>
      </c>
      <c r="B722" s="10">
        <f>64.962 * CHOOSE(CONTROL!$C$9, $D$9, 100%, $F$9) + CHOOSE(CONTROL!$C$27, 0.0021, 0)</f>
        <v>64.964100000000002</v>
      </c>
      <c r="C722" s="10">
        <f>64.5297 * CHOOSE(CONTROL!$C$9, $D$9, 100%, $F$9) + CHOOSE(CONTROL!$C$27, 0.0021, 0)</f>
        <v>64.531800000000004</v>
      </c>
      <c r="D722" s="10">
        <f>64.5297 * CHOOSE(CONTROL!$C$9, $D$9, 100%, $F$9) + CHOOSE(CONTROL!$C$27, 0.0021, 0)</f>
        <v>64.531800000000004</v>
      </c>
      <c r="E722" s="10">
        <f>64.3931 * CHOOSE(CONTROL!$C$9, $D$9, 100%, $F$9) + CHOOSE(CONTROL!$C$27, 0.0021, 0)</f>
        <v>64.395200000000003</v>
      </c>
      <c r="F722" s="10">
        <f>64.3931 * CHOOSE(CONTROL!$C$9, $D$9, 100%, $F$9) + CHOOSE(CONTROL!$C$27, 0.0021, 0)</f>
        <v>64.395200000000003</v>
      </c>
      <c r="G722" s="10">
        <f>64.6644 * CHOOSE(CONTROL!$C$9, $D$9, 100%, $F$9) + CHOOSE(CONTROL!$C$27, 0.0021, 0)</f>
        <v>64.666499999999999</v>
      </c>
      <c r="H722" s="10">
        <f>64.5297 * CHOOSE(CONTROL!$C$9, $D$9, 100%, $F$9) + CHOOSE(CONTROL!$C$27, 0.0021, 0)</f>
        <v>64.531800000000004</v>
      </c>
      <c r="I722" s="10">
        <f>64.5297 * CHOOSE(CONTROL!$C$9, $D$9, 100%, $F$9) + CHOOSE(CONTROL!$C$27, 0.0021, 0)</f>
        <v>64.531800000000004</v>
      </c>
      <c r="J722" s="10">
        <f>64.5297 * CHOOSE(CONTROL!$C$9, $D$9, 100%, $F$9) + CHOOSE(CONTROL!$C$27, 0.0021, 0)</f>
        <v>64.531800000000004</v>
      </c>
      <c r="K722" s="10">
        <f>64.5297 * CHOOSE(CONTROL!$C$9, $D$9, 100%, $F$9) + CHOOSE(CONTROL!$C$27, 0.0021, 0)</f>
        <v>64.531800000000004</v>
      </c>
      <c r="L722" s="10"/>
    </row>
    <row r="723" spans="1:12" ht="15.75" x14ac:dyDescent="0.25">
      <c r="A723" s="13">
        <v>63309</v>
      </c>
      <c r="B723" s="10">
        <f>64.0519 * CHOOSE(CONTROL!$C$9, $D$9, 100%, $F$9) + CHOOSE(CONTROL!$C$27, 0.0021, 0)</f>
        <v>64.054000000000002</v>
      </c>
      <c r="C723" s="10">
        <f>63.6196 * CHOOSE(CONTROL!$C$9, $D$9, 100%, $F$9) + CHOOSE(CONTROL!$C$27, 0.0021, 0)</f>
        <v>63.621699999999997</v>
      </c>
      <c r="D723" s="10">
        <f>63.6196 * CHOOSE(CONTROL!$C$9, $D$9, 100%, $F$9) + CHOOSE(CONTROL!$C$27, 0.0021, 0)</f>
        <v>63.621699999999997</v>
      </c>
      <c r="E723" s="10">
        <f>63.483 * CHOOSE(CONTROL!$C$9, $D$9, 100%, $F$9) + CHOOSE(CONTROL!$C$27, 0.0021, 0)</f>
        <v>63.485099999999996</v>
      </c>
      <c r="F723" s="10">
        <f>63.483 * CHOOSE(CONTROL!$C$9, $D$9, 100%, $F$9) + CHOOSE(CONTROL!$C$27, 0.0021, 0)</f>
        <v>63.485099999999996</v>
      </c>
      <c r="G723" s="10">
        <f>63.7543 * CHOOSE(CONTROL!$C$9, $D$9, 100%, $F$9) + CHOOSE(CONTROL!$C$27, 0.0021, 0)</f>
        <v>63.756399999999999</v>
      </c>
      <c r="H723" s="10">
        <f>63.6196 * CHOOSE(CONTROL!$C$9, $D$9, 100%, $F$9) + CHOOSE(CONTROL!$C$27, 0.0021, 0)</f>
        <v>63.621699999999997</v>
      </c>
      <c r="I723" s="10">
        <f>63.6196 * CHOOSE(CONTROL!$C$9, $D$9, 100%, $F$9) + CHOOSE(CONTROL!$C$27, 0.0021, 0)</f>
        <v>63.621699999999997</v>
      </c>
      <c r="J723" s="10">
        <f>63.6196 * CHOOSE(CONTROL!$C$9, $D$9, 100%, $F$9) + CHOOSE(CONTROL!$C$27, 0.0021, 0)</f>
        <v>63.621699999999997</v>
      </c>
      <c r="K723" s="10">
        <f>63.6196 * CHOOSE(CONTROL!$C$9, $D$9, 100%, $F$9) + CHOOSE(CONTROL!$C$27, 0.0021, 0)</f>
        <v>63.621699999999997</v>
      </c>
      <c r="L723" s="10"/>
    </row>
    <row r="724" spans="1:12" ht="15.75" x14ac:dyDescent="0.25">
      <c r="A724" s="13">
        <v>63340</v>
      </c>
      <c r="B724" s="10">
        <f>65.3489 * CHOOSE(CONTROL!$C$9, $D$9, 100%, $F$9) + CHOOSE(CONTROL!$C$27, 0.0021, 0)</f>
        <v>65.350999999999999</v>
      </c>
      <c r="C724" s="10">
        <f>64.9166 * CHOOSE(CONTROL!$C$9, $D$9, 100%, $F$9) + CHOOSE(CONTROL!$C$27, 0.0021, 0)</f>
        <v>64.918700000000001</v>
      </c>
      <c r="D724" s="10">
        <f>64.9166 * CHOOSE(CONTROL!$C$9, $D$9, 100%, $F$9) + CHOOSE(CONTROL!$C$27, 0.0021, 0)</f>
        <v>64.918700000000001</v>
      </c>
      <c r="E724" s="10">
        <f>64.7799 * CHOOSE(CONTROL!$C$9, $D$9, 100%, $F$9) + CHOOSE(CONTROL!$C$27, 0.0021, 0)</f>
        <v>64.781999999999996</v>
      </c>
      <c r="F724" s="10">
        <f>64.7799 * CHOOSE(CONTROL!$C$9, $D$9, 100%, $F$9) + CHOOSE(CONTROL!$C$27, 0.0021, 0)</f>
        <v>64.781999999999996</v>
      </c>
      <c r="G724" s="10">
        <f>65.0513 * CHOOSE(CONTROL!$C$9, $D$9, 100%, $F$9) + CHOOSE(CONTROL!$C$27, 0.0021, 0)</f>
        <v>65.053399999999996</v>
      </c>
      <c r="H724" s="10">
        <f>64.9166 * CHOOSE(CONTROL!$C$9, $D$9, 100%, $F$9) + CHOOSE(CONTROL!$C$27, 0.0021, 0)</f>
        <v>64.918700000000001</v>
      </c>
      <c r="I724" s="10">
        <f>64.9166 * CHOOSE(CONTROL!$C$9, $D$9, 100%, $F$9) + CHOOSE(CONTROL!$C$27, 0.0021, 0)</f>
        <v>64.918700000000001</v>
      </c>
      <c r="J724" s="10">
        <f>64.9166 * CHOOSE(CONTROL!$C$9, $D$9, 100%, $F$9) + CHOOSE(CONTROL!$C$27, 0.0021, 0)</f>
        <v>64.918700000000001</v>
      </c>
      <c r="K724" s="10">
        <f>64.9166 * CHOOSE(CONTROL!$C$9, $D$9, 100%, $F$9) + CHOOSE(CONTROL!$C$27, 0.0021, 0)</f>
        <v>64.918700000000001</v>
      </c>
      <c r="L724" s="10"/>
    </row>
    <row r="725" spans="1:12" ht="15.75" x14ac:dyDescent="0.25">
      <c r="A725" s="13">
        <v>63370</v>
      </c>
      <c r="B725" s="10">
        <f>66.1257 * CHOOSE(CONTROL!$C$9, $D$9, 100%, $F$9) + CHOOSE(CONTROL!$C$27, 0.0021, 0)</f>
        <v>66.127799999999993</v>
      </c>
      <c r="C725" s="10">
        <f>65.6934 * CHOOSE(CONTROL!$C$9, $D$9, 100%, $F$9) + CHOOSE(CONTROL!$C$27, 0.0021, 0)</f>
        <v>65.695499999999996</v>
      </c>
      <c r="D725" s="10">
        <f>65.6934 * CHOOSE(CONTROL!$C$9, $D$9, 100%, $F$9) + CHOOSE(CONTROL!$C$27, 0.0021, 0)</f>
        <v>65.695499999999996</v>
      </c>
      <c r="E725" s="10">
        <f>65.5568 * CHOOSE(CONTROL!$C$9, $D$9, 100%, $F$9) + CHOOSE(CONTROL!$C$27, 0.0021, 0)</f>
        <v>65.558899999999994</v>
      </c>
      <c r="F725" s="10">
        <f>65.5568 * CHOOSE(CONTROL!$C$9, $D$9, 100%, $F$9) + CHOOSE(CONTROL!$C$27, 0.0021, 0)</f>
        <v>65.558899999999994</v>
      </c>
      <c r="G725" s="10">
        <f>65.8282 * CHOOSE(CONTROL!$C$9, $D$9, 100%, $F$9) + CHOOSE(CONTROL!$C$27, 0.0021, 0)</f>
        <v>65.830299999999994</v>
      </c>
      <c r="H725" s="10">
        <f>65.6934 * CHOOSE(CONTROL!$C$9, $D$9, 100%, $F$9) + CHOOSE(CONTROL!$C$27, 0.0021, 0)</f>
        <v>65.695499999999996</v>
      </c>
      <c r="I725" s="10">
        <f>65.6934 * CHOOSE(CONTROL!$C$9, $D$9, 100%, $F$9) + CHOOSE(CONTROL!$C$27, 0.0021, 0)</f>
        <v>65.695499999999996</v>
      </c>
      <c r="J725" s="10">
        <f>65.6934 * CHOOSE(CONTROL!$C$9, $D$9, 100%, $F$9) + CHOOSE(CONTROL!$C$27, 0.0021, 0)</f>
        <v>65.695499999999996</v>
      </c>
      <c r="K725" s="10">
        <f>65.6934 * CHOOSE(CONTROL!$C$9, $D$9, 100%, $F$9) + CHOOSE(CONTROL!$C$27, 0.0021, 0)</f>
        <v>65.695499999999996</v>
      </c>
      <c r="L725" s="10"/>
    </row>
    <row r="726" spans="1:12" ht="15.75" x14ac:dyDescent="0.25">
      <c r="A726" s="13">
        <v>63401</v>
      </c>
      <c r="B726" s="10">
        <f>67.4072 * CHOOSE(CONTROL!$C$9, $D$9, 100%, $F$9) + CHOOSE(CONTROL!$C$27, 0.0021, 0)</f>
        <v>67.409300000000002</v>
      </c>
      <c r="C726" s="10">
        <f>66.9749 * CHOOSE(CONTROL!$C$9, $D$9, 100%, $F$9) + CHOOSE(CONTROL!$C$27, 0.0021, 0)</f>
        <v>66.977000000000004</v>
      </c>
      <c r="D726" s="10">
        <f>66.9749 * CHOOSE(CONTROL!$C$9, $D$9, 100%, $F$9) + CHOOSE(CONTROL!$C$27, 0.0021, 0)</f>
        <v>66.977000000000004</v>
      </c>
      <c r="E726" s="10">
        <f>66.8383 * CHOOSE(CONTROL!$C$9, $D$9, 100%, $F$9) + CHOOSE(CONTROL!$C$27, 0.0021, 0)</f>
        <v>66.840400000000002</v>
      </c>
      <c r="F726" s="10">
        <f>66.8383 * CHOOSE(CONTROL!$C$9, $D$9, 100%, $F$9) + CHOOSE(CONTROL!$C$27, 0.0021, 0)</f>
        <v>66.840400000000002</v>
      </c>
      <c r="G726" s="10">
        <f>67.1097 * CHOOSE(CONTROL!$C$9, $D$9, 100%, $F$9) + CHOOSE(CONTROL!$C$27, 0.0021, 0)</f>
        <v>67.111800000000002</v>
      </c>
      <c r="H726" s="10">
        <f>66.9749 * CHOOSE(CONTROL!$C$9, $D$9, 100%, $F$9) + CHOOSE(CONTROL!$C$27, 0.0021, 0)</f>
        <v>66.977000000000004</v>
      </c>
      <c r="I726" s="10">
        <f>66.9749 * CHOOSE(CONTROL!$C$9, $D$9, 100%, $F$9) + CHOOSE(CONTROL!$C$27, 0.0021, 0)</f>
        <v>66.977000000000004</v>
      </c>
      <c r="J726" s="10">
        <f>66.9749 * CHOOSE(CONTROL!$C$9, $D$9, 100%, $F$9) + CHOOSE(CONTROL!$C$27, 0.0021, 0)</f>
        <v>66.977000000000004</v>
      </c>
      <c r="K726" s="10">
        <f>66.9749 * CHOOSE(CONTROL!$C$9, $D$9, 100%, $F$9) + CHOOSE(CONTROL!$C$27, 0.0021, 0)</f>
        <v>66.977000000000004</v>
      </c>
      <c r="L726" s="10"/>
    </row>
    <row r="727" spans="1:12" ht="15.75" x14ac:dyDescent="0.25">
      <c r="A727" s="13">
        <v>63432</v>
      </c>
      <c r="B727" s="10">
        <f>67.7983 * CHOOSE(CONTROL!$C$9, $D$9, 100%, $F$9) + CHOOSE(CONTROL!$C$27, 0.0021, 0)</f>
        <v>67.800399999999996</v>
      </c>
      <c r="C727" s="10">
        <f>67.3661 * CHOOSE(CONTROL!$C$9, $D$9, 100%, $F$9) + CHOOSE(CONTROL!$C$27, 0.0021, 0)</f>
        <v>67.368200000000002</v>
      </c>
      <c r="D727" s="10">
        <f>67.3661 * CHOOSE(CONTROL!$C$9, $D$9, 100%, $F$9) + CHOOSE(CONTROL!$C$27, 0.0021, 0)</f>
        <v>67.368200000000002</v>
      </c>
      <c r="E727" s="10">
        <f>67.2294 * CHOOSE(CONTROL!$C$9, $D$9, 100%, $F$9) + CHOOSE(CONTROL!$C$27, 0.0021, 0)</f>
        <v>67.231499999999997</v>
      </c>
      <c r="F727" s="10">
        <f>67.2294 * CHOOSE(CONTROL!$C$9, $D$9, 100%, $F$9) + CHOOSE(CONTROL!$C$27, 0.0021, 0)</f>
        <v>67.231499999999997</v>
      </c>
      <c r="G727" s="10">
        <f>67.5008 * CHOOSE(CONTROL!$C$9, $D$9, 100%, $F$9) + CHOOSE(CONTROL!$C$27, 0.0021, 0)</f>
        <v>67.502899999999997</v>
      </c>
      <c r="H727" s="10">
        <f>67.3661 * CHOOSE(CONTROL!$C$9, $D$9, 100%, $F$9) + CHOOSE(CONTROL!$C$27, 0.0021, 0)</f>
        <v>67.368200000000002</v>
      </c>
      <c r="I727" s="10">
        <f>67.3661 * CHOOSE(CONTROL!$C$9, $D$9, 100%, $F$9) + CHOOSE(CONTROL!$C$27, 0.0021, 0)</f>
        <v>67.368200000000002</v>
      </c>
      <c r="J727" s="10">
        <f>67.3661 * CHOOSE(CONTROL!$C$9, $D$9, 100%, $F$9) + CHOOSE(CONTROL!$C$27, 0.0021, 0)</f>
        <v>67.368200000000002</v>
      </c>
      <c r="K727" s="10">
        <f>67.3661 * CHOOSE(CONTROL!$C$9, $D$9, 100%, $F$9) + CHOOSE(CONTROL!$C$27, 0.0021, 0)</f>
        <v>67.368200000000002</v>
      </c>
      <c r="L727" s="10"/>
    </row>
    <row r="728" spans="1:12" ht="15.75" x14ac:dyDescent="0.25">
      <c r="A728" s="13">
        <v>63462</v>
      </c>
      <c r="B728" s="10">
        <f>69.1304 * CHOOSE(CONTROL!$C$9, $D$9, 100%, $F$9) + CHOOSE(CONTROL!$C$27, 0.0021, 0)</f>
        <v>69.132499999999993</v>
      </c>
      <c r="C728" s="10">
        <f>68.6982 * CHOOSE(CONTROL!$C$9, $D$9, 100%, $F$9) + CHOOSE(CONTROL!$C$27, 0.0021, 0)</f>
        <v>68.700299999999999</v>
      </c>
      <c r="D728" s="10">
        <f>68.6982 * CHOOSE(CONTROL!$C$9, $D$9, 100%, $F$9) + CHOOSE(CONTROL!$C$27, 0.0021, 0)</f>
        <v>68.700299999999999</v>
      </c>
      <c r="E728" s="10">
        <f>68.5615 * CHOOSE(CONTROL!$C$9, $D$9, 100%, $F$9) + CHOOSE(CONTROL!$C$27, 0.0021, 0)</f>
        <v>68.563599999999994</v>
      </c>
      <c r="F728" s="10">
        <f>68.5615 * CHOOSE(CONTROL!$C$9, $D$9, 100%, $F$9) + CHOOSE(CONTROL!$C$27, 0.0021, 0)</f>
        <v>68.563599999999994</v>
      </c>
      <c r="G728" s="10">
        <f>68.8329 * CHOOSE(CONTROL!$C$9, $D$9, 100%, $F$9) + CHOOSE(CONTROL!$C$27, 0.0021, 0)</f>
        <v>68.834999999999994</v>
      </c>
      <c r="H728" s="10">
        <f>68.6982 * CHOOSE(CONTROL!$C$9, $D$9, 100%, $F$9) + CHOOSE(CONTROL!$C$27, 0.0021, 0)</f>
        <v>68.700299999999999</v>
      </c>
      <c r="I728" s="10">
        <f>68.6982 * CHOOSE(CONTROL!$C$9, $D$9, 100%, $F$9) + CHOOSE(CONTROL!$C$27, 0.0021, 0)</f>
        <v>68.700299999999999</v>
      </c>
      <c r="J728" s="10">
        <f>68.6982 * CHOOSE(CONTROL!$C$9, $D$9, 100%, $F$9) + CHOOSE(CONTROL!$C$27, 0.0021, 0)</f>
        <v>68.700299999999999</v>
      </c>
      <c r="K728" s="10">
        <f>68.6982 * CHOOSE(CONTROL!$C$9, $D$9, 100%, $F$9) + CHOOSE(CONTROL!$C$27, 0.0021, 0)</f>
        <v>68.700299999999999</v>
      </c>
      <c r="L728" s="10"/>
    </row>
    <row r="729" spans="1:12" ht="15.75" x14ac:dyDescent="0.25">
      <c r="A729" s="13">
        <v>63493</v>
      </c>
      <c r="B729" s="10">
        <f>70.8166 * CHOOSE(CONTROL!$C$9, $D$9, 100%, $F$9) + CHOOSE(CONTROL!$C$27, 0.0021, 0)</f>
        <v>70.818699999999993</v>
      </c>
      <c r="C729" s="10">
        <f>70.3843 * CHOOSE(CONTROL!$C$9, $D$9, 100%, $F$9) + CHOOSE(CONTROL!$C$27, 0.0021, 0)</f>
        <v>70.386399999999995</v>
      </c>
      <c r="D729" s="10">
        <f>70.3843 * CHOOSE(CONTROL!$C$9, $D$9, 100%, $F$9) + CHOOSE(CONTROL!$C$27, 0.0021, 0)</f>
        <v>70.386399999999995</v>
      </c>
      <c r="E729" s="10">
        <f>70.2477 * CHOOSE(CONTROL!$C$9, $D$9, 100%, $F$9) + CHOOSE(CONTROL!$C$27, 0.0021, 0)</f>
        <v>70.249799999999993</v>
      </c>
      <c r="F729" s="10">
        <f>70.2477 * CHOOSE(CONTROL!$C$9, $D$9, 100%, $F$9) + CHOOSE(CONTROL!$C$27, 0.0021, 0)</f>
        <v>70.249799999999993</v>
      </c>
      <c r="G729" s="10">
        <f>70.519 * CHOOSE(CONTROL!$C$9, $D$9, 100%, $F$9) + CHOOSE(CONTROL!$C$27, 0.0021, 0)</f>
        <v>70.521100000000004</v>
      </c>
      <c r="H729" s="10">
        <f>70.3843 * CHOOSE(CONTROL!$C$9, $D$9, 100%, $F$9) + CHOOSE(CONTROL!$C$27, 0.0021, 0)</f>
        <v>70.386399999999995</v>
      </c>
      <c r="I729" s="10">
        <f>70.3843 * CHOOSE(CONTROL!$C$9, $D$9, 100%, $F$9) + CHOOSE(CONTROL!$C$27, 0.0021, 0)</f>
        <v>70.386399999999995</v>
      </c>
      <c r="J729" s="10">
        <f>70.3843 * CHOOSE(CONTROL!$C$9, $D$9, 100%, $F$9) + CHOOSE(CONTROL!$C$27, 0.0021, 0)</f>
        <v>70.386399999999995</v>
      </c>
      <c r="K729" s="10">
        <f>70.3843 * CHOOSE(CONTROL!$C$9, $D$9, 100%, $F$9) + CHOOSE(CONTROL!$C$27, 0.0021, 0)</f>
        <v>70.386399999999995</v>
      </c>
      <c r="L729" s="10"/>
    </row>
    <row r="730" spans="1:12" ht="15.75" x14ac:dyDescent="0.25">
      <c r="A730" s="13">
        <v>63523</v>
      </c>
      <c r="B730" s="10">
        <f>70.9749 * CHOOSE(CONTROL!$C$9, $D$9, 100%, $F$9) + CHOOSE(CONTROL!$C$27, 0.0021, 0)</f>
        <v>70.977000000000004</v>
      </c>
      <c r="C730" s="10">
        <f>70.5426 * CHOOSE(CONTROL!$C$9, $D$9, 100%, $F$9) + CHOOSE(CONTROL!$C$27, 0.0021, 0)</f>
        <v>70.544699999999992</v>
      </c>
      <c r="D730" s="10">
        <f>70.5426 * CHOOSE(CONTROL!$C$9, $D$9, 100%, $F$9) + CHOOSE(CONTROL!$C$27, 0.0021, 0)</f>
        <v>70.544699999999992</v>
      </c>
      <c r="E730" s="10">
        <f>70.4059 * CHOOSE(CONTROL!$C$9, $D$9, 100%, $F$9) + CHOOSE(CONTROL!$C$27, 0.0021, 0)</f>
        <v>70.408000000000001</v>
      </c>
      <c r="F730" s="10">
        <f>70.4059 * CHOOSE(CONTROL!$C$9, $D$9, 100%, $F$9) + CHOOSE(CONTROL!$C$27, 0.0021, 0)</f>
        <v>70.408000000000001</v>
      </c>
      <c r="G730" s="10">
        <f>70.6773 * CHOOSE(CONTROL!$C$9, $D$9, 100%, $F$9) + CHOOSE(CONTROL!$C$27, 0.0021, 0)</f>
        <v>70.679400000000001</v>
      </c>
      <c r="H730" s="10">
        <f>70.5426 * CHOOSE(CONTROL!$C$9, $D$9, 100%, $F$9) + CHOOSE(CONTROL!$C$27, 0.0021, 0)</f>
        <v>70.544699999999992</v>
      </c>
      <c r="I730" s="10">
        <f>70.5426 * CHOOSE(CONTROL!$C$9, $D$9, 100%, $F$9) + CHOOSE(CONTROL!$C$27, 0.0021, 0)</f>
        <v>70.544699999999992</v>
      </c>
      <c r="J730" s="10">
        <f>70.5426 * CHOOSE(CONTROL!$C$9, $D$9, 100%, $F$9) + CHOOSE(CONTROL!$C$27, 0.0021, 0)</f>
        <v>70.544699999999992</v>
      </c>
      <c r="K730" s="10">
        <f>70.5426 * CHOOSE(CONTROL!$C$9, $D$9, 100%, $F$9) + CHOOSE(CONTROL!$C$27, 0.0021, 0)</f>
        <v>70.544699999999992</v>
      </c>
      <c r="L730" s="10"/>
    </row>
    <row r="731" spans="1:12" ht="15.75" x14ac:dyDescent="0.25">
      <c r="A731" s="13">
        <v>63554</v>
      </c>
      <c r="B731" s="10">
        <f>69.6282 * CHOOSE(CONTROL!$C$9, $D$9, 100%, $F$9) + CHOOSE(CONTROL!$C$27, 0.0021, 0)</f>
        <v>69.630300000000005</v>
      </c>
      <c r="C731" s="10">
        <f>69.1959 * CHOOSE(CONTROL!$C$9, $D$9, 100%, $F$9) + CHOOSE(CONTROL!$C$27, 0.0021, 0)</f>
        <v>69.197999999999993</v>
      </c>
      <c r="D731" s="10">
        <f>69.1959 * CHOOSE(CONTROL!$C$9, $D$9, 100%, $F$9) + CHOOSE(CONTROL!$C$27, 0.0021, 0)</f>
        <v>69.197999999999993</v>
      </c>
      <c r="E731" s="10">
        <f>69.0592 * CHOOSE(CONTROL!$C$9, $D$9, 100%, $F$9) + CHOOSE(CONTROL!$C$27, 0.0021, 0)</f>
        <v>69.061300000000003</v>
      </c>
      <c r="F731" s="10">
        <f>69.0592 * CHOOSE(CONTROL!$C$9, $D$9, 100%, $F$9) + CHOOSE(CONTROL!$C$27, 0.0021, 0)</f>
        <v>69.061300000000003</v>
      </c>
      <c r="G731" s="10">
        <f>69.3306 * CHOOSE(CONTROL!$C$9, $D$9, 100%, $F$9) + CHOOSE(CONTROL!$C$27, 0.0021, 0)</f>
        <v>69.332700000000003</v>
      </c>
      <c r="H731" s="10">
        <f>69.1959 * CHOOSE(CONTROL!$C$9, $D$9, 100%, $F$9) + CHOOSE(CONTROL!$C$27, 0.0021, 0)</f>
        <v>69.197999999999993</v>
      </c>
      <c r="I731" s="10">
        <f>69.1959 * CHOOSE(CONTROL!$C$9, $D$9, 100%, $F$9) + CHOOSE(CONTROL!$C$27, 0.0021, 0)</f>
        <v>69.197999999999993</v>
      </c>
      <c r="J731" s="10">
        <f>69.1959 * CHOOSE(CONTROL!$C$9, $D$9, 100%, $F$9) + CHOOSE(CONTROL!$C$27, 0.0021, 0)</f>
        <v>69.197999999999993</v>
      </c>
      <c r="K731" s="10">
        <f>69.1959 * CHOOSE(CONTROL!$C$9, $D$9, 100%, $F$9) + CHOOSE(CONTROL!$C$27, 0.0021, 0)</f>
        <v>69.197999999999993</v>
      </c>
      <c r="L731" s="10"/>
    </row>
    <row r="732" spans="1:12" ht="15.75" x14ac:dyDescent="0.25">
      <c r="A732" s="13">
        <v>63585</v>
      </c>
      <c r="B732" s="10">
        <f>68.5971 * CHOOSE(CONTROL!$C$9, $D$9, 100%, $F$9) + CHOOSE(CONTROL!$C$27, 0.0021, 0)</f>
        <v>68.599199999999996</v>
      </c>
      <c r="C732" s="10">
        <f>68.1648 * CHOOSE(CONTROL!$C$9, $D$9, 100%, $F$9) + CHOOSE(CONTROL!$C$27, 0.0021, 0)</f>
        <v>68.166899999999998</v>
      </c>
      <c r="D732" s="10">
        <f>68.1648 * CHOOSE(CONTROL!$C$9, $D$9, 100%, $F$9) + CHOOSE(CONTROL!$C$27, 0.0021, 0)</f>
        <v>68.166899999999998</v>
      </c>
      <c r="E732" s="10">
        <f>68.0282 * CHOOSE(CONTROL!$C$9, $D$9, 100%, $F$9) + CHOOSE(CONTROL!$C$27, 0.0021, 0)</f>
        <v>68.030299999999997</v>
      </c>
      <c r="F732" s="10">
        <f>68.0282 * CHOOSE(CONTROL!$C$9, $D$9, 100%, $F$9) + CHOOSE(CONTROL!$C$27, 0.0021, 0)</f>
        <v>68.030299999999997</v>
      </c>
      <c r="G732" s="10">
        <f>68.2995 * CHOOSE(CONTROL!$C$9, $D$9, 100%, $F$9) + CHOOSE(CONTROL!$C$27, 0.0021, 0)</f>
        <v>68.301599999999993</v>
      </c>
      <c r="H732" s="10">
        <f>68.1648 * CHOOSE(CONTROL!$C$9, $D$9, 100%, $F$9) + CHOOSE(CONTROL!$C$27, 0.0021, 0)</f>
        <v>68.166899999999998</v>
      </c>
      <c r="I732" s="10">
        <f>68.1648 * CHOOSE(CONTROL!$C$9, $D$9, 100%, $F$9) + CHOOSE(CONTROL!$C$27, 0.0021, 0)</f>
        <v>68.166899999999998</v>
      </c>
      <c r="J732" s="10">
        <f>68.1648 * CHOOSE(CONTROL!$C$9, $D$9, 100%, $F$9) + CHOOSE(CONTROL!$C$27, 0.0021, 0)</f>
        <v>68.166899999999998</v>
      </c>
      <c r="K732" s="10">
        <f>68.1648 * CHOOSE(CONTROL!$C$9, $D$9, 100%, $F$9) + CHOOSE(CONTROL!$C$27, 0.0021, 0)</f>
        <v>68.166899999999998</v>
      </c>
      <c r="L732" s="10"/>
    </row>
    <row r="733" spans="1:12" ht="15.75" x14ac:dyDescent="0.25">
      <c r="A733" s="13">
        <v>63613</v>
      </c>
      <c r="B733" s="10">
        <f>66.7216 * CHOOSE(CONTROL!$C$9, $D$9, 100%, $F$9) + CHOOSE(CONTROL!$C$27, 0.0021, 0)</f>
        <v>66.723699999999994</v>
      </c>
      <c r="C733" s="10">
        <f>66.2894 * CHOOSE(CONTROL!$C$9, $D$9, 100%, $F$9) + CHOOSE(CONTROL!$C$27, 0.0021, 0)</f>
        <v>66.291499999999999</v>
      </c>
      <c r="D733" s="10">
        <f>66.2894 * CHOOSE(CONTROL!$C$9, $D$9, 100%, $F$9) + CHOOSE(CONTROL!$C$27, 0.0021, 0)</f>
        <v>66.291499999999999</v>
      </c>
      <c r="E733" s="10">
        <f>66.1527 * CHOOSE(CONTROL!$C$9, $D$9, 100%, $F$9) + CHOOSE(CONTROL!$C$27, 0.0021, 0)</f>
        <v>66.154799999999994</v>
      </c>
      <c r="F733" s="10">
        <f>66.1527 * CHOOSE(CONTROL!$C$9, $D$9, 100%, $F$9) + CHOOSE(CONTROL!$C$27, 0.0021, 0)</f>
        <v>66.154799999999994</v>
      </c>
      <c r="G733" s="10">
        <f>66.4241 * CHOOSE(CONTROL!$C$9, $D$9, 100%, $F$9) + CHOOSE(CONTROL!$C$27, 0.0021, 0)</f>
        <v>66.426199999999994</v>
      </c>
      <c r="H733" s="10">
        <f>66.2894 * CHOOSE(CONTROL!$C$9, $D$9, 100%, $F$9) + CHOOSE(CONTROL!$C$27, 0.0021, 0)</f>
        <v>66.291499999999999</v>
      </c>
      <c r="I733" s="10">
        <f>66.2894 * CHOOSE(CONTROL!$C$9, $D$9, 100%, $F$9) + CHOOSE(CONTROL!$C$27, 0.0021, 0)</f>
        <v>66.291499999999999</v>
      </c>
      <c r="J733" s="10">
        <f>66.2894 * CHOOSE(CONTROL!$C$9, $D$9, 100%, $F$9) + CHOOSE(CONTROL!$C$27, 0.0021, 0)</f>
        <v>66.291499999999999</v>
      </c>
      <c r="K733" s="10">
        <f>66.2894 * CHOOSE(CONTROL!$C$9, $D$9, 100%, $F$9) + CHOOSE(CONTROL!$C$27, 0.0021, 0)</f>
        <v>66.291499999999999</v>
      </c>
      <c r="L733" s="10"/>
    </row>
    <row r="734" spans="1:12" ht="15.75" x14ac:dyDescent="0.25">
      <c r="A734" s="13">
        <v>63644</v>
      </c>
      <c r="B734" s="10">
        <f>65.9474 * CHOOSE(CONTROL!$C$9, $D$9, 100%, $F$9) + CHOOSE(CONTROL!$C$27, 0.0021, 0)</f>
        <v>65.9495</v>
      </c>
      <c r="C734" s="10">
        <f>65.5152 * CHOOSE(CONTROL!$C$9, $D$9, 100%, $F$9) + CHOOSE(CONTROL!$C$27, 0.0021, 0)</f>
        <v>65.517299999999992</v>
      </c>
      <c r="D734" s="10">
        <f>65.5152 * CHOOSE(CONTROL!$C$9, $D$9, 100%, $F$9) + CHOOSE(CONTROL!$C$27, 0.0021, 0)</f>
        <v>65.517299999999992</v>
      </c>
      <c r="E734" s="10">
        <f>65.3785 * CHOOSE(CONTROL!$C$9, $D$9, 100%, $F$9) + CHOOSE(CONTROL!$C$27, 0.0021, 0)</f>
        <v>65.380600000000001</v>
      </c>
      <c r="F734" s="10">
        <f>65.3785 * CHOOSE(CONTROL!$C$9, $D$9, 100%, $F$9) + CHOOSE(CONTROL!$C$27, 0.0021, 0)</f>
        <v>65.380600000000001</v>
      </c>
      <c r="G734" s="10">
        <f>65.6499 * CHOOSE(CONTROL!$C$9, $D$9, 100%, $F$9) + CHOOSE(CONTROL!$C$27, 0.0021, 0)</f>
        <v>65.652000000000001</v>
      </c>
      <c r="H734" s="10">
        <f>65.5152 * CHOOSE(CONTROL!$C$9, $D$9, 100%, $F$9) + CHOOSE(CONTROL!$C$27, 0.0021, 0)</f>
        <v>65.517299999999992</v>
      </c>
      <c r="I734" s="10">
        <f>65.5152 * CHOOSE(CONTROL!$C$9, $D$9, 100%, $F$9) + CHOOSE(CONTROL!$C$27, 0.0021, 0)</f>
        <v>65.517299999999992</v>
      </c>
      <c r="J734" s="10">
        <f>65.5152 * CHOOSE(CONTROL!$C$9, $D$9, 100%, $F$9) + CHOOSE(CONTROL!$C$27, 0.0021, 0)</f>
        <v>65.517299999999992</v>
      </c>
      <c r="K734" s="10">
        <f>65.5152 * CHOOSE(CONTROL!$C$9, $D$9, 100%, $F$9) + CHOOSE(CONTROL!$C$27, 0.0021, 0)</f>
        <v>65.517299999999992</v>
      </c>
      <c r="L734" s="10"/>
    </row>
    <row r="735" spans="1:12" ht="15.75" x14ac:dyDescent="0.25">
      <c r="A735" s="13">
        <v>63674</v>
      </c>
      <c r="B735" s="10">
        <f>65.023 * CHOOSE(CONTROL!$C$9, $D$9, 100%, $F$9) + CHOOSE(CONTROL!$C$27, 0.0021, 0)</f>
        <v>65.025099999999995</v>
      </c>
      <c r="C735" s="10">
        <f>64.5908 * CHOOSE(CONTROL!$C$9, $D$9, 100%, $F$9) + CHOOSE(CONTROL!$C$27, 0.0021, 0)</f>
        <v>64.5929</v>
      </c>
      <c r="D735" s="10">
        <f>64.5908 * CHOOSE(CONTROL!$C$9, $D$9, 100%, $F$9) + CHOOSE(CONTROL!$C$27, 0.0021, 0)</f>
        <v>64.5929</v>
      </c>
      <c r="E735" s="10">
        <f>64.4541 * CHOOSE(CONTROL!$C$9, $D$9, 100%, $F$9) + CHOOSE(CONTROL!$C$27, 0.0021, 0)</f>
        <v>64.456199999999995</v>
      </c>
      <c r="F735" s="10">
        <f>64.4541 * CHOOSE(CONTROL!$C$9, $D$9, 100%, $F$9) + CHOOSE(CONTROL!$C$27, 0.0021, 0)</f>
        <v>64.456199999999995</v>
      </c>
      <c r="G735" s="10">
        <f>64.7255 * CHOOSE(CONTROL!$C$9, $D$9, 100%, $F$9) + CHOOSE(CONTROL!$C$27, 0.0021, 0)</f>
        <v>64.727599999999995</v>
      </c>
      <c r="H735" s="10">
        <f>64.5908 * CHOOSE(CONTROL!$C$9, $D$9, 100%, $F$9) + CHOOSE(CONTROL!$C$27, 0.0021, 0)</f>
        <v>64.5929</v>
      </c>
      <c r="I735" s="10">
        <f>64.5908 * CHOOSE(CONTROL!$C$9, $D$9, 100%, $F$9) + CHOOSE(CONTROL!$C$27, 0.0021, 0)</f>
        <v>64.5929</v>
      </c>
      <c r="J735" s="10">
        <f>64.5908 * CHOOSE(CONTROL!$C$9, $D$9, 100%, $F$9) + CHOOSE(CONTROL!$C$27, 0.0021, 0)</f>
        <v>64.5929</v>
      </c>
      <c r="K735" s="10">
        <f>64.5908 * CHOOSE(CONTROL!$C$9, $D$9, 100%, $F$9) + CHOOSE(CONTROL!$C$27, 0.0021, 0)</f>
        <v>64.5929</v>
      </c>
      <c r="L735" s="10"/>
    </row>
    <row r="736" spans="1:12" ht="15.75" x14ac:dyDescent="0.25">
      <c r="A736" s="13">
        <v>63705</v>
      </c>
      <c r="B736" s="10">
        <f>66.3404 * CHOOSE(CONTROL!$C$9, $D$9, 100%, $F$9) + CHOOSE(CONTROL!$C$27, 0.0021, 0)</f>
        <v>66.342500000000001</v>
      </c>
      <c r="C736" s="10">
        <f>65.9082 * CHOOSE(CONTROL!$C$9, $D$9, 100%, $F$9) + CHOOSE(CONTROL!$C$27, 0.0021, 0)</f>
        <v>65.910299999999992</v>
      </c>
      <c r="D736" s="10">
        <f>65.9082 * CHOOSE(CONTROL!$C$9, $D$9, 100%, $F$9) + CHOOSE(CONTROL!$C$27, 0.0021, 0)</f>
        <v>65.910299999999992</v>
      </c>
      <c r="E736" s="10">
        <f>65.7715 * CHOOSE(CONTROL!$C$9, $D$9, 100%, $F$9) + CHOOSE(CONTROL!$C$27, 0.0021, 0)</f>
        <v>65.773600000000002</v>
      </c>
      <c r="F736" s="10">
        <f>65.7715 * CHOOSE(CONTROL!$C$9, $D$9, 100%, $F$9) + CHOOSE(CONTROL!$C$27, 0.0021, 0)</f>
        <v>65.773600000000002</v>
      </c>
      <c r="G736" s="10">
        <f>66.0429 * CHOOSE(CONTROL!$C$9, $D$9, 100%, $F$9) + CHOOSE(CONTROL!$C$27, 0.0021, 0)</f>
        <v>66.045000000000002</v>
      </c>
      <c r="H736" s="10">
        <f>65.9082 * CHOOSE(CONTROL!$C$9, $D$9, 100%, $F$9) + CHOOSE(CONTROL!$C$27, 0.0021, 0)</f>
        <v>65.910299999999992</v>
      </c>
      <c r="I736" s="10">
        <f>65.9082 * CHOOSE(CONTROL!$C$9, $D$9, 100%, $F$9) + CHOOSE(CONTROL!$C$27, 0.0021, 0)</f>
        <v>65.910299999999992</v>
      </c>
      <c r="J736" s="10">
        <f>65.9082 * CHOOSE(CONTROL!$C$9, $D$9, 100%, $F$9) + CHOOSE(CONTROL!$C$27, 0.0021, 0)</f>
        <v>65.910299999999992</v>
      </c>
      <c r="K736" s="10">
        <f>65.9082 * CHOOSE(CONTROL!$C$9, $D$9, 100%, $F$9) + CHOOSE(CONTROL!$C$27, 0.0021, 0)</f>
        <v>65.910299999999992</v>
      </c>
      <c r="L736" s="10"/>
    </row>
    <row r="737" spans="1:12" ht="15.75" x14ac:dyDescent="0.25">
      <c r="A737" s="13">
        <v>63735</v>
      </c>
      <c r="B737" s="10">
        <f>67.1295 * CHOOSE(CONTROL!$C$9, $D$9, 100%, $F$9) + CHOOSE(CONTROL!$C$27, 0.0021, 0)</f>
        <v>67.131599999999992</v>
      </c>
      <c r="C737" s="10">
        <f>66.6972 * CHOOSE(CONTROL!$C$9, $D$9, 100%, $F$9) + CHOOSE(CONTROL!$C$27, 0.0021, 0)</f>
        <v>66.699299999999994</v>
      </c>
      <c r="D737" s="10">
        <f>66.6972 * CHOOSE(CONTROL!$C$9, $D$9, 100%, $F$9) + CHOOSE(CONTROL!$C$27, 0.0021, 0)</f>
        <v>66.699299999999994</v>
      </c>
      <c r="E737" s="10">
        <f>66.5606 * CHOOSE(CONTROL!$C$9, $D$9, 100%, $F$9) + CHOOSE(CONTROL!$C$27, 0.0021, 0)</f>
        <v>66.562699999999992</v>
      </c>
      <c r="F737" s="10">
        <f>66.5606 * CHOOSE(CONTROL!$C$9, $D$9, 100%, $F$9) + CHOOSE(CONTROL!$C$27, 0.0021, 0)</f>
        <v>66.562699999999992</v>
      </c>
      <c r="G737" s="10">
        <f>66.8319 * CHOOSE(CONTROL!$C$9, $D$9, 100%, $F$9) + CHOOSE(CONTROL!$C$27, 0.0021, 0)</f>
        <v>66.834000000000003</v>
      </c>
      <c r="H737" s="10">
        <f>66.6972 * CHOOSE(CONTROL!$C$9, $D$9, 100%, $F$9) + CHOOSE(CONTROL!$C$27, 0.0021, 0)</f>
        <v>66.699299999999994</v>
      </c>
      <c r="I737" s="10">
        <f>66.6972 * CHOOSE(CONTROL!$C$9, $D$9, 100%, $F$9) + CHOOSE(CONTROL!$C$27, 0.0021, 0)</f>
        <v>66.699299999999994</v>
      </c>
      <c r="J737" s="10">
        <f>66.6972 * CHOOSE(CONTROL!$C$9, $D$9, 100%, $F$9) + CHOOSE(CONTROL!$C$27, 0.0021, 0)</f>
        <v>66.699299999999994</v>
      </c>
      <c r="K737" s="10">
        <f>66.6972 * CHOOSE(CONTROL!$C$9, $D$9, 100%, $F$9) + CHOOSE(CONTROL!$C$27, 0.0021, 0)</f>
        <v>66.699299999999994</v>
      </c>
      <c r="L737" s="10"/>
    </row>
    <row r="738" spans="1:12" ht="15.75" x14ac:dyDescent="0.25">
      <c r="A738" s="13">
        <v>63766</v>
      </c>
      <c r="B738" s="10">
        <f>68.4311 * CHOOSE(CONTROL!$C$9, $D$9, 100%, $F$9) + CHOOSE(CONTROL!$C$27, 0.0021, 0)</f>
        <v>68.433199999999999</v>
      </c>
      <c r="C738" s="10">
        <f>67.9989 * CHOOSE(CONTROL!$C$9, $D$9, 100%, $F$9) + CHOOSE(CONTROL!$C$27, 0.0021, 0)</f>
        <v>68.001000000000005</v>
      </c>
      <c r="D738" s="10">
        <f>67.9989 * CHOOSE(CONTROL!$C$9, $D$9, 100%, $F$9) + CHOOSE(CONTROL!$C$27, 0.0021, 0)</f>
        <v>68.001000000000005</v>
      </c>
      <c r="E738" s="10">
        <f>67.8622 * CHOOSE(CONTROL!$C$9, $D$9, 100%, $F$9) + CHOOSE(CONTROL!$C$27, 0.0021, 0)</f>
        <v>67.8643</v>
      </c>
      <c r="F738" s="10">
        <f>67.8622 * CHOOSE(CONTROL!$C$9, $D$9, 100%, $F$9) + CHOOSE(CONTROL!$C$27, 0.0021, 0)</f>
        <v>67.8643</v>
      </c>
      <c r="G738" s="10">
        <f>68.1336 * CHOOSE(CONTROL!$C$9, $D$9, 100%, $F$9) + CHOOSE(CONTROL!$C$27, 0.0021, 0)</f>
        <v>68.1357</v>
      </c>
      <c r="H738" s="10">
        <f>67.9989 * CHOOSE(CONTROL!$C$9, $D$9, 100%, $F$9) + CHOOSE(CONTROL!$C$27, 0.0021, 0)</f>
        <v>68.001000000000005</v>
      </c>
      <c r="I738" s="10">
        <f>67.9989 * CHOOSE(CONTROL!$C$9, $D$9, 100%, $F$9) + CHOOSE(CONTROL!$C$27, 0.0021, 0)</f>
        <v>68.001000000000005</v>
      </c>
      <c r="J738" s="10">
        <f>67.9989 * CHOOSE(CONTROL!$C$9, $D$9, 100%, $F$9) + CHOOSE(CONTROL!$C$27, 0.0021, 0)</f>
        <v>68.001000000000005</v>
      </c>
      <c r="K738" s="10">
        <f>67.9989 * CHOOSE(CONTROL!$C$9, $D$9, 100%, $F$9) + CHOOSE(CONTROL!$C$27, 0.0021, 0)</f>
        <v>68.001000000000005</v>
      </c>
      <c r="L738" s="10"/>
    </row>
    <row r="739" spans="1:12" ht="15.75" x14ac:dyDescent="0.25">
      <c r="A739" s="13">
        <v>63797</v>
      </c>
      <c r="B739" s="10">
        <f>68.8284 * CHOOSE(CONTROL!$C$9, $D$9, 100%, $F$9) + CHOOSE(CONTROL!$C$27, 0.0021, 0)</f>
        <v>68.830500000000001</v>
      </c>
      <c r="C739" s="10">
        <f>68.3962 * CHOOSE(CONTROL!$C$9, $D$9, 100%, $F$9) + CHOOSE(CONTROL!$C$27, 0.0021, 0)</f>
        <v>68.398299999999992</v>
      </c>
      <c r="D739" s="10">
        <f>68.3962 * CHOOSE(CONTROL!$C$9, $D$9, 100%, $F$9) + CHOOSE(CONTROL!$C$27, 0.0021, 0)</f>
        <v>68.398299999999992</v>
      </c>
      <c r="E739" s="10">
        <f>68.2595 * CHOOSE(CONTROL!$C$9, $D$9, 100%, $F$9) + CHOOSE(CONTROL!$C$27, 0.0021, 0)</f>
        <v>68.261600000000001</v>
      </c>
      <c r="F739" s="10">
        <f>68.2595 * CHOOSE(CONTROL!$C$9, $D$9, 100%, $F$9) + CHOOSE(CONTROL!$C$27, 0.0021, 0)</f>
        <v>68.261600000000001</v>
      </c>
      <c r="G739" s="10">
        <f>68.5309 * CHOOSE(CONTROL!$C$9, $D$9, 100%, $F$9) + CHOOSE(CONTROL!$C$27, 0.0021, 0)</f>
        <v>68.533000000000001</v>
      </c>
      <c r="H739" s="10">
        <f>68.3962 * CHOOSE(CONTROL!$C$9, $D$9, 100%, $F$9) + CHOOSE(CONTROL!$C$27, 0.0021, 0)</f>
        <v>68.398299999999992</v>
      </c>
      <c r="I739" s="10">
        <f>68.3962 * CHOOSE(CONTROL!$C$9, $D$9, 100%, $F$9) + CHOOSE(CONTROL!$C$27, 0.0021, 0)</f>
        <v>68.398299999999992</v>
      </c>
      <c r="J739" s="10">
        <f>68.3962 * CHOOSE(CONTROL!$C$9, $D$9, 100%, $F$9) + CHOOSE(CONTROL!$C$27, 0.0021, 0)</f>
        <v>68.398299999999992</v>
      </c>
      <c r="K739" s="10">
        <f>68.3962 * CHOOSE(CONTROL!$C$9, $D$9, 100%, $F$9) + CHOOSE(CONTROL!$C$27, 0.0021, 0)</f>
        <v>68.398299999999992</v>
      </c>
      <c r="L739" s="10"/>
    </row>
    <row r="740" spans="1:12" ht="15.75" x14ac:dyDescent="0.25">
      <c r="A740" s="13">
        <v>63827</v>
      </c>
      <c r="B740" s="10">
        <f>70.1814 * CHOOSE(CONTROL!$C$9, $D$9, 100%, $F$9) + CHOOSE(CONTROL!$C$27, 0.0021, 0)</f>
        <v>70.183499999999995</v>
      </c>
      <c r="C740" s="10">
        <f>69.7492 * CHOOSE(CONTROL!$C$9, $D$9, 100%, $F$9) + CHOOSE(CONTROL!$C$27, 0.0021, 0)</f>
        <v>69.751300000000001</v>
      </c>
      <c r="D740" s="10">
        <f>69.7492 * CHOOSE(CONTROL!$C$9, $D$9, 100%, $F$9) + CHOOSE(CONTROL!$C$27, 0.0021, 0)</f>
        <v>69.751300000000001</v>
      </c>
      <c r="E740" s="10">
        <f>69.6125 * CHOOSE(CONTROL!$C$9, $D$9, 100%, $F$9) + CHOOSE(CONTROL!$C$27, 0.0021, 0)</f>
        <v>69.614599999999996</v>
      </c>
      <c r="F740" s="10">
        <f>69.6125 * CHOOSE(CONTROL!$C$9, $D$9, 100%, $F$9) + CHOOSE(CONTROL!$C$27, 0.0021, 0)</f>
        <v>69.614599999999996</v>
      </c>
      <c r="G740" s="10">
        <f>69.8839 * CHOOSE(CONTROL!$C$9, $D$9, 100%, $F$9) + CHOOSE(CONTROL!$C$27, 0.0021, 0)</f>
        <v>69.885999999999996</v>
      </c>
      <c r="H740" s="10">
        <f>69.7492 * CHOOSE(CONTROL!$C$9, $D$9, 100%, $F$9) + CHOOSE(CONTROL!$C$27, 0.0021, 0)</f>
        <v>69.751300000000001</v>
      </c>
      <c r="I740" s="10">
        <f>69.7492 * CHOOSE(CONTROL!$C$9, $D$9, 100%, $F$9) + CHOOSE(CONTROL!$C$27, 0.0021, 0)</f>
        <v>69.751300000000001</v>
      </c>
      <c r="J740" s="10">
        <f>69.7492 * CHOOSE(CONTROL!$C$9, $D$9, 100%, $F$9) + CHOOSE(CONTROL!$C$27, 0.0021, 0)</f>
        <v>69.751300000000001</v>
      </c>
      <c r="K740" s="10">
        <f>69.7492 * CHOOSE(CONTROL!$C$9, $D$9, 100%, $F$9) + CHOOSE(CONTROL!$C$27, 0.0021, 0)</f>
        <v>69.751300000000001</v>
      </c>
      <c r="L740" s="10"/>
    </row>
    <row r="741" spans="1:12" ht="15.75" x14ac:dyDescent="0.25">
      <c r="A741" s="13">
        <v>63858</v>
      </c>
      <c r="B741" s="10">
        <f>71.8941 * CHOOSE(CONTROL!$C$9, $D$9, 100%, $F$9) + CHOOSE(CONTROL!$C$27, 0.0021, 0)</f>
        <v>71.896199999999993</v>
      </c>
      <c r="C741" s="10">
        <f>71.4619 * CHOOSE(CONTROL!$C$9, $D$9, 100%, $F$9) + CHOOSE(CONTROL!$C$27, 0.0021, 0)</f>
        <v>71.463999999999999</v>
      </c>
      <c r="D741" s="10">
        <f>71.4619 * CHOOSE(CONTROL!$C$9, $D$9, 100%, $F$9) + CHOOSE(CONTROL!$C$27, 0.0021, 0)</f>
        <v>71.463999999999999</v>
      </c>
      <c r="E741" s="10">
        <f>71.3252 * CHOOSE(CONTROL!$C$9, $D$9, 100%, $F$9) + CHOOSE(CONTROL!$C$27, 0.0021, 0)</f>
        <v>71.327299999999994</v>
      </c>
      <c r="F741" s="10">
        <f>71.3252 * CHOOSE(CONTROL!$C$9, $D$9, 100%, $F$9) + CHOOSE(CONTROL!$C$27, 0.0021, 0)</f>
        <v>71.327299999999994</v>
      </c>
      <c r="G741" s="10">
        <f>71.5966 * CHOOSE(CONTROL!$C$9, $D$9, 100%, $F$9) + CHOOSE(CONTROL!$C$27, 0.0021, 0)</f>
        <v>71.598699999999994</v>
      </c>
      <c r="H741" s="10">
        <f>71.4619 * CHOOSE(CONTROL!$C$9, $D$9, 100%, $F$9) + CHOOSE(CONTROL!$C$27, 0.0021, 0)</f>
        <v>71.463999999999999</v>
      </c>
      <c r="I741" s="10">
        <f>71.4619 * CHOOSE(CONTROL!$C$9, $D$9, 100%, $F$9) + CHOOSE(CONTROL!$C$27, 0.0021, 0)</f>
        <v>71.463999999999999</v>
      </c>
      <c r="J741" s="10">
        <f>71.4619 * CHOOSE(CONTROL!$C$9, $D$9, 100%, $F$9) + CHOOSE(CONTROL!$C$27, 0.0021, 0)</f>
        <v>71.463999999999999</v>
      </c>
      <c r="K741" s="10">
        <f>71.4619 * CHOOSE(CONTROL!$C$9, $D$9, 100%, $F$9) + CHOOSE(CONTROL!$C$27, 0.0021, 0)</f>
        <v>71.463999999999999</v>
      </c>
      <c r="L741" s="10"/>
    </row>
    <row r="742" spans="1:12" ht="15.75" x14ac:dyDescent="0.25">
      <c r="A742" s="13">
        <v>63888</v>
      </c>
      <c r="B742" s="10">
        <f>72.0549 * CHOOSE(CONTROL!$C$9, $D$9, 100%, $F$9) + CHOOSE(CONTROL!$C$27, 0.0021, 0)</f>
        <v>72.057000000000002</v>
      </c>
      <c r="C742" s="10">
        <f>71.6226 * CHOOSE(CONTROL!$C$9, $D$9, 100%, $F$9) + CHOOSE(CONTROL!$C$27, 0.0021, 0)</f>
        <v>71.624700000000004</v>
      </c>
      <c r="D742" s="10">
        <f>71.6226 * CHOOSE(CONTROL!$C$9, $D$9, 100%, $F$9) + CHOOSE(CONTROL!$C$27, 0.0021, 0)</f>
        <v>71.624700000000004</v>
      </c>
      <c r="E742" s="10">
        <f>71.486 * CHOOSE(CONTROL!$C$9, $D$9, 100%, $F$9) + CHOOSE(CONTROL!$C$27, 0.0021, 0)</f>
        <v>71.488100000000003</v>
      </c>
      <c r="F742" s="10">
        <f>71.486 * CHOOSE(CONTROL!$C$9, $D$9, 100%, $F$9) + CHOOSE(CONTROL!$C$27, 0.0021, 0)</f>
        <v>71.488100000000003</v>
      </c>
      <c r="G742" s="10">
        <f>71.7574 * CHOOSE(CONTROL!$C$9, $D$9, 100%, $F$9) + CHOOSE(CONTROL!$C$27, 0.0021, 0)</f>
        <v>71.759500000000003</v>
      </c>
      <c r="H742" s="10">
        <f>71.6226 * CHOOSE(CONTROL!$C$9, $D$9, 100%, $F$9) + CHOOSE(CONTROL!$C$27, 0.0021, 0)</f>
        <v>71.624700000000004</v>
      </c>
      <c r="I742" s="10">
        <f>71.6226 * CHOOSE(CONTROL!$C$9, $D$9, 100%, $F$9) + CHOOSE(CONTROL!$C$27, 0.0021, 0)</f>
        <v>71.624700000000004</v>
      </c>
      <c r="J742" s="10">
        <f>71.6226 * CHOOSE(CONTROL!$C$9, $D$9, 100%, $F$9) + CHOOSE(CONTROL!$C$27, 0.0021, 0)</f>
        <v>71.624700000000004</v>
      </c>
      <c r="K742" s="10">
        <f>71.6226 * CHOOSE(CONTROL!$C$9, $D$9, 100%, $F$9) + CHOOSE(CONTROL!$C$27, 0.0021, 0)</f>
        <v>71.624700000000004</v>
      </c>
      <c r="L742" s="10"/>
    </row>
    <row r="743" spans="1:12" ht="15.75" x14ac:dyDescent="0.25">
      <c r="A743" s="13">
        <v>63919</v>
      </c>
      <c r="B743" s="10">
        <f>70.687 * CHOOSE(CONTROL!$C$9, $D$9, 100%, $F$9) + CHOOSE(CONTROL!$C$27, 0.0021, 0)</f>
        <v>70.689099999999996</v>
      </c>
      <c r="C743" s="10">
        <f>70.2548 * CHOOSE(CONTROL!$C$9, $D$9, 100%, $F$9) + CHOOSE(CONTROL!$C$27, 0.0021, 0)</f>
        <v>70.256900000000002</v>
      </c>
      <c r="D743" s="10">
        <f>70.2548 * CHOOSE(CONTROL!$C$9, $D$9, 100%, $F$9) + CHOOSE(CONTROL!$C$27, 0.0021, 0)</f>
        <v>70.256900000000002</v>
      </c>
      <c r="E743" s="10">
        <f>70.1181 * CHOOSE(CONTROL!$C$9, $D$9, 100%, $F$9) + CHOOSE(CONTROL!$C$27, 0.0021, 0)</f>
        <v>70.120199999999997</v>
      </c>
      <c r="F743" s="10">
        <f>70.1181 * CHOOSE(CONTROL!$C$9, $D$9, 100%, $F$9) + CHOOSE(CONTROL!$C$27, 0.0021, 0)</f>
        <v>70.120199999999997</v>
      </c>
      <c r="G743" s="10">
        <f>70.3895 * CHOOSE(CONTROL!$C$9, $D$9, 100%, $F$9) + CHOOSE(CONTROL!$C$27, 0.0021, 0)</f>
        <v>70.391599999999997</v>
      </c>
      <c r="H743" s="10">
        <f>70.2548 * CHOOSE(CONTROL!$C$9, $D$9, 100%, $F$9) + CHOOSE(CONTROL!$C$27, 0.0021, 0)</f>
        <v>70.256900000000002</v>
      </c>
      <c r="I743" s="10">
        <f>70.2548 * CHOOSE(CONTROL!$C$9, $D$9, 100%, $F$9) + CHOOSE(CONTROL!$C$27, 0.0021, 0)</f>
        <v>70.256900000000002</v>
      </c>
      <c r="J743" s="10">
        <f>70.2548 * CHOOSE(CONTROL!$C$9, $D$9, 100%, $F$9) + CHOOSE(CONTROL!$C$27, 0.0021, 0)</f>
        <v>70.256900000000002</v>
      </c>
      <c r="K743" s="10">
        <f>70.2548 * CHOOSE(CONTROL!$C$9, $D$9, 100%, $F$9) + CHOOSE(CONTROL!$C$27, 0.0021, 0)</f>
        <v>70.256900000000002</v>
      </c>
      <c r="L743" s="10"/>
    </row>
    <row r="744" spans="1:12" ht="15.75" x14ac:dyDescent="0.25">
      <c r="A744" s="13">
        <v>63950</v>
      </c>
      <c r="B744" s="10">
        <f>69.6397 * CHOOSE(CONTROL!$C$9, $D$9, 100%, $F$9) + CHOOSE(CONTROL!$C$27, 0.0021, 0)</f>
        <v>69.641800000000003</v>
      </c>
      <c r="C744" s="10">
        <f>69.2075 * CHOOSE(CONTROL!$C$9, $D$9, 100%, $F$9) + CHOOSE(CONTROL!$C$27, 0.0021, 0)</f>
        <v>69.209599999999995</v>
      </c>
      <c r="D744" s="10">
        <f>69.2075 * CHOOSE(CONTROL!$C$9, $D$9, 100%, $F$9) + CHOOSE(CONTROL!$C$27, 0.0021, 0)</f>
        <v>69.209599999999995</v>
      </c>
      <c r="E744" s="10">
        <f>69.0708 * CHOOSE(CONTROL!$C$9, $D$9, 100%, $F$9) + CHOOSE(CONTROL!$C$27, 0.0021, 0)</f>
        <v>69.072900000000004</v>
      </c>
      <c r="F744" s="10">
        <f>69.0708 * CHOOSE(CONTROL!$C$9, $D$9, 100%, $F$9) + CHOOSE(CONTROL!$C$27, 0.0021, 0)</f>
        <v>69.072900000000004</v>
      </c>
      <c r="G744" s="10">
        <f>69.3422 * CHOOSE(CONTROL!$C$9, $D$9, 100%, $F$9) + CHOOSE(CONTROL!$C$27, 0.0021, 0)</f>
        <v>69.344300000000004</v>
      </c>
      <c r="H744" s="10">
        <f>69.2075 * CHOOSE(CONTROL!$C$9, $D$9, 100%, $F$9) + CHOOSE(CONTROL!$C$27, 0.0021, 0)</f>
        <v>69.209599999999995</v>
      </c>
      <c r="I744" s="10">
        <f>69.2075 * CHOOSE(CONTROL!$C$9, $D$9, 100%, $F$9) + CHOOSE(CONTROL!$C$27, 0.0021, 0)</f>
        <v>69.209599999999995</v>
      </c>
      <c r="J744" s="10">
        <f>69.2075 * CHOOSE(CONTROL!$C$9, $D$9, 100%, $F$9) + CHOOSE(CONTROL!$C$27, 0.0021, 0)</f>
        <v>69.209599999999995</v>
      </c>
      <c r="K744" s="10">
        <f>69.2075 * CHOOSE(CONTROL!$C$9, $D$9, 100%, $F$9) + CHOOSE(CONTROL!$C$27, 0.0021, 0)</f>
        <v>69.209599999999995</v>
      </c>
      <c r="L744" s="10"/>
    </row>
    <row r="745" spans="1:12" ht="15.75" x14ac:dyDescent="0.25">
      <c r="A745" s="13">
        <v>63978</v>
      </c>
      <c r="B745" s="10">
        <f>67.7348 * CHOOSE(CONTROL!$C$9, $D$9, 100%, $F$9) + CHOOSE(CONTROL!$C$27, 0.0021, 0)</f>
        <v>67.736900000000006</v>
      </c>
      <c r="C745" s="10">
        <f>67.3025 * CHOOSE(CONTROL!$C$9, $D$9, 100%, $F$9) + CHOOSE(CONTROL!$C$27, 0.0021, 0)</f>
        <v>67.304599999999994</v>
      </c>
      <c r="D745" s="10">
        <f>67.3025 * CHOOSE(CONTROL!$C$9, $D$9, 100%, $F$9) + CHOOSE(CONTROL!$C$27, 0.0021, 0)</f>
        <v>67.304599999999994</v>
      </c>
      <c r="E745" s="10">
        <f>67.1659 * CHOOSE(CONTROL!$C$9, $D$9, 100%, $F$9) + CHOOSE(CONTROL!$C$27, 0.0021, 0)</f>
        <v>67.167999999999992</v>
      </c>
      <c r="F745" s="10">
        <f>67.1659 * CHOOSE(CONTROL!$C$9, $D$9, 100%, $F$9) + CHOOSE(CONTROL!$C$27, 0.0021, 0)</f>
        <v>67.167999999999992</v>
      </c>
      <c r="G745" s="10">
        <f>67.4372 * CHOOSE(CONTROL!$C$9, $D$9, 100%, $F$9) + CHOOSE(CONTROL!$C$27, 0.0021, 0)</f>
        <v>67.439300000000003</v>
      </c>
      <c r="H745" s="10">
        <f>67.3025 * CHOOSE(CONTROL!$C$9, $D$9, 100%, $F$9) + CHOOSE(CONTROL!$C$27, 0.0021, 0)</f>
        <v>67.304599999999994</v>
      </c>
      <c r="I745" s="10">
        <f>67.3025 * CHOOSE(CONTROL!$C$9, $D$9, 100%, $F$9) + CHOOSE(CONTROL!$C$27, 0.0021, 0)</f>
        <v>67.304599999999994</v>
      </c>
      <c r="J745" s="10">
        <f>67.3025 * CHOOSE(CONTROL!$C$9, $D$9, 100%, $F$9) + CHOOSE(CONTROL!$C$27, 0.0021, 0)</f>
        <v>67.304599999999994</v>
      </c>
      <c r="K745" s="10">
        <f>67.3025 * CHOOSE(CONTROL!$C$9, $D$9, 100%, $F$9) + CHOOSE(CONTROL!$C$27, 0.0021, 0)</f>
        <v>67.304599999999994</v>
      </c>
      <c r="L745" s="10"/>
    </row>
    <row r="746" spans="1:12" ht="15.75" x14ac:dyDescent="0.25">
      <c r="A746" s="13">
        <v>64009</v>
      </c>
      <c r="B746" s="10">
        <f>66.9484 * CHOOSE(CONTROL!$C$9, $D$9, 100%, $F$9) + CHOOSE(CONTROL!$C$27, 0.0021, 0)</f>
        <v>66.950500000000005</v>
      </c>
      <c r="C746" s="10">
        <f>66.5162 * CHOOSE(CONTROL!$C$9, $D$9, 100%, $F$9) + CHOOSE(CONTROL!$C$27, 0.0021, 0)</f>
        <v>66.518299999999996</v>
      </c>
      <c r="D746" s="10">
        <f>66.5162 * CHOOSE(CONTROL!$C$9, $D$9, 100%, $F$9) + CHOOSE(CONTROL!$C$27, 0.0021, 0)</f>
        <v>66.518299999999996</v>
      </c>
      <c r="E746" s="10">
        <f>66.3795 * CHOOSE(CONTROL!$C$9, $D$9, 100%, $F$9) + CHOOSE(CONTROL!$C$27, 0.0021, 0)</f>
        <v>66.381599999999992</v>
      </c>
      <c r="F746" s="10">
        <f>66.3795 * CHOOSE(CONTROL!$C$9, $D$9, 100%, $F$9) + CHOOSE(CONTROL!$C$27, 0.0021, 0)</f>
        <v>66.381599999999992</v>
      </c>
      <c r="G746" s="10">
        <f>66.6509 * CHOOSE(CONTROL!$C$9, $D$9, 100%, $F$9) + CHOOSE(CONTROL!$C$27, 0.0021, 0)</f>
        <v>66.652999999999992</v>
      </c>
      <c r="H746" s="10">
        <f>66.5162 * CHOOSE(CONTROL!$C$9, $D$9, 100%, $F$9) + CHOOSE(CONTROL!$C$27, 0.0021, 0)</f>
        <v>66.518299999999996</v>
      </c>
      <c r="I746" s="10">
        <f>66.5162 * CHOOSE(CONTROL!$C$9, $D$9, 100%, $F$9) + CHOOSE(CONTROL!$C$27, 0.0021, 0)</f>
        <v>66.518299999999996</v>
      </c>
      <c r="J746" s="10">
        <f>66.5162 * CHOOSE(CONTROL!$C$9, $D$9, 100%, $F$9) + CHOOSE(CONTROL!$C$27, 0.0021, 0)</f>
        <v>66.518299999999996</v>
      </c>
      <c r="K746" s="10">
        <f>66.5162 * CHOOSE(CONTROL!$C$9, $D$9, 100%, $F$9) + CHOOSE(CONTROL!$C$27, 0.0021, 0)</f>
        <v>66.518299999999996</v>
      </c>
      <c r="L746" s="10"/>
    </row>
    <row r="747" spans="1:12" ht="15.75" x14ac:dyDescent="0.25">
      <c r="A747" s="13">
        <v>64039</v>
      </c>
      <c r="B747" s="10">
        <f>66.0095 * CHOOSE(CONTROL!$C$9, $D$9, 100%, $F$9) + CHOOSE(CONTROL!$C$27, 0.0021, 0)</f>
        <v>66.011600000000001</v>
      </c>
      <c r="C747" s="10">
        <f>65.5772 * CHOOSE(CONTROL!$C$9, $D$9, 100%, $F$9) + CHOOSE(CONTROL!$C$27, 0.0021, 0)</f>
        <v>65.579300000000003</v>
      </c>
      <c r="D747" s="10">
        <f>65.5772 * CHOOSE(CONTROL!$C$9, $D$9, 100%, $F$9) + CHOOSE(CONTROL!$C$27, 0.0021, 0)</f>
        <v>65.579300000000003</v>
      </c>
      <c r="E747" s="10">
        <f>65.4406 * CHOOSE(CONTROL!$C$9, $D$9, 100%, $F$9) + CHOOSE(CONTROL!$C$27, 0.0021, 0)</f>
        <v>65.442700000000002</v>
      </c>
      <c r="F747" s="10">
        <f>65.4406 * CHOOSE(CONTROL!$C$9, $D$9, 100%, $F$9) + CHOOSE(CONTROL!$C$27, 0.0021, 0)</f>
        <v>65.442700000000002</v>
      </c>
      <c r="G747" s="10">
        <f>65.7119 * CHOOSE(CONTROL!$C$9, $D$9, 100%, $F$9) + CHOOSE(CONTROL!$C$27, 0.0021, 0)</f>
        <v>65.713999999999999</v>
      </c>
      <c r="H747" s="10">
        <f>65.5772 * CHOOSE(CONTROL!$C$9, $D$9, 100%, $F$9) + CHOOSE(CONTROL!$C$27, 0.0021, 0)</f>
        <v>65.579300000000003</v>
      </c>
      <c r="I747" s="10">
        <f>65.5772 * CHOOSE(CONTROL!$C$9, $D$9, 100%, $F$9) + CHOOSE(CONTROL!$C$27, 0.0021, 0)</f>
        <v>65.579300000000003</v>
      </c>
      <c r="J747" s="10">
        <f>65.5772 * CHOOSE(CONTROL!$C$9, $D$9, 100%, $F$9) + CHOOSE(CONTROL!$C$27, 0.0021, 0)</f>
        <v>65.579300000000003</v>
      </c>
      <c r="K747" s="10">
        <f>65.5772 * CHOOSE(CONTROL!$C$9, $D$9, 100%, $F$9) + CHOOSE(CONTROL!$C$27, 0.0021, 0)</f>
        <v>65.579300000000003</v>
      </c>
      <c r="L747" s="10"/>
    </row>
    <row r="748" spans="1:12" ht="15.75" x14ac:dyDescent="0.25">
      <c r="A748" s="13">
        <v>64070</v>
      </c>
      <c r="B748" s="10">
        <f>67.3476 * CHOOSE(CONTROL!$C$9, $D$9, 100%, $F$9) + CHOOSE(CONTROL!$C$27, 0.0021, 0)</f>
        <v>67.349699999999999</v>
      </c>
      <c r="C748" s="10">
        <f>66.9153 * CHOOSE(CONTROL!$C$9, $D$9, 100%, $F$9) + CHOOSE(CONTROL!$C$27, 0.0021, 0)</f>
        <v>66.917400000000001</v>
      </c>
      <c r="D748" s="10">
        <f>66.9153 * CHOOSE(CONTROL!$C$9, $D$9, 100%, $F$9) + CHOOSE(CONTROL!$C$27, 0.0021, 0)</f>
        <v>66.917400000000001</v>
      </c>
      <c r="E748" s="10">
        <f>66.7787 * CHOOSE(CONTROL!$C$9, $D$9, 100%, $F$9) + CHOOSE(CONTROL!$C$27, 0.0021, 0)</f>
        <v>66.780799999999999</v>
      </c>
      <c r="F748" s="10">
        <f>66.7787 * CHOOSE(CONTROL!$C$9, $D$9, 100%, $F$9) + CHOOSE(CONTROL!$C$27, 0.0021, 0)</f>
        <v>66.780799999999999</v>
      </c>
      <c r="G748" s="10">
        <f>67.05 * CHOOSE(CONTROL!$C$9, $D$9, 100%, $F$9) + CHOOSE(CONTROL!$C$27, 0.0021, 0)</f>
        <v>67.052099999999996</v>
      </c>
      <c r="H748" s="10">
        <f>66.9153 * CHOOSE(CONTROL!$C$9, $D$9, 100%, $F$9) + CHOOSE(CONTROL!$C$27, 0.0021, 0)</f>
        <v>66.917400000000001</v>
      </c>
      <c r="I748" s="10">
        <f>66.9153 * CHOOSE(CONTROL!$C$9, $D$9, 100%, $F$9) + CHOOSE(CONTROL!$C$27, 0.0021, 0)</f>
        <v>66.917400000000001</v>
      </c>
      <c r="J748" s="10">
        <f>66.9153 * CHOOSE(CONTROL!$C$9, $D$9, 100%, $F$9) + CHOOSE(CONTROL!$C$27, 0.0021, 0)</f>
        <v>66.917400000000001</v>
      </c>
      <c r="K748" s="10">
        <f>66.9153 * CHOOSE(CONTROL!$C$9, $D$9, 100%, $F$9) + CHOOSE(CONTROL!$C$27, 0.0021, 0)</f>
        <v>66.917400000000001</v>
      </c>
      <c r="L748" s="10"/>
    </row>
    <row r="749" spans="1:12" ht="15.75" x14ac:dyDescent="0.25">
      <c r="A749" s="13">
        <v>64100</v>
      </c>
      <c r="B749" s="10">
        <f>68.149 * CHOOSE(CONTROL!$C$9, $D$9, 100%, $F$9) + CHOOSE(CONTROL!$C$27, 0.0021, 0)</f>
        <v>68.1511</v>
      </c>
      <c r="C749" s="10">
        <f>67.7168 * CHOOSE(CONTROL!$C$9, $D$9, 100%, $F$9) + CHOOSE(CONTROL!$C$27, 0.0021, 0)</f>
        <v>67.718900000000005</v>
      </c>
      <c r="D749" s="10">
        <f>67.7168 * CHOOSE(CONTROL!$C$9, $D$9, 100%, $F$9) + CHOOSE(CONTROL!$C$27, 0.0021, 0)</f>
        <v>67.718900000000005</v>
      </c>
      <c r="E749" s="10">
        <f>67.5801 * CHOOSE(CONTROL!$C$9, $D$9, 100%, $F$9) + CHOOSE(CONTROL!$C$27, 0.0021, 0)</f>
        <v>67.5822</v>
      </c>
      <c r="F749" s="10">
        <f>67.5801 * CHOOSE(CONTROL!$C$9, $D$9, 100%, $F$9) + CHOOSE(CONTROL!$C$27, 0.0021, 0)</f>
        <v>67.5822</v>
      </c>
      <c r="G749" s="10">
        <f>67.8515 * CHOOSE(CONTROL!$C$9, $D$9, 100%, $F$9) + CHOOSE(CONTROL!$C$27, 0.0021, 0)</f>
        <v>67.8536</v>
      </c>
      <c r="H749" s="10">
        <f>67.7168 * CHOOSE(CONTROL!$C$9, $D$9, 100%, $F$9) + CHOOSE(CONTROL!$C$27, 0.0021, 0)</f>
        <v>67.718900000000005</v>
      </c>
      <c r="I749" s="10">
        <f>67.7168 * CHOOSE(CONTROL!$C$9, $D$9, 100%, $F$9) + CHOOSE(CONTROL!$C$27, 0.0021, 0)</f>
        <v>67.718900000000005</v>
      </c>
      <c r="J749" s="10">
        <f>67.7168 * CHOOSE(CONTROL!$C$9, $D$9, 100%, $F$9) + CHOOSE(CONTROL!$C$27, 0.0021, 0)</f>
        <v>67.718900000000005</v>
      </c>
      <c r="K749" s="10">
        <f>67.7168 * CHOOSE(CONTROL!$C$9, $D$9, 100%, $F$9) + CHOOSE(CONTROL!$C$27, 0.0021, 0)</f>
        <v>67.718900000000005</v>
      </c>
      <c r="L749" s="10"/>
    </row>
    <row r="750" spans="1:12" ht="15.75" x14ac:dyDescent="0.25">
      <c r="A750" s="13">
        <v>64131</v>
      </c>
      <c r="B750" s="10">
        <f>69.4711 * CHOOSE(CONTROL!$C$9, $D$9, 100%, $F$9) + CHOOSE(CONTROL!$C$27, 0.0021, 0)</f>
        <v>69.473200000000006</v>
      </c>
      <c r="C750" s="10">
        <f>69.0389 * CHOOSE(CONTROL!$C$9, $D$9, 100%, $F$9) + CHOOSE(CONTROL!$C$27, 0.0021, 0)</f>
        <v>69.040999999999997</v>
      </c>
      <c r="D750" s="10">
        <f>69.0389 * CHOOSE(CONTROL!$C$9, $D$9, 100%, $F$9) + CHOOSE(CONTROL!$C$27, 0.0021, 0)</f>
        <v>69.040999999999997</v>
      </c>
      <c r="E750" s="10">
        <f>68.9022 * CHOOSE(CONTROL!$C$9, $D$9, 100%, $F$9) + CHOOSE(CONTROL!$C$27, 0.0021, 0)</f>
        <v>68.904299999999992</v>
      </c>
      <c r="F750" s="10">
        <f>68.9022 * CHOOSE(CONTROL!$C$9, $D$9, 100%, $F$9) + CHOOSE(CONTROL!$C$27, 0.0021, 0)</f>
        <v>68.904299999999992</v>
      </c>
      <c r="G750" s="10">
        <f>69.1736 * CHOOSE(CONTROL!$C$9, $D$9, 100%, $F$9) + CHOOSE(CONTROL!$C$27, 0.0021, 0)</f>
        <v>69.175699999999992</v>
      </c>
      <c r="H750" s="10">
        <f>69.0389 * CHOOSE(CONTROL!$C$9, $D$9, 100%, $F$9) + CHOOSE(CONTROL!$C$27, 0.0021, 0)</f>
        <v>69.040999999999997</v>
      </c>
      <c r="I750" s="10">
        <f>69.0389 * CHOOSE(CONTROL!$C$9, $D$9, 100%, $F$9) + CHOOSE(CONTROL!$C$27, 0.0021, 0)</f>
        <v>69.040999999999997</v>
      </c>
      <c r="J750" s="10">
        <f>69.0389 * CHOOSE(CONTROL!$C$9, $D$9, 100%, $F$9) + CHOOSE(CONTROL!$C$27, 0.0021, 0)</f>
        <v>69.040999999999997</v>
      </c>
      <c r="K750" s="10">
        <f>69.0389 * CHOOSE(CONTROL!$C$9, $D$9, 100%, $F$9) + CHOOSE(CONTROL!$C$27, 0.0021, 0)</f>
        <v>69.040999999999997</v>
      </c>
      <c r="L750" s="10"/>
    </row>
    <row r="751" spans="1:12" ht="15.75" x14ac:dyDescent="0.25">
      <c r="A751" s="13">
        <v>64162</v>
      </c>
      <c r="B751" s="10">
        <f>69.8747 * CHOOSE(CONTROL!$C$9, $D$9, 100%, $F$9) + CHOOSE(CONTROL!$C$27, 0.0021, 0)</f>
        <v>69.876800000000003</v>
      </c>
      <c r="C751" s="10">
        <f>69.4424 * CHOOSE(CONTROL!$C$9, $D$9, 100%, $F$9) + CHOOSE(CONTROL!$C$27, 0.0021, 0)</f>
        <v>69.444500000000005</v>
      </c>
      <c r="D751" s="10">
        <f>69.4424 * CHOOSE(CONTROL!$C$9, $D$9, 100%, $F$9) + CHOOSE(CONTROL!$C$27, 0.0021, 0)</f>
        <v>69.444500000000005</v>
      </c>
      <c r="E751" s="10">
        <f>69.3058 * CHOOSE(CONTROL!$C$9, $D$9, 100%, $F$9) + CHOOSE(CONTROL!$C$27, 0.0021, 0)</f>
        <v>69.307900000000004</v>
      </c>
      <c r="F751" s="10">
        <f>69.3058 * CHOOSE(CONTROL!$C$9, $D$9, 100%, $F$9) + CHOOSE(CONTROL!$C$27, 0.0021, 0)</f>
        <v>69.307900000000004</v>
      </c>
      <c r="G751" s="10">
        <f>69.5772 * CHOOSE(CONTROL!$C$9, $D$9, 100%, $F$9) + CHOOSE(CONTROL!$C$27, 0.0021, 0)</f>
        <v>69.579300000000003</v>
      </c>
      <c r="H751" s="10">
        <f>69.4424 * CHOOSE(CONTROL!$C$9, $D$9, 100%, $F$9) + CHOOSE(CONTROL!$C$27, 0.0021, 0)</f>
        <v>69.444500000000005</v>
      </c>
      <c r="I751" s="10">
        <f>69.4424 * CHOOSE(CONTROL!$C$9, $D$9, 100%, $F$9) + CHOOSE(CONTROL!$C$27, 0.0021, 0)</f>
        <v>69.444500000000005</v>
      </c>
      <c r="J751" s="10">
        <f>69.4424 * CHOOSE(CONTROL!$C$9, $D$9, 100%, $F$9) + CHOOSE(CONTROL!$C$27, 0.0021, 0)</f>
        <v>69.444500000000005</v>
      </c>
      <c r="K751" s="10">
        <f>69.4424 * CHOOSE(CONTROL!$C$9, $D$9, 100%, $F$9) + CHOOSE(CONTROL!$C$27, 0.0021, 0)</f>
        <v>69.444500000000005</v>
      </c>
      <c r="L751" s="10"/>
    </row>
    <row r="752" spans="1:12" ht="15.75" x14ac:dyDescent="0.25">
      <c r="A752" s="13">
        <v>64192</v>
      </c>
      <c r="B752" s="10">
        <f>71.249 * CHOOSE(CONTROL!$C$9, $D$9, 100%, $F$9) + CHOOSE(CONTROL!$C$27, 0.0021, 0)</f>
        <v>71.251099999999994</v>
      </c>
      <c r="C752" s="10">
        <f>70.8167 * CHOOSE(CONTROL!$C$9, $D$9, 100%, $F$9) + CHOOSE(CONTROL!$C$27, 0.0021, 0)</f>
        <v>70.818799999999996</v>
      </c>
      <c r="D752" s="10">
        <f>70.8167 * CHOOSE(CONTROL!$C$9, $D$9, 100%, $F$9) + CHOOSE(CONTROL!$C$27, 0.0021, 0)</f>
        <v>70.818799999999996</v>
      </c>
      <c r="E752" s="10">
        <f>70.6801 * CHOOSE(CONTROL!$C$9, $D$9, 100%, $F$9) + CHOOSE(CONTROL!$C$27, 0.0021, 0)</f>
        <v>70.682199999999995</v>
      </c>
      <c r="F752" s="10">
        <f>70.6801 * CHOOSE(CONTROL!$C$9, $D$9, 100%, $F$9) + CHOOSE(CONTROL!$C$27, 0.0021, 0)</f>
        <v>70.682199999999995</v>
      </c>
      <c r="G752" s="10">
        <f>70.9514 * CHOOSE(CONTROL!$C$9, $D$9, 100%, $F$9) + CHOOSE(CONTROL!$C$27, 0.0021, 0)</f>
        <v>70.953500000000005</v>
      </c>
      <c r="H752" s="10">
        <f>70.8167 * CHOOSE(CONTROL!$C$9, $D$9, 100%, $F$9) + CHOOSE(CONTROL!$C$27, 0.0021, 0)</f>
        <v>70.818799999999996</v>
      </c>
      <c r="I752" s="10">
        <f>70.8167 * CHOOSE(CONTROL!$C$9, $D$9, 100%, $F$9) + CHOOSE(CONTROL!$C$27, 0.0021, 0)</f>
        <v>70.818799999999996</v>
      </c>
      <c r="J752" s="10">
        <f>70.8167 * CHOOSE(CONTROL!$C$9, $D$9, 100%, $F$9) + CHOOSE(CONTROL!$C$27, 0.0021, 0)</f>
        <v>70.818799999999996</v>
      </c>
      <c r="K752" s="10">
        <f>70.8167 * CHOOSE(CONTROL!$C$9, $D$9, 100%, $F$9) + CHOOSE(CONTROL!$C$27, 0.0021, 0)</f>
        <v>70.818799999999996</v>
      </c>
      <c r="L752" s="10"/>
    </row>
    <row r="753" spans="1:12" ht="15.75" x14ac:dyDescent="0.25">
      <c r="A753" s="13">
        <v>64223</v>
      </c>
      <c r="B753" s="10">
        <f>72.9886 * CHOOSE(CONTROL!$C$9, $D$9, 100%, $F$9) + CHOOSE(CONTROL!$C$27, 0.0021, 0)</f>
        <v>72.990700000000004</v>
      </c>
      <c r="C753" s="10">
        <f>72.5563 * CHOOSE(CONTROL!$C$9, $D$9, 100%, $F$9) + CHOOSE(CONTROL!$C$27, 0.0021, 0)</f>
        <v>72.558399999999992</v>
      </c>
      <c r="D753" s="10">
        <f>72.5563 * CHOOSE(CONTROL!$C$9, $D$9, 100%, $F$9) + CHOOSE(CONTROL!$C$27, 0.0021, 0)</f>
        <v>72.558399999999992</v>
      </c>
      <c r="E753" s="10">
        <f>72.4197 * CHOOSE(CONTROL!$C$9, $D$9, 100%, $F$9) + CHOOSE(CONTROL!$C$27, 0.0021, 0)</f>
        <v>72.421800000000005</v>
      </c>
      <c r="F753" s="10">
        <f>72.4197 * CHOOSE(CONTROL!$C$9, $D$9, 100%, $F$9) + CHOOSE(CONTROL!$C$27, 0.0021, 0)</f>
        <v>72.421800000000005</v>
      </c>
      <c r="G753" s="10">
        <f>72.6911 * CHOOSE(CONTROL!$C$9, $D$9, 100%, $F$9) + CHOOSE(CONTROL!$C$27, 0.0021, 0)</f>
        <v>72.693200000000004</v>
      </c>
      <c r="H753" s="10">
        <f>72.5563 * CHOOSE(CONTROL!$C$9, $D$9, 100%, $F$9) + CHOOSE(CONTROL!$C$27, 0.0021, 0)</f>
        <v>72.558399999999992</v>
      </c>
      <c r="I753" s="10">
        <f>72.5563 * CHOOSE(CONTROL!$C$9, $D$9, 100%, $F$9) + CHOOSE(CONTROL!$C$27, 0.0021, 0)</f>
        <v>72.558399999999992</v>
      </c>
      <c r="J753" s="10">
        <f>72.5563 * CHOOSE(CONTROL!$C$9, $D$9, 100%, $F$9) + CHOOSE(CONTROL!$C$27, 0.0021, 0)</f>
        <v>72.558399999999992</v>
      </c>
      <c r="K753" s="10">
        <f>72.5563 * CHOOSE(CONTROL!$C$9, $D$9, 100%, $F$9) + CHOOSE(CONTROL!$C$27, 0.0021, 0)</f>
        <v>72.558399999999992</v>
      </c>
      <c r="L753" s="10"/>
    </row>
    <row r="754" spans="1:12" ht="15.75" x14ac:dyDescent="0.25">
      <c r="A754" s="13">
        <v>64253</v>
      </c>
      <c r="B754" s="10">
        <f>73.1519 * CHOOSE(CONTROL!$C$9, $D$9, 100%, $F$9) + CHOOSE(CONTROL!$C$27, 0.0021, 0)</f>
        <v>73.153999999999996</v>
      </c>
      <c r="C754" s="10">
        <f>72.7196 * CHOOSE(CONTROL!$C$9, $D$9, 100%, $F$9) + CHOOSE(CONTROL!$C$27, 0.0021, 0)</f>
        <v>72.721699999999998</v>
      </c>
      <c r="D754" s="10">
        <f>72.7196 * CHOOSE(CONTROL!$C$9, $D$9, 100%, $F$9) + CHOOSE(CONTROL!$C$27, 0.0021, 0)</f>
        <v>72.721699999999998</v>
      </c>
      <c r="E754" s="10">
        <f>72.583 * CHOOSE(CONTROL!$C$9, $D$9, 100%, $F$9) + CHOOSE(CONTROL!$C$27, 0.0021, 0)</f>
        <v>72.585099999999997</v>
      </c>
      <c r="F754" s="10">
        <f>72.583 * CHOOSE(CONTROL!$C$9, $D$9, 100%, $F$9) + CHOOSE(CONTROL!$C$27, 0.0021, 0)</f>
        <v>72.585099999999997</v>
      </c>
      <c r="G754" s="10">
        <f>72.8544 * CHOOSE(CONTROL!$C$9, $D$9, 100%, $F$9) + CHOOSE(CONTROL!$C$27, 0.0021, 0)</f>
        <v>72.856499999999997</v>
      </c>
      <c r="H754" s="10">
        <f>72.7196 * CHOOSE(CONTROL!$C$9, $D$9, 100%, $F$9) + CHOOSE(CONTROL!$C$27, 0.0021, 0)</f>
        <v>72.721699999999998</v>
      </c>
      <c r="I754" s="10">
        <f>72.7196 * CHOOSE(CONTROL!$C$9, $D$9, 100%, $F$9) + CHOOSE(CONTROL!$C$27, 0.0021, 0)</f>
        <v>72.721699999999998</v>
      </c>
      <c r="J754" s="10">
        <f>72.7196 * CHOOSE(CONTROL!$C$9, $D$9, 100%, $F$9) + CHOOSE(CONTROL!$C$27, 0.0021, 0)</f>
        <v>72.721699999999998</v>
      </c>
      <c r="K754" s="10">
        <f>72.7196 * CHOOSE(CONTROL!$C$9, $D$9, 100%, $F$9) + CHOOSE(CONTROL!$C$27, 0.0021, 0)</f>
        <v>72.721699999999998</v>
      </c>
      <c r="L754" s="10"/>
    </row>
    <row r="755" spans="1:12" ht="15.75" x14ac:dyDescent="0.25">
      <c r="A755" s="13">
        <v>64284</v>
      </c>
      <c r="B755" s="10">
        <f>71.7625 * CHOOSE(CONTROL!$C$9, $D$9, 100%, $F$9) + CHOOSE(CONTROL!$C$27, 0.0021, 0)</f>
        <v>71.764600000000002</v>
      </c>
      <c r="C755" s="10">
        <f>71.3303 * CHOOSE(CONTROL!$C$9, $D$9, 100%, $F$9) + CHOOSE(CONTROL!$C$27, 0.0021, 0)</f>
        <v>71.332399999999993</v>
      </c>
      <c r="D755" s="10">
        <f>71.3303 * CHOOSE(CONTROL!$C$9, $D$9, 100%, $F$9) + CHOOSE(CONTROL!$C$27, 0.0021, 0)</f>
        <v>71.332399999999993</v>
      </c>
      <c r="E755" s="10">
        <f>71.1936 * CHOOSE(CONTROL!$C$9, $D$9, 100%, $F$9) + CHOOSE(CONTROL!$C$27, 0.0021, 0)</f>
        <v>71.195700000000002</v>
      </c>
      <c r="F755" s="10">
        <f>71.1936 * CHOOSE(CONTROL!$C$9, $D$9, 100%, $F$9) + CHOOSE(CONTROL!$C$27, 0.0021, 0)</f>
        <v>71.195700000000002</v>
      </c>
      <c r="G755" s="10">
        <f>71.465 * CHOOSE(CONTROL!$C$9, $D$9, 100%, $F$9) + CHOOSE(CONTROL!$C$27, 0.0021, 0)</f>
        <v>71.467100000000002</v>
      </c>
      <c r="H755" s="10">
        <f>71.3303 * CHOOSE(CONTROL!$C$9, $D$9, 100%, $F$9) + CHOOSE(CONTROL!$C$27, 0.0021, 0)</f>
        <v>71.332399999999993</v>
      </c>
      <c r="I755" s="10">
        <f>71.3303 * CHOOSE(CONTROL!$C$9, $D$9, 100%, $F$9) + CHOOSE(CONTROL!$C$27, 0.0021, 0)</f>
        <v>71.332399999999993</v>
      </c>
      <c r="J755" s="10">
        <f>71.3303 * CHOOSE(CONTROL!$C$9, $D$9, 100%, $F$9) + CHOOSE(CONTROL!$C$27, 0.0021, 0)</f>
        <v>71.332399999999993</v>
      </c>
      <c r="K755" s="10">
        <f>71.3303 * CHOOSE(CONTROL!$C$9, $D$9, 100%, $F$9) + CHOOSE(CONTROL!$C$27, 0.0021, 0)</f>
        <v>71.332399999999993</v>
      </c>
      <c r="L755" s="10"/>
    </row>
    <row r="756" spans="1:12" ht="15.75" x14ac:dyDescent="0.25">
      <c r="A756" s="13">
        <v>64315</v>
      </c>
      <c r="B756" s="10">
        <f>70.6987 * CHOOSE(CONTROL!$C$9, $D$9, 100%, $F$9) + CHOOSE(CONTROL!$C$27, 0.0021, 0)</f>
        <v>70.700800000000001</v>
      </c>
      <c r="C756" s="10">
        <f>70.2665 * CHOOSE(CONTROL!$C$9, $D$9, 100%, $F$9) + CHOOSE(CONTROL!$C$27, 0.0021, 0)</f>
        <v>70.268599999999992</v>
      </c>
      <c r="D756" s="10">
        <f>70.2665 * CHOOSE(CONTROL!$C$9, $D$9, 100%, $F$9) + CHOOSE(CONTROL!$C$27, 0.0021, 0)</f>
        <v>70.268599999999992</v>
      </c>
      <c r="E756" s="10">
        <f>70.1298 * CHOOSE(CONTROL!$C$9, $D$9, 100%, $F$9) + CHOOSE(CONTROL!$C$27, 0.0021, 0)</f>
        <v>70.131900000000002</v>
      </c>
      <c r="F756" s="10">
        <f>70.1298 * CHOOSE(CONTROL!$C$9, $D$9, 100%, $F$9) + CHOOSE(CONTROL!$C$27, 0.0021, 0)</f>
        <v>70.131900000000002</v>
      </c>
      <c r="G756" s="10">
        <f>70.4012 * CHOOSE(CONTROL!$C$9, $D$9, 100%, $F$9) + CHOOSE(CONTROL!$C$27, 0.0021, 0)</f>
        <v>70.403300000000002</v>
      </c>
      <c r="H756" s="10">
        <f>70.2665 * CHOOSE(CONTROL!$C$9, $D$9, 100%, $F$9) + CHOOSE(CONTROL!$C$27, 0.0021, 0)</f>
        <v>70.268599999999992</v>
      </c>
      <c r="I756" s="10">
        <f>70.2665 * CHOOSE(CONTROL!$C$9, $D$9, 100%, $F$9) + CHOOSE(CONTROL!$C$27, 0.0021, 0)</f>
        <v>70.268599999999992</v>
      </c>
      <c r="J756" s="10">
        <f>70.2665 * CHOOSE(CONTROL!$C$9, $D$9, 100%, $F$9) + CHOOSE(CONTROL!$C$27, 0.0021, 0)</f>
        <v>70.268599999999992</v>
      </c>
      <c r="K756" s="10">
        <f>70.2665 * CHOOSE(CONTROL!$C$9, $D$9, 100%, $F$9) + CHOOSE(CONTROL!$C$27, 0.0021, 0)</f>
        <v>70.268599999999992</v>
      </c>
      <c r="L756" s="10"/>
    </row>
    <row r="757" spans="1:12" ht="15.75" x14ac:dyDescent="0.25">
      <c r="A757" s="13">
        <v>64344</v>
      </c>
      <c r="B757" s="10">
        <f>68.7638 * CHOOSE(CONTROL!$C$9, $D$9, 100%, $F$9) + CHOOSE(CONTROL!$C$27, 0.0021, 0)</f>
        <v>68.765900000000002</v>
      </c>
      <c r="C757" s="10">
        <f>68.3316 * CHOOSE(CONTROL!$C$9, $D$9, 100%, $F$9) + CHOOSE(CONTROL!$C$27, 0.0021, 0)</f>
        <v>68.333699999999993</v>
      </c>
      <c r="D757" s="10">
        <f>68.3316 * CHOOSE(CONTROL!$C$9, $D$9, 100%, $F$9) + CHOOSE(CONTROL!$C$27, 0.0021, 0)</f>
        <v>68.333699999999993</v>
      </c>
      <c r="E757" s="10">
        <f>68.1949 * CHOOSE(CONTROL!$C$9, $D$9, 100%, $F$9) + CHOOSE(CONTROL!$C$27, 0.0021, 0)</f>
        <v>68.197000000000003</v>
      </c>
      <c r="F757" s="10">
        <f>68.1949 * CHOOSE(CONTROL!$C$9, $D$9, 100%, $F$9) + CHOOSE(CONTROL!$C$27, 0.0021, 0)</f>
        <v>68.197000000000003</v>
      </c>
      <c r="G757" s="10">
        <f>68.4663 * CHOOSE(CONTROL!$C$9, $D$9, 100%, $F$9) + CHOOSE(CONTROL!$C$27, 0.0021, 0)</f>
        <v>68.468400000000003</v>
      </c>
      <c r="H757" s="10">
        <f>68.3316 * CHOOSE(CONTROL!$C$9, $D$9, 100%, $F$9) + CHOOSE(CONTROL!$C$27, 0.0021, 0)</f>
        <v>68.333699999999993</v>
      </c>
      <c r="I757" s="10">
        <f>68.3316 * CHOOSE(CONTROL!$C$9, $D$9, 100%, $F$9) + CHOOSE(CONTROL!$C$27, 0.0021, 0)</f>
        <v>68.333699999999993</v>
      </c>
      <c r="J757" s="10">
        <f>68.3316 * CHOOSE(CONTROL!$C$9, $D$9, 100%, $F$9) + CHOOSE(CONTROL!$C$27, 0.0021, 0)</f>
        <v>68.333699999999993</v>
      </c>
      <c r="K757" s="10">
        <f>68.3316 * CHOOSE(CONTROL!$C$9, $D$9, 100%, $F$9) + CHOOSE(CONTROL!$C$27, 0.0021, 0)</f>
        <v>68.333699999999993</v>
      </c>
      <c r="L757" s="10"/>
    </row>
    <row r="758" spans="1:12" ht="15.75" x14ac:dyDescent="0.25">
      <c r="A758" s="13">
        <v>64375</v>
      </c>
      <c r="B758" s="10">
        <f>67.9651 * CHOOSE(CONTROL!$C$9, $D$9, 100%, $F$9) + CHOOSE(CONTROL!$C$27, 0.0021, 0)</f>
        <v>67.967200000000005</v>
      </c>
      <c r="C758" s="10">
        <f>67.5329 * CHOOSE(CONTROL!$C$9, $D$9, 100%, $F$9) + CHOOSE(CONTROL!$C$27, 0.0021, 0)</f>
        <v>67.534999999999997</v>
      </c>
      <c r="D758" s="10">
        <f>67.5329 * CHOOSE(CONTROL!$C$9, $D$9, 100%, $F$9) + CHOOSE(CONTROL!$C$27, 0.0021, 0)</f>
        <v>67.534999999999997</v>
      </c>
      <c r="E758" s="10">
        <f>67.3962 * CHOOSE(CONTROL!$C$9, $D$9, 100%, $F$9) + CHOOSE(CONTROL!$C$27, 0.0021, 0)</f>
        <v>67.398299999999992</v>
      </c>
      <c r="F758" s="10">
        <f>67.3962 * CHOOSE(CONTROL!$C$9, $D$9, 100%, $F$9) + CHOOSE(CONTROL!$C$27, 0.0021, 0)</f>
        <v>67.398299999999992</v>
      </c>
      <c r="G758" s="10">
        <f>67.6676 * CHOOSE(CONTROL!$C$9, $D$9, 100%, $F$9) + CHOOSE(CONTROL!$C$27, 0.0021, 0)</f>
        <v>67.669699999999992</v>
      </c>
      <c r="H758" s="10">
        <f>67.5329 * CHOOSE(CONTROL!$C$9, $D$9, 100%, $F$9) + CHOOSE(CONTROL!$C$27, 0.0021, 0)</f>
        <v>67.534999999999997</v>
      </c>
      <c r="I758" s="10">
        <f>67.5329 * CHOOSE(CONTROL!$C$9, $D$9, 100%, $F$9) + CHOOSE(CONTROL!$C$27, 0.0021, 0)</f>
        <v>67.534999999999997</v>
      </c>
      <c r="J758" s="10">
        <f>67.5329 * CHOOSE(CONTROL!$C$9, $D$9, 100%, $F$9) + CHOOSE(CONTROL!$C$27, 0.0021, 0)</f>
        <v>67.534999999999997</v>
      </c>
      <c r="K758" s="10">
        <f>67.5329 * CHOOSE(CONTROL!$C$9, $D$9, 100%, $F$9) + CHOOSE(CONTROL!$C$27, 0.0021, 0)</f>
        <v>67.534999999999997</v>
      </c>
      <c r="L758" s="10"/>
    </row>
    <row r="759" spans="1:12" ht="15.75" x14ac:dyDescent="0.25">
      <c r="A759" s="13">
        <v>64405</v>
      </c>
      <c r="B759" s="10">
        <f>67.0114 * CHOOSE(CONTROL!$C$9, $D$9, 100%, $F$9) + CHOOSE(CONTROL!$C$27, 0.0021, 0)</f>
        <v>67.013499999999993</v>
      </c>
      <c r="C759" s="10">
        <f>66.5792 * CHOOSE(CONTROL!$C$9, $D$9, 100%, $F$9) + CHOOSE(CONTROL!$C$27, 0.0021, 0)</f>
        <v>66.581299999999999</v>
      </c>
      <c r="D759" s="10">
        <f>66.5792 * CHOOSE(CONTROL!$C$9, $D$9, 100%, $F$9) + CHOOSE(CONTROL!$C$27, 0.0021, 0)</f>
        <v>66.581299999999999</v>
      </c>
      <c r="E759" s="10">
        <f>66.4425 * CHOOSE(CONTROL!$C$9, $D$9, 100%, $F$9) + CHOOSE(CONTROL!$C$27, 0.0021, 0)</f>
        <v>66.444599999999994</v>
      </c>
      <c r="F759" s="10">
        <f>66.4425 * CHOOSE(CONTROL!$C$9, $D$9, 100%, $F$9) + CHOOSE(CONTROL!$C$27, 0.0021, 0)</f>
        <v>66.444599999999994</v>
      </c>
      <c r="G759" s="10">
        <f>66.7139 * CHOOSE(CONTROL!$C$9, $D$9, 100%, $F$9) + CHOOSE(CONTROL!$C$27, 0.0021, 0)</f>
        <v>66.715999999999994</v>
      </c>
      <c r="H759" s="10">
        <f>66.5792 * CHOOSE(CONTROL!$C$9, $D$9, 100%, $F$9) + CHOOSE(CONTROL!$C$27, 0.0021, 0)</f>
        <v>66.581299999999999</v>
      </c>
      <c r="I759" s="10">
        <f>66.5792 * CHOOSE(CONTROL!$C$9, $D$9, 100%, $F$9) + CHOOSE(CONTROL!$C$27, 0.0021, 0)</f>
        <v>66.581299999999999</v>
      </c>
      <c r="J759" s="10">
        <f>66.5792 * CHOOSE(CONTROL!$C$9, $D$9, 100%, $F$9) + CHOOSE(CONTROL!$C$27, 0.0021, 0)</f>
        <v>66.581299999999999</v>
      </c>
      <c r="K759" s="10">
        <f>66.5792 * CHOOSE(CONTROL!$C$9, $D$9, 100%, $F$9) + CHOOSE(CONTROL!$C$27, 0.0021, 0)</f>
        <v>66.581299999999999</v>
      </c>
      <c r="L759" s="10"/>
    </row>
    <row r="760" spans="1:12" ht="15.75" x14ac:dyDescent="0.25">
      <c r="A760" s="13">
        <v>64436</v>
      </c>
      <c r="B760" s="10">
        <f>68.3705 * CHOOSE(CONTROL!$C$9, $D$9, 100%, $F$9) + CHOOSE(CONTROL!$C$27, 0.0021, 0)</f>
        <v>68.372600000000006</v>
      </c>
      <c r="C760" s="10">
        <f>67.9383 * CHOOSE(CONTROL!$C$9, $D$9, 100%, $F$9) + CHOOSE(CONTROL!$C$27, 0.0021, 0)</f>
        <v>67.940399999999997</v>
      </c>
      <c r="D760" s="10">
        <f>67.9383 * CHOOSE(CONTROL!$C$9, $D$9, 100%, $F$9) + CHOOSE(CONTROL!$C$27, 0.0021, 0)</f>
        <v>67.940399999999997</v>
      </c>
      <c r="E760" s="10">
        <f>67.8016 * CHOOSE(CONTROL!$C$9, $D$9, 100%, $F$9) + CHOOSE(CONTROL!$C$27, 0.0021, 0)</f>
        <v>67.803699999999992</v>
      </c>
      <c r="F760" s="10">
        <f>67.8016 * CHOOSE(CONTROL!$C$9, $D$9, 100%, $F$9) + CHOOSE(CONTROL!$C$27, 0.0021, 0)</f>
        <v>67.803699999999992</v>
      </c>
      <c r="G760" s="10">
        <f>68.073 * CHOOSE(CONTROL!$C$9, $D$9, 100%, $F$9) + CHOOSE(CONTROL!$C$27, 0.0021, 0)</f>
        <v>68.075099999999992</v>
      </c>
      <c r="H760" s="10">
        <f>67.9383 * CHOOSE(CONTROL!$C$9, $D$9, 100%, $F$9) + CHOOSE(CONTROL!$C$27, 0.0021, 0)</f>
        <v>67.940399999999997</v>
      </c>
      <c r="I760" s="10">
        <f>67.9383 * CHOOSE(CONTROL!$C$9, $D$9, 100%, $F$9) + CHOOSE(CONTROL!$C$27, 0.0021, 0)</f>
        <v>67.940399999999997</v>
      </c>
      <c r="J760" s="10">
        <f>67.9383 * CHOOSE(CONTROL!$C$9, $D$9, 100%, $F$9) + CHOOSE(CONTROL!$C$27, 0.0021, 0)</f>
        <v>67.940399999999997</v>
      </c>
      <c r="K760" s="10">
        <f>67.9383 * CHOOSE(CONTROL!$C$9, $D$9, 100%, $F$9) + CHOOSE(CONTROL!$C$27, 0.0021, 0)</f>
        <v>67.940399999999997</v>
      </c>
      <c r="L760" s="10"/>
    </row>
    <row r="761" spans="1:12" ht="15.75" x14ac:dyDescent="0.25">
      <c r="A761" s="13">
        <v>64466</v>
      </c>
      <c r="B761" s="10">
        <f>69.1846 * CHOOSE(CONTROL!$C$9, $D$9, 100%, $F$9) + CHOOSE(CONTROL!$C$27, 0.0021, 0)</f>
        <v>69.186700000000002</v>
      </c>
      <c r="C761" s="10">
        <f>68.7524 * CHOOSE(CONTROL!$C$9, $D$9, 100%, $F$9) + CHOOSE(CONTROL!$C$27, 0.0021, 0)</f>
        <v>68.754499999999993</v>
      </c>
      <c r="D761" s="10">
        <f>68.7524 * CHOOSE(CONTROL!$C$9, $D$9, 100%, $F$9) + CHOOSE(CONTROL!$C$27, 0.0021, 0)</f>
        <v>68.754499999999993</v>
      </c>
      <c r="E761" s="10">
        <f>68.6157 * CHOOSE(CONTROL!$C$9, $D$9, 100%, $F$9) + CHOOSE(CONTROL!$C$27, 0.0021, 0)</f>
        <v>68.617800000000003</v>
      </c>
      <c r="F761" s="10">
        <f>68.6157 * CHOOSE(CONTROL!$C$9, $D$9, 100%, $F$9) + CHOOSE(CONTROL!$C$27, 0.0021, 0)</f>
        <v>68.617800000000003</v>
      </c>
      <c r="G761" s="10">
        <f>68.8871 * CHOOSE(CONTROL!$C$9, $D$9, 100%, $F$9) + CHOOSE(CONTROL!$C$27, 0.0021, 0)</f>
        <v>68.889200000000002</v>
      </c>
      <c r="H761" s="10">
        <f>68.7524 * CHOOSE(CONTROL!$C$9, $D$9, 100%, $F$9) + CHOOSE(CONTROL!$C$27, 0.0021, 0)</f>
        <v>68.754499999999993</v>
      </c>
      <c r="I761" s="10">
        <f>68.7524 * CHOOSE(CONTROL!$C$9, $D$9, 100%, $F$9) + CHOOSE(CONTROL!$C$27, 0.0021, 0)</f>
        <v>68.754499999999993</v>
      </c>
      <c r="J761" s="10">
        <f>68.7524 * CHOOSE(CONTROL!$C$9, $D$9, 100%, $F$9) + CHOOSE(CONTROL!$C$27, 0.0021, 0)</f>
        <v>68.754499999999993</v>
      </c>
      <c r="K761" s="10">
        <f>68.7524 * CHOOSE(CONTROL!$C$9, $D$9, 100%, $F$9) + CHOOSE(CONTROL!$C$27, 0.0021, 0)</f>
        <v>68.754499999999993</v>
      </c>
      <c r="L761" s="10"/>
    </row>
    <row r="762" spans="1:12" ht="15.75" x14ac:dyDescent="0.25">
      <c r="A762" s="13">
        <v>64497</v>
      </c>
      <c r="B762" s="10">
        <f>70.5275 * CHOOSE(CONTROL!$C$9, $D$9, 100%, $F$9) + CHOOSE(CONTROL!$C$27, 0.0021, 0)</f>
        <v>70.529600000000002</v>
      </c>
      <c r="C762" s="10">
        <f>70.0953 * CHOOSE(CONTROL!$C$9, $D$9, 100%, $F$9) + CHOOSE(CONTROL!$C$27, 0.0021, 0)</f>
        <v>70.097399999999993</v>
      </c>
      <c r="D762" s="10">
        <f>70.0953 * CHOOSE(CONTROL!$C$9, $D$9, 100%, $F$9) + CHOOSE(CONTROL!$C$27, 0.0021, 0)</f>
        <v>70.097399999999993</v>
      </c>
      <c r="E762" s="10">
        <f>69.9586 * CHOOSE(CONTROL!$C$9, $D$9, 100%, $F$9) + CHOOSE(CONTROL!$C$27, 0.0021, 0)</f>
        <v>69.960700000000003</v>
      </c>
      <c r="F762" s="10">
        <f>69.9586 * CHOOSE(CONTROL!$C$9, $D$9, 100%, $F$9) + CHOOSE(CONTROL!$C$27, 0.0021, 0)</f>
        <v>69.960700000000003</v>
      </c>
      <c r="G762" s="10">
        <f>70.23 * CHOOSE(CONTROL!$C$9, $D$9, 100%, $F$9) + CHOOSE(CONTROL!$C$27, 0.0021, 0)</f>
        <v>70.232100000000003</v>
      </c>
      <c r="H762" s="10">
        <f>70.0953 * CHOOSE(CONTROL!$C$9, $D$9, 100%, $F$9) + CHOOSE(CONTROL!$C$27, 0.0021, 0)</f>
        <v>70.097399999999993</v>
      </c>
      <c r="I762" s="10">
        <f>70.0953 * CHOOSE(CONTROL!$C$9, $D$9, 100%, $F$9) + CHOOSE(CONTROL!$C$27, 0.0021, 0)</f>
        <v>70.097399999999993</v>
      </c>
      <c r="J762" s="10">
        <f>70.0953 * CHOOSE(CONTROL!$C$9, $D$9, 100%, $F$9) + CHOOSE(CONTROL!$C$27, 0.0021, 0)</f>
        <v>70.097399999999993</v>
      </c>
      <c r="K762" s="10">
        <f>70.0953 * CHOOSE(CONTROL!$C$9, $D$9, 100%, $F$9) + CHOOSE(CONTROL!$C$27, 0.0021, 0)</f>
        <v>70.097399999999993</v>
      </c>
      <c r="L762" s="10"/>
    </row>
    <row r="763" spans="1:12" ht="15.75" x14ac:dyDescent="0.25">
      <c r="A763" s="13">
        <v>64528</v>
      </c>
      <c r="B763" s="10">
        <f>70.9374 * CHOOSE(CONTROL!$C$9, $D$9, 100%, $F$9) + CHOOSE(CONTROL!$C$27, 0.0021, 0)</f>
        <v>70.939499999999995</v>
      </c>
      <c r="C763" s="10">
        <f>70.5052 * CHOOSE(CONTROL!$C$9, $D$9, 100%, $F$9) + CHOOSE(CONTROL!$C$27, 0.0021, 0)</f>
        <v>70.507300000000001</v>
      </c>
      <c r="D763" s="10">
        <f>70.5052 * CHOOSE(CONTROL!$C$9, $D$9, 100%, $F$9) + CHOOSE(CONTROL!$C$27, 0.0021, 0)</f>
        <v>70.507300000000001</v>
      </c>
      <c r="E763" s="10">
        <f>70.3685 * CHOOSE(CONTROL!$C$9, $D$9, 100%, $F$9) + CHOOSE(CONTROL!$C$27, 0.0021, 0)</f>
        <v>70.370599999999996</v>
      </c>
      <c r="F763" s="10">
        <f>70.3685 * CHOOSE(CONTROL!$C$9, $D$9, 100%, $F$9) + CHOOSE(CONTROL!$C$27, 0.0021, 0)</f>
        <v>70.370599999999996</v>
      </c>
      <c r="G763" s="10">
        <f>70.6399 * CHOOSE(CONTROL!$C$9, $D$9, 100%, $F$9) + CHOOSE(CONTROL!$C$27, 0.0021, 0)</f>
        <v>70.641999999999996</v>
      </c>
      <c r="H763" s="10">
        <f>70.5052 * CHOOSE(CONTROL!$C$9, $D$9, 100%, $F$9) + CHOOSE(CONTROL!$C$27, 0.0021, 0)</f>
        <v>70.507300000000001</v>
      </c>
      <c r="I763" s="10">
        <f>70.5052 * CHOOSE(CONTROL!$C$9, $D$9, 100%, $F$9) + CHOOSE(CONTROL!$C$27, 0.0021, 0)</f>
        <v>70.507300000000001</v>
      </c>
      <c r="J763" s="10">
        <f>70.5052 * CHOOSE(CONTROL!$C$9, $D$9, 100%, $F$9) + CHOOSE(CONTROL!$C$27, 0.0021, 0)</f>
        <v>70.507300000000001</v>
      </c>
      <c r="K763" s="10">
        <f>70.5052 * CHOOSE(CONTROL!$C$9, $D$9, 100%, $F$9) + CHOOSE(CONTROL!$C$27, 0.0021, 0)</f>
        <v>70.507300000000001</v>
      </c>
      <c r="L763" s="10"/>
    </row>
    <row r="764" spans="1:12" ht="15.75" x14ac:dyDescent="0.25">
      <c r="A764" s="13">
        <v>64558</v>
      </c>
      <c r="B764" s="10">
        <f>72.3333 * CHOOSE(CONTROL!$C$9, $D$9, 100%, $F$9) + CHOOSE(CONTROL!$C$27, 0.0021, 0)</f>
        <v>72.335399999999993</v>
      </c>
      <c r="C764" s="10">
        <f>71.9011 * CHOOSE(CONTROL!$C$9, $D$9, 100%, $F$9) + CHOOSE(CONTROL!$C$27, 0.0021, 0)</f>
        <v>71.903199999999998</v>
      </c>
      <c r="D764" s="10">
        <f>71.9011 * CHOOSE(CONTROL!$C$9, $D$9, 100%, $F$9) + CHOOSE(CONTROL!$C$27, 0.0021, 0)</f>
        <v>71.903199999999998</v>
      </c>
      <c r="E764" s="10">
        <f>71.7644 * CHOOSE(CONTROL!$C$9, $D$9, 100%, $F$9) + CHOOSE(CONTROL!$C$27, 0.0021, 0)</f>
        <v>71.766499999999994</v>
      </c>
      <c r="F764" s="10">
        <f>71.7644 * CHOOSE(CONTROL!$C$9, $D$9, 100%, $F$9) + CHOOSE(CONTROL!$C$27, 0.0021, 0)</f>
        <v>71.766499999999994</v>
      </c>
      <c r="G764" s="10">
        <f>72.0358 * CHOOSE(CONTROL!$C$9, $D$9, 100%, $F$9) + CHOOSE(CONTROL!$C$27, 0.0021, 0)</f>
        <v>72.037899999999993</v>
      </c>
      <c r="H764" s="10">
        <f>71.9011 * CHOOSE(CONTROL!$C$9, $D$9, 100%, $F$9) + CHOOSE(CONTROL!$C$27, 0.0021, 0)</f>
        <v>71.903199999999998</v>
      </c>
      <c r="I764" s="10">
        <f>71.9011 * CHOOSE(CONTROL!$C$9, $D$9, 100%, $F$9) + CHOOSE(CONTROL!$C$27, 0.0021, 0)</f>
        <v>71.903199999999998</v>
      </c>
      <c r="J764" s="10">
        <f>71.9011 * CHOOSE(CONTROL!$C$9, $D$9, 100%, $F$9) + CHOOSE(CONTROL!$C$27, 0.0021, 0)</f>
        <v>71.903199999999998</v>
      </c>
      <c r="K764" s="10">
        <f>71.9011 * CHOOSE(CONTROL!$C$9, $D$9, 100%, $F$9) + CHOOSE(CONTROL!$C$27, 0.0021, 0)</f>
        <v>71.903199999999998</v>
      </c>
      <c r="L764" s="10"/>
    </row>
    <row r="765" spans="1:12" ht="15.75" x14ac:dyDescent="0.25">
      <c r="A765" s="13">
        <v>64589</v>
      </c>
      <c r="B765" s="10">
        <f>74.1003 * CHOOSE(CONTROL!$C$9, $D$9, 100%, $F$9) + CHOOSE(CONTROL!$C$27, 0.0021, 0)</f>
        <v>74.102400000000003</v>
      </c>
      <c r="C765" s="10">
        <f>73.668 * CHOOSE(CONTROL!$C$9, $D$9, 100%, $F$9) + CHOOSE(CONTROL!$C$27, 0.0021, 0)</f>
        <v>73.670100000000005</v>
      </c>
      <c r="D765" s="10">
        <f>73.668 * CHOOSE(CONTROL!$C$9, $D$9, 100%, $F$9) + CHOOSE(CONTROL!$C$27, 0.0021, 0)</f>
        <v>73.670100000000005</v>
      </c>
      <c r="E765" s="10">
        <f>73.5314 * CHOOSE(CONTROL!$C$9, $D$9, 100%, $F$9) + CHOOSE(CONTROL!$C$27, 0.0021, 0)</f>
        <v>73.533500000000004</v>
      </c>
      <c r="F765" s="10">
        <f>73.5314 * CHOOSE(CONTROL!$C$9, $D$9, 100%, $F$9) + CHOOSE(CONTROL!$C$27, 0.0021, 0)</f>
        <v>73.533500000000004</v>
      </c>
      <c r="G765" s="10">
        <f>73.8027 * CHOOSE(CONTROL!$C$9, $D$9, 100%, $F$9) + CHOOSE(CONTROL!$C$27, 0.0021, 0)</f>
        <v>73.8048</v>
      </c>
      <c r="H765" s="10">
        <f>73.668 * CHOOSE(CONTROL!$C$9, $D$9, 100%, $F$9) + CHOOSE(CONTROL!$C$27, 0.0021, 0)</f>
        <v>73.670100000000005</v>
      </c>
      <c r="I765" s="10">
        <f>73.668 * CHOOSE(CONTROL!$C$9, $D$9, 100%, $F$9) + CHOOSE(CONTROL!$C$27, 0.0021, 0)</f>
        <v>73.670100000000005</v>
      </c>
      <c r="J765" s="10">
        <f>73.668 * CHOOSE(CONTROL!$C$9, $D$9, 100%, $F$9) + CHOOSE(CONTROL!$C$27, 0.0021, 0)</f>
        <v>73.670100000000005</v>
      </c>
      <c r="K765" s="10">
        <f>73.668 * CHOOSE(CONTROL!$C$9, $D$9, 100%, $F$9) + CHOOSE(CONTROL!$C$27, 0.0021, 0)</f>
        <v>73.670100000000005</v>
      </c>
      <c r="L765" s="10"/>
    </row>
    <row r="766" spans="1:12" ht="15.75" x14ac:dyDescent="0.25">
      <c r="A766" s="13">
        <v>64619</v>
      </c>
      <c r="B766" s="10">
        <f>74.2662 * CHOOSE(CONTROL!$C$9, $D$9, 100%, $F$9) + CHOOSE(CONTROL!$C$27, 0.0021, 0)</f>
        <v>74.268299999999996</v>
      </c>
      <c r="C766" s="10">
        <f>73.8339 * CHOOSE(CONTROL!$C$9, $D$9, 100%, $F$9) + CHOOSE(CONTROL!$C$27, 0.0021, 0)</f>
        <v>73.835999999999999</v>
      </c>
      <c r="D766" s="10">
        <f>73.8339 * CHOOSE(CONTROL!$C$9, $D$9, 100%, $F$9) + CHOOSE(CONTROL!$C$27, 0.0021, 0)</f>
        <v>73.835999999999999</v>
      </c>
      <c r="E766" s="10">
        <f>73.6972 * CHOOSE(CONTROL!$C$9, $D$9, 100%, $F$9) + CHOOSE(CONTROL!$C$27, 0.0021, 0)</f>
        <v>73.699299999999994</v>
      </c>
      <c r="F766" s="10">
        <f>73.6972 * CHOOSE(CONTROL!$C$9, $D$9, 100%, $F$9) + CHOOSE(CONTROL!$C$27, 0.0021, 0)</f>
        <v>73.699299999999994</v>
      </c>
      <c r="G766" s="10">
        <f>73.9686 * CHOOSE(CONTROL!$C$9, $D$9, 100%, $F$9) + CHOOSE(CONTROL!$C$27, 0.0021, 0)</f>
        <v>73.970699999999994</v>
      </c>
      <c r="H766" s="10">
        <f>73.8339 * CHOOSE(CONTROL!$C$9, $D$9, 100%, $F$9) + CHOOSE(CONTROL!$C$27, 0.0021, 0)</f>
        <v>73.835999999999999</v>
      </c>
      <c r="I766" s="10">
        <f>73.8339 * CHOOSE(CONTROL!$C$9, $D$9, 100%, $F$9) + CHOOSE(CONTROL!$C$27, 0.0021, 0)</f>
        <v>73.835999999999999</v>
      </c>
      <c r="J766" s="10">
        <f>73.8339 * CHOOSE(CONTROL!$C$9, $D$9, 100%, $F$9) + CHOOSE(CONTROL!$C$27, 0.0021, 0)</f>
        <v>73.835999999999999</v>
      </c>
      <c r="K766" s="10">
        <f>73.8339 * CHOOSE(CONTROL!$C$9, $D$9, 100%, $F$9) + CHOOSE(CONTROL!$C$27, 0.0021, 0)</f>
        <v>73.835999999999999</v>
      </c>
      <c r="L766" s="10"/>
    </row>
    <row r="767" spans="1:12" ht="15.75" x14ac:dyDescent="0.25">
      <c r="A767" s="13">
        <v>64650</v>
      </c>
      <c r="B767" s="10">
        <f>72.8549 * CHOOSE(CONTROL!$C$9, $D$9, 100%, $F$9) + CHOOSE(CONTROL!$C$27, 0.0021, 0)</f>
        <v>72.856999999999999</v>
      </c>
      <c r="C767" s="10">
        <f>72.4227 * CHOOSE(CONTROL!$C$9, $D$9, 100%, $F$9) + CHOOSE(CONTROL!$C$27, 0.0021, 0)</f>
        <v>72.424800000000005</v>
      </c>
      <c r="D767" s="10">
        <f>72.4227 * CHOOSE(CONTROL!$C$9, $D$9, 100%, $F$9) + CHOOSE(CONTROL!$C$27, 0.0021, 0)</f>
        <v>72.424800000000005</v>
      </c>
      <c r="E767" s="10">
        <f>72.286 * CHOOSE(CONTROL!$C$9, $D$9, 100%, $F$9) + CHOOSE(CONTROL!$C$27, 0.0021, 0)</f>
        <v>72.2881</v>
      </c>
      <c r="F767" s="10">
        <f>72.286 * CHOOSE(CONTROL!$C$9, $D$9, 100%, $F$9) + CHOOSE(CONTROL!$C$27, 0.0021, 0)</f>
        <v>72.2881</v>
      </c>
      <c r="G767" s="10">
        <f>72.5574 * CHOOSE(CONTROL!$C$9, $D$9, 100%, $F$9) + CHOOSE(CONTROL!$C$27, 0.0021, 0)</f>
        <v>72.5595</v>
      </c>
      <c r="H767" s="10">
        <f>72.4227 * CHOOSE(CONTROL!$C$9, $D$9, 100%, $F$9) + CHOOSE(CONTROL!$C$27, 0.0021, 0)</f>
        <v>72.424800000000005</v>
      </c>
      <c r="I767" s="10">
        <f>72.4227 * CHOOSE(CONTROL!$C$9, $D$9, 100%, $F$9) + CHOOSE(CONTROL!$C$27, 0.0021, 0)</f>
        <v>72.424800000000005</v>
      </c>
      <c r="J767" s="10">
        <f>72.4227 * CHOOSE(CONTROL!$C$9, $D$9, 100%, $F$9) + CHOOSE(CONTROL!$C$27, 0.0021, 0)</f>
        <v>72.424800000000005</v>
      </c>
      <c r="K767" s="10">
        <f>72.4227 * CHOOSE(CONTROL!$C$9, $D$9, 100%, $F$9) + CHOOSE(CONTROL!$C$27, 0.0021, 0)</f>
        <v>72.424800000000005</v>
      </c>
      <c r="L767" s="10"/>
    </row>
    <row r="768" spans="1:12" ht="15.75" x14ac:dyDescent="0.25">
      <c r="A768" s="13">
        <v>64681</v>
      </c>
      <c r="B768" s="10">
        <f>71.7744 * CHOOSE(CONTROL!$C$9, $D$9, 100%, $F$9) + CHOOSE(CONTROL!$C$27, 0.0021, 0)</f>
        <v>71.776499999999999</v>
      </c>
      <c r="C768" s="10">
        <f>71.3422 * CHOOSE(CONTROL!$C$9, $D$9, 100%, $F$9) + CHOOSE(CONTROL!$C$27, 0.0021, 0)</f>
        <v>71.344300000000004</v>
      </c>
      <c r="D768" s="10">
        <f>71.3422 * CHOOSE(CONTROL!$C$9, $D$9, 100%, $F$9) + CHOOSE(CONTROL!$C$27, 0.0021, 0)</f>
        <v>71.344300000000004</v>
      </c>
      <c r="E768" s="10">
        <f>71.2055 * CHOOSE(CONTROL!$C$9, $D$9, 100%, $F$9) + CHOOSE(CONTROL!$C$27, 0.0021, 0)</f>
        <v>71.207599999999999</v>
      </c>
      <c r="F768" s="10">
        <f>71.2055 * CHOOSE(CONTROL!$C$9, $D$9, 100%, $F$9) + CHOOSE(CONTROL!$C$27, 0.0021, 0)</f>
        <v>71.207599999999999</v>
      </c>
      <c r="G768" s="10">
        <f>71.4769 * CHOOSE(CONTROL!$C$9, $D$9, 100%, $F$9) + CHOOSE(CONTROL!$C$27, 0.0021, 0)</f>
        <v>71.478999999999999</v>
      </c>
      <c r="H768" s="10">
        <f>71.3422 * CHOOSE(CONTROL!$C$9, $D$9, 100%, $F$9) + CHOOSE(CONTROL!$C$27, 0.0021, 0)</f>
        <v>71.344300000000004</v>
      </c>
      <c r="I768" s="10">
        <f>71.3422 * CHOOSE(CONTROL!$C$9, $D$9, 100%, $F$9) + CHOOSE(CONTROL!$C$27, 0.0021, 0)</f>
        <v>71.344300000000004</v>
      </c>
      <c r="J768" s="10">
        <f>71.3422 * CHOOSE(CONTROL!$C$9, $D$9, 100%, $F$9) + CHOOSE(CONTROL!$C$27, 0.0021, 0)</f>
        <v>71.344300000000004</v>
      </c>
      <c r="K768" s="10">
        <f>71.3422 * CHOOSE(CONTROL!$C$9, $D$9, 100%, $F$9) + CHOOSE(CONTROL!$C$27, 0.0021, 0)</f>
        <v>71.344300000000004</v>
      </c>
      <c r="L768" s="10"/>
    </row>
    <row r="769" spans="1:12" ht="15.75" x14ac:dyDescent="0.25">
      <c r="A769" s="13">
        <v>64709</v>
      </c>
      <c r="B769" s="10">
        <f>69.8091 * CHOOSE(CONTROL!$C$9, $D$9, 100%, $F$9) + CHOOSE(CONTROL!$C$27, 0.0021, 0)</f>
        <v>69.811199999999999</v>
      </c>
      <c r="C769" s="10">
        <f>69.3768 * CHOOSE(CONTROL!$C$9, $D$9, 100%, $F$9) + CHOOSE(CONTROL!$C$27, 0.0021, 0)</f>
        <v>69.378900000000002</v>
      </c>
      <c r="D769" s="10">
        <f>69.3768 * CHOOSE(CONTROL!$C$9, $D$9, 100%, $F$9) + CHOOSE(CONTROL!$C$27, 0.0021, 0)</f>
        <v>69.378900000000002</v>
      </c>
      <c r="E769" s="10">
        <f>69.2402 * CHOOSE(CONTROL!$C$9, $D$9, 100%, $F$9) + CHOOSE(CONTROL!$C$27, 0.0021, 0)</f>
        <v>69.2423</v>
      </c>
      <c r="F769" s="10">
        <f>69.2402 * CHOOSE(CONTROL!$C$9, $D$9, 100%, $F$9) + CHOOSE(CONTROL!$C$27, 0.0021, 0)</f>
        <v>69.2423</v>
      </c>
      <c r="G769" s="10">
        <f>69.5116 * CHOOSE(CONTROL!$C$9, $D$9, 100%, $F$9) + CHOOSE(CONTROL!$C$27, 0.0021, 0)</f>
        <v>69.5137</v>
      </c>
      <c r="H769" s="10">
        <f>69.3768 * CHOOSE(CONTROL!$C$9, $D$9, 100%, $F$9) + CHOOSE(CONTROL!$C$27, 0.0021, 0)</f>
        <v>69.378900000000002</v>
      </c>
      <c r="I769" s="10">
        <f>69.3768 * CHOOSE(CONTROL!$C$9, $D$9, 100%, $F$9) + CHOOSE(CONTROL!$C$27, 0.0021, 0)</f>
        <v>69.378900000000002</v>
      </c>
      <c r="J769" s="10">
        <f>69.3768 * CHOOSE(CONTROL!$C$9, $D$9, 100%, $F$9) + CHOOSE(CONTROL!$C$27, 0.0021, 0)</f>
        <v>69.378900000000002</v>
      </c>
      <c r="K769" s="10">
        <f>69.3768 * CHOOSE(CONTROL!$C$9, $D$9, 100%, $F$9) + CHOOSE(CONTROL!$C$27, 0.0021, 0)</f>
        <v>69.378900000000002</v>
      </c>
      <c r="L769" s="10"/>
    </row>
    <row r="770" spans="1:12" ht="15.75" x14ac:dyDescent="0.25">
      <c r="A770" s="13">
        <v>64740</v>
      </c>
      <c r="B770" s="10">
        <f>68.9978 * CHOOSE(CONTROL!$C$9, $D$9, 100%, $F$9) + CHOOSE(CONTROL!$C$27, 0.0021, 0)</f>
        <v>68.999899999999997</v>
      </c>
      <c r="C770" s="10">
        <f>68.5656 * CHOOSE(CONTROL!$C$9, $D$9, 100%, $F$9) + CHOOSE(CONTROL!$C$27, 0.0021, 0)</f>
        <v>68.567700000000002</v>
      </c>
      <c r="D770" s="10">
        <f>68.5656 * CHOOSE(CONTROL!$C$9, $D$9, 100%, $F$9) + CHOOSE(CONTROL!$C$27, 0.0021, 0)</f>
        <v>68.567700000000002</v>
      </c>
      <c r="E770" s="10">
        <f>68.4289 * CHOOSE(CONTROL!$C$9, $D$9, 100%, $F$9) + CHOOSE(CONTROL!$C$27, 0.0021, 0)</f>
        <v>68.430999999999997</v>
      </c>
      <c r="F770" s="10">
        <f>68.4289 * CHOOSE(CONTROL!$C$9, $D$9, 100%, $F$9) + CHOOSE(CONTROL!$C$27, 0.0021, 0)</f>
        <v>68.430999999999997</v>
      </c>
      <c r="G770" s="10">
        <f>68.7003 * CHOOSE(CONTROL!$C$9, $D$9, 100%, $F$9) + CHOOSE(CONTROL!$C$27, 0.0021, 0)</f>
        <v>68.702399999999997</v>
      </c>
      <c r="H770" s="10">
        <f>68.5656 * CHOOSE(CONTROL!$C$9, $D$9, 100%, $F$9) + CHOOSE(CONTROL!$C$27, 0.0021, 0)</f>
        <v>68.567700000000002</v>
      </c>
      <c r="I770" s="10">
        <f>68.5656 * CHOOSE(CONTROL!$C$9, $D$9, 100%, $F$9) + CHOOSE(CONTROL!$C$27, 0.0021, 0)</f>
        <v>68.567700000000002</v>
      </c>
      <c r="J770" s="10">
        <f>68.5656 * CHOOSE(CONTROL!$C$9, $D$9, 100%, $F$9) + CHOOSE(CONTROL!$C$27, 0.0021, 0)</f>
        <v>68.567700000000002</v>
      </c>
      <c r="K770" s="10">
        <f>68.5656 * CHOOSE(CONTROL!$C$9, $D$9, 100%, $F$9) + CHOOSE(CONTROL!$C$27, 0.0021, 0)</f>
        <v>68.567700000000002</v>
      </c>
      <c r="L770" s="10"/>
    </row>
    <row r="771" spans="1:12" ht="15.75" x14ac:dyDescent="0.25">
      <c r="A771" s="13">
        <v>64770</v>
      </c>
      <c r="B771" s="10">
        <f>68.0291 * CHOOSE(CONTROL!$C$9, $D$9, 100%, $F$9) + CHOOSE(CONTROL!$C$27, 0.0021, 0)</f>
        <v>68.031199999999998</v>
      </c>
      <c r="C771" s="10">
        <f>67.5969 * CHOOSE(CONTROL!$C$9, $D$9, 100%, $F$9) + CHOOSE(CONTROL!$C$27, 0.0021, 0)</f>
        <v>67.599000000000004</v>
      </c>
      <c r="D771" s="10">
        <f>67.5969 * CHOOSE(CONTROL!$C$9, $D$9, 100%, $F$9) + CHOOSE(CONTROL!$C$27, 0.0021, 0)</f>
        <v>67.599000000000004</v>
      </c>
      <c r="E771" s="10">
        <f>67.4602 * CHOOSE(CONTROL!$C$9, $D$9, 100%, $F$9) + CHOOSE(CONTROL!$C$27, 0.0021, 0)</f>
        <v>67.462299999999999</v>
      </c>
      <c r="F771" s="10">
        <f>67.4602 * CHOOSE(CONTROL!$C$9, $D$9, 100%, $F$9) + CHOOSE(CONTROL!$C$27, 0.0021, 0)</f>
        <v>67.462299999999999</v>
      </c>
      <c r="G771" s="10">
        <f>67.7316 * CHOOSE(CONTROL!$C$9, $D$9, 100%, $F$9) + CHOOSE(CONTROL!$C$27, 0.0021, 0)</f>
        <v>67.733699999999999</v>
      </c>
      <c r="H771" s="10">
        <f>67.5969 * CHOOSE(CONTROL!$C$9, $D$9, 100%, $F$9) + CHOOSE(CONTROL!$C$27, 0.0021, 0)</f>
        <v>67.599000000000004</v>
      </c>
      <c r="I771" s="10">
        <f>67.5969 * CHOOSE(CONTROL!$C$9, $D$9, 100%, $F$9) + CHOOSE(CONTROL!$C$27, 0.0021, 0)</f>
        <v>67.599000000000004</v>
      </c>
      <c r="J771" s="10">
        <f>67.5969 * CHOOSE(CONTROL!$C$9, $D$9, 100%, $F$9) + CHOOSE(CONTROL!$C$27, 0.0021, 0)</f>
        <v>67.599000000000004</v>
      </c>
      <c r="K771" s="10">
        <f>67.5969 * CHOOSE(CONTROL!$C$9, $D$9, 100%, $F$9) + CHOOSE(CONTROL!$C$27, 0.0021, 0)</f>
        <v>67.599000000000004</v>
      </c>
      <c r="L771" s="10"/>
    </row>
    <row r="772" spans="1:12" ht="15.75" x14ac:dyDescent="0.25">
      <c r="A772" s="13">
        <v>64801</v>
      </c>
      <c r="B772" s="10">
        <f>69.4096 * CHOOSE(CONTROL!$C$9, $D$9, 100%, $F$9) + CHOOSE(CONTROL!$C$27, 0.0021, 0)</f>
        <v>69.411699999999996</v>
      </c>
      <c r="C772" s="10">
        <f>68.9774 * CHOOSE(CONTROL!$C$9, $D$9, 100%, $F$9) + CHOOSE(CONTROL!$C$27, 0.0021, 0)</f>
        <v>68.979500000000002</v>
      </c>
      <c r="D772" s="10">
        <f>68.9774 * CHOOSE(CONTROL!$C$9, $D$9, 100%, $F$9) + CHOOSE(CONTROL!$C$27, 0.0021, 0)</f>
        <v>68.979500000000002</v>
      </c>
      <c r="E772" s="10">
        <f>68.8407 * CHOOSE(CONTROL!$C$9, $D$9, 100%, $F$9) + CHOOSE(CONTROL!$C$27, 0.0021, 0)</f>
        <v>68.842799999999997</v>
      </c>
      <c r="F772" s="10">
        <f>68.8407 * CHOOSE(CONTROL!$C$9, $D$9, 100%, $F$9) + CHOOSE(CONTROL!$C$27, 0.0021, 0)</f>
        <v>68.842799999999997</v>
      </c>
      <c r="G772" s="10">
        <f>69.1121 * CHOOSE(CONTROL!$C$9, $D$9, 100%, $F$9) + CHOOSE(CONTROL!$C$27, 0.0021, 0)</f>
        <v>69.114199999999997</v>
      </c>
      <c r="H772" s="10">
        <f>68.9774 * CHOOSE(CONTROL!$C$9, $D$9, 100%, $F$9) + CHOOSE(CONTROL!$C$27, 0.0021, 0)</f>
        <v>68.979500000000002</v>
      </c>
      <c r="I772" s="10">
        <f>68.9774 * CHOOSE(CONTROL!$C$9, $D$9, 100%, $F$9) + CHOOSE(CONTROL!$C$27, 0.0021, 0)</f>
        <v>68.979500000000002</v>
      </c>
      <c r="J772" s="10">
        <f>68.9774 * CHOOSE(CONTROL!$C$9, $D$9, 100%, $F$9) + CHOOSE(CONTROL!$C$27, 0.0021, 0)</f>
        <v>68.979500000000002</v>
      </c>
      <c r="K772" s="10">
        <f>68.9774 * CHOOSE(CONTROL!$C$9, $D$9, 100%, $F$9) + CHOOSE(CONTROL!$C$27, 0.0021, 0)</f>
        <v>68.979500000000002</v>
      </c>
      <c r="L772" s="10"/>
    </row>
    <row r="773" spans="1:12" ht="15.75" x14ac:dyDescent="0.25">
      <c r="A773" s="13">
        <v>64831</v>
      </c>
      <c r="B773" s="10">
        <f>70.2365 * CHOOSE(CONTROL!$C$9, $D$9, 100%, $F$9) + CHOOSE(CONTROL!$C$27, 0.0021, 0)</f>
        <v>70.238600000000005</v>
      </c>
      <c r="C773" s="10">
        <f>69.8042 * CHOOSE(CONTROL!$C$9, $D$9, 100%, $F$9) + CHOOSE(CONTROL!$C$27, 0.0021, 0)</f>
        <v>69.806299999999993</v>
      </c>
      <c r="D773" s="10">
        <f>69.8042 * CHOOSE(CONTROL!$C$9, $D$9, 100%, $F$9) + CHOOSE(CONTROL!$C$27, 0.0021, 0)</f>
        <v>69.806299999999993</v>
      </c>
      <c r="E773" s="10">
        <f>69.6676 * CHOOSE(CONTROL!$C$9, $D$9, 100%, $F$9) + CHOOSE(CONTROL!$C$27, 0.0021, 0)</f>
        <v>69.669699999999992</v>
      </c>
      <c r="F773" s="10">
        <f>69.6676 * CHOOSE(CONTROL!$C$9, $D$9, 100%, $F$9) + CHOOSE(CONTROL!$C$27, 0.0021, 0)</f>
        <v>69.669699999999992</v>
      </c>
      <c r="G773" s="10">
        <f>69.939 * CHOOSE(CONTROL!$C$9, $D$9, 100%, $F$9) + CHOOSE(CONTROL!$C$27, 0.0021, 0)</f>
        <v>69.941099999999992</v>
      </c>
      <c r="H773" s="10">
        <f>69.8042 * CHOOSE(CONTROL!$C$9, $D$9, 100%, $F$9) + CHOOSE(CONTROL!$C$27, 0.0021, 0)</f>
        <v>69.806299999999993</v>
      </c>
      <c r="I773" s="10">
        <f>69.8042 * CHOOSE(CONTROL!$C$9, $D$9, 100%, $F$9) + CHOOSE(CONTROL!$C$27, 0.0021, 0)</f>
        <v>69.806299999999993</v>
      </c>
      <c r="J773" s="10">
        <f>69.8042 * CHOOSE(CONTROL!$C$9, $D$9, 100%, $F$9) + CHOOSE(CONTROL!$C$27, 0.0021, 0)</f>
        <v>69.806299999999993</v>
      </c>
      <c r="K773" s="10">
        <f>69.8042 * CHOOSE(CONTROL!$C$9, $D$9, 100%, $F$9) + CHOOSE(CONTROL!$C$27, 0.0021, 0)</f>
        <v>69.806299999999993</v>
      </c>
      <c r="L773" s="10"/>
    </row>
    <row r="774" spans="1:12" ht="15.75" x14ac:dyDescent="0.25">
      <c r="A774" s="13">
        <v>64862</v>
      </c>
      <c r="B774" s="10">
        <f>71.6005 * CHOOSE(CONTROL!$C$9, $D$9, 100%, $F$9) + CHOOSE(CONTROL!$C$27, 0.0021, 0)</f>
        <v>71.602599999999995</v>
      </c>
      <c r="C774" s="10">
        <f>71.1683 * CHOOSE(CONTROL!$C$9, $D$9, 100%, $F$9) + CHOOSE(CONTROL!$C$27, 0.0021, 0)</f>
        <v>71.170400000000001</v>
      </c>
      <c r="D774" s="10">
        <f>71.1683 * CHOOSE(CONTROL!$C$9, $D$9, 100%, $F$9) + CHOOSE(CONTROL!$C$27, 0.0021, 0)</f>
        <v>71.170400000000001</v>
      </c>
      <c r="E774" s="10">
        <f>71.0316 * CHOOSE(CONTROL!$C$9, $D$9, 100%, $F$9) + CHOOSE(CONTROL!$C$27, 0.0021, 0)</f>
        <v>71.033699999999996</v>
      </c>
      <c r="F774" s="10">
        <f>71.0316 * CHOOSE(CONTROL!$C$9, $D$9, 100%, $F$9) + CHOOSE(CONTROL!$C$27, 0.0021, 0)</f>
        <v>71.033699999999996</v>
      </c>
      <c r="G774" s="10">
        <f>71.303 * CHOOSE(CONTROL!$C$9, $D$9, 100%, $F$9) + CHOOSE(CONTROL!$C$27, 0.0021, 0)</f>
        <v>71.305099999999996</v>
      </c>
      <c r="H774" s="10">
        <f>71.1683 * CHOOSE(CONTROL!$C$9, $D$9, 100%, $F$9) + CHOOSE(CONTROL!$C$27, 0.0021, 0)</f>
        <v>71.170400000000001</v>
      </c>
      <c r="I774" s="10">
        <f>71.1683 * CHOOSE(CONTROL!$C$9, $D$9, 100%, $F$9) + CHOOSE(CONTROL!$C$27, 0.0021, 0)</f>
        <v>71.170400000000001</v>
      </c>
      <c r="J774" s="10">
        <f>71.1683 * CHOOSE(CONTROL!$C$9, $D$9, 100%, $F$9) + CHOOSE(CONTROL!$C$27, 0.0021, 0)</f>
        <v>71.170400000000001</v>
      </c>
      <c r="K774" s="10">
        <f>71.1683 * CHOOSE(CONTROL!$C$9, $D$9, 100%, $F$9) + CHOOSE(CONTROL!$C$27, 0.0021, 0)</f>
        <v>71.170400000000001</v>
      </c>
      <c r="L774" s="10"/>
    </row>
    <row r="775" spans="1:12" ht="15.75" x14ac:dyDescent="0.25">
      <c r="A775" s="13">
        <v>64893</v>
      </c>
      <c r="B775" s="10">
        <f>72.0169 * CHOOSE(CONTROL!$C$9, $D$9, 100%, $F$9) + CHOOSE(CONTROL!$C$27, 0.0021, 0)</f>
        <v>72.019000000000005</v>
      </c>
      <c r="C775" s="10">
        <f>71.5846 * CHOOSE(CONTROL!$C$9, $D$9, 100%, $F$9) + CHOOSE(CONTROL!$C$27, 0.0021, 0)</f>
        <v>71.586699999999993</v>
      </c>
      <c r="D775" s="10">
        <f>71.5846 * CHOOSE(CONTROL!$C$9, $D$9, 100%, $F$9) + CHOOSE(CONTROL!$C$27, 0.0021, 0)</f>
        <v>71.586699999999993</v>
      </c>
      <c r="E775" s="10">
        <f>71.4479 * CHOOSE(CONTROL!$C$9, $D$9, 100%, $F$9) + CHOOSE(CONTROL!$C$27, 0.0021, 0)</f>
        <v>71.45</v>
      </c>
      <c r="F775" s="10">
        <f>71.4479 * CHOOSE(CONTROL!$C$9, $D$9, 100%, $F$9) + CHOOSE(CONTROL!$C$27, 0.0021, 0)</f>
        <v>71.45</v>
      </c>
      <c r="G775" s="10">
        <f>71.7193 * CHOOSE(CONTROL!$C$9, $D$9, 100%, $F$9) + CHOOSE(CONTROL!$C$27, 0.0021, 0)</f>
        <v>71.721400000000003</v>
      </c>
      <c r="H775" s="10">
        <f>71.5846 * CHOOSE(CONTROL!$C$9, $D$9, 100%, $F$9) + CHOOSE(CONTROL!$C$27, 0.0021, 0)</f>
        <v>71.586699999999993</v>
      </c>
      <c r="I775" s="10">
        <f>71.5846 * CHOOSE(CONTROL!$C$9, $D$9, 100%, $F$9) + CHOOSE(CONTROL!$C$27, 0.0021, 0)</f>
        <v>71.586699999999993</v>
      </c>
      <c r="J775" s="10">
        <f>71.5846 * CHOOSE(CONTROL!$C$9, $D$9, 100%, $F$9) + CHOOSE(CONTROL!$C$27, 0.0021, 0)</f>
        <v>71.586699999999993</v>
      </c>
      <c r="K775" s="10">
        <f>71.5846 * CHOOSE(CONTROL!$C$9, $D$9, 100%, $F$9) + CHOOSE(CONTROL!$C$27, 0.0021, 0)</f>
        <v>71.586699999999993</v>
      </c>
      <c r="L775" s="10"/>
    </row>
    <row r="776" spans="1:12" ht="15.75" x14ac:dyDescent="0.25">
      <c r="A776" s="13">
        <v>64923</v>
      </c>
      <c r="B776" s="10">
        <f>73.4347 * CHOOSE(CONTROL!$C$9, $D$9, 100%, $F$9) + CHOOSE(CONTROL!$C$27, 0.0021, 0)</f>
        <v>73.436800000000005</v>
      </c>
      <c r="C776" s="10">
        <f>73.0025 * CHOOSE(CONTROL!$C$9, $D$9, 100%, $F$9) + CHOOSE(CONTROL!$C$27, 0.0021, 0)</f>
        <v>73.004599999999996</v>
      </c>
      <c r="D776" s="10">
        <f>73.0025 * CHOOSE(CONTROL!$C$9, $D$9, 100%, $F$9) + CHOOSE(CONTROL!$C$27, 0.0021, 0)</f>
        <v>73.004599999999996</v>
      </c>
      <c r="E776" s="10">
        <f>72.8658 * CHOOSE(CONTROL!$C$9, $D$9, 100%, $F$9) + CHOOSE(CONTROL!$C$27, 0.0021, 0)</f>
        <v>72.867899999999992</v>
      </c>
      <c r="F776" s="10">
        <f>72.8658 * CHOOSE(CONTROL!$C$9, $D$9, 100%, $F$9) + CHOOSE(CONTROL!$C$27, 0.0021, 0)</f>
        <v>72.867899999999992</v>
      </c>
      <c r="G776" s="10">
        <f>73.1372 * CHOOSE(CONTROL!$C$9, $D$9, 100%, $F$9) + CHOOSE(CONTROL!$C$27, 0.0021, 0)</f>
        <v>73.139300000000006</v>
      </c>
      <c r="H776" s="10">
        <f>73.0025 * CHOOSE(CONTROL!$C$9, $D$9, 100%, $F$9) + CHOOSE(CONTROL!$C$27, 0.0021, 0)</f>
        <v>73.004599999999996</v>
      </c>
      <c r="I776" s="10">
        <f>73.0025 * CHOOSE(CONTROL!$C$9, $D$9, 100%, $F$9) + CHOOSE(CONTROL!$C$27, 0.0021, 0)</f>
        <v>73.004599999999996</v>
      </c>
      <c r="J776" s="10">
        <f>73.0025 * CHOOSE(CONTROL!$C$9, $D$9, 100%, $F$9) + CHOOSE(CONTROL!$C$27, 0.0021, 0)</f>
        <v>73.004599999999996</v>
      </c>
      <c r="K776" s="10">
        <f>73.0025 * CHOOSE(CONTROL!$C$9, $D$9, 100%, $F$9) + CHOOSE(CONTROL!$C$27, 0.0021, 0)</f>
        <v>73.004599999999996</v>
      </c>
      <c r="L776" s="10"/>
    </row>
    <row r="777" spans="1:12" ht="15.75" x14ac:dyDescent="0.25">
      <c r="A777" s="13">
        <v>64954</v>
      </c>
      <c r="B777" s="10">
        <f>75.2294 * CHOOSE(CONTROL!$C$9, $D$9, 100%, $F$9) + CHOOSE(CONTROL!$C$27, 0.0021, 0)</f>
        <v>75.231499999999997</v>
      </c>
      <c r="C777" s="10">
        <f>74.7972 * CHOOSE(CONTROL!$C$9, $D$9, 100%, $F$9) + CHOOSE(CONTROL!$C$27, 0.0021, 0)</f>
        <v>74.799300000000002</v>
      </c>
      <c r="D777" s="10">
        <f>74.7972 * CHOOSE(CONTROL!$C$9, $D$9, 100%, $F$9) + CHOOSE(CONTROL!$C$27, 0.0021, 0)</f>
        <v>74.799300000000002</v>
      </c>
      <c r="E777" s="10">
        <f>74.6605 * CHOOSE(CONTROL!$C$9, $D$9, 100%, $F$9) + CHOOSE(CONTROL!$C$27, 0.0021, 0)</f>
        <v>74.662599999999998</v>
      </c>
      <c r="F777" s="10">
        <f>74.6605 * CHOOSE(CONTROL!$C$9, $D$9, 100%, $F$9) + CHOOSE(CONTROL!$C$27, 0.0021, 0)</f>
        <v>74.662599999999998</v>
      </c>
      <c r="G777" s="10">
        <f>74.9319 * CHOOSE(CONTROL!$C$9, $D$9, 100%, $F$9) + CHOOSE(CONTROL!$C$27, 0.0021, 0)</f>
        <v>74.933999999999997</v>
      </c>
      <c r="H777" s="10">
        <f>74.7972 * CHOOSE(CONTROL!$C$9, $D$9, 100%, $F$9) + CHOOSE(CONTROL!$C$27, 0.0021, 0)</f>
        <v>74.799300000000002</v>
      </c>
      <c r="I777" s="10">
        <f>74.7972 * CHOOSE(CONTROL!$C$9, $D$9, 100%, $F$9) + CHOOSE(CONTROL!$C$27, 0.0021, 0)</f>
        <v>74.799300000000002</v>
      </c>
      <c r="J777" s="10">
        <f>74.7972 * CHOOSE(CONTROL!$C$9, $D$9, 100%, $F$9) + CHOOSE(CONTROL!$C$27, 0.0021, 0)</f>
        <v>74.799300000000002</v>
      </c>
      <c r="K777" s="10">
        <f>74.7972 * CHOOSE(CONTROL!$C$9, $D$9, 100%, $F$9) + CHOOSE(CONTROL!$C$27, 0.0021, 0)</f>
        <v>74.799300000000002</v>
      </c>
      <c r="L777" s="10"/>
    </row>
    <row r="778" spans="1:12" ht="15.75" x14ac:dyDescent="0.25">
      <c r="A778" s="13">
        <v>64984</v>
      </c>
      <c r="B778" s="10">
        <f>75.3979 * CHOOSE(CONTROL!$C$9, $D$9, 100%, $F$9) + CHOOSE(CONTROL!$C$27, 0.0021, 0)</f>
        <v>75.400000000000006</v>
      </c>
      <c r="C778" s="10">
        <f>74.9657 * CHOOSE(CONTROL!$C$9, $D$9, 100%, $F$9) + CHOOSE(CONTROL!$C$27, 0.0021, 0)</f>
        <v>74.967799999999997</v>
      </c>
      <c r="D778" s="10">
        <f>74.9657 * CHOOSE(CONTROL!$C$9, $D$9, 100%, $F$9) + CHOOSE(CONTROL!$C$27, 0.0021, 0)</f>
        <v>74.967799999999997</v>
      </c>
      <c r="E778" s="10">
        <f>74.829 * CHOOSE(CONTROL!$C$9, $D$9, 100%, $F$9) + CHOOSE(CONTROL!$C$27, 0.0021, 0)</f>
        <v>74.831099999999992</v>
      </c>
      <c r="F778" s="10">
        <f>74.829 * CHOOSE(CONTROL!$C$9, $D$9, 100%, $F$9) + CHOOSE(CONTROL!$C$27, 0.0021, 0)</f>
        <v>74.831099999999992</v>
      </c>
      <c r="G778" s="10">
        <f>75.1004 * CHOOSE(CONTROL!$C$9, $D$9, 100%, $F$9) + CHOOSE(CONTROL!$C$27, 0.0021, 0)</f>
        <v>75.102499999999992</v>
      </c>
      <c r="H778" s="10">
        <f>74.9657 * CHOOSE(CONTROL!$C$9, $D$9, 100%, $F$9) + CHOOSE(CONTROL!$C$27, 0.0021, 0)</f>
        <v>74.967799999999997</v>
      </c>
      <c r="I778" s="10">
        <f>74.9657 * CHOOSE(CONTROL!$C$9, $D$9, 100%, $F$9) + CHOOSE(CONTROL!$C$27, 0.0021, 0)</f>
        <v>74.967799999999997</v>
      </c>
      <c r="J778" s="10">
        <f>74.9657 * CHOOSE(CONTROL!$C$9, $D$9, 100%, $F$9) + CHOOSE(CONTROL!$C$27, 0.0021, 0)</f>
        <v>74.967799999999997</v>
      </c>
      <c r="K778" s="10">
        <f>74.9657 * CHOOSE(CONTROL!$C$9, $D$9, 100%, $F$9) + CHOOSE(CONTROL!$C$27, 0.0021, 0)</f>
        <v>74.967799999999997</v>
      </c>
      <c r="L778" s="10"/>
    </row>
    <row r="779" spans="1:12" ht="15.75" x14ac:dyDescent="0.25">
      <c r="A779" s="13">
        <v>65015</v>
      </c>
      <c r="B779" s="10">
        <f>73.9645 * CHOOSE(CONTROL!$C$9, $D$9, 100%, $F$9) + CHOOSE(CONTROL!$C$27, 0.0021, 0)</f>
        <v>73.9666</v>
      </c>
      <c r="C779" s="10">
        <f>73.5323 * CHOOSE(CONTROL!$C$9, $D$9, 100%, $F$9) + CHOOSE(CONTROL!$C$27, 0.0021, 0)</f>
        <v>73.534400000000005</v>
      </c>
      <c r="D779" s="10">
        <f>73.5323 * CHOOSE(CONTROL!$C$9, $D$9, 100%, $F$9) + CHOOSE(CONTROL!$C$27, 0.0021, 0)</f>
        <v>73.534400000000005</v>
      </c>
      <c r="E779" s="10">
        <f>73.3956 * CHOOSE(CONTROL!$C$9, $D$9, 100%, $F$9) + CHOOSE(CONTROL!$C$27, 0.0021, 0)</f>
        <v>73.3977</v>
      </c>
      <c r="F779" s="10">
        <f>73.3956 * CHOOSE(CONTROL!$C$9, $D$9, 100%, $F$9) + CHOOSE(CONTROL!$C$27, 0.0021, 0)</f>
        <v>73.3977</v>
      </c>
      <c r="G779" s="10">
        <f>73.667 * CHOOSE(CONTROL!$C$9, $D$9, 100%, $F$9) + CHOOSE(CONTROL!$C$27, 0.0021, 0)</f>
        <v>73.6691</v>
      </c>
      <c r="H779" s="10">
        <f>73.5323 * CHOOSE(CONTROL!$C$9, $D$9, 100%, $F$9) + CHOOSE(CONTROL!$C$27, 0.0021, 0)</f>
        <v>73.534400000000005</v>
      </c>
      <c r="I779" s="10">
        <f>73.5323 * CHOOSE(CONTROL!$C$9, $D$9, 100%, $F$9) + CHOOSE(CONTROL!$C$27, 0.0021, 0)</f>
        <v>73.534400000000005</v>
      </c>
      <c r="J779" s="10">
        <f>73.5323 * CHOOSE(CONTROL!$C$9, $D$9, 100%, $F$9) + CHOOSE(CONTROL!$C$27, 0.0021, 0)</f>
        <v>73.534400000000005</v>
      </c>
      <c r="K779" s="10">
        <f>73.5323 * CHOOSE(CONTROL!$C$9, $D$9, 100%, $F$9) + CHOOSE(CONTROL!$C$27, 0.0021, 0)</f>
        <v>73.534400000000005</v>
      </c>
      <c r="L779" s="10"/>
    </row>
    <row r="780" spans="1:12" ht="15.75" x14ac:dyDescent="0.25">
      <c r="A780" s="13">
        <v>65046</v>
      </c>
      <c r="B780" s="10">
        <f>72.867 * CHOOSE(CONTROL!$C$9, $D$9, 100%, $F$9) + CHOOSE(CONTROL!$C$27, 0.0021, 0)</f>
        <v>72.869100000000003</v>
      </c>
      <c r="C780" s="10">
        <f>72.4348 * CHOOSE(CONTROL!$C$9, $D$9, 100%, $F$9) + CHOOSE(CONTROL!$C$27, 0.0021, 0)</f>
        <v>72.436899999999994</v>
      </c>
      <c r="D780" s="10">
        <f>72.4348 * CHOOSE(CONTROL!$C$9, $D$9, 100%, $F$9) + CHOOSE(CONTROL!$C$27, 0.0021, 0)</f>
        <v>72.436899999999994</v>
      </c>
      <c r="E780" s="10">
        <f>72.2981 * CHOOSE(CONTROL!$C$9, $D$9, 100%, $F$9) + CHOOSE(CONTROL!$C$27, 0.0021, 0)</f>
        <v>72.300200000000004</v>
      </c>
      <c r="F780" s="10">
        <f>72.2981 * CHOOSE(CONTROL!$C$9, $D$9, 100%, $F$9) + CHOOSE(CONTROL!$C$27, 0.0021, 0)</f>
        <v>72.300200000000004</v>
      </c>
      <c r="G780" s="10">
        <f>72.5695 * CHOOSE(CONTROL!$C$9, $D$9, 100%, $F$9) + CHOOSE(CONTROL!$C$27, 0.0021, 0)</f>
        <v>72.571600000000004</v>
      </c>
      <c r="H780" s="10">
        <f>72.4348 * CHOOSE(CONTROL!$C$9, $D$9, 100%, $F$9) + CHOOSE(CONTROL!$C$27, 0.0021, 0)</f>
        <v>72.436899999999994</v>
      </c>
      <c r="I780" s="10">
        <f>72.4348 * CHOOSE(CONTROL!$C$9, $D$9, 100%, $F$9) + CHOOSE(CONTROL!$C$27, 0.0021, 0)</f>
        <v>72.436899999999994</v>
      </c>
      <c r="J780" s="10">
        <f>72.4348 * CHOOSE(CONTROL!$C$9, $D$9, 100%, $F$9) + CHOOSE(CONTROL!$C$27, 0.0021, 0)</f>
        <v>72.436899999999994</v>
      </c>
      <c r="K780" s="10">
        <f>72.4348 * CHOOSE(CONTROL!$C$9, $D$9, 100%, $F$9) + CHOOSE(CONTROL!$C$27, 0.0021, 0)</f>
        <v>72.436899999999994</v>
      </c>
      <c r="L780" s="10"/>
    </row>
    <row r="781" spans="1:12" ht="15.75" x14ac:dyDescent="0.25">
      <c r="A781" s="13">
        <v>65074</v>
      </c>
      <c r="B781" s="10">
        <f>70.8708 * CHOOSE(CONTROL!$C$9, $D$9, 100%, $F$9) + CHOOSE(CONTROL!$C$27, 0.0021, 0)</f>
        <v>70.872900000000001</v>
      </c>
      <c r="C781" s="10">
        <f>70.4385 * CHOOSE(CONTROL!$C$9, $D$9, 100%, $F$9) + CHOOSE(CONTROL!$C$27, 0.0021, 0)</f>
        <v>70.440600000000003</v>
      </c>
      <c r="D781" s="10">
        <f>70.4385 * CHOOSE(CONTROL!$C$9, $D$9, 100%, $F$9) + CHOOSE(CONTROL!$C$27, 0.0021, 0)</f>
        <v>70.440600000000003</v>
      </c>
      <c r="E781" s="10">
        <f>70.3019 * CHOOSE(CONTROL!$C$9, $D$9, 100%, $F$9) + CHOOSE(CONTROL!$C$27, 0.0021, 0)</f>
        <v>70.304000000000002</v>
      </c>
      <c r="F781" s="10">
        <f>70.3019 * CHOOSE(CONTROL!$C$9, $D$9, 100%, $F$9) + CHOOSE(CONTROL!$C$27, 0.0021, 0)</f>
        <v>70.304000000000002</v>
      </c>
      <c r="G781" s="10">
        <f>70.5733 * CHOOSE(CONTROL!$C$9, $D$9, 100%, $F$9) + CHOOSE(CONTROL!$C$27, 0.0021, 0)</f>
        <v>70.575400000000002</v>
      </c>
      <c r="H781" s="10">
        <f>70.4385 * CHOOSE(CONTROL!$C$9, $D$9, 100%, $F$9) + CHOOSE(CONTROL!$C$27, 0.0021, 0)</f>
        <v>70.440600000000003</v>
      </c>
      <c r="I781" s="10">
        <f>70.4385 * CHOOSE(CONTROL!$C$9, $D$9, 100%, $F$9) + CHOOSE(CONTROL!$C$27, 0.0021, 0)</f>
        <v>70.440600000000003</v>
      </c>
      <c r="J781" s="10">
        <f>70.4385 * CHOOSE(CONTROL!$C$9, $D$9, 100%, $F$9) + CHOOSE(CONTROL!$C$27, 0.0021, 0)</f>
        <v>70.440600000000003</v>
      </c>
      <c r="K781" s="10">
        <f>70.4385 * CHOOSE(CONTROL!$C$9, $D$9, 100%, $F$9) + CHOOSE(CONTROL!$C$27, 0.0021, 0)</f>
        <v>70.440600000000003</v>
      </c>
      <c r="L781" s="10"/>
    </row>
    <row r="782" spans="1:12" ht="15.75" x14ac:dyDescent="0.25">
      <c r="A782" s="13">
        <v>65105</v>
      </c>
      <c r="B782" s="10">
        <f>70.0468 * CHOOSE(CONTROL!$C$9, $D$9, 100%, $F$9) + CHOOSE(CONTROL!$C$27, 0.0021, 0)</f>
        <v>70.048900000000003</v>
      </c>
      <c r="C782" s="10">
        <f>69.6145 * CHOOSE(CONTROL!$C$9, $D$9, 100%, $F$9) + CHOOSE(CONTROL!$C$27, 0.0021, 0)</f>
        <v>69.616600000000005</v>
      </c>
      <c r="D782" s="10">
        <f>69.6145 * CHOOSE(CONTROL!$C$9, $D$9, 100%, $F$9) + CHOOSE(CONTROL!$C$27, 0.0021, 0)</f>
        <v>69.616600000000005</v>
      </c>
      <c r="E782" s="10">
        <f>69.4778 * CHOOSE(CONTROL!$C$9, $D$9, 100%, $F$9) + CHOOSE(CONTROL!$C$27, 0.0021, 0)</f>
        <v>69.479900000000001</v>
      </c>
      <c r="F782" s="10">
        <f>69.4778 * CHOOSE(CONTROL!$C$9, $D$9, 100%, $F$9) + CHOOSE(CONTROL!$C$27, 0.0021, 0)</f>
        <v>69.479900000000001</v>
      </c>
      <c r="G782" s="10">
        <f>69.7492 * CHOOSE(CONTROL!$C$9, $D$9, 100%, $F$9) + CHOOSE(CONTROL!$C$27, 0.0021, 0)</f>
        <v>69.751300000000001</v>
      </c>
      <c r="H782" s="10">
        <f>69.6145 * CHOOSE(CONTROL!$C$9, $D$9, 100%, $F$9) + CHOOSE(CONTROL!$C$27, 0.0021, 0)</f>
        <v>69.616600000000005</v>
      </c>
      <c r="I782" s="10">
        <f>69.6145 * CHOOSE(CONTROL!$C$9, $D$9, 100%, $F$9) + CHOOSE(CONTROL!$C$27, 0.0021, 0)</f>
        <v>69.616600000000005</v>
      </c>
      <c r="J782" s="10">
        <f>69.6145 * CHOOSE(CONTROL!$C$9, $D$9, 100%, $F$9) + CHOOSE(CONTROL!$C$27, 0.0021, 0)</f>
        <v>69.616600000000005</v>
      </c>
      <c r="K782" s="10">
        <f>69.6145 * CHOOSE(CONTROL!$C$9, $D$9, 100%, $F$9) + CHOOSE(CONTROL!$C$27, 0.0021, 0)</f>
        <v>69.616600000000005</v>
      </c>
      <c r="L782" s="10"/>
    </row>
    <row r="783" spans="1:12" ht="15.75" x14ac:dyDescent="0.25">
      <c r="A783" s="13">
        <v>65135</v>
      </c>
      <c r="B783" s="10">
        <f>69.0628 * CHOOSE(CONTROL!$C$9, $D$9, 100%, $F$9) + CHOOSE(CONTROL!$C$27, 0.0021, 0)</f>
        <v>69.064899999999994</v>
      </c>
      <c r="C783" s="10">
        <f>68.6306 * CHOOSE(CONTROL!$C$9, $D$9, 100%, $F$9) + CHOOSE(CONTROL!$C$27, 0.0021, 0)</f>
        <v>68.6327</v>
      </c>
      <c r="D783" s="10">
        <f>68.6306 * CHOOSE(CONTROL!$C$9, $D$9, 100%, $F$9) + CHOOSE(CONTROL!$C$27, 0.0021, 0)</f>
        <v>68.6327</v>
      </c>
      <c r="E783" s="10">
        <f>68.4939 * CHOOSE(CONTROL!$C$9, $D$9, 100%, $F$9) + CHOOSE(CONTROL!$C$27, 0.0021, 0)</f>
        <v>68.495999999999995</v>
      </c>
      <c r="F783" s="10">
        <f>68.4939 * CHOOSE(CONTROL!$C$9, $D$9, 100%, $F$9) + CHOOSE(CONTROL!$C$27, 0.0021, 0)</f>
        <v>68.495999999999995</v>
      </c>
      <c r="G783" s="10">
        <f>68.7653 * CHOOSE(CONTROL!$C$9, $D$9, 100%, $F$9) + CHOOSE(CONTROL!$C$27, 0.0021, 0)</f>
        <v>68.767399999999995</v>
      </c>
      <c r="H783" s="10">
        <f>68.6306 * CHOOSE(CONTROL!$C$9, $D$9, 100%, $F$9) + CHOOSE(CONTROL!$C$27, 0.0021, 0)</f>
        <v>68.6327</v>
      </c>
      <c r="I783" s="10">
        <f>68.6306 * CHOOSE(CONTROL!$C$9, $D$9, 100%, $F$9) + CHOOSE(CONTROL!$C$27, 0.0021, 0)</f>
        <v>68.6327</v>
      </c>
      <c r="J783" s="10">
        <f>68.6306 * CHOOSE(CONTROL!$C$9, $D$9, 100%, $F$9) + CHOOSE(CONTROL!$C$27, 0.0021, 0)</f>
        <v>68.6327</v>
      </c>
      <c r="K783" s="10">
        <f>68.6306 * CHOOSE(CONTROL!$C$9, $D$9, 100%, $F$9) + CHOOSE(CONTROL!$C$27, 0.0021, 0)</f>
        <v>68.6327</v>
      </c>
      <c r="L783" s="10"/>
    </row>
    <row r="784" spans="1:12" ht="15.75" x14ac:dyDescent="0.25">
      <c r="A784" s="13">
        <v>65166</v>
      </c>
      <c r="B784" s="10">
        <f>70.465 * CHOOSE(CONTROL!$C$9, $D$9, 100%, $F$9) + CHOOSE(CONTROL!$C$27, 0.0021, 0)</f>
        <v>70.467100000000002</v>
      </c>
      <c r="C784" s="10">
        <f>70.0328 * CHOOSE(CONTROL!$C$9, $D$9, 100%, $F$9) + CHOOSE(CONTROL!$C$27, 0.0021, 0)</f>
        <v>70.034899999999993</v>
      </c>
      <c r="D784" s="10">
        <f>70.0328 * CHOOSE(CONTROL!$C$9, $D$9, 100%, $F$9) + CHOOSE(CONTROL!$C$27, 0.0021, 0)</f>
        <v>70.034899999999993</v>
      </c>
      <c r="E784" s="10">
        <f>69.8961 * CHOOSE(CONTROL!$C$9, $D$9, 100%, $F$9) + CHOOSE(CONTROL!$C$27, 0.0021, 0)</f>
        <v>69.898200000000003</v>
      </c>
      <c r="F784" s="10">
        <f>69.8961 * CHOOSE(CONTROL!$C$9, $D$9, 100%, $F$9) + CHOOSE(CONTROL!$C$27, 0.0021, 0)</f>
        <v>69.898200000000003</v>
      </c>
      <c r="G784" s="10">
        <f>70.1675 * CHOOSE(CONTROL!$C$9, $D$9, 100%, $F$9) + CHOOSE(CONTROL!$C$27, 0.0021, 0)</f>
        <v>70.169600000000003</v>
      </c>
      <c r="H784" s="10">
        <f>70.0328 * CHOOSE(CONTROL!$C$9, $D$9, 100%, $F$9) + CHOOSE(CONTROL!$C$27, 0.0021, 0)</f>
        <v>70.034899999999993</v>
      </c>
      <c r="I784" s="10">
        <f>70.0328 * CHOOSE(CONTROL!$C$9, $D$9, 100%, $F$9) + CHOOSE(CONTROL!$C$27, 0.0021, 0)</f>
        <v>70.034899999999993</v>
      </c>
      <c r="J784" s="10">
        <f>70.0328 * CHOOSE(CONTROL!$C$9, $D$9, 100%, $F$9) + CHOOSE(CONTROL!$C$27, 0.0021, 0)</f>
        <v>70.034899999999993</v>
      </c>
      <c r="K784" s="10">
        <f>70.0328 * CHOOSE(CONTROL!$C$9, $D$9, 100%, $F$9) + CHOOSE(CONTROL!$C$27, 0.0021, 0)</f>
        <v>70.034899999999993</v>
      </c>
      <c r="L784" s="10"/>
    </row>
    <row r="785" spans="1:12" ht="15.75" x14ac:dyDescent="0.25">
      <c r="A785" s="13">
        <v>65196</v>
      </c>
      <c r="B785" s="10">
        <f>71.3049 * CHOOSE(CONTROL!$C$9, $D$9, 100%, $F$9) + CHOOSE(CONTROL!$C$27, 0.0021, 0)</f>
        <v>71.307000000000002</v>
      </c>
      <c r="C785" s="10">
        <f>70.8727 * CHOOSE(CONTROL!$C$9, $D$9, 100%, $F$9) + CHOOSE(CONTROL!$C$27, 0.0021, 0)</f>
        <v>70.874799999999993</v>
      </c>
      <c r="D785" s="10">
        <f>70.8727 * CHOOSE(CONTROL!$C$9, $D$9, 100%, $F$9) + CHOOSE(CONTROL!$C$27, 0.0021, 0)</f>
        <v>70.874799999999993</v>
      </c>
      <c r="E785" s="10">
        <f>70.736 * CHOOSE(CONTROL!$C$9, $D$9, 100%, $F$9) + CHOOSE(CONTROL!$C$27, 0.0021, 0)</f>
        <v>70.738100000000003</v>
      </c>
      <c r="F785" s="10">
        <f>70.736 * CHOOSE(CONTROL!$C$9, $D$9, 100%, $F$9) + CHOOSE(CONTROL!$C$27, 0.0021, 0)</f>
        <v>70.738100000000003</v>
      </c>
      <c r="G785" s="10">
        <f>71.0074 * CHOOSE(CONTROL!$C$9, $D$9, 100%, $F$9) + CHOOSE(CONTROL!$C$27, 0.0021, 0)</f>
        <v>71.009500000000003</v>
      </c>
      <c r="H785" s="10">
        <f>70.8727 * CHOOSE(CONTROL!$C$9, $D$9, 100%, $F$9) + CHOOSE(CONTROL!$C$27, 0.0021, 0)</f>
        <v>70.874799999999993</v>
      </c>
      <c r="I785" s="10">
        <f>70.8727 * CHOOSE(CONTROL!$C$9, $D$9, 100%, $F$9) + CHOOSE(CONTROL!$C$27, 0.0021, 0)</f>
        <v>70.874799999999993</v>
      </c>
      <c r="J785" s="10">
        <f>70.8727 * CHOOSE(CONTROL!$C$9, $D$9, 100%, $F$9) + CHOOSE(CONTROL!$C$27, 0.0021, 0)</f>
        <v>70.874799999999993</v>
      </c>
      <c r="K785" s="10">
        <f>70.8727 * CHOOSE(CONTROL!$C$9, $D$9, 100%, $F$9) + CHOOSE(CONTROL!$C$27, 0.0021, 0)</f>
        <v>70.874799999999993</v>
      </c>
      <c r="L785" s="10"/>
    </row>
    <row r="786" spans="1:12" ht="15.75" x14ac:dyDescent="0.25">
      <c r="A786" s="13">
        <v>65227</v>
      </c>
      <c r="B786" s="10">
        <f>72.6904 * CHOOSE(CONTROL!$C$9, $D$9, 100%, $F$9) + CHOOSE(CONTROL!$C$27, 0.0021, 0)</f>
        <v>72.692499999999995</v>
      </c>
      <c r="C786" s="10">
        <f>72.2581 * CHOOSE(CONTROL!$C$9, $D$9, 100%, $F$9) + CHOOSE(CONTROL!$C$27, 0.0021, 0)</f>
        <v>72.260199999999998</v>
      </c>
      <c r="D786" s="10">
        <f>72.2581 * CHOOSE(CONTROL!$C$9, $D$9, 100%, $F$9) + CHOOSE(CONTROL!$C$27, 0.0021, 0)</f>
        <v>72.260199999999998</v>
      </c>
      <c r="E786" s="10">
        <f>72.1215 * CHOOSE(CONTROL!$C$9, $D$9, 100%, $F$9) + CHOOSE(CONTROL!$C$27, 0.0021, 0)</f>
        <v>72.123599999999996</v>
      </c>
      <c r="F786" s="10">
        <f>72.1215 * CHOOSE(CONTROL!$C$9, $D$9, 100%, $F$9) + CHOOSE(CONTROL!$C$27, 0.0021, 0)</f>
        <v>72.123599999999996</v>
      </c>
      <c r="G786" s="10">
        <f>72.3928 * CHOOSE(CONTROL!$C$9, $D$9, 100%, $F$9) + CHOOSE(CONTROL!$C$27, 0.0021, 0)</f>
        <v>72.394899999999993</v>
      </c>
      <c r="H786" s="10">
        <f>72.2581 * CHOOSE(CONTROL!$C$9, $D$9, 100%, $F$9) + CHOOSE(CONTROL!$C$27, 0.0021, 0)</f>
        <v>72.260199999999998</v>
      </c>
      <c r="I786" s="10">
        <f>72.2581 * CHOOSE(CONTROL!$C$9, $D$9, 100%, $F$9) + CHOOSE(CONTROL!$C$27, 0.0021, 0)</f>
        <v>72.260199999999998</v>
      </c>
      <c r="J786" s="10">
        <f>72.2581 * CHOOSE(CONTROL!$C$9, $D$9, 100%, $F$9) + CHOOSE(CONTROL!$C$27, 0.0021, 0)</f>
        <v>72.260199999999998</v>
      </c>
      <c r="K786" s="10">
        <f>72.2581 * CHOOSE(CONTROL!$C$9, $D$9, 100%, $F$9) + CHOOSE(CONTROL!$C$27, 0.0021, 0)</f>
        <v>72.260199999999998</v>
      </c>
      <c r="L786" s="10"/>
    </row>
    <row r="787" spans="1:12" ht="15.75" x14ac:dyDescent="0.25">
      <c r="A787" s="13">
        <v>65258</v>
      </c>
      <c r="B787" s="10">
        <f>73.1133 * CHOOSE(CONTROL!$C$9, $D$9, 100%, $F$9) + CHOOSE(CONTROL!$C$27, 0.0021, 0)</f>
        <v>73.115399999999994</v>
      </c>
      <c r="C787" s="10">
        <f>72.681 * CHOOSE(CONTROL!$C$9, $D$9, 100%, $F$9) + CHOOSE(CONTROL!$C$27, 0.0021, 0)</f>
        <v>72.683099999999996</v>
      </c>
      <c r="D787" s="10">
        <f>72.681 * CHOOSE(CONTROL!$C$9, $D$9, 100%, $F$9) + CHOOSE(CONTROL!$C$27, 0.0021, 0)</f>
        <v>72.683099999999996</v>
      </c>
      <c r="E787" s="10">
        <f>72.5444 * CHOOSE(CONTROL!$C$9, $D$9, 100%, $F$9) + CHOOSE(CONTROL!$C$27, 0.0021, 0)</f>
        <v>72.546499999999995</v>
      </c>
      <c r="F787" s="10">
        <f>72.5444 * CHOOSE(CONTROL!$C$9, $D$9, 100%, $F$9) + CHOOSE(CONTROL!$C$27, 0.0021, 0)</f>
        <v>72.546499999999995</v>
      </c>
      <c r="G787" s="10">
        <f>72.8157 * CHOOSE(CONTROL!$C$9, $D$9, 100%, $F$9) + CHOOSE(CONTROL!$C$27, 0.0021, 0)</f>
        <v>72.817800000000005</v>
      </c>
      <c r="H787" s="10">
        <f>72.681 * CHOOSE(CONTROL!$C$9, $D$9, 100%, $F$9) + CHOOSE(CONTROL!$C$27, 0.0021, 0)</f>
        <v>72.683099999999996</v>
      </c>
      <c r="I787" s="10">
        <f>72.681 * CHOOSE(CONTROL!$C$9, $D$9, 100%, $F$9) + CHOOSE(CONTROL!$C$27, 0.0021, 0)</f>
        <v>72.683099999999996</v>
      </c>
      <c r="J787" s="10">
        <f>72.681 * CHOOSE(CONTROL!$C$9, $D$9, 100%, $F$9) + CHOOSE(CONTROL!$C$27, 0.0021, 0)</f>
        <v>72.683099999999996</v>
      </c>
      <c r="K787" s="10">
        <f>72.681 * CHOOSE(CONTROL!$C$9, $D$9, 100%, $F$9) + CHOOSE(CONTROL!$C$27, 0.0021, 0)</f>
        <v>72.683099999999996</v>
      </c>
      <c r="L787" s="10"/>
    </row>
    <row r="788" spans="1:12" ht="15.75" x14ac:dyDescent="0.25">
      <c r="A788" s="13">
        <v>65288</v>
      </c>
      <c r="B788" s="10">
        <f>74.5534 * CHOOSE(CONTROL!$C$9, $D$9, 100%, $F$9) + CHOOSE(CONTROL!$C$27, 0.0021, 0)</f>
        <v>74.555499999999995</v>
      </c>
      <c r="C788" s="10">
        <f>74.1212 * CHOOSE(CONTROL!$C$9, $D$9, 100%, $F$9) + CHOOSE(CONTROL!$C$27, 0.0021, 0)</f>
        <v>74.1233</v>
      </c>
      <c r="D788" s="10">
        <f>74.1212 * CHOOSE(CONTROL!$C$9, $D$9, 100%, $F$9) + CHOOSE(CONTROL!$C$27, 0.0021, 0)</f>
        <v>74.1233</v>
      </c>
      <c r="E788" s="10">
        <f>73.9845 * CHOOSE(CONTROL!$C$9, $D$9, 100%, $F$9) + CHOOSE(CONTROL!$C$27, 0.0021, 0)</f>
        <v>73.986599999999996</v>
      </c>
      <c r="F788" s="10">
        <f>73.9845 * CHOOSE(CONTROL!$C$9, $D$9, 100%, $F$9) + CHOOSE(CONTROL!$C$27, 0.0021, 0)</f>
        <v>73.986599999999996</v>
      </c>
      <c r="G788" s="10">
        <f>74.2559 * CHOOSE(CONTROL!$C$9, $D$9, 100%, $F$9) + CHOOSE(CONTROL!$C$27, 0.0021, 0)</f>
        <v>74.257999999999996</v>
      </c>
      <c r="H788" s="10">
        <f>74.1212 * CHOOSE(CONTROL!$C$9, $D$9, 100%, $F$9) + CHOOSE(CONTROL!$C$27, 0.0021, 0)</f>
        <v>74.1233</v>
      </c>
      <c r="I788" s="10">
        <f>74.1212 * CHOOSE(CONTROL!$C$9, $D$9, 100%, $F$9) + CHOOSE(CONTROL!$C$27, 0.0021, 0)</f>
        <v>74.1233</v>
      </c>
      <c r="J788" s="10">
        <f>74.1212 * CHOOSE(CONTROL!$C$9, $D$9, 100%, $F$9) + CHOOSE(CONTROL!$C$27, 0.0021, 0)</f>
        <v>74.1233</v>
      </c>
      <c r="K788" s="10">
        <f>74.1212 * CHOOSE(CONTROL!$C$9, $D$9, 100%, $F$9) + CHOOSE(CONTROL!$C$27, 0.0021, 0)</f>
        <v>74.1233</v>
      </c>
      <c r="L788" s="10"/>
    </row>
    <row r="789" spans="1:12" ht="15.75" x14ac:dyDescent="0.25">
      <c r="A789" s="13">
        <v>65319</v>
      </c>
      <c r="B789" s="10">
        <f>76.3764 * CHOOSE(CONTROL!$C$9, $D$9, 100%, $F$9) + CHOOSE(CONTROL!$C$27, 0.0021, 0)</f>
        <v>76.378500000000003</v>
      </c>
      <c r="C789" s="10">
        <f>75.9441 * CHOOSE(CONTROL!$C$9, $D$9, 100%, $F$9) + CHOOSE(CONTROL!$C$27, 0.0021, 0)</f>
        <v>75.946200000000005</v>
      </c>
      <c r="D789" s="10">
        <f>75.9441 * CHOOSE(CONTROL!$C$9, $D$9, 100%, $F$9) + CHOOSE(CONTROL!$C$27, 0.0021, 0)</f>
        <v>75.946200000000005</v>
      </c>
      <c r="E789" s="10">
        <f>75.8075 * CHOOSE(CONTROL!$C$9, $D$9, 100%, $F$9) + CHOOSE(CONTROL!$C$27, 0.0021, 0)</f>
        <v>75.809600000000003</v>
      </c>
      <c r="F789" s="10">
        <f>75.8075 * CHOOSE(CONTROL!$C$9, $D$9, 100%, $F$9) + CHOOSE(CONTROL!$C$27, 0.0021, 0)</f>
        <v>75.809600000000003</v>
      </c>
      <c r="G789" s="10">
        <f>76.0788 * CHOOSE(CONTROL!$C$9, $D$9, 100%, $F$9) + CHOOSE(CONTROL!$C$27, 0.0021, 0)</f>
        <v>76.0809</v>
      </c>
      <c r="H789" s="10">
        <f>75.9441 * CHOOSE(CONTROL!$C$9, $D$9, 100%, $F$9) + CHOOSE(CONTROL!$C$27, 0.0021, 0)</f>
        <v>75.946200000000005</v>
      </c>
      <c r="I789" s="10">
        <f>75.9441 * CHOOSE(CONTROL!$C$9, $D$9, 100%, $F$9) + CHOOSE(CONTROL!$C$27, 0.0021, 0)</f>
        <v>75.946200000000005</v>
      </c>
      <c r="J789" s="10">
        <f>75.9441 * CHOOSE(CONTROL!$C$9, $D$9, 100%, $F$9) + CHOOSE(CONTROL!$C$27, 0.0021, 0)</f>
        <v>75.946200000000005</v>
      </c>
      <c r="K789" s="10">
        <f>75.9441 * CHOOSE(CONTROL!$C$9, $D$9, 100%, $F$9) + CHOOSE(CONTROL!$C$27, 0.0021, 0)</f>
        <v>75.946200000000005</v>
      </c>
      <c r="L789" s="10"/>
    </row>
    <row r="790" spans="1:12" ht="15.75" x14ac:dyDescent="0.25">
      <c r="A790" s="13">
        <v>65349</v>
      </c>
      <c r="B790" s="10">
        <f>76.5475 * CHOOSE(CONTROL!$C$9, $D$9, 100%, $F$9) + CHOOSE(CONTROL!$C$27, 0.0021, 0)</f>
        <v>76.549599999999998</v>
      </c>
      <c r="C790" s="10">
        <f>76.1153 * CHOOSE(CONTROL!$C$9, $D$9, 100%, $F$9) + CHOOSE(CONTROL!$C$27, 0.0021, 0)</f>
        <v>76.117400000000004</v>
      </c>
      <c r="D790" s="10">
        <f>76.1153 * CHOOSE(CONTROL!$C$9, $D$9, 100%, $F$9) + CHOOSE(CONTROL!$C$27, 0.0021, 0)</f>
        <v>76.117400000000004</v>
      </c>
      <c r="E790" s="10">
        <f>75.9786 * CHOOSE(CONTROL!$C$9, $D$9, 100%, $F$9) + CHOOSE(CONTROL!$C$27, 0.0021, 0)</f>
        <v>75.980699999999999</v>
      </c>
      <c r="F790" s="10">
        <f>75.9786 * CHOOSE(CONTROL!$C$9, $D$9, 100%, $F$9) + CHOOSE(CONTROL!$C$27, 0.0021, 0)</f>
        <v>75.980699999999999</v>
      </c>
      <c r="G790" s="10">
        <f>76.25 * CHOOSE(CONTROL!$C$9, $D$9, 100%, $F$9) + CHOOSE(CONTROL!$C$27, 0.0021, 0)</f>
        <v>76.252099999999999</v>
      </c>
      <c r="H790" s="10">
        <f>76.1153 * CHOOSE(CONTROL!$C$9, $D$9, 100%, $F$9) + CHOOSE(CONTROL!$C$27, 0.0021, 0)</f>
        <v>76.117400000000004</v>
      </c>
      <c r="I790" s="10">
        <f>76.1153 * CHOOSE(CONTROL!$C$9, $D$9, 100%, $F$9) + CHOOSE(CONTROL!$C$27, 0.0021, 0)</f>
        <v>76.117400000000004</v>
      </c>
      <c r="J790" s="10">
        <f>76.1153 * CHOOSE(CONTROL!$C$9, $D$9, 100%, $F$9) + CHOOSE(CONTROL!$C$27, 0.0021, 0)</f>
        <v>76.117400000000004</v>
      </c>
      <c r="K790" s="10">
        <f>76.1153 * CHOOSE(CONTROL!$C$9, $D$9, 100%, $F$9) + CHOOSE(CONTROL!$C$27, 0.0021, 0)</f>
        <v>76.117400000000004</v>
      </c>
      <c r="L790" s="10"/>
    </row>
    <row r="791" spans="1:12" ht="15.75" x14ac:dyDescent="0.25">
      <c r="A791" s="13">
        <v>65380</v>
      </c>
      <c r="B791" s="10">
        <f>75.0915 * CHOOSE(CONTROL!$C$9, $D$9, 100%, $F$9) + CHOOSE(CONTROL!$C$27, 0.0021, 0)</f>
        <v>75.093599999999995</v>
      </c>
      <c r="C791" s="10">
        <f>74.6593 * CHOOSE(CONTROL!$C$9, $D$9, 100%, $F$9) + CHOOSE(CONTROL!$C$27, 0.0021, 0)</f>
        <v>74.6614</v>
      </c>
      <c r="D791" s="10">
        <f>74.6593 * CHOOSE(CONTROL!$C$9, $D$9, 100%, $F$9) + CHOOSE(CONTROL!$C$27, 0.0021, 0)</f>
        <v>74.6614</v>
      </c>
      <c r="E791" s="10">
        <f>74.5226 * CHOOSE(CONTROL!$C$9, $D$9, 100%, $F$9) + CHOOSE(CONTROL!$C$27, 0.0021, 0)</f>
        <v>74.524699999999996</v>
      </c>
      <c r="F791" s="10">
        <f>74.5226 * CHOOSE(CONTROL!$C$9, $D$9, 100%, $F$9) + CHOOSE(CONTROL!$C$27, 0.0021, 0)</f>
        <v>74.524699999999996</v>
      </c>
      <c r="G791" s="10">
        <f>74.794 * CHOOSE(CONTROL!$C$9, $D$9, 100%, $F$9) + CHOOSE(CONTROL!$C$27, 0.0021, 0)</f>
        <v>74.796099999999996</v>
      </c>
      <c r="H791" s="10">
        <f>74.6593 * CHOOSE(CONTROL!$C$9, $D$9, 100%, $F$9) + CHOOSE(CONTROL!$C$27, 0.0021, 0)</f>
        <v>74.6614</v>
      </c>
      <c r="I791" s="10">
        <f>74.6593 * CHOOSE(CONTROL!$C$9, $D$9, 100%, $F$9) + CHOOSE(CONTROL!$C$27, 0.0021, 0)</f>
        <v>74.6614</v>
      </c>
      <c r="J791" s="10">
        <f>74.6593 * CHOOSE(CONTROL!$C$9, $D$9, 100%, $F$9) + CHOOSE(CONTROL!$C$27, 0.0021, 0)</f>
        <v>74.6614</v>
      </c>
      <c r="K791" s="10">
        <f>74.6593 * CHOOSE(CONTROL!$C$9, $D$9, 100%, $F$9) + CHOOSE(CONTROL!$C$27, 0.0021, 0)</f>
        <v>74.6614</v>
      </c>
      <c r="L791" s="10"/>
    </row>
    <row r="792" spans="1:12" ht="15.75" x14ac:dyDescent="0.25">
      <c r="A792" s="13">
        <v>65411</v>
      </c>
      <c r="B792" s="10">
        <f>73.9768 * CHOOSE(CONTROL!$C$9, $D$9, 100%, $F$9) + CHOOSE(CONTROL!$C$27, 0.0021, 0)</f>
        <v>73.978899999999996</v>
      </c>
      <c r="C792" s="10">
        <f>73.5446 * CHOOSE(CONTROL!$C$9, $D$9, 100%, $F$9) + CHOOSE(CONTROL!$C$27, 0.0021, 0)</f>
        <v>73.546700000000001</v>
      </c>
      <c r="D792" s="10">
        <f>73.5446 * CHOOSE(CONTROL!$C$9, $D$9, 100%, $F$9) + CHOOSE(CONTROL!$C$27, 0.0021, 0)</f>
        <v>73.546700000000001</v>
      </c>
      <c r="E792" s="10">
        <f>73.4079 * CHOOSE(CONTROL!$C$9, $D$9, 100%, $F$9) + CHOOSE(CONTROL!$C$27, 0.0021, 0)</f>
        <v>73.41</v>
      </c>
      <c r="F792" s="10">
        <f>73.4079 * CHOOSE(CONTROL!$C$9, $D$9, 100%, $F$9) + CHOOSE(CONTROL!$C$27, 0.0021, 0)</f>
        <v>73.41</v>
      </c>
      <c r="G792" s="10">
        <f>73.6793 * CHOOSE(CONTROL!$C$9, $D$9, 100%, $F$9) + CHOOSE(CONTROL!$C$27, 0.0021, 0)</f>
        <v>73.681399999999996</v>
      </c>
      <c r="H792" s="10">
        <f>73.5446 * CHOOSE(CONTROL!$C$9, $D$9, 100%, $F$9) + CHOOSE(CONTROL!$C$27, 0.0021, 0)</f>
        <v>73.546700000000001</v>
      </c>
      <c r="I792" s="10">
        <f>73.5446 * CHOOSE(CONTROL!$C$9, $D$9, 100%, $F$9) + CHOOSE(CONTROL!$C$27, 0.0021, 0)</f>
        <v>73.546700000000001</v>
      </c>
      <c r="J792" s="10">
        <f>73.5446 * CHOOSE(CONTROL!$C$9, $D$9, 100%, $F$9) + CHOOSE(CONTROL!$C$27, 0.0021, 0)</f>
        <v>73.546700000000001</v>
      </c>
      <c r="K792" s="10">
        <f>73.5446 * CHOOSE(CONTROL!$C$9, $D$9, 100%, $F$9) + CHOOSE(CONTROL!$C$27, 0.0021, 0)</f>
        <v>73.546700000000001</v>
      </c>
      <c r="L792" s="10"/>
    </row>
    <row r="793" spans="1:12" ht="15.75" x14ac:dyDescent="0.25">
      <c r="A793" s="13">
        <v>65439</v>
      </c>
      <c r="B793" s="10">
        <f>71.9492 * CHOOSE(CONTROL!$C$9, $D$9, 100%, $F$9) + CHOOSE(CONTROL!$C$27, 0.0021, 0)</f>
        <v>71.951300000000003</v>
      </c>
      <c r="C793" s="10">
        <f>71.5169 * CHOOSE(CONTROL!$C$9, $D$9, 100%, $F$9) + CHOOSE(CONTROL!$C$27, 0.0021, 0)</f>
        <v>71.519000000000005</v>
      </c>
      <c r="D793" s="10">
        <f>71.5169 * CHOOSE(CONTROL!$C$9, $D$9, 100%, $F$9) + CHOOSE(CONTROL!$C$27, 0.0021, 0)</f>
        <v>71.519000000000005</v>
      </c>
      <c r="E793" s="10">
        <f>71.3803 * CHOOSE(CONTROL!$C$9, $D$9, 100%, $F$9) + CHOOSE(CONTROL!$C$27, 0.0021, 0)</f>
        <v>71.382400000000004</v>
      </c>
      <c r="F793" s="10">
        <f>71.3803 * CHOOSE(CONTROL!$C$9, $D$9, 100%, $F$9) + CHOOSE(CONTROL!$C$27, 0.0021, 0)</f>
        <v>71.382400000000004</v>
      </c>
      <c r="G793" s="10">
        <f>71.6517 * CHOOSE(CONTROL!$C$9, $D$9, 100%, $F$9) + CHOOSE(CONTROL!$C$27, 0.0021, 0)</f>
        <v>71.653800000000004</v>
      </c>
      <c r="H793" s="10">
        <f>71.5169 * CHOOSE(CONTROL!$C$9, $D$9, 100%, $F$9) + CHOOSE(CONTROL!$C$27, 0.0021, 0)</f>
        <v>71.519000000000005</v>
      </c>
      <c r="I793" s="10">
        <f>71.5169 * CHOOSE(CONTROL!$C$9, $D$9, 100%, $F$9) + CHOOSE(CONTROL!$C$27, 0.0021, 0)</f>
        <v>71.519000000000005</v>
      </c>
      <c r="J793" s="10">
        <f>71.5169 * CHOOSE(CONTROL!$C$9, $D$9, 100%, $F$9) + CHOOSE(CONTROL!$C$27, 0.0021, 0)</f>
        <v>71.519000000000005</v>
      </c>
      <c r="K793" s="10">
        <f>71.5169 * CHOOSE(CONTROL!$C$9, $D$9, 100%, $F$9) + CHOOSE(CONTROL!$C$27, 0.0021, 0)</f>
        <v>71.519000000000005</v>
      </c>
      <c r="L793" s="10"/>
    </row>
    <row r="794" spans="1:12" ht="15.75" x14ac:dyDescent="0.25">
      <c r="A794" s="13">
        <v>65470</v>
      </c>
      <c r="B794" s="10">
        <f>71.1122 * CHOOSE(CONTROL!$C$9, $D$9, 100%, $F$9) + CHOOSE(CONTROL!$C$27, 0.0021, 0)</f>
        <v>71.1143</v>
      </c>
      <c r="C794" s="10">
        <f>70.6799 * CHOOSE(CONTROL!$C$9, $D$9, 100%, $F$9) + CHOOSE(CONTROL!$C$27, 0.0021, 0)</f>
        <v>70.682000000000002</v>
      </c>
      <c r="D794" s="10">
        <f>70.6799 * CHOOSE(CONTROL!$C$9, $D$9, 100%, $F$9) + CHOOSE(CONTROL!$C$27, 0.0021, 0)</f>
        <v>70.682000000000002</v>
      </c>
      <c r="E794" s="10">
        <f>70.5433 * CHOOSE(CONTROL!$C$9, $D$9, 100%, $F$9) + CHOOSE(CONTROL!$C$27, 0.0021, 0)</f>
        <v>70.545400000000001</v>
      </c>
      <c r="F794" s="10">
        <f>70.5433 * CHOOSE(CONTROL!$C$9, $D$9, 100%, $F$9) + CHOOSE(CONTROL!$C$27, 0.0021, 0)</f>
        <v>70.545400000000001</v>
      </c>
      <c r="G794" s="10">
        <f>70.8147 * CHOOSE(CONTROL!$C$9, $D$9, 100%, $F$9) + CHOOSE(CONTROL!$C$27, 0.0021, 0)</f>
        <v>70.816800000000001</v>
      </c>
      <c r="H794" s="10">
        <f>70.6799 * CHOOSE(CONTROL!$C$9, $D$9, 100%, $F$9) + CHOOSE(CONTROL!$C$27, 0.0021, 0)</f>
        <v>70.682000000000002</v>
      </c>
      <c r="I794" s="10">
        <f>70.6799 * CHOOSE(CONTROL!$C$9, $D$9, 100%, $F$9) + CHOOSE(CONTROL!$C$27, 0.0021, 0)</f>
        <v>70.682000000000002</v>
      </c>
      <c r="J794" s="10">
        <f>70.6799 * CHOOSE(CONTROL!$C$9, $D$9, 100%, $F$9) + CHOOSE(CONTROL!$C$27, 0.0021, 0)</f>
        <v>70.682000000000002</v>
      </c>
      <c r="K794" s="10">
        <f>70.6799 * CHOOSE(CONTROL!$C$9, $D$9, 100%, $F$9) + CHOOSE(CONTROL!$C$27, 0.0021, 0)</f>
        <v>70.682000000000002</v>
      </c>
      <c r="L794" s="10"/>
    </row>
    <row r="795" spans="1:12" ht="15.75" x14ac:dyDescent="0.25">
      <c r="A795" s="13">
        <v>65500</v>
      </c>
      <c r="B795" s="10">
        <f>70.1128 * CHOOSE(CONTROL!$C$9, $D$9, 100%, $F$9) + CHOOSE(CONTROL!$C$27, 0.0021, 0)</f>
        <v>70.114899999999992</v>
      </c>
      <c r="C795" s="10">
        <f>69.6805 * CHOOSE(CONTROL!$C$9, $D$9, 100%, $F$9) + CHOOSE(CONTROL!$C$27, 0.0021, 0)</f>
        <v>69.682599999999994</v>
      </c>
      <c r="D795" s="10">
        <f>69.6805 * CHOOSE(CONTROL!$C$9, $D$9, 100%, $F$9) + CHOOSE(CONTROL!$C$27, 0.0021, 0)</f>
        <v>69.682599999999994</v>
      </c>
      <c r="E795" s="10">
        <f>69.5439 * CHOOSE(CONTROL!$C$9, $D$9, 100%, $F$9) + CHOOSE(CONTROL!$C$27, 0.0021, 0)</f>
        <v>69.545999999999992</v>
      </c>
      <c r="F795" s="10">
        <f>69.5439 * CHOOSE(CONTROL!$C$9, $D$9, 100%, $F$9) + CHOOSE(CONTROL!$C$27, 0.0021, 0)</f>
        <v>69.545999999999992</v>
      </c>
      <c r="G795" s="10">
        <f>69.8153 * CHOOSE(CONTROL!$C$9, $D$9, 100%, $F$9) + CHOOSE(CONTROL!$C$27, 0.0021, 0)</f>
        <v>69.817399999999992</v>
      </c>
      <c r="H795" s="10">
        <f>69.6805 * CHOOSE(CONTROL!$C$9, $D$9, 100%, $F$9) + CHOOSE(CONTROL!$C$27, 0.0021, 0)</f>
        <v>69.682599999999994</v>
      </c>
      <c r="I795" s="10">
        <f>69.6805 * CHOOSE(CONTROL!$C$9, $D$9, 100%, $F$9) + CHOOSE(CONTROL!$C$27, 0.0021, 0)</f>
        <v>69.682599999999994</v>
      </c>
      <c r="J795" s="10">
        <f>69.6805 * CHOOSE(CONTROL!$C$9, $D$9, 100%, $F$9) + CHOOSE(CONTROL!$C$27, 0.0021, 0)</f>
        <v>69.682599999999994</v>
      </c>
      <c r="K795" s="10">
        <f>69.6805 * CHOOSE(CONTROL!$C$9, $D$9, 100%, $F$9) + CHOOSE(CONTROL!$C$27, 0.0021, 0)</f>
        <v>69.682599999999994</v>
      </c>
      <c r="L795" s="10"/>
    </row>
    <row r="796" spans="1:12" ht="15.75" x14ac:dyDescent="0.25">
      <c r="A796" s="13">
        <v>65531</v>
      </c>
      <c r="B796" s="10">
        <f>71.537 * CHOOSE(CONTROL!$C$9, $D$9, 100%, $F$9) + CHOOSE(CONTROL!$C$27, 0.0021, 0)</f>
        <v>71.539100000000005</v>
      </c>
      <c r="C796" s="10">
        <f>71.1048 * CHOOSE(CONTROL!$C$9, $D$9, 100%, $F$9) + CHOOSE(CONTROL!$C$27, 0.0021, 0)</f>
        <v>71.106899999999996</v>
      </c>
      <c r="D796" s="10">
        <f>71.1048 * CHOOSE(CONTROL!$C$9, $D$9, 100%, $F$9) + CHOOSE(CONTROL!$C$27, 0.0021, 0)</f>
        <v>71.106899999999996</v>
      </c>
      <c r="E796" s="10">
        <f>70.9681 * CHOOSE(CONTROL!$C$9, $D$9, 100%, $F$9) + CHOOSE(CONTROL!$C$27, 0.0021, 0)</f>
        <v>70.970200000000006</v>
      </c>
      <c r="F796" s="10">
        <f>70.9681 * CHOOSE(CONTROL!$C$9, $D$9, 100%, $F$9) + CHOOSE(CONTROL!$C$27, 0.0021, 0)</f>
        <v>70.970200000000006</v>
      </c>
      <c r="G796" s="10">
        <f>71.2395 * CHOOSE(CONTROL!$C$9, $D$9, 100%, $F$9) + CHOOSE(CONTROL!$C$27, 0.0021, 0)</f>
        <v>71.241600000000005</v>
      </c>
      <c r="H796" s="10">
        <f>71.1048 * CHOOSE(CONTROL!$C$9, $D$9, 100%, $F$9) + CHOOSE(CONTROL!$C$27, 0.0021, 0)</f>
        <v>71.106899999999996</v>
      </c>
      <c r="I796" s="10">
        <f>71.1048 * CHOOSE(CONTROL!$C$9, $D$9, 100%, $F$9) + CHOOSE(CONTROL!$C$27, 0.0021, 0)</f>
        <v>71.106899999999996</v>
      </c>
      <c r="J796" s="10">
        <f>71.1048 * CHOOSE(CONTROL!$C$9, $D$9, 100%, $F$9) + CHOOSE(CONTROL!$C$27, 0.0021, 0)</f>
        <v>71.106899999999996</v>
      </c>
      <c r="K796" s="10">
        <f>71.1048 * CHOOSE(CONTROL!$C$9, $D$9, 100%, $F$9) + CHOOSE(CONTROL!$C$27, 0.0021, 0)</f>
        <v>71.106899999999996</v>
      </c>
      <c r="L796" s="10"/>
    </row>
    <row r="797" spans="1:12" ht="15.75" x14ac:dyDescent="0.25">
      <c r="A797" s="13">
        <v>65561</v>
      </c>
      <c r="B797" s="10">
        <f>72.3901 * CHOOSE(CONTROL!$C$9, $D$9, 100%, $F$9) + CHOOSE(CONTROL!$C$27, 0.0021, 0)</f>
        <v>72.392200000000003</v>
      </c>
      <c r="C797" s="10">
        <f>71.9579 * CHOOSE(CONTROL!$C$9, $D$9, 100%, $F$9) + CHOOSE(CONTROL!$C$27, 0.0021, 0)</f>
        <v>71.959999999999994</v>
      </c>
      <c r="D797" s="10">
        <f>71.9579 * CHOOSE(CONTROL!$C$9, $D$9, 100%, $F$9) + CHOOSE(CONTROL!$C$27, 0.0021, 0)</f>
        <v>71.959999999999994</v>
      </c>
      <c r="E797" s="10">
        <f>71.8212 * CHOOSE(CONTROL!$C$9, $D$9, 100%, $F$9) + CHOOSE(CONTROL!$C$27, 0.0021, 0)</f>
        <v>71.823300000000003</v>
      </c>
      <c r="F797" s="10">
        <f>71.8212 * CHOOSE(CONTROL!$C$9, $D$9, 100%, $F$9) + CHOOSE(CONTROL!$C$27, 0.0021, 0)</f>
        <v>71.823300000000003</v>
      </c>
      <c r="G797" s="10">
        <f>72.0926 * CHOOSE(CONTROL!$C$9, $D$9, 100%, $F$9) + CHOOSE(CONTROL!$C$27, 0.0021, 0)</f>
        <v>72.094700000000003</v>
      </c>
      <c r="H797" s="10">
        <f>71.9579 * CHOOSE(CONTROL!$C$9, $D$9, 100%, $F$9) + CHOOSE(CONTROL!$C$27, 0.0021, 0)</f>
        <v>71.959999999999994</v>
      </c>
      <c r="I797" s="10">
        <f>71.9579 * CHOOSE(CONTROL!$C$9, $D$9, 100%, $F$9) + CHOOSE(CONTROL!$C$27, 0.0021, 0)</f>
        <v>71.959999999999994</v>
      </c>
      <c r="J797" s="10">
        <f>71.9579 * CHOOSE(CONTROL!$C$9, $D$9, 100%, $F$9) + CHOOSE(CONTROL!$C$27, 0.0021, 0)</f>
        <v>71.959999999999994</v>
      </c>
      <c r="K797" s="10">
        <f>71.9579 * CHOOSE(CONTROL!$C$9, $D$9, 100%, $F$9) + CHOOSE(CONTROL!$C$27, 0.0021, 0)</f>
        <v>71.959999999999994</v>
      </c>
      <c r="L797" s="10"/>
    </row>
    <row r="798" spans="1:12" ht="15.75" x14ac:dyDescent="0.25">
      <c r="A798" s="13">
        <v>65592</v>
      </c>
      <c r="B798" s="10">
        <f>73.7974 * CHOOSE(CONTROL!$C$9, $D$9, 100%, $F$9) + CHOOSE(CONTROL!$C$27, 0.0021, 0)</f>
        <v>73.799499999999995</v>
      </c>
      <c r="C798" s="10">
        <f>73.3651 * CHOOSE(CONTROL!$C$9, $D$9, 100%, $F$9) + CHOOSE(CONTROL!$C$27, 0.0021, 0)</f>
        <v>73.367199999999997</v>
      </c>
      <c r="D798" s="10">
        <f>73.3651 * CHOOSE(CONTROL!$C$9, $D$9, 100%, $F$9) + CHOOSE(CONTROL!$C$27, 0.0021, 0)</f>
        <v>73.367199999999997</v>
      </c>
      <c r="E798" s="10">
        <f>73.2285 * CHOOSE(CONTROL!$C$9, $D$9, 100%, $F$9) + CHOOSE(CONTROL!$C$27, 0.0021, 0)</f>
        <v>73.230599999999995</v>
      </c>
      <c r="F798" s="10">
        <f>73.2285 * CHOOSE(CONTROL!$C$9, $D$9, 100%, $F$9) + CHOOSE(CONTROL!$C$27, 0.0021, 0)</f>
        <v>73.230599999999995</v>
      </c>
      <c r="G798" s="10">
        <f>73.4999 * CHOOSE(CONTROL!$C$9, $D$9, 100%, $F$9) + CHOOSE(CONTROL!$C$27, 0.0021, 0)</f>
        <v>73.501999999999995</v>
      </c>
      <c r="H798" s="10">
        <f>73.3651 * CHOOSE(CONTROL!$C$9, $D$9, 100%, $F$9) + CHOOSE(CONTROL!$C$27, 0.0021, 0)</f>
        <v>73.367199999999997</v>
      </c>
      <c r="I798" s="10">
        <f>73.3651 * CHOOSE(CONTROL!$C$9, $D$9, 100%, $F$9) + CHOOSE(CONTROL!$C$27, 0.0021, 0)</f>
        <v>73.367199999999997</v>
      </c>
      <c r="J798" s="10">
        <f>73.3651 * CHOOSE(CONTROL!$C$9, $D$9, 100%, $F$9) + CHOOSE(CONTROL!$C$27, 0.0021, 0)</f>
        <v>73.367199999999997</v>
      </c>
      <c r="K798" s="10">
        <f>73.3651 * CHOOSE(CONTROL!$C$9, $D$9, 100%, $F$9) + CHOOSE(CONTROL!$C$27, 0.0021, 0)</f>
        <v>73.367199999999997</v>
      </c>
      <c r="L798" s="10"/>
    </row>
    <row r="799" spans="1:12" ht="15.75" x14ac:dyDescent="0.25">
      <c r="A799" s="13">
        <v>65623</v>
      </c>
      <c r="B799" s="10">
        <f>74.2269 * CHOOSE(CONTROL!$C$9, $D$9, 100%, $F$9) + CHOOSE(CONTROL!$C$27, 0.0021, 0)</f>
        <v>74.228999999999999</v>
      </c>
      <c r="C799" s="10">
        <f>73.7947 * CHOOSE(CONTROL!$C$9, $D$9, 100%, $F$9) + CHOOSE(CONTROL!$C$27, 0.0021, 0)</f>
        <v>73.796800000000005</v>
      </c>
      <c r="D799" s="10">
        <f>73.7947 * CHOOSE(CONTROL!$C$9, $D$9, 100%, $F$9) + CHOOSE(CONTROL!$C$27, 0.0021, 0)</f>
        <v>73.796800000000005</v>
      </c>
      <c r="E799" s="10">
        <f>73.658 * CHOOSE(CONTROL!$C$9, $D$9, 100%, $F$9) + CHOOSE(CONTROL!$C$27, 0.0021, 0)</f>
        <v>73.6601</v>
      </c>
      <c r="F799" s="10">
        <f>73.658 * CHOOSE(CONTROL!$C$9, $D$9, 100%, $F$9) + CHOOSE(CONTROL!$C$27, 0.0021, 0)</f>
        <v>73.6601</v>
      </c>
      <c r="G799" s="10">
        <f>73.9294 * CHOOSE(CONTROL!$C$9, $D$9, 100%, $F$9) + CHOOSE(CONTROL!$C$27, 0.0021, 0)</f>
        <v>73.9315</v>
      </c>
      <c r="H799" s="10">
        <f>73.7947 * CHOOSE(CONTROL!$C$9, $D$9, 100%, $F$9) + CHOOSE(CONTROL!$C$27, 0.0021, 0)</f>
        <v>73.796800000000005</v>
      </c>
      <c r="I799" s="10">
        <f>73.7947 * CHOOSE(CONTROL!$C$9, $D$9, 100%, $F$9) + CHOOSE(CONTROL!$C$27, 0.0021, 0)</f>
        <v>73.796800000000005</v>
      </c>
      <c r="J799" s="10">
        <f>73.7947 * CHOOSE(CONTROL!$C$9, $D$9, 100%, $F$9) + CHOOSE(CONTROL!$C$27, 0.0021, 0)</f>
        <v>73.796800000000005</v>
      </c>
      <c r="K799" s="10">
        <f>73.7947 * CHOOSE(CONTROL!$C$9, $D$9, 100%, $F$9) + CHOOSE(CONTROL!$C$27, 0.0021, 0)</f>
        <v>73.796800000000005</v>
      </c>
      <c r="L799" s="10"/>
    </row>
    <row r="800" spans="1:12" ht="15.75" x14ac:dyDescent="0.25">
      <c r="A800" s="13">
        <v>65653</v>
      </c>
      <c r="B800" s="10">
        <f>75.6897 * CHOOSE(CONTROL!$C$9, $D$9, 100%, $F$9) + CHOOSE(CONTROL!$C$27, 0.0021, 0)</f>
        <v>75.691800000000001</v>
      </c>
      <c r="C800" s="10">
        <f>75.2575 * CHOOSE(CONTROL!$C$9, $D$9, 100%, $F$9) + CHOOSE(CONTROL!$C$27, 0.0021, 0)</f>
        <v>75.259599999999992</v>
      </c>
      <c r="D800" s="10">
        <f>75.2575 * CHOOSE(CONTROL!$C$9, $D$9, 100%, $F$9) + CHOOSE(CONTROL!$C$27, 0.0021, 0)</f>
        <v>75.259599999999992</v>
      </c>
      <c r="E800" s="10">
        <f>75.1208 * CHOOSE(CONTROL!$C$9, $D$9, 100%, $F$9) + CHOOSE(CONTROL!$C$27, 0.0021, 0)</f>
        <v>75.122900000000001</v>
      </c>
      <c r="F800" s="10">
        <f>75.1208 * CHOOSE(CONTROL!$C$9, $D$9, 100%, $F$9) + CHOOSE(CONTROL!$C$27, 0.0021, 0)</f>
        <v>75.122900000000001</v>
      </c>
      <c r="G800" s="10">
        <f>75.3922 * CHOOSE(CONTROL!$C$9, $D$9, 100%, $F$9) + CHOOSE(CONTROL!$C$27, 0.0021, 0)</f>
        <v>75.394300000000001</v>
      </c>
      <c r="H800" s="10">
        <f>75.2575 * CHOOSE(CONTROL!$C$9, $D$9, 100%, $F$9) + CHOOSE(CONTROL!$C$27, 0.0021, 0)</f>
        <v>75.259599999999992</v>
      </c>
      <c r="I800" s="10">
        <f>75.2575 * CHOOSE(CONTROL!$C$9, $D$9, 100%, $F$9) + CHOOSE(CONTROL!$C$27, 0.0021, 0)</f>
        <v>75.259599999999992</v>
      </c>
      <c r="J800" s="10">
        <f>75.2575 * CHOOSE(CONTROL!$C$9, $D$9, 100%, $F$9) + CHOOSE(CONTROL!$C$27, 0.0021, 0)</f>
        <v>75.259599999999992</v>
      </c>
      <c r="K800" s="10">
        <f>75.2575 * CHOOSE(CONTROL!$C$9, $D$9, 100%, $F$9) + CHOOSE(CONTROL!$C$27, 0.0021, 0)</f>
        <v>75.259599999999992</v>
      </c>
      <c r="L800" s="10"/>
    </row>
    <row r="801" spans="1:12" ht="15.75" x14ac:dyDescent="0.25">
      <c r="A801" s="13">
        <v>65684</v>
      </c>
      <c r="B801" s="10">
        <f>77.5413 * CHOOSE(CONTROL!$C$9, $D$9, 100%, $F$9) + CHOOSE(CONTROL!$C$27, 0.0021, 0)</f>
        <v>77.543400000000005</v>
      </c>
      <c r="C801" s="10">
        <f>77.1091 * CHOOSE(CONTROL!$C$9, $D$9, 100%, $F$9) + CHOOSE(CONTROL!$C$27, 0.0021, 0)</f>
        <v>77.111199999999997</v>
      </c>
      <c r="D801" s="10">
        <f>77.1091 * CHOOSE(CONTROL!$C$9, $D$9, 100%, $F$9) + CHOOSE(CONTROL!$C$27, 0.0021, 0)</f>
        <v>77.111199999999997</v>
      </c>
      <c r="E801" s="10">
        <f>76.9724 * CHOOSE(CONTROL!$C$9, $D$9, 100%, $F$9) + CHOOSE(CONTROL!$C$27, 0.0021, 0)</f>
        <v>76.974499999999992</v>
      </c>
      <c r="F801" s="10">
        <f>76.9724 * CHOOSE(CONTROL!$C$9, $D$9, 100%, $F$9) + CHOOSE(CONTROL!$C$27, 0.0021, 0)</f>
        <v>76.974499999999992</v>
      </c>
      <c r="G801" s="10">
        <f>77.2438 * CHOOSE(CONTROL!$C$9, $D$9, 100%, $F$9) + CHOOSE(CONTROL!$C$27, 0.0021, 0)</f>
        <v>77.245899999999992</v>
      </c>
      <c r="H801" s="10">
        <f>77.1091 * CHOOSE(CONTROL!$C$9, $D$9, 100%, $F$9) + CHOOSE(CONTROL!$C$27, 0.0021, 0)</f>
        <v>77.111199999999997</v>
      </c>
      <c r="I801" s="10">
        <f>77.1091 * CHOOSE(CONTROL!$C$9, $D$9, 100%, $F$9) + CHOOSE(CONTROL!$C$27, 0.0021, 0)</f>
        <v>77.111199999999997</v>
      </c>
      <c r="J801" s="10">
        <f>77.1091 * CHOOSE(CONTROL!$C$9, $D$9, 100%, $F$9) + CHOOSE(CONTROL!$C$27, 0.0021, 0)</f>
        <v>77.111199999999997</v>
      </c>
      <c r="K801" s="10">
        <f>77.1091 * CHOOSE(CONTROL!$C$9, $D$9, 100%, $F$9) + CHOOSE(CONTROL!$C$27, 0.0021, 0)</f>
        <v>77.111199999999997</v>
      </c>
      <c r="L801" s="10"/>
    </row>
    <row r="802" spans="1:12" ht="15.75" x14ac:dyDescent="0.25">
      <c r="A802" s="13">
        <v>65714</v>
      </c>
      <c r="B802" s="10">
        <f>77.7152 * CHOOSE(CONTROL!$C$9, $D$9, 100%, $F$9) + CHOOSE(CONTROL!$C$27, 0.0021, 0)</f>
        <v>77.717299999999994</v>
      </c>
      <c r="C802" s="10">
        <f>77.2829 * CHOOSE(CONTROL!$C$9, $D$9, 100%, $F$9) + CHOOSE(CONTROL!$C$27, 0.0021, 0)</f>
        <v>77.284999999999997</v>
      </c>
      <c r="D802" s="10">
        <f>77.2829 * CHOOSE(CONTROL!$C$9, $D$9, 100%, $F$9) + CHOOSE(CONTROL!$C$27, 0.0021, 0)</f>
        <v>77.284999999999997</v>
      </c>
      <c r="E802" s="10">
        <f>77.1463 * CHOOSE(CONTROL!$C$9, $D$9, 100%, $F$9) + CHOOSE(CONTROL!$C$27, 0.0021, 0)</f>
        <v>77.148399999999995</v>
      </c>
      <c r="F802" s="10">
        <f>77.1463 * CHOOSE(CONTROL!$C$9, $D$9, 100%, $F$9) + CHOOSE(CONTROL!$C$27, 0.0021, 0)</f>
        <v>77.148399999999995</v>
      </c>
      <c r="G802" s="10">
        <f>77.4176 * CHOOSE(CONTROL!$C$9, $D$9, 100%, $F$9) + CHOOSE(CONTROL!$C$27, 0.0021, 0)</f>
        <v>77.419699999999992</v>
      </c>
      <c r="H802" s="10">
        <f>77.2829 * CHOOSE(CONTROL!$C$9, $D$9, 100%, $F$9) + CHOOSE(CONTROL!$C$27, 0.0021, 0)</f>
        <v>77.284999999999997</v>
      </c>
      <c r="I802" s="10">
        <f>77.2829 * CHOOSE(CONTROL!$C$9, $D$9, 100%, $F$9) + CHOOSE(CONTROL!$C$27, 0.0021, 0)</f>
        <v>77.284999999999997</v>
      </c>
      <c r="J802" s="10">
        <f>77.2829 * CHOOSE(CONTROL!$C$9, $D$9, 100%, $F$9) + CHOOSE(CONTROL!$C$27, 0.0021, 0)</f>
        <v>77.284999999999997</v>
      </c>
      <c r="K802" s="10">
        <f>77.2829 * CHOOSE(CONTROL!$C$9, $D$9, 100%, $F$9) + CHOOSE(CONTROL!$C$27, 0.0021, 0)</f>
        <v>77.284999999999997</v>
      </c>
      <c r="L802" s="10"/>
    </row>
    <row r="803" spans="1:12" ht="15.75" x14ac:dyDescent="0.25">
      <c r="A803" s="13">
        <v>65745</v>
      </c>
      <c r="B803" s="10">
        <f>76.2363 * CHOOSE(CONTROL!$C$9, $D$9, 100%, $F$9) + CHOOSE(CONTROL!$C$27, 0.0021, 0)</f>
        <v>76.238399999999999</v>
      </c>
      <c r="C803" s="10">
        <f>75.8041 * CHOOSE(CONTROL!$C$9, $D$9, 100%, $F$9) + CHOOSE(CONTROL!$C$27, 0.0021, 0)</f>
        <v>75.806200000000004</v>
      </c>
      <c r="D803" s="10">
        <f>75.8041 * CHOOSE(CONTROL!$C$9, $D$9, 100%, $F$9) + CHOOSE(CONTROL!$C$27, 0.0021, 0)</f>
        <v>75.806200000000004</v>
      </c>
      <c r="E803" s="10">
        <f>75.6674 * CHOOSE(CONTROL!$C$9, $D$9, 100%, $F$9) + CHOOSE(CONTROL!$C$27, 0.0021, 0)</f>
        <v>75.669499999999999</v>
      </c>
      <c r="F803" s="10">
        <f>75.6674 * CHOOSE(CONTROL!$C$9, $D$9, 100%, $F$9) + CHOOSE(CONTROL!$C$27, 0.0021, 0)</f>
        <v>75.669499999999999</v>
      </c>
      <c r="G803" s="10">
        <f>75.9388 * CHOOSE(CONTROL!$C$9, $D$9, 100%, $F$9) + CHOOSE(CONTROL!$C$27, 0.0021, 0)</f>
        <v>75.940899999999999</v>
      </c>
      <c r="H803" s="10">
        <f>75.8041 * CHOOSE(CONTROL!$C$9, $D$9, 100%, $F$9) + CHOOSE(CONTROL!$C$27, 0.0021, 0)</f>
        <v>75.806200000000004</v>
      </c>
      <c r="I803" s="10">
        <f>75.8041 * CHOOSE(CONTROL!$C$9, $D$9, 100%, $F$9) + CHOOSE(CONTROL!$C$27, 0.0021, 0)</f>
        <v>75.806200000000004</v>
      </c>
      <c r="J803" s="10">
        <f>75.8041 * CHOOSE(CONTROL!$C$9, $D$9, 100%, $F$9) + CHOOSE(CONTROL!$C$27, 0.0021, 0)</f>
        <v>75.806200000000004</v>
      </c>
      <c r="K803" s="10">
        <f>75.8041 * CHOOSE(CONTROL!$C$9, $D$9, 100%, $F$9) + CHOOSE(CONTROL!$C$27, 0.0021, 0)</f>
        <v>75.806200000000004</v>
      </c>
      <c r="L803" s="10"/>
    </row>
    <row r="804" spans="1:12" ht="15.75" x14ac:dyDescent="0.25">
      <c r="A804" s="13">
        <v>65776</v>
      </c>
      <c r="B804" s="10">
        <f>75.104 * CHOOSE(CONTROL!$C$9, $D$9, 100%, $F$9) + CHOOSE(CONTROL!$C$27, 0.0021, 0)</f>
        <v>75.106099999999998</v>
      </c>
      <c r="C804" s="10">
        <f>74.6718 * CHOOSE(CONTROL!$C$9, $D$9, 100%, $F$9) + CHOOSE(CONTROL!$C$27, 0.0021, 0)</f>
        <v>74.673900000000003</v>
      </c>
      <c r="D804" s="10">
        <f>74.6718 * CHOOSE(CONTROL!$C$9, $D$9, 100%, $F$9) + CHOOSE(CONTROL!$C$27, 0.0021, 0)</f>
        <v>74.673900000000003</v>
      </c>
      <c r="E804" s="10">
        <f>74.5351 * CHOOSE(CONTROL!$C$9, $D$9, 100%, $F$9) + CHOOSE(CONTROL!$C$27, 0.0021, 0)</f>
        <v>74.537199999999999</v>
      </c>
      <c r="F804" s="10">
        <f>74.5351 * CHOOSE(CONTROL!$C$9, $D$9, 100%, $F$9) + CHOOSE(CONTROL!$C$27, 0.0021, 0)</f>
        <v>74.537199999999999</v>
      </c>
      <c r="G804" s="10">
        <f>74.8065 * CHOOSE(CONTROL!$C$9, $D$9, 100%, $F$9) + CHOOSE(CONTROL!$C$27, 0.0021, 0)</f>
        <v>74.808599999999998</v>
      </c>
      <c r="H804" s="10">
        <f>74.6718 * CHOOSE(CONTROL!$C$9, $D$9, 100%, $F$9) + CHOOSE(CONTROL!$C$27, 0.0021, 0)</f>
        <v>74.673900000000003</v>
      </c>
      <c r="I804" s="10">
        <f>74.6718 * CHOOSE(CONTROL!$C$9, $D$9, 100%, $F$9) + CHOOSE(CONTROL!$C$27, 0.0021, 0)</f>
        <v>74.673900000000003</v>
      </c>
      <c r="J804" s="10">
        <f>74.6718 * CHOOSE(CONTROL!$C$9, $D$9, 100%, $F$9) + CHOOSE(CONTROL!$C$27, 0.0021, 0)</f>
        <v>74.673900000000003</v>
      </c>
      <c r="K804" s="10">
        <f>74.6718 * CHOOSE(CONTROL!$C$9, $D$9, 100%, $F$9) + CHOOSE(CONTROL!$C$27, 0.0021, 0)</f>
        <v>74.673900000000003</v>
      </c>
      <c r="L804" s="10"/>
    </row>
    <row r="805" spans="1:12" ht="15.75" x14ac:dyDescent="0.25">
      <c r="A805" s="13">
        <v>65805</v>
      </c>
      <c r="B805" s="10">
        <f>73.0445 * CHOOSE(CONTROL!$C$9, $D$9, 100%, $F$9) + CHOOSE(CONTROL!$C$27, 0.0021, 0)</f>
        <v>73.046599999999998</v>
      </c>
      <c r="C805" s="10">
        <f>72.6123 * CHOOSE(CONTROL!$C$9, $D$9, 100%, $F$9) + CHOOSE(CONTROL!$C$27, 0.0021, 0)</f>
        <v>72.614400000000003</v>
      </c>
      <c r="D805" s="10">
        <f>72.6123 * CHOOSE(CONTROL!$C$9, $D$9, 100%, $F$9) + CHOOSE(CONTROL!$C$27, 0.0021, 0)</f>
        <v>72.614400000000003</v>
      </c>
      <c r="E805" s="10">
        <f>72.4756 * CHOOSE(CONTROL!$C$9, $D$9, 100%, $F$9) + CHOOSE(CONTROL!$C$27, 0.0021, 0)</f>
        <v>72.477699999999999</v>
      </c>
      <c r="F805" s="10">
        <f>72.4756 * CHOOSE(CONTROL!$C$9, $D$9, 100%, $F$9) + CHOOSE(CONTROL!$C$27, 0.0021, 0)</f>
        <v>72.477699999999999</v>
      </c>
      <c r="G805" s="10">
        <f>72.747 * CHOOSE(CONTROL!$C$9, $D$9, 100%, $F$9) + CHOOSE(CONTROL!$C$27, 0.0021, 0)</f>
        <v>72.749099999999999</v>
      </c>
      <c r="H805" s="10">
        <f>72.6123 * CHOOSE(CONTROL!$C$9, $D$9, 100%, $F$9) + CHOOSE(CONTROL!$C$27, 0.0021, 0)</f>
        <v>72.614400000000003</v>
      </c>
      <c r="I805" s="10">
        <f>72.6123 * CHOOSE(CONTROL!$C$9, $D$9, 100%, $F$9) + CHOOSE(CONTROL!$C$27, 0.0021, 0)</f>
        <v>72.614400000000003</v>
      </c>
      <c r="J805" s="10">
        <f>72.6123 * CHOOSE(CONTROL!$C$9, $D$9, 100%, $F$9) + CHOOSE(CONTROL!$C$27, 0.0021, 0)</f>
        <v>72.614400000000003</v>
      </c>
      <c r="K805" s="10">
        <f>72.6123 * CHOOSE(CONTROL!$C$9, $D$9, 100%, $F$9) + CHOOSE(CONTROL!$C$27, 0.0021, 0)</f>
        <v>72.614400000000003</v>
      </c>
      <c r="L805" s="10"/>
    </row>
    <row r="806" spans="1:12" ht="15.75" x14ac:dyDescent="0.25">
      <c r="A806" s="13">
        <v>65836</v>
      </c>
      <c r="B806" s="10">
        <f>72.1944 * CHOOSE(CONTROL!$C$9, $D$9, 100%, $F$9) + CHOOSE(CONTROL!$C$27, 0.0021, 0)</f>
        <v>72.1965</v>
      </c>
      <c r="C806" s="10">
        <f>71.7621 * CHOOSE(CONTROL!$C$9, $D$9, 100%, $F$9) + CHOOSE(CONTROL!$C$27, 0.0021, 0)</f>
        <v>71.764200000000002</v>
      </c>
      <c r="D806" s="10">
        <f>71.7621 * CHOOSE(CONTROL!$C$9, $D$9, 100%, $F$9) + CHOOSE(CONTROL!$C$27, 0.0021, 0)</f>
        <v>71.764200000000002</v>
      </c>
      <c r="E806" s="10">
        <f>71.6255 * CHOOSE(CONTROL!$C$9, $D$9, 100%, $F$9) + CHOOSE(CONTROL!$C$27, 0.0021, 0)</f>
        <v>71.627600000000001</v>
      </c>
      <c r="F806" s="10">
        <f>71.6255 * CHOOSE(CONTROL!$C$9, $D$9, 100%, $F$9) + CHOOSE(CONTROL!$C$27, 0.0021, 0)</f>
        <v>71.627600000000001</v>
      </c>
      <c r="G806" s="10">
        <f>71.8968 * CHOOSE(CONTROL!$C$9, $D$9, 100%, $F$9) + CHOOSE(CONTROL!$C$27, 0.0021, 0)</f>
        <v>71.898899999999998</v>
      </c>
      <c r="H806" s="10">
        <f>71.7621 * CHOOSE(CONTROL!$C$9, $D$9, 100%, $F$9) + CHOOSE(CONTROL!$C$27, 0.0021, 0)</f>
        <v>71.764200000000002</v>
      </c>
      <c r="I806" s="10">
        <f>71.7621 * CHOOSE(CONTROL!$C$9, $D$9, 100%, $F$9) + CHOOSE(CONTROL!$C$27, 0.0021, 0)</f>
        <v>71.764200000000002</v>
      </c>
      <c r="J806" s="10">
        <f>71.7621 * CHOOSE(CONTROL!$C$9, $D$9, 100%, $F$9) + CHOOSE(CONTROL!$C$27, 0.0021, 0)</f>
        <v>71.764200000000002</v>
      </c>
      <c r="K806" s="10">
        <f>71.7621 * CHOOSE(CONTROL!$C$9, $D$9, 100%, $F$9) + CHOOSE(CONTROL!$C$27, 0.0021, 0)</f>
        <v>71.764200000000002</v>
      </c>
      <c r="L806" s="10"/>
    </row>
    <row r="807" spans="1:12" ht="15.75" x14ac:dyDescent="0.25">
      <c r="A807" s="13">
        <v>65866</v>
      </c>
      <c r="B807" s="10">
        <f>71.1793 * CHOOSE(CONTROL!$C$9, $D$9, 100%, $F$9) + CHOOSE(CONTROL!$C$27, 0.0021, 0)</f>
        <v>71.181399999999996</v>
      </c>
      <c r="C807" s="10">
        <f>70.747 * CHOOSE(CONTROL!$C$9, $D$9, 100%, $F$9) + CHOOSE(CONTROL!$C$27, 0.0021, 0)</f>
        <v>70.749099999999999</v>
      </c>
      <c r="D807" s="10">
        <f>70.747 * CHOOSE(CONTROL!$C$9, $D$9, 100%, $F$9) + CHOOSE(CONTROL!$C$27, 0.0021, 0)</f>
        <v>70.749099999999999</v>
      </c>
      <c r="E807" s="10">
        <f>70.6104 * CHOOSE(CONTROL!$C$9, $D$9, 100%, $F$9) + CHOOSE(CONTROL!$C$27, 0.0021, 0)</f>
        <v>70.612499999999997</v>
      </c>
      <c r="F807" s="10">
        <f>70.6104 * CHOOSE(CONTROL!$C$9, $D$9, 100%, $F$9) + CHOOSE(CONTROL!$C$27, 0.0021, 0)</f>
        <v>70.612499999999997</v>
      </c>
      <c r="G807" s="10">
        <f>70.8817 * CHOOSE(CONTROL!$C$9, $D$9, 100%, $F$9) + CHOOSE(CONTROL!$C$27, 0.0021, 0)</f>
        <v>70.883799999999994</v>
      </c>
      <c r="H807" s="10">
        <f>70.747 * CHOOSE(CONTROL!$C$9, $D$9, 100%, $F$9) + CHOOSE(CONTROL!$C$27, 0.0021, 0)</f>
        <v>70.749099999999999</v>
      </c>
      <c r="I807" s="10">
        <f>70.747 * CHOOSE(CONTROL!$C$9, $D$9, 100%, $F$9) + CHOOSE(CONTROL!$C$27, 0.0021, 0)</f>
        <v>70.749099999999999</v>
      </c>
      <c r="J807" s="10">
        <f>70.747 * CHOOSE(CONTROL!$C$9, $D$9, 100%, $F$9) + CHOOSE(CONTROL!$C$27, 0.0021, 0)</f>
        <v>70.749099999999999</v>
      </c>
      <c r="K807" s="10">
        <f>70.747 * CHOOSE(CONTROL!$C$9, $D$9, 100%, $F$9) + CHOOSE(CONTROL!$C$27, 0.0021, 0)</f>
        <v>70.749099999999999</v>
      </c>
      <c r="L807" s="10"/>
    </row>
    <row r="808" spans="1:12" ht="15.75" x14ac:dyDescent="0.25">
      <c r="A808" s="13">
        <v>65897</v>
      </c>
      <c r="B808" s="10">
        <f>72.6259 * CHOOSE(CONTROL!$C$9, $D$9, 100%, $F$9) + CHOOSE(CONTROL!$C$27, 0.0021, 0)</f>
        <v>72.628</v>
      </c>
      <c r="C808" s="10">
        <f>72.1937 * CHOOSE(CONTROL!$C$9, $D$9, 100%, $F$9) + CHOOSE(CONTROL!$C$27, 0.0021, 0)</f>
        <v>72.195800000000006</v>
      </c>
      <c r="D808" s="10">
        <f>72.1937 * CHOOSE(CONTROL!$C$9, $D$9, 100%, $F$9) + CHOOSE(CONTROL!$C$27, 0.0021, 0)</f>
        <v>72.195800000000006</v>
      </c>
      <c r="E808" s="10">
        <f>72.057 * CHOOSE(CONTROL!$C$9, $D$9, 100%, $F$9) + CHOOSE(CONTROL!$C$27, 0.0021, 0)</f>
        <v>72.059100000000001</v>
      </c>
      <c r="F808" s="10">
        <f>72.057 * CHOOSE(CONTROL!$C$9, $D$9, 100%, $F$9) + CHOOSE(CONTROL!$C$27, 0.0021, 0)</f>
        <v>72.059100000000001</v>
      </c>
      <c r="G808" s="10">
        <f>72.3284 * CHOOSE(CONTROL!$C$9, $D$9, 100%, $F$9) + CHOOSE(CONTROL!$C$27, 0.0021, 0)</f>
        <v>72.330500000000001</v>
      </c>
      <c r="H808" s="10">
        <f>72.1937 * CHOOSE(CONTROL!$C$9, $D$9, 100%, $F$9) + CHOOSE(CONTROL!$C$27, 0.0021, 0)</f>
        <v>72.195800000000006</v>
      </c>
      <c r="I808" s="10">
        <f>72.1937 * CHOOSE(CONTROL!$C$9, $D$9, 100%, $F$9) + CHOOSE(CONTROL!$C$27, 0.0021, 0)</f>
        <v>72.195800000000006</v>
      </c>
      <c r="J808" s="10">
        <f>72.1937 * CHOOSE(CONTROL!$C$9, $D$9, 100%, $F$9) + CHOOSE(CONTROL!$C$27, 0.0021, 0)</f>
        <v>72.195800000000006</v>
      </c>
      <c r="K808" s="10">
        <f>72.1937 * CHOOSE(CONTROL!$C$9, $D$9, 100%, $F$9) + CHOOSE(CONTROL!$C$27, 0.0021, 0)</f>
        <v>72.195800000000006</v>
      </c>
      <c r="L808" s="10"/>
    </row>
    <row r="809" spans="1:12" ht="15.75" x14ac:dyDescent="0.25">
      <c r="A809" s="13">
        <v>65927</v>
      </c>
      <c r="B809" s="10">
        <f>73.4924 * CHOOSE(CONTROL!$C$9, $D$9, 100%, $F$9) + CHOOSE(CONTROL!$C$27, 0.0021, 0)</f>
        <v>73.494500000000002</v>
      </c>
      <c r="C809" s="10">
        <f>73.0602 * CHOOSE(CONTROL!$C$9, $D$9, 100%, $F$9) + CHOOSE(CONTROL!$C$27, 0.0021, 0)</f>
        <v>73.062299999999993</v>
      </c>
      <c r="D809" s="10">
        <f>73.0602 * CHOOSE(CONTROL!$C$9, $D$9, 100%, $F$9) + CHOOSE(CONTROL!$C$27, 0.0021, 0)</f>
        <v>73.062299999999993</v>
      </c>
      <c r="E809" s="10">
        <f>72.9235 * CHOOSE(CONTROL!$C$9, $D$9, 100%, $F$9) + CHOOSE(CONTROL!$C$27, 0.0021, 0)</f>
        <v>72.925600000000003</v>
      </c>
      <c r="F809" s="10">
        <f>72.9235 * CHOOSE(CONTROL!$C$9, $D$9, 100%, $F$9) + CHOOSE(CONTROL!$C$27, 0.0021, 0)</f>
        <v>72.925600000000003</v>
      </c>
      <c r="G809" s="10">
        <f>73.1949 * CHOOSE(CONTROL!$C$9, $D$9, 100%, $F$9) + CHOOSE(CONTROL!$C$27, 0.0021, 0)</f>
        <v>73.197000000000003</v>
      </c>
      <c r="H809" s="10">
        <f>73.0602 * CHOOSE(CONTROL!$C$9, $D$9, 100%, $F$9) + CHOOSE(CONTROL!$C$27, 0.0021, 0)</f>
        <v>73.062299999999993</v>
      </c>
      <c r="I809" s="10">
        <f>73.0602 * CHOOSE(CONTROL!$C$9, $D$9, 100%, $F$9) + CHOOSE(CONTROL!$C$27, 0.0021, 0)</f>
        <v>73.062299999999993</v>
      </c>
      <c r="J809" s="10">
        <f>73.0602 * CHOOSE(CONTROL!$C$9, $D$9, 100%, $F$9) + CHOOSE(CONTROL!$C$27, 0.0021, 0)</f>
        <v>73.062299999999993</v>
      </c>
      <c r="K809" s="10">
        <f>73.0602 * CHOOSE(CONTROL!$C$9, $D$9, 100%, $F$9) + CHOOSE(CONTROL!$C$27, 0.0021, 0)</f>
        <v>73.062299999999993</v>
      </c>
      <c r="L809" s="10"/>
    </row>
    <row r="810" spans="1:12" ht="15.75" x14ac:dyDescent="0.25">
      <c r="A810" s="13">
        <v>65958</v>
      </c>
      <c r="B810" s="10">
        <f>74.9218 * CHOOSE(CONTROL!$C$9, $D$9, 100%, $F$9) + CHOOSE(CONTROL!$C$27, 0.0021, 0)</f>
        <v>74.923900000000003</v>
      </c>
      <c r="C810" s="10">
        <f>74.4895 * CHOOSE(CONTROL!$C$9, $D$9, 100%, $F$9) + CHOOSE(CONTROL!$C$27, 0.0021, 0)</f>
        <v>74.491600000000005</v>
      </c>
      <c r="D810" s="10">
        <f>74.4895 * CHOOSE(CONTROL!$C$9, $D$9, 100%, $F$9) + CHOOSE(CONTROL!$C$27, 0.0021, 0)</f>
        <v>74.491600000000005</v>
      </c>
      <c r="E810" s="10">
        <f>74.3529 * CHOOSE(CONTROL!$C$9, $D$9, 100%, $F$9) + CHOOSE(CONTROL!$C$27, 0.0021, 0)</f>
        <v>74.355000000000004</v>
      </c>
      <c r="F810" s="10">
        <f>74.3529 * CHOOSE(CONTROL!$C$9, $D$9, 100%, $F$9) + CHOOSE(CONTROL!$C$27, 0.0021, 0)</f>
        <v>74.355000000000004</v>
      </c>
      <c r="G810" s="10">
        <f>74.6243 * CHOOSE(CONTROL!$C$9, $D$9, 100%, $F$9) + CHOOSE(CONTROL!$C$27, 0.0021, 0)</f>
        <v>74.626400000000004</v>
      </c>
      <c r="H810" s="10">
        <f>74.4895 * CHOOSE(CONTROL!$C$9, $D$9, 100%, $F$9) + CHOOSE(CONTROL!$C$27, 0.0021, 0)</f>
        <v>74.491600000000005</v>
      </c>
      <c r="I810" s="10">
        <f>74.4895 * CHOOSE(CONTROL!$C$9, $D$9, 100%, $F$9) + CHOOSE(CONTROL!$C$27, 0.0021, 0)</f>
        <v>74.491600000000005</v>
      </c>
      <c r="J810" s="10">
        <f>74.4895 * CHOOSE(CONTROL!$C$9, $D$9, 100%, $F$9) + CHOOSE(CONTROL!$C$27, 0.0021, 0)</f>
        <v>74.491600000000005</v>
      </c>
      <c r="K810" s="10">
        <f>74.4895 * CHOOSE(CONTROL!$C$9, $D$9, 100%, $F$9) + CHOOSE(CONTROL!$C$27, 0.0021, 0)</f>
        <v>74.491600000000005</v>
      </c>
      <c r="L810" s="10"/>
    </row>
    <row r="811" spans="1:12" ht="15.75" x14ac:dyDescent="0.25">
      <c r="A811" s="13">
        <v>65989</v>
      </c>
      <c r="B811" s="10">
        <f>75.3581 * CHOOSE(CONTROL!$C$9, $D$9, 100%, $F$9) + CHOOSE(CONTROL!$C$27, 0.0021, 0)</f>
        <v>75.360199999999992</v>
      </c>
      <c r="C811" s="10">
        <f>74.9258 * CHOOSE(CONTROL!$C$9, $D$9, 100%, $F$9) + CHOOSE(CONTROL!$C$27, 0.0021, 0)</f>
        <v>74.927899999999994</v>
      </c>
      <c r="D811" s="10">
        <f>74.9258 * CHOOSE(CONTROL!$C$9, $D$9, 100%, $F$9) + CHOOSE(CONTROL!$C$27, 0.0021, 0)</f>
        <v>74.927899999999994</v>
      </c>
      <c r="E811" s="10">
        <f>74.7892 * CHOOSE(CONTROL!$C$9, $D$9, 100%, $F$9) + CHOOSE(CONTROL!$C$27, 0.0021, 0)</f>
        <v>74.791299999999993</v>
      </c>
      <c r="F811" s="10">
        <f>74.7892 * CHOOSE(CONTROL!$C$9, $D$9, 100%, $F$9) + CHOOSE(CONTROL!$C$27, 0.0021, 0)</f>
        <v>74.791299999999993</v>
      </c>
      <c r="G811" s="10">
        <f>75.0606 * CHOOSE(CONTROL!$C$9, $D$9, 100%, $F$9) + CHOOSE(CONTROL!$C$27, 0.0021, 0)</f>
        <v>75.062699999999992</v>
      </c>
      <c r="H811" s="10">
        <f>74.9258 * CHOOSE(CONTROL!$C$9, $D$9, 100%, $F$9) + CHOOSE(CONTROL!$C$27, 0.0021, 0)</f>
        <v>74.927899999999994</v>
      </c>
      <c r="I811" s="10">
        <f>74.9258 * CHOOSE(CONTROL!$C$9, $D$9, 100%, $F$9) + CHOOSE(CONTROL!$C$27, 0.0021, 0)</f>
        <v>74.927899999999994</v>
      </c>
      <c r="J811" s="10">
        <f>74.9258 * CHOOSE(CONTROL!$C$9, $D$9, 100%, $F$9) + CHOOSE(CONTROL!$C$27, 0.0021, 0)</f>
        <v>74.927899999999994</v>
      </c>
      <c r="K811" s="10">
        <f>74.9258 * CHOOSE(CONTROL!$C$9, $D$9, 100%, $F$9) + CHOOSE(CONTROL!$C$27, 0.0021, 0)</f>
        <v>74.927899999999994</v>
      </c>
      <c r="L811" s="10"/>
    </row>
    <row r="812" spans="1:12" ht="15.75" x14ac:dyDescent="0.25">
      <c r="A812" s="13">
        <v>66019</v>
      </c>
      <c r="B812" s="10">
        <f>76.8439 * CHOOSE(CONTROL!$C$9, $D$9, 100%, $F$9) + CHOOSE(CONTROL!$C$27, 0.0021, 0)</f>
        <v>76.846000000000004</v>
      </c>
      <c r="C812" s="10">
        <f>76.4116 * CHOOSE(CONTROL!$C$9, $D$9, 100%, $F$9) + CHOOSE(CONTROL!$C$27, 0.0021, 0)</f>
        <v>76.413700000000006</v>
      </c>
      <c r="D812" s="10">
        <f>76.4116 * CHOOSE(CONTROL!$C$9, $D$9, 100%, $F$9) + CHOOSE(CONTROL!$C$27, 0.0021, 0)</f>
        <v>76.413700000000006</v>
      </c>
      <c r="E812" s="10">
        <f>76.275 * CHOOSE(CONTROL!$C$9, $D$9, 100%, $F$9) + CHOOSE(CONTROL!$C$27, 0.0021, 0)</f>
        <v>76.277100000000004</v>
      </c>
      <c r="F812" s="10">
        <f>76.275 * CHOOSE(CONTROL!$C$9, $D$9, 100%, $F$9) + CHOOSE(CONTROL!$C$27, 0.0021, 0)</f>
        <v>76.277100000000004</v>
      </c>
      <c r="G812" s="10">
        <f>76.5463 * CHOOSE(CONTROL!$C$9, $D$9, 100%, $F$9) + CHOOSE(CONTROL!$C$27, 0.0021, 0)</f>
        <v>76.548400000000001</v>
      </c>
      <c r="H812" s="10">
        <f>76.4116 * CHOOSE(CONTROL!$C$9, $D$9, 100%, $F$9) + CHOOSE(CONTROL!$C$27, 0.0021, 0)</f>
        <v>76.413700000000006</v>
      </c>
      <c r="I812" s="10">
        <f>76.4116 * CHOOSE(CONTROL!$C$9, $D$9, 100%, $F$9) + CHOOSE(CONTROL!$C$27, 0.0021, 0)</f>
        <v>76.413700000000006</v>
      </c>
      <c r="J812" s="10">
        <f>76.4116 * CHOOSE(CONTROL!$C$9, $D$9, 100%, $F$9) + CHOOSE(CONTROL!$C$27, 0.0021, 0)</f>
        <v>76.413700000000006</v>
      </c>
      <c r="K812" s="10">
        <f>76.4116 * CHOOSE(CONTROL!$C$9, $D$9, 100%, $F$9) + CHOOSE(CONTROL!$C$27, 0.0021, 0)</f>
        <v>76.413700000000006</v>
      </c>
      <c r="L812" s="10"/>
    </row>
    <row r="813" spans="1:12" ht="15.75" x14ac:dyDescent="0.25">
      <c r="A813" s="13">
        <v>66050</v>
      </c>
      <c r="B813" s="10">
        <f>78.7246 * CHOOSE(CONTROL!$C$9, $D$9, 100%, $F$9) + CHOOSE(CONTROL!$C$27, 0.0021, 0)</f>
        <v>78.726699999999994</v>
      </c>
      <c r="C813" s="10">
        <f>78.2924 * CHOOSE(CONTROL!$C$9, $D$9, 100%, $F$9) + CHOOSE(CONTROL!$C$27, 0.0021, 0)</f>
        <v>78.294499999999999</v>
      </c>
      <c r="D813" s="10">
        <f>78.2924 * CHOOSE(CONTROL!$C$9, $D$9, 100%, $F$9) + CHOOSE(CONTROL!$C$27, 0.0021, 0)</f>
        <v>78.294499999999999</v>
      </c>
      <c r="E813" s="10">
        <f>78.1557 * CHOOSE(CONTROL!$C$9, $D$9, 100%, $F$9) + CHOOSE(CONTROL!$C$27, 0.0021, 0)</f>
        <v>78.157799999999995</v>
      </c>
      <c r="F813" s="10">
        <f>78.1557 * CHOOSE(CONTROL!$C$9, $D$9, 100%, $F$9) + CHOOSE(CONTROL!$C$27, 0.0021, 0)</f>
        <v>78.157799999999995</v>
      </c>
      <c r="G813" s="10">
        <f>78.4271 * CHOOSE(CONTROL!$C$9, $D$9, 100%, $F$9) + CHOOSE(CONTROL!$C$27, 0.0021, 0)</f>
        <v>78.429199999999994</v>
      </c>
      <c r="H813" s="10">
        <f>78.2924 * CHOOSE(CONTROL!$C$9, $D$9, 100%, $F$9) + CHOOSE(CONTROL!$C$27, 0.0021, 0)</f>
        <v>78.294499999999999</v>
      </c>
      <c r="I813" s="10">
        <f>78.2924 * CHOOSE(CONTROL!$C$9, $D$9, 100%, $F$9) + CHOOSE(CONTROL!$C$27, 0.0021, 0)</f>
        <v>78.294499999999999</v>
      </c>
      <c r="J813" s="10">
        <f>78.2924 * CHOOSE(CONTROL!$C$9, $D$9, 100%, $F$9) + CHOOSE(CONTROL!$C$27, 0.0021, 0)</f>
        <v>78.294499999999999</v>
      </c>
      <c r="K813" s="10">
        <f>78.2924 * CHOOSE(CONTROL!$C$9, $D$9, 100%, $F$9) + CHOOSE(CONTROL!$C$27, 0.0021, 0)</f>
        <v>78.294499999999999</v>
      </c>
      <c r="L813" s="10"/>
    </row>
    <row r="814" spans="1:12" ht="15.75" x14ac:dyDescent="0.25">
      <c r="A814" s="13">
        <v>66080</v>
      </c>
      <c r="B814" s="10">
        <f>78.9012 * CHOOSE(CONTROL!$C$9, $D$9, 100%, $F$9) + CHOOSE(CONTROL!$C$27, 0.0021, 0)</f>
        <v>78.903300000000002</v>
      </c>
      <c r="C814" s="10">
        <f>78.4689 * CHOOSE(CONTROL!$C$9, $D$9, 100%, $F$9) + CHOOSE(CONTROL!$C$27, 0.0021, 0)</f>
        <v>78.471000000000004</v>
      </c>
      <c r="D814" s="10">
        <f>78.4689 * CHOOSE(CONTROL!$C$9, $D$9, 100%, $F$9) + CHOOSE(CONTROL!$C$27, 0.0021, 0)</f>
        <v>78.471000000000004</v>
      </c>
      <c r="E814" s="10">
        <f>78.3323 * CHOOSE(CONTROL!$C$9, $D$9, 100%, $F$9) + CHOOSE(CONTROL!$C$27, 0.0021, 0)</f>
        <v>78.334400000000002</v>
      </c>
      <c r="F814" s="10">
        <f>78.3323 * CHOOSE(CONTROL!$C$9, $D$9, 100%, $F$9) + CHOOSE(CONTROL!$C$27, 0.0021, 0)</f>
        <v>78.334400000000002</v>
      </c>
      <c r="G814" s="10">
        <f>78.6037 * CHOOSE(CONTROL!$C$9, $D$9, 100%, $F$9) + CHOOSE(CONTROL!$C$27, 0.0021, 0)</f>
        <v>78.605800000000002</v>
      </c>
      <c r="H814" s="10">
        <f>78.4689 * CHOOSE(CONTROL!$C$9, $D$9, 100%, $F$9) + CHOOSE(CONTROL!$C$27, 0.0021, 0)</f>
        <v>78.471000000000004</v>
      </c>
      <c r="I814" s="10">
        <f>78.4689 * CHOOSE(CONTROL!$C$9, $D$9, 100%, $F$9) + CHOOSE(CONTROL!$C$27, 0.0021, 0)</f>
        <v>78.471000000000004</v>
      </c>
      <c r="J814" s="10">
        <f>78.4689 * CHOOSE(CONTROL!$C$9, $D$9, 100%, $F$9) + CHOOSE(CONTROL!$C$27, 0.0021, 0)</f>
        <v>78.471000000000004</v>
      </c>
      <c r="K814" s="10">
        <f>78.4689 * CHOOSE(CONTROL!$C$9, $D$9, 100%, $F$9) + CHOOSE(CONTROL!$C$27, 0.0021, 0)</f>
        <v>78.471000000000004</v>
      </c>
      <c r="L814" s="10"/>
    </row>
    <row r="815" spans="1:12" ht="15.75" x14ac:dyDescent="0.25">
      <c r="A815" s="13">
        <v>66111</v>
      </c>
      <c r="B815" s="10">
        <f>77.3991 * CHOOSE(CONTROL!$C$9, $D$9, 100%, $F$9) + CHOOSE(CONTROL!$C$27, 0.0021, 0)</f>
        <v>77.401200000000003</v>
      </c>
      <c r="C815" s="10">
        <f>76.9668 * CHOOSE(CONTROL!$C$9, $D$9, 100%, $F$9) + CHOOSE(CONTROL!$C$27, 0.0021, 0)</f>
        <v>76.968900000000005</v>
      </c>
      <c r="D815" s="10">
        <f>76.9668 * CHOOSE(CONTROL!$C$9, $D$9, 100%, $F$9) + CHOOSE(CONTROL!$C$27, 0.0021, 0)</f>
        <v>76.968900000000005</v>
      </c>
      <c r="E815" s="10">
        <f>76.8302 * CHOOSE(CONTROL!$C$9, $D$9, 100%, $F$9) + CHOOSE(CONTROL!$C$27, 0.0021, 0)</f>
        <v>76.832300000000004</v>
      </c>
      <c r="F815" s="10">
        <f>76.8302 * CHOOSE(CONTROL!$C$9, $D$9, 100%, $F$9) + CHOOSE(CONTROL!$C$27, 0.0021, 0)</f>
        <v>76.832300000000004</v>
      </c>
      <c r="G815" s="10">
        <f>77.1015 * CHOOSE(CONTROL!$C$9, $D$9, 100%, $F$9) + CHOOSE(CONTROL!$C$27, 0.0021, 0)</f>
        <v>77.1036</v>
      </c>
      <c r="H815" s="10">
        <f>76.9668 * CHOOSE(CONTROL!$C$9, $D$9, 100%, $F$9) + CHOOSE(CONTROL!$C$27, 0.0021, 0)</f>
        <v>76.968900000000005</v>
      </c>
      <c r="I815" s="10">
        <f>76.9668 * CHOOSE(CONTROL!$C$9, $D$9, 100%, $F$9) + CHOOSE(CONTROL!$C$27, 0.0021, 0)</f>
        <v>76.968900000000005</v>
      </c>
      <c r="J815" s="10">
        <f>76.9668 * CHOOSE(CONTROL!$C$9, $D$9, 100%, $F$9) + CHOOSE(CONTROL!$C$27, 0.0021, 0)</f>
        <v>76.968900000000005</v>
      </c>
      <c r="K815" s="10">
        <f>76.9668 * CHOOSE(CONTROL!$C$9, $D$9, 100%, $F$9) + CHOOSE(CONTROL!$C$27, 0.0021, 0)</f>
        <v>76.968900000000005</v>
      </c>
      <c r="L815" s="10"/>
    </row>
    <row r="816" spans="1:12" ht="15.75" x14ac:dyDescent="0.25">
      <c r="A816" s="13">
        <v>66142</v>
      </c>
      <c r="B816" s="10">
        <f>76.249 * CHOOSE(CONTROL!$C$9, $D$9, 100%, $F$9) + CHOOSE(CONTROL!$C$27, 0.0021, 0)</f>
        <v>76.251099999999994</v>
      </c>
      <c r="C816" s="10">
        <f>75.8168 * CHOOSE(CONTROL!$C$9, $D$9, 100%, $F$9) + CHOOSE(CONTROL!$C$27, 0.0021, 0)</f>
        <v>75.818899999999999</v>
      </c>
      <c r="D816" s="10">
        <f>75.8168 * CHOOSE(CONTROL!$C$9, $D$9, 100%, $F$9) + CHOOSE(CONTROL!$C$27, 0.0021, 0)</f>
        <v>75.818899999999999</v>
      </c>
      <c r="E816" s="10">
        <f>75.6801 * CHOOSE(CONTROL!$C$9, $D$9, 100%, $F$9) + CHOOSE(CONTROL!$C$27, 0.0021, 0)</f>
        <v>75.682199999999995</v>
      </c>
      <c r="F816" s="10">
        <f>75.6801 * CHOOSE(CONTROL!$C$9, $D$9, 100%, $F$9) + CHOOSE(CONTROL!$C$27, 0.0021, 0)</f>
        <v>75.682199999999995</v>
      </c>
      <c r="G816" s="10">
        <f>75.9515 * CHOOSE(CONTROL!$C$9, $D$9, 100%, $F$9) + CHOOSE(CONTROL!$C$27, 0.0021, 0)</f>
        <v>75.953599999999994</v>
      </c>
      <c r="H816" s="10">
        <f>75.8168 * CHOOSE(CONTROL!$C$9, $D$9, 100%, $F$9) + CHOOSE(CONTROL!$C$27, 0.0021, 0)</f>
        <v>75.818899999999999</v>
      </c>
      <c r="I816" s="10">
        <f>75.8168 * CHOOSE(CONTROL!$C$9, $D$9, 100%, $F$9) + CHOOSE(CONTROL!$C$27, 0.0021, 0)</f>
        <v>75.818899999999999</v>
      </c>
      <c r="J816" s="10">
        <f>75.8168 * CHOOSE(CONTROL!$C$9, $D$9, 100%, $F$9) + CHOOSE(CONTROL!$C$27, 0.0021, 0)</f>
        <v>75.818899999999999</v>
      </c>
      <c r="K816" s="10">
        <f>75.8168 * CHOOSE(CONTROL!$C$9, $D$9, 100%, $F$9) + CHOOSE(CONTROL!$C$27, 0.0021, 0)</f>
        <v>75.818899999999999</v>
      </c>
      <c r="L816" s="10"/>
    </row>
    <row r="817" spans="1:12" ht="15.75" x14ac:dyDescent="0.25">
      <c r="A817" s="13">
        <v>66170</v>
      </c>
      <c r="B817" s="10">
        <f>74.1571 * CHOOSE(CONTROL!$C$9, $D$9, 100%, $F$9) + CHOOSE(CONTROL!$C$27, 0.0021, 0)</f>
        <v>74.159199999999998</v>
      </c>
      <c r="C817" s="10">
        <f>73.7249 * CHOOSE(CONTROL!$C$9, $D$9, 100%, $F$9) + CHOOSE(CONTROL!$C$27, 0.0021, 0)</f>
        <v>73.727000000000004</v>
      </c>
      <c r="D817" s="10">
        <f>73.7249 * CHOOSE(CONTROL!$C$9, $D$9, 100%, $F$9) + CHOOSE(CONTROL!$C$27, 0.0021, 0)</f>
        <v>73.727000000000004</v>
      </c>
      <c r="E817" s="10">
        <f>73.5882 * CHOOSE(CONTROL!$C$9, $D$9, 100%, $F$9) + CHOOSE(CONTROL!$C$27, 0.0021, 0)</f>
        <v>73.590299999999999</v>
      </c>
      <c r="F817" s="10">
        <f>73.5882 * CHOOSE(CONTROL!$C$9, $D$9, 100%, $F$9) + CHOOSE(CONTROL!$C$27, 0.0021, 0)</f>
        <v>73.590299999999999</v>
      </c>
      <c r="G817" s="10">
        <f>73.8596 * CHOOSE(CONTROL!$C$9, $D$9, 100%, $F$9) + CHOOSE(CONTROL!$C$27, 0.0021, 0)</f>
        <v>73.861699999999999</v>
      </c>
      <c r="H817" s="10">
        <f>73.7249 * CHOOSE(CONTROL!$C$9, $D$9, 100%, $F$9) + CHOOSE(CONTROL!$C$27, 0.0021, 0)</f>
        <v>73.727000000000004</v>
      </c>
      <c r="I817" s="10">
        <f>73.7249 * CHOOSE(CONTROL!$C$9, $D$9, 100%, $F$9) + CHOOSE(CONTROL!$C$27, 0.0021, 0)</f>
        <v>73.727000000000004</v>
      </c>
      <c r="J817" s="10">
        <f>73.7249 * CHOOSE(CONTROL!$C$9, $D$9, 100%, $F$9) + CHOOSE(CONTROL!$C$27, 0.0021, 0)</f>
        <v>73.727000000000004</v>
      </c>
      <c r="K817" s="10">
        <f>73.7249 * CHOOSE(CONTROL!$C$9, $D$9, 100%, $F$9) + CHOOSE(CONTROL!$C$27, 0.0021, 0)</f>
        <v>73.727000000000004</v>
      </c>
      <c r="L817" s="10"/>
    </row>
    <row r="818" spans="1:12" ht="15.75" x14ac:dyDescent="0.25">
      <c r="A818" s="13">
        <v>66201</v>
      </c>
      <c r="B818" s="10">
        <f>73.2936 * CHOOSE(CONTROL!$C$9, $D$9, 100%, $F$9) + CHOOSE(CONTROL!$C$27, 0.0021, 0)</f>
        <v>73.295699999999997</v>
      </c>
      <c r="C818" s="10">
        <f>72.8613 * CHOOSE(CONTROL!$C$9, $D$9, 100%, $F$9) + CHOOSE(CONTROL!$C$27, 0.0021, 0)</f>
        <v>72.863399999999999</v>
      </c>
      <c r="D818" s="10">
        <f>72.8613 * CHOOSE(CONTROL!$C$9, $D$9, 100%, $F$9) + CHOOSE(CONTROL!$C$27, 0.0021, 0)</f>
        <v>72.863399999999999</v>
      </c>
      <c r="E818" s="10">
        <f>72.7247 * CHOOSE(CONTROL!$C$9, $D$9, 100%, $F$9) + CHOOSE(CONTROL!$C$27, 0.0021, 0)</f>
        <v>72.726799999999997</v>
      </c>
      <c r="F818" s="10">
        <f>72.7247 * CHOOSE(CONTROL!$C$9, $D$9, 100%, $F$9) + CHOOSE(CONTROL!$C$27, 0.0021, 0)</f>
        <v>72.726799999999997</v>
      </c>
      <c r="G818" s="10">
        <f>72.996 * CHOOSE(CONTROL!$C$9, $D$9, 100%, $F$9) + CHOOSE(CONTROL!$C$27, 0.0021, 0)</f>
        <v>72.998099999999994</v>
      </c>
      <c r="H818" s="10">
        <f>72.8613 * CHOOSE(CONTROL!$C$9, $D$9, 100%, $F$9) + CHOOSE(CONTROL!$C$27, 0.0021, 0)</f>
        <v>72.863399999999999</v>
      </c>
      <c r="I818" s="10">
        <f>72.8613 * CHOOSE(CONTROL!$C$9, $D$9, 100%, $F$9) + CHOOSE(CONTROL!$C$27, 0.0021, 0)</f>
        <v>72.863399999999999</v>
      </c>
      <c r="J818" s="10">
        <f>72.8613 * CHOOSE(CONTROL!$C$9, $D$9, 100%, $F$9) + CHOOSE(CONTROL!$C$27, 0.0021, 0)</f>
        <v>72.863399999999999</v>
      </c>
      <c r="K818" s="10">
        <f>72.8613 * CHOOSE(CONTROL!$C$9, $D$9, 100%, $F$9) + CHOOSE(CONTROL!$C$27, 0.0021, 0)</f>
        <v>72.863399999999999</v>
      </c>
      <c r="L818" s="10"/>
    </row>
    <row r="819" spans="1:12" ht="15.75" x14ac:dyDescent="0.25">
      <c r="A819" s="13">
        <v>66231</v>
      </c>
      <c r="B819" s="10">
        <f>72.2625 * CHOOSE(CONTROL!$C$9, $D$9, 100%, $F$9) + CHOOSE(CONTROL!$C$27, 0.0021, 0)</f>
        <v>72.264600000000002</v>
      </c>
      <c r="C819" s="10">
        <f>71.8303 * CHOOSE(CONTROL!$C$9, $D$9, 100%, $F$9) + CHOOSE(CONTROL!$C$27, 0.0021, 0)</f>
        <v>71.832399999999993</v>
      </c>
      <c r="D819" s="10">
        <f>71.8303 * CHOOSE(CONTROL!$C$9, $D$9, 100%, $F$9) + CHOOSE(CONTROL!$C$27, 0.0021, 0)</f>
        <v>71.832399999999993</v>
      </c>
      <c r="E819" s="10">
        <f>71.6936 * CHOOSE(CONTROL!$C$9, $D$9, 100%, $F$9) + CHOOSE(CONTROL!$C$27, 0.0021, 0)</f>
        <v>71.695700000000002</v>
      </c>
      <c r="F819" s="10">
        <f>71.6936 * CHOOSE(CONTROL!$C$9, $D$9, 100%, $F$9) + CHOOSE(CONTROL!$C$27, 0.0021, 0)</f>
        <v>71.695700000000002</v>
      </c>
      <c r="G819" s="10">
        <f>71.965 * CHOOSE(CONTROL!$C$9, $D$9, 100%, $F$9) + CHOOSE(CONTROL!$C$27, 0.0021, 0)</f>
        <v>71.967100000000002</v>
      </c>
      <c r="H819" s="10">
        <f>71.8303 * CHOOSE(CONTROL!$C$9, $D$9, 100%, $F$9) + CHOOSE(CONTROL!$C$27, 0.0021, 0)</f>
        <v>71.832399999999993</v>
      </c>
      <c r="I819" s="10">
        <f>71.8303 * CHOOSE(CONTROL!$C$9, $D$9, 100%, $F$9) + CHOOSE(CONTROL!$C$27, 0.0021, 0)</f>
        <v>71.832399999999993</v>
      </c>
      <c r="J819" s="10">
        <f>71.8303 * CHOOSE(CONTROL!$C$9, $D$9, 100%, $F$9) + CHOOSE(CONTROL!$C$27, 0.0021, 0)</f>
        <v>71.832399999999993</v>
      </c>
      <c r="K819" s="10">
        <f>71.8303 * CHOOSE(CONTROL!$C$9, $D$9, 100%, $F$9) + CHOOSE(CONTROL!$C$27, 0.0021, 0)</f>
        <v>71.832399999999993</v>
      </c>
      <c r="L819" s="10"/>
    </row>
    <row r="820" spans="1:12" ht="15.75" x14ac:dyDescent="0.25">
      <c r="A820" s="13">
        <v>66262</v>
      </c>
      <c r="B820" s="10">
        <f>73.7319 * CHOOSE(CONTROL!$C$9, $D$9, 100%, $F$9) + CHOOSE(CONTROL!$C$27, 0.0021, 0)</f>
        <v>73.733999999999995</v>
      </c>
      <c r="C820" s="10">
        <f>73.2997 * CHOOSE(CONTROL!$C$9, $D$9, 100%, $F$9) + CHOOSE(CONTROL!$C$27, 0.0021, 0)</f>
        <v>73.3018</v>
      </c>
      <c r="D820" s="10">
        <f>73.2997 * CHOOSE(CONTROL!$C$9, $D$9, 100%, $F$9) + CHOOSE(CONTROL!$C$27, 0.0021, 0)</f>
        <v>73.3018</v>
      </c>
      <c r="E820" s="10">
        <f>73.163 * CHOOSE(CONTROL!$C$9, $D$9, 100%, $F$9) + CHOOSE(CONTROL!$C$27, 0.0021, 0)</f>
        <v>73.165099999999995</v>
      </c>
      <c r="F820" s="10">
        <f>73.163 * CHOOSE(CONTROL!$C$9, $D$9, 100%, $F$9) + CHOOSE(CONTROL!$C$27, 0.0021, 0)</f>
        <v>73.165099999999995</v>
      </c>
      <c r="G820" s="10">
        <f>73.4344 * CHOOSE(CONTROL!$C$9, $D$9, 100%, $F$9) + CHOOSE(CONTROL!$C$27, 0.0021, 0)</f>
        <v>73.436499999999995</v>
      </c>
      <c r="H820" s="10">
        <f>73.2997 * CHOOSE(CONTROL!$C$9, $D$9, 100%, $F$9) + CHOOSE(CONTROL!$C$27, 0.0021, 0)</f>
        <v>73.3018</v>
      </c>
      <c r="I820" s="10">
        <f>73.2997 * CHOOSE(CONTROL!$C$9, $D$9, 100%, $F$9) + CHOOSE(CONTROL!$C$27, 0.0021, 0)</f>
        <v>73.3018</v>
      </c>
      <c r="J820" s="10">
        <f>73.2997 * CHOOSE(CONTROL!$C$9, $D$9, 100%, $F$9) + CHOOSE(CONTROL!$C$27, 0.0021, 0)</f>
        <v>73.3018</v>
      </c>
      <c r="K820" s="10">
        <f>73.2997 * CHOOSE(CONTROL!$C$9, $D$9, 100%, $F$9) + CHOOSE(CONTROL!$C$27, 0.0021, 0)</f>
        <v>73.3018</v>
      </c>
      <c r="L820" s="10"/>
    </row>
    <row r="821" spans="1:12" ht="15.75" x14ac:dyDescent="0.25">
      <c r="A821" s="13">
        <v>66292</v>
      </c>
      <c r="B821" s="10">
        <f>74.612 * CHOOSE(CONTROL!$C$9, $D$9, 100%, $F$9) + CHOOSE(CONTROL!$C$27, 0.0021, 0)</f>
        <v>74.614099999999993</v>
      </c>
      <c r="C821" s="10">
        <f>74.1798 * CHOOSE(CONTROL!$C$9, $D$9, 100%, $F$9) + CHOOSE(CONTROL!$C$27, 0.0021, 0)</f>
        <v>74.181899999999999</v>
      </c>
      <c r="D821" s="10">
        <f>74.1798 * CHOOSE(CONTROL!$C$9, $D$9, 100%, $F$9) + CHOOSE(CONTROL!$C$27, 0.0021, 0)</f>
        <v>74.181899999999999</v>
      </c>
      <c r="E821" s="10">
        <f>74.0431 * CHOOSE(CONTROL!$C$9, $D$9, 100%, $F$9) + CHOOSE(CONTROL!$C$27, 0.0021, 0)</f>
        <v>74.045199999999994</v>
      </c>
      <c r="F821" s="10">
        <f>74.0431 * CHOOSE(CONTROL!$C$9, $D$9, 100%, $F$9) + CHOOSE(CONTROL!$C$27, 0.0021, 0)</f>
        <v>74.045199999999994</v>
      </c>
      <c r="G821" s="10">
        <f>74.3145 * CHOOSE(CONTROL!$C$9, $D$9, 100%, $F$9) + CHOOSE(CONTROL!$C$27, 0.0021, 0)</f>
        <v>74.316599999999994</v>
      </c>
      <c r="H821" s="10">
        <f>74.1798 * CHOOSE(CONTROL!$C$9, $D$9, 100%, $F$9) + CHOOSE(CONTROL!$C$27, 0.0021, 0)</f>
        <v>74.181899999999999</v>
      </c>
      <c r="I821" s="10">
        <f>74.1798 * CHOOSE(CONTROL!$C$9, $D$9, 100%, $F$9) + CHOOSE(CONTROL!$C$27, 0.0021, 0)</f>
        <v>74.181899999999999</v>
      </c>
      <c r="J821" s="10">
        <f>74.1798 * CHOOSE(CONTROL!$C$9, $D$9, 100%, $F$9) + CHOOSE(CONTROL!$C$27, 0.0021, 0)</f>
        <v>74.181899999999999</v>
      </c>
      <c r="K821" s="10">
        <f>74.1798 * CHOOSE(CONTROL!$C$9, $D$9, 100%, $F$9) + CHOOSE(CONTROL!$C$27, 0.0021, 0)</f>
        <v>74.181899999999999</v>
      </c>
      <c r="L821" s="10"/>
    </row>
    <row r="822" spans="1:12" ht="15.75" x14ac:dyDescent="0.25">
      <c r="A822" s="13">
        <v>66323</v>
      </c>
      <c r="B822" s="10">
        <f>76.0639 * CHOOSE(CONTROL!$C$9, $D$9, 100%, $F$9) + CHOOSE(CONTROL!$C$27, 0.0021, 0)</f>
        <v>76.066000000000003</v>
      </c>
      <c r="C822" s="10">
        <f>75.6316 * CHOOSE(CONTROL!$C$9, $D$9, 100%, $F$9) + CHOOSE(CONTROL!$C$27, 0.0021, 0)</f>
        <v>75.633700000000005</v>
      </c>
      <c r="D822" s="10">
        <f>75.6316 * CHOOSE(CONTROL!$C$9, $D$9, 100%, $F$9) + CHOOSE(CONTROL!$C$27, 0.0021, 0)</f>
        <v>75.633700000000005</v>
      </c>
      <c r="E822" s="10">
        <f>75.495 * CHOOSE(CONTROL!$C$9, $D$9, 100%, $F$9) + CHOOSE(CONTROL!$C$27, 0.0021, 0)</f>
        <v>75.497100000000003</v>
      </c>
      <c r="F822" s="10">
        <f>75.495 * CHOOSE(CONTROL!$C$9, $D$9, 100%, $F$9) + CHOOSE(CONTROL!$C$27, 0.0021, 0)</f>
        <v>75.497100000000003</v>
      </c>
      <c r="G822" s="10">
        <f>75.7664 * CHOOSE(CONTROL!$C$9, $D$9, 100%, $F$9) + CHOOSE(CONTROL!$C$27, 0.0021, 0)</f>
        <v>75.768500000000003</v>
      </c>
      <c r="H822" s="10">
        <f>75.6316 * CHOOSE(CONTROL!$C$9, $D$9, 100%, $F$9) + CHOOSE(CONTROL!$C$27, 0.0021, 0)</f>
        <v>75.633700000000005</v>
      </c>
      <c r="I822" s="10">
        <f>75.6316 * CHOOSE(CONTROL!$C$9, $D$9, 100%, $F$9) + CHOOSE(CONTROL!$C$27, 0.0021, 0)</f>
        <v>75.633700000000005</v>
      </c>
      <c r="J822" s="10">
        <f>75.6316 * CHOOSE(CONTROL!$C$9, $D$9, 100%, $F$9) + CHOOSE(CONTROL!$C$27, 0.0021, 0)</f>
        <v>75.633700000000005</v>
      </c>
      <c r="K822" s="10">
        <f>75.6316 * CHOOSE(CONTROL!$C$9, $D$9, 100%, $F$9) + CHOOSE(CONTROL!$C$27, 0.0021, 0)</f>
        <v>75.633700000000005</v>
      </c>
      <c r="L822" s="10"/>
    </row>
    <row r="823" spans="1:12" ht="15.75" x14ac:dyDescent="0.25">
      <c r="A823" s="13">
        <v>66354</v>
      </c>
      <c r="B823" s="10">
        <f>76.507 * CHOOSE(CONTROL!$C$9, $D$9, 100%, $F$9) + CHOOSE(CONTROL!$C$27, 0.0021, 0)</f>
        <v>76.509100000000004</v>
      </c>
      <c r="C823" s="10">
        <f>76.0748 * CHOOSE(CONTROL!$C$9, $D$9, 100%, $F$9) + CHOOSE(CONTROL!$C$27, 0.0021, 0)</f>
        <v>76.076899999999995</v>
      </c>
      <c r="D823" s="10">
        <f>76.0748 * CHOOSE(CONTROL!$C$9, $D$9, 100%, $F$9) + CHOOSE(CONTROL!$C$27, 0.0021, 0)</f>
        <v>76.076899999999995</v>
      </c>
      <c r="E823" s="10">
        <f>75.9381 * CHOOSE(CONTROL!$C$9, $D$9, 100%, $F$9) + CHOOSE(CONTROL!$C$27, 0.0021, 0)</f>
        <v>75.940200000000004</v>
      </c>
      <c r="F823" s="10">
        <f>75.9381 * CHOOSE(CONTROL!$C$9, $D$9, 100%, $F$9) + CHOOSE(CONTROL!$C$27, 0.0021, 0)</f>
        <v>75.940200000000004</v>
      </c>
      <c r="G823" s="10">
        <f>76.2095 * CHOOSE(CONTROL!$C$9, $D$9, 100%, $F$9) + CHOOSE(CONTROL!$C$27, 0.0021, 0)</f>
        <v>76.211600000000004</v>
      </c>
      <c r="H823" s="10">
        <f>76.0748 * CHOOSE(CONTROL!$C$9, $D$9, 100%, $F$9) + CHOOSE(CONTROL!$C$27, 0.0021, 0)</f>
        <v>76.076899999999995</v>
      </c>
      <c r="I823" s="10">
        <f>76.0748 * CHOOSE(CONTROL!$C$9, $D$9, 100%, $F$9) + CHOOSE(CONTROL!$C$27, 0.0021, 0)</f>
        <v>76.076899999999995</v>
      </c>
      <c r="J823" s="10">
        <f>76.0748 * CHOOSE(CONTROL!$C$9, $D$9, 100%, $F$9) + CHOOSE(CONTROL!$C$27, 0.0021, 0)</f>
        <v>76.076899999999995</v>
      </c>
      <c r="K823" s="10">
        <f>76.0748 * CHOOSE(CONTROL!$C$9, $D$9, 100%, $F$9) + CHOOSE(CONTROL!$C$27, 0.0021, 0)</f>
        <v>76.076899999999995</v>
      </c>
      <c r="L823" s="10"/>
    </row>
    <row r="824" spans="1:12" ht="15.75" x14ac:dyDescent="0.25">
      <c r="A824" s="13">
        <v>66384</v>
      </c>
      <c r="B824" s="10">
        <f>78.0162 * CHOOSE(CONTROL!$C$9, $D$9, 100%, $F$9) + CHOOSE(CONTROL!$C$27, 0.0021, 0)</f>
        <v>78.018299999999996</v>
      </c>
      <c r="C824" s="10">
        <f>77.5839 * CHOOSE(CONTROL!$C$9, $D$9, 100%, $F$9) + CHOOSE(CONTROL!$C$27, 0.0021, 0)</f>
        <v>77.585999999999999</v>
      </c>
      <c r="D824" s="10">
        <f>77.5839 * CHOOSE(CONTROL!$C$9, $D$9, 100%, $F$9) + CHOOSE(CONTROL!$C$27, 0.0021, 0)</f>
        <v>77.585999999999999</v>
      </c>
      <c r="E824" s="10">
        <f>77.4473 * CHOOSE(CONTROL!$C$9, $D$9, 100%, $F$9) + CHOOSE(CONTROL!$C$27, 0.0021, 0)</f>
        <v>77.449399999999997</v>
      </c>
      <c r="F824" s="10">
        <f>77.4473 * CHOOSE(CONTROL!$C$9, $D$9, 100%, $F$9) + CHOOSE(CONTROL!$C$27, 0.0021, 0)</f>
        <v>77.449399999999997</v>
      </c>
      <c r="G824" s="10">
        <f>77.7187 * CHOOSE(CONTROL!$C$9, $D$9, 100%, $F$9) + CHOOSE(CONTROL!$C$27, 0.0021, 0)</f>
        <v>77.720799999999997</v>
      </c>
      <c r="H824" s="10">
        <f>77.5839 * CHOOSE(CONTROL!$C$9, $D$9, 100%, $F$9) + CHOOSE(CONTROL!$C$27, 0.0021, 0)</f>
        <v>77.585999999999999</v>
      </c>
      <c r="I824" s="10">
        <f>77.5839 * CHOOSE(CONTROL!$C$9, $D$9, 100%, $F$9) + CHOOSE(CONTROL!$C$27, 0.0021, 0)</f>
        <v>77.585999999999999</v>
      </c>
      <c r="J824" s="10">
        <f>77.5839 * CHOOSE(CONTROL!$C$9, $D$9, 100%, $F$9) + CHOOSE(CONTROL!$C$27, 0.0021, 0)</f>
        <v>77.585999999999999</v>
      </c>
      <c r="K824" s="10">
        <f>77.5839 * CHOOSE(CONTROL!$C$9, $D$9, 100%, $F$9) + CHOOSE(CONTROL!$C$27, 0.0021, 0)</f>
        <v>77.585999999999999</v>
      </c>
      <c r="L824" s="10"/>
    </row>
    <row r="825" spans="1:12" ht="15.75" x14ac:dyDescent="0.25">
      <c r="A825" s="13">
        <v>66415</v>
      </c>
      <c r="B825" s="10">
        <f>79.9265 * CHOOSE(CONTROL!$C$9, $D$9, 100%, $F$9) + CHOOSE(CONTROL!$C$27, 0.0021, 0)</f>
        <v>79.928600000000003</v>
      </c>
      <c r="C825" s="10">
        <f>79.4943 * CHOOSE(CONTROL!$C$9, $D$9, 100%, $F$9) + CHOOSE(CONTROL!$C$27, 0.0021, 0)</f>
        <v>79.496399999999994</v>
      </c>
      <c r="D825" s="10">
        <f>79.4943 * CHOOSE(CONTROL!$C$9, $D$9, 100%, $F$9) + CHOOSE(CONTROL!$C$27, 0.0021, 0)</f>
        <v>79.496399999999994</v>
      </c>
      <c r="E825" s="10">
        <f>79.3576 * CHOOSE(CONTROL!$C$9, $D$9, 100%, $F$9) + CHOOSE(CONTROL!$C$27, 0.0021, 0)</f>
        <v>79.359700000000004</v>
      </c>
      <c r="F825" s="10">
        <f>79.3576 * CHOOSE(CONTROL!$C$9, $D$9, 100%, $F$9) + CHOOSE(CONTROL!$C$27, 0.0021, 0)</f>
        <v>79.359700000000004</v>
      </c>
      <c r="G825" s="10">
        <f>79.629 * CHOOSE(CONTROL!$C$9, $D$9, 100%, $F$9) + CHOOSE(CONTROL!$C$27, 0.0021, 0)</f>
        <v>79.631100000000004</v>
      </c>
      <c r="H825" s="10">
        <f>79.4943 * CHOOSE(CONTROL!$C$9, $D$9, 100%, $F$9) + CHOOSE(CONTROL!$C$27, 0.0021, 0)</f>
        <v>79.496399999999994</v>
      </c>
      <c r="I825" s="10">
        <f>79.4943 * CHOOSE(CONTROL!$C$9, $D$9, 100%, $F$9) + CHOOSE(CONTROL!$C$27, 0.0021, 0)</f>
        <v>79.496399999999994</v>
      </c>
      <c r="J825" s="10">
        <f>79.4943 * CHOOSE(CONTROL!$C$9, $D$9, 100%, $F$9) + CHOOSE(CONTROL!$C$27, 0.0021, 0)</f>
        <v>79.496399999999994</v>
      </c>
      <c r="K825" s="10">
        <f>79.4943 * CHOOSE(CONTROL!$C$9, $D$9, 100%, $F$9) + CHOOSE(CONTROL!$C$27, 0.0021, 0)</f>
        <v>79.496399999999994</v>
      </c>
      <c r="L825" s="10"/>
    </row>
    <row r="826" spans="1:12" ht="15.75" x14ac:dyDescent="0.25">
      <c r="A826" s="13">
        <v>66445</v>
      </c>
      <c r="B826" s="10">
        <f>80.1059 * CHOOSE(CONTROL!$C$9, $D$9, 100%, $F$9) + CHOOSE(CONTROL!$C$27, 0.0021, 0)</f>
        <v>80.108000000000004</v>
      </c>
      <c r="C826" s="10">
        <f>79.6736 * CHOOSE(CONTROL!$C$9, $D$9, 100%, $F$9) + CHOOSE(CONTROL!$C$27, 0.0021, 0)</f>
        <v>79.675699999999992</v>
      </c>
      <c r="D826" s="10">
        <f>79.6736 * CHOOSE(CONTROL!$C$9, $D$9, 100%, $F$9) + CHOOSE(CONTROL!$C$27, 0.0021, 0)</f>
        <v>79.675699999999992</v>
      </c>
      <c r="E826" s="10">
        <f>79.537 * CHOOSE(CONTROL!$C$9, $D$9, 100%, $F$9) + CHOOSE(CONTROL!$C$27, 0.0021, 0)</f>
        <v>79.539100000000005</v>
      </c>
      <c r="F826" s="10">
        <f>79.537 * CHOOSE(CONTROL!$C$9, $D$9, 100%, $F$9) + CHOOSE(CONTROL!$C$27, 0.0021, 0)</f>
        <v>79.539100000000005</v>
      </c>
      <c r="G826" s="10">
        <f>79.8083 * CHOOSE(CONTROL!$C$9, $D$9, 100%, $F$9) + CHOOSE(CONTROL!$C$27, 0.0021, 0)</f>
        <v>79.810400000000001</v>
      </c>
      <c r="H826" s="10">
        <f>79.6736 * CHOOSE(CONTROL!$C$9, $D$9, 100%, $F$9) + CHOOSE(CONTROL!$C$27, 0.0021, 0)</f>
        <v>79.675699999999992</v>
      </c>
      <c r="I826" s="10">
        <f>79.6736 * CHOOSE(CONTROL!$C$9, $D$9, 100%, $F$9) + CHOOSE(CONTROL!$C$27, 0.0021, 0)</f>
        <v>79.675699999999992</v>
      </c>
      <c r="J826" s="10">
        <f>79.6736 * CHOOSE(CONTROL!$C$9, $D$9, 100%, $F$9) + CHOOSE(CONTROL!$C$27, 0.0021, 0)</f>
        <v>79.675699999999992</v>
      </c>
      <c r="K826" s="10">
        <f>79.6736 * CHOOSE(CONTROL!$C$9, $D$9, 100%, $F$9) + CHOOSE(CONTROL!$C$27, 0.0021, 0)</f>
        <v>79.675699999999992</v>
      </c>
      <c r="L826" s="10"/>
    </row>
    <row r="827" spans="1:12" ht="15.75" x14ac:dyDescent="0.25">
      <c r="A827" s="13">
        <v>66476</v>
      </c>
      <c r="B827" s="10">
        <f>78.5801 * CHOOSE(CONTROL!$C$9, $D$9, 100%, $F$9) + CHOOSE(CONTROL!$C$27, 0.0021, 0)</f>
        <v>78.5822</v>
      </c>
      <c r="C827" s="10">
        <f>78.1479 * CHOOSE(CONTROL!$C$9, $D$9, 100%, $F$9) + CHOOSE(CONTROL!$C$27, 0.0021, 0)</f>
        <v>78.150000000000006</v>
      </c>
      <c r="D827" s="10">
        <f>78.1479 * CHOOSE(CONTROL!$C$9, $D$9, 100%, $F$9) + CHOOSE(CONTROL!$C$27, 0.0021, 0)</f>
        <v>78.150000000000006</v>
      </c>
      <c r="E827" s="10">
        <f>78.0112 * CHOOSE(CONTROL!$C$9, $D$9, 100%, $F$9) + CHOOSE(CONTROL!$C$27, 0.0021, 0)</f>
        <v>78.013300000000001</v>
      </c>
      <c r="F827" s="10">
        <f>78.0112 * CHOOSE(CONTROL!$C$9, $D$9, 100%, $F$9) + CHOOSE(CONTROL!$C$27, 0.0021, 0)</f>
        <v>78.013300000000001</v>
      </c>
      <c r="G827" s="10">
        <f>78.2826 * CHOOSE(CONTROL!$C$9, $D$9, 100%, $F$9) + CHOOSE(CONTROL!$C$27, 0.0021, 0)</f>
        <v>78.284700000000001</v>
      </c>
      <c r="H827" s="10">
        <f>78.1479 * CHOOSE(CONTROL!$C$9, $D$9, 100%, $F$9) + CHOOSE(CONTROL!$C$27, 0.0021, 0)</f>
        <v>78.150000000000006</v>
      </c>
      <c r="I827" s="10">
        <f>78.1479 * CHOOSE(CONTROL!$C$9, $D$9, 100%, $F$9) + CHOOSE(CONTROL!$C$27, 0.0021, 0)</f>
        <v>78.150000000000006</v>
      </c>
      <c r="J827" s="10">
        <f>78.1479 * CHOOSE(CONTROL!$C$9, $D$9, 100%, $F$9) + CHOOSE(CONTROL!$C$27, 0.0021, 0)</f>
        <v>78.150000000000006</v>
      </c>
      <c r="K827" s="10">
        <f>78.1479 * CHOOSE(CONTROL!$C$9, $D$9, 100%, $F$9) + CHOOSE(CONTROL!$C$27, 0.0021, 0)</f>
        <v>78.150000000000006</v>
      </c>
      <c r="L827" s="10"/>
    </row>
    <row r="828" spans="1:12" ht="15.75" x14ac:dyDescent="0.25">
      <c r="A828" s="13">
        <v>66507</v>
      </c>
      <c r="B828" s="10">
        <f>77.412 * CHOOSE(CONTROL!$C$9, $D$9, 100%, $F$9) + CHOOSE(CONTROL!$C$27, 0.0021, 0)</f>
        <v>77.414100000000005</v>
      </c>
      <c r="C828" s="10">
        <f>76.9797 * CHOOSE(CONTROL!$C$9, $D$9, 100%, $F$9) + CHOOSE(CONTROL!$C$27, 0.0021, 0)</f>
        <v>76.981799999999993</v>
      </c>
      <c r="D828" s="10">
        <f>76.9797 * CHOOSE(CONTROL!$C$9, $D$9, 100%, $F$9) + CHOOSE(CONTROL!$C$27, 0.0021, 0)</f>
        <v>76.981799999999993</v>
      </c>
      <c r="E828" s="10">
        <f>76.8431 * CHOOSE(CONTROL!$C$9, $D$9, 100%, $F$9) + CHOOSE(CONTROL!$C$27, 0.0021, 0)</f>
        <v>76.845200000000006</v>
      </c>
      <c r="F828" s="10">
        <f>76.8431 * CHOOSE(CONTROL!$C$9, $D$9, 100%, $F$9) + CHOOSE(CONTROL!$C$27, 0.0021, 0)</f>
        <v>76.845200000000006</v>
      </c>
      <c r="G828" s="10">
        <f>77.1144 * CHOOSE(CONTROL!$C$9, $D$9, 100%, $F$9) + CHOOSE(CONTROL!$C$27, 0.0021, 0)</f>
        <v>77.116500000000002</v>
      </c>
      <c r="H828" s="10">
        <f>76.9797 * CHOOSE(CONTROL!$C$9, $D$9, 100%, $F$9) + CHOOSE(CONTROL!$C$27, 0.0021, 0)</f>
        <v>76.981799999999993</v>
      </c>
      <c r="I828" s="10">
        <f>76.9797 * CHOOSE(CONTROL!$C$9, $D$9, 100%, $F$9) + CHOOSE(CONTROL!$C$27, 0.0021, 0)</f>
        <v>76.981799999999993</v>
      </c>
      <c r="J828" s="10">
        <f>76.9797 * CHOOSE(CONTROL!$C$9, $D$9, 100%, $F$9) + CHOOSE(CONTROL!$C$27, 0.0021, 0)</f>
        <v>76.981799999999993</v>
      </c>
      <c r="K828" s="10">
        <f>76.9797 * CHOOSE(CONTROL!$C$9, $D$9, 100%, $F$9) + CHOOSE(CONTROL!$C$27, 0.0021, 0)</f>
        <v>76.981799999999993</v>
      </c>
      <c r="L828" s="10"/>
    </row>
    <row r="829" spans="1:12" ht="15.75" x14ac:dyDescent="0.25">
      <c r="A829" s="13">
        <v>66535</v>
      </c>
      <c r="B829" s="10">
        <f>75.2872 * CHOOSE(CONTROL!$C$9, $D$9, 100%, $F$9) + CHOOSE(CONTROL!$C$27, 0.0021, 0)</f>
        <v>75.289299999999997</v>
      </c>
      <c r="C829" s="10">
        <f>74.8549 * CHOOSE(CONTROL!$C$9, $D$9, 100%, $F$9) + CHOOSE(CONTROL!$C$27, 0.0021, 0)</f>
        <v>74.856999999999999</v>
      </c>
      <c r="D829" s="10">
        <f>74.8549 * CHOOSE(CONTROL!$C$9, $D$9, 100%, $F$9) + CHOOSE(CONTROL!$C$27, 0.0021, 0)</f>
        <v>74.856999999999999</v>
      </c>
      <c r="E829" s="10">
        <f>74.7183 * CHOOSE(CONTROL!$C$9, $D$9, 100%, $F$9) + CHOOSE(CONTROL!$C$27, 0.0021, 0)</f>
        <v>74.720399999999998</v>
      </c>
      <c r="F829" s="10">
        <f>74.7183 * CHOOSE(CONTROL!$C$9, $D$9, 100%, $F$9) + CHOOSE(CONTROL!$C$27, 0.0021, 0)</f>
        <v>74.720399999999998</v>
      </c>
      <c r="G829" s="10">
        <f>74.9896 * CHOOSE(CONTROL!$C$9, $D$9, 100%, $F$9) + CHOOSE(CONTROL!$C$27, 0.0021, 0)</f>
        <v>74.991699999999994</v>
      </c>
      <c r="H829" s="10">
        <f>74.8549 * CHOOSE(CONTROL!$C$9, $D$9, 100%, $F$9) + CHOOSE(CONTROL!$C$27, 0.0021, 0)</f>
        <v>74.856999999999999</v>
      </c>
      <c r="I829" s="10">
        <f>74.8549 * CHOOSE(CONTROL!$C$9, $D$9, 100%, $F$9) + CHOOSE(CONTROL!$C$27, 0.0021, 0)</f>
        <v>74.856999999999999</v>
      </c>
      <c r="J829" s="10">
        <f>74.8549 * CHOOSE(CONTROL!$C$9, $D$9, 100%, $F$9) + CHOOSE(CONTROL!$C$27, 0.0021, 0)</f>
        <v>74.856999999999999</v>
      </c>
      <c r="K829" s="10">
        <f>74.8549 * CHOOSE(CONTROL!$C$9, $D$9, 100%, $F$9) + CHOOSE(CONTROL!$C$27, 0.0021, 0)</f>
        <v>74.856999999999999</v>
      </c>
      <c r="L829" s="10"/>
    </row>
    <row r="830" spans="1:12" ht="15.75" x14ac:dyDescent="0.25">
      <c r="A830" s="13">
        <v>66566</v>
      </c>
      <c r="B830" s="10">
        <f>74.4101 * CHOOSE(CONTROL!$C$9, $D$9, 100%, $F$9) + CHOOSE(CONTROL!$C$27, 0.0021, 0)</f>
        <v>74.412199999999999</v>
      </c>
      <c r="C830" s="10">
        <f>73.9778 * CHOOSE(CONTROL!$C$9, $D$9, 100%, $F$9) + CHOOSE(CONTROL!$C$27, 0.0021, 0)</f>
        <v>73.979900000000001</v>
      </c>
      <c r="D830" s="10">
        <f>73.9778 * CHOOSE(CONTROL!$C$9, $D$9, 100%, $F$9) + CHOOSE(CONTROL!$C$27, 0.0021, 0)</f>
        <v>73.979900000000001</v>
      </c>
      <c r="E830" s="10">
        <f>73.8412 * CHOOSE(CONTROL!$C$9, $D$9, 100%, $F$9) + CHOOSE(CONTROL!$C$27, 0.0021, 0)</f>
        <v>73.843299999999999</v>
      </c>
      <c r="F830" s="10">
        <f>73.8412 * CHOOSE(CONTROL!$C$9, $D$9, 100%, $F$9) + CHOOSE(CONTROL!$C$27, 0.0021, 0)</f>
        <v>73.843299999999999</v>
      </c>
      <c r="G830" s="10">
        <f>74.1125 * CHOOSE(CONTROL!$C$9, $D$9, 100%, $F$9) + CHOOSE(CONTROL!$C$27, 0.0021, 0)</f>
        <v>74.114599999999996</v>
      </c>
      <c r="H830" s="10">
        <f>73.9778 * CHOOSE(CONTROL!$C$9, $D$9, 100%, $F$9) + CHOOSE(CONTROL!$C$27, 0.0021, 0)</f>
        <v>73.979900000000001</v>
      </c>
      <c r="I830" s="10">
        <f>73.9778 * CHOOSE(CONTROL!$C$9, $D$9, 100%, $F$9) + CHOOSE(CONTROL!$C$27, 0.0021, 0)</f>
        <v>73.979900000000001</v>
      </c>
      <c r="J830" s="10">
        <f>73.9778 * CHOOSE(CONTROL!$C$9, $D$9, 100%, $F$9) + CHOOSE(CONTROL!$C$27, 0.0021, 0)</f>
        <v>73.979900000000001</v>
      </c>
      <c r="K830" s="10">
        <f>73.9778 * CHOOSE(CONTROL!$C$9, $D$9, 100%, $F$9) + CHOOSE(CONTROL!$C$27, 0.0021, 0)</f>
        <v>73.979900000000001</v>
      </c>
      <c r="L830" s="10"/>
    </row>
    <row r="831" spans="1:12" ht="15.75" x14ac:dyDescent="0.25">
      <c r="A831" s="13">
        <v>66596</v>
      </c>
      <c r="B831" s="10">
        <f>73.3628 * CHOOSE(CONTROL!$C$9, $D$9, 100%, $F$9) + CHOOSE(CONTROL!$C$27, 0.0021, 0)</f>
        <v>73.364899999999992</v>
      </c>
      <c r="C831" s="10">
        <f>72.9305 * CHOOSE(CONTROL!$C$9, $D$9, 100%, $F$9) + CHOOSE(CONTROL!$C$27, 0.0021, 0)</f>
        <v>72.932599999999994</v>
      </c>
      <c r="D831" s="10">
        <f>72.9305 * CHOOSE(CONTROL!$C$9, $D$9, 100%, $F$9) + CHOOSE(CONTROL!$C$27, 0.0021, 0)</f>
        <v>72.932599999999994</v>
      </c>
      <c r="E831" s="10">
        <f>72.7939 * CHOOSE(CONTROL!$C$9, $D$9, 100%, $F$9) + CHOOSE(CONTROL!$C$27, 0.0021, 0)</f>
        <v>72.795999999999992</v>
      </c>
      <c r="F831" s="10">
        <f>72.7939 * CHOOSE(CONTROL!$C$9, $D$9, 100%, $F$9) + CHOOSE(CONTROL!$C$27, 0.0021, 0)</f>
        <v>72.795999999999992</v>
      </c>
      <c r="G831" s="10">
        <f>73.0652 * CHOOSE(CONTROL!$C$9, $D$9, 100%, $F$9) + CHOOSE(CONTROL!$C$27, 0.0021, 0)</f>
        <v>73.067300000000003</v>
      </c>
      <c r="H831" s="10">
        <f>72.9305 * CHOOSE(CONTROL!$C$9, $D$9, 100%, $F$9) + CHOOSE(CONTROL!$C$27, 0.0021, 0)</f>
        <v>72.932599999999994</v>
      </c>
      <c r="I831" s="10">
        <f>72.9305 * CHOOSE(CONTROL!$C$9, $D$9, 100%, $F$9) + CHOOSE(CONTROL!$C$27, 0.0021, 0)</f>
        <v>72.932599999999994</v>
      </c>
      <c r="J831" s="10">
        <f>72.9305 * CHOOSE(CONTROL!$C$9, $D$9, 100%, $F$9) + CHOOSE(CONTROL!$C$27, 0.0021, 0)</f>
        <v>72.932599999999994</v>
      </c>
      <c r="K831" s="10">
        <f>72.9305 * CHOOSE(CONTROL!$C$9, $D$9, 100%, $F$9) + CHOOSE(CONTROL!$C$27, 0.0021, 0)</f>
        <v>72.932599999999994</v>
      </c>
      <c r="L831" s="10"/>
    </row>
    <row r="832" spans="1:12" ht="15.75" x14ac:dyDescent="0.25">
      <c r="A832" s="13">
        <v>66627</v>
      </c>
      <c r="B832" s="10">
        <f>74.8553 * CHOOSE(CONTROL!$C$9, $D$9, 100%, $F$9) + CHOOSE(CONTROL!$C$27, 0.0021, 0)</f>
        <v>74.857399999999998</v>
      </c>
      <c r="C832" s="10">
        <f>74.423 * CHOOSE(CONTROL!$C$9, $D$9, 100%, $F$9) + CHOOSE(CONTROL!$C$27, 0.0021, 0)</f>
        <v>74.4251</v>
      </c>
      <c r="D832" s="10">
        <f>74.423 * CHOOSE(CONTROL!$C$9, $D$9, 100%, $F$9) + CHOOSE(CONTROL!$C$27, 0.0021, 0)</f>
        <v>74.4251</v>
      </c>
      <c r="E832" s="10">
        <f>74.2864 * CHOOSE(CONTROL!$C$9, $D$9, 100%, $F$9) + CHOOSE(CONTROL!$C$27, 0.0021, 0)</f>
        <v>74.288499999999999</v>
      </c>
      <c r="F832" s="10">
        <f>74.2864 * CHOOSE(CONTROL!$C$9, $D$9, 100%, $F$9) + CHOOSE(CONTROL!$C$27, 0.0021, 0)</f>
        <v>74.288499999999999</v>
      </c>
      <c r="G832" s="10">
        <f>74.5578 * CHOOSE(CONTROL!$C$9, $D$9, 100%, $F$9) + CHOOSE(CONTROL!$C$27, 0.0021, 0)</f>
        <v>74.559899999999999</v>
      </c>
      <c r="H832" s="10">
        <f>74.423 * CHOOSE(CONTROL!$C$9, $D$9, 100%, $F$9) + CHOOSE(CONTROL!$C$27, 0.0021, 0)</f>
        <v>74.4251</v>
      </c>
      <c r="I832" s="10">
        <f>74.423 * CHOOSE(CONTROL!$C$9, $D$9, 100%, $F$9) + CHOOSE(CONTROL!$C$27, 0.0021, 0)</f>
        <v>74.4251</v>
      </c>
      <c r="J832" s="10">
        <f>74.423 * CHOOSE(CONTROL!$C$9, $D$9, 100%, $F$9) + CHOOSE(CONTROL!$C$27, 0.0021, 0)</f>
        <v>74.4251</v>
      </c>
      <c r="K832" s="10">
        <f>74.423 * CHOOSE(CONTROL!$C$9, $D$9, 100%, $F$9) + CHOOSE(CONTROL!$C$27, 0.0021, 0)</f>
        <v>74.4251</v>
      </c>
      <c r="L832" s="10"/>
    </row>
    <row r="833" spans="1:12" ht="15.75" x14ac:dyDescent="0.25">
      <c r="A833" s="13">
        <v>66657</v>
      </c>
      <c r="B833" s="10">
        <f>75.7492 * CHOOSE(CONTROL!$C$9, $D$9, 100%, $F$9) + CHOOSE(CONTROL!$C$27, 0.0021, 0)</f>
        <v>75.751300000000001</v>
      </c>
      <c r="C833" s="10">
        <f>75.317 * CHOOSE(CONTROL!$C$9, $D$9, 100%, $F$9) + CHOOSE(CONTROL!$C$27, 0.0021, 0)</f>
        <v>75.319099999999992</v>
      </c>
      <c r="D833" s="10">
        <f>75.317 * CHOOSE(CONTROL!$C$9, $D$9, 100%, $F$9) + CHOOSE(CONTROL!$C$27, 0.0021, 0)</f>
        <v>75.319099999999992</v>
      </c>
      <c r="E833" s="10">
        <f>75.1803 * CHOOSE(CONTROL!$C$9, $D$9, 100%, $F$9) + CHOOSE(CONTROL!$C$27, 0.0021, 0)</f>
        <v>75.182400000000001</v>
      </c>
      <c r="F833" s="10">
        <f>75.1803 * CHOOSE(CONTROL!$C$9, $D$9, 100%, $F$9) + CHOOSE(CONTROL!$C$27, 0.0021, 0)</f>
        <v>75.182400000000001</v>
      </c>
      <c r="G833" s="10">
        <f>75.4517 * CHOOSE(CONTROL!$C$9, $D$9, 100%, $F$9) + CHOOSE(CONTROL!$C$27, 0.0021, 0)</f>
        <v>75.453800000000001</v>
      </c>
      <c r="H833" s="10">
        <f>75.317 * CHOOSE(CONTROL!$C$9, $D$9, 100%, $F$9) + CHOOSE(CONTROL!$C$27, 0.0021, 0)</f>
        <v>75.319099999999992</v>
      </c>
      <c r="I833" s="10">
        <f>75.317 * CHOOSE(CONTROL!$C$9, $D$9, 100%, $F$9) + CHOOSE(CONTROL!$C$27, 0.0021, 0)</f>
        <v>75.319099999999992</v>
      </c>
      <c r="J833" s="10">
        <f>75.317 * CHOOSE(CONTROL!$C$9, $D$9, 100%, $F$9) + CHOOSE(CONTROL!$C$27, 0.0021, 0)</f>
        <v>75.319099999999992</v>
      </c>
      <c r="K833" s="10">
        <f>75.317 * CHOOSE(CONTROL!$C$9, $D$9, 100%, $F$9) + CHOOSE(CONTROL!$C$27, 0.0021, 0)</f>
        <v>75.319099999999992</v>
      </c>
      <c r="L833" s="10"/>
    </row>
    <row r="834" spans="1:12" ht="15.75" x14ac:dyDescent="0.25">
      <c r="A834" s="13">
        <v>66688</v>
      </c>
      <c r="B834" s="10">
        <f>77.2239 * CHOOSE(CONTROL!$C$9, $D$9, 100%, $F$9) + CHOOSE(CONTROL!$C$27, 0.0021, 0)</f>
        <v>77.225999999999999</v>
      </c>
      <c r="C834" s="10">
        <f>76.7917 * CHOOSE(CONTROL!$C$9, $D$9, 100%, $F$9) + CHOOSE(CONTROL!$C$27, 0.0021, 0)</f>
        <v>76.793800000000005</v>
      </c>
      <c r="D834" s="10">
        <f>76.7917 * CHOOSE(CONTROL!$C$9, $D$9, 100%, $F$9) + CHOOSE(CONTROL!$C$27, 0.0021, 0)</f>
        <v>76.793800000000005</v>
      </c>
      <c r="E834" s="10">
        <f>76.655 * CHOOSE(CONTROL!$C$9, $D$9, 100%, $F$9) + CHOOSE(CONTROL!$C$27, 0.0021, 0)</f>
        <v>76.6571</v>
      </c>
      <c r="F834" s="10">
        <f>76.655 * CHOOSE(CONTROL!$C$9, $D$9, 100%, $F$9) + CHOOSE(CONTROL!$C$27, 0.0021, 0)</f>
        <v>76.6571</v>
      </c>
      <c r="G834" s="10">
        <f>76.9264 * CHOOSE(CONTROL!$C$9, $D$9, 100%, $F$9) + CHOOSE(CONTROL!$C$27, 0.0021, 0)</f>
        <v>76.9285</v>
      </c>
      <c r="H834" s="10">
        <f>76.7917 * CHOOSE(CONTROL!$C$9, $D$9, 100%, $F$9) + CHOOSE(CONTROL!$C$27, 0.0021, 0)</f>
        <v>76.793800000000005</v>
      </c>
      <c r="I834" s="10">
        <f>76.7917 * CHOOSE(CONTROL!$C$9, $D$9, 100%, $F$9) + CHOOSE(CONTROL!$C$27, 0.0021, 0)</f>
        <v>76.793800000000005</v>
      </c>
      <c r="J834" s="10">
        <f>76.7917 * CHOOSE(CONTROL!$C$9, $D$9, 100%, $F$9) + CHOOSE(CONTROL!$C$27, 0.0021, 0)</f>
        <v>76.793800000000005</v>
      </c>
      <c r="K834" s="10">
        <f>76.7917 * CHOOSE(CONTROL!$C$9, $D$9, 100%, $F$9) + CHOOSE(CONTROL!$C$27, 0.0021, 0)</f>
        <v>76.793800000000005</v>
      </c>
      <c r="L834" s="10"/>
    </row>
    <row r="835" spans="1:12" ht="15.75" x14ac:dyDescent="0.25">
      <c r="A835" s="13">
        <v>66719</v>
      </c>
      <c r="B835" s="10">
        <f>77.6741 * CHOOSE(CONTROL!$C$9, $D$9, 100%, $F$9) + CHOOSE(CONTROL!$C$27, 0.0021, 0)</f>
        <v>77.676199999999994</v>
      </c>
      <c r="C835" s="10">
        <f>77.2418 * CHOOSE(CONTROL!$C$9, $D$9, 100%, $F$9) + CHOOSE(CONTROL!$C$27, 0.0021, 0)</f>
        <v>77.243899999999996</v>
      </c>
      <c r="D835" s="10">
        <f>77.2418 * CHOOSE(CONTROL!$C$9, $D$9, 100%, $F$9) + CHOOSE(CONTROL!$C$27, 0.0021, 0)</f>
        <v>77.243899999999996</v>
      </c>
      <c r="E835" s="10">
        <f>77.1052 * CHOOSE(CONTROL!$C$9, $D$9, 100%, $F$9) + CHOOSE(CONTROL!$C$27, 0.0021, 0)</f>
        <v>77.107299999999995</v>
      </c>
      <c r="F835" s="10">
        <f>77.1052 * CHOOSE(CONTROL!$C$9, $D$9, 100%, $F$9) + CHOOSE(CONTROL!$C$27, 0.0021, 0)</f>
        <v>77.107299999999995</v>
      </c>
      <c r="G835" s="10">
        <f>77.3765 * CHOOSE(CONTROL!$C$9, $D$9, 100%, $F$9) + CHOOSE(CONTROL!$C$27, 0.0021, 0)</f>
        <v>77.378599999999992</v>
      </c>
      <c r="H835" s="10">
        <f>77.2418 * CHOOSE(CONTROL!$C$9, $D$9, 100%, $F$9) + CHOOSE(CONTROL!$C$27, 0.0021, 0)</f>
        <v>77.243899999999996</v>
      </c>
      <c r="I835" s="10">
        <f>77.2418 * CHOOSE(CONTROL!$C$9, $D$9, 100%, $F$9) + CHOOSE(CONTROL!$C$27, 0.0021, 0)</f>
        <v>77.243899999999996</v>
      </c>
      <c r="J835" s="10">
        <f>77.2418 * CHOOSE(CONTROL!$C$9, $D$9, 100%, $F$9) + CHOOSE(CONTROL!$C$27, 0.0021, 0)</f>
        <v>77.243899999999996</v>
      </c>
      <c r="K835" s="10">
        <f>77.2418 * CHOOSE(CONTROL!$C$9, $D$9, 100%, $F$9) + CHOOSE(CONTROL!$C$27, 0.0021, 0)</f>
        <v>77.243899999999996</v>
      </c>
      <c r="L835" s="10"/>
    </row>
    <row r="836" spans="1:12" ht="15.75" x14ac:dyDescent="0.25">
      <c r="A836" s="13">
        <v>66749</v>
      </c>
      <c r="B836" s="10">
        <f>79.2069 * CHOOSE(CONTROL!$C$9, $D$9, 100%, $F$9) + CHOOSE(CONTROL!$C$27, 0.0021, 0)</f>
        <v>79.209000000000003</v>
      </c>
      <c r="C836" s="10">
        <f>78.7747 * CHOOSE(CONTROL!$C$9, $D$9, 100%, $F$9) + CHOOSE(CONTROL!$C$27, 0.0021, 0)</f>
        <v>78.776799999999994</v>
      </c>
      <c r="D836" s="10">
        <f>78.7747 * CHOOSE(CONTROL!$C$9, $D$9, 100%, $F$9) + CHOOSE(CONTROL!$C$27, 0.0021, 0)</f>
        <v>78.776799999999994</v>
      </c>
      <c r="E836" s="10">
        <f>78.638 * CHOOSE(CONTROL!$C$9, $D$9, 100%, $F$9) + CHOOSE(CONTROL!$C$27, 0.0021, 0)</f>
        <v>78.640100000000004</v>
      </c>
      <c r="F836" s="10">
        <f>78.638 * CHOOSE(CONTROL!$C$9, $D$9, 100%, $F$9) + CHOOSE(CONTROL!$C$27, 0.0021, 0)</f>
        <v>78.640100000000004</v>
      </c>
      <c r="G836" s="10">
        <f>78.9094 * CHOOSE(CONTROL!$C$9, $D$9, 100%, $F$9) + CHOOSE(CONTROL!$C$27, 0.0021, 0)</f>
        <v>78.911500000000004</v>
      </c>
      <c r="H836" s="10">
        <f>78.7747 * CHOOSE(CONTROL!$C$9, $D$9, 100%, $F$9) + CHOOSE(CONTROL!$C$27, 0.0021, 0)</f>
        <v>78.776799999999994</v>
      </c>
      <c r="I836" s="10">
        <f>78.7747 * CHOOSE(CONTROL!$C$9, $D$9, 100%, $F$9) + CHOOSE(CONTROL!$C$27, 0.0021, 0)</f>
        <v>78.776799999999994</v>
      </c>
      <c r="J836" s="10">
        <f>78.7747 * CHOOSE(CONTROL!$C$9, $D$9, 100%, $F$9) + CHOOSE(CONTROL!$C$27, 0.0021, 0)</f>
        <v>78.776799999999994</v>
      </c>
      <c r="K836" s="10">
        <f>78.7747 * CHOOSE(CONTROL!$C$9, $D$9, 100%, $F$9) + CHOOSE(CONTROL!$C$27, 0.0021, 0)</f>
        <v>78.776799999999994</v>
      </c>
      <c r="L836" s="10"/>
    </row>
    <row r="837" spans="1:12" ht="15.75" x14ac:dyDescent="0.25">
      <c r="A837" s="13">
        <v>66780</v>
      </c>
      <c r="B837" s="10">
        <f>81.1473 * CHOOSE(CONTROL!$C$9, $D$9, 100%, $F$9) + CHOOSE(CONTROL!$C$27, 0.0021, 0)</f>
        <v>81.1494</v>
      </c>
      <c r="C837" s="10">
        <f>80.7151 * CHOOSE(CONTROL!$C$9, $D$9, 100%, $F$9) + CHOOSE(CONTROL!$C$27, 0.0021, 0)</f>
        <v>80.717200000000005</v>
      </c>
      <c r="D837" s="10">
        <f>80.7151 * CHOOSE(CONTROL!$C$9, $D$9, 100%, $F$9) + CHOOSE(CONTROL!$C$27, 0.0021, 0)</f>
        <v>80.717200000000005</v>
      </c>
      <c r="E837" s="10">
        <f>80.5784 * CHOOSE(CONTROL!$C$9, $D$9, 100%, $F$9) + CHOOSE(CONTROL!$C$27, 0.0021, 0)</f>
        <v>80.580500000000001</v>
      </c>
      <c r="F837" s="10">
        <f>80.5784 * CHOOSE(CONTROL!$C$9, $D$9, 100%, $F$9) + CHOOSE(CONTROL!$C$27, 0.0021, 0)</f>
        <v>80.580500000000001</v>
      </c>
      <c r="G837" s="10">
        <f>80.8498 * CHOOSE(CONTROL!$C$9, $D$9, 100%, $F$9) + CHOOSE(CONTROL!$C$27, 0.0021, 0)</f>
        <v>80.851900000000001</v>
      </c>
      <c r="H837" s="10">
        <f>80.7151 * CHOOSE(CONTROL!$C$9, $D$9, 100%, $F$9) + CHOOSE(CONTROL!$C$27, 0.0021, 0)</f>
        <v>80.717200000000005</v>
      </c>
      <c r="I837" s="10">
        <f>80.7151 * CHOOSE(CONTROL!$C$9, $D$9, 100%, $F$9) + CHOOSE(CONTROL!$C$27, 0.0021, 0)</f>
        <v>80.717200000000005</v>
      </c>
      <c r="J837" s="10">
        <f>80.7151 * CHOOSE(CONTROL!$C$9, $D$9, 100%, $F$9) + CHOOSE(CONTROL!$C$27, 0.0021, 0)</f>
        <v>80.717200000000005</v>
      </c>
      <c r="K837" s="10">
        <f>80.7151 * CHOOSE(CONTROL!$C$9, $D$9, 100%, $F$9) + CHOOSE(CONTROL!$C$27, 0.0021, 0)</f>
        <v>80.717200000000005</v>
      </c>
      <c r="L837" s="10"/>
    </row>
    <row r="838" spans="1:12" ht="15.75" x14ac:dyDescent="0.25">
      <c r="A838" s="13">
        <v>66810</v>
      </c>
      <c r="B838" s="10">
        <f>81.3295 * CHOOSE(CONTROL!$C$9, $D$9, 100%, $F$9) + CHOOSE(CONTROL!$C$27, 0.0021, 0)</f>
        <v>81.331599999999995</v>
      </c>
      <c r="C838" s="10">
        <f>80.8972 * CHOOSE(CONTROL!$C$9, $D$9, 100%, $F$9) + CHOOSE(CONTROL!$C$27, 0.0021, 0)</f>
        <v>80.899299999999997</v>
      </c>
      <c r="D838" s="10">
        <f>80.8972 * CHOOSE(CONTROL!$C$9, $D$9, 100%, $F$9) + CHOOSE(CONTROL!$C$27, 0.0021, 0)</f>
        <v>80.899299999999997</v>
      </c>
      <c r="E838" s="10">
        <f>80.7606 * CHOOSE(CONTROL!$C$9, $D$9, 100%, $F$9) + CHOOSE(CONTROL!$C$27, 0.0021, 0)</f>
        <v>80.762699999999995</v>
      </c>
      <c r="F838" s="10">
        <f>80.7606 * CHOOSE(CONTROL!$C$9, $D$9, 100%, $F$9) + CHOOSE(CONTROL!$C$27, 0.0021, 0)</f>
        <v>80.762699999999995</v>
      </c>
      <c r="G838" s="10">
        <f>81.0319 * CHOOSE(CONTROL!$C$9, $D$9, 100%, $F$9) + CHOOSE(CONTROL!$C$27, 0.0021, 0)</f>
        <v>81.033999999999992</v>
      </c>
      <c r="H838" s="10">
        <f>80.8972 * CHOOSE(CONTROL!$C$9, $D$9, 100%, $F$9) + CHOOSE(CONTROL!$C$27, 0.0021, 0)</f>
        <v>80.899299999999997</v>
      </c>
      <c r="I838" s="10">
        <f>80.8972 * CHOOSE(CONTROL!$C$9, $D$9, 100%, $F$9) + CHOOSE(CONTROL!$C$27, 0.0021, 0)</f>
        <v>80.899299999999997</v>
      </c>
      <c r="J838" s="10">
        <f>80.8972 * CHOOSE(CONTROL!$C$9, $D$9, 100%, $F$9) + CHOOSE(CONTROL!$C$27, 0.0021, 0)</f>
        <v>80.899299999999997</v>
      </c>
      <c r="K838" s="10">
        <f>80.8972 * CHOOSE(CONTROL!$C$9, $D$9, 100%, $F$9) + CHOOSE(CONTROL!$C$27, 0.0021, 0)</f>
        <v>80.899299999999997</v>
      </c>
      <c r="L838" s="10"/>
    </row>
    <row r="839" spans="1:12" ht="15.75" x14ac:dyDescent="0.25">
      <c r="A839" s="13">
        <v>66841</v>
      </c>
      <c r="B839" s="10">
        <f>79.7797 * CHOOSE(CONTROL!$C$9, $D$9, 100%, $F$9) + CHOOSE(CONTROL!$C$27, 0.0021, 0)</f>
        <v>79.781800000000004</v>
      </c>
      <c r="C839" s="10">
        <f>79.3475 * CHOOSE(CONTROL!$C$9, $D$9, 100%, $F$9) + CHOOSE(CONTROL!$C$27, 0.0021, 0)</f>
        <v>79.349599999999995</v>
      </c>
      <c r="D839" s="10">
        <f>79.3475 * CHOOSE(CONTROL!$C$9, $D$9, 100%, $F$9) + CHOOSE(CONTROL!$C$27, 0.0021, 0)</f>
        <v>79.349599999999995</v>
      </c>
      <c r="E839" s="10">
        <f>79.2108 * CHOOSE(CONTROL!$C$9, $D$9, 100%, $F$9) + CHOOSE(CONTROL!$C$27, 0.0021, 0)</f>
        <v>79.212900000000005</v>
      </c>
      <c r="F839" s="10">
        <f>79.2108 * CHOOSE(CONTROL!$C$9, $D$9, 100%, $F$9) + CHOOSE(CONTROL!$C$27, 0.0021, 0)</f>
        <v>79.212900000000005</v>
      </c>
      <c r="G839" s="10">
        <f>79.4822 * CHOOSE(CONTROL!$C$9, $D$9, 100%, $F$9) + CHOOSE(CONTROL!$C$27, 0.0021, 0)</f>
        <v>79.484300000000005</v>
      </c>
      <c r="H839" s="10">
        <f>79.3475 * CHOOSE(CONTROL!$C$9, $D$9, 100%, $F$9) + CHOOSE(CONTROL!$C$27, 0.0021, 0)</f>
        <v>79.349599999999995</v>
      </c>
      <c r="I839" s="10">
        <f>79.3475 * CHOOSE(CONTROL!$C$9, $D$9, 100%, $F$9) + CHOOSE(CONTROL!$C$27, 0.0021, 0)</f>
        <v>79.349599999999995</v>
      </c>
      <c r="J839" s="10">
        <f>79.3475 * CHOOSE(CONTROL!$C$9, $D$9, 100%, $F$9) + CHOOSE(CONTROL!$C$27, 0.0021, 0)</f>
        <v>79.349599999999995</v>
      </c>
      <c r="K839" s="10">
        <f>79.3475 * CHOOSE(CONTROL!$C$9, $D$9, 100%, $F$9) + CHOOSE(CONTROL!$C$27, 0.0021, 0)</f>
        <v>79.349599999999995</v>
      </c>
      <c r="L839" s="10"/>
    </row>
    <row r="840" spans="1:12" ht="15.75" x14ac:dyDescent="0.25">
      <c r="A840" s="13">
        <v>66872</v>
      </c>
      <c r="B840" s="10">
        <f>78.5932 * CHOOSE(CONTROL!$C$9, $D$9, 100%, $F$9) + CHOOSE(CONTROL!$C$27, 0.0021, 0)</f>
        <v>78.595299999999995</v>
      </c>
      <c r="C840" s="10">
        <f>78.161 * CHOOSE(CONTROL!$C$9, $D$9, 100%, $F$9) + CHOOSE(CONTROL!$C$27, 0.0021, 0)</f>
        <v>78.1631</v>
      </c>
      <c r="D840" s="10">
        <f>78.161 * CHOOSE(CONTROL!$C$9, $D$9, 100%, $F$9) + CHOOSE(CONTROL!$C$27, 0.0021, 0)</f>
        <v>78.1631</v>
      </c>
      <c r="E840" s="10">
        <f>78.0243 * CHOOSE(CONTROL!$C$9, $D$9, 100%, $F$9) + CHOOSE(CONTROL!$C$27, 0.0021, 0)</f>
        <v>78.026399999999995</v>
      </c>
      <c r="F840" s="10">
        <f>78.0243 * CHOOSE(CONTROL!$C$9, $D$9, 100%, $F$9) + CHOOSE(CONTROL!$C$27, 0.0021, 0)</f>
        <v>78.026399999999995</v>
      </c>
      <c r="G840" s="10">
        <f>78.2957 * CHOOSE(CONTROL!$C$9, $D$9, 100%, $F$9) + CHOOSE(CONTROL!$C$27, 0.0021, 0)</f>
        <v>78.297799999999995</v>
      </c>
      <c r="H840" s="10">
        <f>78.161 * CHOOSE(CONTROL!$C$9, $D$9, 100%, $F$9) + CHOOSE(CONTROL!$C$27, 0.0021, 0)</f>
        <v>78.1631</v>
      </c>
      <c r="I840" s="10">
        <f>78.161 * CHOOSE(CONTROL!$C$9, $D$9, 100%, $F$9) + CHOOSE(CONTROL!$C$27, 0.0021, 0)</f>
        <v>78.1631</v>
      </c>
      <c r="J840" s="10">
        <f>78.161 * CHOOSE(CONTROL!$C$9, $D$9, 100%, $F$9) + CHOOSE(CONTROL!$C$27, 0.0021, 0)</f>
        <v>78.1631</v>
      </c>
      <c r="K840" s="10">
        <f>78.161 * CHOOSE(CONTROL!$C$9, $D$9, 100%, $F$9) + CHOOSE(CONTROL!$C$27, 0.0021, 0)</f>
        <v>78.1631</v>
      </c>
      <c r="L840" s="10"/>
    </row>
    <row r="841" spans="1:12" ht="15.75" x14ac:dyDescent="0.25">
      <c r="A841" s="13">
        <v>66900</v>
      </c>
      <c r="B841" s="10">
        <f>76.435 * CHOOSE(CONTROL!$C$9, $D$9, 100%, $F$9) + CHOOSE(CONTROL!$C$27, 0.0021, 0)</f>
        <v>76.437100000000001</v>
      </c>
      <c r="C841" s="10">
        <f>76.0028 * CHOOSE(CONTROL!$C$9, $D$9, 100%, $F$9) + CHOOSE(CONTROL!$C$27, 0.0021, 0)</f>
        <v>76.004899999999992</v>
      </c>
      <c r="D841" s="10">
        <f>76.0028 * CHOOSE(CONTROL!$C$9, $D$9, 100%, $F$9) + CHOOSE(CONTROL!$C$27, 0.0021, 0)</f>
        <v>76.004899999999992</v>
      </c>
      <c r="E841" s="10">
        <f>75.8661 * CHOOSE(CONTROL!$C$9, $D$9, 100%, $F$9) + CHOOSE(CONTROL!$C$27, 0.0021, 0)</f>
        <v>75.868200000000002</v>
      </c>
      <c r="F841" s="10">
        <f>75.8661 * CHOOSE(CONTROL!$C$9, $D$9, 100%, $F$9) + CHOOSE(CONTROL!$C$27, 0.0021, 0)</f>
        <v>75.868200000000002</v>
      </c>
      <c r="G841" s="10">
        <f>76.1375 * CHOOSE(CONTROL!$C$9, $D$9, 100%, $F$9) + CHOOSE(CONTROL!$C$27, 0.0021, 0)</f>
        <v>76.139600000000002</v>
      </c>
      <c r="H841" s="10">
        <f>76.0028 * CHOOSE(CONTROL!$C$9, $D$9, 100%, $F$9) + CHOOSE(CONTROL!$C$27, 0.0021, 0)</f>
        <v>76.004899999999992</v>
      </c>
      <c r="I841" s="10">
        <f>76.0028 * CHOOSE(CONTROL!$C$9, $D$9, 100%, $F$9) + CHOOSE(CONTROL!$C$27, 0.0021, 0)</f>
        <v>76.004899999999992</v>
      </c>
      <c r="J841" s="10">
        <f>76.0028 * CHOOSE(CONTROL!$C$9, $D$9, 100%, $F$9) + CHOOSE(CONTROL!$C$27, 0.0021, 0)</f>
        <v>76.004899999999992</v>
      </c>
      <c r="K841" s="10">
        <f>76.0028 * CHOOSE(CONTROL!$C$9, $D$9, 100%, $F$9) + CHOOSE(CONTROL!$C$27, 0.0021, 0)</f>
        <v>76.004899999999992</v>
      </c>
      <c r="L841" s="10"/>
    </row>
    <row r="842" spans="1:12" ht="15.75" x14ac:dyDescent="0.25">
      <c r="A842" s="13">
        <v>66931</v>
      </c>
      <c r="B842" s="10">
        <f>75.5441 * CHOOSE(CONTROL!$C$9, $D$9, 100%, $F$9) + CHOOSE(CONTROL!$C$27, 0.0021, 0)</f>
        <v>75.546199999999999</v>
      </c>
      <c r="C842" s="10">
        <f>75.1119 * CHOOSE(CONTROL!$C$9, $D$9, 100%, $F$9) + CHOOSE(CONTROL!$C$27, 0.0021, 0)</f>
        <v>75.114000000000004</v>
      </c>
      <c r="D842" s="10">
        <f>75.1119 * CHOOSE(CONTROL!$C$9, $D$9, 100%, $F$9) + CHOOSE(CONTROL!$C$27, 0.0021, 0)</f>
        <v>75.114000000000004</v>
      </c>
      <c r="E842" s="10">
        <f>74.9752 * CHOOSE(CONTROL!$C$9, $D$9, 100%, $F$9) + CHOOSE(CONTROL!$C$27, 0.0021, 0)</f>
        <v>74.9773</v>
      </c>
      <c r="F842" s="10">
        <f>74.9752 * CHOOSE(CONTROL!$C$9, $D$9, 100%, $F$9) + CHOOSE(CONTROL!$C$27, 0.0021, 0)</f>
        <v>74.9773</v>
      </c>
      <c r="G842" s="10">
        <f>75.2466 * CHOOSE(CONTROL!$C$9, $D$9, 100%, $F$9) + CHOOSE(CONTROL!$C$27, 0.0021, 0)</f>
        <v>75.248699999999999</v>
      </c>
      <c r="H842" s="10">
        <f>75.1119 * CHOOSE(CONTROL!$C$9, $D$9, 100%, $F$9) + CHOOSE(CONTROL!$C$27, 0.0021, 0)</f>
        <v>75.114000000000004</v>
      </c>
      <c r="I842" s="10">
        <f>75.1119 * CHOOSE(CONTROL!$C$9, $D$9, 100%, $F$9) + CHOOSE(CONTROL!$C$27, 0.0021, 0)</f>
        <v>75.114000000000004</v>
      </c>
      <c r="J842" s="10">
        <f>75.1119 * CHOOSE(CONTROL!$C$9, $D$9, 100%, $F$9) + CHOOSE(CONTROL!$C$27, 0.0021, 0)</f>
        <v>75.114000000000004</v>
      </c>
      <c r="K842" s="10">
        <f>75.1119 * CHOOSE(CONTROL!$C$9, $D$9, 100%, $F$9) + CHOOSE(CONTROL!$C$27, 0.0021, 0)</f>
        <v>75.114000000000004</v>
      </c>
      <c r="L842" s="10"/>
    </row>
    <row r="843" spans="1:12" ht="15.75" x14ac:dyDescent="0.25">
      <c r="A843" s="13">
        <v>66961</v>
      </c>
      <c r="B843" s="10">
        <f>74.4804 * CHOOSE(CONTROL!$C$9, $D$9, 100%, $F$9) + CHOOSE(CONTROL!$C$27, 0.0021, 0)</f>
        <v>74.482500000000002</v>
      </c>
      <c r="C843" s="10">
        <f>74.0481 * CHOOSE(CONTROL!$C$9, $D$9, 100%, $F$9) + CHOOSE(CONTROL!$C$27, 0.0021, 0)</f>
        <v>74.050200000000004</v>
      </c>
      <c r="D843" s="10">
        <f>74.0481 * CHOOSE(CONTROL!$C$9, $D$9, 100%, $F$9) + CHOOSE(CONTROL!$C$27, 0.0021, 0)</f>
        <v>74.050200000000004</v>
      </c>
      <c r="E843" s="10">
        <f>73.9114 * CHOOSE(CONTROL!$C$9, $D$9, 100%, $F$9) + CHOOSE(CONTROL!$C$27, 0.0021, 0)</f>
        <v>73.913499999999999</v>
      </c>
      <c r="F843" s="10">
        <f>73.9114 * CHOOSE(CONTROL!$C$9, $D$9, 100%, $F$9) + CHOOSE(CONTROL!$C$27, 0.0021, 0)</f>
        <v>73.913499999999999</v>
      </c>
      <c r="G843" s="10">
        <f>74.1828 * CHOOSE(CONTROL!$C$9, $D$9, 100%, $F$9) + CHOOSE(CONTROL!$C$27, 0.0021, 0)</f>
        <v>74.184899999999999</v>
      </c>
      <c r="H843" s="10">
        <f>74.0481 * CHOOSE(CONTROL!$C$9, $D$9, 100%, $F$9) + CHOOSE(CONTROL!$C$27, 0.0021, 0)</f>
        <v>74.050200000000004</v>
      </c>
      <c r="I843" s="10">
        <f>74.0481 * CHOOSE(CONTROL!$C$9, $D$9, 100%, $F$9) + CHOOSE(CONTROL!$C$27, 0.0021, 0)</f>
        <v>74.050200000000004</v>
      </c>
      <c r="J843" s="10">
        <f>74.0481 * CHOOSE(CONTROL!$C$9, $D$9, 100%, $F$9) + CHOOSE(CONTROL!$C$27, 0.0021, 0)</f>
        <v>74.050200000000004</v>
      </c>
      <c r="K843" s="10">
        <f>74.0481 * CHOOSE(CONTROL!$C$9, $D$9, 100%, $F$9) + CHOOSE(CONTROL!$C$27, 0.0021, 0)</f>
        <v>74.050200000000004</v>
      </c>
      <c r="L843" s="10"/>
    </row>
    <row r="844" spans="1:12" ht="15.75" x14ac:dyDescent="0.25">
      <c r="A844" s="13">
        <v>66992</v>
      </c>
      <c r="B844" s="10">
        <f>75.9963 * CHOOSE(CONTROL!$C$9, $D$9, 100%, $F$9) + CHOOSE(CONTROL!$C$27, 0.0021, 0)</f>
        <v>75.998400000000004</v>
      </c>
      <c r="C844" s="10">
        <f>75.5641 * CHOOSE(CONTROL!$C$9, $D$9, 100%, $F$9) + CHOOSE(CONTROL!$C$27, 0.0021, 0)</f>
        <v>75.566199999999995</v>
      </c>
      <c r="D844" s="10">
        <f>75.5641 * CHOOSE(CONTROL!$C$9, $D$9, 100%, $F$9) + CHOOSE(CONTROL!$C$27, 0.0021, 0)</f>
        <v>75.566199999999995</v>
      </c>
      <c r="E844" s="10">
        <f>75.4274 * CHOOSE(CONTROL!$C$9, $D$9, 100%, $F$9) + CHOOSE(CONTROL!$C$27, 0.0021, 0)</f>
        <v>75.429500000000004</v>
      </c>
      <c r="F844" s="10">
        <f>75.4274 * CHOOSE(CONTROL!$C$9, $D$9, 100%, $F$9) + CHOOSE(CONTROL!$C$27, 0.0021, 0)</f>
        <v>75.429500000000004</v>
      </c>
      <c r="G844" s="10">
        <f>75.6988 * CHOOSE(CONTROL!$C$9, $D$9, 100%, $F$9) + CHOOSE(CONTROL!$C$27, 0.0021, 0)</f>
        <v>75.700900000000004</v>
      </c>
      <c r="H844" s="10">
        <f>75.5641 * CHOOSE(CONTROL!$C$9, $D$9, 100%, $F$9) + CHOOSE(CONTROL!$C$27, 0.0021, 0)</f>
        <v>75.566199999999995</v>
      </c>
      <c r="I844" s="10">
        <f>75.5641 * CHOOSE(CONTROL!$C$9, $D$9, 100%, $F$9) + CHOOSE(CONTROL!$C$27, 0.0021, 0)</f>
        <v>75.566199999999995</v>
      </c>
      <c r="J844" s="10">
        <f>75.5641 * CHOOSE(CONTROL!$C$9, $D$9, 100%, $F$9) + CHOOSE(CONTROL!$C$27, 0.0021, 0)</f>
        <v>75.566199999999995</v>
      </c>
      <c r="K844" s="10">
        <f>75.5641 * CHOOSE(CONTROL!$C$9, $D$9, 100%, $F$9) + CHOOSE(CONTROL!$C$27, 0.0021, 0)</f>
        <v>75.566199999999995</v>
      </c>
      <c r="L844" s="10"/>
    </row>
    <row r="845" spans="1:12" ht="15.75" x14ac:dyDescent="0.25">
      <c r="A845" s="13">
        <v>67022</v>
      </c>
      <c r="B845" s="10">
        <f>76.9043 * CHOOSE(CONTROL!$C$9, $D$9, 100%, $F$9) + CHOOSE(CONTROL!$C$27, 0.0021, 0)</f>
        <v>76.906400000000005</v>
      </c>
      <c r="C845" s="10">
        <f>76.4721 * CHOOSE(CONTROL!$C$9, $D$9, 100%, $F$9) + CHOOSE(CONTROL!$C$27, 0.0021, 0)</f>
        <v>76.474199999999996</v>
      </c>
      <c r="D845" s="10">
        <f>76.4721 * CHOOSE(CONTROL!$C$9, $D$9, 100%, $F$9) + CHOOSE(CONTROL!$C$27, 0.0021, 0)</f>
        <v>76.474199999999996</v>
      </c>
      <c r="E845" s="10">
        <f>76.3354 * CHOOSE(CONTROL!$C$9, $D$9, 100%, $F$9) + CHOOSE(CONTROL!$C$27, 0.0021, 0)</f>
        <v>76.337500000000006</v>
      </c>
      <c r="F845" s="10">
        <f>76.3354 * CHOOSE(CONTROL!$C$9, $D$9, 100%, $F$9) + CHOOSE(CONTROL!$C$27, 0.0021, 0)</f>
        <v>76.337500000000006</v>
      </c>
      <c r="G845" s="10">
        <f>76.6068 * CHOOSE(CONTROL!$C$9, $D$9, 100%, $F$9) + CHOOSE(CONTROL!$C$27, 0.0021, 0)</f>
        <v>76.608900000000006</v>
      </c>
      <c r="H845" s="10">
        <f>76.4721 * CHOOSE(CONTROL!$C$9, $D$9, 100%, $F$9) + CHOOSE(CONTROL!$C$27, 0.0021, 0)</f>
        <v>76.474199999999996</v>
      </c>
      <c r="I845" s="10">
        <f>76.4721 * CHOOSE(CONTROL!$C$9, $D$9, 100%, $F$9) + CHOOSE(CONTROL!$C$27, 0.0021, 0)</f>
        <v>76.474199999999996</v>
      </c>
      <c r="J845" s="10">
        <f>76.4721 * CHOOSE(CONTROL!$C$9, $D$9, 100%, $F$9) + CHOOSE(CONTROL!$C$27, 0.0021, 0)</f>
        <v>76.474199999999996</v>
      </c>
      <c r="K845" s="10">
        <f>76.4721 * CHOOSE(CONTROL!$C$9, $D$9, 100%, $F$9) + CHOOSE(CONTROL!$C$27, 0.0021, 0)</f>
        <v>76.474199999999996</v>
      </c>
      <c r="L845" s="10"/>
    </row>
    <row r="846" spans="1:12" ht="15.75" x14ac:dyDescent="0.25">
      <c r="A846" s="13">
        <v>67053</v>
      </c>
      <c r="B846" s="10">
        <f>78.4022 * CHOOSE(CONTROL!$C$9, $D$9, 100%, $F$9) + CHOOSE(CONTROL!$C$27, 0.0021, 0)</f>
        <v>78.404299999999992</v>
      </c>
      <c r="C846" s="10">
        <f>77.97 * CHOOSE(CONTROL!$C$9, $D$9, 100%, $F$9) + CHOOSE(CONTROL!$C$27, 0.0021, 0)</f>
        <v>77.972099999999998</v>
      </c>
      <c r="D846" s="10">
        <f>77.97 * CHOOSE(CONTROL!$C$9, $D$9, 100%, $F$9) + CHOOSE(CONTROL!$C$27, 0.0021, 0)</f>
        <v>77.972099999999998</v>
      </c>
      <c r="E846" s="10">
        <f>77.8333 * CHOOSE(CONTROL!$C$9, $D$9, 100%, $F$9) + CHOOSE(CONTROL!$C$27, 0.0021, 0)</f>
        <v>77.835399999999993</v>
      </c>
      <c r="F846" s="10">
        <f>77.8333 * CHOOSE(CONTROL!$C$9, $D$9, 100%, $F$9) + CHOOSE(CONTROL!$C$27, 0.0021, 0)</f>
        <v>77.835399999999993</v>
      </c>
      <c r="G846" s="10">
        <f>78.1047 * CHOOSE(CONTROL!$C$9, $D$9, 100%, $F$9) + CHOOSE(CONTROL!$C$27, 0.0021, 0)</f>
        <v>78.106799999999993</v>
      </c>
      <c r="H846" s="10">
        <f>77.97 * CHOOSE(CONTROL!$C$9, $D$9, 100%, $F$9) + CHOOSE(CONTROL!$C$27, 0.0021, 0)</f>
        <v>77.972099999999998</v>
      </c>
      <c r="I846" s="10">
        <f>77.97 * CHOOSE(CONTROL!$C$9, $D$9, 100%, $F$9) + CHOOSE(CONTROL!$C$27, 0.0021, 0)</f>
        <v>77.972099999999998</v>
      </c>
      <c r="J846" s="10">
        <f>77.97 * CHOOSE(CONTROL!$C$9, $D$9, 100%, $F$9) + CHOOSE(CONTROL!$C$27, 0.0021, 0)</f>
        <v>77.972099999999998</v>
      </c>
      <c r="K846" s="10">
        <f>77.97 * CHOOSE(CONTROL!$C$9, $D$9, 100%, $F$9) + CHOOSE(CONTROL!$C$27, 0.0021, 0)</f>
        <v>77.972099999999998</v>
      </c>
      <c r="L846" s="10"/>
    </row>
    <row r="847" spans="1:12" ht="15.75" x14ac:dyDescent="0.25">
      <c r="A847" s="13">
        <v>67084</v>
      </c>
      <c r="B847" s="10">
        <f>78.8594 * CHOOSE(CONTROL!$C$9, $D$9, 100%, $F$9) + CHOOSE(CONTROL!$C$27, 0.0021, 0)</f>
        <v>78.861499999999992</v>
      </c>
      <c r="C847" s="10">
        <f>78.4272 * CHOOSE(CONTROL!$C$9, $D$9, 100%, $F$9) + CHOOSE(CONTROL!$C$27, 0.0021, 0)</f>
        <v>78.429299999999998</v>
      </c>
      <c r="D847" s="10">
        <f>78.4272 * CHOOSE(CONTROL!$C$9, $D$9, 100%, $F$9) + CHOOSE(CONTROL!$C$27, 0.0021, 0)</f>
        <v>78.429299999999998</v>
      </c>
      <c r="E847" s="10">
        <f>78.2905 * CHOOSE(CONTROL!$C$9, $D$9, 100%, $F$9) + CHOOSE(CONTROL!$C$27, 0.0021, 0)</f>
        <v>78.292599999999993</v>
      </c>
      <c r="F847" s="10">
        <f>78.2905 * CHOOSE(CONTROL!$C$9, $D$9, 100%, $F$9) + CHOOSE(CONTROL!$C$27, 0.0021, 0)</f>
        <v>78.292599999999993</v>
      </c>
      <c r="G847" s="10">
        <f>78.5619 * CHOOSE(CONTROL!$C$9, $D$9, 100%, $F$9) + CHOOSE(CONTROL!$C$27, 0.0021, 0)</f>
        <v>78.563999999999993</v>
      </c>
      <c r="H847" s="10">
        <f>78.4272 * CHOOSE(CONTROL!$C$9, $D$9, 100%, $F$9) + CHOOSE(CONTROL!$C$27, 0.0021, 0)</f>
        <v>78.429299999999998</v>
      </c>
      <c r="I847" s="10">
        <f>78.4272 * CHOOSE(CONTROL!$C$9, $D$9, 100%, $F$9) + CHOOSE(CONTROL!$C$27, 0.0021, 0)</f>
        <v>78.429299999999998</v>
      </c>
      <c r="J847" s="10">
        <f>78.4272 * CHOOSE(CONTROL!$C$9, $D$9, 100%, $F$9) + CHOOSE(CONTROL!$C$27, 0.0021, 0)</f>
        <v>78.429299999999998</v>
      </c>
      <c r="K847" s="10">
        <f>78.4272 * CHOOSE(CONTROL!$C$9, $D$9, 100%, $F$9) + CHOOSE(CONTROL!$C$27, 0.0021, 0)</f>
        <v>78.429299999999998</v>
      </c>
      <c r="L847" s="10"/>
    </row>
    <row r="848" spans="1:12" ht="15.75" x14ac:dyDescent="0.25">
      <c r="A848" s="13">
        <v>67114</v>
      </c>
      <c r="B848" s="10">
        <f>80.4164 * CHOOSE(CONTROL!$C$9, $D$9, 100%, $F$9) + CHOOSE(CONTROL!$C$27, 0.0021, 0)</f>
        <v>80.418499999999995</v>
      </c>
      <c r="C848" s="10">
        <f>79.9842 * CHOOSE(CONTROL!$C$9, $D$9, 100%, $F$9) + CHOOSE(CONTROL!$C$27, 0.0021, 0)</f>
        <v>79.9863</v>
      </c>
      <c r="D848" s="10">
        <f>79.9842 * CHOOSE(CONTROL!$C$9, $D$9, 100%, $F$9) + CHOOSE(CONTROL!$C$27, 0.0021, 0)</f>
        <v>79.9863</v>
      </c>
      <c r="E848" s="10">
        <f>79.8475 * CHOOSE(CONTROL!$C$9, $D$9, 100%, $F$9) + CHOOSE(CONTROL!$C$27, 0.0021, 0)</f>
        <v>79.849599999999995</v>
      </c>
      <c r="F848" s="10">
        <f>79.8475 * CHOOSE(CONTROL!$C$9, $D$9, 100%, $F$9) + CHOOSE(CONTROL!$C$27, 0.0021, 0)</f>
        <v>79.849599999999995</v>
      </c>
      <c r="G848" s="10">
        <f>80.1189 * CHOOSE(CONTROL!$C$9, $D$9, 100%, $F$9) + CHOOSE(CONTROL!$C$27, 0.0021, 0)</f>
        <v>80.120999999999995</v>
      </c>
      <c r="H848" s="10">
        <f>79.9842 * CHOOSE(CONTROL!$C$9, $D$9, 100%, $F$9) + CHOOSE(CONTROL!$C$27, 0.0021, 0)</f>
        <v>79.9863</v>
      </c>
      <c r="I848" s="10">
        <f>79.9842 * CHOOSE(CONTROL!$C$9, $D$9, 100%, $F$9) + CHOOSE(CONTROL!$C$27, 0.0021, 0)</f>
        <v>79.9863</v>
      </c>
      <c r="J848" s="10">
        <f>79.9842 * CHOOSE(CONTROL!$C$9, $D$9, 100%, $F$9) + CHOOSE(CONTROL!$C$27, 0.0021, 0)</f>
        <v>79.9863</v>
      </c>
      <c r="K848" s="10">
        <f>79.9842 * CHOOSE(CONTROL!$C$9, $D$9, 100%, $F$9) + CHOOSE(CONTROL!$C$27, 0.0021, 0)</f>
        <v>79.9863</v>
      </c>
      <c r="L848" s="10"/>
    </row>
    <row r="849" spans="1:12" ht="15.75" x14ac:dyDescent="0.25">
      <c r="A849" s="13">
        <v>67145</v>
      </c>
      <c r="B849" s="10">
        <f>82.3873 * CHOOSE(CONTROL!$C$9, $D$9, 100%, $F$9) + CHOOSE(CONTROL!$C$27, 0.0021, 0)</f>
        <v>82.389399999999995</v>
      </c>
      <c r="C849" s="10">
        <f>81.9551 * CHOOSE(CONTROL!$C$9, $D$9, 100%, $F$9) + CHOOSE(CONTROL!$C$27, 0.0021, 0)</f>
        <v>81.9572</v>
      </c>
      <c r="D849" s="10">
        <f>81.9551 * CHOOSE(CONTROL!$C$9, $D$9, 100%, $F$9) + CHOOSE(CONTROL!$C$27, 0.0021, 0)</f>
        <v>81.9572</v>
      </c>
      <c r="E849" s="10">
        <f>81.8184 * CHOOSE(CONTROL!$C$9, $D$9, 100%, $F$9) + CHOOSE(CONTROL!$C$27, 0.0021, 0)</f>
        <v>81.820499999999996</v>
      </c>
      <c r="F849" s="10">
        <f>81.8184 * CHOOSE(CONTROL!$C$9, $D$9, 100%, $F$9) + CHOOSE(CONTROL!$C$27, 0.0021, 0)</f>
        <v>81.820499999999996</v>
      </c>
      <c r="G849" s="10">
        <f>82.0898 * CHOOSE(CONTROL!$C$9, $D$9, 100%, $F$9) + CHOOSE(CONTROL!$C$27, 0.0021, 0)</f>
        <v>82.091899999999995</v>
      </c>
      <c r="H849" s="10">
        <f>81.9551 * CHOOSE(CONTROL!$C$9, $D$9, 100%, $F$9) + CHOOSE(CONTROL!$C$27, 0.0021, 0)</f>
        <v>81.9572</v>
      </c>
      <c r="I849" s="10">
        <f>81.9551 * CHOOSE(CONTROL!$C$9, $D$9, 100%, $F$9) + CHOOSE(CONTROL!$C$27, 0.0021, 0)</f>
        <v>81.9572</v>
      </c>
      <c r="J849" s="10">
        <f>81.9551 * CHOOSE(CONTROL!$C$9, $D$9, 100%, $F$9) + CHOOSE(CONTROL!$C$27, 0.0021, 0)</f>
        <v>81.9572</v>
      </c>
      <c r="K849" s="10">
        <f>81.9551 * CHOOSE(CONTROL!$C$9, $D$9, 100%, $F$9) + CHOOSE(CONTROL!$C$27, 0.0021, 0)</f>
        <v>81.9572</v>
      </c>
      <c r="L849" s="10"/>
    </row>
    <row r="850" spans="1:12" ht="15.75" x14ac:dyDescent="0.25">
      <c r="A850" s="13">
        <v>67175</v>
      </c>
      <c r="B850" s="10">
        <f>82.5723 * CHOOSE(CONTROL!$C$9, $D$9, 100%, $F$9) + CHOOSE(CONTROL!$C$27, 0.0021, 0)</f>
        <v>82.574399999999997</v>
      </c>
      <c r="C850" s="10">
        <f>82.1401 * CHOOSE(CONTROL!$C$9, $D$9, 100%, $F$9) + CHOOSE(CONTROL!$C$27, 0.0021, 0)</f>
        <v>82.142200000000003</v>
      </c>
      <c r="D850" s="10">
        <f>82.1401 * CHOOSE(CONTROL!$C$9, $D$9, 100%, $F$9) + CHOOSE(CONTROL!$C$27, 0.0021, 0)</f>
        <v>82.142200000000003</v>
      </c>
      <c r="E850" s="10">
        <f>82.0034 * CHOOSE(CONTROL!$C$9, $D$9, 100%, $F$9) + CHOOSE(CONTROL!$C$27, 0.0021, 0)</f>
        <v>82.005499999999998</v>
      </c>
      <c r="F850" s="10">
        <f>82.0034 * CHOOSE(CONTROL!$C$9, $D$9, 100%, $F$9) + CHOOSE(CONTROL!$C$27, 0.0021, 0)</f>
        <v>82.005499999999998</v>
      </c>
      <c r="G850" s="10">
        <f>82.2748 * CHOOSE(CONTROL!$C$9, $D$9, 100%, $F$9) + CHOOSE(CONTROL!$C$27, 0.0021, 0)</f>
        <v>82.276899999999998</v>
      </c>
      <c r="H850" s="10">
        <f>82.1401 * CHOOSE(CONTROL!$C$9, $D$9, 100%, $F$9) + CHOOSE(CONTROL!$C$27, 0.0021, 0)</f>
        <v>82.142200000000003</v>
      </c>
      <c r="I850" s="10">
        <f>82.1401 * CHOOSE(CONTROL!$C$9, $D$9, 100%, $F$9) + CHOOSE(CONTROL!$C$27, 0.0021, 0)</f>
        <v>82.142200000000003</v>
      </c>
      <c r="J850" s="10">
        <f>82.1401 * CHOOSE(CONTROL!$C$9, $D$9, 100%, $F$9) + CHOOSE(CONTROL!$C$27, 0.0021, 0)</f>
        <v>82.142200000000003</v>
      </c>
      <c r="K850" s="10">
        <f>82.1401 * CHOOSE(CONTROL!$C$9, $D$9, 100%, $F$9) + CHOOSE(CONTROL!$C$27, 0.0021, 0)</f>
        <v>82.142200000000003</v>
      </c>
      <c r="L850" s="10"/>
    </row>
    <row r="851" spans="1:12" ht="15.75" x14ac:dyDescent="0.25">
      <c r="A851" s="13">
        <v>67206</v>
      </c>
      <c r="B851" s="10">
        <f>80.9982 * CHOOSE(CONTROL!$C$9, $D$9, 100%, $F$9) + CHOOSE(CONTROL!$C$27, 0.0021, 0)</f>
        <v>81.000299999999996</v>
      </c>
      <c r="C851" s="10">
        <f>80.566 * CHOOSE(CONTROL!$C$9, $D$9, 100%, $F$9) + CHOOSE(CONTROL!$C$27, 0.0021, 0)</f>
        <v>80.568100000000001</v>
      </c>
      <c r="D851" s="10">
        <f>80.566 * CHOOSE(CONTROL!$C$9, $D$9, 100%, $F$9) + CHOOSE(CONTROL!$C$27, 0.0021, 0)</f>
        <v>80.568100000000001</v>
      </c>
      <c r="E851" s="10">
        <f>80.4293 * CHOOSE(CONTROL!$C$9, $D$9, 100%, $F$9) + CHOOSE(CONTROL!$C$27, 0.0021, 0)</f>
        <v>80.431399999999996</v>
      </c>
      <c r="F851" s="10">
        <f>80.4293 * CHOOSE(CONTROL!$C$9, $D$9, 100%, $F$9) + CHOOSE(CONTROL!$C$27, 0.0021, 0)</f>
        <v>80.431399999999996</v>
      </c>
      <c r="G851" s="10">
        <f>80.7007 * CHOOSE(CONTROL!$C$9, $D$9, 100%, $F$9) + CHOOSE(CONTROL!$C$27, 0.0021, 0)</f>
        <v>80.702799999999996</v>
      </c>
      <c r="H851" s="10">
        <f>80.566 * CHOOSE(CONTROL!$C$9, $D$9, 100%, $F$9) + CHOOSE(CONTROL!$C$27, 0.0021, 0)</f>
        <v>80.568100000000001</v>
      </c>
      <c r="I851" s="10">
        <f>80.566 * CHOOSE(CONTROL!$C$9, $D$9, 100%, $F$9) + CHOOSE(CONTROL!$C$27, 0.0021, 0)</f>
        <v>80.568100000000001</v>
      </c>
      <c r="J851" s="10">
        <f>80.566 * CHOOSE(CONTROL!$C$9, $D$9, 100%, $F$9) + CHOOSE(CONTROL!$C$27, 0.0021, 0)</f>
        <v>80.568100000000001</v>
      </c>
      <c r="K851" s="10">
        <f>80.566 * CHOOSE(CONTROL!$C$9, $D$9, 100%, $F$9) + CHOOSE(CONTROL!$C$27, 0.0021, 0)</f>
        <v>80.568100000000001</v>
      </c>
      <c r="L851" s="10"/>
    </row>
    <row r="852" spans="1:12" ht="15.75" x14ac:dyDescent="0.25">
      <c r="A852" s="13">
        <v>67237</v>
      </c>
      <c r="B852" s="10">
        <f>79.793 * CHOOSE(CONTROL!$C$9, $D$9, 100%, $F$9) + CHOOSE(CONTROL!$C$27, 0.0021, 0)</f>
        <v>79.795100000000005</v>
      </c>
      <c r="C852" s="10">
        <f>79.3608 * CHOOSE(CONTROL!$C$9, $D$9, 100%, $F$9) + CHOOSE(CONTROL!$C$27, 0.0021, 0)</f>
        <v>79.362899999999996</v>
      </c>
      <c r="D852" s="10">
        <f>79.3608 * CHOOSE(CONTROL!$C$9, $D$9, 100%, $F$9) + CHOOSE(CONTROL!$C$27, 0.0021, 0)</f>
        <v>79.362899999999996</v>
      </c>
      <c r="E852" s="10">
        <f>79.2241 * CHOOSE(CONTROL!$C$9, $D$9, 100%, $F$9) + CHOOSE(CONTROL!$C$27, 0.0021, 0)</f>
        <v>79.226200000000006</v>
      </c>
      <c r="F852" s="10">
        <f>79.2241 * CHOOSE(CONTROL!$C$9, $D$9, 100%, $F$9) + CHOOSE(CONTROL!$C$27, 0.0021, 0)</f>
        <v>79.226200000000006</v>
      </c>
      <c r="G852" s="10">
        <f>79.4955 * CHOOSE(CONTROL!$C$9, $D$9, 100%, $F$9) + CHOOSE(CONTROL!$C$27, 0.0021, 0)</f>
        <v>79.497600000000006</v>
      </c>
      <c r="H852" s="10">
        <f>79.3608 * CHOOSE(CONTROL!$C$9, $D$9, 100%, $F$9) + CHOOSE(CONTROL!$C$27, 0.0021, 0)</f>
        <v>79.362899999999996</v>
      </c>
      <c r="I852" s="10">
        <f>79.3608 * CHOOSE(CONTROL!$C$9, $D$9, 100%, $F$9) + CHOOSE(CONTROL!$C$27, 0.0021, 0)</f>
        <v>79.362899999999996</v>
      </c>
      <c r="J852" s="10">
        <f>79.3608 * CHOOSE(CONTROL!$C$9, $D$9, 100%, $F$9) + CHOOSE(CONTROL!$C$27, 0.0021, 0)</f>
        <v>79.362899999999996</v>
      </c>
      <c r="K852" s="10">
        <f>79.3608 * CHOOSE(CONTROL!$C$9, $D$9, 100%, $F$9) + CHOOSE(CONTROL!$C$27, 0.0021, 0)</f>
        <v>79.362899999999996</v>
      </c>
      <c r="L852" s="10"/>
    </row>
    <row r="853" spans="1:12" ht="15.75" x14ac:dyDescent="0.25">
      <c r="A853" s="13">
        <v>67266</v>
      </c>
      <c r="B853" s="10">
        <f>77.6009 * CHOOSE(CONTROL!$C$9, $D$9, 100%, $F$9) + CHOOSE(CONTROL!$C$27, 0.0021, 0)</f>
        <v>77.602999999999994</v>
      </c>
      <c r="C853" s="10">
        <f>77.1686 * CHOOSE(CONTROL!$C$9, $D$9, 100%, $F$9) + CHOOSE(CONTROL!$C$27, 0.0021, 0)</f>
        <v>77.170699999999997</v>
      </c>
      <c r="D853" s="10">
        <f>77.1686 * CHOOSE(CONTROL!$C$9, $D$9, 100%, $F$9) + CHOOSE(CONTROL!$C$27, 0.0021, 0)</f>
        <v>77.170699999999997</v>
      </c>
      <c r="E853" s="10">
        <f>77.032 * CHOOSE(CONTROL!$C$9, $D$9, 100%, $F$9) + CHOOSE(CONTROL!$C$27, 0.0021, 0)</f>
        <v>77.034099999999995</v>
      </c>
      <c r="F853" s="10">
        <f>77.032 * CHOOSE(CONTROL!$C$9, $D$9, 100%, $F$9) + CHOOSE(CONTROL!$C$27, 0.0021, 0)</f>
        <v>77.034099999999995</v>
      </c>
      <c r="G853" s="10">
        <f>77.3034 * CHOOSE(CONTROL!$C$9, $D$9, 100%, $F$9) + CHOOSE(CONTROL!$C$27, 0.0021, 0)</f>
        <v>77.305499999999995</v>
      </c>
      <c r="H853" s="10">
        <f>77.1686 * CHOOSE(CONTROL!$C$9, $D$9, 100%, $F$9) + CHOOSE(CONTROL!$C$27, 0.0021, 0)</f>
        <v>77.170699999999997</v>
      </c>
      <c r="I853" s="10">
        <f>77.1686 * CHOOSE(CONTROL!$C$9, $D$9, 100%, $F$9) + CHOOSE(CONTROL!$C$27, 0.0021, 0)</f>
        <v>77.170699999999997</v>
      </c>
      <c r="J853" s="10">
        <f>77.1686 * CHOOSE(CONTROL!$C$9, $D$9, 100%, $F$9) + CHOOSE(CONTROL!$C$27, 0.0021, 0)</f>
        <v>77.170699999999997</v>
      </c>
      <c r="K853" s="10">
        <f>77.1686 * CHOOSE(CONTROL!$C$9, $D$9, 100%, $F$9) + CHOOSE(CONTROL!$C$27, 0.0021, 0)</f>
        <v>77.170699999999997</v>
      </c>
      <c r="L853" s="10"/>
    </row>
    <row r="854" spans="1:12" ht="15.75" x14ac:dyDescent="0.25">
      <c r="A854" s="13">
        <v>67297</v>
      </c>
      <c r="B854" s="10">
        <f>76.696 * CHOOSE(CONTROL!$C$9, $D$9, 100%, $F$9) + CHOOSE(CONTROL!$C$27, 0.0021, 0)</f>
        <v>76.698099999999997</v>
      </c>
      <c r="C854" s="10">
        <f>76.2637 * CHOOSE(CONTROL!$C$9, $D$9, 100%, $F$9) + CHOOSE(CONTROL!$C$27, 0.0021, 0)</f>
        <v>76.265799999999999</v>
      </c>
      <c r="D854" s="10">
        <f>76.2637 * CHOOSE(CONTROL!$C$9, $D$9, 100%, $F$9) + CHOOSE(CONTROL!$C$27, 0.0021, 0)</f>
        <v>76.265799999999999</v>
      </c>
      <c r="E854" s="10">
        <f>76.1271 * CHOOSE(CONTROL!$C$9, $D$9, 100%, $F$9) + CHOOSE(CONTROL!$C$27, 0.0021, 0)</f>
        <v>76.129199999999997</v>
      </c>
      <c r="F854" s="10">
        <f>76.1271 * CHOOSE(CONTROL!$C$9, $D$9, 100%, $F$9) + CHOOSE(CONTROL!$C$27, 0.0021, 0)</f>
        <v>76.129199999999997</v>
      </c>
      <c r="G854" s="10">
        <f>76.3985 * CHOOSE(CONTROL!$C$9, $D$9, 100%, $F$9) + CHOOSE(CONTROL!$C$27, 0.0021, 0)</f>
        <v>76.400599999999997</v>
      </c>
      <c r="H854" s="10">
        <f>76.2637 * CHOOSE(CONTROL!$C$9, $D$9, 100%, $F$9) + CHOOSE(CONTROL!$C$27, 0.0021, 0)</f>
        <v>76.265799999999999</v>
      </c>
      <c r="I854" s="10">
        <f>76.2637 * CHOOSE(CONTROL!$C$9, $D$9, 100%, $F$9) + CHOOSE(CONTROL!$C$27, 0.0021, 0)</f>
        <v>76.265799999999999</v>
      </c>
      <c r="J854" s="10">
        <f>76.2637 * CHOOSE(CONTROL!$C$9, $D$9, 100%, $F$9) + CHOOSE(CONTROL!$C$27, 0.0021, 0)</f>
        <v>76.265799999999999</v>
      </c>
      <c r="K854" s="10">
        <f>76.2637 * CHOOSE(CONTROL!$C$9, $D$9, 100%, $F$9) + CHOOSE(CONTROL!$C$27, 0.0021, 0)</f>
        <v>76.265799999999999</v>
      </c>
      <c r="L854" s="10"/>
    </row>
    <row r="855" spans="1:12" ht="15.75" x14ac:dyDescent="0.25">
      <c r="A855" s="13">
        <v>67327</v>
      </c>
      <c r="B855" s="10">
        <f>75.6155 * CHOOSE(CONTROL!$C$9, $D$9, 100%, $F$9) + CHOOSE(CONTROL!$C$27, 0.0021, 0)</f>
        <v>75.617599999999996</v>
      </c>
      <c r="C855" s="10">
        <f>75.1833 * CHOOSE(CONTROL!$C$9, $D$9, 100%, $F$9) + CHOOSE(CONTROL!$C$27, 0.0021, 0)</f>
        <v>75.185400000000001</v>
      </c>
      <c r="D855" s="10">
        <f>75.1833 * CHOOSE(CONTROL!$C$9, $D$9, 100%, $F$9) + CHOOSE(CONTROL!$C$27, 0.0021, 0)</f>
        <v>75.185400000000001</v>
      </c>
      <c r="E855" s="10">
        <f>75.0466 * CHOOSE(CONTROL!$C$9, $D$9, 100%, $F$9) + CHOOSE(CONTROL!$C$27, 0.0021, 0)</f>
        <v>75.048699999999997</v>
      </c>
      <c r="F855" s="10">
        <f>75.0466 * CHOOSE(CONTROL!$C$9, $D$9, 100%, $F$9) + CHOOSE(CONTROL!$C$27, 0.0021, 0)</f>
        <v>75.048699999999997</v>
      </c>
      <c r="G855" s="10">
        <f>75.318 * CHOOSE(CONTROL!$C$9, $D$9, 100%, $F$9) + CHOOSE(CONTROL!$C$27, 0.0021, 0)</f>
        <v>75.320099999999996</v>
      </c>
      <c r="H855" s="10">
        <f>75.1833 * CHOOSE(CONTROL!$C$9, $D$9, 100%, $F$9) + CHOOSE(CONTROL!$C$27, 0.0021, 0)</f>
        <v>75.185400000000001</v>
      </c>
      <c r="I855" s="10">
        <f>75.1833 * CHOOSE(CONTROL!$C$9, $D$9, 100%, $F$9) + CHOOSE(CONTROL!$C$27, 0.0021, 0)</f>
        <v>75.185400000000001</v>
      </c>
      <c r="J855" s="10">
        <f>75.1833 * CHOOSE(CONTROL!$C$9, $D$9, 100%, $F$9) + CHOOSE(CONTROL!$C$27, 0.0021, 0)</f>
        <v>75.185400000000001</v>
      </c>
      <c r="K855" s="10">
        <f>75.1833 * CHOOSE(CONTROL!$C$9, $D$9, 100%, $F$9) + CHOOSE(CONTROL!$C$27, 0.0021, 0)</f>
        <v>75.185400000000001</v>
      </c>
      <c r="L855" s="10"/>
    </row>
    <row r="856" spans="1:12" ht="15.75" x14ac:dyDescent="0.25">
      <c r="A856" s="13">
        <v>67358</v>
      </c>
      <c r="B856" s="10">
        <f>77.1553 * CHOOSE(CONTROL!$C$9, $D$9, 100%, $F$9) + CHOOSE(CONTROL!$C$27, 0.0021, 0)</f>
        <v>77.157399999999996</v>
      </c>
      <c r="C856" s="10">
        <f>76.7231 * CHOOSE(CONTROL!$C$9, $D$9, 100%, $F$9) + CHOOSE(CONTROL!$C$27, 0.0021, 0)</f>
        <v>76.725200000000001</v>
      </c>
      <c r="D856" s="10">
        <f>76.7231 * CHOOSE(CONTROL!$C$9, $D$9, 100%, $F$9) + CHOOSE(CONTROL!$C$27, 0.0021, 0)</f>
        <v>76.725200000000001</v>
      </c>
      <c r="E856" s="10">
        <f>76.5864 * CHOOSE(CONTROL!$C$9, $D$9, 100%, $F$9) + CHOOSE(CONTROL!$C$27, 0.0021, 0)</f>
        <v>76.588499999999996</v>
      </c>
      <c r="F856" s="10">
        <f>76.5864 * CHOOSE(CONTROL!$C$9, $D$9, 100%, $F$9) + CHOOSE(CONTROL!$C$27, 0.0021, 0)</f>
        <v>76.588499999999996</v>
      </c>
      <c r="G856" s="10">
        <f>76.8578 * CHOOSE(CONTROL!$C$9, $D$9, 100%, $F$9) + CHOOSE(CONTROL!$C$27, 0.0021, 0)</f>
        <v>76.859899999999996</v>
      </c>
      <c r="H856" s="10">
        <f>76.7231 * CHOOSE(CONTROL!$C$9, $D$9, 100%, $F$9) + CHOOSE(CONTROL!$C$27, 0.0021, 0)</f>
        <v>76.725200000000001</v>
      </c>
      <c r="I856" s="10">
        <f>76.7231 * CHOOSE(CONTROL!$C$9, $D$9, 100%, $F$9) + CHOOSE(CONTROL!$C$27, 0.0021, 0)</f>
        <v>76.725200000000001</v>
      </c>
      <c r="J856" s="10">
        <f>76.7231 * CHOOSE(CONTROL!$C$9, $D$9, 100%, $F$9) + CHOOSE(CONTROL!$C$27, 0.0021, 0)</f>
        <v>76.725200000000001</v>
      </c>
      <c r="K856" s="10">
        <f>76.7231 * CHOOSE(CONTROL!$C$9, $D$9, 100%, $F$9) + CHOOSE(CONTROL!$C$27, 0.0021, 0)</f>
        <v>76.725200000000001</v>
      </c>
      <c r="L856" s="10"/>
    </row>
    <row r="857" spans="1:12" ht="15.75" x14ac:dyDescent="0.25">
      <c r="A857" s="13">
        <v>67388</v>
      </c>
      <c r="B857" s="10">
        <f>78.0776 * CHOOSE(CONTROL!$C$9, $D$9, 100%, $F$9) + CHOOSE(CONTROL!$C$27, 0.0021, 0)</f>
        <v>78.079700000000003</v>
      </c>
      <c r="C857" s="10">
        <f>77.6454 * CHOOSE(CONTROL!$C$9, $D$9, 100%, $F$9) + CHOOSE(CONTROL!$C$27, 0.0021, 0)</f>
        <v>77.647499999999994</v>
      </c>
      <c r="D857" s="10">
        <f>77.6454 * CHOOSE(CONTROL!$C$9, $D$9, 100%, $F$9) + CHOOSE(CONTROL!$C$27, 0.0021, 0)</f>
        <v>77.647499999999994</v>
      </c>
      <c r="E857" s="10">
        <f>77.5087 * CHOOSE(CONTROL!$C$9, $D$9, 100%, $F$9) + CHOOSE(CONTROL!$C$27, 0.0021, 0)</f>
        <v>77.510800000000003</v>
      </c>
      <c r="F857" s="10">
        <f>77.5087 * CHOOSE(CONTROL!$C$9, $D$9, 100%, $F$9) + CHOOSE(CONTROL!$C$27, 0.0021, 0)</f>
        <v>77.510800000000003</v>
      </c>
      <c r="G857" s="10">
        <f>77.7801 * CHOOSE(CONTROL!$C$9, $D$9, 100%, $F$9) + CHOOSE(CONTROL!$C$27, 0.0021, 0)</f>
        <v>77.782200000000003</v>
      </c>
      <c r="H857" s="10">
        <f>77.6454 * CHOOSE(CONTROL!$C$9, $D$9, 100%, $F$9) + CHOOSE(CONTROL!$C$27, 0.0021, 0)</f>
        <v>77.647499999999994</v>
      </c>
      <c r="I857" s="10">
        <f>77.6454 * CHOOSE(CONTROL!$C$9, $D$9, 100%, $F$9) + CHOOSE(CONTROL!$C$27, 0.0021, 0)</f>
        <v>77.647499999999994</v>
      </c>
      <c r="J857" s="10">
        <f>77.6454 * CHOOSE(CONTROL!$C$9, $D$9, 100%, $F$9) + CHOOSE(CONTROL!$C$27, 0.0021, 0)</f>
        <v>77.647499999999994</v>
      </c>
      <c r="K857" s="10">
        <f>77.6454 * CHOOSE(CONTROL!$C$9, $D$9, 100%, $F$9) + CHOOSE(CONTROL!$C$27, 0.0021, 0)</f>
        <v>77.647499999999994</v>
      </c>
      <c r="L857" s="10"/>
    </row>
    <row r="858" spans="1:12" ht="15.75" x14ac:dyDescent="0.25">
      <c r="A858" s="13">
        <v>67419</v>
      </c>
      <c r="B858" s="10">
        <f>79.5991 * CHOOSE(CONTROL!$C$9, $D$9, 100%, $F$9) + CHOOSE(CONTROL!$C$27, 0.0021, 0)</f>
        <v>79.601200000000006</v>
      </c>
      <c r="C858" s="10">
        <f>79.1668 * CHOOSE(CONTROL!$C$9, $D$9, 100%, $F$9) + CHOOSE(CONTROL!$C$27, 0.0021, 0)</f>
        <v>79.168899999999994</v>
      </c>
      <c r="D858" s="10">
        <f>79.1668 * CHOOSE(CONTROL!$C$9, $D$9, 100%, $F$9) + CHOOSE(CONTROL!$C$27, 0.0021, 0)</f>
        <v>79.168899999999994</v>
      </c>
      <c r="E858" s="10">
        <f>79.0301 * CHOOSE(CONTROL!$C$9, $D$9, 100%, $F$9) + CHOOSE(CONTROL!$C$27, 0.0021, 0)</f>
        <v>79.032200000000003</v>
      </c>
      <c r="F858" s="10">
        <f>79.0301 * CHOOSE(CONTROL!$C$9, $D$9, 100%, $F$9) + CHOOSE(CONTROL!$C$27, 0.0021, 0)</f>
        <v>79.032200000000003</v>
      </c>
      <c r="G858" s="10">
        <f>79.3015 * CHOOSE(CONTROL!$C$9, $D$9, 100%, $F$9) + CHOOSE(CONTROL!$C$27, 0.0021, 0)</f>
        <v>79.303600000000003</v>
      </c>
      <c r="H858" s="10">
        <f>79.1668 * CHOOSE(CONTROL!$C$9, $D$9, 100%, $F$9) + CHOOSE(CONTROL!$C$27, 0.0021, 0)</f>
        <v>79.168899999999994</v>
      </c>
      <c r="I858" s="10">
        <f>79.1668 * CHOOSE(CONTROL!$C$9, $D$9, 100%, $F$9) + CHOOSE(CONTROL!$C$27, 0.0021, 0)</f>
        <v>79.168899999999994</v>
      </c>
      <c r="J858" s="10">
        <f>79.1668 * CHOOSE(CONTROL!$C$9, $D$9, 100%, $F$9) + CHOOSE(CONTROL!$C$27, 0.0021, 0)</f>
        <v>79.168899999999994</v>
      </c>
      <c r="K858" s="10">
        <f>79.1668 * CHOOSE(CONTROL!$C$9, $D$9, 100%, $F$9) + CHOOSE(CONTROL!$C$27, 0.0021, 0)</f>
        <v>79.168899999999994</v>
      </c>
      <c r="L858" s="10"/>
    </row>
    <row r="859" spans="1:12" ht="15.75" x14ac:dyDescent="0.25">
      <c r="A859" s="13">
        <v>67450</v>
      </c>
      <c r="B859" s="10">
        <f>80.0634 * CHOOSE(CONTROL!$C$9, $D$9, 100%, $F$9) + CHOOSE(CONTROL!$C$27, 0.0021, 0)</f>
        <v>80.0655</v>
      </c>
      <c r="C859" s="10">
        <f>79.6312 * CHOOSE(CONTROL!$C$9, $D$9, 100%, $F$9) + CHOOSE(CONTROL!$C$27, 0.0021, 0)</f>
        <v>79.633300000000006</v>
      </c>
      <c r="D859" s="10">
        <f>79.6312 * CHOOSE(CONTROL!$C$9, $D$9, 100%, $F$9) + CHOOSE(CONTROL!$C$27, 0.0021, 0)</f>
        <v>79.633300000000006</v>
      </c>
      <c r="E859" s="10">
        <f>79.4945 * CHOOSE(CONTROL!$C$9, $D$9, 100%, $F$9) + CHOOSE(CONTROL!$C$27, 0.0021, 0)</f>
        <v>79.496600000000001</v>
      </c>
      <c r="F859" s="10">
        <f>79.4945 * CHOOSE(CONTROL!$C$9, $D$9, 100%, $F$9) + CHOOSE(CONTROL!$C$27, 0.0021, 0)</f>
        <v>79.496600000000001</v>
      </c>
      <c r="G859" s="10">
        <f>79.7659 * CHOOSE(CONTROL!$C$9, $D$9, 100%, $F$9) + CHOOSE(CONTROL!$C$27, 0.0021, 0)</f>
        <v>79.768000000000001</v>
      </c>
      <c r="H859" s="10">
        <f>79.6312 * CHOOSE(CONTROL!$C$9, $D$9, 100%, $F$9) + CHOOSE(CONTROL!$C$27, 0.0021, 0)</f>
        <v>79.633300000000006</v>
      </c>
      <c r="I859" s="10">
        <f>79.6312 * CHOOSE(CONTROL!$C$9, $D$9, 100%, $F$9) + CHOOSE(CONTROL!$C$27, 0.0021, 0)</f>
        <v>79.633300000000006</v>
      </c>
      <c r="J859" s="10">
        <f>79.6312 * CHOOSE(CONTROL!$C$9, $D$9, 100%, $F$9) + CHOOSE(CONTROL!$C$27, 0.0021, 0)</f>
        <v>79.633300000000006</v>
      </c>
      <c r="K859" s="10">
        <f>79.6312 * CHOOSE(CONTROL!$C$9, $D$9, 100%, $F$9) + CHOOSE(CONTROL!$C$27, 0.0021, 0)</f>
        <v>79.633300000000006</v>
      </c>
      <c r="L859" s="10"/>
    </row>
    <row r="860" spans="1:12" ht="15.75" x14ac:dyDescent="0.25">
      <c r="A860" s="13">
        <v>67480</v>
      </c>
      <c r="B860" s="10">
        <f>81.6449 * CHOOSE(CONTROL!$C$9, $D$9, 100%, $F$9) + CHOOSE(CONTROL!$C$27, 0.0021, 0)</f>
        <v>81.647000000000006</v>
      </c>
      <c r="C860" s="10">
        <f>81.2127 * CHOOSE(CONTROL!$C$9, $D$9, 100%, $F$9) + CHOOSE(CONTROL!$C$27, 0.0021, 0)</f>
        <v>81.214799999999997</v>
      </c>
      <c r="D860" s="10">
        <f>81.2127 * CHOOSE(CONTROL!$C$9, $D$9, 100%, $F$9) + CHOOSE(CONTROL!$C$27, 0.0021, 0)</f>
        <v>81.214799999999997</v>
      </c>
      <c r="E860" s="10">
        <f>81.076 * CHOOSE(CONTROL!$C$9, $D$9, 100%, $F$9) + CHOOSE(CONTROL!$C$27, 0.0021, 0)</f>
        <v>81.078099999999992</v>
      </c>
      <c r="F860" s="10">
        <f>81.076 * CHOOSE(CONTROL!$C$9, $D$9, 100%, $F$9) + CHOOSE(CONTROL!$C$27, 0.0021, 0)</f>
        <v>81.078099999999992</v>
      </c>
      <c r="G860" s="10">
        <f>81.3474 * CHOOSE(CONTROL!$C$9, $D$9, 100%, $F$9) + CHOOSE(CONTROL!$C$27, 0.0021, 0)</f>
        <v>81.349499999999992</v>
      </c>
      <c r="H860" s="10">
        <f>81.2127 * CHOOSE(CONTROL!$C$9, $D$9, 100%, $F$9) + CHOOSE(CONTROL!$C$27, 0.0021, 0)</f>
        <v>81.214799999999997</v>
      </c>
      <c r="I860" s="10">
        <f>81.2127 * CHOOSE(CONTROL!$C$9, $D$9, 100%, $F$9) + CHOOSE(CONTROL!$C$27, 0.0021, 0)</f>
        <v>81.214799999999997</v>
      </c>
      <c r="J860" s="10">
        <f>81.2127 * CHOOSE(CONTROL!$C$9, $D$9, 100%, $F$9) + CHOOSE(CONTROL!$C$27, 0.0021, 0)</f>
        <v>81.214799999999997</v>
      </c>
      <c r="K860" s="10">
        <f>81.2127 * CHOOSE(CONTROL!$C$9, $D$9, 100%, $F$9) + CHOOSE(CONTROL!$C$27, 0.0021, 0)</f>
        <v>81.214799999999997</v>
      </c>
      <c r="L860" s="10"/>
    </row>
    <row r="861" spans="1:12" ht="15.75" x14ac:dyDescent="0.25">
      <c r="A861" s="13">
        <v>67511</v>
      </c>
      <c r="B861" s="10">
        <f>83.6468 * CHOOSE(CONTROL!$C$9, $D$9, 100%, $F$9) + CHOOSE(CONTROL!$C$27, 0.0021, 0)</f>
        <v>83.648899999999998</v>
      </c>
      <c r="C861" s="10">
        <f>83.2145 * CHOOSE(CONTROL!$C$9, $D$9, 100%, $F$9) + CHOOSE(CONTROL!$C$27, 0.0021, 0)</f>
        <v>83.2166</v>
      </c>
      <c r="D861" s="10">
        <f>83.2145 * CHOOSE(CONTROL!$C$9, $D$9, 100%, $F$9) + CHOOSE(CONTROL!$C$27, 0.0021, 0)</f>
        <v>83.2166</v>
      </c>
      <c r="E861" s="10">
        <f>83.0779 * CHOOSE(CONTROL!$C$9, $D$9, 100%, $F$9) + CHOOSE(CONTROL!$C$27, 0.0021, 0)</f>
        <v>83.08</v>
      </c>
      <c r="F861" s="10">
        <f>83.0779 * CHOOSE(CONTROL!$C$9, $D$9, 100%, $F$9) + CHOOSE(CONTROL!$C$27, 0.0021, 0)</f>
        <v>83.08</v>
      </c>
      <c r="G861" s="10">
        <f>83.3493 * CHOOSE(CONTROL!$C$9, $D$9, 100%, $F$9) + CHOOSE(CONTROL!$C$27, 0.0021, 0)</f>
        <v>83.351399999999998</v>
      </c>
      <c r="H861" s="10">
        <f>83.2145 * CHOOSE(CONTROL!$C$9, $D$9, 100%, $F$9) + CHOOSE(CONTROL!$C$27, 0.0021, 0)</f>
        <v>83.2166</v>
      </c>
      <c r="I861" s="10">
        <f>83.2145 * CHOOSE(CONTROL!$C$9, $D$9, 100%, $F$9) + CHOOSE(CONTROL!$C$27, 0.0021, 0)</f>
        <v>83.2166</v>
      </c>
      <c r="J861" s="10">
        <f>83.2145 * CHOOSE(CONTROL!$C$9, $D$9, 100%, $F$9) + CHOOSE(CONTROL!$C$27, 0.0021, 0)</f>
        <v>83.2166</v>
      </c>
      <c r="K861" s="10">
        <f>83.2145 * CHOOSE(CONTROL!$C$9, $D$9, 100%, $F$9) + CHOOSE(CONTROL!$C$27, 0.0021, 0)</f>
        <v>83.2166</v>
      </c>
      <c r="L861" s="10"/>
    </row>
    <row r="862" spans="1:12" ht="15.75" x14ac:dyDescent="0.25">
      <c r="A862" s="13">
        <v>67541</v>
      </c>
      <c r="B862" s="10">
        <f>83.8347 * CHOOSE(CONTROL!$C$9, $D$9, 100%, $F$9) + CHOOSE(CONTROL!$C$27, 0.0021, 0)</f>
        <v>83.836799999999997</v>
      </c>
      <c r="C862" s="10">
        <f>83.4025 * CHOOSE(CONTROL!$C$9, $D$9, 100%, $F$9) + CHOOSE(CONTROL!$C$27, 0.0021, 0)</f>
        <v>83.404600000000002</v>
      </c>
      <c r="D862" s="10">
        <f>83.4025 * CHOOSE(CONTROL!$C$9, $D$9, 100%, $F$9) + CHOOSE(CONTROL!$C$27, 0.0021, 0)</f>
        <v>83.404600000000002</v>
      </c>
      <c r="E862" s="10">
        <f>83.2658 * CHOOSE(CONTROL!$C$9, $D$9, 100%, $F$9) + CHOOSE(CONTROL!$C$27, 0.0021, 0)</f>
        <v>83.267899999999997</v>
      </c>
      <c r="F862" s="10">
        <f>83.2658 * CHOOSE(CONTROL!$C$9, $D$9, 100%, $F$9) + CHOOSE(CONTROL!$C$27, 0.0021, 0)</f>
        <v>83.267899999999997</v>
      </c>
      <c r="G862" s="10">
        <f>83.5372 * CHOOSE(CONTROL!$C$9, $D$9, 100%, $F$9) + CHOOSE(CONTROL!$C$27, 0.0021, 0)</f>
        <v>83.539299999999997</v>
      </c>
      <c r="H862" s="10">
        <f>83.4025 * CHOOSE(CONTROL!$C$9, $D$9, 100%, $F$9) + CHOOSE(CONTROL!$C$27, 0.0021, 0)</f>
        <v>83.404600000000002</v>
      </c>
      <c r="I862" s="10">
        <f>83.4025 * CHOOSE(CONTROL!$C$9, $D$9, 100%, $F$9) + CHOOSE(CONTROL!$C$27, 0.0021, 0)</f>
        <v>83.404600000000002</v>
      </c>
      <c r="J862" s="10">
        <f>83.4025 * CHOOSE(CONTROL!$C$9, $D$9, 100%, $F$9) + CHOOSE(CONTROL!$C$27, 0.0021, 0)</f>
        <v>83.404600000000002</v>
      </c>
      <c r="K862" s="10">
        <f>83.4025 * CHOOSE(CONTROL!$C$9, $D$9, 100%, $F$9) + CHOOSE(CONTROL!$C$27, 0.0021, 0)</f>
        <v>83.404600000000002</v>
      </c>
      <c r="L862" s="10"/>
    </row>
    <row r="863" spans="1:12" ht="15.75" x14ac:dyDescent="0.25">
      <c r="A863" s="13">
        <v>67572</v>
      </c>
      <c r="B863" s="10">
        <f>82.2359 * CHOOSE(CONTROL!$C$9, $D$9, 100%, $F$9) + CHOOSE(CONTROL!$C$27, 0.0021, 0)</f>
        <v>82.238</v>
      </c>
      <c r="C863" s="10">
        <f>81.8036 * CHOOSE(CONTROL!$C$9, $D$9, 100%, $F$9) + CHOOSE(CONTROL!$C$27, 0.0021, 0)</f>
        <v>81.805700000000002</v>
      </c>
      <c r="D863" s="10">
        <f>81.8036 * CHOOSE(CONTROL!$C$9, $D$9, 100%, $F$9) + CHOOSE(CONTROL!$C$27, 0.0021, 0)</f>
        <v>81.805700000000002</v>
      </c>
      <c r="E863" s="10">
        <f>81.667 * CHOOSE(CONTROL!$C$9, $D$9, 100%, $F$9) + CHOOSE(CONTROL!$C$27, 0.0021, 0)</f>
        <v>81.6691</v>
      </c>
      <c r="F863" s="10">
        <f>81.667 * CHOOSE(CONTROL!$C$9, $D$9, 100%, $F$9) + CHOOSE(CONTROL!$C$27, 0.0021, 0)</f>
        <v>81.6691</v>
      </c>
      <c r="G863" s="10">
        <f>81.9383 * CHOOSE(CONTROL!$C$9, $D$9, 100%, $F$9) + CHOOSE(CONTROL!$C$27, 0.0021, 0)</f>
        <v>81.940399999999997</v>
      </c>
      <c r="H863" s="10">
        <f>81.8036 * CHOOSE(CONTROL!$C$9, $D$9, 100%, $F$9) + CHOOSE(CONTROL!$C$27, 0.0021, 0)</f>
        <v>81.805700000000002</v>
      </c>
      <c r="I863" s="10">
        <f>81.8036 * CHOOSE(CONTROL!$C$9, $D$9, 100%, $F$9) + CHOOSE(CONTROL!$C$27, 0.0021, 0)</f>
        <v>81.805700000000002</v>
      </c>
      <c r="J863" s="10">
        <f>81.8036 * CHOOSE(CONTROL!$C$9, $D$9, 100%, $F$9) + CHOOSE(CONTROL!$C$27, 0.0021, 0)</f>
        <v>81.805700000000002</v>
      </c>
      <c r="K863" s="10">
        <f>81.8036 * CHOOSE(CONTROL!$C$9, $D$9, 100%, $F$9) + CHOOSE(CONTROL!$C$27, 0.0021, 0)</f>
        <v>81.805700000000002</v>
      </c>
      <c r="L863" s="10"/>
    </row>
    <row r="864" spans="1:12" ht="15.75" x14ac:dyDescent="0.25">
      <c r="A864" s="13">
        <v>67603</v>
      </c>
      <c r="B864" s="10">
        <f>81.0117 * CHOOSE(CONTROL!$C$9, $D$9, 100%, $F$9) + CHOOSE(CONTROL!$C$27, 0.0021, 0)</f>
        <v>81.013800000000003</v>
      </c>
      <c r="C864" s="10">
        <f>80.5795 * CHOOSE(CONTROL!$C$9, $D$9, 100%, $F$9) + CHOOSE(CONTROL!$C$27, 0.0021, 0)</f>
        <v>80.581599999999995</v>
      </c>
      <c r="D864" s="10">
        <f>80.5795 * CHOOSE(CONTROL!$C$9, $D$9, 100%, $F$9) + CHOOSE(CONTROL!$C$27, 0.0021, 0)</f>
        <v>80.581599999999995</v>
      </c>
      <c r="E864" s="10">
        <f>80.4428 * CHOOSE(CONTROL!$C$9, $D$9, 100%, $F$9) + CHOOSE(CONTROL!$C$27, 0.0021, 0)</f>
        <v>80.444900000000004</v>
      </c>
      <c r="F864" s="10">
        <f>80.4428 * CHOOSE(CONTROL!$C$9, $D$9, 100%, $F$9) + CHOOSE(CONTROL!$C$27, 0.0021, 0)</f>
        <v>80.444900000000004</v>
      </c>
      <c r="G864" s="10">
        <f>80.7142 * CHOOSE(CONTROL!$C$9, $D$9, 100%, $F$9) + CHOOSE(CONTROL!$C$27, 0.0021, 0)</f>
        <v>80.716300000000004</v>
      </c>
      <c r="H864" s="10">
        <f>80.5795 * CHOOSE(CONTROL!$C$9, $D$9, 100%, $F$9) + CHOOSE(CONTROL!$C$27, 0.0021, 0)</f>
        <v>80.581599999999995</v>
      </c>
      <c r="I864" s="10">
        <f>80.5795 * CHOOSE(CONTROL!$C$9, $D$9, 100%, $F$9) + CHOOSE(CONTROL!$C$27, 0.0021, 0)</f>
        <v>80.581599999999995</v>
      </c>
      <c r="J864" s="10">
        <f>80.5795 * CHOOSE(CONTROL!$C$9, $D$9, 100%, $F$9) + CHOOSE(CONTROL!$C$27, 0.0021, 0)</f>
        <v>80.581599999999995</v>
      </c>
      <c r="K864" s="10">
        <f>80.5795 * CHOOSE(CONTROL!$C$9, $D$9, 100%, $F$9) + CHOOSE(CONTROL!$C$27, 0.0021, 0)</f>
        <v>80.581599999999995</v>
      </c>
      <c r="L864" s="10"/>
    </row>
    <row r="865" spans="1:12" ht="15.75" x14ac:dyDescent="0.25">
      <c r="A865" s="13">
        <v>67631</v>
      </c>
      <c r="B865" s="10">
        <f>78.7851 * CHOOSE(CONTROL!$C$9, $D$9, 100%, $F$9) + CHOOSE(CONTROL!$C$27, 0.0021, 0)</f>
        <v>78.787199999999999</v>
      </c>
      <c r="C865" s="10">
        <f>78.3529 * CHOOSE(CONTROL!$C$9, $D$9, 100%, $F$9) + CHOOSE(CONTROL!$C$27, 0.0021, 0)</f>
        <v>78.355000000000004</v>
      </c>
      <c r="D865" s="10">
        <f>78.3529 * CHOOSE(CONTROL!$C$9, $D$9, 100%, $F$9) + CHOOSE(CONTROL!$C$27, 0.0021, 0)</f>
        <v>78.355000000000004</v>
      </c>
      <c r="E865" s="10">
        <f>78.2162 * CHOOSE(CONTROL!$C$9, $D$9, 100%, $F$9) + CHOOSE(CONTROL!$C$27, 0.0021, 0)</f>
        <v>78.218299999999999</v>
      </c>
      <c r="F865" s="10">
        <f>78.2162 * CHOOSE(CONTROL!$C$9, $D$9, 100%, $F$9) + CHOOSE(CONTROL!$C$27, 0.0021, 0)</f>
        <v>78.218299999999999</v>
      </c>
      <c r="G865" s="10">
        <f>78.4876 * CHOOSE(CONTROL!$C$9, $D$9, 100%, $F$9) + CHOOSE(CONTROL!$C$27, 0.0021, 0)</f>
        <v>78.489699999999999</v>
      </c>
      <c r="H865" s="10">
        <f>78.3529 * CHOOSE(CONTROL!$C$9, $D$9, 100%, $F$9) + CHOOSE(CONTROL!$C$27, 0.0021, 0)</f>
        <v>78.355000000000004</v>
      </c>
      <c r="I865" s="10">
        <f>78.3529 * CHOOSE(CONTROL!$C$9, $D$9, 100%, $F$9) + CHOOSE(CONTROL!$C$27, 0.0021, 0)</f>
        <v>78.355000000000004</v>
      </c>
      <c r="J865" s="10">
        <f>78.3529 * CHOOSE(CONTROL!$C$9, $D$9, 100%, $F$9) + CHOOSE(CONTROL!$C$27, 0.0021, 0)</f>
        <v>78.355000000000004</v>
      </c>
      <c r="K865" s="10">
        <f>78.3529 * CHOOSE(CONTROL!$C$9, $D$9, 100%, $F$9) + CHOOSE(CONTROL!$C$27, 0.0021, 0)</f>
        <v>78.355000000000004</v>
      </c>
      <c r="L865" s="10"/>
    </row>
    <row r="866" spans="1:12" ht="15.75" x14ac:dyDescent="0.25">
      <c r="A866" s="13">
        <v>67662</v>
      </c>
      <c r="B866" s="10">
        <f>77.866 * CHOOSE(CONTROL!$C$9, $D$9, 100%, $F$9) + CHOOSE(CONTROL!$C$27, 0.0021, 0)</f>
        <v>77.868099999999998</v>
      </c>
      <c r="C866" s="10">
        <f>77.4337 * CHOOSE(CONTROL!$C$9, $D$9, 100%, $F$9) + CHOOSE(CONTROL!$C$27, 0.0021, 0)</f>
        <v>77.4358</v>
      </c>
      <c r="D866" s="10">
        <f>77.4337 * CHOOSE(CONTROL!$C$9, $D$9, 100%, $F$9) + CHOOSE(CONTROL!$C$27, 0.0021, 0)</f>
        <v>77.4358</v>
      </c>
      <c r="E866" s="10">
        <f>77.2971 * CHOOSE(CONTROL!$C$9, $D$9, 100%, $F$9) + CHOOSE(CONTROL!$C$27, 0.0021, 0)</f>
        <v>77.299199999999999</v>
      </c>
      <c r="F866" s="10">
        <f>77.2971 * CHOOSE(CONTROL!$C$9, $D$9, 100%, $F$9) + CHOOSE(CONTROL!$C$27, 0.0021, 0)</f>
        <v>77.299199999999999</v>
      </c>
      <c r="G866" s="10">
        <f>77.5684 * CHOOSE(CONTROL!$C$9, $D$9, 100%, $F$9) + CHOOSE(CONTROL!$C$27, 0.0021, 0)</f>
        <v>77.570499999999996</v>
      </c>
      <c r="H866" s="10">
        <f>77.4337 * CHOOSE(CONTROL!$C$9, $D$9, 100%, $F$9) + CHOOSE(CONTROL!$C$27, 0.0021, 0)</f>
        <v>77.4358</v>
      </c>
      <c r="I866" s="10">
        <f>77.4337 * CHOOSE(CONTROL!$C$9, $D$9, 100%, $F$9) + CHOOSE(CONTROL!$C$27, 0.0021, 0)</f>
        <v>77.4358</v>
      </c>
      <c r="J866" s="10">
        <f>77.4337 * CHOOSE(CONTROL!$C$9, $D$9, 100%, $F$9) + CHOOSE(CONTROL!$C$27, 0.0021, 0)</f>
        <v>77.4358</v>
      </c>
      <c r="K866" s="10">
        <f>77.4337 * CHOOSE(CONTROL!$C$9, $D$9, 100%, $F$9) + CHOOSE(CONTROL!$C$27, 0.0021, 0)</f>
        <v>77.4358</v>
      </c>
      <c r="L866" s="10"/>
    </row>
    <row r="867" spans="1:12" ht="15.75" x14ac:dyDescent="0.25">
      <c r="A867" s="13">
        <v>67692</v>
      </c>
      <c r="B867" s="10">
        <f>76.7685 * CHOOSE(CONTROL!$C$9, $D$9, 100%, $F$9) + CHOOSE(CONTROL!$C$27, 0.0021, 0)</f>
        <v>76.770600000000002</v>
      </c>
      <c r="C867" s="10">
        <f>76.3363 * CHOOSE(CONTROL!$C$9, $D$9, 100%, $F$9) + CHOOSE(CONTROL!$C$27, 0.0021, 0)</f>
        <v>76.338399999999993</v>
      </c>
      <c r="D867" s="10">
        <f>76.3363 * CHOOSE(CONTROL!$C$9, $D$9, 100%, $F$9) + CHOOSE(CONTROL!$C$27, 0.0021, 0)</f>
        <v>76.338399999999993</v>
      </c>
      <c r="E867" s="10">
        <f>76.1996 * CHOOSE(CONTROL!$C$9, $D$9, 100%, $F$9) + CHOOSE(CONTROL!$C$27, 0.0021, 0)</f>
        <v>76.201700000000002</v>
      </c>
      <c r="F867" s="10">
        <f>76.1996 * CHOOSE(CONTROL!$C$9, $D$9, 100%, $F$9) + CHOOSE(CONTROL!$C$27, 0.0021, 0)</f>
        <v>76.201700000000002</v>
      </c>
      <c r="G867" s="10">
        <f>76.471 * CHOOSE(CONTROL!$C$9, $D$9, 100%, $F$9) + CHOOSE(CONTROL!$C$27, 0.0021, 0)</f>
        <v>76.473100000000002</v>
      </c>
      <c r="H867" s="10">
        <f>76.3363 * CHOOSE(CONTROL!$C$9, $D$9, 100%, $F$9) + CHOOSE(CONTROL!$C$27, 0.0021, 0)</f>
        <v>76.338399999999993</v>
      </c>
      <c r="I867" s="10">
        <f>76.3363 * CHOOSE(CONTROL!$C$9, $D$9, 100%, $F$9) + CHOOSE(CONTROL!$C$27, 0.0021, 0)</f>
        <v>76.338399999999993</v>
      </c>
      <c r="J867" s="10">
        <f>76.3363 * CHOOSE(CONTROL!$C$9, $D$9, 100%, $F$9) + CHOOSE(CONTROL!$C$27, 0.0021, 0)</f>
        <v>76.338399999999993</v>
      </c>
      <c r="K867" s="10">
        <f>76.3363 * CHOOSE(CONTROL!$C$9, $D$9, 100%, $F$9) + CHOOSE(CONTROL!$C$27, 0.0021, 0)</f>
        <v>76.338399999999993</v>
      </c>
      <c r="L867" s="10"/>
    </row>
    <row r="868" spans="1:12" ht="15.75" x14ac:dyDescent="0.25">
      <c r="A868" s="13">
        <v>67723</v>
      </c>
      <c r="B868" s="10">
        <f>78.3325 * CHOOSE(CONTROL!$C$9, $D$9, 100%, $F$9) + CHOOSE(CONTROL!$C$27, 0.0021, 0)</f>
        <v>78.334599999999995</v>
      </c>
      <c r="C868" s="10">
        <f>77.9003 * CHOOSE(CONTROL!$C$9, $D$9, 100%, $F$9) + CHOOSE(CONTROL!$C$27, 0.0021, 0)</f>
        <v>77.9024</v>
      </c>
      <c r="D868" s="10">
        <f>77.9003 * CHOOSE(CONTROL!$C$9, $D$9, 100%, $F$9) + CHOOSE(CONTROL!$C$27, 0.0021, 0)</f>
        <v>77.9024</v>
      </c>
      <c r="E868" s="10">
        <f>77.7636 * CHOOSE(CONTROL!$C$9, $D$9, 100%, $F$9) + CHOOSE(CONTROL!$C$27, 0.0021, 0)</f>
        <v>77.765699999999995</v>
      </c>
      <c r="F868" s="10">
        <f>77.7636 * CHOOSE(CONTROL!$C$9, $D$9, 100%, $F$9) + CHOOSE(CONTROL!$C$27, 0.0021, 0)</f>
        <v>77.765699999999995</v>
      </c>
      <c r="G868" s="10">
        <f>78.035 * CHOOSE(CONTROL!$C$9, $D$9, 100%, $F$9) + CHOOSE(CONTROL!$C$27, 0.0021, 0)</f>
        <v>78.037099999999995</v>
      </c>
      <c r="H868" s="10">
        <f>77.9003 * CHOOSE(CONTROL!$C$9, $D$9, 100%, $F$9) + CHOOSE(CONTROL!$C$27, 0.0021, 0)</f>
        <v>77.9024</v>
      </c>
      <c r="I868" s="10">
        <f>77.9003 * CHOOSE(CONTROL!$C$9, $D$9, 100%, $F$9) + CHOOSE(CONTROL!$C$27, 0.0021, 0)</f>
        <v>77.9024</v>
      </c>
      <c r="J868" s="10">
        <f>77.9003 * CHOOSE(CONTROL!$C$9, $D$9, 100%, $F$9) + CHOOSE(CONTROL!$C$27, 0.0021, 0)</f>
        <v>77.9024</v>
      </c>
      <c r="K868" s="10">
        <f>77.9003 * CHOOSE(CONTROL!$C$9, $D$9, 100%, $F$9) + CHOOSE(CONTROL!$C$27, 0.0021, 0)</f>
        <v>77.9024</v>
      </c>
      <c r="L868" s="10"/>
    </row>
    <row r="869" spans="1:12" ht="15.75" x14ac:dyDescent="0.25">
      <c r="A869" s="13">
        <v>67753</v>
      </c>
      <c r="B869" s="10">
        <f>79.2693 * CHOOSE(CONTROL!$C$9, $D$9, 100%, $F$9) + CHOOSE(CONTROL!$C$27, 0.0021, 0)</f>
        <v>79.2714</v>
      </c>
      <c r="C869" s="10">
        <f>78.8371 * CHOOSE(CONTROL!$C$9, $D$9, 100%, $F$9) + CHOOSE(CONTROL!$C$27, 0.0021, 0)</f>
        <v>78.839200000000005</v>
      </c>
      <c r="D869" s="10">
        <f>78.8371 * CHOOSE(CONTROL!$C$9, $D$9, 100%, $F$9) + CHOOSE(CONTROL!$C$27, 0.0021, 0)</f>
        <v>78.839200000000005</v>
      </c>
      <c r="E869" s="10">
        <f>78.7004 * CHOOSE(CONTROL!$C$9, $D$9, 100%, $F$9) + CHOOSE(CONTROL!$C$27, 0.0021, 0)</f>
        <v>78.702500000000001</v>
      </c>
      <c r="F869" s="10">
        <f>78.7004 * CHOOSE(CONTROL!$C$9, $D$9, 100%, $F$9) + CHOOSE(CONTROL!$C$27, 0.0021, 0)</f>
        <v>78.702500000000001</v>
      </c>
      <c r="G869" s="10">
        <f>78.9718 * CHOOSE(CONTROL!$C$9, $D$9, 100%, $F$9) + CHOOSE(CONTROL!$C$27, 0.0021, 0)</f>
        <v>78.9739</v>
      </c>
      <c r="H869" s="10">
        <f>78.8371 * CHOOSE(CONTROL!$C$9, $D$9, 100%, $F$9) + CHOOSE(CONTROL!$C$27, 0.0021, 0)</f>
        <v>78.839200000000005</v>
      </c>
      <c r="I869" s="10">
        <f>78.8371 * CHOOSE(CONTROL!$C$9, $D$9, 100%, $F$9) + CHOOSE(CONTROL!$C$27, 0.0021, 0)</f>
        <v>78.839200000000005</v>
      </c>
      <c r="J869" s="10">
        <f>78.8371 * CHOOSE(CONTROL!$C$9, $D$9, 100%, $F$9) + CHOOSE(CONTROL!$C$27, 0.0021, 0)</f>
        <v>78.839200000000005</v>
      </c>
      <c r="K869" s="10">
        <f>78.8371 * CHOOSE(CONTROL!$C$9, $D$9, 100%, $F$9) + CHOOSE(CONTROL!$C$27, 0.0021, 0)</f>
        <v>78.839200000000005</v>
      </c>
      <c r="L869" s="10"/>
    </row>
    <row r="870" spans="1:12" ht="15.75" x14ac:dyDescent="0.25">
      <c r="A870" s="13">
        <v>67784</v>
      </c>
      <c r="B870" s="10">
        <f>80.8147 * CHOOSE(CONTROL!$C$9, $D$9, 100%, $F$9) + CHOOSE(CONTROL!$C$27, 0.0021, 0)</f>
        <v>80.816800000000001</v>
      </c>
      <c r="C870" s="10">
        <f>80.3824 * CHOOSE(CONTROL!$C$9, $D$9, 100%, $F$9) + CHOOSE(CONTROL!$C$27, 0.0021, 0)</f>
        <v>80.384500000000003</v>
      </c>
      <c r="D870" s="10">
        <f>80.3824 * CHOOSE(CONTROL!$C$9, $D$9, 100%, $F$9) + CHOOSE(CONTROL!$C$27, 0.0021, 0)</f>
        <v>80.384500000000003</v>
      </c>
      <c r="E870" s="10">
        <f>80.2458 * CHOOSE(CONTROL!$C$9, $D$9, 100%, $F$9) + CHOOSE(CONTROL!$C$27, 0.0021, 0)</f>
        <v>80.247900000000001</v>
      </c>
      <c r="F870" s="10">
        <f>80.2458 * CHOOSE(CONTROL!$C$9, $D$9, 100%, $F$9) + CHOOSE(CONTROL!$C$27, 0.0021, 0)</f>
        <v>80.247900000000001</v>
      </c>
      <c r="G870" s="10">
        <f>80.5172 * CHOOSE(CONTROL!$C$9, $D$9, 100%, $F$9) + CHOOSE(CONTROL!$C$27, 0.0021, 0)</f>
        <v>80.519300000000001</v>
      </c>
      <c r="H870" s="10">
        <f>80.3824 * CHOOSE(CONTROL!$C$9, $D$9, 100%, $F$9) + CHOOSE(CONTROL!$C$27, 0.0021, 0)</f>
        <v>80.384500000000003</v>
      </c>
      <c r="I870" s="10">
        <f>80.3824 * CHOOSE(CONTROL!$C$9, $D$9, 100%, $F$9) + CHOOSE(CONTROL!$C$27, 0.0021, 0)</f>
        <v>80.384500000000003</v>
      </c>
      <c r="J870" s="10">
        <f>80.3824 * CHOOSE(CONTROL!$C$9, $D$9, 100%, $F$9) + CHOOSE(CONTROL!$C$27, 0.0021, 0)</f>
        <v>80.384500000000003</v>
      </c>
      <c r="K870" s="10">
        <f>80.3824 * CHOOSE(CONTROL!$C$9, $D$9, 100%, $F$9) + CHOOSE(CONTROL!$C$27, 0.0021, 0)</f>
        <v>80.384500000000003</v>
      </c>
      <c r="L870" s="10"/>
    </row>
    <row r="871" spans="1:12" ht="15.75" x14ac:dyDescent="0.25">
      <c r="A871" s="13">
        <v>67815</v>
      </c>
      <c r="B871" s="10">
        <f>81.2864 * CHOOSE(CONTROL!$C$9, $D$9, 100%, $F$9) + CHOOSE(CONTROL!$C$27, 0.0021, 0)</f>
        <v>81.288499999999999</v>
      </c>
      <c r="C871" s="10">
        <f>80.8541 * CHOOSE(CONTROL!$C$9, $D$9, 100%, $F$9) + CHOOSE(CONTROL!$C$27, 0.0021, 0)</f>
        <v>80.856200000000001</v>
      </c>
      <c r="D871" s="10">
        <f>80.8541 * CHOOSE(CONTROL!$C$9, $D$9, 100%, $F$9) + CHOOSE(CONTROL!$C$27, 0.0021, 0)</f>
        <v>80.856200000000001</v>
      </c>
      <c r="E871" s="10">
        <f>80.7175 * CHOOSE(CONTROL!$C$9, $D$9, 100%, $F$9) + CHOOSE(CONTROL!$C$27, 0.0021, 0)</f>
        <v>80.7196</v>
      </c>
      <c r="F871" s="10">
        <f>80.7175 * CHOOSE(CONTROL!$C$9, $D$9, 100%, $F$9) + CHOOSE(CONTROL!$C$27, 0.0021, 0)</f>
        <v>80.7196</v>
      </c>
      <c r="G871" s="10">
        <f>80.9889 * CHOOSE(CONTROL!$C$9, $D$9, 100%, $F$9) + CHOOSE(CONTROL!$C$27, 0.0021, 0)</f>
        <v>80.991</v>
      </c>
      <c r="H871" s="10">
        <f>80.8541 * CHOOSE(CONTROL!$C$9, $D$9, 100%, $F$9) + CHOOSE(CONTROL!$C$27, 0.0021, 0)</f>
        <v>80.856200000000001</v>
      </c>
      <c r="I871" s="10">
        <f>80.8541 * CHOOSE(CONTROL!$C$9, $D$9, 100%, $F$9) + CHOOSE(CONTROL!$C$27, 0.0021, 0)</f>
        <v>80.856200000000001</v>
      </c>
      <c r="J871" s="10">
        <f>80.8541 * CHOOSE(CONTROL!$C$9, $D$9, 100%, $F$9) + CHOOSE(CONTROL!$C$27, 0.0021, 0)</f>
        <v>80.856200000000001</v>
      </c>
      <c r="K871" s="10">
        <f>80.8541 * CHOOSE(CONTROL!$C$9, $D$9, 100%, $F$9) + CHOOSE(CONTROL!$C$27, 0.0021, 0)</f>
        <v>80.856200000000001</v>
      </c>
      <c r="L871" s="10"/>
    </row>
    <row r="872" spans="1:12" ht="15.75" x14ac:dyDescent="0.25">
      <c r="A872" s="13">
        <v>67845</v>
      </c>
      <c r="B872" s="10">
        <f>82.8927 * CHOOSE(CONTROL!$C$9, $D$9, 100%, $F$9) + CHOOSE(CONTROL!$C$27, 0.0021, 0)</f>
        <v>82.894800000000004</v>
      </c>
      <c r="C872" s="10">
        <f>82.4605 * CHOOSE(CONTROL!$C$9, $D$9, 100%, $F$9) + CHOOSE(CONTROL!$C$27, 0.0021, 0)</f>
        <v>82.462599999999995</v>
      </c>
      <c r="D872" s="10">
        <f>82.4605 * CHOOSE(CONTROL!$C$9, $D$9, 100%, $F$9) + CHOOSE(CONTROL!$C$27, 0.0021, 0)</f>
        <v>82.462599999999995</v>
      </c>
      <c r="E872" s="10">
        <f>82.3238 * CHOOSE(CONTROL!$C$9, $D$9, 100%, $F$9) + CHOOSE(CONTROL!$C$27, 0.0021, 0)</f>
        <v>82.325900000000004</v>
      </c>
      <c r="F872" s="10">
        <f>82.3238 * CHOOSE(CONTROL!$C$9, $D$9, 100%, $F$9) + CHOOSE(CONTROL!$C$27, 0.0021, 0)</f>
        <v>82.325900000000004</v>
      </c>
      <c r="G872" s="10">
        <f>82.5952 * CHOOSE(CONTROL!$C$9, $D$9, 100%, $F$9) + CHOOSE(CONTROL!$C$27, 0.0021, 0)</f>
        <v>82.597300000000004</v>
      </c>
      <c r="H872" s="10">
        <f>82.4605 * CHOOSE(CONTROL!$C$9, $D$9, 100%, $F$9) + CHOOSE(CONTROL!$C$27, 0.0021, 0)</f>
        <v>82.462599999999995</v>
      </c>
      <c r="I872" s="10">
        <f>82.4605 * CHOOSE(CONTROL!$C$9, $D$9, 100%, $F$9) + CHOOSE(CONTROL!$C$27, 0.0021, 0)</f>
        <v>82.462599999999995</v>
      </c>
      <c r="J872" s="10">
        <f>82.4605 * CHOOSE(CONTROL!$C$9, $D$9, 100%, $F$9) + CHOOSE(CONTROL!$C$27, 0.0021, 0)</f>
        <v>82.462599999999995</v>
      </c>
      <c r="K872" s="10">
        <f>82.4605 * CHOOSE(CONTROL!$C$9, $D$9, 100%, $F$9) + CHOOSE(CONTROL!$C$27, 0.0021, 0)</f>
        <v>82.462599999999995</v>
      </c>
      <c r="L872" s="10"/>
    </row>
    <row r="873" spans="1:12" ht="15.75" x14ac:dyDescent="0.25">
      <c r="A873" s="13">
        <v>67876</v>
      </c>
      <c r="B873" s="10">
        <f>84.9261 * CHOOSE(CONTROL!$C$9, $D$9, 100%, $F$9) + CHOOSE(CONTROL!$C$27, 0.0021, 0)</f>
        <v>84.928200000000004</v>
      </c>
      <c r="C873" s="10">
        <f>84.4938 * CHOOSE(CONTROL!$C$9, $D$9, 100%, $F$9) + CHOOSE(CONTROL!$C$27, 0.0021, 0)</f>
        <v>84.495899999999992</v>
      </c>
      <c r="D873" s="10">
        <f>84.4938 * CHOOSE(CONTROL!$C$9, $D$9, 100%, $F$9) + CHOOSE(CONTROL!$C$27, 0.0021, 0)</f>
        <v>84.495899999999992</v>
      </c>
      <c r="E873" s="10">
        <f>84.3572 * CHOOSE(CONTROL!$C$9, $D$9, 100%, $F$9) + CHOOSE(CONTROL!$C$27, 0.0021, 0)</f>
        <v>84.359300000000005</v>
      </c>
      <c r="F873" s="10">
        <f>84.3572 * CHOOSE(CONTROL!$C$9, $D$9, 100%, $F$9) + CHOOSE(CONTROL!$C$27, 0.0021, 0)</f>
        <v>84.359300000000005</v>
      </c>
      <c r="G873" s="10">
        <f>84.6285 * CHOOSE(CONTROL!$C$9, $D$9, 100%, $F$9) + CHOOSE(CONTROL!$C$27, 0.0021, 0)</f>
        <v>84.630600000000001</v>
      </c>
      <c r="H873" s="10">
        <f>84.4938 * CHOOSE(CONTROL!$C$9, $D$9, 100%, $F$9) + CHOOSE(CONTROL!$C$27, 0.0021, 0)</f>
        <v>84.495899999999992</v>
      </c>
      <c r="I873" s="10">
        <f>84.4938 * CHOOSE(CONTROL!$C$9, $D$9, 100%, $F$9) + CHOOSE(CONTROL!$C$27, 0.0021, 0)</f>
        <v>84.495899999999992</v>
      </c>
      <c r="J873" s="10">
        <f>84.4938 * CHOOSE(CONTROL!$C$9, $D$9, 100%, $F$9) + CHOOSE(CONTROL!$C$27, 0.0021, 0)</f>
        <v>84.495899999999992</v>
      </c>
      <c r="K873" s="10">
        <f>84.4938 * CHOOSE(CONTROL!$C$9, $D$9, 100%, $F$9) + CHOOSE(CONTROL!$C$27, 0.0021, 0)</f>
        <v>84.495899999999992</v>
      </c>
      <c r="L873" s="10"/>
    </row>
    <row r="874" spans="1:12" ht="15.75" x14ac:dyDescent="0.25">
      <c r="A874" s="13">
        <v>67906</v>
      </c>
      <c r="B874" s="10">
        <f>85.117 * CHOOSE(CONTROL!$C$9, $D$9, 100%, $F$9) + CHOOSE(CONTROL!$C$27, 0.0021, 0)</f>
        <v>85.119100000000003</v>
      </c>
      <c r="C874" s="10">
        <f>84.6847 * CHOOSE(CONTROL!$C$9, $D$9, 100%, $F$9) + CHOOSE(CONTROL!$C$27, 0.0021, 0)</f>
        <v>84.686800000000005</v>
      </c>
      <c r="D874" s="10">
        <f>84.6847 * CHOOSE(CONTROL!$C$9, $D$9, 100%, $F$9) + CHOOSE(CONTROL!$C$27, 0.0021, 0)</f>
        <v>84.686800000000005</v>
      </c>
      <c r="E874" s="10">
        <f>84.5481 * CHOOSE(CONTROL!$C$9, $D$9, 100%, $F$9) + CHOOSE(CONTROL!$C$27, 0.0021, 0)</f>
        <v>84.550200000000004</v>
      </c>
      <c r="F874" s="10">
        <f>84.5481 * CHOOSE(CONTROL!$C$9, $D$9, 100%, $F$9) + CHOOSE(CONTROL!$C$27, 0.0021, 0)</f>
        <v>84.550200000000004</v>
      </c>
      <c r="G874" s="10">
        <f>84.8194 * CHOOSE(CONTROL!$C$9, $D$9, 100%, $F$9) + CHOOSE(CONTROL!$C$27, 0.0021, 0)</f>
        <v>84.8215</v>
      </c>
      <c r="H874" s="10">
        <f>84.6847 * CHOOSE(CONTROL!$C$9, $D$9, 100%, $F$9) + CHOOSE(CONTROL!$C$27, 0.0021, 0)</f>
        <v>84.686800000000005</v>
      </c>
      <c r="I874" s="10">
        <f>84.6847 * CHOOSE(CONTROL!$C$9, $D$9, 100%, $F$9) + CHOOSE(CONTROL!$C$27, 0.0021, 0)</f>
        <v>84.686800000000005</v>
      </c>
      <c r="J874" s="10">
        <f>84.6847 * CHOOSE(CONTROL!$C$9, $D$9, 100%, $F$9) + CHOOSE(CONTROL!$C$27, 0.0021, 0)</f>
        <v>84.686800000000005</v>
      </c>
      <c r="K874" s="10">
        <f>84.6847 * CHOOSE(CONTROL!$C$9, $D$9, 100%, $F$9) + CHOOSE(CONTROL!$C$27, 0.0021, 0)</f>
        <v>84.686800000000005</v>
      </c>
      <c r="L874" s="10"/>
    </row>
    <row r="875" spans="1:12" ht="15.75" x14ac:dyDescent="0.25">
      <c r="A875" s="13">
        <v>67937</v>
      </c>
      <c r="B875" s="10">
        <f>83.493 * CHOOSE(CONTROL!$C$9, $D$9, 100%, $F$9) + CHOOSE(CONTROL!$C$27, 0.0021, 0)</f>
        <v>83.495099999999994</v>
      </c>
      <c r="C875" s="10">
        <f>83.0607 * CHOOSE(CONTROL!$C$9, $D$9, 100%, $F$9) + CHOOSE(CONTROL!$C$27, 0.0021, 0)</f>
        <v>83.062799999999996</v>
      </c>
      <c r="D875" s="10">
        <f>83.0607 * CHOOSE(CONTROL!$C$9, $D$9, 100%, $F$9) + CHOOSE(CONTROL!$C$27, 0.0021, 0)</f>
        <v>83.062799999999996</v>
      </c>
      <c r="E875" s="10">
        <f>82.9241 * CHOOSE(CONTROL!$C$9, $D$9, 100%, $F$9) + CHOOSE(CONTROL!$C$27, 0.0021, 0)</f>
        <v>82.926199999999994</v>
      </c>
      <c r="F875" s="10">
        <f>82.9241 * CHOOSE(CONTROL!$C$9, $D$9, 100%, $F$9) + CHOOSE(CONTROL!$C$27, 0.0021, 0)</f>
        <v>82.926199999999994</v>
      </c>
      <c r="G875" s="10">
        <f>83.1954 * CHOOSE(CONTROL!$C$9, $D$9, 100%, $F$9) + CHOOSE(CONTROL!$C$27, 0.0021, 0)</f>
        <v>83.197500000000005</v>
      </c>
      <c r="H875" s="10">
        <f>83.0607 * CHOOSE(CONTROL!$C$9, $D$9, 100%, $F$9) + CHOOSE(CONTROL!$C$27, 0.0021, 0)</f>
        <v>83.062799999999996</v>
      </c>
      <c r="I875" s="10">
        <f>83.0607 * CHOOSE(CONTROL!$C$9, $D$9, 100%, $F$9) + CHOOSE(CONTROL!$C$27, 0.0021, 0)</f>
        <v>83.062799999999996</v>
      </c>
      <c r="J875" s="10">
        <f>83.0607 * CHOOSE(CONTROL!$C$9, $D$9, 100%, $F$9) + CHOOSE(CONTROL!$C$27, 0.0021, 0)</f>
        <v>83.062799999999996</v>
      </c>
      <c r="K875" s="10">
        <f>83.0607 * CHOOSE(CONTROL!$C$9, $D$9, 100%, $F$9) + CHOOSE(CONTROL!$C$27, 0.0021, 0)</f>
        <v>83.062799999999996</v>
      </c>
      <c r="L875" s="10"/>
    </row>
    <row r="876" spans="1:12" ht="15.75" x14ac:dyDescent="0.25">
      <c r="A876" s="13">
        <v>67968</v>
      </c>
      <c r="B876" s="10">
        <f>82.2496 * CHOOSE(CONTROL!$C$9, $D$9, 100%, $F$9) + CHOOSE(CONTROL!$C$27, 0.0021, 0)</f>
        <v>82.2517</v>
      </c>
      <c r="C876" s="10">
        <f>81.8173 * CHOOSE(CONTROL!$C$9, $D$9, 100%, $F$9) + CHOOSE(CONTROL!$C$27, 0.0021, 0)</f>
        <v>81.819400000000002</v>
      </c>
      <c r="D876" s="10">
        <f>81.8173 * CHOOSE(CONTROL!$C$9, $D$9, 100%, $F$9) + CHOOSE(CONTROL!$C$27, 0.0021, 0)</f>
        <v>81.819400000000002</v>
      </c>
      <c r="E876" s="10">
        <f>81.6807 * CHOOSE(CONTROL!$C$9, $D$9, 100%, $F$9) + CHOOSE(CONTROL!$C$27, 0.0021, 0)</f>
        <v>81.6828</v>
      </c>
      <c r="F876" s="10">
        <f>81.6807 * CHOOSE(CONTROL!$C$9, $D$9, 100%, $F$9) + CHOOSE(CONTROL!$C$27, 0.0021, 0)</f>
        <v>81.6828</v>
      </c>
      <c r="G876" s="10">
        <f>81.9521 * CHOOSE(CONTROL!$C$9, $D$9, 100%, $F$9) + CHOOSE(CONTROL!$C$27, 0.0021, 0)</f>
        <v>81.9542</v>
      </c>
      <c r="H876" s="10">
        <f>81.8173 * CHOOSE(CONTROL!$C$9, $D$9, 100%, $F$9) + CHOOSE(CONTROL!$C$27, 0.0021, 0)</f>
        <v>81.819400000000002</v>
      </c>
      <c r="I876" s="10">
        <f>81.8173 * CHOOSE(CONTROL!$C$9, $D$9, 100%, $F$9) + CHOOSE(CONTROL!$C$27, 0.0021, 0)</f>
        <v>81.819400000000002</v>
      </c>
      <c r="J876" s="10">
        <f>81.8173 * CHOOSE(CONTROL!$C$9, $D$9, 100%, $F$9) + CHOOSE(CONTROL!$C$27, 0.0021, 0)</f>
        <v>81.819400000000002</v>
      </c>
      <c r="K876" s="10">
        <f>81.8173 * CHOOSE(CONTROL!$C$9, $D$9, 100%, $F$9) + CHOOSE(CONTROL!$C$27, 0.0021, 0)</f>
        <v>81.819400000000002</v>
      </c>
      <c r="L876" s="10"/>
    </row>
    <row r="877" spans="1:12" ht="15.75" x14ac:dyDescent="0.25">
      <c r="A877" s="13">
        <v>67996</v>
      </c>
      <c r="B877" s="10">
        <f>79.988 * CHOOSE(CONTROL!$C$9, $D$9, 100%, $F$9) + CHOOSE(CONTROL!$C$27, 0.0021, 0)</f>
        <v>79.990099999999998</v>
      </c>
      <c r="C877" s="10">
        <f>79.5557 * CHOOSE(CONTROL!$C$9, $D$9, 100%, $F$9) + CHOOSE(CONTROL!$C$27, 0.0021, 0)</f>
        <v>79.5578</v>
      </c>
      <c r="D877" s="10">
        <f>79.5557 * CHOOSE(CONTROL!$C$9, $D$9, 100%, $F$9) + CHOOSE(CONTROL!$C$27, 0.0021, 0)</f>
        <v>79.5578</v>
      </c>
      <c r="E877" s="10">
        <f>79.4191 * CHOOSE(CONTROL!$C$9, $D$9, 100%, $F$9) + CHOOSE(CONTROL!$C$27, 0.0021, 0)</f>
        <v>79.421199999999999</v>
      </c>
      <c r="F877" s="10">
        <f>79.4191 * CHOOSE(CONTROL!$C$9, $D$9, 100%, $F$9) + CHOOSE(CONTROL!$C$27, 0.0021, 0)</f>
        <v>79.421199999999999</v>
      </c>
      <c r="G877" s="10">
        <f>79.6904 * CHOOSE(CONTROL!$C$9, $D$9, 100%, $F$9) + CHOOSE(CONTROL!$C$27, 0.0021, 0)</f>
        <v>79.692499999999995</v>
      </c>
      <c r="H877" s="10">
        <f>79.5557 * CHOOSE(CONTROL!$C$9, $D$9, 100%, $F$9) + CHOOSE(CONTROL!$C$27, 0.0021, 0)</f>
        <v>79.5578</v>
      </c>
      <c r="I877" s="10">
        <f>79.5557 * CHOOSE(CONTROL!$C$9, $D$9, 100%, $F$9) + CHOOSE(CONTROL!$C$27, 0.0021, 0)</f>
        <v>79.5578</v>
      </c>
      <c r="J877" s="10">
        <f>79.5557 * CHOOSE(CONTROL!$C$9, $D$9, 100%, $F$9) + CHOOSE(CONTROL!$C$27, 0.0021, 0)</f>
        <v>79.5578</v>
      </c>
      <c r="K877" s="10">
        <f>79.5557 * CHOOSE(CONTROL!$C$9, $D$9, 100%, $F$9) + CHOOSE(CONTROL!$C$27, 0.0021, 0)</f>
        <v>79.5578</v>
      </c>
      <c r="L877" s="10"/>
    </row>
    <row r="878" spans="1:12" ht="15.75" x14ac:dyDescent="0.25">
      <c r="A878" s="13">
        <v>68027</v>
      </c>
      <c r="B878" s="10">
        <f>79.0544 * CHOOSE(CONTROL!$C$9, $D$9, 100%, $F$9) + CHOOSE(CONTROL!$C$27, 0.0021, 0)</f>
        <v>79.0565</v>
      </c>
      <c r="C878" s="10">
        <f>78.6221 * CHOOSE(CONTROL!$C$9, $D$9, 100%, $F$9) + CHOOSE(CONTROL!$C$27, 0.0021, 0)</f>
        <v>78.624200000000002</v>
      </c>
      <c r="D878" s="10">
        <f>78.6221 * CHOOSE(CONTROL!$C$9, $D$9, 100%, $F$9) + CHOOSE(CONTROL!$C$27, 0.0021, 0)</f>
        <v>78.624200000000002</v>
      </c>
      <c r="E878" s="10">
        <f>78.4855 * CHOOSE(CONTROL!$C$9, $D$9, 100%, $F$9) + CHOOSE(CONTROL!$C$27, 0.0021, 0)</f>
        <v>78.4876</v>
      </c>
      <c r="F878" s="10">
        <f>78.4855 * CHOOSE(CONTROL!$C$9, $D$9, 100%, $F$9) + CHOOSE(CONTROL!$C$27, 0.0021, 0)</f>
        <v>78.4876</v>
      </c>
      <c r="G878" s="10">
        <f>78.7568 * CHOOSE(CONTROL!$C$9, $D$9, 100%, $F$9) + CHOOSE(CONTROL!$C$27, 0.0021, 0)</f>
        <v>78.758899999999997</v>
      </c>
      <c r="H878" s="10">
        <f>78.6221 * CHOOSE(CONTROL!$C$9, $D$9, 100%, $F$9) + CHOOSE(CONTROL!$C$27, 0.0021, 0)</f>
        <v>78.624200000000002</v>
      </c>
      <c r="I878" s="10">
        <f>78.6221 * CHOOSE(CONTROL!$C$9, $D$9, 100%, $F$9) + CHOOSE(CONTROL!$C$27, 0.0021, 0)</f>
        <v>78.624200000000002</v>
      </c>
      <c r="J878" s="10">
        <f>78.6221 * CHOOSE(CONTROL!$C$9, $D$9, 100%, $F$9) + CHOOSE(CONTROL!$C$27, 0.0021, 0)</f>
        <v>78.624200000000002</v>
      </c>
      <c r="K878" s="10">
        <f>78.6221 * CHOOSE(CONTROL!$C$9, $D$9, 100%, $F$9) + CHOOSE(CONTROL!$C$27, 0.0021, 0)</f>
        <v>78.624200000000002</v>
      </c>
      <c r="L878" s="10"/>
    </row>
    <row r="879" spans="1:12" ht="15.75" x14ac:dyDescent="0.25">
      <c r="A879" s="13">
        <v>68057</v>
      </c>
      <c r="B879" s="10">
        <f>77.9396 * CHOOSE(CONTROL!$C$9, $D$9, 100%, $F$9) + CHOOSE(CONTROL!$C$27, 0.0021, 0)</f>
        <v>77.941699999999997</v>
      </c>
      <c r="C879" s="10">
        <f>77.5074 * CHOOSE(CONTROL!$C$9, $D$9, 100%, $F$9) + CHOOSE(CONTROL!$C$27, 0.0021, 0)</f>
        <v>77.509500000000003</v>
      </c>
      <c r="D879" s="10">
        <f>77.5074 * CHOOSE(CONTROL!$C$9, $D$9, 100%, $F$9) + CHOOSE(CONTROL!$C$27, 0.0021, 0)</f>
        <v>77.509500000000003</v>
      </c>
      <c r="E879" s="10">
        <f>77.3707 * CHOOSE(CONTROL!$C$9, $D$9, 100%, $F$9) + CHOOSE(CONTROL!$C$27, 0.0021, 0)</f>
        <v>77.372799999999998</v>
      </c>
      <c r="F879" s="10">
        <f>77.3707 * CHOOSE(CONTROL!$C$9, $D$9, 100%, $F$9) + CHOOSE(CONTROL!$C$27, 0.0021, 0)</f>
        <v>77.372799999999998</v>
      </c>
      <c r="G879" s="10">
        <f>77.6421 * CHOOSE(CONTROL!$C$9, $D$9, 100%, $F$9) + CHOOSE(CONTROL!$C$27, 0.0021, 0)</f>
        <v>77.644199999999998</v>
      </c>
      <c r="H879" s="10">
        <f>77.5074 * CHOOSE(CONTROL!$C$9, $D$9, 100%, $F$9) + CHOOSE(CONTROL!$C$27, 0.0021, 0)</f>
        <v>77.509500000000003</v>
      </c>
      <c r="I879" s="10">
        <f>77.5074 * CHOOSE(CONTROL!$C$9, $D$9, 100%, $F$9) + CHOOSE(CONTROL!$C$27, 0.0021, 0)</f>
        <v>77.509500000000003</v>
      </c>
      <c r="J879" s="10">
        <f>77.5074 * CHOOSE(CONTROL!$C$9, $D$9, 100%, $F$9) + CHOOSE(CONTROL!$C$27, 0.0021, 0)</f>
        <v>77.509500000000003</v>
      </c>
      <c r="K879" s="10">
        <f>77.5074 * CHOOSE(CONTROL!$C$9, $D$9, 100%, $F$9) + CHOOSE(CONTROL!$C$27, 0.0021, 0)</f>
        <v>77.509500000000003</v>
      </c>
      <c r="L879" s="10"/>
    </row>
    <row r="880" spans="1:12" ht="15.75" x14ac:dyDescent="0.25">
      <c r="A880" s="13">
        <v>68088</v>
      </c>
      <c r="B880" s="10">
        <f>79.5283 * CHOOSE(CONTROL!$C$9, $D$9, 100%, $F$9) + CHOOSE(CONTROL!$C$27, 0.0021, 0)</f>
        <v>79.5304</v>
      </c>
      <c r="C880" s="10">
        <f>79.096 * CHOOSE(CONTROL!$C$9, $D$9, 100%, $F$9) + CHOOSE(CONTROL!$C$27, 0.0021, 0)</f>
        <v>79.098100000000002</v>
      </c>
      <c r="D880" s="10">
        <f>79.096 * CHOOSE(CONTROL!$C$9, $D$9, 100%, $F$9) + CHOOSE(CONTROL!$C$27, 0.0021, 0)</f>
        <v>79.098100000000002</v>
      </c>
      <c r="E880" s="10">
        <f>78.9594 * CHOOSE(CONTROL!$C$9, $D$9, 100%, $F$9) + CHOOSE(CONTROL!$C$27, 0.0021, 0)</f>
        <v>78.961500000000001</v>
      </c>
      <c r="F880" s="10">
        <f>78.9594 * CHOOSE(CONTROL!$C$9, $D$9, 100%, $F$9) + CHOOSE(CONTROL!$C$27, 0.0021, 0)</f>
        <v>78.961500000000001</v>
      </c>
      <c r="G880" s="10">
        <f>79.2307 * CHOOSE(CONTROL!$C$9, $D$9, 100%, $F$9) + CHOOSE(CONTROL!$C$27, 0.0021, 0)</f>
        <v>79.232799999999997</v>
      </c>
      <c r="H880" s="10">
        <f>79.096 * CHOOSE(CONTROL!$C$9, $D$9, 100%, $F$9) + CHOOSE(CONTROL!$C$27, 0.0021, 0)</f>
        <v>79.098100000000002</v>
      </c>
      <c r="I880" s="10">
        <f>79.096 * CHOOSE(CONTROL!$C$9, $D$9, 100%, $F$9) + CHOOSE(CONTROL!$C$27, 0.0021, 0)</f>
        <v>79.098100000000002</v>
      </c>
      <c r="J880" s="10">
        <f>79.096 * CHOOSE(CONTROL!$C$9, $D$9, 100%, $F$9) + CHOOSE(CONTROL!$C$27, 0.0021, 0)</f>
        <v>79.098100000000002</v>
      </c>
      <c r="K880" s="10">
        <f>79.096 * CHOOSE(CONTROL!$C$9, $D$9, 100%, $F$9) + CHOOSE(CONTROL!$C$27, 0.0021, 0)</f>
        <v>79.098100000000002</v>
      </c>
      <c r="L880" s="10"/>
    </row>
    <row r="881" spans="1:12" ht="15.75" x14ac:dyDescent="0.25">
      <c r="A881" s="13">
        <v>68118</v>
      </c>
      <c r="B881" s="10">
        <f>80.4798 * CHOOSE(CONTROL!$C$9, $D$9, 100%, $F$9) + CHOOSE(CONTROL!$C$27, 0.0021, 0)</f>
        <v>80.481899999999996</v>
      </c>
      <c r="C881" s="10">
        <f>80.0475 * CHOOSE(CONTROL!$C$9, $D$9, 100%, $F$9) + CHOOSE(CONTROL!$C$27, 0.0021, 0)</f>
        <v>80.049599999999998</v>
      </c>
      <c r="D881" s="10">
        <f>80.0475 * CHOOSE(CONTROL!$C$9, $D$9, 100%, $F$9) + CHOOSE(CONTROL!$C$27, 0.0021, 0)</f>
        <v>80.049599999999998</v>
      </c>
      <c r="E881" s="10">
        <f>79.9109 * CHOOSE(CONTROL!$C$9, $D$9, 100%, $F$9) + CHOOSE(CONTROL!$C$27, 0.0021, 0)</f>
        <v>79.912999999999997</v>
      </c>
      <c r="F881" s="10">
        <f>79.9109 * CHOOSE(CONTROL!$C$9, $D$9, 100%, $F$9) + CHOOSE(CONTROL!$C$27, 0.0021, 0)</f>
        <v>79.912999999999997</v>
      </c>
      <c r="G881" s="10">
        <f>80.1823 * CHOOSE(CONTROL!$C$9, $D$9, 100%, $F$9) + CHOOSE(CONTROL!$C$27, 0.0021, 0)</f>
        <v>80.184399999999997</v>
      </c>
      <c r="H881" s="10">
        <f>80.0475 * CHOOSE(CONTROL!$C$9, $D$9, 100%, $F$9) + CHOOSE(CONTROL!$C$27, 0.0021, 0)</f>
        <v>80.049599999999998</v>
      </c>
      <c r="I881" s="10">
        <f>80.0475 * CHOOSE(CONTROL!$C$9, $D$9, 100%, $F$9) + CHOOSE(CONTROL!$C$27, 0.0021, 0)</f>
        <v>80.049599999999998</v>
      </c>
      <c r="J881" s="10">
        <f>80.0475 * CHOOSE(CONTROL!$C$9, $D$9, 100%, $F$9) + CHOOSE(CONTROL!$C$27, 0.0021, 0)</f>
        <v>80.049599999999998</v>
      </c>
      <c r="K881" s="10">
        <f>80.0475 * CHOOSE(CONTROL!$C$9, $D$9, 100%, $F$9) + CHOOSE(CONTROL!$C$27, 0.0021, 0)</f>
        <v>80.049599999999998</v>
      </c>
      <c r="L881" s="10"/>
    </row>
    <row r="882" spans="1:12" ht="15.75" x14ac:dyDescent="0.25">
      <c r="A882" s="13">
        <v>68149</v>
      </c>
      <c r="B882" s="10">
        <f>82.0495 * CHOOSE(CONTROL!$C$9, $D$9, 100%, $F$9) + CHOOSE(CONTROL!$C$27, 0.0021, 0)</f>
        <v>82.051599999999993</v>
      </c>
      <c r="C882" s="10">
        <f>81.6172 * CHOOSE(CONTROL!$C$9, $D$9, 100%, $F$9) + CHOOSE(CONTROL!$C$27, 0.0021, 0)</f>
        <v>81.619299999999996</v>
      </c>
      <c r="D882" s="10">
        <f>81.6172 * CHOOSE(CONTROL!$C$9, $D$9, 100%, $F$9) + CHOOSE(CONTROL!$C$27, 0.0021, 0)</f>
        <v>81.619299999999996</v>
      </c>
      <c r="E882" s="10">
        <f>81.4805 * CHOOSE(CONTROL!$C$9, $D$9, 100%, $F$9) + CHOOSE(CONTROL!$C$27, 0.0021, 0)</f>
        <v>81.482600000000005</v>
      </c>
      <c r="F882" s="10">
        <f>81.4805 * CHOOSE(CONTROL!$C$9, $D$9, 100%, $F$9) + CHOOSE(CONTROL!$C$27, 0.0021, 0)</f>
        <v>81.482600000000005</v>
      </c>
      <c r="G882" s="10">
        <f>81.7519 * CHOOSE(CONTROL!$C$9, $D$9, 100%, $F$9) + CHOOSE(CONTROL!$C$27, 0.0021, 0)</f>
        <v>81.754000000000005</v>
      </c>
      <c r="H882" s="10">
        <f>81.6172 * CHOOSE(CONTROL!$C$9, $D$9, 100%, $F$9) + CHOOSE(CONTROL!$C$27, 0.0021, 0)</f>
        <v>81.619299999999996</v>
      </c>
      <c r="I882" s="10">
        <f>81.6172 * CHOOSE(CONTROL!$C$9, $D$9, 100%, $F$9) + CHOOSE(CONTROL!$C$27, 0.0021, 0)</f>
        <v>81.619299999999996</v>
      </c>
      <c r="J882" s="10">
        <f>81.6172 * CHOOSE(CONTROL!$C$9, $D$9, 100%, $F$9) + CHOOSE(CONTROL!$C$27, 0.0021, 0)</f>
        <v>81.619299999999996</v>
      </c>
      <c r="K882" s="10">
        <f>81.6172 * CHOOSE(CONTROL!$C$9, $D$9, 100%, $F$9) + CHOOSE(CONTROL!$C$27, 0.0021, 0)</f>
        <v>81.619299999999996</v>
      </c>
      <c r="L882" s="10"/>
    </row>
    <row r="883" spans="1:12" ht="15.75" x14ac:dyDescent="0.25">
      <c r="A883" s="13">
        <v>68180</v>
      </c>
      <c r="B883" s="10">
        <f>82.5286 * CHOOSE(CONTROL!$C$9, $D$9, 100%, $F$9) + CHOOSE(CONTROL!$C$27, 0.0021, 0)</f>
        <v>82.530699999999996</v>
      </c>
      <c r="C883" s="10">
        <f>82.0963 * CHOOSE(CONTROL!$C$9, $D$9, 100%, $F$9) + CHOOSE(CONTROL!$C$27, 0.0021, 0)</f>
        <v>82.098399999999998</v>
      </c>
      <c r="D883" s="10">
        <f>82.0963 * CHOOSE(CONTROL!$C$9, $D$9, 100%, $F$9) + CHOOSE(CONTROL!$C$27, 0.0021, 0)</f>
        <v>82.098399999999998</v>
      </c>
      <c r="E883" s="10">
        <f>81.9597 * CHOOSE(CONTROL!$C$9, $D$9, 100%, $F$9) + CHOOSE(CONTROL!$C$27, 0.0021, 0)</f>
        <v>81.961799999999997</v>
      </c>
      <c r="F883" s="10">
        <f>81.9597 * CHOOSE(CONTROL!$C$9, $D$9, 100%, $F$9) + CHOOSE(CONTROL!$C$27, 0.0021, 0)</f>
        <v>81.961799999999997</v>
      </c>
      <c r="G883" s="10">
        <f>82.231 * CHOOSE(CONTROL!$C$9, $D$9, 100%, $F$9) + CHOOSE(CONTROL!$C$27, 0.0021, 0)</f>
        <v>82.233099999999993</v>
      </c>
      <c r="H883" s="10">
        <f>82.0963 * CHOOSE(CONTROL!$C$9, $D$9, 100%, $F$9) + CHOOSE(CONTROL!$C$27, 0.0021, 0)</f>
        <v>82.098399999999998</v>
      </c>
      <c r="I883" s="10">
        <f>82.0963 * CHOOSE(CONTROL!$C$9, $D$9, 100%, $F$9) + CHOOSE(CONTROL!$C$27, 0.0021, 0)</f>
        <v>82.098399999999998</v>
      </c>
      <c r="J883" s="10">
        <f>82.0963 * CHOOSE(CONTROL!$C$9, $D$9, 100%, $F$9) + CHOOSE(CONTROL!$C$27, 0.0021, 0)</f>
        <v>82.098399999999998</v>
      </c>
      <c r="K883" s="10">
        <f>82.0963 * CHOOSE(CONTROL!$C$9, $D$9, 100%, $F$9) + CHOOSE(CONTROL!$C$27, 0.0021, 0)</f>
        <v>82.098399999999998</v>
      </c>
      <c r="L883" s="10"/>
    </row>
    <row r="884" spans="1:12" ht="15.75" x14ac:dyDescent="0.25">
      <c r="A884" s="13">
        <v>68210</v>
      </c>
      <c r="B884" s="10">
        <f>84.1602 * CHOOSE(CONTROL!$C$9, $D$9, 100%, $F$9) + CHOOSE(CONTROL!$C$27, 0.0021, 0)</f>
        <v>84.162300000000002</v>
      </c>
      <c r="C884" s="10">
        <f>83.7279 * CHOOSE(CONTROL!$C$9, $D$9, 100%, $F$9) + CHOOSE(CONTROL!$C$27, 0.0021, 0)</f>
        <v>83.73</v>
      </c>
      <c r="D884" s="10">
        <f>83.7279 * CHOOSE(CONTROL!$C$9, $D$9, 100%, $F$9) + CHOOSE(CONTROL!$C$27, 0.0021, 0)</f>
        <v>83.73</v>
      </c>
      <c r="E884" s="10">
        <f>83.5913 * CHOOSE(CONTROL!$C$9, $D$9, 100%, $F$9) + CHOOSE(CONTROL!$C$27, 0.0021, 0)</f>
        <v>83.593400000000003</v>
      </c>
      <c r="F884" s="10">
        <f>83.5913 * CHOOSE(CONTROL!$C$9, $D$9, 100%, $F$9) + CHOOSE(CONTROL!$C$27, 0.0021, 0)</f>
        <v>83.593400000000003</v>
      </c>
      <c r="G884" s="10">
        <f>83.8626 * CHOOSE(CONTROL!$C$9, $D$9, 100%, $F$9) + CHOOSE(CONTROL!$C$27, 0.0021, 0)</f>
        <v>83.864699999999999</v>
      </c>
      <c r="H884" s="10">
        <f>83.7279 * CHOOSE(CONTROL!$C$9, $D$9, 100%, $F$9) + CHOOSE(CONTROL!$C$27, 0.0021, 0)</f>
        <v>83.73</v>
      </c>
      <c r="I884" s="10">
        <f>83.7279 * CHOOSE(CONTROL!$C$9, $D$9, 100%, $F$9) + CHOOSE(CONTROL!$C$27, 0.0021, 0)</f>
        <v>83.73</v>
      </c>
      <c r="J884" s="10">
        <f>83.7279 * CHOOSE(CONTROL!$C$9, $D$9, 100%, $F$9) + CHOOSE(CONTROL!$C$27, 0.0021, 0)</f>
        <v>83.73</v>
      </c>
      <c r="K884" s="10">
        <f>83.7279 * CHOOSE(CONTROL!$C$9, $D$9, 100%, $F$9) + CHOOSE(CONTROL!$C$27, 0.0021, 0)</f>
        <v>83.73</v>
      </c>
      <c r="L884" s="10"/>
    </row>
    <row r="885" spans="1:12" ht="15.75" x14ac:dyDescent="0.25">
      <c r="A885" s="13">
        <v>68241</v>
      </c>
      <c r="B885" s="10">
        <f>86.2255 * CHOOSE(CONTROL!$C$9, $D$9, 100%, $F$9) + CHOOSE(CONTROL!$C$27, 0.0021, 0)</f>
        <v>86.227599999999995</v>
      </c>
      <c r="C885" s="10">
        <f>85.7932 * CHOOSE(CONTROL!$C$9, $D$9, 100%, $F$9) + CHOOSE(CONTROL!$C$27, 0.0021, 0)</f>
        <v>85.795299999999997</v>
      </c>
      <c r="D885" s="10">
        <f>85.7932 * CHOOSE(CONTROL!$C$9, $D$9, 100%, $F$9) + CHOOSE(CONTROL!$C$27, 0.0021, 0)</f>
        <v>85.795299999999997</v>
      </c>
      <c r="E885" s="10">
        <f>85.6566 * CHOOSE(CONTROL!$C$9, $D$9, 100%, $F$9) + CHOOSE(CONTROL!$C$27, 0.0021, 0)</f>
        <v>85.658699999999996</v>
      </c>
      <c r="F885" s="10">
        <f>85.6566 * CHOOSE(CONTROL!$C$9, $D$9, 100%, $F$9) + CHOOSE(CONTROL!$C$27, 0.0021, 0)</f>
        <v>85.658699999999996</v>
      </c>
      <c r="G885" s="10">
        <f>85.928 * CHOOSE(CONTROL!$C$9, $D$9, 100%, $F$9) + CHOOSE(CONTROL!$C$27, 0.0021, 0)</f>
        <v>85.930099999999996</v>
      </c>
      <c r="H885" s="10">
        <f>85.7932 * CHOOSE(CONTROL!$C$9, $D$9, 100%, $F$9) + CHOOSE(CONTROL!$C$27, 0.0021, 0)</f>
        <v>85.795299999999997</v>
      </c>
      <c r="I885" s="10">
        <f>85.7932 * CHOOSE(CONTROL!$C$9, $D$9, 100%, $F$9) + CHOOSE(CONTROL!$C$27, 0.0021, 0)</f>
        <v>85.795299999999997</v>
      </c>
      <c r="J885" s="10">
        <f>85.7932 * CHOOSE(CONTROL!$C$9, $D$9, 100%, $F$9) + CHOOSE(CONTROL!$C$27, 0.0021, 0)</f>
        <v>85.795299999999997</v>
      </c>
      <c r="K885" s="10">
        <f>85.7932 * CHOOSE(CONTROL!$C$9, $D$9, 100%, $F$9) + CHOOSE(CONTROL!$C$27, 0.0021, 0)</f>
        <v>85.795299999999997</v>
      </c>
      <c r="L885" s="10"/>
    </row>
    <row r="886" spans="1:12" ht="15.75" x14ac:dyDescent="0.25">
      <c r="A886" s="13">
        <v>68271</v>
      </c>
      <c r="B886" s="10">
        <f>86.4194 * CHOOSE(CONTROL!$C$9, $D$9, 100%, $F$9) + CHOOSE(CONTROL!$C$27, 0.0021, 0)</f>
        <v>86.421499999999995</v>
      </c>
      <c r="C886" s="10">
        <f>85.9871 * CHOOSE(CONTROL!$C$9, $D$9, 100%, $F$9) + CHOOSE(CONTROL!$C$27, 0.0021, 0)</f>
        <v>85.989199999999997</v>
      </c>
      <c r="D886" s="10">
        <f>85.9871 * CHOOSE(CONTROL!$C$9, $D$9, 100%, $F$9) + CHOOSE(CONTROL!$C$27, 0.0021, 0)</f>
        <v>85.989199999999997</v>
      </c>
      <c r="E886" s="10">
        <f>85.8505 * CHOOSE(CONTROL!$C$9, $D$9, 100%, $F$9) + CHOOSE(CONTROL!$C$27, 0.0021, 0)</f>
        <v>85.852599999999995</v>
      </c>
      <c r="F886" s="10">
        <f>85.8505 * CHOOSE(CONTROL!$C$9, $D$9, 100%, $F$9) + CHOOSE(CONTROL!$C$27, 0.0021, 0)</f>
        <v>85.852599999999995</v>
      </c>
      <c r="G886" s="10">
        <f>86.1218 * CHOOSE(CONTROL!$C$9, $D$9, 100%, $F$9) + CHOOSE(CONTROL!$C$27, 0.0021, 0)</f>
        <v>86.123899999999992</v>
      </c>
      <c r="H886" s="10">
        <f>85.9871 * CHOOSE(CONTROL!$C$9, $D$9, 100%, $F$9) + CHOOSE(CONTROL!$C$27, 0.0021, 0)</f>
        <v>85.989199999999997</v>
      </c>
      <c r="I886" s="10">
        <f>85.9871 * CHOOSE(CONTROL!$C$9, $D$9, 100%, $F$9) + CHOOSE(CONTROL!$C$27, 0.0021, 0)</f>
        <v>85.989199999999997</v>
      </c>
      <c r="J886" s="10">
        <f>85.9871 * CHOOSE(CONTROL!$C$9, $D$9, 100%, $F$9) + CHOOSE(CONTROL!$C$27, 0.0021, 0)</f>
        <v>85.989199999999997</v>
      </c>
      <c r="K886" s="10">
        <f>85.9871 * CHOOSE(CONTROL!$C$9, $D$9, 100%, $F$9) + CHOOSE(CONTROL!$C$27, 0.0021, 0)</f>
        <v>85.989199999999997</v>
      </c>
      <c r="L886" s="10"/>
    </row>
    <row r="887" spans="1:12" ht="15.75" x14ac:dyDescent="0.25">
      <c r="A887" s="13">
        <v>68302</v>
      </c>
      <c r="B887" s="10">
        <f>84.7698 * CHOOSE(CONTROL!$C$9, $D$9, 100%, $F$9) + CHOOSE(CONTROL!$C$27, 0.0021, 0)</f>
        <v>84.771900000000002</v>
      </c>
      <c r="C887" s="10">
        <f>84.3376 * CHOOSE(CONTROL!$C$9, $D$9, 100%, $F$9) + CHOOSE(CONTROL!$C$27, 0.0021, 0)</f>
        <v>84.339699999999993</v>
      </c>
      <c r="D887" s="10">
        <f>84.3376 * CHOOSE(CONTROL!$C$9, $D$9, 100%, $F$9) + CHOOSE(CONTROL!$C$27, 0.0021, 0)</f>
        <v>84.339699999999993</v>
      </c>
      <c r="E887" s="10">
        <f>84.2009 * CHOOSE(CONTROL!$C$9, $D$9, 100%, $F$9) + CHOOSE(CONTROL!$C$27, 0.0021, 0)</f>
        <v>84.203000000000003</v>
      </c>
      <c r="F887" s="10">
        <f>84.2009 * CHOOSE(CONTROL!$C$9, $D$9, 100%, $F$9) + CHOOSE(CONTROL!$C$27, 0.0021, 0)</f>
        <v>84.203000000000003</v>
      </c>
      <c r="G887" s="10">
        <f>84.4723 * CHOOSE(CONTROL!$C$9, $D$9, 100%, $F$9) + CHOOSE(CONTROL!$C$27, 0.0021, 0)</f>
        <v>84.474400000000003</v>
      </c>
      <c r="H887" s="10">
        <f>84.3376 * CHOOSE(CONTROL!$C$9, $D$9, 100%, $F$9) + CHOOSE(CONTROL!$C$27, 0.0021, 0)</f>
        <v>84.339699999999993</v>
      </c>
      <c r="I887" s="10">
        <f>84.3376 * CHOOSE(CONTROL!$C$9, $D$9, 100%, $F$9) + CHOOSE(CONTROL!$C$27, 0.0021, 0)</f>
        <v>84.339699999999993</v>
      </c>
      <c r="J887" s="10">
        <f>84.3376 * CHOOSE(CONTROL!$C$9, $D$9, 100%, $F$9) + CHOOSE(CONTROL!$C$27, 0.0021, 0)</f>
        <v>84.339699999999993</v>
      </c>
      <c r="K887" s="10">
        <f>84.3376 * CHOOSE(CONTROL!$C$9, $D$9, 100%, $F$9) + CHOOSE(CONTROL!$C$27, 0.0021, 0)</f>
        <v>84.339699999999993</v>
      </c>
      <c r="L887" s="10"/>
    </row>
    <row r="888" spans="1:12" ht="15.75" x14ac:dyDescent="0.25">
      <c r="A888" s="13">
        <v>68333</v>
      </c>
      <c r="B888" s="10">
        <f>83.5069 * CHOOSE(CONTROL!$C$9, $D$9, 100%, $F$9) + CHOOSE(CONTROL!$C$27, 0.0021, 0)</f>
        <v>83.509</v>
      </c>
      <c r="C888" s="10">
        <f>83.0747 * CHOOSE(CONTROL!$C$9, $D$9, 100%, $F$9) + CHOOSE(CONTROL!$C$27, 0.0021, 0)</f>
        <v>83.076800000000006</v>
      </c>
      <c r="D888" s="10">
        <f>83.0747 * CHOOSE(CONTROL!$C$9, $D$9, 100%, $F$9) + CHOOSE(CONTROL!$C$27, 0.0021, 0)</f>
        <v>83.076800000000006</v>
      </c>
      <c r="E888" s="10">
        <f>82.938 * CHOOSE(CONTROL!$C$9, $D$9, 100%, $F$9) + CHOOSE(CONTROL!$C$27, 0.0021, 0)</f>
        <v>82.940100000000001</v>
      </c>
      <c r="F888" s="10">
        <f>82.938 * CHOOSE(CONTROL!$C$9, $D$9, 100%, $F$9) + CHOOSE(CONTROL!$C$27, 0.0021, 0)</f>
        <v>82.940100000000001</v>
      </c>
      <c r="G888" s="10">
        <f>83.2094 * CHOOSE(CONTROL!$C$9, $D$9, 100%, $F$9) + CHOOSE(CONTROL!$C$27, 0.0021, 0)</f>
        <v>83.211500000000001</v>
      </c>
      <c r="H888" s="10">
        <f>83.0747 * CHOOSE(CONTROL!$C$9, $D$9, 100%, $F$9) + CHOOSE(CONTROL!$C$27, 0.0021, 0)</f>
        <v>83.076800000000006</v>
      </c>
      <c r="I888" s="10">
        <f>83.0747 * CHOOSE(CONTROL!$C$9, $D$9, 100%, $F$9) + CHOOSE(CONTROL!$C$27, 0.0021, 0)</f>
        <v>83.076800000000006</v>
      </c>
      <c r="J888" s="10">
        <f>83.0747 * CHOOSE(CONTROL!$C$9, $D$9, 100%, $F$9) + CHOOSE(CONTROL!$C$27, 0.0021, 0)</f>
        <v>83.076800000000006</v>
      </c>
      <c r="K888" s="10">
        <f>83.0747 * CHOOSE(CONTROL!$C$9, $D$9, 100%, $F$9) + CHOOSE(CONTROL!$C$27, 0.0021, 0)</f>
        <v>83.076800000000006</v>
      </c>
      <c r="L888" s="10"/>
    </row>
    <row r="889" spans="1:12" ht="15.75" x14ac:dyDescent="0.25">
      <c r="A889" s="13">
        <v>68361</v>
      </c>
      <c r="B889" s="10">
        <f>81.2097 * CHOOSE(CONTROL!$C$9, $D$9, 100%, $F$9) + CHOOSE(CONTROL!$C$27, 0.0021, 0)</f>
        <v>81.211799999999997</v>
      </c>
      <c r="C889" s="10">
        <f>80.7775 * CHOOSE(CONTROL!$C$9, $D$9, 100%, $F$9) + CHOOSE(CONTROL!$C$27, 0.0021, 0)</f>
        <v>80.779600000000002</v>
      </c>
      <c r="D889" s="10">
        <f>80.7775 * CHOOSE(CONTROL!$C$9, $D$9, 100%, $F$9) + CHOOSE(CONTROL!$C$27, 0.0021, 0)</f>
        <v>80.779600000000002</v>
      </c>
      <c r="E889" s="10">
        <f>80.6408 * CHOOSE(CONTROL!$C$9, $D$9, 100%, $F$9) + CHOOSE(CONTROL!$C$27, 0.0021, 0)</f>
        <v>80.642899999999997</v>
      </c>
      <c r="F889" s="10">
        <f>80.6408 * CHOOSE(CONTROL!$C$9, $D$9, 100%, $F$9) + CHOOSE(CONTROL!$C$27, 0.0021, 0)</f>
        <v>80.642899999999997</v>
      </c>
      <c r="G889" s="10">
        <f>80.9122 * CHOOSE(CONTROL!$C$9, $D$9, 100%, $F$9) + CHOOSE(CONTROL!$C$27, 0.0021, 0)</f>
        <v>80.914299999999997</v>
      </c>
      <c r="H889" s="10">
        <f>80.7775 * CHOOSE(CONTROL!$C$9, $D$9, 100%, $F$9) + CHOOSE(CONTROL!$C$27, 0.0021, 0)</f>
        <v>80.779600000000002</v>
      </c>
      <c r="I889" s="10">
        <f>80.7775 * CHOOSE(CONTROL!$C$9, $D$9, 100%, $F$9) + CHOOSE(CONTROL!$C$27, 0.0021, 0)</f>
        <v>80.779600000000002</v>
      </c>
      <c r="J889" s="10">
        <f>80.7775 * CHOOSE(CONTROL!$C$9, $D$9, 100%, $F$9) + CHOOSE(CONTROL!$C$27, 0.0021, 0)</f>
        <v>80.779600000000002</v>
      </c>
      <c r="K889" s="10">
        <f>80.7775 * CHOOSE(CONTROL!$C$9, $D$9, 100%, $F$9) + CHOOSE(CONTROL!$C$27, 0.0021, 0)</f>
        <v>80.779600000000002</v>
      </c>
      <c r="L889" s="10"/>
    </row>
    <row r="890" spans="1:12" ht="15.75" x14ac:dyDescent="0.25">
      <c r="A890" s="13">
        <v>68392</v>
      </c>
      <c r="B890" s="10">
        <f>80.2614 * CHOOSE(CONTROL!$C$9, $D$9, 100%, $F$9) + CHOOSE(CONTROL!$C$27, 0.0021, 0)</f>
        <v>80.263499999999993</v>
      </c>
      <c r="C890" s="10">
        <f>79.8292 * CHOOSE(CONTROL!$C$9, $D$9, 100%, $F$9) + CHOOSE(CONTROL!$C$27, 0.0021, 0)</f>
        <v>79.831299999999999</v>
      </c>
      <c r="D890" s="10">
        <f>79.8292 * CHOOSE(CONTROL!$C$9, $D$9, 100%, $F$9) + CHOOSE(CONTROL!$C$27, 0.0021, 0)</f>
        <v>79.831299999999999</v>
      </c>
      <c r="E890" s="10">
        <f>79.6925 * CHOOSE(CONTROL!$C$9, $D$9, 100%, $F$9) + CHOOSE(CONTROL!$C$27, 0.0021, 0)</f>
        <v>79.694599999999994</v>
      </c>
      <c r="F890" s="10">
        <f>79.6925 * CHOOSE(CONTROL!$C$9, $D$9, 100%, $F$9) + CHOOSE(CONTROL!$C$27, 0.0021, 0)</f>
        <v>79.694599999999994</v>
      </c>
      <c r="G890" s="10">
        <f>79.9639 * CHOOSE(CONTROL!$C$9, $D$9, 100%, $F$9) + CHOOSE(CONTROL!$C$27, 0.0021, 0)</f>
        <v>79.965999999999994</v>
      </c>
      <c r="H890" s="10">
        <f>79.8292 * CHOOSE(CONTROL!$C$9, $D$9, 100%, $F$9) + CHOOSE(CONTROL!$C$27, 0.0021, 0)</f>
        <v>79.831299999999999</v>
      </c>
      <c r="I890" s="10">
        <f>79.8292 * CHOOSE(CONTROL!$C$9, $D$9, 100%, $F$9) + CHOOSE(CONTROL!$C$27, 0.0021, 0)</f>
        <v>79.831299999999999</v>
      </c>
      <c r="J890" s="10">
        <f>79.8292 * CHOOSE(CONTROL!$C$9, $D$9, 100%, $F$9) + CHOOSE(CONTROL!$C$27, 0.0021, 0)</f>
        <v>79.831299999999999</v>
      </c>
      <c r="K890" s="10">
        <f>79.8292 * CHOOSE(CONTROL!$C$9, $D$9, 100%, $F$9) + CHOOSE(CONTROL!$C$27, 0.0021, 0)</f>
        <v>79.831299999999999</v>
      </c>
      <c r="L890" s="10"/>
    </row>
    <row r="891" spans="1:12" ht="15.75" x14ac:dyDescent="0.25">
      <c r="A891" s="13">
        <v>68422</v>
      </c>
      <c r="B891" s="10">
        <f>79.1292 * CHOOSE(CONTROL!$C$9, $D$9, 100%, $F$9) + CHOOSE(CONTROL!$C$27, 0.0021, 0)</f>
        <v>79.131299999999996</v>
      </c>
      <c r="C891" s="10">
        <f>78.6969 * CHOOSE(CONTROL!$C$9, $D$9, 100%, $F$9) + CHOOSE(CONTROL!$C$27, 0.0021, 0)</f>
        <v>78.698999999999998</v>
      </c>
      <c r="D891" s="10">
        <f>78.6969 * CHOOSE(CONTROL!$C$9, $D$9, 100%, $F$9) + CHOOSE(CONTROL!$C$27, 0.0021, 0)</f>
        <v>78.698999999999998</v>
      </c>
      <c r="E891" s="10">
        <f>78.5603 * CHOOSE(CONTROL!$C$9, $D$9, 100%, $F$9) + CHOOSE(CONTROL!$C$27, 0.0021, 0)</f>
        <v>78.562399999999997</v>
      </c>
      <c r="F891" s="10">
        <f>78.5603 * CHOOSE(CONTROL!$C$9, $D$9, 100%, $F$9) + CHOOSE(CONTROL!$C$27, 0.0021, 0)</f>
        <v>78.562399999999997</v>
      </c>
      <c r="G891" s="10">
        <f>78.8317 * CHOOSE(CONTROL!$C$9, $D$9, 100%, $F$9) + CHOOSE(CONTROL!$C$27, 0.0021, 0)</f>
        <v>78.833799999999997</v>
      </c>
      <c r="H891" s="10">
        <f>78.6969 * CHOOSE(CONTROL!$C$9, $D$9, 100%, $F$9) + CHOOSE(CONTROL!$C$27, 0.0021, 0)</f>
        <v>78.698999999999998</v>
      </c>
      <c r="I891" s="10">
        <f>78.6969 * CHOOSE(CONTROL!$C$9, $D$9, 100%, $F$9) + CHOOSE(CONTROL!$C$27, 0.0021, 0)</f>
        <v>78.698999999999998</v>
      </c>
      <c r="J891" s="10">
        <f>78.6969 * CHOOSE(CONTROL!$C$9, $D$9, 100%, $F$9) + CHOOSE(CONTROL!$C$27, 0.0021, 0)</f>
        <v>78.698999999999998</v>
      </c>
      <c r="K891" s="10">
        <f>78.6969 * CHOOSE(CONTROL!$C$9, $D$9, 100%, $F$9) + CHOOSE(CONTROL!$C$27, 0.0021, 0)</f>
        <v>78.698999999999998</v>
      </c>
      <c r="L891" s="10"/>
    </row>
    <row r="892" spans="1:12" ht="15.75" x14ac:dyDescent="0.25">
      <c r="A892" s="13">
        <v>68453</v>
      </c>
      <c r="B892" s="10">
        <f>80.7428 * CHOOSE(CONTROL!$C$9, $D$9, 100%, $F$9) + CHOOSE(CONTROL!$C$27, 0.0021, 0)</f>
        <v>80.744900000000001</v>
      </c>
      <c r="C892" s="10">
        <f>80.3105 * CHOOSE(CONTROL!$C$9, $D$9, 100%, $F$9) + CHOOSE(CONTROL!$C$27, 0.0021, 0)</f>
        <v>80.312600000000003</v>
      </c>
      <c r="D892" s="10">
        <f>80.3105 * CHOOSE(CONTROL!$C$9, $D$9, 100%, $F$9) + CHOOSE(CONTROL!$C$27, 0.0021, 0)</f>
        <v>80.312600000000003</v>
      </c>
      <c r="E892" s="10">
        <f>80.1739 * CHOOSE(CONTROL!$C$9, $D$9, 100%, $F$9) + CHOOSE(CONTROL!$C$27, 0.0021, 0)</f>
        <v>80.176000000000002</v>
      </c>
      <c r="F892" s="10">
        <f>80.1739 * CHOOSE(CONTROL!$C$9, $D$9, 100%, $F$9) + CHOOSE(CONTROL!$C$27, 0.0021, 0)</f>
        <v>80.176000000000002</v>
      </c>
      <c r="G892" s="10">
        <f>80.4453 * CHOOSE(CONTROL!$C$9, $D$9, 100%, $F$9) + CHOOSE(CONTROL!$C$27, 0.0021, 0)</f>
        <v>80.447400000000002</v>
      </c>
      <c r="H892" s="10">
        <f>80.3105 * CHOOSE(CONTROL!$C$9, $D$9, 100%, $F$9) + CHOOSE(CONTROL!$C$27, 0.0021, 0)</f>
        <v>80.312600000000003</v>
      </c>
      <c r="I892" s="10">
        <f>80.3105 * CHOOSE(CONTROL!$C$9, $D$9, 100%, $F$9) + CHOOSE(CONTROL!$C$27, 0.0021, 0)</f>
        <v>80.312600000000003</v>
      </c>
      <c r="J892" s="10">
        <f>80.3105 * CHOOSE(CONTROL!$C$9, $D$9, 100%, $F$9) + CHOOSE(CONTROL!$C$27, 0.0021, 0)</f>
        <v>80.312600000000003</v>
      </c>
      <c r="K892" s="10">
        <f>80.3105 * CHOOSE(CONTROL!$C$9, $D$9, 100%, $F$9) + CHOOSE(CONTROL!$C$27, 0.0021, 0)</f>
        <v>80.312600000000003</v>
      </c>
      <c r="L892" s="10"/>
    </row>
    <row r="893" spans="1:12" ht="15.75" x14ac:dyDescent="0.25">
      <c r="A893" s="13">
        <v>68483</v>
      </c>
      <c r="B893" s="10">
        <f>81.7093 * CHOOSE(CONTROL!$C$9, $D$9, 100%, $F$9) + CHOOSE(CONTROL!$C$27, 0.0021, 0)</f>
        <v>81.711399999999998</v>
      </c>
      <c r="C893" s="10">
        <f>81.277 * CHOOSE(CONTROL!$C$9, $D$9, 100%, $F$9) + CHOOSE(CONTROL!$C$27, 0.0021, 0)</f>
        <v>81.2791</v>
      </c>
      <c r="D893" s="10">
        <f>81.277 * CHOOSE(CONTROL!$C$9, $D$9, 100%, $F$9) + CHOOSE(CONTROL!$C$27, 0.0021, 0)</f>
        <v>81.2791</v>
      </c>
      <c r="E893" s="10">
        <f>81.1404 * CHOOSE(CONTROL!$C$9, $D$9, 100%, $F$9) + CHOOSE(CONTROL!$C$27, 0.0021, 0)</f>
        <v>81.142499999999998</v>
      </c>
      <c r="F893" s="10">
        <f>81.1404 * CHOOSE(CONTROL!$C$9, $D$9, 100%, $F$9) + CHOOSE(CONTROL!$C$27, 0.0021, 0)</f>
        <v>81.142499999999998</v>
      </c>
      <c r="G893" s="10">
        <f>81.4117 * CHOOSE(CONTROL!$C$9, $D$9, 100%, $F$9) + CHOOSE(CONTROL!$C$27, 0.0021, 0)</f>
        <v>81.413799999999995</v>
      </c>
      <c r="H893" s="10">
        <f>81.277 * CHOOSE(CONTROL!$C$9, $D$9, 100%, $F$9) + CHOOSE(CONTROL!$C$27, 0.0021, 0)</f>
        <v>81.2791</v>
      </c>
      <c r="I893" s="10">
        <f>81.277 * CHOOSE(CONTROL!$C$9, $D$9, 100%, $F$9) + CHOOSE(CONTROL!$C$27, 0.0021, 0)</f>
        <v>81.2791</v>
      </c>
      <c r="J893" s="10">
        <f>81.277 * CHOOSE(CONTROL!$C$9, $D$9, 100%, $F$9) + CHOOSE(CONTROL!$C$27, 0.0021, 0)</f>
        <v>81.2791</v>
      </c>
      <c r="K893" s="10">
        <f>81.277 * CHOOSE(CONTROL!$C$9, $D$9, 100%, $F$9) + CHOOSE(CONTROL!$C$27, 0.0021, 0)</f>
        <v>81.2791</v>
      </c>
      <c r="L893" s="10"/>
    </row>
    <row r="894" spans="1:12" ht="15.75" x14ac:dyDescent="0.25">
      <c r="A894" s="13">
        <v>68514</v>
      </c>
      <c r="B894" s="10">
        <f>83.3036 * CHOOSE(CONTROL!$C$9, $D$9, 100%, $F$9) + CHOOSE(CONTROL!$C$27, 0.0021, 0)</f>
        <v>83.305700000000002</v>
      </c>
      <c r="C894" s="10">
        <f>82.8714 * CHOOSE(CONTROL!$C$9, $D$9, 100%, $F$9) + CHOOSE(CONTROL!$C$27, 0.0021, 0)</f>
        <v>82.873499999999993</v>
      </c>
      <c r="D894" s="10">
        <f>82.8714 * CHOOSE(CONTROL!$C$9, $D$9, 100%, $F$9) + CHOOSE(CONTROL!$C$27, 0.0021, 0)</f>
        <v>82.873499999999993</v>
      </c>
      <c r="E894" s="10">
        <f>82.7347 * CHOOSE(CONTROL!$C$9, $D$9, 100%, $F$9) + CHOOSE(CONTROL!$C$27, 0.0021, 0)</f>
        <v>82.736800000000002</v>
      </c>
      <c r="F894" s="10">
        <f>82.7347 * CHOOSE(CONTROL!$C$9, $D$9, 100%, $F$9) + CHOOSE(CONTROL!$C$27, 0.0021, 0)</f>
        <v>82.736800000000002</v>
      </c>
      <c r="G894" s="10">
        <f>83.0061 * CHOOSE(CONTROL!$C$9, $D$9, 100%, $F$9) + CHOOSE(CONTROL!$C$27, 0.0021, 0)</f>
        <v>83.008200000000002</v>
      </c>
      <c r="H894" s="10">
        <f>82.8714 * CHOOSE(CONTROL!$C$9, $D$9, 100%, $F$9) + CHOOSE(CONTROL!$C$27, 0.0021, 0)</f>
        <v>82.873499999999993</v>
      </c>
      <c r="I894" s="10">
        <f>82.8714 * CHOOSE(CONTROL!$C$9, $D$9, 100%, $F$9) + CHOOSE(CONTROL!$C$27, 0.0021, 0)</f>
        <v>82.873499999999993</v>
      </c>
      <c r="J894" s="10">
        <f>82.8714 * CHOOSE(CONTROL!$C$9, $D$9, 100%, $F$9) + CHOOSE(CONTROL!$C$27, 0.0021, 0)</f>
        <v>82.873499999999993</v>
      </c>
      <c r="K894" s="10">
        <f>82.8714 * CHOOSE(CONTROL!$C$9, $D$9, 100%, $F$9) + CHOOSE(CONTROL!$C$27, 0.0021, 0)</f>
        <v>82.873499999999993</v>
      </c>
      <c r="L894" s="10"/>
    </row>
    <row r="895" spans="1:12" ht="15.75" x14ac:dyDescent="0.25">
      <c r="A895" s="13">
        <v>68545</v>
      </c>
      <c r="B895" s="10">
        <f>83.7903 * CHOOSE(CONTROL!$C$9, $D$9, 100%, $F$9) + CHOOSE(CONTROL!$C$27, 0.0021, 0)</f>
        <v>83.792400000000001</v>
      </c>
      <c r="C895" s="10">
        <f>83.358 * CHOOSE(CONTROL!$C$9, $D$9, 100%, $F$9) + CHOOSE(CONTROL!$C$27, 0.0021, 0)</f>
        <v>83.360100000000003</v>
      </c>
      <c r="D895" s="10">
        <f>83.358 * CHOOSE(CONTROL!$C$9, $D$9, 100%, $F$9) + CHOOSE(CONTROL!$C$27, 0.0021, 0)</f>
        <v>83.360100000000003</v>
      </c>
      <c r="E895" s="10">
        <f>83.2214 * CHOOSE(CONTROL!$C$9, $D$9, 100%, $F$9) + CHOOSE(CONTROL!$C$27, 0.0021, 0)</f>
        <v>83.223500000000001</v>
      </c>
      <c r="F895" s="10">
        <f>83.2214 * CHOOSE(CONTROL!$C$9, $D$9, 100%, $F$9) + CHOOSE(CONTROL!$C$27, 0.0021, 0)</f>
        <v>83.223500000000001</v>
      </c>
      <c r="G895" s="10">
        <f>83.4927 * CHOOSE(CONTROL!$C$9, $D$9, 100%, $F$9) + CHOOSE(CONTROL!$C$27, 0.0021, 0)</f>
        <v>83.494799999999998</v>
      </c>
      <c r="H895" s="10">
        <f>83.358 * CHOOSE(CONTROL!$C$9, $D$9, 100%, $F$9) + CHOOSE(CONTROL!$C$27, 0.0021, 0)</f>
        <v>83.360100000000003</v>
      </c>
      <c r="I895" s="10">
        <f>83.358 * CHOOSE(CONTROL!$C$9, $D$9, 100%, $F$9) + CHOOSE(CONTROL!$C$27, 0.0021, 0)</f>
        <v>83.360100000000003</v>
      </c>
      <c r="J895" s="10">
        <f>83.358 * CHOOSE(CONTROL!$C$9, $D$9, 100%, $F$9) + CHOOSE(CONTROL!$C$27, 0.0021, 0)</f>
        <v>83.360100000000003</v>
      </c>
      <c r="K895" s="10">
        <f>83.358 * CHOOSE(CONTROL!$C$9, $D$9, 100%, $F$9) + CHOOSE(CONTROL!$C$27, 0.0021, 0)</f>
        <v>83.360100000000003</v>
      </c>
      <c r="L895" s="10"/>
    </row>
    <row r="896" spans="1:12" ht="15.75" x14ac:dyDescent="0.25">
      <c r="A896" s="13">
        <v>68575</v>
      </c>
      <c r="B896" s="10">
        <f>85.4475 * CHOOSE(CONTROL!$C$9, $D$9, 100%, $F$9) + CHOOSE(CONTROL!$C$27, 0.0021, 0)</f>
        <v>85.449600000000004</v>
      </c>
      <c r="C896" s="10">
        <f>85.0153 * CHOOSE(CONTROL!$C$9, $D$9, 100%, $F$9) + CHOOSE(CONTROL!$C$27, 0.0021, 0)</f>
        <v>85.017399999999995</v>
      </c>
      <c r="D896" s="10">
        <f>85.0153 * CHOOSE(CONTROL!$C$9, $D$9, 100%, $F$9) + CHOOSE(CONTROL!$C$27, 0.0021, 0)</f>
        <v>85.017399999999995</v>
      </c>
      <c r="E896" s="10">
        <f>84.8786 * CHOOSE(CONTROL!$C$9, $D$9, 100%, $F$9) + CHOOSE(CONTROL!$C$27, 0.0021, 0)</f>
        <v>84.880700000000004</v>
      </c>
      <c r="F896" s="10">
        <f>84.8786 * CHOOSE(CONTROL!$C$9, $D$9, 100%, $F$9) + CHOOSE(CONTROL!$C$27, 0.0021, 0)</f>
        <v>84.880700000000004</v>
      </c>
      <c r="G896" s="10">
        <f>85.15 * CHOOSE(CONTROL!$C$9, $D$9, 100%, $F$9) + CHOOSE(CONTROL!$C$27, 0.0021, 0)</f>
        <v>85.152100000000004</v>
      </c>
      <c r="H896" s="10">
        <f>85.0153 * CHOOSE(CONTROL!$C$9, $D$9, 100%, $F$9) + CHOOSE(CONTROL!$C$27, 0.0021, 0)</f>
        <v>85.017399999999995</v>
      </c>
      <c r="I896" s="10">
        <f>85.0153 * CHOOSE(CONTROL!$C$9, $D$9, 100%, $F$9) + CHOOSE(CONTROL!$C$27, 0.0021, 0)</f>
        <v>85.017399999999995</v>
      </c>
      <c r="J896" s="10">
        <f>85.0153 * CHOOSE(CONTROL!$C$9, $D$9, 100%, $F$9) + CHOOSE(CONTROL!$C$27, 0.0021, 0)</f>
        <v>85.017399999999995</v>
      </c>
      <c r="K896" s="10">
        <f>85.0153 * CHOOSE(CONTROL!$C$9, $D$9, 100%, $F$9) + CHOOSE(CONTROL!$C$27, 0.0021, 0)</f>
        <v>85.017399999999995</v>
      </c>
      <c r="L896" s="10"/>
    </row>
    <row r="897" spans="1:12" ht="15.75" x14ac:dyDescent="0.25">
      <c r="A897" s="13">
        <v>68606</v>
      </c>
      <c r="B897" s="10">
        <f>87.5453 * CHOOSE(CONTROL!$C$9, $D$9, 100%, $F$9) + CHOOSE(CONTROL!$C$27, 0.0021, 0)</f>
        <v>87.547399999999996</v>
      </c>
      <c r="C897" s="10">
        <f>87.1131 * CHOOSE(CONTROL!$C$9, $D$9, 100%, $F$9) + CHOOSE(CONTROL!$C$27, 0.0021, 0)</f>
        <v>87.115200000000002</v>
      </c>
      <c r="D897" s="10">
        <f>87.1131 * CHOOSE(CONTROL!$C$9, $D$9, 100%, $F$9) + CHOOSE(CONTROL!$C$27, 0.0021, 0)</f>
        <v>87.115200000000002</v>
      </c>
      <c r="E897" s="10">
        <f>86.9764 * CHOOSE(CONTROL!$C$9, $D$9, 100%, $F$9) + CHOOSE(CONTROL!$C$27, 0.0021, 0)</f>
        <v>86.978499999999997</v>
      </c>
      <c r="F897" s="10">
        <f>86.9764 * CHOOSE(CONTROL!$C$9, $D$9, 100%, $F$9) + CHOOSE(CONTROL!$C$27, 0.0021, 0)</f>
        <v>86.978499999999997</v>
      </c>
      <c r="G897" s="10">
        <f>87.2478 * CHOOSE(CONTROL!$C$9, $D$9, 100%, $F$9) + CHOOSE(CONTROL!$C$27, 0.0021, 0)</f>
        <v>87.249899999999997</v>
      </c>
      <c r="H897" s="10">
        <f>87.1131 * CHOOSE(CONTROL!$C$9, $D$9, 100%, $F$9) + CHOOSE(CONTROL!$C$27, 0.0021, 0)</f>
        <v>87.115200000000002</v>
      </c>
      <c r="I897" s="10">
        <f>87.1131 * CHOOSE(CONTROL!$C$9, $D$9, 100%, $F$9) + CHOOSE(CONTROL!$C$27, 0.0021, 0)</f>
        <v>87.115200000000002</v>
      </c>
      <c r="J897" s="10">
        <f>87.1131 * CHOOSE(CONTROL!$C$9, $D$9, 100%, $F$9) + CHOOSE(CONTROL!$C$27, 0.0021, 0)</f>
        <v>87.115200000000002</v>
      </c>
      <c r="K897" s="10">
        <f>87.1131 * CHOOSE(CONTROL!$C$9, $D$9, 100%, $F$9) + CHOOSE(CONTROL!$C$27, 0.0021, 0)</f>
        <v>87.115200000000002</v>
      </c>
      <c r="L897" s="10"/>
    </row>
    <row r="898" spans="1:12" ht="15.75" x14ac:dyDescent="0.25">
      <c r="A898" s="13">
        <v>68636</v>
      </c>
      <c r="B898" s="10">
        <f>87.7423 * CHOOSE(CONTROL!$C$9, $D$9, 100%, $F$9) + CHOOSE(CONTROL!$C$27, 0.0021, 0)</f>
        <v>87.744399999999999</v>
      </c>
      <c r="C898" s="10">
        <f>87.31 * CHOOSE(CONTROL!$C$9, $D$9, 100%, $F$9) + CHOOSE(CONTROL!$C$27, 0.0021, 0)</f>
        <v>87.312100000000001</v>
      </c>
      <c r="D898" s="10">
        <f>87.31 * CHOOSE(CONTROL!$C$9, $D$9, 100%, $F$9) + CHOOSE(CONTROL!$C$27, 0.0021, 0)</f>
        <v>87.312100000000001</v>
      </c>
      <c r="E898" s="10">
        <f>87.1734 * CHOOSE(CONTROL!$C$9, $D$9, 100%, $F$9) + CHOOSE(CONTROL!$C$27, 0.0021, 0)</f>
        <v>87.1755</v>
      </c>
      <c r="F898" s="10">
        <f>87.1734 * CHOOSE(CONTROL!$C$9, $D$9, 100%, $F$9) + CHOOSE(CONTROL!$C$27, 0.0021, 0)</f>
        <v>87.1755</v>
      </c>
      <c r="G898" s="10">
        <f>87.4447 * CHOOSE(CONTROL!$C$9, $D$9, 100%, $F$9) + CHOOSE(CONTROL!$C$27, 0.0021, 0)</f>
        <v>87.446799999999996</v>
      </c>
      <c r="H898" s="10">
        <f>87.31 * CHOOSE(CONTROL!$C$9, $D$9, 100%, $F$9) + CHOOSE(CONTROL!$C$27, 0.0021, 0)</f>
        <v>87.312100000000001</v>
      </c>
      <c r="I898" s="10">
        <f>87.31 * CHOOSE(CONTROL!$C$9, $D$9, 100%, $F$9) + CHOOSE(CONTROL!$C$27, 0.0021, 0)</f>
        <v>87.312100000000001</v>
      </c>
      <c r="J898" s="10">
        <f>87.31 * CHOOSE(CONTROL!$C$9, $D$9, 100%, $F$9) + CHOOSE(CONTROL!$C$27, 0.0021, 0)</f>
        <v>87.312100000000001</v>
      </c>
      <c r="K898" s="10">
        <f>87.31 * CHOOSE(CONTROL!$C$9, $D$9, 100%, $F$9) + CHOOSE(CONTROL!$C$27, 0.0021, 0)</f>
        <v>87.312100000000001</v>
      </c>
      <c r="L898" s="10"/>
    </row>
    <row r="899" spans="1:12" ht="15.75" x14ac:dyDescent="0.25">
      <c r="A899" s="13">
        <v>68667</v>
      </c>
      <c r="B899" s="10">
        <f>86.0668 * CHOOSE(CONTROL!$C$9, $D$9, 100%, $F$9) + CHOOSE(CONTROL!$C$27, 0.0021, 0)</f>
        <v>86.068899999999999</v>
      </c>
      <c r="C899" s="10">
        <f>85.6345 * CHOOSE(CONTROL!$C$9, $D$9, 100%, $F$9) + CHOOSE(CONTROL!$C$27, 0.0021, 0)</f>
        <v>85.636600000000001</v>
      </c>
      <c r="D899" s="10">
        <f>85.6345 * CHOOSE(CONTROL!$C$9, $D$9, 100%, $F$9) + CHOOSE(CONTROL!$C$27, 0.0021, 0)</f>
        <v>85.636600000000001</v>
      </c>
      <c r="E899" s="10">
        <f>85.4979 * CHOOSE(CONTROL!$C$9, $D$9, 100%, $F$9) + CHOOSE(CONTROL!$C$27, 0.0021, 0)</f>
        <v>85.5</v>
      </c>
      <c r="F899" s="10">
        <f>85.4979 * CHOOSE(CONTROL!$C$9, $D$9, 100%, $F$9) + CHOOSE(CONTROL!$C$27, 0.0021, 0)</f>
        <v>85.5</v>
      </c>
      <c r="G899" s="10">
        <f>85.7693 * CHOOSE(CONTROL!$C$9, $D$9, 100%, $F$9) + CHOOSE(CONTROL!$C$27, 0.0021, 0)</f>
        <v>85.7714</v>
      </c>
      <c r="H899" s="10">
        <f>85.6345 * CHOOSE(CONTROL!$C$9, $D$9, 100%, $F$9) + CHOOSE(CONTROL!$C$27, 0.0021, 0)</f>
        <v>85.636600000000001</v>
      </c>
      <c r="I899" s="10">
        <f>85.6345 * CHOOSE(CONTROL!$C$9, $D$9, 100%, $F$9) + CHOOSE(CONTROL!$C$27, 0.0021, 0)</f>
        <v>85.636600000000001</v>
      </c>
      <c r="J899" s="10">
        <f>85.6345 * CHOOSE(CONTROL!$C$9, $D$9, 100%, $F$9) + CHOOSE(CONTROL!$C$27, 0.0021, 0)</f>
        <v>85.636600000000001</v>
      </c>
      <c r="K899" s="10">
        <f>85.6345 * CHOOSE(CONTROL!$C$9, $D$9, 100%, $F$9) + CHOOSE(CONTROL!$C$27, 0.0021, 0)</f>
        <v>85.636600000000001</v>
      </c>
      <c r="L899" s="10"/>
    </row>
    <row r="900" spans="1:12" ht="15.75" x14ac:dyDescent="0.25">
      <c r="A900" s="13">
        <v>68698</v>
      </c>
      <c r="B900" s="10">
        <f>84.784 * CHOOSE(CONTROL!$C$9, $D$9, 100%, $F$9) + CHOOSE(CONTROL!$C$27, 0.0021, 0)</f>
        <v>84.786100000000005</v>
      </c>
      <c r="C900" s="10">
        <f>84.3518 * CHOOSE(CONTROL!$C$9, $D$9, 100%, $F$9) + CHOOSE(CONTROL!$C$27, 0.0021, 0)</f>
        <v>84.353899999999996</v>
      </c>
      <c r="D900" s="10">
        <f>84.3518 * CHOOSE(CONTROL!$C$9, $D$9, 100%, $F$9) + CHOOSE(CONTROL!$C$27, 0.0021, 0)</f>
        <v>84.353899999999996</v>
      </c>
      <c r="E900" s="10">
        <f>84.2151 * CHOOSE(CONTROL!$C$9, $D$9, 100%, $F$9) + CHOOSE(CONTROL!$C$27, 0.0021, 0)</f>
        <v>84.217200000000005</v>
      </c>
      <c r="F900" s="10">
        <f>84.2151 * CHOOSE(CONTROL!$C$9, $D$9, 100%, $F$9) + CHOOSE(CONTROL!$C$27, 0.0021, 0)</f>
        <v>84.217200000000005</v>
      </c>
      <c r="G900" s="10">
        <f>84.4865 * CHOOSE(CONTROL!$C$9, $D$9, 100%, $F$9) + CHOOSE(CONTROL!$C$27, 0.0021, 0)</f>
        <v>84.488600000000005</v>
      </c>
      <c r="H900" s="10">
        <f>84.3518 * CHOOSE(CONTROL!$C$9, $D$9, 100%, $F$9) + CHOOSE(CONTROL!$C$27, 0.0021, 0)</f>
        <v>84.353899999999996</v>
      </c>
      <c r="I900" s="10">
        <f>84.3518 * CHOOSE(CONTROL!$C$9, $D$9, 100%, $F$9) + CHOOSE(CONTROL!$C$27, 0.0021, 0)</f>
        <v>84.353899999999996</v>
      </c>
      <c r="J900" s="10">
        <f>84.3518 * CHOOSE(CONTROL!$C$9, $D$9, 100%, $F$9) + CHOOSE(CONTROL!$C$27, 0.0021, 0)</f>
        <v>84.353899999999996</v>
      </c>
      <c r="K900" s="10">
        <f>84.3518 * CHOOSE(CONTROL!$C$9, $D$9, 100%, $F$9) + CHOOSE(CONTROL!$C$27, 0.0021, 0)</f>
        <v>84.353899999999996</v>
      </c>
      <c r="L900" s="10"/>
    </row>
    <row r="901" spans="1:12" ht="15.75" x14ac:dyDescent="0.25">
      <c r="A901" s="13">
        <v>68727</v>
      </c>
      <c r="B901" s="10">
        <f>82.4507 * CHOOSE(CONTROL!$C$9, $D$9, 100%, $F$9) + CHOOSE(CONTROL!$C$27, 0.0021, 0)</f>
        <v>82.452799999999996</v>
      </c>
      <c r="C901" s="10">
        <f>82.0184 * CHOOSE(CONTROL!$C$9, $D$9, 100%, $F$9) + CHOOSE(CONTROL!$C$27, 0.0021, 0)</f>
        <v>82.020499999999998</v>
      </c>
      <c r="D901" s="10">
        <f>82.0184 * CHOOSE(CONTROL!$C$9, $D$9, 100%, $F$9) + CHOOSE(CONTROL!$C$27, 0.0021, 0)</f>
        <v>82.020499999999998</v>
      </c>
      <c r="E901" s="10">
        <f>81.8818 * CHOOSE(CONTROL!$C$9, $D$9, 100%, $F$9) + CHOOSE(CONTROL!$C$27, 0.0021, 0)</f>
        <v>81.883899999999997</v>
      </c>
      <c r="F901" s="10">
        <f>81.8818 * CHOOSE(CONTROL!$C$9, $D$9, 100%, $F$9) + CHOOSE(CONTROL!$C$27, 0.0021, 0)</f>
        <v>81.883899999999997</v>
      </c>
      <c r="G901" s="10">
        <f>82.1532 * CHOOSE(CONTROL!$C$9, $D$9, 100%, $F$9) + CHOOSE(CONTROL!$C$27, 0.0021, 0)</f>
        <v>82.155299999999997</v>
      </c>
      <c r="H901" s="10">
        <f>82.0184 * CHOOSE(CONTROL!$C$9, $D$9, 100%, $F$9) + CHOOSE(CONTROL!$C$27, 0.0021, 0)</f>
        <v>82.020499999999998</v>
      </c>
      <c r="I901" s="10">
        <f>82.0184 * CHOOSE(CONTROL!$C$9, $D$9, 100%, $F$9) + CHOOSE(CONTROL!$C$27, 0.0021, 0)</f>
        <v>82.020499999999998</v>
      </c>
      <c r="J901" s="10">
        <f>82.0184 * CHOOSE(CONTROL!$C$9, $D$9, 100%, $F$9) + CHOOSE(CONTROL!$C$27, 0.0021, 0)</f>
        <v>82.020499999999998</v>
      </c>
      <c r="K901" s="10">
        <f>82.0184 * CHOOSE(CONTROL!$C$9, $D$9, 100%, $F$9) + CHOOSE(CONTROL!$C$27, 0.0021, 0)</f>
        <v>82.020499999999998</v>
      </c>
      <c r="L901" s="10"/>
    </row>
    <row r="902" spans="1:12" ht="15.75" x14ac:dyDescent="0.25">
      <c r="A902" s="13">
        <v>68758</v>
      </c>
      <c r="B902" s="10">
        <f>81.4875 * CHOOSE(CONTROL!$C$9, $D$9, 100%, $F$9) + CHOOSE(CONTROL!$C$27, 0.0021, 0)</f>
        <v>81.489599999999996</v>
      </c>
      <c r="C902" s="10">
        <f>81.0553 * CHOOSE(CONTROL!$C$9, $D$9, 100%, $F$9) + CHOOSE(CONTROL!$C$27, 0.0021, 0)</f>
        <v>81.057400000000001</v>
      </c>
      <c r="D902" s="10">
        <f>81.0553 * CHOOSE(CONTROL!$C$9, $D$9, 100%, $F$9) + CHOOSE(CONTROL!$C$27, 0.0021, 0)</f>
        <v>81.057400000000001</v>
      </c>
      <c r="E902" s="10">
        <f>80.9186 * CHOOSE(CONTROL!$C$9, $D$9, 100%, $F$9) + CHOOSE(CONTROL!$C$27, 0.0021, 0)</f>
        <v>80.920699999999997</v>
      </c>
      <c r="F902" s="10">
        <f>80.9186 * CHOOSE(CONTROL!$C$9, $D$9, 100%, $F$9) + CHOOSE(CONTROL!$C$27, 0.0021, 0)</f>
        <v>80.920699999999997</v>
      </c>
      <c r="G902" s="10">
        <f>81.19 * CHOOSE(CONTROL!$C$9, $D$9, 100%, $F$9) + CHOOSE(CONTROL!$C$27, 0.0021, 0)</f>
        <v>81.192099999999996</v>
      </c>
      <c r="H902" s="10">
        <f>81.0553 * CHOOSE(CONTROL!$C$9, $D$9, 100%, $F$9) + CHOOSE(CONTROL!$C$27, 0.0021, 0)</f>
        <v>81.057400000000001</v>
      </c>
      <c r="I902" s="10">
        <f>81.0553 * CHOOSE(CONTROL!$C$9, $D$9, 100%, $F$9) + CHOOSE(CONTROL!$C$27, 0.0021, 0)</f>
        <v>81.057400000000001</v>
      </c>
      <c r="J902" s="10">
        <f>81.0553 * CHOOSE(CONTROL!$C$9, $D$9, 100%, $F$9) + CHOOSE(CONTROL!$C$27, 0.0021, 0)</f>
        <v>81.057400000000001</v>
      </c>
      <c r="K902" s="10">
        <f>81.0553 * CHOOSE(CONTROL!$C$9, $D$9, 100%, $F$9) + CHOOSE(CONTROL!$C$27, 0.0021, 0)</f>
        <v>81.057400000000001</v>
      </c>
      <c r="L902" s="10"/>
    </row>
    <row r="903" spans="1:12" ht="15.75" x14ac:dyDescent="0.25">
      <c r="A903" s="13">
        <v>68788</v>
      </c>
      <c r="B903" s="10">
        <f>80.3374 * CHOOSE(CONTROL!$C$9, $D$9, 100%, $F$9) + CHOOSE(CONTROL!$C$27, 0.0021, 0)</f>
        <v>80.339500000000001</v>
      </c>
      <c r="C903" s="10">
        <f>79.9052 * CHOOSE(CONTROL!$C$9, $D$9, 100%, $F$9) + CHOOSE(CONTROL!$C$27, 0.0021, 0)</f>
        <v>79.907299999999992</v>
      </c>
      <c r="D903" s="10">
        <f>79.9052 * CHOOSE(CONTROL!$C$9, $D$9, 100%, $F$9) + CHOOSE(CONTROL!$C$27, 0.0021, 0)</f>
        <v>79.907299999999992</v>
      </c>
      <c r="E903" s="10">
        <f>79.7685 * CHOOSE(CONTROL!$C$9, $D$9, 100%, $F$9) + CHOOSE(CONTROL!$C$27, 0.0021, 0)</f>
        <v>79.770600000000002</v>
      </c>
      <c r="F903" s="10">
        <f>79.7685 * CHOOSE(CONTROL!$C$9, $D$9, 100%, $F$9) + CHOOSE(CONTROL!$C$27, 0.0021, 0)</f>
        <v>79.770600000000002</v>
      </c>
      <c r="G903" s="10">
        <f>80.0399 * CHOOSE(CONTROL!$C$9, $D$9, 100%, $F$9) + CHOOSE(CONTROL!$C$27, 0.0021, 0)</f>
        <v>80.042000000000002</v>
      </c>
      <c r="H903" s="10">
        <f>79.9052 * CHOOSE(CONTROL!$C$9, $D$9, 100%, $F$9) + CHOOSE(CONTROL!$C$27, 0.0021, 0)</f>
        <v>79.907299999999992</v>
      </c>
      <c r="I903" s="10">
        <f>79.9052 * CHOOSE(CONTROL!$C$9, $D$9, 100%, $F$9) + CHOOSE(CONTROL!$C$27, 0.0021, 0)</f>
        <v>79.907299999999992</v>
      </c>
      <c r="J903" s="10">
        <f>79.9052 * CHOOSE(CONTROL!$C$9, $D$9, 100%, $F$9) + CHOOSE(CONTROL!$C$27, 0.0021, 0)</f>
        <v>79.907299999999992</v>
      </c>
      <c r="K903" s="10">
        <f>79.9052 * CHOOSE(CONTROL!$C$9, $D$9, 100%, $F$9) + CHOOSE(CONTROL!$C$27, 0.0021, 0)</f>
        <v>79.907299999999992</v>
      </c>
      <c r="L903" s="10"/>
    </row>
    <row r="904" spans="1:12" ht="15.75" x14ac:dyDescent="0.25">
      <c r="A904" s="13">
        <v>68819</v>
      </c>
      <c r="B904" s="10">
        <f>81.9764 * CHOOSE(CONTROL!$C$9, $D$9, 100%, $F$9) + CHOOSE(CONTROL!$C$27, 0.0021, 0)</f>
        <v>81.978499999999997</v>
      </c>
      <c r="C904" s="10">
        <f>81.5442 * CHOOSE(CONTROL!$C$9, $D$9, 100%, $F$9) + CHOOSE(CONTROL!$C$27, 0.0021, 0)</f>
        <v>81.546300000000002</v>
      </c>
      <c r="D904" s="10">
        <f>81.5442 * CHOOSE(CONTROL!$C$9, $D$9, 100%, $F$9) + CHOOSE(CONTROL!$C$27, 0.0021, 0)</f>
        <v>81.546300000000002</v>
      </c>
      <c r="E904" s="10">
        <f>81.4075 * CHOOSE(CONTROL!$C$9, $D$9, 100%, $F$9) + CHOOSE(CONTROL!$C$27, 0.0021, 0)</f>
        <v>81.409599999999998</v>
      </c>
      <c r="F904" s="10">
        <f>81.4075 * CHOOSE(CONTROL!$C$9, $D$9, 100%, $F$9) + CHOOSE(CONTROL!$C$27, 0.0021, 0)</f>
        <v>81.409599999999998</v>
      </c>
      <c r="G904" s="10">
        <f>81.6789 * CHOOSE(CONTROL!$C$9, $D$9, 100%, $F$9) + CHOOSE(CONTROL!$C$27, 0.0021, 0)</f>
        <v>81.680999999999997</v>
      </c>
      <c r="H904" s="10">
        <f>81.5442 * CHOOSE(CONTROL!$C$9, $D$9, 100%, $F$9) + CHOOSE(CONTROL!$C$27, 0.0021, 0)</f>
        <v>81.546300000000002</v>
      </c>
      <c r="I904" s="10">
        <f>81.5442 * CHOOSE(CONTROL!$C$9, $D$9, 100%, $F$9) + CHOOSE(CONTROL!$C$27, 0.0021, 0)</f>
        <v>81.546300000000002</v>
      </c>
      <c r="J904" s="10">
        <f>81.5442 * CHOOSE(CONTROL!$C$9, $D$9, 100%, $F$9) + CHOOSE(CONTROL!$C$27, 0.0021, 0)</f>
        <v>81.546300000000002</v>
      </c>
      <c r="K904" s="10">
        <f>81.5442 * CHOOSE(CONTROL!$C$9, $D$9, 100%, $F$9) + CHOOSE(CONTROL!$C$27, 0.0021, 0)</f>
        <v>81.546300000000002</v>
      </c>
      <c r="L904" s="10"/>
    </row>
    <row r="905" spans="1:12" ht="15.75" x14ac:dyDescent="0.25">
      <c r="A905" s="13">
        <v>68849</v>
      </c>
      <c r="B905" s="10">
        <f>82.9581 * CHOOSE(CONTROL!$C$9, $D$9, 100%, $F$9) + CHOOSE(CONTROL!$C$27, 0.0021, 0)</f>
        <v>82.9602</v>
      </c>
      <c r="C905" s="10">
        <f>82.5259 * CHOOSE(CONTROL!$C$9, $D$9, 100%, $F$9) + CHOOSE(CONTROL!$C$27, 0.0021, 0)</f>
        <v>82.527999999999992</v>
      </c>
      <c r="D905" s="10">
        <f>82.5259 * CHOOSE(CONTROL!$C$9, $D$9, 100%, $F$9) + CHOOSE(CONTROL!$C$27, 0.0021, 0)</f>
        <v>82.527999999999992</v>
      </c>
      <c r="E905" s="10">
        <f>82.3892 * CHOOSE(CONTROL!$C$9, $D$9, 100%, $F$9) + CHOOSE(CONTROL!$C$27, 0.0021, 0)</f>
        <v>82.391300000000001</v>
      </c>
      <c r="F905" s="10">
        <f>82.3892 * CHOOSE(CONTROL!$C$9, $D$9, 100%, $F$9) + CHOOSE(CONTROL!$C$27, 0.0021, 0)</f>
        <v>82.391300000000001</v>
      </c>
      <c r="G905" s="10">
        <f>82.6606 * CHOOSE(CONTROL!$C$9, $D$9, 100%, $F$9) + CHOOSE(CONTROL!$C$27, 0.0021, 0)</f>
        <v>82.662700000000001</v>
      </c>
      <c r="H905" s="10">
        <f>82.5259 * CHOOSE(CONTROL!$C$9, $D$9, 100%, $F$9) + CHOOSE(CONTROL!$C$27, 0.0021, 0)</f>
        <v>82.527999999999992</v>
      </c>
      <c r="I905" s="10">
        <f>82.5259 * CHOOSE(CONTROL!$C$9, $D$9, 100%, $F$9) + CHOOSE(CONTROL!$C$27, 0.0021, 0)</f>
        <v>82.527999999999992</v>
      </c>
      <c r="J905" s="10">
        <f>82.5259 * CHOOSE(CONTROL!$C$9, $D$9, 100%, $F$9) + CHOOSE(CONTROL!$C$27, 0.0021, 0)</f>
        <v>82.527999999999992</v>
      </c>
      <c r="K905" s="10">
        <f>82.5259 * CHOOSE(CONTROL!$C$9, $D$9, 100%, $F$9) + CHOOSE(CONTROL!$C$27, 0.0021, 0)</f>
        <v>82.527999999999992</v>
      </c>
      <c r="L905" s="10"/>
    </row>
    <row r="906" spans="1:12" ht="15.75" x14ac:dyDescent="0.25">
      <c r="A906" s="13">
        <v>68880</v>
      </c>
      <c r="B906" s="10">
        <f>84.5775 * CHOOSE(CONTROL!$C$9, $D$9, 100%, $F$9) + CHOOSE(CONTROL!$C$27, 0.0021, 0)</f>
        <v>84.579599999999999</v>
      </c>
      <c r="C906" s="10">
        <f>84.1453 * CHOOSE(CONTROL!$C$9, $D$9, 100%, $F$9) + CHOOSE(CONTROL!$C$27, 0.0021, 0)</f>
        <v>84.147400000000005</v>
      </c>
      <c r="D906" s="10">
        <f>84.1453 * CHOOSE(CONTROL!$C$9, $D$9, 100%, $F$9) + CHOOSE(CONTROL!$C$27, 0.0021, 0)</f>
        <v>84.147400000000005</v>
      </c>
      <c r="E906" s="10">
        <f>84.0086 * CHOOSE(CONTROL!$C$9, $D$9, 100%, $F$9) + CHOOSE(CONTROL!$C$27, 0.0021, 0)</f>
        <v>84.0107</v>
      </c>
      <c r="F906" s="10">
        <f>84.0086 * CHOOSE(CONTROL!$C$9, $D$9, 100%, $F$9) + CHOOSE(CONTROL!$C$27, 0.0021, 0)</f>
        <v>84.0107</v>
      </c>
      <c r="G906" s="10">
        <f>84.28 * CHOOSE(CONTROL!$C$9, $D$9, 100%, $F$9) + CHOOSE(CONTROL!$C$27, 0.0021, 0)</f>
        <v>84.2821</v>
      </c>
      <c r="H906" s="10">
        <f>84.1453 * CHOOSE(CONTROL!$C$9, $D$9, 100%, $F$9) + CHOOSE(CONTROL!$C$27, 0.0021, 0)</f>
        <v>84.147400000000005</v>
      </c>
      <c r="I906" s="10">
        <f>84.1453 * CHOOSE(CONTROL!$C$9, $D$9, 100%, $F$9) + CHOOSE(CONTROL!$C$27, 0.0021, 0)</f>
        <v>84.147400000000005</v>
      </c>
      <c r="J906" s="10">
        <f>84.1453 * CHOOSE(CONTROL!$C$9, $D$9, 100%, $F$9) + CHOOSE(CONTROL!$C$27, 0.0021, 0)</f>
        <v>84.147400000000005</v>
      </c>
      <c r="K906" s="10">
        <f>84.1453 * CHOOSE(CONTROL!$C$9, $D$9, 100%, $F$9) + CHOOSE(CONTROL!$C$27, 0.0021, 0)</f>
        <v>84.147400000000005</v>
      </c>
      <c r="L906" s="10"/>
    </row>
    <row r="907" spans="1:12" ht="15.75" x14ac:dyDescent="0.25">
      <c r="A907" s="13">
        <v>68911</v>
      </c>
      <c r="B907" s="10">
        <f>85.0718 * CHOOSE(CONTROL!$C$9, $D$9, 100%, $F$9) + CHOOSE(CONTROL!$C$27, 0.0021, 0)</f>
        <v>85.073899999999995</v>
      </c>
      <c r="C907" s="10">
        <f>84.6396 * CHOOSE(CONTROL!$C$9, $D$9, 100%, $F$9) + CHOOSE(CONTROL!$C$27, 0.0021, 0)</f>
        <v>84.6417</v>
      </c>
      <c r="D907" s="10">
        <f>84.6396 * CHOOSE(CONTROL!$C$9, $D$9, 100%, $F$9) + CHOOSE(CONTROL!$C$27, 0.0021, 0)</f>
        <v>84.6417</v>
      </c>
      <c r="E907" s="10">
        <f>84.5029 * CHOOSE(CONTROL!$C$9, $D$9, 100%, $F$9) + CHOOSE(CONTROL!$C$27, 0.0021, 0)</f>
        <v>84.504999999999995</v>
      </c>
      <c r="F907" s="10">
        <f>84.5029 * CHOOSE(CONTROL!$C$9, $D$9, 100%, $F$9) + CHOOSE(CONTROL!$C$27, 0.0021, 0)</f>
        <v>84.504999999999995</v>
      </c>
      <c r="G907" s="10">
        <f>84.7743 * CHOOSE(CONTROL!$C$9, $D$9, 100%, $F$9) + CHOOSE(CONTROL!$C$27, 0.0021, 0)</f>
        <v>84.776399999999995</v>
      </c>
      <c r="H907" s="10">
        <f>84.6396 * CHOOSE(CONTROL!$C$9, $D$9, 100%, $F$9) + CHOOSE(CONTROL!$C$27, 0.0021, 0)</f>
        <v>84.6417</v>
      </c>
      <c r="I907" s="10">
        <f>84.6396 * CHOOSE(CONTROL!$C$9, $D$9, 100%, $F$9) + CHOOSE(CONTROL!$C$27, 0.0021, 0)</f>
        <v>84.6417</v>
      </c>
      <c r="J907" s="10">
        <f>84.6396 * CHOOSE(CONTROL!$C$9, $D$9, 100%, $F$9) + CHOOSE(CONTROL!$C$27, 0.0021, 0)</f>
        <v>84.6417</v>
      </c>
      <c r="K907" s="10">
        <f>84.6396 * CHOOSE(CONTROL!$C$9, $D$9, 100%, $F$9) + CHOOSE(CONTROL!$C$27, 0.0021, 0)</f>
        <v>84.6417</v>
      </c>
      <c r="L907" s="10"/>
    </row>
    <row r="908" spans="1:12" ht="15.75" x14ac:dyDescent="0.25">
      <c r="A908" s="13">
        <v>68941</v>
      </c>
      <c r="B908" s="10">
        <f>86.7551 * CHOOSE(CONTROL!$C$9, $D$9, 100%, $F$9) + CHOOSE(CONTROL!$C$27, 0.0021, 0)</f>
        <v>86.757199999999997</v>
      </c>
      <c r="C908" s="10">
        <f>86.3229 * CHOOSE(CONTROL!$C$9, $D$9, 100%, $F$9) + CHOOSE(CONTROL!$C$27, 0.0021, 0)</f>
        <v>86.325000000000003</v>
      </c>
      <c r="D908" s="10">
        <f>86.3229 * CHOOSE(CONTROL!$C$9, $D$9, 100%, $F$9) + CHOOSE(CONTROL!$C$27, 0.0021, 0)</f>
        <v>86.325000000000003</v>
      </c>
      <c r="E908" s="10">
        <f>86.1862 * CHOOSE(CONTROL!$C$9, $D$9, 100%, $F$9) + CHOOSE(CONTROL!$C$27, 0.0021, 0)</f>
        <v>86.188299999999998</v>
      </c>
      <c r="F908" s="10">
        <f>86.1862 * CHOOSE(CONTROL!$C$9, $D$9, 100%, $F$9) + CHOOSE(CONTROL!$C$27, 0.0021, 0)</f>
        <v>86.188299999999998</v>
      </c>
      <c r="G908" s="10">
        <f>86.4576 * CHOOSE(CONTROL!$C$9, $D$9, 100%, $F$9) + CHOOSE(CONTROL!$C$27, 0.0021, 0)</f>
        <v>86.459699999999998</v>
      </c>
      <c r="H908" s="10">
        <f>86.3229 * CHOOSE(CONTROL!$C$9, $D$9, 100%, $F$9) + CHOOSE(CONTROL!$C$27, 0.0021, 0)</f>
        <v>86.325000000000003</v>
      </c>
      <c r="I908" s="10">
        <f>86.3229 * CHOOSE(CONTROL!$C$9, $D$9, 100%, $F$9) + CHOOSE(CONTROL!$C$27, 0.0021, 0)</f>
        <v>86.325000000000003</v>
      </c>
      <c r="J908" s="10">
        <f>86.3229 * CHOOSE(CONTROL!$C$9, $D$9, 100%, $F$9) + CHOOSE(CONTROL!$C$27, 0.0021, 0)</f>
        <v>86.325000000000003</v>
      </c>
      <c r="K908" s="10">
        <f>86.3229 * CHOOSE(CONTROL!$C$9, $D$9, 100%, $F$9) + CHOOSE(CONTROL!$C$27, 0.0021, 0)</f>
        <v>86.325000000000003</v>
      </c>
      <c r="L908" s="10"/>
    </row>
    <row r="909" spans="1:12" ht="15.75" x14ac:dyDescent="0.25">
      <c r="A909" s="13">
        <v>68972</v>
      </c>
      <c r="B909" s="10">
        <f>88.8859 * CHOOSE(CONTROL!$C$9, $D$9, 100%, $F$9) + CHOOSE(CONTROL!$C$27, 0.0021, 0)</f>
        <v>88.888000000000005</v>
      </c>
      <c r="C909" s="10">
        <f>88.4537 * CHOOSE(CONTROL!$C$9, $D$9, 100%, $F$9) + CHOOSE(CONTROL!$C$27, 0.0021, 0)</f>
        <v>88.455799999999996</v>
      </c>
      <c r="D909" s="10">
        <f>88.4537 * CHOOSE(CONTROL!$C$9, $D$9, 100%, $F$9) + CHOOSE(CONTROL!$C$27, 0.0021, 0)</f>
        <v>88.455799999999996</v>
      </c>
      <c r="E909" s="10">
        <f>88.317 * CHOOSE(CONTROL!$C$9, $D$9, 100%, $F$9) + CHOOSE(CONTROL!$C$27, 0.0021, 0)</f>
        <v>88.319099999999992</v>
      </c>
      <c r="F909" s="10">
        <f>88.317 * CHOOSE(CONTROL!$C$9, $D$9, 100%, $F$9) + CHOOSE(CONTROL!$C$27, 0.0021, 0)</f>
        <v>88.319099999999992</v>
      </c>
      <c r="G909" s="10">
        <f>88.5884 * CHOOSE(CONTROL!$C$9, $D$9, 100%, $F$9) + CHOOSE(CONTROL!$C$27, 0.0021, 0)</f>
        <v>88.590499999999992</v>
      </c>
      <c r="H909" s="10">
        <f>88.4537 * CHOOSE(CONTROL!$C$9, $D$9, 100%, $F$9) + CHOOSE(CONTROL!$C$27, 0.0021, 0)</f>
        <v>88.455799999999996</v>
      </c>
      <c r="I909" s="10">
        <f>88.4537 * CHOOSE(CONTROL!$C$9, $D$9, 100%, $F$9) + CHOOSE(CONTROL!$C$27, 0.0021, 0)</f>
        <v>88.455799999999996</v>
      </c>
      <c r="J909" s="10">
        <f>88.4537 * CHOOSE(CONTROL!$C$9, $D$9, 100%, $F$9) + CHOOSE(CONTROL!$C$27, 0.0021, 0)</f>
        <v>88.455799999999996</v>
      </c>
      <c r="K909" s="10">
        <f>88.4537 * CHOOSE(CONTROL!$C$9, $D$9, 100%, $F$9) + CHOOSE(CONTROL!$C$27, 0.0021, 0)</f>
        <v>88.455799999999996</v>
      </c>
      <c r="L909" s="10"/>
    </row>
    <row r="910" spans="1:12" ht="15.75" x14ac:dyDescent="0.25">
      <c r="A910" s="13">
        <v>69002</v>
      </c>
      <c r="B910" s="10">
        <f>89.086 * CHOOSE(CONTROL!$C$9, $D$9, 100%, $F$9) + CHOOSE(CONTROL!$C$27, 0.0021, 0)</f>
        <v>89.088099999999997</v>
      </c>
      <c r="C910" s="10">
        <f>88.6537 * CHOOSE(CONTROL!$C$9, $D$9, 100%, $F$9) + CHOOSE(CONTROL!$C$27, 0.0021, 0)</f>
        <v>88.655799999999999</v>
      </c>
      <c r="D910" s="10">
        <f>88.6537 * CHOOSE(CONTROL!$C$9, $D$9, 100%, $F$9) + CHOOSE(CONTROL!$C$27, 0.0021, 0)</f>
        <v>88.655799999999999</v>
      </c>
      <c r="E910" s="10">
        <f>88.5171 * CHOOSE(CONTROL!$C$9, $D$9, 100%, $F$9) + CHOOSE(CONTROL!$C$27, 0.0021, 0)</f>
        <v>88.519199999999998</v>
      </c>
      <c r="F910" s="10">
        <f>88.5171 * CHOOSE(CONTROL!$C$9, $D$9, 100%, $F$9) + CHOOSE(CONTROL!$C$27, 0.0021, 0)</f>
        <v>88.519199999999998</v>
      </c>
      <c r="G910" s="10">
        <f>88.7884 * CHOOSE(CONTROL!$C$9, $D$9, 100%, $F$9) + CHOOSE(CONTROL!$C$27, 0.0021, 0)</f>
        <v>88.790499999999994</v>
      </c>
      <c r="H910" s="10">
        <f>88.6537 * CHOOSE(CONTROL!$C$9, $D$9, 100%, $F$9) + CHOOSE(CONTROL!$C$27, 0.0021, 0)</f>
        <v>88.655799999999999</v>
      </c>
      <c r="I910" s="10">
        <f>88.6537 * CHOOSE(CONTROL!$C$9, $D$9, 100%, $F$9) + CHOOSE(CONTROL!$C$27, 0.0021, 0)</f>
        <v>88.655799999999999</v>
      </c>
      <c r="J910" s="10">
        <f>88.6537 * CHOOSE(CONTROL!$C$9, $D$9, 100%, $F$9) + CHOOSE(CONTROL!$C$27, 0.0021, 0)</f>
        <v>88.655799999999999</v>
      </c>
      <c r="K910" s="10">
        <f>88.6537 * CHOOSE(CONTROL!$C$9, $D$9, 100%, $F$9) + CHOOSE(CONTROL!$C$27, 0.0021, 0)</f>
        <v>88.655799999999999</v>
      </c>
      <c r="L910" s="10"/>
    </row>
    <row r="911" spans="1:12" ht="15.75" x14ac:dyDescent="0.25">
      <c r="A911" s="13">
        <v>69033</v>
      </c>
      <c r="B911" s="10">
        <f>87.3841 * CHOOSE(CONTROL!$C$9, $D$9, 100%, $F$9) + CHOOSE(CONTROL!$C$27, 0.0021, 0)</f>
        <v>87.386200000000002</v>
      </c>
      <c r="C911" s="10">
        <f>86.9519 * CHOOSE(CONTROL!$C$9, $D$9, 100%, $F$9) + CHOOSE(CONTROL!$C$27, 0.0021, 0)</f>
        <v>86.953999999999994</v>
      </c>
      <c r="D911" s="10">
        <f>86.9519 * CHOOSE(CONTROL!$C$9, $D$9, 100%, $F$9) + CHOOSE(CONTROL!$C$27, 0.0021, 0)</f>
        <v>86.953999999999994</v>
      </c>
      <c r="E911" s="10">
        <f>86.8152 * CHOOSE(CONTROL!$C$9, $D$9, 100%, $F$9) + CHOOSE(CONTROL!$C$27, 0.0021, 0)</f>
        <v>86.817300000000003</v>
      </c>
      <c r="F911" s="10">
        <f>86.8152 * CHOOSE(CONTROL!$C$9, $D$9, 100%, $F$9) + CHOOSE(CONTROL!$C$27, 0.0021, 0)</f>
        <v>86.817300000000003</v>
      </c>
      <c r="G911" s="10">
        <f>87.0866 * CHOOSE(CONTROL!$C$9, $D$9, 100%, $F$9) + CHOOSE(CONTROL!$C$27, 0.0021, 0)</f>
        <v>87.088700000000003</v>
      </c>
      <c r="H911" s="10">
        <f>86.9519 * CHOOSE(CONTROL!$C$9, $D$9, 100%, $F$9) + CHOOSE(CONTROL!$C$27, 0.0021, 0)</f>
        <v>86.953999999999994</v>
      </c>
      <c r="I911" s="10">
        <f>86.9519 * CHOOSE(CONTROL!$C$9, $D$9, 100%, $F$9) + CHOOSE(CONTROL!$C$27, 0.0021, 0)</f>
        <v>86.953999999999994</v>
      </c>
      <c r="J911" s="10">
        <f>86.9519 * CHOOSE(CONTROL!$C$9, $D$9, 100%, $F$9) + CHOOSE(CONTROL!$C$27, 0.0021, 0)</f>
        <v>86.953999999999994</v>
      </c>
      <c r="K911" s="10">
        <f>86.9519 * CHOOSE(CONTROL!$C$9, $D$9, 100%, $F$9) + CHOOSE(CONTROL!$C$27, 0.0021, 0)</f>
        <v>86.953999999999994</v>
      </c>
      <c r="L911" s="10"/>
    </row>
    <row r="912" spans="1:12" ht="15.75" x14ac:dyDescent="0.25">
      <c r="A912" s="13">
        <v>69064</v>
      </c>
      <c r="B912" s="10">
        <f>86.0812 * CHOOSE(CONTROL!$C$9, $D$9, 100%, $F$9) + CHOOSE(CONTROL!$C$27, 0.0021, 0)</f>
        <v>86.083299999999994</v>
      </c>
      <c r="C912" s="10">
        <f>85.6489 * CHOOSE(CONTROL!$C$9, $D$9, 100%, $F$9) + CHOOSE(CONTROL!$C$27, 0.0021, 0)</f>
        <v>85.650999999999996</v>
      </c>
      <c r="D912" s="10">
        <f>85.6489 * CHOOSE(CONTROL!$C$9, $D$9, 100%, $F$9) + CHOOSE(CONTROL!$C$27, 0.0021, 0)</f>
        <v>85.650999999999996</v>
      </c>
      <c r="E912" s="10">
        <f>85.5123 * CHOOSE(CONTROL!$C$9, $D$9, 100%, $F$9) + CHOOSE(CONTROL!$C$27, 0.0021, 0)</f>
        <v>85.514399999999995</v>
      </c>
      <c r="F912" s="10">
        <f>85.5123 * CHOOSE(CONTROL!$C$9, $D$9, 100%, $F$9) + CHOOSE(CONTROL!$C$27, 0.0021, 0)</f>
        <v>85.514399999999995</v>
      </c>
      <c r="G912" s="10">
        <f>85.7836 * CHOOSE(CONTROL!$C$9, $D$9, 100%, $F$9) + CHOOSE(CONTROL!$C$27, 0.0021, 0)</f>
        <v>85.785700000000006</v>
      </c>
      <c r="H912" s="10">
        <f>85.6489 * CHOOSE(CONTROL!$C$9, $D$9, 100%, $F$9) + CHOOSE(CONTROL!$C$27, 0.0021, 0)</f>
        <v>85.650999999999996</v>
      </c>
      <c r="I912" s="10">
        <f>85.6489 * CHOOSE(CONTROL!$C$9, $D$9, 100%, $F$9) + CHOOSE(CONTROL!$C$27, 0.0021, 0)</f>
        <v>85.650999999999996</v>
      </c>
      <c r="J912" s="10">
        <f>85.6489 * CHOOSE(CONTROL!$C$9, $D$9, 100%, $F$9) + CHOOSE(CONTROL!$C$27, 0.0021, 0)</f>
        <v>85.650999999999996</v>
      </c>
      <c r="K912" s="10">
        <f>85.6489 * CHOOSE(CONTROL!$C$9, $D$9, 100%, $F$9) + CHOOSE(CONTROL!$C$27, 0.0021, 0)</f>
        <v>85.650999999999996</v>
      </c>
      <c r="L912" s="10"/>
    </row>
    <row r="913" spans="1:12" ht="15.75" x14ac:dyDescent="0.25">
      <c r="A913" s="13">
        <v>69092</v>
      </c>
      <c r="B913" s="10">
        <f>83.7112 * CHOOSE(CONTROL!$C$9, $D$9, 100%, $F$9) + CHOOSE(CONTROL!$C$27, 0.0021, 0)</f>
        <v>83.713300000000004</v>
      </c>
      <c r="C913" s="10">
        <f>83.2789 * CHOOSE(CONTROL!$C$9, $D$9, 100%, $F$9) + CHOOSE(CONTROL!$C$27, 0.0021, 0)</f>
        <v>83.280999999999992</v>
      </c>
      <c r="D913" s="10">
        <f>83.2789 * CHOOSE(CONTROL!$C$9, $D$9, 100%, $F$9) + CHOOSE(CONTROL!$C$27, 0.0021, 0)</f>
        <v>83.280999999999992</v>
      </c>
      <c r="E913" s="10">
        <f>83.1423 * CHOOSE(CONTROL!$C$9, $D$9, 100%, $F$9) + CHOOSE(CONTROL!$C$27, 0.0021, 0)</f>
        <v>83.144400000000005</v>
      </c>
      <c r="F913" s="10">
        <f>83.1423 * CHOOSE(CONTROL!$C$9, $D$9, 100%, $F$9) + CHOOSE(CONTROL!$C$27, 0.0021, 0)</f>
        <v>83.144400000000005</v>
      </c>
      <c r="G913" s="10">
        <f>83.4136 * CHOOSE(CONTROL!$C$9, $D$9, 100%, $F$9) + CHOOSE(CONTROL!$C$27, 0.0021, 0)</f>
        <v>83.415700000000001</v>
      </c>
      <c r="H913" s="10">
        <f>83.2789 * CHOOSE(CONTROL!$C$9, $D$9, 100%, $F$9) + CHOOSE(CONTROL!$C$27, 0.0021, 0)</f>
        <v>83.280999999999992</v>
      </c>
      <c r="I913" s="10">
        <f>83.2789 * CHOOSE(CONTROL!$C$9, $D$9, 100%, $F$9) + CHOOSE(CONTROL!$C$27, 0.0021, 0)</f>
        <v>83.280999999999992</v>
      </c>
      <c r="J913" s="10">
        <f>83.2789 * CHOOSE(CONTROL!$C$9, $D$9, 100%, $F$9) + CHOOSE(CONTROL!$C$27, 0.0021, 0)</f>
        <v>83.280999999999992</v>
      </c>
      <c r="K913" s="10">
        <f>83.2789 * CHOOSE(CONTROL!$C$9, $D$9, 100%, $F$9) + CHOOSE(CONTROL!$C$27, 0.0021, 0)</f>
        <v>83.280999999999992</v>
      </c>
      <c r="L913" s="10"/>
    </row>
    <row r="914" spans="1:12" ht="15.75" x14ac:dyDescent="0.25">
      <c r="A914" s="13">
        <v>69123</v>
      </c>
      <c r="B914" s="10">
        <f>82.7328 * CHOOSE(CONTROL!$C$9, $D$9, 100%, $F$9) + CHOOSE(CONTROL!$C$27, 0.0021, 0)</f>
        <v>82.734899999999996</v>
      </c>
      <c r="C914" s="10">
        <f>82.3006 * CHOOSE(CONTROL!$C$9, $D$9, 100%, $F$9) + CHOOSE(CONTROL!$C$27, 0.0021, 0)</f>
        <v>82.302700000000002</v>
      </c>
      <c r="D914" s="10">
        <f>82.3006 * CHOOSE(CONTROL!$C$9, $D$9, 100%, $F$9) + CHOOSE(CONTROL!$C$27, 0.0021, 0)</f>
        <v>82.302700000000002</v>
      </c>
      <c r="E914" s="10">
        <f>82.1639 * CHOOSE(CONTROL!$C$9, $D$9, 100%, $F$9) + CHOOSE(CONTROL!$C$27, 0.0021, 0)</f>
        <v>82.165999999999997</v>
      </c>
      <c r="F914" s="10">
        <f>82.1639 * CHOOSE(CONTROL!$C$9, $D$9, 100%, $F$9) + CHOOSE(CONTROL!$C$27, 0.0021, 0)</f>
        <v>82.165999999999997</v>
      </c>
      <c r="G914" s="10">
        <f>82.4353 * CHOOSE(CONTROL!$C$9, $D$9, 100%, $F$9) + CHOOSE(CONTROL!$C$27, 0.0021, 0)</f>
        <v>82.437399999999997</v>
      </c>
      <c r="H914" s="10">
        <f>82.3006 * CHOOSE(CONTROL!$C$9, $D$9, 100%, $F$9) + CHOOSE(CONTROL!$C$27, 0.0021, 0)</f>
        <v>82.302700000000002</v>
      </c>
      <c r="I914" s="10">
        <f>82.3006 * CHOOSE(CONTROL!$C$9, $D$9, 100%, $F$9) + CHOOSE(CONTROL!$C$27, 0.0021, 0)</f>
        <v>82.302700000000002</v>
      </c>
      <c r="J914" s="10">
        <f>82.3006 * CHOOSE(CONTROL!$C$9, $D$9, 100%, $F$9) + CHOOSE(CONTROL!$C$27, 0.0021, 0)</f>
        <v>82.302700000000002</v>
      </c>
      <c r="K914" s="10">
        <f>82.3006 * CHOOSE(CONTROL!$C$9, $D$9, 100%, $F$9) + CHOOSE(CONTROL!$C$27, 0.0021, 0)</f>
        <v>82.302700000000002</v>
      </c>
      <c r="L914" s="10"/>
    </row>
    <row r="915" spans="1:12" ht="15.75" x14ac:dyDescent="0.25">
      <c r="A915" s="13">
        <v>69153</v>
      </c>
      <c r="B915" s="10">
        <f>81.5647 * CHOOSE(CONTROL!$C$9, $D$9, 100%, $F$9) + CHOOSE(CONTROL!$C$27, 0.0021, 0)</f>
        <v>81.566800000000001</v>
      </c>
      <c r="C915" s="10">
        <f>81.1324 * CHOOSE(CONTROL!$C$9, $D$9, 100%, $F$9) + CHOOSE(CONTROL!$C$27, 0.0021, 0)</f>
        <v>81.134500000000003</v>
      </c>
      <c r="D915" s="10">
        <f>81.1324 * CHOOSE(CONTROL!$C$9, $D$9, 100%, $F$9) + CHOOSE(CONTROL!$C$27, 0.0021, 0)</f>
        <v>81.134500000000003</v>
      </c>
      <c r="E915" s="10">
        <f>80.9958 * CHOOSE(CONTROL!$C$9, $D$9, 100%, $F$9) + CHOOSE(CONTROL!$C$27, 0.0021, 0)</f>
        <v>80.997900000000001</v>
      </c>
      <c r="F915" s="10">
        <f>80.9958 * CHOOSE(CONTROL!$C$9, $D$9, 100%, $F$9) + CHOOSE(CONTROL!$C$27, 0.0021, 0)</f>
        <v>80.997900000000001</v>
      </c>
      <c r="G915" s="10">
        <f>81.2672 * CHOOSE(CONTROL!$C$9, $D$9, 100%, $F$9) + CHOOSE(CONTROL!$C$27, 0.0021, 0)</f>
        <v>81.269300000000001</v>
      </c>
      <c r="H915" s="10">
        <f>81.1324 * CHOOSE(CONTROL!$C$9, $D$9, 100%, $F$9) + CHOOSE(CONTROL!$C$27, 0.0021, 0)</f>
        <v>81.134500000000003</v>
      </c>
      <c r="I915" s="10">
        <f>81.1324 * CHOOSE(CONTROL!$C$9, $D$9, 100%, $F$9) + CHOOSE(CONTROL!$C$27, 0.0021, 0)</f>
        <v>81.134500000000003</v>
      </c>
      <c r="J915" s="10">
        <f>81.1324 * CHOOSE(CONTROL!$C$9, $D$9, 100%, $F$9) + CHOOSE(CONTROL!$C$27, 0.0021, 0)</f>
        <v>81.134500000000003</v>
      </c>
      <c r="K915" s="10">
        <f>81.1324 * CHOOSE(CONTROL!$C$9, $D$9, 100%, $F$9) + CHOOSE(CONTROL!$C$27, 0.0021, 0)</f>
        <v>81.134500000000003</v>
      </c>
      <c r="L915" s="10"/>
    </row>
    <row r="916" spans="1:12" ht="15.75" x14ac:dyDescent="0.25">
      <c r="A916" s="13">
        <v>69184</v>
      </c>
      <c r="B916" s="10">
        <f>83.2294 * CHOOSE(CONTROL!$C$9, $D$9, 100%, $F$9) + CHOOSE(CONTROL!$C$27, 0.0021, 0)</f>
        <v>83.231499999999997</v>
      </c>
      <c r="C916" s="10">
        <f>82.7972 * CHOOSE(CONTROL!$C$9, $D$9, 100%, $F$9) + CHOOSE(CONTROL!$C$27, 0.0021, 0)</f>
        <v>82.799300000000002</v>
      </c>
      <c r="D916" s="10">
        <f>82.7972 * CHOOSE(CONTROL!$C$9, $D$9, 100%, $F$9) + CHOOSE(CONTROL!$C$27, 0.0021, 0)</f>
        <v>82.799300000000002</v>
      </c>
      <c r="E916" s="10">
        <f>82.6605 * CHOOSE(CONTROL!$C$9, $D$9, 100%, $F$9) + CHOOSE(CONTROL!$C$27, 0.0021, 0)</f>
        <v>82.662599999999998</v>
      </c>
      <c r="F916" s="10">
        <f>82.6605 * CHOOSE(CONTROL!$C$9, $D$9, 100%, $F$9) + CHOOSE(CONTROL!$C$27, 0.0021, 0)</f>
        <v>82.662599999999998</v>
      </c>
      <c r="G916" s="10">
        <f>82.9319 * CHOOSE(CONTROL!$C$9, $D$9, 100%, $F$9) + CHOOSE(CONTROL!$C$27, 0.0021, 0)</f>
        <v>82.933999999999997</v>
      </c>
      <c r="H916" s="10">
        <f>82.7972 * CHOOSE(CONTROL!$C$9, $D$9, 100%, $F$9) + CHOOSE(CONTROL!$C$27, 0.0021, 0)</f>
        <v>82.799300000000002</v>
      </c>
      <c r="I916" s="10">
        <f>82.7972 * CHOOSE(CONTROL!$C$9, $D$9, 100%, $F$9) + CHOOSE(CONTROL!$C$27, 0.0021, 0)</f>
        <v>82.799300000000002</v>
      </c>
      <c r="J916" s="10">
        <f>82.7972 * CHOOSE(CONTROL!$C$9, $D$9, 100%, $F$9) + CHOOSE(CONTROL!$C$27, 0.0021, 0)</f>
        <v>82.799300000000002</v>
      </c>
      <c r="K916" s="10">
        <f>82.7972 * CHOOSE(CONTROL!$C$9, $D$9, 100%, $F$9) + CHOOSE(CONTROL!$C$27, 0.0021, 0)</f>
        <v>82.799300000000002</v>
      </c>
      <c r="L916" s="10"/>
    </row>
    <row r="917" spans="1:12" ht="15.75" x14ac:dyDescent="0.25">
      <c r="A917" s="13">
        <v>69214</v>
      </c>
      <c r="B917" s="10">
        <f>84.2266 * CHOOSE(CONTROL!$C$9, $D$9, 100%, $F$9) + CHOOSE(CONTROL!$C$27, 0.0021, 0)</f>
        <v>84.228700000000003</v>
      </c>
      <c r="C917" s="10">
        <f>83.7943 * CHOOSE(CONTROL!$C$9, $D$9, 100%, $F$9) + CHOOSE(CONTROL!$C$27, 0.0021, 0)</f>
        <v>83.796400000000006</v>
      </c>
      <c r="D917" s="10">
        <f>83.7943 * CHOOSE(CONTROL!$C$9, $D$9, 100%, $F$9) + CHOOSE(CONTROL!$C$27, 0.0021, 0)</f>
        <v>83.796400000000006</v>
      </c>
      <c r="E917" s="10">
        <f>83.6577 * CHOOSE(CONTROL!$C$9, $D$9, 100%, $F$9) + CHOOSE(CONTROL!$C$27, 0.0021, 0)</f>
        <v>83.659800000000004</v>
      </c>
      <c r="F917" s="10">
        <f>83.6577 * CHOOSE(CONTROL!$C$9, $D$9, 100%, $F$9) + CHOOSE(CONTROL!$C$27, 0.0021, 0)</f>
        <v>83.659800000000004</v>
      </c>
      <c r="G917" s="10">
        <f>83.929 * CHOOSE(CONTROL!$C$9, $D$9, 100%, $F$9) + CHOOSE(CONTROL!$C$27, 0.0021, 0)</f>
        <v>83.931100000000001</v>
      </c>
      <c r="H917" s="10">
        <f>83.7943 * CHOOSE(CONTROL!$C$9, $D$9, 100%, $F$9) + CHOOSE(CONTROL!$C$27, 0.0021, 0)</f>
        <v>83.796400000000006</v>
      </c>
      <c r="I917" s="10">
        <f>83.7943 * CHOOSE(CONTROL!$C$9, $D$9, 100%, $F$9) + CHOOSE(CONTROL!$C$27, 0.0021, 0)</f>
        <v>83.796400000000006</v>
      </c>
      <c r="J917" s="10">
        <f>83.7943 * CHOOSE(CONTROL!$C$9, $D$9, 100%, $F$9) + CHOOSE(CONTROL!$C$27, 0.0021, 0)</f>
        <v>83.796400000000006</v>
      </c>
      <c r="K917" s="10">
        <f>83.7943 * CHOOSE(CONTROL!$C$9, $D$9, 100%, $F$9) + CHOOSE(CONTROL!$C$27, 0.0021, 0)</f>
        <v>83.796400000000006</v>
      </c>
      <c r="L917" s="10"/>
    </row>
    <row r="918" spans="1:12" ht="15.75" x14ac:dyDescent="0.25">
      <c r="A918" s="13">
        <v>69245</v>
      </c>
      <c r="B918" s="10">
        <f>85.8714 * CHOOSE(CONTROL!$C$9, $D$9, 100%, $F$9) + CHOOSE(CONTROL!$C$27, 0.0021, 0)</f>
        <v>85.873499999999993</v>
      </c>
      <c r="C918" s="10">
        <f>85.4392 * CHOOSE(CONTROL!$C$9, $D$9, 100%, $F$9) + CHOOSE(CONTROL!$C$27, 0.0021, 0)</f>
        <v>85.441299999999998</v>
      </c>
      <c r="D918" s="10">
        <f>85.4392 * CHOOSE(CONTROL!$C$9, $D$9, 100%, $F$9) + CHOOSE(CONTROL!$C$27, 0.0021, 0)</f>
        <v>85.441299999999998</v>
      </c>
      <c r="E918" s="10">
        <f>85.3025 * CHOOSE(CONTROL!$C$9, $D$9, 100%, $F$9) + CHOOSE(CONTROL!$C$27, 0.0021, 0)</f>
        <v>85.304599999999994</v>
      </c>
      <c r="F918" s="10">
        <f>85.3025 * CHOOSE(CONTROL!$C$9, $D$9, 100%, $F$9) + CHOOSE(CONTROL!$C$27, 0.0021, 0)</f>
        <v>85.304599999999994</v>
      </c>
      <c r="G918" s="10">
        <f>85.5739 * CHOOSE(CONTROL!$C$9, $D$9, 100%, $F$9) + CHOOSE(CONTROL!$C$27, 0.0021, 0)</f>
        <v>85.575999999999993</v>
      </c>
      <c r="H918" s="10">
        <f>85.4392 * CHOOSE(CONTROL!$C$9, $D$9, 100%, $F$9) + CHOOSE(CONTROL!$C$27, 0.0021, 0)</f>
        <v>85.441299999999998</v>
      </c>
      <c r="I918" s="10">
        <f>85.4392 * CHOOSE(CONTROL!$C$9, $D$9, 100%, $F$9) + CHOOSE(CONTROL!$C$27, 0.0021, 0)</f>
        <v>85.441299999999998</v>
      </c>
      <c r="J918" s="10">
        <f>85.4392 * CHOOSE(CONTROL!$C$9, $D$9, 100%, $F$9) + CHOOSE(CONTROL!$C$27, 0.0021, 0)</f>
        <v>85.441299999999998</v>
      </c>
      <c r="K918" s="10">
        <f>85.4392 * CHOOSE(CONTROL!$C$9, $D$9, 100%, $F$9) + CHOOSE(CONTROL!$C$27, 0.0021, 0)</f>
        <v>85.441299999999998</v>
      </c>
      <c r="L918" s="10"/>
    </row>
    <row r="919" spans="1:12" ht="15.75" x14ac:dyDescent="0.25">
      <c r="A919" s="13">
        <v>69276</v>
      </c>
      <c r="B919" s="10">
        <f>86.3735 * CHOOSE(CONTROL!$C$9, $D$9, 100%, $F$9) + CHOOSE(CONTROL!$C$27, 0.0021, 0)</f>
        <v>86.375600000000006</v>
      </c>
      <c r="C919" s="10">
        <f>85.9413 * CHOOSE(CONTROL!$C$9, $D$9, 100%, $F$9) + CHOOSE(CONTROL!$C$27, 0.0021, 0)</f>
        <v>85.943399999999997</v>
      </c>
      <c r="D919" s="10">
        <f>85.9413 * CHOOSE(CONTROL!$C$9, $D$9, 100%, $F$9) + CHOOSE(CONTROL!$C$27, 0.0021, 0)</f>
        <v>85.943399999999997</v>
      </c>
      <c r="E919" s="10">
        <f>85.8046 * CHOOSE(CONTROL!$C$9, $D$9, 100%, $F$9) + CHOOSE(CONTROL!$C$27, 0.0021, 0)</f>
        <v>85.806699999999992</v>
      </c>
      <c r="F919" s="10">
        <f>85.8046 * CHOOSE(CONTROL!$C$9, $D$9, 100%, $F$9) + CHOOSE(CONTROL!$C$27, 0.0021, 0)</f>
        <v>85.806699999999992</v>
      </c>
      <c r="G919" s="10">
        <f>86.076 * CHOOSE(CONTROL!$C$9, $D$9, 100%, $F$9) + CHOOSE(CONTROL!$C$27, 0.0021, 0)</f>
        <v>86.078099999999992</v>
      </c>
      <c r="H919" s="10">
        <f>85.9413 * CHOOSE(CONTROL!$C$9, $D$9, 100%, $F$9) + CHOOSE(CONTROL!$C$27, 0.0021, 0)</f>
        <v>85.943399999999997</v>
      </c>
      <c r="I919" s="10">
        <f>85.9413 * CHOOSE(CONTROL!$C$9, $D$9, 100%, $F$9) + CHOOSE(CONTROL!$C$27, 0.0021, 0)</f>
        <v>85.943399999999997</v>
      </c>
      <c r="J919" s="10">
        <f>85.9413 * CHOOSE(CONTROL!$C$9, $D$9, 100%, $F$9) + CHOOSE(CONTROL!$C$27, 0.0021, 0)</f>
        <v>85.943399999999997</v>
      </c>
      <c r="K919" s="10">
        <f>85.9413 * CHOOSE(CONTROL!$C$9, $D$9, 100%, $F$9) + CHOOSE(CONTROL!$C$27, 0.0021, 0)</f>
        <v>85.943399999999997</v>
      </c>
      <c r="L919" s="10"/>
    </row>
    <row r="920" spans="1:12" ht="15.75" x14ac:dyDescent="0.25">
      <c r="A920" s="13">
        <v>69306</v>
      </c>
      <c r="B920" s="10">
        <f>88.0833 * CHOOSE(CONTROL!$C$9, $D$9, 100%, $F$9) + CHOOSE(CONTROL!$C$27, 0.0021, 0)</f>
        <v>88.085399999999993</v>
      </c>
      <c r="C920" s="10">
        <f>87.6511 * CHOOSE(CONTROL!$C$9, $D$9, 100%, $F$9) + CHOOSE(CONTROL!$C$27, 0.0021, 0)</f>
        <v>87.653199999999998</v>
      </c>
      <c r="D920" s="10">
        <f>87.6511 * CHOOSE(CONTROL!$C$9, $D$9, 100%, $F$9) + CHOOSE(CONTROL!$C$27, 0.0021, 0)</f>
        <v>87.653199999999998</v>
      </c>
      <c r="E920" s="10">
        <f>87.5144 * CHOOSE(CONTROL!$C$9, $D$9, 100%, $F$9) + CHOOSE(CONTROL!$C$27, 0.0021, 0)</f>
        <v>87.516499999999994</v>
      </c>
      <c r="F920" s="10">
        <f>87.5144 * CHOOSE(CONTROL!$C$9, $D$9, 100%, $F$9) + CHOOSE(CONTROL!$C$27, 0.0021, 0)</f>
        <v>87.516499999999994</v>
      </c>
      <c r="G920" s="10">
        <f>87.7858 * CHOOSE(CONTROL!$C$9, $D$9, 100%, $F$9) + CHOOSE(CONTROL!$C$27, 0.0021, 0)</f>
        <v>87.787899999999993</v>
      </c>
      <c r="H920" s="10">
        <f>87.6511 * CHOOSE(CONTROL!$C$9, $D$9, 100%, $F$9) + CHOOSE(CONTROL!$C$27, 0.0021, 0)</f>
        <v>87.653199999999998</v>
      </c>
      <c r="I920" s="10">
        <f>87.6511 * CHOOSE(CONTROL!$C$9, $D$9, 100%, $F$9) + CHOOSE(CONTROL!$C$27, 0.0021, 0)</f>
        <v>87.653199999999998</v>
      </c>
      <c r="J920" s="10">
        <f>87.6511 * CHOOSE(CONTROL!$C$9, $D$9, 100%, $F$9) + CHOOSE(CONTROL!$C$27, 0.0021, 0)</f>
        <v>87.653199999999998</v>
      </c>
      <c r="K920" s="10">
        <f>87.6511 * CHOOSE(CONTROL!$C$9, $D$9, 100%, $F$9) + CHOOSE(CONTROL!$C$27, 0.0021, 0)</f>
        <v>87.653199999999998</v>
      </c>
      <c r="L920" s="10"/>
    </row>
    <row r="921" spans="1:12" ht="15.75" x14ac:dyDescent="0.25">
      <c r="A921" s="13">
        <v>69337</v>
      </c>
      <c r="B921" s="10">
        <f>90.2476 * CHOOSE(CONTROL!$C$9, $D$9, 100%, $F$9) + CHOOSE(CONTROL!$C$27, 0.0021, 0)</f>
        <v>90.249700000000004</v>
      </c>
      <c r="C921" s="10">
        <f>89.8154 * CHOOSE(CONTROL!$C$9, $D$9, 100%, $F$9) + CHOOSE(CONTROL!$C$27, 0.0021, 0)</f>
        <v>89.817499999999995</v>
      </c>
      <c r="D921" s="10">
        <f>89.8154 * CHOOSE(CONTROL!$C$9, $D$9, 100%, $F$9) + CHOOSE(CONTROL!$C$27, 0.0021, 0)</f>
        <v>89.817499999999995</v>
      </c>
      <c r="E921" s="10">
        <f>89.6787 * CHOOSE(CONTROL!$C$9, $D$9, 100%, $F$9) + CHOOSE(CONTROL!$C$27, 0.0021, 0)</f>
        <v>89.680800000000005</v>
      </c>
      <c r="F921" s="10">
        <f>89.6787 * CHOOSE(CONTROL!$C$9, $D$9, 100%, $F$9) + CHOOSE(CONTROL!$C$27, 0.0021, 0)</f>
        <v>89.680800000000005</v>
      </c>
      <c r="G921" s="10">
        <f>89.9501 * CHOOSE(CONTROL!$C$9, $D$9, 100%, $F$9) + CHOOSE(CONTROL!$C$27, 0.0021, 0)</f>
        <v>89.952200000000005</v>
      </c>
      <c r="H921" s="10">
        <f>89.8154 * CHOOSE(CONTROL!$C$9, $D$9, 100%, $F$9) + CHOOSE(CONTROL!$C$27, 0.0021, 0)</f>
        <v>89.817499999999995</v>
      </c>
      <c r="I921" s="10">
        <f>89.8154 * CHOOSE(CONTROL!$C$9, $D$9, 100%, $F$9) + CHOOSE(CONTROL!$C$27, 0.0021, 0)</f>
        <v>89.817499999999995</v>
      </c>
      <c r="J921" s="10">
        <f>89.8154 * CHOOSE(CONTROL!$C$9, $D$9, 100%, $F$9) + CHOOSE(CONTROL!$C$27, 0.0021, 0)</f>
        <v>89.817499999999995</v>
      </c>
      <c r="K921" s="10">
        <f>89.8154 * CHOOSE(CONTROL!$C$9, $D$9, 100%, $F$9) + CHOOSE(CONTROL!$C$27, 0.0021, 0)</f>
        <v>89.817499999999995</v>
      </c>
      <c r="L921" s="10"/>
    </row>
    <row r="922" spans="1:12" ht="15.75" x14ac:dyDescent="0.25">
      <c r="A922" s="13">
        <v>69367</v>
      </c>
      <c r="B922" s="10">
        <f>90.4508 * CHOOSE(CONTROL!$C$9, $D$9, 100%, $F$9) + CHOOSE(CONTROL!$C$27, 0.0021, 0)</f>
        <v>90.4529</v>
      </c>
      <c r="C922" s="10">
        <f>90.0185 * CHOOSE(CONTROL!$C$9, $D$9, 100%, $F$9) + CHOOSE(CONTROL!$C$27, 0.0021, 0)</f>
        <v>90.020600000000002</v>
      </c>
      <c r="D922" s="10">
        <f>90.0185 * CHOOSE(CONTROL!$C$9, $D$9, 100%, $F$9) + CHOOSE(CONTROL!$C$27, 0.0021, 0)</f>
        <v>90.020600000000002</v>
      </c>
      <c r="E922" s="10">
        <f>89.8819 * CHOOSE(CONTROL!$C$9, $D$9, 100%, $F$9) + CHOOSE(CONTROL!$C$27, 0.0021, 0)</f>
        <v>89.884</v>
      </c>
      <c r="F922" s="10">
        <f>89.8819 * CHOOSE(CONTROL!$C$9, $D$9, 100%, $F$9) + CHOOSE(CONTROL!$C$27, 0.0021, 0)</f>
        <v>89.884</v>
      </c>
      <c r="G922" s="10">
        <f>90.1533 * CHOOSE(CONTROL!$C$9, $D$9, 100%, $F$9) + CHOOSE(CONTROL!$C$27, 0.0021, 0)</f>
        <v>90.1554</v>
      </c>
      <c r="H922" s="10">
        <f>90.0185 * CHOOSE(CONTROL!$C$9, $D$9, 100%, $F$9) + CHOOSE(CONTROL!$C$27, 0.0021, 0)</f>
        <v>90.020600000000002</v>
      </c>
      <c r="I922" s="10">
        <f>90.0185 * CHOOSE(CONTROL!$C$9, $D$9, 100%, $F$9) + CHOOSE(CONTROL!$C$27, 0.0021, 0)</f>
        <v>90.020600000000002</v>
      </c>
      <c r="J922" s="10">
        <f>90.0185 * CHOOSE(CONTROL!$C$9, $D$9, 100%, $F$9) + CHOOSE(CONTROL!$C$27, 0.0021, 0)</f>
        <v>90.020600000000002</v>
      </c>
      <c r="K922" s="10">
        <f>90.0185 * CHOOSE(CONTROL!$C$9, $D$9, 100%, $F$9) + CHOOSE(CONTROL!$C$27, 0.0021, 0)</f>
        <v>90.020600000000002</v>
      </c>
      <c r="L922" s="10"/>
    </row>
    <row r="923" spans="1:12" ht="15.75" x14ac:dyDescent="0.25">
      <c r="A923" s="13">
        <v>69398</v>
      </c>
      <c r="B923" s="10">
        <f>88.7222 * CHOOSE(CONTROL!$C$9, $D$9, 100%, $F$9) + CHOOSE(CONTROL!$C$27, 0.0021, 0)</f>
        <v>88.724299999999999</v>
      </c>
      <c r="C923" s="10">
        <f>88.29 * CHOOSE(CONTROL!$C$9, $D$9, 100%, $F$9) + CHOOSE(CONTROL!$C$27, 0.0021, 0)</f>
        <v>88.292100000000005</v>
      </c>
      <c r="D923" s="10">
        <f>88.29 * CHOOSE(CONTROL!$C$9, $D$9, 100%, $F$9) + CHOOSE(CONTROL!$C$27, 0.0021, 0)</f>
        <v>88.292100000000005</v>
      </c>
      <c r="E923" s="10">
        <f>88.1533 * CHOOSE(CONTROL!$C$9, $D$9, 100%, $F$9) + CHOOSE(CONTROL!$C$27, 0.0021, 0)</f>
        <v>88.1554</v>
      </c>
      <c r="F923" s="10">
        <f>88.1533 * CHOOSE(CONTROL!$C$9, $D$9, 100%, $F$9) + CHOOSE(CONTROL!$C$27, 0.0021, 0)</f>
        <v>88.1554</v>
      </c>
      <c r="G923" s="10">
        <f>88.4247 * CHOOSE(CONTROL!$C$9, $D$9, 100%, $F$9) + CHOOSE(CONTROL!$C$27, 0.0021, 0)</f>
        <v>88.4268</v>
      </c>
      <c r="H923" s="10">
        <f>88.29 * CHOOSE(CONTROL!$C$9, $D$9, 100%, $F$9) + CHOOSE(CONTROL!$C$27, 0.0021, 0)</f>
        <v>88.292100000000005</v>
      </c>
      <c r="I923" s="10">
        <f>88.29 * CHOOSE(CONTROL!$C$9, $D$9, 100%, $F$9) + CHOOSE(CONTROL!$C$27, 0.0021, 0)</f>
        <v>88.292100000000005</v>
      </c>
      <c r="J923" s="10">
        <f>88.29 * CHOOSE(CONTROL!$C$9, $D$9, 100%, $F$9) + CHOOSE(CONTROL!$C$27, 0.0021, 0)</f>
        <v>88.292100000000005</v>
      </c>
      <c r="K923" s="10">
        <f>88.29 * CHOOSE(CONTROL!$C$9, $D$9, 100%, $F$9) + CHOOSE(CONTROL!$C$27, 0.0021, 0)</f>
        <v>88.292100000000005</v>
      </c>
      <c r="L923" s="10"/>
    </row>
    <row r="924" spans="1:12" ht="15.75" x14ac:dyDescent="0.25">
      <c r="A924" s="13">
        <v>69429</v>
      </c>
      <c r="B924" s="10">
        <f>87.3987 * CHOOSE(CONTROL!$C$9, $D$9, 100%, $F$9) + CHOOSE(CONTROL!$C$27, 0.0021, 0)</f>
        <v>87.400800000000004</v>
      </c>
      <c r="C924" s="10">
        <f>86.9665 * CHOOSE(CONTROL!$C$9, $D$9, 100%, $F$9) + CHOOSE(CONTROL!$C$27, 0.0021, 0)</f>
        <v>86.968599999999995</v>
      </c>
      <c r="D924" s="10">
        <f>86.9665 * CHOOSE(CONTROL!$C$9, $D$9, 100%, $F$9) + CHOOSE(CONTROL!$C$27, 0.0021, 0)</f>
        <v>86.968599999999995</v>
      </c>
      <c r="E924" s="10">
        <f>86.8298 * CHOOSE(CONTROL!$C$9, $D$9, 100%, $F$9) + CHOOSE(CONTROL!$C$27, 0.0021, 0)</f>
        <v>86.831900000000005</v>
      </c>
      <c r="F924" s="10">
        <f>86.8298 * CHOOSE(CONTROL!$C$9, $D$9, 100%, $F$9) + CHOOSE(CONTROL!$C$27, 0.0021, 0)</f>
        <v>86.831900000000005</v>
      </c>
      <c r="G924" s="10">
        <f>87.1012 * CHOOSE(CONTROL!$C$9, $D$9, 100%, $F$9) + CHOOSE(CONTROL!$C$27, 0.0021, 0)</f>
        <v>87.103300000000004</v>
      </c>
      <c r="H924" s="10">
        <f>86.9665 * CHOOSE(CONTROL!$C$9, $D$9, 100%, $F$9) + CHOOSE(CONTROL!$C$27, 0.0021, 0)</f>
        <v>86.968599999999995</v>
      </c>
      <c r="I924" s="10">
        <f>86.9665 * CHOOSE(CONTROL!$C$9, $D$9, 100%, $F$9) + CHOOSE(CONTROL!$C$27, 0.0021, 0)</f>
        <v>86.968599999999995</v>
      </c>
      <c r="J924" s="10">
        <f>86.9665 * CHOOSE(CONTROL!$C$9, $D$9, 100%, $F$9) + CHOOSE(CONTROL!$C$27, 0.0021, 0)</f>
        <v>86.968599999999995</v>
      </c>
      <c r="K924" s="10">
        <f>86.9665 * CHOOSE(CONTROL!$C$9, $D$9, 100%, $F$9) + CHOOSE(CONTROL!$C$27, 0.0021, 0)</f>
        <v>86.968599999999995</v>
      </c>
      <c r="L924" s="10"/>
    </row>
    <row r="925" spans="1:12" ht="15.75" x14ac:dyDescent="0.25">
      <c r="A925" s="13">
        <v>69457</v>
      </c>
      <c r="B925" s="10">
        <f>84.9915 * CHOOSE(CONTROL!$C$9, $D$9, 100%, $F$9) + CHOOSE(CONTROL!$C$27, 0.0021, 0)</f>
        <v>84.993600000000001</v>
      </c>
      <c r="C925" s="10">
        <f>84.5592 * CHOOSE(CONTROL!$C$9, $D$9, 100%, $F$9) + CHOOSE(CONTROL!$C$27, 0.0021, 0)</f>
        <v>84.561300000000003</v>
      </c>
      <c r="D925" s="10">
        <f>84.5592 * CHOOSE(CONTROL!$C$9, $D$9, 100%, $F$9) + CHOOSE(CONTROL!$C$27, 0.0021, 0)</f>
        <v>84.561300000000003</v>
      </c>
      <c r="E925" s="10">
        <f>84.4226 * CHOOSE(CONTROL!$C$9, $D$9, 100%, $F$9) + CHOOSE(CONTROL!$C$27, 0.0021, 0)</f>
        <v>84.424700000000001</v>
      </c>
      <c r="F925" s="10">
        <f>84.4226 * CHOOSE(CONTROL!$C$9, $D$9, 100%, $F$9) + CHOOSE(CONTROL!$C$27, 0.0021, 0)</f>
        <v>84.424700000000001</v>
      </c>
      <c r="G925" s="10">
        <f>84.6939 * CHOOSE(CONTROL!$C$9, $D$9, 100%, $F$9) + CHOOSE(CONTROL!$C$27, 0.0021, 0)</f>
        <v>84.695999999999998</v>
      </c>
      <c r="H925" s="10">
        <f>84.5592 * CHOOSE(CONTROL!$C$9, $D$9, 100%, $F$9) + CHOOSE(CONTROL!$C$27, 0.0021, 0)</f>
        <v>84.561300000000003</v>
      </c>
      <c r="I925" s="10">
        <f>84.5592 * CHOOSE(CONTROL!$C$9, $D$9, 100%, $F$9) + CHOOSE(CONTROL!$C$27, 0.0021, 0)</f>
        <v>84.561300000000003</v>
      </c>
      <c r="J925" s="10">
        <f>84.5592 * CHOOSE(CONTROL!$C$9, $D$9, 100%, $F$9) + CHOOSE(CONTROL!$C$27, 0.0021, 0)</f>
        <v>84.561300000000003</v>
      </c>
      <c r="K925" s="10">
        <f>84.5592 * CHOOSE(CONTROL!$C$9, $D$9, 100%, $F$9) + CHOOSE(CONTROL!$C$27, 0.0021, 0)</f>
        <v>84.561300000000003</v>
      </c>
      <c r="L925" s="10"/>
    </row>
    <row r="926" spans="1:12" ht="15.75" x14ac:dyDescent="0.25">
      <c r="A926" s="13">
        <v>69488</v>
      </c>
      <c r="B926" s="10">
        <f>83.9978 * CHOOSE(CONTROL!$C$9, $D$9, 100%, $F$9) + CHOOSE(CONTROL!$C$27, 0.0021, 0)</f>
        <v>83.999899999999997</v>
      </c>
      <c r="C926" s="10">
        <f>83.5655 * CHOOSE(CONTROL!$C$9, $D$9, 100%, $F$9) + CHOOSE(CONTROL!$C$27, 0.0021, 0)</f>
        <v>83.567599999999999</v>
      </c>
      <c r="D926" s="10">
        <f>83.5655 * CHOOSE(CONTROL!$C$9, $D$9, 100%, $F$9) + CHOOSE(CONTROL!$C$27, 0.0021, 0)</f>
        <v>83.567599999999999</v>
      </c>
      <c r="E926" s="10">
        <f>83.4289 * CHOOSE(CONTROL!$C$9, $D$9, 100%, $F$9) + CHOOSE(CONTROL!$C$27, 0.0021, 0)</f>
        <v>83.430999999999997</v>
      </c>
      <c r="F926" s="10">
        <f>83.4289 * CHOOSE(CONTROL!$C$9, $D$9, 100%, $F$9) + CHOOSE(CONTROL!$C$27, 0.0021, 0)</f>
        <v>83.430999999999997</v>
      </c>
      <c r="G926" s="10">
        <f>83.7002 * CHOOSE(CONTROL!$C$9, $D$9, 100%, $F$9) + CHOOSE(CONTROL!$C$27, 0.0021, 0)</f>
        <v>83.702299999999994</v>
      </c>
      <c r="H926" s="10">
        <f>83.5655 * CHOOSE(CONTROL!$C$9, $D$9, 100%, $F$9) + CHOOSE(CONTROL!$C$27, 0.0021, 0)</f>
        <v>83.567599999999999</v>
      </c>
      <c r="I926" s="10">
        <f>83.5655 * CHOOSE(CONTROL!$C$9, $D$9, 100%, $F$9) + CHOOSE(CONTROL!$C$27, 0.0021, 0)</f>
        <v>83.567599999999999</v>
      </c>
      <c r="J926" s="10">
        <f>83.5655 * CHOOSE(CONTROL!$C$9, $D$9, 100%, $F$9) + CHOOSE(CONTROL!$C$27, 0.0021, 0)</f>
        <v>83.567599999999999</v>
      </c>
      <c r="K926" s="10">
        <f>83.5655 * CHOOSE(CONTROL!$C$9, $D$9, 100%, $F$9) + CHOOSE(CONTROL!$C$27, 0.0021, 0)</f>
        <v>83.567599999999999</v>
      </c>
      <c r="L926" s="10"/>
    </row>
    <row r="927" spans="1:12" ht="15.75" x14ac:dyDescent="0.25">
      <c r="A927" s="13">
        <v>69518</v>
      </c>
      <c r="B927" s="10">
        <f>82.8112 * CHOOSE(CONTROL!$C$9, $D$9, 100%, $F$9) + CHOOSE(CONTROL!$C$27, 0.0021, 0)</f>
        <v>82.813299999999998</v>
      </c>
      <c r="C927" s="10">
        <f>82.379 * CHOOSE(CONTROL!$C$9, $D$9, 100%, $F$9) + CHOOSE(CONTROL!$C$27, 0.0021, 0)</f>
        <v>82.381100000000004</v>
      </c>
      <c r="D927" s="10">
        <f>82.379 * CHOOSE(CONTROL!$C$9, $D$9, 100%, $F$9) + CHOOSE(CONTROL!$C$27, 0.0021, 0)</f>
        <v>82.381100000000004</v>
      </c>
      <c r="E927" s="10">
        <f>82.2423 * CHOOSE(CONTROL!$C$9, $D$9, 100%, $F$9) + CHOOSE(CONTROL!$C$27, 0.0021, 0)</f>
        <v>82.244399999999999</v>
      </c>
      <c r="F927" s="10">
        <f>82.2423 * CHOOSE(CONTROL!$C$9, $D$9, 100%, $F$9) + CHOOSE(CONTROL!$C$27, 0.0021, 0)</f>
        <v>82.244399999999999</v>
      </c>
      <c r="G927" s="10">
        <f>82.5137 * CHOOSE(CONTROL!$C$9, $D$9, 100%, $F$9) + CHOOSE(CONTROL!$C$27, 0.0021, 0)</f>
        <v>82.515799999999999</v>
      </c>
      <c r="H927" s="10">
        <f>82.379 * CHOOSE(CONTROL!$C$9, $D$9, 100%, $F$9) + CHOOSE(CONTROL!$C$27, 0.0021, 0)</f>
        <v>82.381100000000004</v>
      </c>
      <c r="I927" s="10">
        <f>82.379 * CHOOSE(CONTROL!$C$9, $D$9, 100%, $F$9) + CHOOSE(CONTROL!$C$27, 0.0021, 0)</f>
        <v>82.381100000000004</v>
      </c>
      <c r="J927" s="10">
        <f>82.379 * CHOOSE(CONTROL!$C$9, $D$9, 100%, $F$9) + CHOOSE(CONTROL!$C$27, 0.0021, 0)</f>
        <v>82.381100000000004</v>
      </c>
      <c r="K927" s="10">
        <f>82.379 * CHOOSE(CONTROL!$C$9, $D$9, 100%, $F$9) + CHOOSE(CONTROL!$C$27, 0.0021, 0)</f>
        <v>82.381100000000004</v>
      </c>
      <c r="L927" s="10"/>
    </row>
    <row r="928" spans="1:12" ht="15.75" x14ac:dyDescent="0.25">
      <c r="A928" s="13">
        <v>69549</v>
      </c>
      <c r="B928" s="10">
        <f>84.5022 * CHOOSE(CONTROL!$C$9, $D$9, 100%, $F$9) + CHOOSE(CONTROL!$C$27, 0.0021, 0)</f>
        <v>84.504300000000001</v>
      </c>
      <c r="C928" s="10">
        <f>84.0699 * CHOOSE(CONTROL!$C$9, $D$9, 100%, $F$9) + CHOOSE(CONTROL!$C$27, 0.0021, 0)</f>
        <v>84.072000000000003</v>
      </c>
      <c r="D928" s="10">
        <f>84.0699 * CHOOSE(CONTROL!$C$9, $D$9, 100%, $F$9) + CHOOSE(CONTROL!$C$27, 0.0021, 0)</f>
        <v>84.072000000000003</v>
      </c>
      <c r="E928" s="10">
        <f>83.9333 * CHOOSE(CONTROL!$C$9, $D$9, 100%, $F$9) + CHOOSE(CONTROL!$C$27, 0.0021, 0)</f>
        <v>83.935400000000001</v>
      </c>
      <c r="F928" s="10">
        <f>83.9333 * CHOOSE(CONTROL!$C$9, $D$9, 100%, $F$9) + CHOOSE(CONTROL!$C$27, 0.0021, 0)</f>
        <v>83.935400000000001</v>
      </c>
      <c r="G928" s="10">
        <f>84.2046 * CHOOSE(CONTROL!$C$9, $D$9, 100%, $F$9) + CHOOSE(CONTROL!$C$27, 0.0021, 0)</f>
        <v>84.206699999999998</v>
      </c>
      <c r="H928" s="10">
        <f>84.0699 * CHOOSE(CONTROL!$C$9, $D$9, 100%, $F$9) + CHOOSE(CONTROL!$C$27, 0.0021, 0)</f>
        <v>84.072000000000003</v>
      </c>
      <c r="I928" s="10">
        <f>84.0699 * CHOOSE(CONTROL!$C$9, $D$9, 100%, $F$9) + CHOOSE(CONTROL!$C$27, 0.0021, 0)</f>
        <v>84.072000000000003</v>
      </c>
      <c r="J928" s="10">
        <f>84.0699 * CHOOSE(CONTROL!$C$9, $D$9, 100%, $F$9) + CHOOSE(CONTROL!$C$27, 0.0021, 0)</f>
        <v>84.072000000000003</v>
      </c>
      <c r="K928" s="10">
        <f>84.0699 * CHOOSE(CONTROL!$C$9, $D$9, 100%, $F$9) + CHOOSE(CONTROL!$C$27, 0.0021, 0)</f>
        <v>84.072000000000003</v>
      </c>
      <c r="L928" s="10"/>
    </row>
    <row r="929" spans="1:12" ht="15.75" x14ac:dyDescent="0.25">
      <c r="A929" s="13">
        <v>69579</v>
      </c>
      <c r="B929" s="10">
        <f>85.515 * CHOOSE(CONTROL!$C$9, $D$9, 100%, $F$9) + CHOOSE(CONTROL!$C$27, 0.0021, 0)</f>
        <v>85.517099999999999</v>
      </c>
      <c r="C929" s="10">
        <f>85.0827 * CHOOSE(CONTROL!$C$9, $D$9, 100%, $F$9) + CHOOSE(CONTROL!$C$27, 0.0021, 0)</f>
        <v>85.084800000000001</v>
      </c>
      <c r="D929" s="10">
        <f>85.0827 * CHOOSE(CONTROL!$C$9, $D$9, 100%, $F$9) + CHOOSE(CONTROL!$C$27, 0.0021, 0)</f>
        <v>85.084800000000001</v>
      </c>
      <c r="E929" s="10">
        <f>84.9461 * CHOOSE(CONTROL!$C$9, $D$9, 100%, $F$9) + CHOOSE(CONTROL!$C$27, 0.0021, 0)</f>
        <v>84.9482</v>
      </c>
      <c r="F929" s="10">
        <f>84.9461 * CHOOSE(CONTROL!$C$9, $D$9, 100%, $F$9) + CHOOSE(CONTROL!$C$27, 0.0021, 0)</f>
        <v>84.9482</v>
      </c>
      <c r="G929" s="10">
        <f>85.2174 * CHOOSE(CONTROL!$C$9, $D$9, 100%, $F$9) + CHOOSE(CONTROL!$C$27, 0.0021, 0)</f>
        <v>85.219499999999996</v>
      </c>
      <c r="H929" s="10">
        <f>85.0827 * CHOOSE(CONTROL!$C$9, $D$9, 100%, $F$9) + CHOOSE(CONTROL!$C$27, 0.0021, 0)</f>
        <v>85.084800000000001</v>
      </c>
      <c r="I929" s="10">
        <f>85.0827 * CHOOSE(CONTROL!$C$9, $D$9, 100%, $F$9) + CHOOSE(CONTROL!$C$27, 0.0021, 0)</f>
        <v>85.084800000000001</v>
      </c>
      <c r="J929" s="10">
        <f>85.0827 * CHOOSE(CONTROL!$C$9, $D$9, 100%, $F$9) + CHOOSE(CONTROL!$C$27, 0.0021, 0)</f>
        <v>85.084800000000001</v>
      </c>
      <c r="K929" s="10">
        <f>85.0827 * CHOOSE(CONTROL!$C$9, $D$9, 100%, $F$9) + CHOOSE(CONTROL!$C$27, 0.0021, 0)</f>
        <v>85.084800000000001</v>
      </c>
      <c r="L929" s="10"/>
    </row>
    <row r="930" spans="1:12" ht="15.75" x14ac:dyDescent="0.25">
      <c r="A930" s="13">
        <v>69610</v>
      </c>
      <c r="B930" s="10">
        <f>87.1857 * CHOOSE(CONTROL!$C$9, $D$9, 100%, $F$9) + CHOOSE(CONTROL!$C$27, 0.0021, 0)</f>
        <v>87.187799999999996</v>
      </c>
      <c r="C930" s="10">
        <f>86.7535 * CHOOSE(CONTROL!$C$9, $D$9, 100%, $F$9) + CHOOSE(CONTROL!$C$27, 0.0021, 0)</f>
        <v>86.755600000000001</v>
      </c>
      <c r="D930" s="10">
        <f>86.7535 * CHOOSE(CONTROL!$C$9, $D$9, 100%, $F$9) + CHOOSE(CONTROL!$C$27, 0.0021, 0)</f>
        <v>86.755600000000001</v>
      </c>
      <c r="E930" s="10">
        <f>86.6168 * CHOOSE(CONTROL!$C$9, $D$9, 100%, $F$9) + CHOOSE(CONTROL!$C$27, 0.0021, 0)</f>
        <v>86.618899999999996</v>
      </c>
      <c r="F930" s="10">
        <f>86.6168 * CHOOSE(CONTROL!$C$9, $D$9, 100%, $F$9) + CHOOSE(CONTROL!$C$27, 0.0021, 0)</f>
        <v>86.618899999999996</v>
      </c>
      <c r="G930" s="10">
        <f>86.8882 * CHOOSE(CONTROL!$C$9, $D$9, 100%, $F$9) + CHOOSE(CONTROL!$C$27, 0.0021, 0)</f>
        <v>86.890299999999996</v>
      </c>
      <c r="H930" s="10">
        <f>86.7535 * CHOOSE(CONTROL!$C$9, $D$9, 100%, $F$9) + CHOOSE(CONTROL!$C$27, 0.0021, 0)</f>
        <v>86.755600000000001</v>
      </c>
      <c r="I930" s="10">
        <f>86.7535 * CHOOSE(CONTROL!$C$9, $D$9, 100%, $F$9) + CHOOSE(CONTROL!$C$27, 0.0021, 0)</f>
        <v>86.755600000000001</v>
      </c>
      <c r="J930" s="10">
        <f>86.7535 * CHOOSE(CONTROL!$C$9, $D$9, 100%, $F$9) + CHOOSE(CONTROL!$C$27, 0.0021, 0)</f>
        <v>86.755600000000001</v>
      </c>
      <c r="K930" s="10">
        <f>86.7535 * CHOOSE(CONTROL!$C$9, $D$9, 100%, $F$9) + CHOOSE(CONTROL!$C$27, 0.0021, 0)</f>
        <v>86.755600000000001</v>
      </c>
      <c r="L930" s="10"/>
    </row>
    <row r="931" spans="1:12" ht="15.75" x14ac:dyDescent="0.25">
      <c r="A931" s="13">
        <v>69641</v>
      </c>
      <c r="B931" s="10">
        <f>87.6957 * CHOOSE(CONTROL!$C$9, $D$9, 100%, $F$9) + CHOOSE(CONTROL!$C$27, 0.0021, 0)</f>
        <v>87.697800000000001</v>
      </c>
      <c r="C931" s="10">
        <f>87.2634 * CHOOSE(CONTROL!$C$9, $D$9, 100%, $F$9) + CHOOSE(CONTROL!$C$27, 0.0021, 0)</f>
        <v>87.265500000000003</v>
      </c>
      <c r="D931" s="10">
        <f>87.2634 * CHOOSE(CONTROL!$C$9, $D$9, 100%, $F$9) + CHOOSE(CONTROL!$C$27, 0.0021, 0)</f>
        <v>87.265500000000003</v>
      </c>
      <c r="E931" s="10">
        <f>87.1268 * CHOOSE(CONTROL!$C$9, $D$9, 100%, $F$9) + CHOOSE(CONTROL!$C$27, 0.0021, 0)</f>
        <v>87.128900000000002</v>
      </c>
      <c r="F931" s="10">
        <f>87.1268 * CHOOSE(CONTROL!$C$9, $D$9, 100%, $F$9) + CHOOSE(CONTROL!$C$27, 0.0021, 0)</f>
        <v>87.128900000000002</v>
      </c>
      <c r="G931" s="10">
        <f>87.3982 * CHOOSE(CONTROL!$C$9, $D$9, 100%, $F$9) + CHOOSE(CONTROL!$C$27, 0.0021, 0)</f>
        <v>87.400300000000001</v>
      </c>
      <c r="H931" s="10">
        <f>87.2634 * CHOOSE(CONTROL!$C$9, $D$9, 100%, $F$9) + CHOOSE(CONTROL!$C$27, 0.0021, 0)</f>
        <v>87.265500000000003</v>
      </c>
      <c r="I931" s="10">
        <f>87.2634 * CHOOSE(CONTROL!$C$9, $D$9, 100%, $F$9) + CHOOSE(CONTROL!$C$27, 0.0021, 0)</f>
        <v>87.265500000000003</v>
      </c>
      <c r="J931" s="10">
        <f>87.2634 * CHOOSE(CONTROL!$C$9, $D$9, 100%, $F$9) + CHOOSE(CONTROL!$C$27, 0.0021, 0)</f>
        <v>87.265500000000003</v>
      </c>
      <c r="K931" s="10">
        <f>87.2634 * CHOOSE(CONTROL!$C$9, $D$9, 100%, $F$9) + CHOOSE(CONTROL!$C$27, 0.0021, 0)</f>
        <v>87.265500000000003</v>
      </c>
      <c r="L931" s="10"/>
    </row>
    <row r="932" spans="1:12" ht="15.75" x14ac:dyDescent="0.25">
      <c r="A932" s="13">
        <v>69671</v>
      </c>
      <c r="B932" s="10">
        <f>89.4324 * CHOOSE(CONTROL!$C$9, $D$9, 100%, $F$9) + CHOOSE(CONTROL!$C$27, 0.0021, 0)</f>
        <v>89.4345</v>
      </c>
      <c r="C932" s="10">
        <f>89.0001 * CHOOSE(CONTROL!$C$9, $D$9, 100%, $F$9) + CHOOSE(CONTROL!$C$27, 0.0021, 0)</f>
        <v>89.002200000000002</v>
      </c>
      <c r="D932" s="10">
        <f>89.0001 * CHOOSE(CONTROL!$C$9, $D$9, 100%, $F$9) + CHOOSE(CONTROL!$C$27, 0.0021, 0)</f>
        <v>89.002200000000002</v>
      </c>
      <c r="E932" s="10">
        <f>88.8635 * CHOOSE(CONTROL!$C$9, $D$9, 100%, $F$9) + CHOOSE(CONTROL!$C$27, 0.0021, 0)</f>
        <v>88.865600000000001</v>
      </c>
      <c r="F932" s="10">
        <f>88.8635 * CHOOSE(CONTROL!$C$9, $D$9, 100%, $F$9) + CHOOSE(CONTROL!$C$27, 0.0021, 0)</f>
        <v>88.865600000000001</v>
      </c>
      <c r="G932" s="10">
        <f>89.1348 * CHOOSE(CONTROL!$C$9, $D$9, 100%, $F$9) + CHOOSE(CONTROL!$C$27, 0.0021, 0)</f>
        <v>89.136899999999997</v>
      </c>
      <c r="H932" s="10">
        <f>89.0001 * CHOOSE(CONTROL!$C$9, $D$9, 100%, $F$9) + CHOOSE(CONTROL!$C$27, 0.0021, 0)</f>
        <v>89.002200000000002</v>
      </c>
      <c r="I932" s="10">
        <f>89.0001 * CHOOSE(CONTROL!$C$9, $D$9, 100%, $F$9) + CHOOSE(CONTROL!$C$27, 0.0021, 0)</f>
        <v>89.002200000000002</v>
      </c>
      <c r="J932" s="10">
        <f>89.0001 * CHOOSE(CONTROL!$C$9, $D$9, 100%, $F$9) + CHOOSE(CONTROL!$C$27, 0.0021, 0)</f>
        <v>89.002200000000002</v>
      </c>
      <c r="K932" s="10">
        <f>89.0001 * CHOOSE(CONTROL!$C$9, $D$9, 100%, $F$9) + CHOOSE(CONTROL!$C$27, 0.0021, 0)</f>
        <v>89.002200000000002</v>
      </c>
      <c r="L932" s="10"/>
    </row>
    <row r="933" spans="1:12" ht="15.75" x14ac:dyDescent="0.25">
      <c r="A933" s="13">
        <v>69702</v>
      </c>
      <c r="B933" s="10">
        <f>91.6307 * CHOOSE(CONTROL!$C$9, $D$9, 100%, $F$9) + CHOOSE(CONTROL!$C$27, 0.0021, 0)</f>
        <v>91.632800000000003</v>
      </c>
      <c r="C933" s="10">
        <f>91.1984 * CHOOSE(CONTROL!$C$9, $D$9, 100%, $F$9) + CHOOSE(CONTROL!$C$27, 0.0021, 0)</f>
        <v>91.200500000000005</v>
      </c>
      <c r="D933" s="10">
        <f>91.1984 * CHOOSE(CONTROL!$C$9, $D$9, 100%, $F$9) + CHOOSE(CONTROL!$C$27, 0.0021, 0)</f>
        <v>91.200500000000005</v>
      </c>
      <c r="E933" s="10">
        <f>91.0618 * CHOOSE(CONTROL!$C$9, $D$9, 100%, $F$9) + CHOOSE(CONTROL!$C$27, 0.0021, 0)</f>
        <v>91.063900000000004</v>
      </c>
      <c r="F933" s="10">
        <f>91.0618 * CHOOSE(CONTROL!$C$9, $D$9, 100%, $F$9) + CHOOSE(CONTROL!$C$27, 0.0021, 0)</f>
        <v>91.063900000000004</v>
      </c>
      <c r="G933" s="10">
        <f>91.3332 * CHOOSE(CONTROL!$C$9, $D$9, 100%, $F$9) + CHOOSE(CONTROL!$C$27, 0.0021, 0)</f>
        <v>91.335300000000004</v>
      </c>
      <c r="H933" s="10">
        <f>91.1984 * CHOOSE(CONTROL!$C$9, $D$9, 100%, $F$9) + CHOOSE(CONTROL!$C$27, 0.0021, 0)</f>
        <v>91.200500000000005</v>
      </c>
      <c r="I933" s="10">
        <f>91.1984 * CHOOSE(CONTROL!$C$9, $D$9, 100%, $F$9) + CHOOSE(CONTROL!$C$27, 0.0021, 0)</f>
        <v>91.200500000000005</v>
      </c>
      <c r="J933" s="10">
        <f>91.1984 * CHOOSE(CONTROL!$C$9, $D$9, 100%, $F$9) + CHOOSE(CONTROL!$C$27, 0.0021, 0)</f>
        <v>91.200500000000005</v>
      </c>
      <c r="K933" s="10">
        <f>91.1984 * CHOOSE(CONTROL!$C$9, $D$9, 100%, $F$9) + CHOOSE(CONTROL!$C$27, 0.0021, 0)</f>
        <v>91.200500000000005</v>
      </c>
      <c r="L933" s="10"/>
    </row>
    <row r="934" spans="1:12" ht="15.75" x14ac:dyDescent="0.25">
      <c r="A934" s="13">
        <v>69732</v>
      </c>
      <c r="B934" s="10">
        <f>91.8371 * CHOOSE(CONTROL!$C$9, $D$9, 100%, $F$9) + CHOOSE(CONTROL!$C$27, 0.0021, 0)</f>
        <v>91.839200000000005</v>
      </c>
      <c r="C934" s="10">
        <f>91.4048 * CHOOSE(CONTROL!$C$9, $D$9, 100%, $F$9) + CHOOSE(CONTROL!$C$27, 0.0021, 0)</f>
        <v>91.406899999999993</v>
      </c>
      <c r="D934" s="10">
        <f>91.4048 * CHOOSE(CONTROL!$C$9, $D$9, 100%, $F$9) + CHOOSE(CONTROL!$C$27, 0.0021, 0)</f>
        <v>91.406899999999993</v>
      </c>
      <c r="E934" s="10">
        <f>91.2682 * CHOOSE(CONTROL!$C$9, $D$9, 100%, $F$9) + CHOOSE(CONTROL!$C$27, 0.0021, 0)</f>
        <v>91.270299999999992</v>
      </c>
      <c r="F934" s="10">
        <f>91.2682 * CHOOSE(CONTROL!$C$9, $D$9, 100%, $F$9) + CHOOSE(CONTROL!$C$27, 0.0021, 0)</f>
        <v>91.270299999999992</v>
      </c>
      <c r="G934" s="10">
        <f>91.5395 * CHOOSE(CONTROL!$C$9, $D$9, 100%, $F$9) + CHOOSE(CONTROL!$C$27, 0.0021, 0)</f>
        <v>91.541600000000003</v>
      </c>
      <c r="H934" s="10">
        <f>91.4048 * CHOOSE(CONTROL!$C$9, $D$9, 100%, $F$9) + CHOOSE(CONTROL!$C$27, 0.0021, 0)</f>
        <v>91.406899999999993</v>
      </c>
      <c r="I934" s="10">
        <f>91.4048 * CHOOSE(CONTROL!$C$9, $D$9, 100%, $F$9) + CHOOSE(CONTROL!$C$27, 0.0021, 0)</f>
        <v>91.406899999999993</v>
      </c>
      <c r="J934" s="10">
        <f>91.4048 * CHOOSE(CONTROL!$C$9, $D$9, 100%, $F$9) + CHOOSE(CONTROL!$C$27, 0.0021, 0)</f>
        <v>91.406899999999993</v>
      </c>
      <c r="K934" s="10">
        <f>91.4048 * CHOOSE(CONTROL!$C$9, $D$9, 100%, $F$9) + CHOOSE(CONTROL!$C$27, 0.0021, 0)</f>
        <v>91.406899999999993</v>
      </c>
      <c r="L934" s="10"/>
    </row>
    <row r="935" spans="1:12" ht="15.75" x14ac:dyDescent="0.25">
      <c r="A935" s="13">
        <v>69763</v>
      </c>
      <c r="B935" s="10">
        <f>90.0813 * CHOOSE(CONTROL!$C$9, $D$9, 100%, $F$9) + CHOOSE(CONTROL!$C$27, 0.0021, 0)</f>
        <v>90.083399999999997</v>
      </c>
      <c r="C935" s="10">
        <f>89.6491 * CHOOSE(CONTROL!$C$9, $D$9, 100%, $F$9) + CHOOSE(CONTROL!$C$27, 0.0021, 0)</f>
        <v>89.651200000000003</v>
      </c>
      <c r="D935" s="10">
        <f>89.6491 * CHOOSE(CONTROL!$C$9, $D$9, 100%, $F$9) + CHOOSE(CONTROL!$C$27, 0.0021, 0)</f>
        <v>89.651200000000003</v>
      </c>
      <c r="E935" s="10">
        <f>89.5124 * CHOOSE(CONTROL!$C$9, $D$9, 100%, $F$9) + CHOOSE(CONTROL!$C$27, 0.0021, 0)</f>
        <v>89.514499999999998</v>
      </c>
      <c r="F935" s="10">
        <f>89.5124 * CHOOSE(CONTROL!$C$9, $D$9, 100%, $F$9) + CHOOSE(CONTROL!$C$27, 0.0021, 0)</f>
        <v>89.514499999999998</v>
      </c>
      <c r="G935" s="10">
        <f>89.7838 * CHOOSE(CONTROL!$C$9, $D$9, 100%, $F$9) + CHOOSE(CONTROL!$C$27, 0.0021, 0)</f>
        <v>89.785899999999998</v>
      </c>
      <c r="H935" s="10">
        <f>89.6491 * CHOOSE(CONTROL!$C$9, $D$9, 100%, $F$9) + CHOOSE(CONTROL!$C$27, 0.0021, 0)</f>
        <v>89.651200000000003</v>
      </c>
      <c r="I935" s="10">
        <f>89.6491 * CHOOSE(CONTROL!$C$9, $D$9, 100%, $F$9) + CHOOSE(CONTROL!$C$27, 0.0021, 0)</f>
        <v>89.651200000000003</v>
      </c>
      <c r="J935" s="10">
        <f>89.6491 * CHOOSE(CONTROL!$C$9, $D$9, 100%, $F$9) + CHOOSE(CONTROL!$C$27, 0.0021, 0)</f>
        <v>89.651200000000003</v>
      </c>
      <c r="K935" s="10">
        <f>89.6491 * CHOOSE(CONTROL!$C$9, $D$9, 100%, $F$9) + CHOOSE(CONTROL!$C$27, 0.0021, 0)</f>
        <v>89.651200000000003</v>
      </c>
      <c r="L935" s="10"/>
    </row>
    <row r="936" spans="1:12" ht="15.75" x14ac:dyDescent="0.25">
      <c r="A936" s="13">
        <v>69794</v>
      </c>
      <c r="B936" s="10">
        <f>88.737 * CHOOSE(CONTROL!$C$9, $D$9, 100%, $F$9) + CHOOSE(CONTROL!$C$27, 0.0021, 0)</f>
        <v>88.739099999999993</v>
      </c>
      <c r="C936" s="10">
        <f>88.3048 * CHOOSE(CONTROL!$C$9, $D$9, 100%, $F$9) + CHOOSE(CONTROL!$C$27, 0.0021, 0)</f>
        <v>88.306899999999999</v>
      </c>
      <c r="D936" s="10">
        <f>88.3048 * CHOOSE(CONTROL!$C$9, $D$9, 100%, $F$9) + CHOOSE(CONTROL!$C$27, 0.0021, 0)</f>
        <v>88.306899999999999</v>
      </c>
      <c r="E936" s="10">
        <f>88.1681 * CHOOSE(CONTROL!$C$9, $D$9, 100%, $F$9) + CHOOSE(CONTROL!$C$27, 0.0021, 0)</f>
        <v>88.170199999999994</v>
      </c>
      <c r="F936" s="10">
        <f>88.1681 * CHOOSE(CONTROL!$C$9, $D$9, 100%, $F$9) + CHOOSE(CONTROL!$C$27, 0.0021, 0)</f>
        <v>88.170199999999994</v>
      </c>
      <c r="G936" s="10">
        <f>88.4395 * CHOOSE(CONTROL!$C$9, $D$9, 100%, $F$9) + CHOOSE(CONTROL!$C$27, 0.0021, 0)</f>
        <v>88.441599999999994</v>
      </c>
      <c r="H936" s="10">
        <f>88.3048 * CHOOSE(CONTROL!$C$9, $D$9, 100%, $F$9) + CHOOSE(CONTROL!$C$27, 0.0021, 0)</f>
        <v>88.306899999999999</v>
      </c>
      <c r="I936" s="10">
        <f>88.3048 * CHOOSE(CONTROL!$C$9, $D$9, 100%, $F$9) + CHOOSE(CONTROL!$C$27, 0.0021, 0)</f>
        <v>88.306899999999999</v>
      </c>
      <c r="J936" s="10">
        <f>88.3048 * CHOOSE(CONTROL!$C$9, $D$9, 100%, $F$9) + CHOOSE(CONTROL!$C$27, 0.0021, 0)</f>
        <v>88.306899999999999</v>
      </c>
      <c r="K936" s="10">
        <f>88.3048 * CHOOSE(CONTROL!$C$9, $D$9, 100%, $F$9) + CHOOSE(CONTROL!$C$27, 0.0021, 0)</f>
        <v>88.306899999999999</v>
      </c>
      <c r="L936" s="10"/>
    </row>
    <row r="937" spans="1:12" ht="15.75" x14ac:dyDescent="0.25">
      <c r="A937" s="13">
        <v>69822</v>
      </c>
      <c r="B937" s="10">
        <f>86.2919 * CHOOSE(CONTROL!$C$9, $D$9, 100%, $F$9) + CHOOSE(CONTROL!$C$27, 0.0021, 0)</f>
        <v>86.293999999999997</v>
      </c>
      <c r="C937" s="10">
        <f>85.8597 * CHOOSE(CONTROL!$C$9, $D$9, 100%, $F$9) + CHOOSE(CONTROL!$C$27, 0.0021, 0)</f>
        <v>85.861800000000002</v>
      </c>
      <c r="D937" s="10">
        <f>85.8597 * CHOOSE(CONTROL!$C$9, $D$9, 100%, $F$9) + CHOOSE(CONTROL!$C$27, 0.0021, 0)</f>
        <v>85.861800000000002</v>
      </c>
      <c r="E937" s="10">
        <f>85.723 * CHOOSE(CONTROL!$C$9, $D$9, 100%, $F$9) + CHOOSE(CONTROL!$C$27, 0.0021, 0)</f>
        <v>85.725099999999998</v>
      </c>
      <c r="F937" s="10">
        <f>85.723 * CHOOSE(CONTROL!$C$9, $D$9, 100%, $F$9) + CHOOSE(CONTROL!$C$27, 0.0021, 0)</f>
        <v>85.725099999999998</v>
      </c>
      <c r="G937" s="10">
        <f>85.9944 * CHOOSE(CONTROL!$C$9, $D$9, 100%, $F$9) + CHOOSE(CONTROL!$C$27, 0.0021, 0)</f>
        <v>85.996499999999997</v>
      </c>
      <c r="H937" s="10">
        <f>85.8597 * CHOOSE(CONTROL!$C$9, $D$9, 100%, $F$9) + CHOOSE(CONTROL!$C$27, 0.0021, 0)</f>
        <v>85.861800000000002</v>
      </c>
      <c r="I937" s="10">
        <f>85.8597 * CHOOSE(CONTROL!$C$9, $D$9, 100%, $F$9) + CHOOSE(CONTROL!$C$27, 0.0021, 0)</f>
        <v>85.861800000000002</v>
      </c>
      <c r="J937" s="10">
        <f>85.8597 * CHOOSE(CONTROL!$C$9, $D$9, 100%, $F$9) + CHOOSE(CONTROL!$C$27, 0.0021, 0)</f>
        <v>85.861800000000002</v>
      </c>
      <c r="K937" s="10">
        <f>85.8597 * CHOOSE(CONTROL!$C$9, $D$9, 100%, $F$9) + CHOOSE(CONTROL!$C$27, 0.0021, 0)</f>
        <v>85.861800000000002</v>
      </c>
      <c r="L937" s="10"/>
    </row>
    <row r="938" spans="1:12" ht="15.75" x14ac:dyDescent="0.25">
      <c r="A938" s="13">
        <v>69853</v>
      </c>
      <c r="B938" s="10">
        <f>85.2826 * CHOOSE(CONTROL!$C$9, $D$9, 100%, $F$9) + CHOOSE(CONTROL!$C$27, 0.0021, 0)</f>
        <v>85.284700000000001</v>
      </c>
      <c r="C938" s="10">
        <f>84.8503 * CHOOSE(CONTROL!$C$9, $D$9, 100%, $F$9) + CHOOSE(CONTROL!$C$27, 0.0021, 0)</f>
        <v>84.852400000000003</v>
      </c>
      <c r="D938" s="10">
        <f>84.8503 * CHOOSE(CONTROL!$C$9, $D$9, 100%, $F$9) + CHOOSE(CONTROL!$C$27, 0.0021, 0)</f>
        <v>84.852400000000003</v>
      </c>
      <c r="E938" s="10">
        <f>84.7137 * CHOOSE(CONTROL!$C$9, $D$9, 100%, $F$9) + CHOOSE(CONTROL!$C$27, 0.0021, 0)</f>
        <v>84.715800000000002</v>
      </c>
      <c r="F938" s="10">
        <f>84.7137 * CHOOSE(CONTROL!$C$9, $D$9, 100%, $F$9) + CHOOSE(CONTROL!$C$27, 0.0021, 0)</f>
        <v>84.715800000000002</v>
      </c>
      <c r="G938" s="10">
        <f>84.985 * CHOOSE(CONTROL!$C$9, $D$9, 100%, $F$9) + CHOOSE(CONTROL!$C$27, 0.0021, 0)</f>
        <v>84.987099999999998</v>
      </c>
      <c r="H938" s="10">
        <f>84.8503 * CHOOSE(CONTROL!$C$9, $D$9, 100%, $F$9) + CHOOSE(CONTROL!$C$27, 0.0021, 0)</f>
        <v>84.852400000000003</v>
      </c>
      <c r="I938" s="10">
        <f>84.8503 * CHOOSE(CONTROL!$C$9, $D$9, 100%, $F$9) + CHOOSE(CONTROL!$C$27, 0.0021, 0)</f>
        <v>84.852400000000003</v>
      </c>
      <c r="J938" s="10">
        <f>84.8503 * CHOOSE(CONTROL!$C$9, $D$9, 100%, $F$9) + CHOOSE(CONTROL!$C$27, 0.0021, 0)</f>
        <v>84.852400000000003</v>
      </c>
      <c r="K938" s="10">
        <f>84.8503 * CHOOSE(CONTROL!$C$9, $D$9, 100%, $F$9) + CHOOSE(CONTROL!$C$27, 0.0021, 0)</f>
        <v>84.852400000000003</v>
      </c>
      <c r="L938" s="10"/>
    </row>
    <row r="939" spans="1:12" ht="15.75" x14ac:dyDescent="0.25">
      <c r="A939" s="13">
        <v>69883</v>
      </c>
      <c r="B939" s="10">
        <f>84.0774 * CHOOSE(CONTROL!$C$9, $D$9, 100%, $F$9) + CHOOSE(CONTROL!$C$27, 0.0021, 0)</f>
        <v>84.079499999999996</v>
      </c>
      <c r="C939" s="10">
        <f>83.6451 * CHOOSE(CONTROL!$C$9, $D$9, 100%, $F$9) + CHOOSE(CONTROL!$C$27, 0.0021, 0)</f>
        <v>83.647199999999998</v>
      </c>
      <c r="D939" s="10">
        <f>83.6451 * CHOOSE(CONTROL!$C$9, $D$9, 100%, $F$9) + CHOOSE(CONTROL!$C$27, 0.0021, 0)</f>
        <v>83.647199999999998</v>
      </c>
      <c r="E939" s="10">
        <f>83.5085 * CHOOSE(CONTROL!$C$9, $D$9, 100%, $F$9) + CHOOSE(CONTROL!$C$27, 0.0021, 0)</f>
        <v>83.510599999999997</v>
      </c>
      <c r="F939" s="10">
        <f>83.5085 * CHOOSE(CONTROL!$C$9, $D$9, 100%, $F$9) + CHOOSE(CONTROL!$C$27, 0.0021, 0)</f>
        <v>83.510599999999997</v>
      </c>
      <c r="G939" s="10">
        <f>83.7799 * CHOOSE(CONTROL!$C$9, $D$9, 100%, $F$9) + CHOOSE(CONTROL!$C$27, 0.0021, 0)</f>
        <v>83.781999999999996</v>
      </c>
      <c r="H939" s="10">
        <f>83.6451 * CHOOSE(CONTROL!$C$9, $D$9, 100%, $F$9) + CHOOSE(CONTROL!$C$27, 0.0021, 0)</f>
        <v>83.647199999999998</v>
      </c>
      <c r="I939" s="10">
        <f>83.6451 * CHOOSE(CONTROL!$C$9, $D$9, 100%, $F$9) + CHOOSE(CONTROL!$C$27, 0.0021, 0)</f>
        <v>83.647199999999998</v>
      </c>
      <c r="J939" s="10">
        <f>83.6451 * CHOOSE(CONTROL!$C$9, $D$9, 100%, $F$9) + CHOOSE(CONTROL!$C$27, 0.0021, 0)</f>
        <v>83.647199999999998</v>
      </c>
      <c r="K939" s="10">
        <f>83.6451 * CHOOSE(CONTROL!$C$9, $D$9, 100%, $F$9) + CHOOSE(CONTROL!$C$27, 0.0021, 0)</f>
        <v>83.647199999999998</v>
      </c>
      <c r="L939" s="10"/>
    </row>
    <row r="940" spans="1:12" ht="15.75" x14ac:dyDescent="0.25">
      <c r="A940" s="13">
        <v>69914</v>
      </c>
      <c r="B940" s="10">
        <f>85.7949 * CHOOSE(CONTROL!$C$9, $D$9, 100%, $F$9) + CHOOSE(CONTROL!$C$27, 0.0021, 0)</f>
        <v>85.796999999999997</v>
      </c>
      <c r="C940" s="10">
        <f>85.3627 * CHOOSE(CONTROL!$C$9, $D$9, 100%, $F$9) + CHOOSE(CONTROL!$C$27, 0.0021, 0)</f>
        <v>85.364800000000002</v>
      </c>
      <c r="D940" s="10">
        <f>85.3627 * CHOOSE(CONTROL!$C$9, $D$9, 100%, $F$9) + CHOOSE(CONTROL!$C$27, 0.0021, 0)</f>
        <v>85.364800000000002</v>
      </c>
      <c r="E940" s="10">
        <f>85.226 * CHOOSE(CONTROL!$C$9, $D$9, 100%, $F$9) + CHOOSE(CONTROL!$C$27, 0.0021, 0)</f>
        <v>85.228099999999998</v>
      </c>
      <c r="F940" s="10">
        <f>85.226 * CHOOSE(CONTROL!$C$9, $D$9, 100%, $F$9) + CHOOSE(CONTROL!$C$27, 0.0021, 0)</f>
        <v>85.228099999999998</v>
      </c>
      <c r="G940" s="10">
        <f>85.4974 * CHOOSE(CONTROL!$C$9, $D$9, 100%, $F$9) + CHOOSE(CONTROL!$C$27, 0.0021, 0)</f>
        <v>85.499499999999998</v>
      </c>
      <c r="H940" s="10">
        <f>85.3627 * CHOOSE(CONTROL!$C$9, $D$9, 100%, $F$9) + CHOOSE(CONTROL!$C$27, 0.0021, 0)</f>
        <v>85.364800000000002</v>
      </c>
      <c r="I940" s="10">
        <f>85.3627 * CHOOSE(CONTROL!$C$9, $D$9, 100%, $F$9) + CHOOSE(CONTROL!$C$27, 0.0021, 0)</f>
        <v>85.364800000000002</v>
      </c>
      <c r="J940" s="10">
        <f>85.3627 * CHOOSE(CONTROL!$C$9, $D$9, 100%, $F$9) + CHOOSE(CONTROL!$C$27, 0.0021, 0)</f>
        <v>85.364800000000002</v>
      </c>
      <c r="K940" s="10">
        <f>85.3627 * CHOOSE(CONTROL!$C$9, $D$9, 100%, $F$9) + CHOOSE(CONTROL!$C$27, 0.0021, 0)</f>
        <v>85.364800000000002</v>
      </c>
      <c r="L940" s="10"/>
    </row>
    <row r="941" spans="1:12" ht="15.75" x14ac:dyDescent="0.25">
      <c r="A941" s="13">
        <v>69944</v>
      </c>
      <c r="B941" s="10">
        <f>86.8236 * CHOOSE(CONTROL!$C$9, $D$9, 100%, $F$9) + CHOOSE(CONTROL!$C$27, 0.0021, 0)</f>
        <v>86.825699999999998</v>
      </c>
      <c r="C941" s="10">
        <f>86.3914 * CHOOSE(CONTROL!$C$9, $D$9, 100%, $F$9) + CHOOSE(CONTROL!$C$27, 0.0021, 0)</f>
        <v>86.393500000000003</v>
      </c>
      <c r="D941" s="10">
        <f>86.3914 * CHOOSE(CONTROL!$C$9, $D$9, 100%, $F$9) + CHOOSE(CONTROL!$C$27, 0.0021, 0)</f>
        <v>86.393500000000003</v>
      </c>
      <c r="E941" s="10">
        <f>86.2547 * CHOOSE(CONTROL!$C$9, $D$9, 100%, $F$9) + CHOOSE(CONTROL!$C$27, 0.0021, 0)</f>
        <v>86.256799999999998</v>
      </c>
      <c r="F941" s="10">
        <f>86.2547 * CHOOSE(CONTROL!$C$9, $D$9, 100%, $F$9) + CHOOSE(CONTROL!$C$27, 0.0021, 0)</f>
        <v>86.256799999999998</v>
      </c>
      <c r="G941" s="10">
        <f>86.5261 * CHOOSE(CONTROL!$C$9, $D$9, 100%, $F$9) + CHOOSE(CONTROL!$C$27, 0.0021, 0)</f>
        <v>86.528199999999998</v>
      </c>
      <c r="H941" s="10">
        <f>86.3914 * CHOOSE(CONTROL!$C$9, $D$9, 100%, $F$9) + CHOOSE(CONTROL!$C$27, 0.0021, 0)</f>
        <v>86.393500000000003</v>
      </c>
      <c r="I941" s="10">
        <f>86.3914 * CHOOSE(CONTROL!$C$9, $D$9, 100%, $F$9) + CHOOSE(CONTROL!$C$27, 0.0021, 0)</f>
        <v>86.393500000000003</v>
      </c>
      <c r="J941" s="10">
        <f>86.3914 * CHOOSE(CONTROL!$C$9, $D$9, 100%, $F$9) + CHOOSE(CONTROL!$C$27, 0.0021, 0)</f>
        <v>86.393500000000003</v>
      </c>
      <c r="K941" s="10">
        <f>86.3914 * CHOOSE(CONTROL!$C$9, $D$9, 100%, $F$9) + CHOOSE(CONTROL!$C$27, 0.0021, 0)</f>
        <v>86.393500000000003</v>
      </c>
      <c r="L941" s="10"/>
    </row>
    <row r="942" spans="1:12" ht="15.75" x14ac:dyDescent="0.25">
      <c r="A942" s="13">
        <v>69975</v>
      </c>
      <c r="B942" s="10">
        <f>88.5207 * CHOOSE(CONTROL!$C$9, $D$9, 100%, $F$9) + CHOOSE(CONTROL!$C$27, 0.0021, 0)</f>
        <v>88.522800000000004</v>
      </c>
      <c r="C942" s="10">
        <f>88.0884 * CHOOSE(CONTROL!$C$9, $D$9, 100%, $F$9) + CHOOSE(CONTROL!$C$27, 0.0021, 0)</f>
        <v>88.090499999999992</v>
      </c>
      <c r="D942" s="10">
        <f>88.0884 * CHOOSE(CONTROL!$C$9, $D$9, 100%, $F$9) + CHOOSE(CONTROL!$C$27, 0.0021, 0)</f>
        <v>88.090499999999992</v>
      </c>
      <c r="E942" s="10">
        <f>87.9518 * CHOOSE(CONTROL!$C$9, $D$9, 100%, $F$9) + CHOOSE(CONTROL!$C$27, 0.0021, 0)</f>
        <v>87.953900000000004</v>
      </c>
      <c r="F942" s="10">
        <f>87.9518 * CHOOSE(CONTROL!$C$9, $D$9, 100%, $F$9) + CHOOSE(CONTROL!$C$27, 0.0021, 0)</f>
        <v>87.953900000000004</v>
      </c>
      <c r="G942" s="10">
        <f>88.2231 * CHOOSE(CONTROL!$C$9, $D$9, 100%, $F$9) + CHOOSE(CONTROL!$C$27, 0.0021, 0)</f>
        <v>88.225200000000001</v>
      </c>
      <c r="H942" s="10">
        <f>88.0884 * CHOOSE(CONTROL!$C$9, $D$9, 100%, $F$9) + CHOOSE(CONTROL!$C$27, 0.0021, 0)</f>
        <v>88.090499999999992</v>
      </c>
      <c r="I942" s="10">
        <f>88.0884 * CHOOSE(CONTROL!$C$9, $D$9, 100%, $F$9) + CHOOSE(CONTROL!$C$27, 0.0021, 0)</f>
        <v>88.090499999999992</v>
      </c>
      <c r="J942" s="10">
        <f>88.0884 * CHOOSE(CONTROL!$C$9, $D$9, 100%, $F$9) + CHOOSE(CONTROL!$C$27, 0.0021, 0)</f>
        <v>88.090499999999992</v>
      </c>
      <c r="K942" s="10">
        <f>88.0884 * CHOOSE(CONTROL!$C$9, $D$9, 100%, $F$9) + CHOOSE(CONTROL!$C$27, 0.0021, 0)</f>
        <v>88.090499999999992</v>
      </c>
      <c r="L942" s="10"/>
    </row>
    <row r="943" spans="1:12" ht="15.75" x14ac:dyDescent="0.25">
      <c r="A943" s="13">
        <v>70006</v>
      </c>
      <c r="B943" s="10">
        <f>89.0386 * CHOOSE(CONTROL!$C$9, $D$9, 100%, $F$9) + CHOOSE(CONTROL!$C$27, 0.0021, 0)</f>
        <v>89.040700000000001</v>
      </c>
      <c r="C943" s="10">
        <f>88.6064 * CHOOSE(CONTROL!$C$9, $D$9, 100%, $F$9) + CHOOSE(CONTROL!$C$27, 0.0021, 0)</f>
        <v>88.608499999999992</v>
      </c>
      <c r="D943" s="10">
        <f>88.6064 * CHOOSE(CONTROL!$C$9, $D$9, 100%, $F$9) + CHOOSE(CONTROL!$C$27, 0.0021, 0)</f>
        <v>88.608499999999992</v>
      </c>
      <c r="E943" s="10">
        <f>88.4697 * CHOOSE(CONTROL!$C$9, $D$9, 100%, $F$9) + CHOOSE(CONTROL!$C$27, 0.0021, 0)</f>
        <v>88.471800000000002</v>
      </c>
      <c r="F943" s="10">
        <f>88.4697 * CHOOSE(CONTROL!$C$9, $D$9, 100%, $F$9) + CHOOSE(CONTROL!$C$27, 0.0021, 0)</f>
        <v>88.471800000000002</v>
      </c>
      <c r="G943" s="10">
        <f>88.7411 * CHOOSE(CONTROL!$C$9, $D$9, 100%, $F$9) + CHOOSE(CONTROL!$C$27, 0.0021, 0)</f>
        <v>88.743200000000002</v>
      </c>
      <c r="H943" s="10">
        <f>88.6064 * CHOOSE(CONTROL!$C$9, $D$9, 100%, $F$9) + CHOOSE(CONTROL!$C$27, 0.0021, 0)</f>
        <v>88.608499999999992</v>
      </c>
      <c r="I943" s="10">
        <f>88.6064 * CHOOSE(CONTROL!$C$9, $D$9, 100%, $F$9) + CHOOSE(CONTROL!$C$27, 0.0021, 0)</f>
        <v>88.608499999999992</v>
      </c>
      <c r="J943" s="10">
        <f>88.6064 * CHOOSE(CONTROL!$C$9, $D$9, 100%, $F$9) + CHOOSE(CONTROL!$C$27, 0.0021, 0)</f>
        <v>88.608499999999992</v>
      </c>
      <c r="K943" s="10">
        <f>88.6064 * CHOOSE(CONTROL!$C$9, $D$9, 100%, $F$9) + CHOOSE(CONTROL!$C$27, 0.0021, 0)</f>
        <v>88.608499999999992</v>
      </c>
      <c r="L943" s="10"/>
    </row>
    <row r="944" spans="1:12" ht="15.75" x14ac:dyDescent="0.25">
      <c r="A944" s="13">
        <v>70036</v>
      </c>
      <c r="B944" s="10">
        <f>90.8026 * CHOOSE(CONTROL!$C$9, $D$9, 100%, $F$9) + CHOOSE(CONTROL!$C$27, 0.0021, 0)</f>
        <v>90.804699999999997</v>
      </c>
      <c r="C944" s="10">
        <f>90.3704 * CHOOSE(CONTROL!$C$9, $D$9, 100%, $F$9) + CHOOSE(CONTROL!$C$27, 0.0021, 0)</f>
        <v>90.372500000000002</v>
      </c>
      <c r="D944" s="10">
        <f>90.3704 * CHOOSE(CONTROL!$C$9, $D$9, 100%, $F$9) + CHOOSE(CONTROL!$C$27, 0.0021, 0)</f>
        <v>90.372500000000002</v>
      </c>
      <c r="E944" s="10">
        <f>90.2337 * CHOOSE(CONTROL!$C$9, $D$9, 100%, $F$9) + CHOOSE(CONTROL!$C$27, 0.0021, 0)</f>
        <v>90.235799999999998</v>
      </c>
      <c r="F944" s="10">
        <f>90.2337 * CHOOSE(CONTROL!$C$9, $D$9, 100%, $F$9) + CHOOSE(CONTROL!$C$27, 0.0021, 0)</f>
        <v>90.235799999999998</v>
      </c>
      <c r="G944" s="10">
        <f>90.5051 * CHOOSE(CONTROL!$C$9, $D$9, 100%, $F$9) + CHOOSE(CONTROL!$C$27, 0.0021, 0)</f>
        <v>90.507199999999997</v>
      </c>
      <c r="H944" s="10">
        <f>90.3704 * CHOOSE(CONTROL!$C$9, $D$9, 100%, $F$9) + CHOOSE(CONTROL!$C$27, 0.0021, 0)</f>
        <v>90.372500000000002</v>
      </c>
      <c r="I944" s="10">
        <f>90.3704 * CHOOSE(CONTROL!$C$9, $D$9, 100%, $F$9) + CHOOSE(CONTROL!$C$27, 0.0021, 0)</f>
        <v>90.372500000000002</v>
      </c>
      <c r="J944" s="10">
        <f>90.3704 * CHOOSE(CONTROL!$C$9, $D$9, 100%, $F$9) + CHOOSE(CONTROL!$C$27, 0.0021, 0)</f>
        <v>90.372500000000002</v>
      </c>
      <c r="K944" s="10">
        <f>90.3704 * CHOOSE(CONTROL!$C$9, $D$9, 100%, $F$9) + CHOOSE(CONTROL!$C$27, 0.0021, 0)</f>
        <v>90.372500000000002</v>
      </c>
      <c r="L944" s="10"/>
    </row>
    <row r="945" spans="1:12" ht="15.75" x14ac:dyDescent="0.25">
      <c r="A945" s="13">
        <v>70067</v>
      </c>
      <c r="B945" s="10">
        <f>93.0355 * CHOOSE(CONTROL!$C$9, $D$9, 100%, $F$9) + CHOOSE(CONTROL!$C$27, 0.0021, 0)</f>
        <v>93.037599999999998</v>
      </c>
      <c r="C945" s="10">
        <f>92.6033 * CHOOSE(CONTROL!$C$9, $D$9, 100%, $F$9) + CHOOSE(CONTROL!$C$27, 0.0021, 0)</f>
        <v>92.605400000000003</v>
      </c>
      <c r="D945" s="10">
        <f>92.6033 * CHOOSE(CONTROL!$C$9, $D$9, 100%, $F$9) + CHOOSE(CONTROL!$C$27, 0.0021, 0)</f>
        <v>92.605400000000003</v>
      </c>
      <c r="E945" s="10">
        <f>92.4666 * CHOOSE(CONTROL!$C$9, $D$9, 100%, $F$9) + CHOOSE(CONTROL!$C$27, 0.0021, 0)</f>
        <v>92.468699999999998</v>
      </c>
      <c r="F945" s="10">
        <f>92.4666 * CHOOSE(CONTROL!$C$9, $D$9, 100%, $F$9) + CHOOSE(CONTROL!$C$27, 0.0021, 0)</f>
        <v>92.468699999999998</v>
      </c>
      <c r="G945" s="10">
        <f>92.738 * CHOOSE(CONTROL!$C$9, $D$9, 100%, $F$9) + CHOOSE(CONTROL!$C$27, 0.0021, 0)</f>
        <v>92.740099999999998</v>
      </c>
      <c r="H945" s="10">
        <f>92.6033 * CHOOSE(CONTROL!$C$9, $D$9, 100%, $F$9) + CHOOSE(CONTROL!$C$27, 0.0021, 0)</f>
        <v>92.605400000000003</v>
      </c>
      <c r="I945" s="10">
        <f>92.6033 * CHOOSE(CONTROL!$C$9, $D$9, 100%, $F$9) + CHOOSE(CONTROL!$C$27, 0.0021, 0)</f>
        <v>92.605400000000003</v>
      </c>
      <c r="J945" s="10">
        <f>92.6033 * CHOOSE(CONTROL!$C$9, $D$9, 100%, $F$9) + CHOOSE(CONTROL!$C$27, 0.0021, 0)</f>
        <v>92.605400000000003</v>
      </c>
      <c r="K945" s="10">
        <f>92.6033 * CHOOSE(CONTROL!$C$9, $D$9, 100%, $F$9) + CHOOSE(CONTROL!$C$27, 0.0021, 0)</f>
        <v>92.605400000000003</v>
      </c>
      <c r="L945" s="10"/>
    </row>
    <row r="946" spans="1:12" ht="15.75" x14ac:dyDescent="0.25">
      <c r="A946" s="13">
        <v>70097</v>
      </c>
      <c r="B946" s="10">
        <f>93.2452 * CHOOSE(CONTROL!$C$9, $D$9, 100%, $F$9) + CHOOSE(CONTROL!$C$27, 0.0021, 0)</f>
        <v>93.247299999999996</v>
      </c>
      <c r="C946" s="10">
        <f>92.8129 * CHOOSE(CONTROL!$C$9, $D$9, 100%, $F$9) + CHOOSE(CONTROL!$C$27, 0.0021, 0)</f>
        <v>92.814999999999998</v>
      </c>
      <c r="D946" s="10">
        <f>92.8129 * CHOOSE(CONTROL!$C$9, $D$9, 100%, $F$9) + CHOOSE(CONTROL!$C$27, 0.0021, 0)</f>
        <v>92.814999999999998</v>
      </c>
      <c r="E946" s="10">
        <f>92.6762 * CHOOSE(CONTROL!$C$9, $D$9, 100%, $F$9) + CHOOSE(CONTROL!$C$27, 0.0021, 0)</f>
        <v>92.678299999999993</v>
      </c>
      <c r="F946" s="10">
        <f>92.6762 * CHOOSE(CONTROL!$C$9, $D$9, 100%, $F$9) + CHOOSE(CONTROL!$C$27, 0.0021, 0)</f>
        <v>92.678299999999993</v>
      </c>
      <c r="G946" s="10">
        <f>92.9476 * CHOOSE(CONTROL!$C$9, $D$9, 100%, $F$9) + CHOOSE(CONTROL!$C$27, 0.0021, 0)</f>
        <v>92.949699999999993</v>
      </c>
      <c r="H946" s="10">
        <f>92.8129 * CHOOSE(CONTROL!$C$9, $D$9, 100%, $F$9) + CHOOSE(CONTROL!$C$27, 0.0021, 0)</f>
        <v>92.814999999999998</v>
      </c>
      <c r="I946" s="10">
        <f>92.8129 * CHOOSE(CONTROL!$C$9, $D$9, 100%, $F$9) + CHOOSE(CONTROL!$C$27, 0.0021, 0)</f>
        <v>92.814999999999998</v>
      </c>
      <c r="J946" s="10">
        <f>92.8129 * CHOOSE(CONTROL!$C$9, $D$9, 100%, $F$9) + CHOOSE(CONTROL!$C$27, 0.0021, 0)</f>
        <v>92.814999999999998</v>
      </c>
      <c r="K946" s="10">
        <f>92.8129 * CHOOSE(CONTROL!$C$9, $D$9, 100%, $F$9) + CHOOSE(CONTROL!$C$27, 0.0021, 0)</f>
        <v>92.814999999999998</v>
      </c>
      <c r="L946" s="10"/>
    </row>
    <row r="947" spans="1:12" ht="15.75" x14ac:dyDescent="0.25">
      <c r="A947" s="13">
        <v>70128</v>
      </c>
      <c r="B947" s="10">
        <f>91.4618 * CHOOSE(CONTROL!$C$9, $D$9, 100%, $F$9) + CHOOSE(CONTROL!$C$27, 0.0021, 0)</f>
        <v>91.463899999999995</v>
      </c>
      <c r="C947" s="10">
        <f>91.0295 * CHOOSE(CONTROL!$C$9, $D$9, 100%, $F$9) + CHOOSE(CONTROL!$C$27, 0.0021, 0)</f>
        <v>91.031599999999997</v>
      </c>
      <c r="D947" s="10">
        <f>91.0295 * CHOOSE(CONTROL!$C$9, $D$9, 100%, $F$9) + CHOOSE(CONTROL!$C$27, 0.0021, 0)</f>
        <v>91.031599999999997</v>
      </c>
      <c r="E947" s="10">
        <f>90.8929 * CHOOSE(CONTROL!$C$9, $D$9, 100%, $F$9) + CHOOSE(CONTROL!$C$27, 0.0021, 0)</f>
        <v>90.894999999999996</v>
      </c>
      <c r="F947" s="10">
        <f>90.8929 * CHOOSE(CONTROL!$C$9, $D$9, 100%, $F$9) + CHOOSE(CONTROL!$C$27, 0.0021, 0)</f>
        <v>90.894999999999996</v>
      </c>
      <c r="G947" s="10">
        <f>91.1643 * CHOOSE(CONTROL!$C$9, $D$9, 100%, $F$9) + CHOOSE(CONTROL!$C$27, 0.0021, 0)</f>
        <v>91.166399999999996</v>
      </c>
      <c r="H947" s="10">
        <f>91.0295 * CHOOSE(CONTROL!$C$9, $D$9, 100%, $F$9) + CHOOSE(CONTROL!$C$27, 0.0021, 0)</f>
        <v>91.031599999999997</v>
      </c>
      <c r="I947" s="10">
        <f>91.0295 * CHOOSE(CONTROL!$C$9, $D$9, 100%, $F$9) + CHOOSE(CONTROL!$C$27, 0.0021, 0)</f>
        <v>91.031599999999997</v>
      </c>
      <c r="J947" s="10">
        <f>91.0295 * CHOOSE(CONTROL!$C$9, $D$9, 100%, $F$9) + CHOOSE(CONTROL!$C$27, 0.0021, 0)</f>
        <v>91.031599999999997</v>
      </c>
      <c r="K947" s="10">
        <f>91.0295 * CHOOSE(CONTROL!$C$9, $D$9, 100%, $F$9) + CHOOSE(CONTROL!$C$27, 0.0021, 0)</f>
        <v>91.031599999999997</v>
      </c>
      <c r="L947" s="10"/>
    </row>
    <row r="948" spans="1:12" ht="15.75" x14ac:dyDescent="0.25">
      <c r="A948" s="13">
        <v>70159</v>
      </c>
      <c r="B948" s="10">
        <f>90.0964 * CHOOSE(CONTROL!$C$9, $D$9, 100%, $F$9) + CHOOSE(CONTROL!$C$27, 0.0021, 0)</f>
        <v>90.098500000000001</v>
      </c>
      <c r="C948" s="10">
        <f>89.6641 * CHOOSE(CONTROL!$C$9, $D$9, 100%, $F$9) + CHOOSE(CONTROL!$C$27, 0.0021, 0)</f>
        <v>89.666200000000003</v>
      </c>
      <c r="D948" s="10">
        <f>89.6641 * CHOOSE(CONTROL!$C$9, $D$9, 100%, $F$9) + CHOOSE(CONTROL!$C$27, 0.0021, 0)</f>
        <v>89.666200000000003</v>
      </c>
      <c r="E948" s="10">
        <f>89.5275 * CHOOSE(CONTROL!$C$9, $D$9, 100%, $F$9) + CHOOSE(CONTROL!$C$27, 0.0021, 0)</f>
        <v>89.529600000000002</v>
      </c>
      <c r="F948" s="10">
        <f>89.5275 * CHOOSE(CONTROL!$C$9, $D$9, 100%, $F$9) + CHOOSE(CONTROL!$C$27, 0.0021, 0)</f>
        <v>89.529600000000002</v>
      </c>
      <c r="G948" s="10">
        <f>89.7988 * CHOOSE(CONTROL!$C$9, $D$9, 100%, $F$9) + CHOOSE(CONTROL!$C$27, 0.0021, 0)</f>
        <v>89.800899999999999</v>
      </c>
      <c r="H948" s="10">
        <f>89.6641 * CHOOSE(CONTROL!$C$9, $D$9, 100%, $F$9) + CHOOSE(CONTROL!$C$27, 0.0021, 0)</f>
        <v>89.666200000000003</v>
      </c>
      <c r="I948" s="10">
        <f>89.6641 * CHOOSE(CONTROL!$C$9, $D$9, 100%, $F$9) + CHOOSE(CONTROL!$C$27, 0.0021, 0)</f>
        <v>89.666200000000003</v>
      </c>
      <c r="J948" s="10">
        <f>89.6641 * CHOOSE(CONTROL!$C$9, $D$9, 100%, $F$9) + CHOOSE(CONTROL!$C$27, 0.0021, 0)</f>
        <v>89.666200000000003</v>
      </c>
      <c r="K948" s="10">
        <f>89.6641 * CHOOSE(CONTROL!$C$9, $D$9, 100%, $F$9) + CHOOSE(CONTROL!$C$27, 0.0021, 0)</f>
        <v>89.666200000000003</v>
      </c>
      <c r="L948" s="10"/>
    </row>
    <row r="949" spans="1:12" ht="15.75" x14ac:dyDescent="0.25">
      <c r="A949" s="13">
        <v>70188</v>
      </c>
      <c r="B949" s="10">
        <f>87.6128 * CHOOSE(CONTROL!$C$9, $D$9, 100%, $F$9) + CHOOSE(CONTROL!$C$27, 0.0021, 0)</f>
        <v>87.614899999999992</v>
      </c>
      <c r="C949" s="10">
        <f>87.1806 * CHOOSE(CONTROL!$C$9, $D$9, 100%, $F$9) + CHOOSE(CONTROL!$C$27, 0.0021, 0)</f>
        <v>87.182699999999997</v>
      </c>
      <c r="D949" s="10">
        <f>87.1806 * CHOOSE(CONTROL!$C$9, $D$9, 100%, $F$9) + CHOOSE(CONTROL!$C$27, 0.0021, 0)</f>
        <v>87.182699999999997</v>
      </c>
      <c r="E949" s="10">
        <f>87.0439 * CHOOSE(CONTROL!$C$9, $D$9, 100%, $F$9) + CHOOSE(CONTROL!$C$27, 0.0021, 0)</f>
        <v>87.045999999999992</v>
      </c>
      <c r="F949" s="10">
        <f>87.0439 * CHOOSE(CONTROL!$C$9, $D$9, 100%, $F$9) + CHOOSE(CONTROL!$C$27, 0.0021, 0)</f>
        <v>87.045999999999992</v>
      </c>
      <c r="G949" s="10">
        <f>87.3153 * CHOOSE(CONTROL!$C$9, $D$9, 100%, $F$9) + CHOOSE(CONTROL!$C$27, 0.0021, 0)</f>
        <v>87.317399999999992</v>
      </c>
      <c r="H949" s="10">
        <f>87.1806 * CHOOSE(CONTROL!$C$9, $D$9, 100%, $F$9) + CHOOSE(CONTROL!$C$27, 0.0021, 0)</f>
        <v>87.182699999999997</v>
      </c>
      <c r="I949" s="10">
        <f>87.1806 * CHOOSE(CONTROL!$C$9, $D$9, 100%, $F$9) + CHOOSE(CONTROL!$C$27, 0.0021, 0)</f>
        <v>87.182699999999997</v>
      </c>
      <c r="J949" s="10">
        <f>87.1806 * CHOOSE(CONTROL!$C$9, $D$9, 100%, $F$9) + CHOOSE(CONTROL!$C$27, 0.0021, 0)</f>
        <v>87.182699999999997</v>
      </c>
      <c r="K949" s="10">
        <f>87.1806 * CHOOSE(CONTROL!$C$9, $D$9, 100%, $F$9) + CHOOSE(CONTROL!$C$27, 0.0021, 0)</f>
        <v>87.182699999999997</v>
      </c>
      <c r="L949" s="10"/>
    </row>
    <row r="950" spans="1:12" ht="15.75" x14ac:dyDescent="0.25">
      <c r="A950" s="13">
        <v>70219</v>
      </c>
      <c r="B950" s="10">
        <f>86.5876 * CHOOSE(CONTROL!$C$9, $D$9, 100%, $F$9) + CHOOSE(CONTROL!$C$27, 0.0021, 0)</f>
        <v>86.589699999999993</v>
      </c>
      <c r="C950" s="10">
        <f>86.1553 * CHOOSE(CONTROL!$C$9, $D$9, 100%, $F$9) + CHOOSE(CONTROL!$C$27, 0.0021, 0)</f>
        <v>86.157399999999996</v>
      </c>
      <c r="D950" s="10">
        <f>86.1553 * CHOOSE(CONTROL!$C$9, $D$9, 100%, $F$9) + CHOOSE(CONTROL!$C$27, 0.0021, 0)</f>
        <v>86.157399999999996</v>
      </c>
      <c r="E950" s="10">
        <f>86.0187 * CHOOSE(CONTROL!$C$9, $D$9, 100%, $F$9) + CHOOSE(CONTROL!$C$27, 0.0021, 0)</f>
        <v>86.020799999999994</v>
      </c>
      <c r="F950" s="10">
        <f>86.0187 * CHOOSE(CONTROL!$C$9, $D$9, 100%, $F$9) + CHOOSE(CONTROL!$C$27, 0.0021, 0)</f>
        <v>86.020799999999994</v>
      </c>
      <c r="G950" s="10">
        <f>86.2901 * CHOOSE(CONTROL!$C$9, $D$9, 100%, $F$9) + CHOOSE(CONTROL!$C$27, 0.0021, 0)</f>
        <v>86.292199999999994</v>
      </c>
      <c r="H950" s="10">
        <f>86.1553 * CHOOSE(CONTROL!$C$9, $D$9, 100%, $F$9) + CHOOSE(CONTROL!$C$27, 0.0021, 0)</f>
        <v>86.157399999999996</v>
      </c>
      <c r="I950" s="10">
        <f>86.1553 * CHOOSE(CONTROL!$C$9, $D$9, 100%, $F$9) + CHOOSE(CONTROL!$C$27, 0.0021, 0)</f>
        <v>86.157399999999996</v>
      </c>
      <c r="J950" s="10">
        <f>86.1553 * CHOOSE(CONTROL!$C$9, $D$9, 100%, $F$9) + CHOOSE(CONTROL!$C$27, 0.0021, 0)</f>
        <v>86.157399999999996</v>
      </c>
      <c r="K950" s="10">
        <f>86.1553 * CHOOSE(CONTROL!$C$9, $D$9, 100%, $F$9) + CHOOSE(CONTROL!$C$27, 0.0021, 0)</f>
        <v>86.157399999999996</v>
      </c>
      <c r="L950" s="10"/>
    </row>
    <row r="951" spans="1:12" ht="15.75" x14ac:dyDescent="0.25">
      <c r="A951" s="13">
        <v>70249</v>
      </c>
      <c r="B951" s="10">
        <f>85.3635 * CHOOSE(CONTROL!$C$9, $D$9, 100%, $F$9) + CHOOSE(CONTROL!$C$27, 0.0021, 0)</f>
        <v>85.365600000000001</v>
      </c>
      <c r="C951" s="10">
        <f>84.9312 * CHOOSE(CONTROL!$C$9, $D$9, 100%, $F$9) + CHOOSE(CONTROL!$C$27, 0.0021, 0)</f>
        <v>84.933300000000003</v>
      </c>
      <c r="D951" s="10">
        <f>84.9312 * CHOOSE(CONTROL!$C$9, $D$9, 100%, $F$9) + CHOOSE(CONTROL!$C$27, 0.0021, 0)</f>
        <v>84.933300000000003</v>
      </c>
      <c r="E951" s="10">
        <f>84.7946 * CHOOSE(CONTROL!$C$9, $D$9, 100%, $F$9) + CHOOSE(CONTROL!$C$27, 0.0021, 0)</f>
        <v>84.796700000000001</v>
      </c>
      <c r="F951" s="10">
        <f>84.7946 * CHOOSE(CONTROL!$C$9, $D$9, 100%, $F$9) + CHOOSE(CONTROL!$C$27, 0.0021, 0)</f>
        <v>84.796700000000001</v>
      </c>
      <c r="G951" s="10">
        <f>85.0659 * CHOOSE(CONTROL!$C$9, $D$9, 100%, $F$9) + CHOOSE(CONTROL!$C$27, 0.0021, 0)</f>
        <v>85.067999999999998</v>
      </c>
      <c r="H951" s="10">
        <f>84.9312 * CHOOSE(CONTROL!$C$9, $D$9, 100%, $F$9) + CHOOSE(CONTROL!$C$27, 0.0021, 0)</f>
        <v>84.933300000000003</v>
      </c>
      <c r="I951" s="10">
        <f>84.9312 * CHOOSE(CONTROL!$C$9, $D$9, 100%, $F$9) + CHOOSE(CONTROL!$C$27, 0.0021, 0)</f>
        <v>84.933300000000003</v>
      </c>
      <c r="J951" s="10">
        <f>84.9312 * CHOOSE(CONTROL!$C$9, $D$9, 100%, $F$9) + CHOOSE(CONTROL!$C$27, 0.0021, 0)</f>
        <v>84.933300000000003</v>
      </c>
      <c r="K951" s="10">
        <f>84.9312 * CHOOSE(CONTROL!$C$9, $D$9, 100%, $F$9) + CHOOSE(CONTROL!$C$27, 0.0021, 0)</f>
        <v>84.933300000000003</v>
      </c>
      <c r="L951" s="10"/>
    </row>
    <row r="952" spans="1:12" ht="15.75" x14ac:dyDescent="0.25">
      <c r="A952" s="13">
        <v>70280</v>
      </c>
      <c r="B952" s="10">
        <f>87.108 * CHOOSE(CONTROL!$C$9, $D$9, 100%, $F$9) + CHOOSE(CONTROL!$C$27, 0.0021, 0)</f>
        <v>87.110100000000003</v>
      </c>
      <c r="C952" s="10">
        <f>86.6757 * CHOOSE(CONTROL!$C$9, $D$9, 100%, $F$9) + CHOOSE(CONTROL!$C$27, 0.0021, 0)</f>
        <v>86.677800000000005</v>
      </c>
      <c r="D952" s="10">
        <f>86.6757 * CHOOSE(CONTROL!$C$9, $D$9, 100%, $F$9) + CHOOSE(CONTROL!$C$27, 0.0021, 0)</f>
        <v>86.677800000000005</v>
      </c>
      <c r="E952" s="10">
        <f>86.5391 * CHOOSE(CONTROL!$C$9, $D$9, 100%, $F$9) + CHOOSE(CONTROL!$C$27, 0.0021, 0)</f>
        <v>86.541200000000003</v>
      </c>
      <c r="F952" s="10">
        <f>86.5391 * CHOOSE(CONTROL!$C$9, $D$9, 100%, $F$9) + CHOOSE(CONTROL!$C$27, 0.0021, 0)</f>
        <v>86.541200000000003</v>
      </c>
      <c r="G952" s="10">
        <f>86.8105 * CHOOSE(CONTROL!$C$9, $D$9, 100%, $F$9) + CHOOSE(CONTROL!$C$27, 0.0021, 0)</f>
        <v>86.812600000000003</v>
      </c>
      <c r="H952" s="10">
        <f>86.6757 * CHOOSE(CONTROL!$C$9, $D$9, 100%, $F$9) + CHOOSE(CONTROL!$C$27, 0.0021, 0)</f>
        <v>86.677800000000005</v>
      </c>
      <c r="I952" s="10">
        <f>86.6757 * CHOOSE(CONTROL!$C$9, $D$9, 100%, $F$9) + CHOOSE(CONTROL!$C$27, 0.0021, 0)</f>
        <v>86.677800000000005</v>
      </c>
      <c r="J952" s="10">
        <f>86.6757 * CHOOSE(CONTROL!$C$9, $D$9, 100%, $F$9) + CHOOSE(CONTROL!$C$27, 0.0021, 0)</f>
        <v>86.677800000000005</v>
      </c>
      <c r="K952" s="10">
        <f>86.6757 * CHOOSE(CONTROL!$C$9, $D$9, 100%, $F$9) + CHOOSE(CONTROL!$C$27, 0.0021, 0)</f>
        <v>86.677800000000005</v>
      </c>
      <c r="L952" s="10"/>
    </row>
    <row r="953" spans="1:12" ht="15.75" x14ac:dyDescent="0.25">
      <c r="A953" s="13">
        <v>70310</v>
      </c>
      <c r="B953" s="10">
        <f>88.1529 * CHOOSE(CONTROL!$C$9, $D$9, 100%, $F$9) + CHOOSE(CONTROL!$C$27, 0.0021, 0)</f>
        <v>88.155000000000001</v>
      </c>
      <c r="C953" s="10">
        <f>87.7206 * CHOOSE(CONTROL!$C$9, $D$9, 100%, $F$9) + CHOOSE(CONTROL!$C$27, 0.0021, 0)</f>
        <v>87.722700000000003</v>
      </c>
      <c r="D953" s="10">
        <f>87.7206 * CHOOSE(CONTROL!$C$9, $D$9, 100%, $F$9) + CHOOSE(CONTROL!$C$27, 0.0021, 0)</f>
        <v>87.722700000000003</v>
      </c>
      <c r="E953" s="10">
        <f>87.584 * CHOOSE(CONTROL!$C$9, $D$9, 100%, $F$9) + CHOOSE(CONTROL!$C$27, 0.0021, 0)</f>
        <v>87.586100000000002</v>
      </c>
      <c r="F953" s="10">
        <f>87.584 * CHOOSE(CONTROL!$C$9, $D$9, 100%, $F$9) + CHOOSE(CONTROL!$C$27, 0.0021, 0)</f>
        <v>87.586100000000002</v>
      </c>
      <c r="G953" s="10">
        <f>87.8554 * CHOOSE(CONTROL!$C$9, $D$9, 100%, $F$9) + CHOOSE(CONTROL!$C$27, 0.0021, 0)</f>
        <v>87.857500000000002</v>
      </c>
      <c r="H953" s="10">
        <f>87.7206 * CHOOSE(CONTROL!$C$9, $D$9, 100%, $F$9) + CHOOSE(CONTROL!$C$27, 0.0021, 0)</f>
        <v>87.722700000000003</v>
      </c>
      <c r="I953" s="10">
        <f>87.7206 * CHOOSE(CONTROL!$C$9, $D$9, 100%, $F$9) + CHOOSE(CONTROL!$C$27, 0.0021, 0)</f>
        <v>87.722700000000003</v>
      </c>
      <c r="J953" s="10">
        <f>87.7206 * CHOOSE(CONTROL!$C$9, $D$9, 100%, $F$9) + CHOOSE(CONTROL!$C$27, 0.0021, 0)</f>
        <v>87.722700000000003</v>
      </c>
      <c r="K953" s="10">
        <f>87.7206 * CHOOSE(CONTROL!$C$9, $D$9, 100%, $F$9) + CHOOSE(CONTROL!$C$27, 0.0021, 0)</f>
        <v>87.722700000000003</v>
      </c>
      <c r="L953" s="10"/>
    </row>
    <row r="954" spans="1:12" ht="15.75" x14ac:dyDescent="0.25">
      <c r="A954" s="13">
        <v>70341</v>
      </c>
      <c r="B954" s="10">
        <f>89.8766 * CHOOSE(CONTROL!$C$9, $D$9, 100%, $F$9) + CHOOSE(CONTROL!$C$27, 0.0021, 0)</f>
        <v>89.878699999999995</v>
      </c>
      <c r="C954" s="10">
        <f>89.4444 * CHOOSE(CONTROL!$C$9, $D$9, 100%, $F$9) + CHOOSE(CONTROL!$C$27, 0.0021, 0)</f>
        <v>89.4465</v>
      </c>
      <c r="D954" s="10">
        <f>89.4444 * CHOOSE(CONTROL!$C$9, $D$9, 100%, $F$9) + CHOOSE(CONTROL!$C$27, 0.0021, 0)</f>
        <v>89.4465</v>
      </c>
      <c r="E954" s="10">
        <f>89.3077 * CHOOSE(CONTROL!$C$9, $D$9, 100%, $F$9) + CHOOSE(CONTROL!$C$27, 0.0021, 0)</f>
        <v>89.309799999999996</v>
      </c>
      <c r="F954" s="10">
        <f>89.3077 * CHOOSE(CONTROL!$C$9, $D$9, 100%, $F$9) + CHOOSE(CONTROL!$C$27, 0.0021, 0)</f>
        <v>89.309799999999996</v>
      </c>
      <c r="G954" s="10">
        <f>89.5791 * CHOOSE(CONTROL!$C$9, $D$9, 100%, $F$9) + CHOOSE(CONTROL!$C$27, 0.0021, 0)</f>
        <v>89.581199999999995</v>
      </c>
      <c r="H954" s="10">
        <f>89.4444 * CHOOSE(CONTROL!$C$9, $D$9, 100%, $F$9) + CHOOSE(CONTROL!$C$27, 0.0021, 0)</f>
        <v>89.4465</v>
      </c>
      <c r="I954" s="10">
        <f>89.4444 * CHOOSE(CONTROL!$C$9, $D$9, 100%, $F$9) + CHOOSE(CONTROL!$C$27, 0.0021, 0)</f>
        <v>89.4465</v>
      </c>
      <c r="J954" s="10">
        <f>89.4444 * CHOOSE(CONTROL!$C$9, $D$9, 100%, $F$9) + CHOOSE(CONTROL!$C$27, 0.0021, 0)</f>
        <v>89.4465</v>
      </c>
      <c r="K954" s="10">
        <f>89.4444 * CHOOSE(CONTROL!$C$9, $D$9, 100%, $F$9) + CHOOSE(CONTROL!$C$27, 0.0021, 0)</f>
        <v>89.4465</v>
      </c>
      <c r="L954" s="10"/>
    </row>
    <row r="955" spans="1:12" ht="15.75" x14ac:dyDescent="0.25">
      <c r="A955" s="13">
        <v>70372</v>
      </c>
      <c r="B955" s="10">
        <f>90.4027 * CHOOSE(CONTROL!$C$9, $D$9, 100%, $F$9) + CHOOSE(CONTROL!$C$27, 0.0021, 0)</f>
        <v>90.404799999999994</v>
      </c>
      <c r="C955" s="10">
        <f>89.9705 * CHOOSE(CONTROL!$C$9, $D$9, 100%, $F$9) + CHOOSE(CONTROL!$C$27, 0.0021, 0)</f>
        <v>89.9726</v>
      </c>
      <c r="D955" s="10">
        <f>89.9705 * CHOOSE(CONTROL!$C$9, $D$9, 100%, $F$9) + CHOOSE(CONTROL!$C$27, 0.0021, 0)</f>
        <v>89.9726</v>
      </c>
      <c r="E955" s="10">
        <f>89.8338 * CHOOSE(CONTROL!$C$9, $D$9, 100%, $F$9) + CHOOSE(CONTROL!$C$27, 0.0021, 0)</f>
        <v>89.835899999999995</v>
      </c>
      <c r="F955" s="10">
        <f>89.8338 * CHOOSE(CONTROL!$C$9, $D$9, 100%, $F$9) + CHOOSE(CONTROL!$C$27, 0.0021, 0)</f>
        <v>89.835899999999995</v>
      </c>
      <c r="G955" s="10">
        <f>90.1052 * CHOOSE(CONTROL!$C$9, $D$9, 100%, $F$9) + CHOOSE(CONTROL!$C$27, 0.0021, 0)</f>
        <v>90.107299999999995</v>
      </c>
      <c r="H955" s="10">
        <f>89.9705 * CHOOSE(CONTROL!$C$9, $D$9, 100%, $F$9) + CHOOSE(CONTROL!$C$27, 0.0021, 0)</f>
        <v>89.9726</v>
      </c>
      <c r="I955" s="10">
        <f>89.9705 * CHOOSE(CONTROL!$C$9, $D$9, 100%, $F$9) + CHOOSE(CONTROL!$C$27, 0.0021, 0)</f>
        <v>89.9726</v>
      </c>
      <c r="J955" s="10">
        <f>89.9705 * CHOOSE(CONTROL!$C$9, $D$9, 100%, $F$9) + CHOOSE(CONTROL!$C$27, 0.0021, 0)</f>
        <v>89.9726</v>
      </c>
      <c r="K955" s="10">
        <f>89.9705 * CHOOSE(CONTROL!$C$9, $D$9, 100%, $F$9) + CHOOSE(CONTROL!$C$27, 0.0021, 0)</f>
        <v>89.9726</v>
      </c>
      <c r="L955" s="10"/>
    </row>
    <row r="956" spans="1:12" ht="15.75" x14ac:dyDescent="0.25">
      <c r="A956" s="13">
        <v>70402</v>
      </c>
      <c r="B956" s="10">
        <f>92.1945 * CHOOSE(CONTROL!$C$9, $D$9, 100%, $F$9) + CHOOSE(CONTROL!$C$27, 0.0021, 0)</f>
        <v>92.196600000000004</v>
      </c>
      <c r="C956" s="10">
        <f>91.7622 * CHOOSE(CONTROL!$C$9, $D$9, 100%, $F$9) + CHOOSE(CONTROL!$C$27, 0.0021, 0)</f>
        <v>91.764300000000006</v>
      </c>
      <c r="D956" s="10">
        <f>91.7622 * CHOOSE(CONTROL!$C$9, $D$9, 100%, $F$9) + CHOOSE(CONTROL!$C$27, 0.0021, 0)</f>
        <v>91.764300000000006</v>
      </c>
      <c r="E956" s="10">
        <f>91.6255 * CHOOSE(CONTROL!$C$9, $D$9, 100%, $F$9) + CHOOSE(CONTROL!$C$27, 0.0021, 0)</f>
        <v>91.627600000000001</v>
      </c>
      <c r="F956" s="10">
        <f>91.6255 * CHOOSE(CONTROL!$C$9, $D$9, 100%, $F$9) + CHOOSE(CONTROL!$C$27, 0.0021, 0)</f>
        <v>91.627600000000001</v>
      </c>
      <c r="G956" s="10">
        <f>91.8969 * CHOOSE(CONTROL!$C$9, $D$9, 100%, $F$9) + CHOOSE(CONTROL!$C$27, 0.0021, 0)</f>
        <v>91.899000000000001</v>
      </c>
      <c r="H956" s="10">
        <f>91.7622 * CHOOSE(CONTROL!$C$9, $D$9, 100%, $F$9) + CHOOSE(CONTROL!$C$27, 0.0021, 0)</f>
        <v>91.764300000000006</v>
      </c>
      <c r="I956" s="10">
        <f>91.7622 * CHOOSE(CONTROL!$C$9, $D$9, 100%, $F$9) + CHOOSE(CONTROL!$C$27, 0.0021, 0)</f>
        <v>91.764300000000006</v>
      </c>
      <c r="J956" s="10">
        <f>91.7622 * CHOOSE(CONTROL!$C$9, $D$9, 100%, $F$9) + CHOOSE(CONTROL!$C$27, 0.0021, 0)</f>
        <v>91.764300000000006</v>
      </c>
      <c r="K956" s="10">
        <f>91.7622 * CHOOSE(CONTROL!$C$9, $D$9, 100%, $F$9) + CHOOSE(CONTROL!$C$27, 0.0021, 0)</f>
        <v>91.764300000000006</v>
      </c>
      <c r="L956" s="10"/>
    </row>
    <row r="957" spans="1:12" ht="15.75" x14ac:dyDescent="0.25">
      <c r="A957" s="13">
        <v>70433</v>
      </c>
      <c r="B957" s="10">
        <f>94.4625 * CHOOSE(CONTROL!$C$9, $D$9, 100%, $F$9) + CHOOSE(CONTROL!$C$27, 0.0021, 0)</f>
        <v>94.464600000000004</v>
      </c>
      <c r="C957" s="10">
        <f>94.0302 * CHOOSE(CONTROL!$C$9, $D$9, 100%, $F$9) + CHOOSE(CONTROL!$C$27, 0.0021, 0)</f>
        <v>94.032299999999992</v>
      </c>
      <c r="D957" s="10">
        <f>94.0302 * CHOOSE(CONTROL!$C$9, $D$9, 100%, $F$9) + CHOOSE(CONTROL!$C$27, 0.0021, 0)</f>
        <v>94.032299999999992</v>
      </c>
      <c r="E957" s="10">
        <f>93.8936 * CHOOSE(CONTROL!$C$9, $D$9, 100%, $F$9) + CHOOSE(CONTROL!$C$27, 0.0021, 0)</f>
        <v>93.895700000000005</v>
      </c>
      <c r="F957" s="10">
        <f>93.8936 * CHOOSE(CONTROL!$C$9, $D$9, 100%, $F$9) + CHOOSE(CONTROL!$C$27, 0.0021, 0)</f>
        <v>93.895700000000005</v>
      </c>
      <c r="G957" s="10">
        <f>94.1649 * CHOOSE(CONTROL!$C$9, $D$9, 100%, $F$9) + CHOOSE(CONTROL!$C$27, 0.0021, 0)</f>
        <v>94.167000000000002</v>
      </c>
      <c r="H957" s="10">
        <f>94.0302 * CHOOSE(CONTROL!$C$9, $D$9, 100%, $F$9) + CHOOSE(CONTROL!$C$27, 0.0021, 0)</f>
        <v>94.032299999999992</v>
      </c>
      <c r="I957" s="10">
        <f>94.0302 * CHOOSE(CONTROL!$C$9, $D$9, 100%, $F$9) + CHOOSE(CONTROL!$C$27, 0.0021, 0)</f>
        <v>94.032299999999992</v>
      </c>
      <c r="J957" s="10">
        <f>94.0302 * CHOOSE(CONTROL!$C$9, $D$9, 100%, $F$9) + CHOOSE(CONTROL!$C$27, 0.0021, 0)</f>
        <v>94.032299999999992</v>
      </c>
      <c r="K957" s="10">
        <f>94.0302 * CHOOSE(CONTROL!$C$9, $D$9, 100%, $F$9) + CHOOSE(CONTROL!$C$27, 0.0021, 0)</f>
        <v>94.032299999999992</v>
      </c>
      <c r="L957" s="10"/>
    </row>
    <row r="958" spans="1:12" ht="15.75" x14ac:dyDescent="0.25">
      <c r="A958" s="13">
        <v>70463</v>
      </c>
      <c r="B958" s="10">
        <f>94.6754 * CHOOSE(CONTROL!$C$9, $D$9, 100%, $F$9) + CHOOSE(CONTROL!$C$27, 0.0021, 0)</f>
        <v>94.677499999999995</v>
      </c>
      <c r="C958" s="10">
        <f>94.2431 * CHOOSE(CONTROL!$C$9, $D$9, 100%, $F$9) + CHOOSE(CONTROL!$C$27, 0.0021, 0)</f>
        <v>94.245199999999997</v>
      </c>
      <c r="D958" s="10">
        <f>94.2431 * CHOOSE(CONTROL!$C$9, $D$9, 100%, $F$9) + CHOOSE(CONTROL!$C$27, 0.0021, 0)</f>
        <v>94.245199999999997</v>
      </c>
      <c r="E958" s="10">
        <f>94.1065 * CHOOSE(CONTROL!$C$9, $D$9, 100%, $F$9) + CHOOSE(CONTROL!$C$27, 0.0021, 0)</f>
        <v>94.108599999999996</v>
      </c>
      <c r="F958" s="10">
        <f>94.1065 * CHOOSE(CONTROL!$C$9, $D$9, 100%, $F$9) + CHOOSE(CONTROL!$C$27, 0.0021, 0)</f>
        <v>94.108599999999996</v>
      </c>
      <c r="G958" s="10">
        <f>94.3778 * CHOOSE(CONTROL!$C$9, $D$9, 100%, $F$9) + CHOOSE(CONTROL!$C$27, 0.0021, 0)</f>
        <v>94.379899999999992</v>
      </c>
      <c r="H958" s="10">
        <f>94.2431 * CHOOSE(CONTROL!$C$9, $D$9, 100%, $F$9) + CHOOSE(CONTROL!$C$27, 0.0021, 0)</f>
        <v>94.245199999999997</v>
      </c>
      <c r="I958" s="10">
        <f>94.2431 * CHOOSE(CONTROL!$C$9, $D$9, 100%, $F$9) + CHOOSE(CONTROL!$C$27, 0.0021, 0)</f>
        <v>94.245199999999997</v>
      </c>
      <c r="J958" s="10">
        <f>94.2431 * CHOOSE(CONTROL!$C$9, $D$9, 100%, $F$9) + CHOOSE(CONTROL!$C$27, 0.0021, 0)</f>
        <v>94.245199999999997</v>
      </c>
      <c r="K958" s="10">
        <f>94.2431 * CHOOSE(CONTROL!$C$9, $D$9, 100%, $F$9) + CHOOSE(CONTROL!$C$27, 0.0021, 0)</f>
        <v>94.245199999999997</v>
      </c>
      <c r="L958" s="10"/>
    </row>
    <row r="959" spans="1:12" ht="15.75" x14ac:dyDescent="0.25">
      <c r="A959" s="13">
        <v>70494</v>
      </c>
      <c r="B959" s="10">
        <f>92.864 * CHOOSE(CONTROL!$C$9, $D$9, 100%, $F$9) + CHOOSE(CONTROL!$C$27, 0.0021, 0)</f>
        <v>92.866100000000003</v>
      </c>
      <c r="C959" s="10">
        <f>92.4317 * CHOOSE(CONTROL!$C$9, $D$9, 100%, $F$9) + CHOOSE(CONTROL!$C$27, 0.0021, 0)</f>
        <v>92.433800000000005</v>
      </c>
      <c r="D959" s="10">
        <f>92.4317 * CHOOSE(CONTROL!$C$9, $D$9, 100%, $F$9) + CHOOSE(CONTROL!$C$27, 0.0021, 0)</f>
        <v>92.433800000000005</v>
      </c>
      <c r="E959" s="10">
        <f>92.2951 * CHOOSE(CONTROL!$C$9, $D$9, 100%, $F$9) + CHOOSE(CONTROL!$C$27, 0.0021, 0)</f>
        <v>92.297200000000004</v>
      </c>
      <c r="F959" s="10">
        <f>92.2951 * CHOOSE(CONTROL!$C$9, $D$9, 100%, $F$9) + CHOOSE(CONTROL!$C$27, 0.0021, 0)</f>
        <v>92.297200000000004</v>
      </c>
      <c r="G959" s="10">
        <f>92.5664 * CHOOSE(CONTROL!$C$9, $D$9, 100%, $F$9) + CHOOSE(CONTROL!$C$27, 0.0021, 0)</f>
        <v>92.5685</v>
      </c>
      <c r="H959" s="10">
        <f>92.4317 * CHOOSE(CONTROL!$C$9, $D$9, 100%, $F$9) + CHOOSE(CONTROL!$C$27, 0.0021, 0)</f>
        <v>92.433800000000005</v>
      </c>
      <c r="I959" s="10">
        <f>92.4317 * CHOOSE(CONTROL!$C$9, $D$9, 100%, $F$9) + CHOOSE(CONTROL!$C$27, 0.0021, 0)</f>
        <v>92.433800000000005</v>
      </c>
      <c r="J959" s="10">
        <f>92.4317 * CHOOSE(CONTROL!$C$9, $D$9, 100%, $F$9) + CHOOSE(CONTROL!$C$27, 0.0021, 0)</f>
        <v>92.433800000000005</v>
      </c>
      <c r="K959" s="10">
        <f>92.4317 * CHOOSE(CONTROL!$C$9, $D$9, 100%, $F$9) + CHOOSE(CONTROL!$C$27, 0.0021, 0)</f>
        <v>92.433800000000005</v>
      </c>
      <c r="L959" s="10"/>
    </row>
    <row r="960" spans="1:12" ht="15.75" x14ac:dyDescent="0.25">
      <c r="A960" s="13">
        <v>70525</v>
      </c>
      <c r="B960" s="10">
        <f>91.4771 * CHOOSE(CONTROL!$C$9, $D$9, 100%, $F$9) + CHOOSE(CONTROL!$C$27, 0.0021, 0)</f>
        <v>91.479199999999992</v>
      </c>
      <c r="C960" s="10">
        <f>91.0448 * CHOOSE(CONTROL!$C$9, $D$9, 100%, $F$9) + CHOOSE(CONTROL!$C$27, 0.0021, 0)</f>
        <v>91.046899999999994</v>
      </c>
      <c r="D960" s="10">
        <f>91.0448 * CHOOSE(CONTROL!$C$9, $D$9, 100%, $F$9) + CHOOSE(CONTROL!$C$27, 0.0021, 0)</f>
        <v>91.046899999999994</v>
      </c>
      <c r="E960" s="10">
        <f>90.9082 * CHOOSE(CONTROL!$C$9, $D$9, 100%, $F$9) + CHOOSE(CONTROL!$C$27, 0.0021, 0)</f>
        <v>90.910299999999992</v>
      </c>
      <c r="F960" s="10">
        <f>90.9082 * CHOOSE(CONTROL!$C$9, $D$9, 100%, $F$9) + CHOOSE(CONTROL!$C$27, 0.0021, 0)</f>
        <v>90.910299999999992</v>
      </c>
      <c r="G960" s="10">
        <f>91.1796 * CHOOSE(CONTROL!$C$9, $D$9, 100%, $F$9) + CHOOSE(CONTROL!$C$27, 0.0021, 0)</f>
        <v>91.181699999999992</v>
      </c>
      <c r="H960" s="10">
        <f>91.0448 * CHOOSE(CONTROL!$C$9, $D$9, 100%, $F$9) + CHOOSE(CONTROL!$C$27, 0.0021, 0)</f>
        <v>91.046899999999994</v>
      </c>
      <c r="I960" s="10">
        <f>91.0448 * CHOOSE(CONTROL!$C$9, $D$9, 100%, $F$9) + CHOOSE(CONTROL!$C$27, 0.0021, 0)</f>
        <v>91.046899999999994</v>
      </c>
      <c r="J960" s="10">
        <f>91.0448 * CHOOSE(CONTROL!$C$9, $D$9, 100%, $F$9) + CHOOSE(CONTROL!$C$27, 0.0021, 0)</f>
        <v>91.046899999999994</v>
      </c>
      <c r="K960" s="10">
        <f>91.0448 * CHOOSE(CONTROL!$C$9, $D$9, 100%, $F$9) + CHOOSE(CONTROL!$C$27, 0.0021, 0)</f>
        <v>91.046899999999994</v>
      </c>
      <c r="L960" s="10"/>
    </row>
    <row r="961" spans="1:12" ht="15.75" x14ac:dyDescent="0.25">
      <c r="A961" s="13">
        <v>70553</v>
      </c>
      <c r="B961" s="10">
        <f>88.9545 * CHOOSE(CONTROL!$C$9, $D$9, 100%, $F$9) + CHOOSE(CONTROL!$C$27, 0.0021, 0)</f>
        <v>88.956599999999995</v>
      </c>
      <c r="C961" s="10">
        <f>88.5222 * CHOOSE(CONTROL!$C$9, $D$9, 100%, $F$9) + CHOOSE(CONTROL!$C$27, 0.0021, 0)</f>
        <v>88.524299999999997</v>
      </c>
      <c r="D961" s="10">
        <f>88.5222 * CHOOSE(CONTROL!$C$9, $D$9, 100%, $F$9) + CHOOSE(CONTROL!$C$27, 0.0021, 0)</f>
        <v>88.524299999999997</v>
      </c>
      <c r="E961" s="10">
        <f>88.3856 * CHOOSE(CONTROL!$C$9, $D$9, 100%, $F$9) + CHOOSE(CONTROL!$C$27, 0.0021, 0)</f>
        <v>88.387699999999995</v>
      </c>
      <c r="F961" s="10">
        <f>88.3856 * CHOOSE(CONTROL!$C$9, $D$9, 100%, $F$9) + CHOOSE(CONTROL!$C$27, 0.0021, 0)</f>
        <v>88.387699999999995</v>
      </c>
      <c r="G961" s="10">
        <f>88.6569 * CHOOSE(CONTROL!$C$9, $D$9, 100%, $F$9) + CHOOSE(CONTROL!$C$27, 0.0021, 0)</f>
        <v>88.658999999999992</v>
      </c>
      <c r="H961" s="10">
        <f>88.5222 * CHOOSE(CONTROL!$C$9, $D$9, 100%, $F$9) + CHOOSE(CONTROL!$C$27, 0.0021, 0)</f>
        <v>88.524299999999997</v>
      </c>
      <c r="I961" s="10">
        <f>88.5222 * CHOOSE(CONTROL!$C$9, $D$9, 100%, $F$9) + CHOOSE(CONTROL!$C$27, 0.0021, 0)</f>
        <v>88.524299999999997</v>
      </c>
      <c r="J961" s="10">
        <f>88.5222 * CHOOSE(CONTROL!$C$9, $D$9, 100%, $F$9) + CHOOSE(CONTROL!$C$27, 0.0021, 0)</f>
        <v>88.524299999999997</v>
      </c>
      <c r="K961" s="10">
        <f>88.5222 * CHOOSE(CONTROL!$C$9, $D$9, 100%, $F$9) + CHOOSE(CONTROL!$C$27, 0.0021, 0)</f>
        <v>88.524299999999997</v>
      </c>
      <c r="L961" s="10"/>
    </row>
    <row r="962" spans="1:12" ht="15.75" x14ac:dyDescent="0.25">
      <c r="A962" s="13">
        <v>70584</v>
      </c>
      <c r="B962" s="10">
        <f>87.9131 * CHOOSE(CONTROL!$C$9, $D$9, 100%, $F$9) + CHOOSE(CONTROL!$C$27, 0.0021, 0)</f>
        <v>87.915199999999999</v>
      </c>
      <c r="C962" s="10">
        <f>87.4809 * CHOOSE(CONTROL!$C$9, $D$9, 100%, $F$9) + CHOOSE(CONTROL!$C$27, 0.0021, 0)</f>
        <v>87.483000000000004</v>
      </c>
      <c r="D962" s="10">
        <f>87.4809 * CHOOSE(CONTROL!$C$9, $D$9, 100%, $F$9) + CHOOSE(CONTROL!$C$27, 0.0021, 0)</f>
        <v>87.483000000000004</v>
      </c>
      <c r="E962" s="10">
        <f>87.3442 * CHOOSE(CONTROL!$C$9, $D$9, 100%, $F$9) + CHOOSE(CONTROL!$C$27, 0.0021, 0)</f>
        <v>87.346299999999999</v>
      </c>
      <c r="F962" s="10">
        <f>87.3442 * CHOOSE(CONTROL!$C$9, $D$9, 100%, $F$9) + CHOOSE(CONTROL!$C$27, 0.0021, 0)</f>
        <v>87.346299999999999</v>
      </c>
      <c r="G962" s="10">
        <f>87.6156 * CHOOSE(CONTROL!$C$9, $D$9, 100%, $F$9) + CHOOSE(CONTROL!$C$27, 0.0021, 0)</f>
        <v>87.617699999999999</v>
      </c>
      <c r="H962" s="10">
        <f>87.4809 * CHOOSE(CONTROL!$C$9, $D$9, 100%, $F$9) + CHOOSE(CONTROL!$C$27, 0.0021, 0)</f>
        <v>87.483000000000004</v>
      </c>
      <c r="I962" s="10">
        <f>87.4809 * CHOOSE(CONTROL!$C$9, $D$9, 100%, $F$9) + CHOOSE(CONTROL!$C$27, 0.0021, 0)</f>
        <v>87.483000000000004</v>
      </c>
      <c r="J962" s="10">
        <f>87.4809 * CHOOSE(CONTROL!$C$9, $D$9, 100%, $F$9) + CHOOSE(CONTROL!$C$27, 0.0021, 0)</f>
        <v>87.483000000000004</v>
      </c>
      <c r="K962" s="10">
        <f>87.4809 * CHOOSE(CONTROL!$C$9, $D$9, 100%, $F$9) + CHOOSE(CONTROL!$C$27, 0.0021, 0)</f>
        <v>87.483000000000004</v>
      </c>
      <c r="L962" s="10"/>
    </row>
    <row r="963" spans="1:12" ht="15.75" x14ac:dyDescent="0.25">
      <c r="A963" s="13">
        <v>70614</v>
      </c>
      <c r="B963" s="10">
        <f>86.6697 * CHOOSE(CONTROL!$C$9, $D$9, 100%, $F$9) + CHOOSE(CONTROL!$C$27, 0.0021, 0)</f>
        <v>86.671800000000005</v>
      </c>
      <c r="C963" s="10">
        <f>86.2375 * CHOOSE(CONTROL!$C$9, $D$9, 100%, $F$9) + CHOOSE(CONTROL!$C$27, 0.0021, 0)</f>
        <v>86.239599999999996</v>
      </c>
      <c r="D963" s="10">
        <f>86.2375 * CHOOSE(CONTROL!$C$9, $D$9, 100%, $F$9) + CHOOSE(CONTROL!$C$27, 0.0021, 0)</f>
        <v>86.239599999999996</v>
      </c>
      <c r="E963" s="10">
        <f>86.1008 * CHOOSE(CONTROL!$C$9, $D$9, 100%, $F$9) + CHOOSE(CONTROL!$C$27, 0.0021, 0)</f>
        <v>86.102900000000005</v>
      </c>
      <c r="F963" s="10">
        <f>86.1008 * CHOOSE(CONTROL!$C$9, $D$9, 100%, $F$9) + CHOOSE(CONTROL!$C$27, 0.0021, 0)</f>
        <v>86.102900000000005</v>
      </c>
      <c r="G963" s="10">
        <f>86.3722 * CHOOSE(CONTROL!$C$9, $D$9, 100%, $F$9) + CHOOSE(CONTROL!$C$27, 0.0021, 0)</f>
        <v>86.374300000000005</v>
      </c>
      <c r="H963" s="10">
        <f>86.2375 * CHOOSE(CONTROL!$C$9, $D$9, 100%, $F$9) + CHOOSE(CONTROL!$C$27, 0.0021, 0)</f>
        <v>86.239599999999996</v>
      </c>
      <c r="I963" s="10">
        <f>86.2375 * CHOOSE(CONTROL!$C$9, $D$9, 100%, $F$9) + CHOOSE(CONTROL!$C$27, 0.0021, 0)</f>
        <v>86.239599999999996</v>
      </c>
      <c r="J963" s="10">
        <f>86.2375 * CHOOSE(CONTROL!$C$9, $D$9, 100%, $F$9) + CHOOSE(CONTROL!$C$27, 0.0021, 0)</f>
        <v>86.239599999999996</v>
      </c>
      <c r="K963" s="10">
        <f>86.2375 * CHOOSE(CONTROL!$C$9, $D$9, 100%, $F$9) + CHOOSE(CONTROL!$C$27, 0.0021, 0)</f>
        <v>86.239599999999996</v>
      </c>
      <c r="L963" s="10"/>
    </row>
    <row r="964" spans="1:12" ht="15.75" x14ac:dyDescent="0.25">
      <c r="A964" s="13">
        <v>70645</v>
      </c>
      <c r="B964" s="10">
        <f>88.4417 * CHOOSE(CONTROL!$C$9, $D$9, 100%, $F$9) + CHOOSE(CONTROL!$C$27, 0.0021, 0)</f>
        <v>88.443799999999996</v>
      </c>
      <c r="C964" s="10">
        <f>88.0095 * CHOOSE(CONTROL!$C$9, $D$9, 100%, $F$9) + CHOOSE(CONTROL!$C$27, 0.0021, 0)</f>
        <v>88.011600000000001</v>
      </c>
      <c r="D964" s="10">
        <f>88.0095 * CHOOSE(CONTROL!$C$9, $D$9, 100%, $F$9) + CHOOSE(CONTROL!$C$27, 0.0021, 0)</f>
        <v>88.011600000000001</v>
      </c>
      <c r="E964" s="10">
        <f>87.8728 * CHOOSE(CONTROL!$C$9, $D$9, 100%, $F$9) + CHOOSE(CONTROL!$C$27, 0.0021, 0)</f>
        <v>87.874899999999997</v>
      </c>
      <c r="F964" s="10">
        <f>87.8728 * CHOOSE(CONTROL!$C$9, $D$9, 100%, $F$9) + CHOOSE(CONTROL!$C$27, 0.0021, 0)</f>
        <v>87.874899999999997</v>
      </c>
      <c r="G964" s="10">
        <f>88.1442 * CHOOSE(CONTROL!$C$9, $D$9, 100%, $F$9) + CHOOSE(CONTROL!$C$27, 0.0021, 0)</f>
        <v>88.146299999999997</v>
      </c>
      <c r="H964" s="10">
        <f>88.0095 * CHOOSE(CONTROL!$C$9, $D$9, 100%, $F$9) + CHOOSE(CONTROL!$C$27, 0.0021, 0)</f>
        <v>88.011600000000001</v>
      </c>
      <c r="I964" s="10">
        <f>88.0095 * CHOOSE(CONTROL!$C$9, $D$9, 100%, $F$9) + CHOOSE(CONTROL!$C$27, 0.0021, 0)</f>
        <v>88.011600000000001</v>
      </c>
      <c r="J964" s="10">
        <f>88.0095 * CHOOSE(CONTROL!$C$9, $D$9, 100%, $F$9) + CHOOSE(CONTROL!$C$27, 0.0021, 0)</f>
        <v>88.011600000000001</v>
      </c>
      <c r="K964" s="10">
        <f>88.0095 * CHOOSE(CONTROL!$C$9, $D$9, 100%, $F$9) + CHOOSE(CONTROL!$C$27, 0.0021, 0)</f>
        <v>88.011600000000001</v>
      </c>
      <c r="L964" s="10"/>
    </row>
    <row r="965" spans="1:12" ht="15.75" x14ac:dyDescent="0.25">
      <c r="A965" s="13">
        <v>70675</v>
      </c>
      <c r="B965" s="10">
        <f>89.503 * CHOOSE(CONTROL!$C$9, $D$9, 100%, $F$9) + CHOOSE(CONTROL!$C$27, 0.0021, 0)</f>
        <v>89.505099999999999</v>
      </c>
      <c r="C965" s="10">
        <f>89.0708 * CHOOSE(CONTROL!$C$9, $D$9, 100%, $F$9) + CHOOSE(CONTROL!$C$27, 0.0021, 0)</f>
        <v>89.072900000000004</v>
      </c>
      <c r="D965" s="10">
        <f>89.0708 * CHOOSE(CONTROL!$C$9, $D$9, 100%, $F$9) + CHOOSE(CONTROL!$C$27, 0.0021, 0)</f>
        <v>89.072900000000004</v>
      </c>
      <c r="E965" s="10">
        <f>88.9341 * CHOOSE(CONTROL!$C$9, $D$9, 100%, $F$9) + CHOOSE(CONTROL!$C$27, 0.0021, 0)</f>
        <v>88.936199999999999</v>
      </c>
      <c r="F965" s="10">
        <f>88.9341 * CHOOSE(CONTROL!$C$9, $D$9, 100%, $F$9) + CHOOSE(CONTROL!$C$27, 0.0021, 0)</f>
        <v>88.936199999999999</v>
      </c>
      <c r="G965" s="10">
        <f>89.2055 * CHOOSE(CONTROL!$C$9, $D$9, 100%, $F$9) + CHOOSE(CONTROL!$C$27, 0.0021, 0)</f>
        <v>89.207599999999999</v>
      </c>
      <c r="H965" s="10">
        <f>89.0708 * CHOOSE(CONTROL!$C$9, $D$9, 100%, $F$9) + CHOOSE(CONTROL!$C$27, 0.0021, 0)</f>
        <v>89.072900000000004</v>
      </c>
      <c r="I965" s="10">
        <f>89.0708 * CHOOSE(CONTROL!$C$9, $D$9, 100%, $F$9) + CHOOSE(CONTROL!$C$27, 0.0021, 0)</f>
        <v>89.072900000000004</v>
      </c>
      <c r="J965" s="10">
        <f>89.0708 * CHOOSE(CONTROL!$C$9, $D$9, 100%, $F$9) + CHOOSE(CONTROL!$C$27, 0.0021, 0)</f>
        <v>89.072900000000004</v>
      </c>
      <c r="K965" s="10">
        <f>89.0708 * CHOOSE(CONTROL!$C$9, $D$9, 100%, $F$9) + CHOOSE(CONTROL!$C$27, 0.0021, 0)</f>
        <v>89.072900000000004</v>
      </c>
      <c r="L965" s="10"/>
    </row>
    <row r="966" spans="1:12" ht="15.75" x14ac:dyDescent="0.25">
      <c r="A966" s="13">
        <v>70706</v>
      </c>
      <c r="B966" s="10">
        <f>91.2539 * CHOOSE(CONTROL!$C$9, $D$9, 100%, $F$9) + CHOOSE(CONTROL!$C$27, 0.0021, 0)</f>
        <v>91.256</v>
      </c>
      <c r="C966" s="10">
        <f>90.8216 * CHOOSE(CONTROL!$C$9, $D$9, 100%, $F$9) + CHOOSE(CONTROL!$C$27, 0.0021, 0)</f>
        <v>90.823700000000002</v>
      </c>
      <c r="D966" s="10">
        <f>90.8216 * CHOOSE(CONTROL!$C$9, $D$9, 100%, $F$9) + CHOOSE(CONTROL!$C$27, 0.0021, 0)</f>
        <v>90.823700000000002</v>
      </c>
      <c r="E966" s="10">
        <f>90.6849 * CHOOSE(CONTROL!$C$9, $D$9, 100%, $F$9) + CHOOSE(CONTROL!$C$27, 0.0021, 0)</f>
        <v>90.686999999999998</v>
      </c>
      <c r="F966" s="10">
        <f>90.6849 * CHOOSE(CONTROL!$C$9, $D$9, 100%, $F$9) + CHOOSE(CONTROL!$C$27, 0.0021, 0)</f>
        <v>90.686999999999998</v>
      </c>
      <c r="G966" s="10">
        <f>90.9563 * CHOOSE(CONTROL!$C$9, $D$9, 100%, $F$9) + CHOOSE(CONTROL!$C$27, 0.0021, 0)</f>
        <v>90.958399999999997</v>
      </c>
      <c r="H966" s="10">
        <f>90.8216 * CHOOSE(CONTROL!$C$9, $D$9, 100%, $F$9) + CHOOSE(CONTROL!$C$27, 0.0021, 0)</f>
        <v>90.823700000000002</v>
      </c>
      <c r="I966" s="10">
        <f>90.8216 * CHOOSE(CONTROL!$C$9, $D$9, 100%, $F$9) + CHOOSE(CONTROL!$C$27, 0.0021, 0)</f>
        <v>90.823700000000002</v>
      </c>
      <c r="J966" s="10">
        <f>90.8216 * CHOOSE(CONTROL!$C$9, $D$9, 100%, $F$9) + CHOOSE(CONTROL!$C$27, 0.0021, 0)</f>
        <v>90.823700000000002</v>
      </c>
      <c r="K966" s="10">
        <f>90.8216 * CHOOSE(CONTROL!$C$9, $D$9, 100%, $F$9) + CHOOSE(CONTROL!$C$27, 0.0021, 0)</f>
        <v>90.823700000000002</v>
      </c>
      <c r="L966" s="10"/>
    </row>
    <row r="967" spans="1:12" ht="15.75" x14ac:dyDescent="0.25">
      <c r="A967" s="13">
        <v>70737</v>
      </c>
      <c r="B967" s="10">
        <f>91.7883 * CHOOSE(CONTROL!$C$9, $D$9, 100%, $F$9) + CHOOSE(CONTROL!$C$27, 0.0021, 0)</f>
        <v>91.790400000000005</v>
      </c>
      <c r="C967" s="10">
        <f>91.356 * CHOOSE(CONTROL!$C$9, $D$9, 100%, $F$9) + CHOOSE(CONTROL!$C$27, 0.0021, 0)</f>
        <v>91.358099999999993</v>
      </c>
      <c r="D967" s="10">
        <f>91.356 * CHOOSE(CONTROL!$C$9, $D$9, 100%, $F$9) + CHOOSE(CONTROL!$C$27, 0.0021, 0)</f>
        <v>91.358099999999993</v>
      </c>
      <c r="E967" s="10">
        <f>91.2194 * CHOOSE(CONTROL!$C$9, $D$9, 100%, $F$9) + CHOOSE(CONTROL!$C$27, 0.0021, 0)</f>
        <v>91.221499999999992</v>
      </c>
      <c r="F967" s="10">
        <f>91.2194 * CHOOSE(CONTROL!$C$9, $D$9, 100%, $F$9) + CHOOSE(CONTROL!$C$27, 0.0021, 0)</f>
        <v>91.221499999999992</v>
      </c>
      <c r="G967" s="10">
        <f>91.4907 * CHOOSE(CONTROL!$C$9, $D$9, 100%, $F$9) + CHOOSE(CONTROL!$C$27, 0.0021, 0)</f>
        <v>91.492800000000003</v>
      </c>
      <c r="H967" s="10">
        <f>91.356 * CHOOSE(CONTROL!$C$9, $D$9, 100%, $F$9) + CHOOSE(CONTROL!$C$27, 0.0021, 0)</f>
        <v>91.358099999999993</v>
      </c>
      <c r="I967" s="10">
        <f>91.356 * CHOOSE(CONTROL!$C$9, $D$9, 100%, $F$9) + CHOOSE(CONTROL!$C$27, 0.0021, 0)</f>
        <v>91.358099999999993</v>
      </c>
      <c r="J967" s="10">
        <f>91.356 * CHOOSE(CONTROL!$C$9, $D$9, 100%, $F$9) + CHOOSE(CONTROL!$C$27, 0.0021, 0)</f>
        <v>91.358099999999993</v>
      </c>
      <c r="K967" s="10">
        <f>91.356 * CHOOSE(CONTROL!$C$9, $D$9, 100%, $F$9) + CHOOSE(CONTROL!$C$27, 0.0021, 0)</f>
        <v>91.358099999999993</v>
      </c>
      <c r="L967" s="10"/>
    </row>
    <row r="968" spans="1:12" ht="15.75" x14ac:dyDescent="0.25">
      <c r="A968" s="13">
        <v>70767</v>
      </c>
      <c r="B968" s="10">
        <f>93.6082 * CHOOSE(CONTROL!$C$9, $D$9, 100%, $F$9) + CHOOSE(CONTROL!$C$27, 0.0021, 0)</f>
        <v>93.610299999999995</v>
      </c>
      <c r="C968" s="10">
        <f>93.1759 * CHOOSE(CONTROL!$C$9, $D$9, 100%, $F$9) + CHOOSE(CONTROL!$C$27, 0.0021, 0)</f>
        <v>93.177999999999997</v>
      </c>
      <c r="D968" s="10">
        <f>93.1759 * CHOOSE(CONTROL!$C$9, $D$9, 100%, $F$9) + CHOOSE(CONTROL!$C$27, 0.0021, 0)</f>
        <v>93.177999999999997</v>
      </c>
      <c r="E968" s="10">
        <f>93.0392 * CHOOSE(CONTROL!$C$9, $D$9, 100%, $F$9) + CHOOSE(CONTROL!$C$27, 0.0021, 0)</f>
        <v>93.041299999999993</v>
      </c>
      <c r="F968" s="10">
        <f>93.0392 * CHOOSE(CONTROL!$C$9, $D$9, 100%, $F$9) + CHOOSE(CONTROL!$C$27, 0.0021, 0)</f>
        <v>93.041299999999993</v>
      </c>
      <c r="G968" s="10">
        <f>93.3106 * CHOOSE(CONTROL!$C$9, $D$9, 100%, $F$9) + CHOOSE(CONTROL!$C$27, 0.0021, 0)</f>
        <v>93.312699999999992</v>
      </c>
      <c r="H968" s="10">
        <f>93.1759 * CHOOSE(CONTROL!$C$9, $D$9, 100%, $F$9) + CHOOSE(CONTROL!$C$27, 0.0021, 0)</f>
        <v>93.177999999999997</v>
      </c>
      <c r="I968" s="10">
        <f>93.1759 * CHOOSE(CONTROL!$C$9, $D$9, 100%, $F$9) + CHOOSE(CONTROL!$C$27, 0.0021, 0)</f>
        <v>93.177999999999997</v>
      </c>
      <c r="J968" s="10">
        <f>93.1759 * CHOOSE(CONTROL!$C$9, $D$9, 100%, $F$9) + CHOOSE(CONTROL!$C$27, 0.0021, 0)</f>
        <v>93.177999999999997</v>
      </c>
      <c r="K968" s="10">
        <f>93.1759 * CHOOSE(CONTROL!$C$9, $D$9, 100%, $F$9) + CHOOSE(CONTROL!$C$27, 0.0021, 0)</f>
        <v>93.177999999999997</v>
      </c>
      <c r="L968" s="10"/>
    </row>
    <row r="969" spans="1:12" ht="15.75" x14ac:dyDescent="0.25">
      <c r="A969" s="13">
        <v>70798</v>
      </c>
      <c r="B969" s="10">
        <f>95.9118 * CHOOSE(CONTROL!$C$9, $D$9, 100%, $F$9) + CHOOSE(CONTROL!$C$27, 0.0021, 0)</f>
        <v>95.913899999999998</v>
      </c>
      <c r="C969" s="10">
        <f>95.4796 * CHOOSE(CONTROL!$C$9, $D$9, 100%, $F$9) + CHOOSE(CONTROL!$C$27, 0.0021, 0)</f>
        <v>95.481700000000004</v>
      </c>
      <c r="D969" s="10">
        <f>95.4796 * CHOOSE(CONTROL!$C$9, $D$9, 100%, $F$9) + CHOOSE(CONTROL!$C$27, 0.0021, 0)</f>
        <v>95.481700000000004</v>
      </c>
      <c r="E969" s="10">
        <f>95.3429 * CHOOSE(CONTROL!$C$9, $D$9, 100%, $F$9) + CHOOSE(CONTROL!$C$27, 0.0021, 0)</f>
        <v>95.344999999999999</v>
      </c>
      <c r="F969" s="10">
        <f>95.3429 * CHOOSE(CONTROL!$C$9, $D$9, 100%, $F$9) + CHOOSE(CONTROL!$C$27, 0.0021, 0)</f>
        <v>95.344999999999999</v>
      </c>
      <c r="G969" s="10">
        <f>95.6143 * CHOOSE(CONTROL!$C$9, $D$9, 100%, $F$9) + CHOOSE(CONTROL!$C$27, 0.0021, 0)</f>
        <v>95.616399999999999</v>
      </c>
      <c r="H969" s="10">
        <f>95.4796 * CHOOSE(CONTROL!$C$9, $D$9, 100%, $F$9) + CHOOSE(CONTROL!$C$27, 0.0021, 0)</f>
        <v>95.481700000000004</v>
      </c>
      <c r="I969" s="10">
        <f>95.4796 * CHOOSE(CONTROL!$C$9, $D$9, 100%, $F$9) + CHOOSE(CONTROL!$C$27, 0.0021, 0)</f>
        <v>95.481700000000004</v>
      </c>
      <c r="J969" s="10">
        <f>95.4796 * CHOOSE(CONTROL!$C$9, $D$9, 100%, $F$9) + CHOOSE(CONTROL!$C$27, 0.0021, 0)</f>
        <v>95.481700000000004</v>
      </c>
      <c r="K969" s="10">
        <f>95.4796 * CHOOSE(CONTROL!$C$9, $D$9, 100%, $F$9) + CHOOSE(CONTROL!$C$27, 0.0021, 0)</f>
        <v>95.481700000000004</v>
      </c>
      <c r="L969" s="10"/>
    </row>
    <row r="970" spans="1:12" ht="15.75" x14ac:dyDescent="0.25">
      <c r="A970" s="13">
        <v>70828</v>
      </c>
      <c r="B970" s="10">
        <f>96.1281 * CHOOSE(CONTROL!$C$9, $D$9, 100%, $F$9) + CHOOSE(CONTROL!$C$27, 0.0021, 0)</f>
        <v>96.130200000000002</v>
      </c>
      <c r="C970" s="10">
        <f>95.6958 * CHOOSE(CONTROL!$C$9, $D$9, 100%, $F$9) + CHOOSE(CONTROL!$C$27, 0.0021, 0)</f>
        <v>95.697900000000004</v>
      </c>
      <c r="D970" s="10">
        <f>95.6958 * CHOOSE(CONTROL!$C$9, $D$9, 100%, $F$9) + CHOOSE(CONTROL!$C$27, 0.0021, 0)</f>
        <v>95.697900000000004</v>
      </c>
      <c r="E970" s="10">
        <f>95.5592 * CHOOSE(CONTROL!$C$9, $D$9, 100%, $F$9) + CHOOSE(CONTROL!$C$27, 0.0021, 0)</f>
        <v>95.561300000000003</v>
      </c>
      <c r="F970" s="10">
        <f>95.5592 * CHOOSE(CONTROL!$C$9, $D$9, 100%, $F$9) + CHOOSE(CONTROL!$C$27, 0.0021, 0)</f>
        <v>95.561300000000003</v>
      </c>
      <c r="G970" s="10">
        <f>95.8306 * CHOOSE(CONTROL!$C$9, $D$9, 100%, $F$9) + CHOOSE(CONTROL!$C$27, 0.0021, 0)</f>
        <v>95.832700000000003</v>
      </c>
      <c r="H970" s="10">
        <f>95.6958 * CHOOSE(CONTROL!$C$9, $D$9, 100%, $F$9) + CHOOSE(CONTROL!$C$27, 0.0021, 0)</f>
        <v>95.697900000000004</v>
      </c>
      <c r="I970" s="10">
        <f>95.6958 * CHOOSE(CONTROL!$C$9, $D$9, 100%, $F$9) + CHOOSE(CONTROL!$C$27, 0.0021, 0)</f>
        <v>95.697900000000004</v>
      </c>
      <c r="J970" s="10">
        <f>95.6958 * CHOOSE(CONTROL!$C$9, $D$9, 100%, $F$9) + CHOOSE(CONTROL!$C$27, 0.0021, 0)</f>
        <v>95.697900000000004</v>
      </c>
      <c r="K970" s="10">
        <f>95.6958 * CHOOSE(CONTROL!$C$9, $D$9, 100%, $F$9) + CHOOSE(CONTROL!$C$27, 0.0021, 0)</f>
        <v>95.697900000000004</v>
      </c>
      <c r="L970" s="10"/>
    </row>
    <row r="971" spans="1:12" ht="15.75" x14ac:dyDescent="0.25">
      <c r="A971" s="13">
        <v>70859</v>
      </c>
      <c r="B971" s="10">
        <f>94.2882 * CHOOSE(CONTROL!$C$9, $D$9, 100%, $F$9) + CHOOSE(CONTROL!$C$27, 0.0021, 0)</f>
        <v>94.290300000000002</v>
      </c>
      <c r="C971" s="10">
        <f>93.8559 * CHOOSE(CONTROL!$C$9, $D$9, 100%, $F$9) + CHOOSE(CONTROL!$C$27, 0.0021, 0)</f>
        <v>93.858000000000004</v>
      </c>
      <c r="D971" s="10">
        <f>93.8559 * CHOOSE(CONTROL!$C$9, $D$9, 100%, $F$9) + CHOOSE(CONTROL!$C$27, 0.0021, 0)</f>
        <v>93.858000000000004</v>
      </c>
      <c r="E971" s="10">
        <f>93.7193 * CHOOSE(CONTROL!$C$9, $D$9, 100%, $F$9) + CHOOSE(CONTROL!$C$27, 0.0021, 0)</f>
        <v>93.721400000000003</v>
      </c>
      <c r="F971" s="10">
        <f>93.7193 * CHOOSE(CONTROL!$C$9, $D$9, 100%, $F$9) + CHOOSE(CONTROL!$C$27, 0.0021, 0)</f>
        <v>93.721400000000003</v>
      </c>
      <c r="G971" s="10">
        <f>93.9907 * CHOOSE(CONTROL!$C$9, $D$9, 100%, $F$9) + CHOOSE(CONTROL!$C$27, 0.0021, 0)</f>
        <v>93.992800000000003</v>
      </c>
      <c r="H971" s="10">
        <f>93.8559 * CHOOSE(CONTROL!$C$9, $D$9, 100%, $F$9) + CHOOSE(CONTROL!$C$27, 0.0021, 0)</f>
        <v>93.858000000000004</v>
      </c>
      <c r="I971" s="10">
        <f>93.8559 * CHOOSE(CONTROL!$C$9, $D$9, 100%, $F$9) + CHOOSE(CONTROL!$C$27, 0.0021, 0)</f>
        <v>93.858000000000004</v>
      </c>
      <c r="J971" s="10">
        <f>93.8559 * CHOOSE(CONTROL!$C$9, $D$9, 100%, $F$9) + CHOOSE(CONTROL!$C$27, 0.0021, 0)</f>
        <v>93.858000000000004</v>
      </c>
      <c r="K971" s="10">
        <f>93.8559 * CHOOSE(CONTROL!$C$9, $D$9, 100%, $F$9) + CHOOSE(CONTROL!$C$27, 0.0021, 0)</f>
        <v>93.858000000000004</v>
      </c>
      <c r="L971" s="10"/>
    </row>
    <row r="972" spans="1:12" ht="15.75" x14ac:dyDescent="0.25">
      <c r="A972" s="13">
        <v>70890</v>
      </c>
      <c r="B972" s="10">
        <f>92.8795 * CHOOSE(CONTROL!$C$9, $D$9, 100%, $F$9) + CHOOSE(CONTROL!$C$27, 0.0021, 0)</f>
        <v>92.881599999999992</v>
      </c>
      <c r="C972" s="10">
        <f>92.4473 * CHOOSE(CONTROL!$C$9, $D$9, 100%, $F$9) + CHOOSE(CONTROL!$C$27, 0.0021, 0)</f>
        <v>92.449399999999997</v>
      </c>
      <c r="D972" s="10">
        <f>92.4473 * CHOOSE(CONTROL!$C$9, $D$9, 100%, $F$9) + CHOOSE(CONTROL!$C$27, 0.0021, 0)</f>
        <v>92.449399999999997</v>
      </c>
      <c r="E972" s="10">
        <f>92.3106 * CHOOSE(CONTROL!$C$9, $D$9, 100%, $F$9) + CHOOSE(CONTROL!$C$27, 0.0021, 0)</f>
        <v>92.312699999999992</v>
      </c>
      <c r="F972" s="10">
        <f>92.3106 * CHOOSE(CONTROL!$C$9, $D$9, 100%, $F$9) + CHOOSE(CONTROL!$C$27, 0.0021, 0)</f>
        <v>92.312699999999992</v>
      </c>
      <c r="G972" s="10">
        <f>92.582 * CHOOSE(CONTROL!$C$9, $D$9, 100%, $F$9) + CHOOSE(CONTROL!$C$27, 0.0021, 0)</f>
        <v>92.584099999999992</v>
      </c>
      <c r="H972" s="10">
        <f>92.4473 * CHOOSE(CONTROL!$C$9, $D$9, 100%, $F$9) + CHOOSE(CONTROL!$C$27, 0.0021, 0)</f>
        <v>92.449399999999997</v>
      </c>
      <c r="I972" s="10">
        <f>92.4473 * CHOOSE(CONTROL!$C$9, $D$9, 100%, $F$9) + CHOOSE(CONTROL!$C$27, 0.0021, 0)</f>
        <v>92.449399999999997</v>
      </c>
      <c r="J972" s="10">
        <f>92.4473 * CHOOSE(CONTROL!$C$9, $D$9, 100%, $F$9) + CHOOSE(CONTROL!$C$27, 0.0021, 0)</f>
        <v>92.449399999999997</v>
      </c>
      <c r="K972" s="10">
        <f>92.4473 * CHOOSE(CONTROL!$C$9, $D$9, 100%, $F$9) + CHOOSE(CONTROL!$C$27, 0.0021, 0)</f>
        <v>92.449399999999997</v>
      </c>
      <c r="L972" s="10"/>
    </row>
    <row r="973" spans="1:12" ht="15.75" x14ac:dyDescent="0.25">
      <c r="A973" s="13">
        <v>70918</v>
      </c>
      <c r="B973" s="10">
        <f>90.3172 * CHOOSE(CONTROL!$C$9, $D$9, 100%, $F$9) + CHOOSE(CONTROL!$C$27, 0.0021, 0)</f>
        <v>90.319299999999998</v>
      </c>
      <c r="C973" s="10">
        <f>89.885 * CHOOSE(CONTROL!$C$9, $D$9, 100%, $F$9) + CHOOSE(CONTROL!$C$27, 0.0021, 0)</f>
        <v>89.887100000000004</v>
      </c>
      <c r="D973" s="10">
        <f>89.885 * CHOOSE(CONTROL!$C$9, $D$9, 100%, $F$9) + CHOOSE(CONTROL!$C$27, 0.0021, 0)</f>
        <v>89.887100000000004</v>
      </c>
      <c r="E973" s="10">
        <f>89.7483 * CHOOSE(CONTROL!$C$9, $D$9, 100%, $F$9) + CHOOSE(CONTROL!$C$27, 0.0021, 0)</f>
        <v>89.750399999999999</v>
      </c>
      <c r="F973" s="10">
        <f>89.7483 * CHOOSE(CONTROL!$C$9, $D$9, 100%, $F$9) + CHOOSE(CONTROL!$C$27, 0.0021, 0)</f>
        <v>89.750399999999999</v>
      </c>
      <c r="G973" s="10">
        <f>90.0197 * CHOOSE(CONTROL!$C$9, $D$9, 100%, $F$9) + CHOOSE(CONTROL!$C$27, 0.0021, 0)</f>
        <v>90.021799999999999</v>
      </c>
      <c r="H973" s="10">
        <f>89.885 * CHOOSE(CONTROL!$C$9, $D$9, 100%, $F$9) + CHOOSE(CONTROL!$C$27, 0.0021, 0)</f>
        <v>89.887100000000004</v>
      </c>
      <c r="I973" s="10">
        <f>89.885 * CHOOSE(CONTROL!$C$9, $D$9, 100%, $F$9) + CHOOSE(CONTROL!$C$27, 0.0021, 0)</f>
        <v>89.887100000000004</v>
      </c>
      <c r="J973" s="10">
        <f>89.885 * CHOOSE(CONTROL!$C$9, $D$9, 100%, $F$9) + CHOOSE(CONTROL!$C$27, 0.0021, 0)</f>
        <v>89.887100000000004</v>
      </c>
      <c r="K973" s="10">
        <f>89.885 * CHOOSE(CONTROL!$C$9, $D$9, 100%, $F$9) + CHOOSE(CONTROL!$C$27, 0.0021, 0)</f>
        <v>89.887100000000004</v>
      </c>
      <c r="L973" s="10"/>
    </row>
    <row r="974" spans="1:12" ht="15.75" x14ac:dyDescent="0.25">
      <c r="A974" s="13">
        <v>70949</v>
      </c>
      <c r="B974" s="10">
        <f>89.2595 * CHOOSE(CONTROL!$C$9, $D$9, 100%, $F$9) + CHOOSE(CONTROL!$C$27, 0.0021, 0)</f>
        <v>89.261600000000001</v>
      </c>
      <c r="C974" s="10">
        <f>88.8273 * CHOOSE(CONTROL!$C$9, $D$9, 100%, $F$9) + CHOOSE(CONTROL!$C$27, 0.0021, 0)</f>
        <v>88.829399999999993</v>
      </c>
      <c r="D974" s="10">
        <f>88.8273 * CHOOSE(CONTROL!$C$9, $D$9, 100%, $F$9) + CHOOSE(CONTROL!$C$27, 0.0021, 0)</f>
        <v>88.829399999999993</v>
      </c>
      <c r="E974" s="10">
        <f>88.6906 * CHOOSE(CONTROL!$C$9, $D$9, 100%, $F$9) + CHOOSE(CONTROL!$C$27, 0.0021, 0)</f>
        <v>88.692700000000002</v>
      </c>
      <c r="F974" s="10">
        <f>88.6906 * CHOOSE(CONTROL!$C$9, $D$9, 100%, $F$9) + CHOOSE(CONTROL!$C$27, 0.0021, 0)</f>
        <v>88.692700000000002</v>
      </c>
      <c r="G974" s="10">
        <f>88.962 * CHOOSE(CONTROL!$C$9, $D$9, 100%, $F$9) + CHOOSE(CONTROL!$C$27, 0.0021, 0)</f>
        <v>88.964100000000002</v>
      </c>
      <c r="H974" s="10">
        <f>88.8273 * CHOOSE(CONTROL!$C$9, $D$9, 100%, $F$9) + CHOOSE(CONTROL!$C$27, 0.0021, 0)</f>
        <v>88.829399999999993</v>
      </c>
      <c r="I974" s="10">
        <f>88.8273 * CHOOSE(CONTROL!$C$9, $D$9, 100%, $F$9) + CHOOSE(CONTROL!$C$27, 0.0021, 0)</f>
        <v>88.829399999999993</v>
      </c>
      <c r="J974" s="10">
        <f>88.8273 * CHOOSE(CONTROL!$C$9, $D$9, 100%, $F$9) + CHOOSE(CONTROL!$C$27, 0.0021, 0)</f>
        <v>88.829399999999993</v>
      </c>
      <c r="K974" s="10">
        <f>88.8273 * CHOOSE(CONTROL!$C$9, $D$9, 100%, $F$9) + CHOOSE(CONTROL!$C$27, 0.0021, 0)</f>
        <v>88.829399999999993</v>
      </c>
      <c r="L974" s="10"/>
    </row>
    <row r="975" spans="1:12" ht="15.75" x14ac:dyDescent="0.25">
      <c r="A975" s="13">
        <v>70979</v>
      </c>
      <c r="B975" s="10">
        <f>87.9966 * CHOOSE(CONTROL!$C$9, $D$9, 100%, $F$9) + CHOOSE(CONTROL!$C$27, 0.0021, 0)</f>
        <v>87.998699999999999</v>
      </c>
      <c r="C975" s="10">
        <f>87.5643 * CHOOSE(CONTROL!$C$9, $D$9, 100%, $F$9) + CHOOSE(CONTROL!$C$27, 0.0021, 0)</f>
        <v>87.566400000000002</v>
      </c>
      <c r="D975" s="10">
        <f>87.5643 * CHOOSE(CONTROL!$C$9, $D$9, 100%, $F$9) + CHOOSE(CONTROL!$C$27, 0.0021, 0)</f>
        <v>87.566400000000002</v>
      </c>
      <c r="E975" s="10">
        <f>87.4277 * CHOOSE(CONTROL!$C$9, $D$9, 100%, $F$9) + CHOOSE(CONTROL!$C$27, 0.0021, 0)</f>
        <v>87.4298</v>
      </c>
      <c r="F975" s="10">
        <f>87.4277 * CHOOSE(CONTROL!$C$9, $D$9, 100%, $F$9) + CHOOSE(CONTROL!$C$27, 0.0021, 0)</f>
        <v>87.4298</v>
      </c>
      <c r="G975" s="10">
        <f>87.699 * CHOOSE(CONTROL!$C$9, $D$9, 100%, $F$9) + CHOOSE(CONTROL!$C$27, 0.0021, 0)</f>
        <v>87.701099999999997</v>
      </c>
      <c r="H975" s="10">
        <f>87.5643 * CHOOSE(CONTROL!$C$9, $D$9, 100%, $F$9) + CHOOSE(CONTROL!$C$27, 0.0021, 0)</f>
        <v>87.566400000000002</v>
      </c>
      <c r="I975" s="10">
        <f>87.5643 * CHOOSE(CONTROL!$C$9, $D$9, 100%, $F$9) + CHOOSE(CONTROL!$C$27, 0.0021, 0)</f>
        <v>87.566400000000002</v>
      </c>
      <c r="J975" s="10">
        <f>87.5643 * CHOOSE(CONTROL!$C$9, $D$9, 100%, $F$9) + CHOOSE(CONTROL!$C$27, 0.0021, 0)</f>
        <v>87.566400000000002</v>
      </c>
      <c r="K975" s="10">
        <f>87.5643 * CHOOSE(CONTROL!$C$9, $D$9, 100%, $F$9) + CHOOSE(CONTROL!$C$27, 0.0021, 0)</f>
        <v>87.566400000000002</v>
      </c>
      <c r="L975" s="10"/>
    </row>
    <row r="976" spans="1:12" ht="15.75" x14ac:dyDescent="0.25">
      <c r="A976" s="13">
        <v>71010</v>
      </c>
      <c r="B976" s="10">
        <f>89.7964 * CHOOSE(CONTROL!$C$9, $D$9, 100%, $F$9) + CHOOSE(CONTROL!$C$27, 0.0021, 0)</f>
        <v>89.798500000000004</v>
      </c>
      <c r="C976" s="10">
        <f>89.3642 * CHOOSE(CONTROL!$C$9, $D$9, 100%, $F$9) + CHOOSE(CONTROL!$C$27, 0.0021, 0)</f>
        <v>89.366299999999995</v>
      </c>
      <c r="D976" s="10">
        <f>89.3642 * CHOOSE(CONTROL!$C$9, $D$9, 100%, $F$9) + CHOOSE(CONTROL!$C$27, 0.0021, 0)</f>
        <v>89.366299999999995</v>
      </c>
      <c r="E976" s="10">
        <f>89.2275 * CHOOSE(CONTROL!$C$9, $D$9, 100%, $F$9) + CHOOSE(CONTROL!$C$27, 0.0021, 0)</f>
        <v>89.229600000000005</v>
      </c>
      <c r="F976" s="10">
        <f>89.2275 * CHOOSE(CONTROL!$C$9, $D$9, 100%, $F$9) + CHOOSE(CONTROL!$C$27, 0.0021, 0)</f>
        <v>89.229600000000005</v>
      </c>
      <c r="G976" s="10">
        <f>89.4989 * CHOOSE(CONTROL!$C$9, $D$9, 100%, $F$9) + CHOOSE(CONTROL!$C$27, 0.0021, 0)</f>
        <v>89.501000000000005</v>
      </c>
      <c r="H976" s="10">
        <f>89.3642 * CHOOSE(CONTROL!$C$9, $D$9, 100%, $F$9) + CHOOSE(CONTROL!$C$27, 0.0021, 0)</f>
        <v>89.366299999999995</v>
      </c>
      <c r="I976" s="10">
        <f>89.3642 * CHOOSE(CONTROL!$C$9, $D$9, 100%, $F$9) + CHOOSE(CONTROL!$C$27, 0.0021, 0)</f>
        <v>89.366299999999995</v>
      </c>
      <c r="J976" s="10">
        <f>89.3642 * CHOOSE(CONTROL!$C$9, $D$9, 100%, $F$9) + CHOOSE(CONTROL!$C$27, 0.0021, 0)</f>
        <v>89.366299999999995</v>
      </c>
      <c r="K976" s="10">
        <f>89.3642 * CHOOSE(CONTROL!$C$9, $D$9, 100%, $F$9) + CHOOSE(CONTROL!$C$27, 0.0021, 0)</f>
        <v>89.366299999999995</v>
      </c>
      <c r="L976" s="10"/>
    </row>
    <row r="977" spans="1:12" ht="15.75" x14ac:dyDescent="0.25">
      <c r="A977" s="13">
        <v>71040</v>
      </c>
      <c r="B977" s="10">
        <f>90.8744 * CHOOSE(CONTROL!$C$9, $D$9, 100%, $F$9) + CHOOSE(CONTROL!$C$27, 0.0021, 0)</f>
        <v>90.876499999999993</v>
      </c>
      <c r="C977" s="10">
        <f>90.4422 * CHOOSE(CONTROL!$C$9, $D$9, 100%, $F$9) + CHOOSE(CONTROL!$C$27, 0.0021, 0)</f>
        <v>90.444299999999998</v>
      </c>
      <c r="D977" s="10">
        <f>90.4422 * CHOOSE(CONTROL!$C$9, $D$9, 100%, $F$9) + CHOOSE(CONTROL!$C$27, 0.0021, 0)</f>
        <v>90.444299999999998</v>
      </c>
      <c r="E977" s="10">
        <f>90.3055 * CHOOSE(CONTROL!$C$9, $D$9, 100%, $F$9) + CHOOSE(CONTROL!$C$27, 0.0021, 0)</f>
        <v>90.307599999999994</v>
      </c>
      <c r="F977" s="10">
        <f>90.3055 * CHOOSE(CONTROL!$C$9, $D$9, 100%, $F$9) + CHOOSE(CONTROL!$C$27, 0.0021, 0)</f>
        <v>90.307599999999994</v>
      </c>
      <c r="G977" s="10">
        <f>90.5769 * CHOOSE(CONTROL!$C$9, $D$9, 100%, $F$9) + CHOOSE(CONTROL!$C$27, 0.0021, 0)</f>
        <v>90.578999999999994</v>
      </c>
      <c r="H977" s="10">
        <f>90.4422 * CHOOSE(CONTROL!$C$9, $D$9, 100%, $F$9) + CHOOSE(CONTROL!$C$27, 0.0021, 0)</f>
        <v>90.444299999999998</v>
      </c>
      <c r="I977" s="10">
        <f>90.4422 * CHOOSE(CONTROL!$C$9, $D$9, 100%, $F$9) + CHOOSE(CONTROL!$C$27, 0.0021, 0)</f>
        <v>90.444299999999998</v>
      </c>
      <c r="J977" s="10">
        <f>90.4422 * CHOOSE(CONTROL!$C$9, $D$9, 100%, $F$9) + CHOOSE(CONTROL!$C$27, 0.0021, 0)</f>
        <v>90.444299999999998</v>
      </c>
      <c r="K977" s="10">
        <f>90.4422 * CHOOSE(CONTROL!$C$9, $D$9, 100%, $F$9) + CHOOSE(CONTROL!$C$27, 0.0021, 0)</f>
        <v>90.444299999999998</v>
      </c>
      <c r="L977" s="10"/>
    </row>
    <row r="978" spans="1:12" ht="15.75" x14ac:dyDescent="0.25">
      <c r="A978" s="13">
        <v>71071</v>
      </c>
      <c r="B978" s="10">
        <f>92.6528 * CHOOSE(CONTROL!$C$9, $D$9, 100%, $F$9) + CHOOSE(CONTROL!$C$27, 0.0021, 0)</f>
        <v>92.654899999999998</v>
      </c>
      <c r="C978" s="10">
        <f>92.2205 * CHOOSE(CONTROL!$C$9, $D$9, 100%, $F$9) + CHOOSE(CONTROL!$C$27, 0.0021, 0)</f>
        <v>92.2226</v>
      </c>
      <c r="D978" s="10">
        <f>92.2205 * CHOOSE(CONTROL!$C$9, $D$9, 100%, $F$9) + CHOOSE(CONTROL!$C$27, 0.0021, 0)</f>
        <v>92.2226</v>
      </c>
      <c r="E978" s="10">
        <f>92.0839 * CHOOSE(CONTROL!$C$9, $D$9, 100%, $F$9) + CHOOSE(CONTROL!$C$27, 0.0021, 0)</f>
        <v>92.085999999999999</v>
      </c>
      <c r="F978" s="10">
        <f>92.0839 * CHOOSE(CONTROL!$C$9, $D$9, 100%, $F$9) + CHOOSE(CONTROL!$C$27, 0.0021, 0)</f>
        <v>92.085999999999999</v>
      </c>
      <c r="G978" s="10">
        <f>92.3552 * CHOOSE(CONTROL!$C$9, $D$9, 100%, $F$9) + CHOOSE(CONTROL!$C$27, 0.0021, 0)</f>
        <v>92.357299999999995</v>
      </c>
      <c r="H978" s="10">
        <f>92.2205 * CHOOSE(CONTROL!$C$9, $D$9, 100%, $F$9) + CHOOSE(CONTROL!$C$27, 0.0021, 0)</f>
        <v>92.2226</v>
      </c>
      <c r="I978" s="10">
        <f>92.2205 * CHOOSE(CONTROL!$C$9, $D$9, 100%, $F$9) + CHOOSE(CONTROL!$C$27, 0.0021, 0)</f>
        <v>92.2226</v>
      </c>
      <c r="J978" s="10">
        <f>92.2205 * CHOOSE(CONTROL!$C$9, $D$9, 100%, $F$9) + CHOOSE(CONTROL!$C$27, 0.0021, 0)</f>
        <v>92.2226</v>
      </c>
      <c r="K978" s="10">
        <f>92.2205 * CHOOSE(CONTROL!$C$9, $D$9, 100%, $F$9) + CHOOSE(CONTROL!$C$27, 0.0021, 0)</f>
        <v>92.2226</v>
      </c>
      <c r="L978" s="10"/>
    </row>
    <row r="979" spans="1:12" ht="15.75" x14ac:dyDescent="0.25">
      <c r="A979" s="13">
        <v>71102</v>
      </c>
      <c r="B979" s="10">
        <f>93.1956 * CHOOSE(CONTROL!$C$9, $D$9, 100%, $F$9) + CHOOSE(CONTROL!$C$27, 0.0021, 0)</f>
        <v>93.197699999999998</v>
      </c>
      <c r="C979" s="10">
        <f>92.7633 * CHOOSE(CONTROL!$C$9, $D$9, 100%, $F$9) + CHOOSE(CONTROL!$C$27, 0.0021, 0)</f>
        <v>92.7654</v>
      </c>
      <c r="D979" s="10">
        <f>92.7633 * CHOOSE(CONTROL!$C$9, $D$9, 100%, $F$9) + CHOOSE(CONTROL!$C$27, 0.0021, 0)</f>
        <v>92.7654</v>
      </c>
      <c r="E979" s="10">
        <f>92.6267 * CHOOSE(CONTROL!$C$9, $D$9, 100%, $F$9) + CHOOSE(CONTROL!$C$27, 0.0021, 0)</f>
        <v>92.628799999999998</v>
      </c>
      <c r="F979" s="10">
        <f>92.6267 * CHOOSE(CONTROL!$C$9, $D$9, 100%, $F$9) + CHOOSE(CONTROL!$C$27, 0.0021, 0)</f>
        <v>92.628799999999998</v>
      </c>
      <c r="G979" s="10">
        <f>92.898 * CHOOSE(CONTROL!$C$9, $D$9, 100%, $F$9) + CHOOSE(CONTROL!$C$27, 0.0021, 0)</f>
        <v>92.900099999999995</v>
      </c>
      <c r="H979" s="10">
        <f>92.7633 * CHOOSE(CONTROL!$C$9, $D$9, 100%, $F$9) + CHOOSE(CONTROL!$C$27, 0.0021, 0)</f>
        <v>92.7654</v>
      </c>
      <c r="I979" s="10">
        <f>92.7633 * CHOOSE(CONTROL!$C$9, $D$9, 100%, $F$9) + CHOOSE(CONTROL!$C$27, 0.0021, 0)</f>
        <v>92.7654</v>
      </c>
      <c r="J979" s="10">
        <f>92.7633 * CHOOSE(CONTROL!$C$9, $D$9, 100%, $F$9) + CHOOSE(CONTROL!$C$27, 0.0021, 0)</f>
        <v>92.7654</v>
      </c>
      <c r="K979" s="10">
        <f>92.7633 * CHOOSE(CONTROL!$C$9, $D$9, 100%, $F$9) + CHOOSE(CONTROL!$C$27, 0.0021, 0)</f>
        <v>92.7654</v>
      </c>
      <c r="L979" s="10"/>
    </row>
    <row r="980" spans="1:12" ht="15.75" x14ac:dyDescent="0.25">
      <c r="A980" s="13">
        <v>71132</v>
      </c>
      <c r="B980" s="10">
        <f>95.0441 * CHOOSE(CONTROL!$C$9, $D$9, 100%, $F$9) + CHOOSE(CONTROL!$C$27, 0.0021, 0)</f>
        <v>95.046199999999999</v>
      </c>
      <c r="C980" s="10">
        <f>94.6118 * CHOOSE(CONTROL!$C$9, $D$9, 100%, $F$9) + CHOOSE(CONTROL!$C$27, 0.0021, 0)</f>
        <v>94.613900000000001</v>
      </c>
      <c r="D980" s="10">
        <f>94.6118 * CHOOSE(CONTROL!$C$9, $D$9, 100%, $F$9) + CHOOSE(CONTROL!$C$27, 0.0021, 0)</f>
        <v>94.613900000000001</v>
      </c>
      <c r="E980" s="10">
        <f>94.4752 * CHOOSE(CONTROL!$C$9, $D$9, 100%, $F$9) + CHOOSE(CONTROL!$C$27, 0.0021, 0)</f>
        <v>94.4773</v>
      </c>
      <c r="F980" s="10">
        <f>94.4752 * CHOOSE(CONTROL!$C$9, $D$9, 100%, $F$9) + CHOOSE(CONTROL!$C$27, 0.0021, 0)</f>
        <v>94.4773</v>
      </c>
      <c r="G980" s="10">
        <f>94.7466 * CHOOSE(CONTROL!$C$9, $D$9, 100%, $F$9) + CHOOSE(CONTROL!$C$27, 0.0021, 0)</f>
        <v>94.748699999999999</v>
      </c>
      <c r="H980" s="10">
        <f>94.6118 * CHOOSE(CONTROL!$C$9, $D$9, 100%, $F$9) + CHOOSE(CONTROL!$C$27, 0.0021, 0)</f>
        <v>94.613900000000001</v>
      </c>
      <c r="I980" s="10">
        <f>94.6118 * CHOOSE(CONTROL!$C$9, $D$9, 100%, $F$9) + CHOOSE(CONTROL!$C$27, 0.0021, 0)</f>
        <v>94.613900000000001</v>
      </c>
      <c r="J980" s="10">
        <f>94.6118 * CHOOSE(CONTROL!$C$9, $D$9, 100%, $F$9) + CHOOSE(CONTROL!$C$27, 0.0021, 0)</f>
        <v>94.613900000000001</v>
      </c>
      <c r="K980" s="10">
        <f>94.6118 * CHOOSE(CONTROL!$C$9, $D$9, 100%, $F$9) + CHOOSE(CONTROL!$C$27, 0.0021, 0)</f>
        <v>94.613900000000001</v>
      </c>
      <c r="L980" s="10"/>
    </row>
    <row r="981" spans="1:12" ht="15.75" x14ac:dyDescent="0.25">
      <c r="A981" s="13">
        <v>71163</v>
      </c>
      <c r="B981" s="10">
        <f>97.384 * CHOOSE(CONTROL!$C$9, $D$9, 100%, $F$9) + CHOOSE(CONTROL!$C$27, 0.0021, 0)</f>
        <v>97.386099999999999</v>
      </c>
      <c r="C981" s="10">
        <f>96.9517 * CHOOSE(CONTROL!$C$9, $D$9, 100%, $F$9) + CHOOSE(CONTROL!$C$27, 0.0021, 0)</f>
        <v>96.953800000000001</v>
      </c>
      <c r="D981" s="10">
        <f>96.9517 * CHOOSE(CONTROL!$C$9, $D$9, 100%, $F$9) + CHOOSE(CONTROL!$C$27, 0.0021, 0)</f>
        <v>96.953800000000001</v>
      </c>
      <c r="E981" s="10">
        <f>96.8151 * CHOOSE(CONTROL!$C$9, $D$9, 100%, $F$9) + CHOOSE(CONTROL!$C$27, 0.0021, 0)</f>
        <v>96.8172</v>
      </c>
      <c r="F981" s="10">
        <f>96.8151 * CHOOSE(CONTROL!$C$9, $D$9, 100%, $F$9) + CHOOSE(CONTROL!$C$27, 0.0021, 0)</f>
        <v>96.8172</v>
      </c>
      <c r="G981" s="10">
        <f>97.0865 * CHOOSE(CONTROL!$C$9, $D$9, 100%, $F$9) + CHOOSE(CONTROL!$C$27, 0.0021, 0)</f>
        <v>97.0886</v>
      </c>
      <c r="H981" s="10">
        <f>96.9517 * CHOOSE(CONTROL!$C$9, $D$9, 100%, $F$9) + CHOOSE(CONTROL!$C$27, 0.0021, 0)</f>
        <v>96.953800000000001</v>
      </c>
      <c r="I981" s="10">
        <f>96.9517 * CHOOSE(CONTROL!$C$9, $D$9, 100%, $F$9) + CHOOSE(CONTROL!$C$27, 0.0021, 0)</f>
        <v>96.953800000000001</v>
      </c>
      <c r="J981" s="10">
        <f>96.9517 * CHOOSE(CONTROL!$C$9, $D$9, 100%, $F$9) + CHOOSE(CONTROL!$C$27, 0.0021, 0)</f>
        <v>96.953800000000001</v>
      </c>
      <c r="K981" s="10">
        <f>96.9517 * CHOOSE(CONTROL!$C$9, $D$9, 100%, $F$9) + CHOOSE(CONTROL!$C$27, 0.0021, 0)</f>
        <v>96.953800000000001</v>
      </c>
      <c r="L981" s="10"/>
    </row>
    <row r="982" spans="1:12" ht="15.75" x14ac:dyDescent="0.25">
      <c r="A982" s="13">
        <v>71193</v>
      </c>
      <c r="B982" s="10">
        <f>97.6037 * CHOOSE(CONTROL!$C$9, $D$9, 100%, $F$9) + CHOOSE(CONTROL!$C$27, 0.0021, 0)</f>
        <v>97.605800000000002</v>
      </c>
      <c r="C982" s="10">
        <f>97.1714 * CHOOSE(CONTROL!$C$9, $D$9, 100%, $F$9) + CHOOSE(CONTROL!$C$27, 0.0021, 0)</f>
        <v>97.173500000000004</v>
      </c>
      <c r="D982" s="10">
        <f>97.1714 * CHOOSE(CONTROL!$C$9, $D$9, 100%, $F$9) + CHOOSE(CONTROL!$C$27, 0.0021, 0)</f>
        <v>97.173500000000004</v>
      </c>
      <c r="E982" s="10">
        <f>97.0347 * CHOOSE(CONTROL!$C$9, $D$9, 100%, $F$9) + CHOOSE(CONTROL!$C$27, 0.0021, 0)</f>
        <v>97.036799999999999</v>
      </c>
      <c r="F982" s="10">
        <f>97.0347 * CHOOSE(CONTROL!$C$9, $D$9, 100%, $F$9) + CHOOSE(CONTROL!$C$27, 0.0021, 0)</f>
        <v>97.036799999999999</v>
      </c>
      <c r="G982" s="10">
        <f>97.3061 * CHOOSE(CONTROL!$C$9, $D$9, 100%, $F$9) + CHOOSE(CONTROL!$C$27, 0.0021, 0)</f>
        <v>97.308199999999999</v>
      </c>
      <c r="H982" s="10">
        <f>97.1714 * CHOOSE(CONTROL!$C$9, $D$9, 100%, $F$9) + CHOOSE(CONTROL!$C$27, 0.0021, 0)</f>
        <v>97.173500000000004</v>
      </c>
      <c r="I982" s="10">
        <f>97.1714 * CHOOSE(CONTROL!$C$9, $D$9, 100%, $F$9) + CHOOSE(CONTROL!$C$27, 0.0021, 0)</f>
        <v>97.173500000000004</v>
      </c>
      <c r="J982" s="10">
        <f>97.1714 * CHOOSE(CONTROL!$C$9, $D$9, 100%, $F$9) + CHOOSE(CONTROL!$C$27, 0.0021, 0)</f>
        <v>97.173500000000004</v>
      </c>
      <c r="K982" s="10">
        <f>97.1714 * CHOOSE(CONTROL!$C$9, $D$9, 100%, $F$9) + CHOOSE(CONTROL!$C$27, 0.0021, 0)</f>
        <v>97.173500000000004</v>
      </c>
      <c r="L982" s="10"/>
    </row>
    <row r="983" spans="1:12" ht="15.75" x14ac:dyDescent="0.25">
      <c r="A983" s="13">
        <v>71224</v>
      </c>
      <c r="B983" s="10">
        <f>95.7348 * CHOOSE(CONTROL!$C$9, $D$9, 100%, $F$9) + CHOOSE(CONTROL!$C$27, 0.0021, 0)</f>
        <v>95.736900000000006</v>
      </c>
      <c r="C983" s="10">
        <f>95.3026 * CHOOSE(CONTROL!$C$9, $D$9, 100%, $F$9) + CHOOSE(CONTROL!$C$27, 0.0021, 0)</f>
        <v>95.304699999999997</v>
      </c>
      <c r="D983" s="10">
        <f>95.3026 * CHOOSE(CONTROL!$C$9, $D$9, 100%, $F$9) + CHOOSE(CONTROL!$C$27, 0.0021, 0)</f>
        <v>95.304699999999997</v>
      </c>
      <c r="E983" s="10">
        <f>95.1659 * CHOOSE(CONTROL!$C$9, $D$9, 100%, $F$9) + CHOOSE(CONTROL!$C$27, 0.0021, 0)</f>
        <v>95.167999999999992</v>
      </c>
      <c r="F983" s="10">
        <f>95.1659 * CHOOSE(CONTROL!$C$9, $D$9, 100%, $F$9) + CHOOSE(CONTROL!$C$27, 0.0021, 0)</f>
        <v>95.167999999999992</v>
      </c>
      <c r="G983" s="10">
        <f>95.4373 * CHOOSE(CONTROL!$C$9, $D$9, 100%, $F$9) + CHOOSE(CONTROL!$C$27, 0.0021, 0)</f>
        <v>95.439399999999992</v>
      </c>
      <c r="H983" s="10">
        <f>95.3026 * CHOOSE(CONTROL!$C$9, $D$9, 100%, $F$9) + CHOOSE(CONTROL!$C$27, 0.0021, 0)</f>
        <v>95.304699999999997</v>
      </c>
      <c r="I983" s="10">
        <f>95.3026 * CHOOSE(CONTROL!$C$9, $D$9, 100%, $F$9) + CHOOSE(CONTROL!$C$27, 0.0021, 0)</f>
        <v>95.304699999999997</v>
      </c>
      <c r="J983" s="10">
        <f>95.3026 * CHOOSE(CONTROL!$C$9, $D$9, 100%, $F$9) + CHOOSE(CONTROL!$C$27, 0.0021, 0)</f>
        <v>95.304699999999997</v>
      </c>
      <c r="K983" s="10">
        <f>95.3026 * CHOOSE(CONTROL!$C$9, $D$9, 100%, $F$9) + CHOOSE(CONTROL!$C$27, 0.0021, 0)</f>
        <v>95.304699999999997</v>
      </c>
      <c r="L983" s="10"/>
    </row>
    <row r="984" spans="1:12" ht="15.75" x14ac:dyDescent="0.25">
      <c r="A984" s="13">
        <v>71255</v>
      </c>
      <c r="B984" s="10">
        <f>94.304 * CHOOSE(CONTROL!$C$9, $D$9, 100%, $F$9) + CHOOSE(CONTROL!$C$27, 0.0021, 0)</f>
        <v>94.306100000000001</v>
      </c>
      <c r="C984" s="10">
        <f>93.8717 * CHOOSE(CONTROL!$C$9, $D$9, 100%, $F$9) + CHOOSE(CONTROL!$C$27, 0.0021, 0)</f>
        <v>93.873800000000003</v>
      </c>
      <c r="D984" s="10">
        <f>93.8717 * CHOOSE(CONTROL!$C$9, $D$9, 100%, $F$9) + CHOOSE(CONTROL!$C$27, 0.0021, 0)</f>
        <v>93.873800000000003</v>
      </c>
      <c r="E984" s="10">
        <f>93.7351 * CHOOSE(CONTROL!$C$9, $D$9, 100%, $F$9) + CHOOSE(CONTROL!$C$27, 0.0021, 0)</f>
        <v>93.737200000000001</v>
      </c>
      <c r="F984" s="10">
        <f>93.7351 * CHOOSE(CONTROL!$C$9, $D$9, 100%, $F$9) + CHOOSE(CONTROL!$C$27, 0.0021, 0)</f>
        <v>93.737200000000001</v>
      </c>
      <c r="G984" s="10">
        <f>94.0065 * CHOOSE(CONTROL!$C$9, $D$9, 100%, $F$9) + CHOOSE(CONTROL!$C$27, 0.0021, 0)</f>
        <v>94.008600000000001</v>
      </c>
      <c r="H984" s="10">
        <f>93.8717 * CHOOSE(CONTROL!$C$9, $D$9, 100%, $F$9) + CHOOSE(CONTROL!$C$27, 0.0021, 0)</f>
        <v>93.873800000000003</v>
      </c>
      <c r="I984" s="10">
        <f>93.8717 * CHOOSE(CONTROL!$C$9, $D$9, 100%, $F$9) + CHOOSE(CONTROL!$C$27, 0.0021, 0)</f>
        <v>93.873800000000003</v>
      </c>
      <c r="J984" s="10">
        <f>93.8717 * CHOOSE(CONTROL!$C$9, $D$9, 100%, $F$9) + CHOOSE(CONTROL!$C$27, 0.0021, 0)</f>
        <v>93.873800000000003</v>
      </c>
      <c r="K984" s="10">
        <f>93.8717 * CHOOSE(CONTROL!$C$9, $D$9, 100%, $F$9) + CHOOSE(CONTROL!$C$27, 0.0021, 0)</f>
        <v>93.873800000000003</v>
      </c>
      <c r="L984" s="10"/>
    </row>
    <row r="985" spans="1:12" ht="15.75" x14ac:dyDescent="0.25">
      <c r="A985" s="13">
        <v>71283</v>
      </c>
      <c r="B985" s="10">
        <f>91.7014 * CHOOSE(CONTROL!$C$9, $D$9, 100%, $F$9) + CHOOSE(CONTROL!$C$27, 0.0021, 0)</f>
        <v>91.703500000000005</v>
      </c>
      <c r="C985" s="10">
        <f>91.2692 * CHOOSE(CONTROL!$C$9, $D$9, 100%, $F$9) + CHOOSE(CONTROL!$C$27, 0.0021, 0)</f>
        <v>91.271299999999997</v>
      </c>
      <c r="D985" s="10">
        <f>91.2692 * CHOOSE(CONTROL!$C$9, $D$9, 100%, $F$9) + CHOOSE(CONTROL!$C$27, 0.0021, 0)</f>
        <v>91.271299999999997</v>
      </c>
      <c r="E985" s="10">
        <f>91.1325 * CHOOSE(CONTROL!$C$9, $D$9, 100%, $F$9) + CHOOSE(CONTROL!$C$27, 0.0021, 0)</f>
        <v>91.134599999999992</v>
      </c>
      <c r="F985" s="10">
        <f>91.1325 * CHOOSE(CONTROL!$C$9, $D$9, 100%, $F$9) + CHOOSE(CONTROL!$C$27, 0.0021, 0)</f>
        <v>91.134599999999992</v>
      </c>
      <c r="G985" s="10">
        <f>91.4039 * CHOOSE(CONTROL!$C$9, $D$9, 100%, $F$9) + CHOOSE(CONTROL!$C$27, 0.0021, 0)</f>
        <v>91.405999999999992</v>
      </c>
      <c r="H985" s="10">
        <f>91.2692 * CHOOSE(CONTROL!$C$9, $D$9, 100%, $F$9) + CHOOSE(CONTROL!$C$27, 0.0021, 0)</f>
        <v>91.271299999999997</v>
      </c>
      <c r="I985" s="10">
        <f>91.2692 * CHOOSE(CONTROL!$C$9, $D$9, 100%, $F$9) + CHOOSE(CONTROL!$C$27, 0.0021, 0)</f>
        <v>91.271299999999997</v>
      </c>
      <c r="J985" s="10">
        <f>91.2692 * CHOOSE(CONTROL!$C$9, $D$9, 100%, $F$9) + CHOOSE(CONTROL!$C$27, 0.0021, 0)</f>
        <v>91.271299999999997</v>
      </c>
      <c r="K985" s="10">
        <f>91.2692 * CHOOSE(CONTROL!$C$9, $D$9, 100%, $F$9) + CHOOSE(CONTROL!$C$27, 0.0021, 0)</f>
        <v>91.271299999999997</v>
      </c>
      <c r="L985" s="10"/>
    </row>
    <row r="986" spans="1:12" ht="15.75" x14ac:dyDescent="0.25">
      <c r="A986" s="13">
        <v>71314</v>
      </c>
      <c r="B986" s="10">
        <f>90.6271 * CHOOSE(CONTROL!$C$9, $D$9, 100%, $F$9) + CHOOSE(CONTROL!$C$27, 0.0021, 0)</f>
        <v>90.629199999999997</v>
      </c>
      <c r="C986" s="10">
        <f>90.1948 * CHOOSE(CONTROL!$C$9, $D$9, 100%, $F$9) + CHOOSE(CONTROL!$C$27, 0.0021, 0)</f>
        <v>90.196899999999999</v>
      </c>
      <c r="D986" s="10">
        <f>90.1948 * CHOOSE(CONTROL!$C$9, $D$9, 100%, $F$9) + CHOOSE(CONTROL!$C$27, 0.0021, 0)</f>
        <v>90.196899999999999</v>
      </c>
      <c r="E986" s="10">
        <f>90.0582 * CHOOSE(CONTROL!$C$9, $D$9, 100%, $F$9) + CHOOSE(CONTROL!$C$27, 0.0021, 0)</f>
        <v>90.060299999999998</v>
      </c>
      <c r="F986" s="10">
        <f>90.0582 * CHOOSE(CONTROL!$C$9, $D$9, 100%, $F$9) + CHOOSE(CONTROL!$C$27, 0.0021, 0)</f>
        <v>90.060299999999998</v>
      </c>
      <c r="G986" s="10">
        <f>90.3295 * CHOOSE(CONTROL!$C$9, $D$9, 100%, $F$9) + CHOOSE(CONTROL!$C$27, 0.0021, 0)</f>
        <v>90.331599999999995</v>
      </c>
      <c r="H986" s="10">
        <f>90.1948 * CHOOSE(CONTROL!$C$9, $D$9, 100%, $F$9) + CHOOSE(CONTROL!$C$27, 0.0021, 0)</f>
        <v>90.196899999999999</v>
      </c>
      <c r="I986" s="10">
        <f>90.1948 * CHOOSE(CONTROL!$C$9, $D$9, 100%, $F$9) + CHOOSE(CONTROL!$C$27, 0.0021, 0)</f>
        <v>90.196899999999999</v>
      </c>
      <c r="J986" s="10">
        <f>90.1948 * CHOOSE(CONTROL!$C$9, $D$9, 100%, $F$9) + CHOOSE(CONTROL!$C$27, 0.0021, 0)</f>
        <v>90.196899999999999</v>
      </c>
      <c r="K986" s="10">
        <f>90.1948 * CHOOSE(CONTROL!$C$9, $D$9, 100%, $F$9) + CHOOSE(CONTROL!$C$27, 0.0021, 0)</f>
        <v>90.196899999999999</v>
      </c>
      <c r="L986" s="10"/>
    </row>
    <row r="987" spans="1:12" ht="15.75" x14ac:dyDescent="0.25">
      <c r="A987" s="13">
        <v>71344</v>
      </c>
      <c r="B987" s="10">
        <f>89.3443 * CHOOSE(CONTROL!$C$9, $D$9, 100%, $F$9) + CHOOSE(CONTROL!$C$27, 0.0021, 0)</f>
        <v>89.346400000000003</v>
      </c>
      <c r="C987" s="10">
        <f>88.912 * CHOOSE(CONTROL!$C$9, $D$9, 100%, $F$9) + CHOOSE(CONTROL!$C$27, 0.0021, 0)</f>
        <v>88.914100000000005</v>
      </c>
      <c r="D987" s="10">
        <f>88.912 * CHOOSE(CONTROL!$C$9, $D$9, 100%, $F$9) + CHOOSE(CONTROL!$C$27, 0.0021, 0)</f>
        <v>88.914100000000005</v>
      </c>
      <c r="E987" s="10">
        <f>88.7754 * CHOOSE(CONTROL!$C$9, $D$9, 100%, $F$9) + CHOOSE(CONTROL!$C$27, 0.0021, 0)</f>
        <v>88.777500000000003</v>
      </c>
      <c r="F987" s="10">
        <f>88.7754 * CHOOSE(CONTROL!$C$9, $D$9, 100%, $F$9) + CHOOSE(CONTROL!$C$27, 0.0021, 0)</f>
        <v>88.777500000000003</v>
      </c>
      <c r="G987" s="10">
        <f>89.0467 * CHOOSE(CONTROL!$C$9, $D$9, 100%, $F$9) + CHOOSE(CONTROL!$C$27, 0.0021, 0)</f>
        <v>89.0488</v>
      </c>
      <c r="H987" s="10">
        <f>88.912 * CHOOSE(CONTROL!$C$9, $D$9, 100%, $F$9) + CHOOSE(CONTROL!$C$27, 0.0021, 0)</f>
        <v>88.914100000000005</v>
      </c>
      <c r="I987" s="10">
        <f>88.912 * CHOOSE(CONTROL!$C$9, $D$9, 100%, $F$9) + CHOOSE(CONTROL!$C$27, 0.0021, 0)</f>
        <v>88.914100000000005</v>
      </c>
      <c r="J987" s="10">
        <f>88.912 * CHOOSE(CONTROL!$C$9, $D$9, 100%, $F$9) + CHOOSE(CONTROL!$C$27, 0.0021, 0)</f>
        <v>88.914100000000005</v>
      </c>
      <c r="K987" s="10">
        <f>88.912 * CHOOSE(CONTROL!$C$9, $D$9, 100%, $F$9) + CHOOSE(CONTROL!$C$27, 0.0021, 0)</f>
        <v>88.914100000000005</v>
      </c>
      <c r="L987" s="10"/>
    </row>
    <row r="988" spans="1:12" ht="15.75" x14ac:dyDescent="0.25">
      <c r="A988" s="13">
        <v>71375</v>
      </c>
      <c r="B988" s="10">
        <f>91.1724 * CHOOSE(CONTROL!$C$9, $D$9, 100%, $F$9) + CHOOSE(CONTROL!$C$27, 0.0021, 0)</f>
        <v>91.174499999999995</v>
      </c>
      <c r="C988" s="10">
        <f>90.7401 * CHOOSE(CONTROL!$C$9, $D$9, 100%, $F$9) + CHOOSE(CONTROL!$C$27, 0.0021, 0)</f>
        <v>90.742199999999997</v>
      </c>
      <c r="D988" s="10">
        <f>90.7401 * CHOOSE(CONTROL!$C$9, $D$9, 100%, $F$9) + CHOOSE(CONTROL!$C$27, 0.0021, 0)</f>
        <v>90.742199999999997</v>
      </c>
      <c r="E988" s="10">
        <f>90.6035 * CHOOSE(CONTROL!$C$9, $D$9, 100%, $F$9) + CHOOSE(CONTROL!$C$27, 0.0021, 0)</f>
        <v>90.605599999999995</v>
      </c>
      <c r="F988" s="10">
        <f>90.6035 * CHOOSE(CONTROL!$C$9, $D$9, 100%, $F$9) + CHOOSE(CONTROL!$C$27, 0.0021, 0)</f>
        <v>90.605599999999995</v>
      </c>
      <c r="G988" s="10">
        <f>90.8749 * CHOOSE(CONTROL!$C$9, $D$9, 100%, $F$9) + CHOOSE(CONTROL!$C$27, 0.0021, 0)</f>
        <v>90.876999999999995</v>
      </c>
      <c r="H988" s="10">
        <f>90.7401 * CHOOSE(CONTROL!$C$9, $D$9, 100%, $F$9) + CHOOSE(CONTROL!$C$27, 0.0021, 0)</f>
        <v>90.742199999999997</v>
      </c>
      <c r="I988" s="10">
        <f>90.7401 * CHOOSE(CONTROL!$C$9, $D$9, 100%, $F$9) + CHOOSE(CONTROL!$C$27, 0.0021, 0)</f>
        <v>90.742199999999997</v>
      </c>
      <c r="J988" s="10">
        <f>90.7401 * CHOOSE(CONTROL!$C$9, $D$9, 100%, $F$9) + CHOOSE(CONTROL!$C$27, 0.0021, 0)</f>
        <v>90.742199999999997</v>
      </c>
      <c r="K988" s="10">
        <f>90.7401 * CHOOSE(CONTROL!$C$9, $D$9, 100%, $F$9) + CHOOSE(CONTROL!$C$27, 0.0021, 0)</f>
        <v>90.742199999999997</v>
      </c>
      <c r="L988" s="10"/>
    </row>
    <row r="989" spans="1:12" ht="15.75" x14ac:dyDescent="0.25">
      <c r="A989" s="13">
        <v>71405</v>
      </c>
      <c r="B989" s="10">
        <f>92.2674 * CHOOSE(CONTROL!$C$9, $D$9, 100%, $F$9) + CHOOSE(CONTROL!$C$27, 0.0021, 0)</f>
        <v>92.269499999999994</v>
      </c>
      <c r="C989" s="10">
        <f>91.8351 * CHOOSE(CONTROL!$C$9, $D$9, 100%, $F$9) + CHOOSE(CONTROL!$C$27, 0.0021, 0)</f>
        <v>91.837199999999996</v>
      </c>
      <c r="D989" s="10">
        <f>91.8351 * CHOOSE(CONTROL!$C$9, $D$9, 100%, $F$9) + CHOOSE(CONTROL!$C$27, 0.0021, 0)</f>
        <v>91.837199999999996</v>
      </c>
      <c r="E989" s="10">
        <f>91.6985 * CHOOSE(CONTROL!$C$9, $D$9, 100%, $F$9) + CHOOSE(CONTROL!$C$27, 0.0021, 0)</f>
        <v>91.700599999999994</v>
      </c>
      <c r="F989" s="10">
        <f>91.6985 * CHOOSE(CONTROL!$C$9, $D$9, 100%, $F$9) + CHOOSE(CONTROL!$C$27, 0.0021, 0)</f>
        <v>91.700599999999994</v>
      </c>
      <c r="G989" s="10">
        <f>91.9698 * CHOOSE(CONTROL!$C$9, $D$9, 100%, $F$9) + CHOOSE(CONTROL!$C$27, 0.0021, 0)</f>
        <v>91.971900000000005</v>
      </c>
      <c r="H989" s="10">
        <f>91.8351 * CHOOSE(CONTROL!$C$9, $D$9, 100%, $F$9) + CHOOSE(CONTROL!$C$27, 0.0021, 0)</f>
        <v>91.837199999999996</v>
      </c>
      <c r="I989" s="10">
        <f>91.8351 * CHOOSE(CONTROL!$C$9, $D$9, 100%, $F$9) + CHOOSE(CONTROL!$C$27, 0.0021, 0)</f>
        <v>91.837199999999996</v>
      </c>
      <c r="J989" s="10">
        <f>91.8351 * CHOOSE(CONTROL!$C$9, $D$9, 100%, $F$9) + CHOOSE(CONTROL!$C$27, 0.0021, 0)</f>
        <v>91.837199999999996</v>
      </c>
      <c r="K989" s="10">
        <f>91.8351 * CHOOSE(CONTROL!$C$9, $D$9, 100%, $F$9) + CHOOSE(CONTROL!$C$27, 0.0021, 0)</f>
        <v>91.837199999999996</v>
      </c>
      <c r="L989" s="10"/>
    </row>
    <row r="990" spans="1:12" ht="15.75" x14ac:dyDescent="0.25">
      <c r="A990" s="13">
        <v>71436</v>
      </c>
      <c r="B990" s="10">
        <f>94.0737 * CHOOSE(CONTROL!$C$9, $D$9, 100%, $F$9) + CHOOSE(CONTROL!$C$27, 0.0021, 0)</f>
        <v>94.075800000000001</v>
      </c>
      <c r="C990" s="10">
        <f>93.6414 * CHOOSE(CONTROL!$C$9, $D$9, 100%, $F$9) + CHOOSE(CONTROL!$C$27, 0.0021, 0)</f>
        <v>93.643500000000003</v>
      </c>
      <c r="D990" s="10">
        <f>93.6414 * CHOOSE(CONTROL!$C$9, $D$9, 100%, $F$9) + CHOOSE(CONTROL!$C$27, 0.0021, 0)</f>
        <v>93.643500000000003</v>
      </c>
      <c r="E990" s="10">
        <f>93.5048 * CHOOSE(CONTROL!$C$9, $D$9, 100%, $F$9) + CHOOSE(CONTROL!$C$27, 0.0021, 0)</f>
        <v>93.506900000000002</v>
      </c>
      <c r="F990" s="10">
        <f>93.5048 * CHOOSE(CONTROL!$C$9, $D$9, 100%, $F$9) + CHOOSE(CONTROL!$C$27, 0.0021, 0)</f>
        <v>93.506900000000002</v>
      </c>
      <c r="G990" s="10">
        <f>93.7761 * CHOOSE(CONTROL!$C$9, $D$9, 100%, $F$9) + CHOOSE(CONTROL!$C$27, 0.0021, 0)</f>
        <v>93.778199999999998</v>
      </c>
      <c r="H990" s="10">
        <f>93.6414 * CHOOSE(CONTROL!$C$9, $D$9, 100%, $F$9) + CHOOSE(CONTROL!$C$27, 0.0021, 0)</f>
        <v>93.643500000000003</v>
      </c>
      <c r="I990" s="10">
        <f>93.6414 * CHOOSE(CONTROL!$C$9, $D$9, 100%, $F$9) + CHOOSE(CONTROL!$C$27, 0.0021, 0)</f>
        <v>93.643500000000003</v>
      </c>
      <c r="J990" s="10">
        <f>93.6414 * CHOOSE(CONTROL!$C$9, $D$9, 100%, $F$9) + CHOOSE(CONTROL!$C$27, 0.0021, 0)</f>
        <v>93.643500000000003</v>
      </c>
      <c r="K990" s="10">
        <f>93.6414 * CHOOSE(CONTROL!$C$9, $D$9, 100%, $F$9) + CHOOSE(CONTROL!$C$27, 0.0021, 0)</f>
        <v>93.643500000000003</v>
      </c>
      <c r="L990" s="10"/>
    </row>
    <row r="991" spans="1:12" ht="15.75" x14ac:dyDescent="0.25">
      <c r="A991" s="13">
        <v>71467</v>
      </c>
      <c r="B991" s="10">
        <f>94.625 * CHOOSE(CONTROL!$C$9, $D$9, 100%, $F$9) + CHOOSE(CONTROL!$C$27, 0.0021, 0)</f>
        <v>94.627099999999999</v>
      </c>
      <c r="C991" s="10">
        <f>94.1928 * CHOOSE(CONTROL!$C$9, $D$9, 100%, $F$9) + CHOOSE(CONTROL!$C$27, 0.0021, 0)</f>
        <v>94.194900000000004</v>
      </c>
      <c r="D991" s="10">
        <f>94.1928 * CHOOSE(CONTROL!$C$9, $D$9, 100%, $F$9) + CHOOSE(CONTROL!$C$27, 0.0021, 0)</f>
        <v>94.194900000000004</v>
      </c>
      <c r="E991" s="10">
        <f>94.0561 * CHOOSE(CONTROL!$C$9, $D$9, 100%, $F$9) + CHOOSE(CONTROL!$C$27, 0.0021, 0)</f>
        <v>94.058199999999999</v>
      </c>
      <c r="F991" s="10">
        <f>94.0561 * CHOOSE(CONTROL!$C$9, $D$9, 100%, $F$9) + CHOOSE(CONTROL!$C$27, 0.0021, 0)</f>
        <v>94.058199999999999</v>
      </c>
      <c r="G991" s="10">
        <f>94.3275 * CHOOSE(CONTROL!$C$9, $D$9, 100%, $F$9) + CHOOSE(CONTROL!$C$27, 0.0021, 0)</f>
        <v>94.329599999999999</v>
      </c>
      <c r="H991" s="10">
        <f>94.1928 * CHOOSE(CONTROL!$C$9, $D$9, 100%, $F$9) + CHOOSE(CONTROL!$C$27, 0.0021, 0)</f>
        <v>94.194900000000004</v>
      </c>
      <c r="I991" s="10">
        <f>94.1928 * CHOOSE(CONTROL!$C$9, $D$9, 100%, $F$9) + CHOOSE(CONTROL!$C$27, 0.0021, 0)</f>
        <v>94.194900000000004</v>
      </c>
      <c r="J991" s="10">
        <f>94.1928 * CHOOSE(CONTROL!$C$9, $D$9, 100%, $F$9) + CHOOSE(CONTROL!$C$27, 0.0021, 0)</f>
        <v>94.194900000000004</v>
      </c>
      <c r="K991" s="10">
        <f>94.1928 * CHOOSE(CONTROL!$C$9, $D$9, 100%, $F$9) + CHOOSE(CONTROL!$C$27, 0.0021, 0)</f>
        <v>94.194900000000004</v>
      </c>
      <c r="L991" s="10"/>
    </row>
    <row r="992" spans="1:12" ht="15.75" x14ac:dyDescent="0.25">
      <c r="A992" s="13">
        <v>71497</v>
      </c>
      <c r="B992" s="10">
        <f>96.5026 * CHOOSE(CONTROL!$C$9, $D$9, 100%, $F$9) + CHOOSE(CONTROL!$C$27, 0.0021, 0)</f>
        <v>96.5047</v>
      </c>
      <c r="C992" s="10">
        <f>96.0704 * CHOOSE(CONTROL!$C$9, $D$9, 100%, $F$9) + CHOOSE(CONTROL!$C$27, 0.0021, 0)</f>
        <v>96.072500000000005</v>
      </c>
      <c r="D992" s="10">
        <f>96.0704 * CHOOSE(CONTROL!$C$9, $D$9, 100%, $F$9) + CHOOSE(CONTROL!$C$27, 0.0021, 0)</f>
        <v>96.072500000000005</v>
      </c>
      <c r="E992" s="10">
        <f>95.9337 * CHOOSE(CONTROL!$C$9, $D$9, 100%, $F$9) + CHOOSE(CONTROL!$C$27, 0.0021, 0)</f>
        <v>95.9358</v>
      </c>
      <c r="F992" s="10">
        <f>95.9337 * CHOOSE(CONTROL!$C$9, $D$9, 100%, $F$9) + CHOOSE(CONTROL!$C$27, 0.0021, 0)</f>
        <v>95.9358</v>
      </c>
      <c r="G992" s="10">
        <f>96.2051 * CHOOSE(CONTROL!$C$9, $D$9, 100%, $F$9) + CHOOSE(CONTROL!$C$27, 0.0021, 0)</f>
        <v>96.2072</v>
      </c>
      <c r="H992" s="10">
        <f>96.0704 * CHOOSE(CONTROL!$C$9, $D$9, 100%, $F$9) + CHOOSE(CONTROL!$C$27, 0.0021, 0)</f>
        <v>96.072500000000005</v>
      </c>
      <c r="I992" s="10">
        <f>96.0704 * CHOOSE(CONTROL!$C$9, $D$9, 100%, $F$9) + CHOOSE(CONTROL!$C$27, 0.0021, 0)</f>
        <v>96.072500000000005</v>
      </c>
      <c r="J992" s="10">
        <f>96.0704 * CHOOSE(CONTROL!$C$9, $D$9, 100%, $F$9) + CHOOSE(CONTROL!$C$27, 0.0021, 0)</f>
        <v>96.072500000000005</v>
      </c>
      <c r="K992" s="10">
        <f>96.0704 * CHOOSE(CONTROL!$C$9, $D$9, 100%, $F$9) + CHOOSE(CONTROL!$C$27, 0.0021, 0)</f>
        <v>96.072500000000005</v>
      </c>
      <c r="L992" s="10"/>
    </row>
    <row r="993" spans="1:12" ht="15.75" x14ac:dyDescent="0.25">
      <c r="A993" s="13">
        <v>71528</v>
      </c>
      <c r="B993" s="10">
        <f>98.8793 * CHOOSE(CONTROL!$C$9, $D$9, 100%, $F$9) + CHOOSE(CONTROL!$C$27, 0.0021, 0)</f>
        <v>98.881399999999999</v>
      </c>
      <c r="C993" s="10">
        <f>98.4471 * CHOOSE(CONTROL!$C$9, $D$9, 100%, $F$9) + CHOOSE(CONTROL!$C$27, 0.0021, 0)</f>
        <v>98.449200000000005</v>
      </c>
      <c r="D993" s="10">
        <f>98.4471 * CHOOSE(CONTROL!$C$9, $D$9, 100%, $F$9) + CHOOSE(CONTROL!$C$27, 0.0021, 0)</f>
        <v>98.449200000000005</v>
      </c>
      <c r="E993" s="10">
        <f>98.3104 * CHOOSE(CONTROL!$C$9, $D$9, 100%, $F$9) + CHOOSE(CONTROL!$C$27, 0.0021, 0)</f>
        <v>98.3125</v>
      </c>
      <c r="F993" s="10">
        <f>98.3104 * CHOOSE(CONTROL!$C$9, $D$9, 100%, $F$9) + CHOOSE(CONTROL!$C$27, 0.0021, 0)</f>
        <v>98.3125</v>
      </c>
      <c r="G993" s="10">
        <f>98.5818 * CHOOSE(CONTROL!$C$9, $D$9, 100%, $F$9) + CHOOSE(CONTROL!$C$27, 0.0021, 0)</f>
        <v>98.5839</v>
      </c>
      <c r="H993" s="10">
        <f>98.4471 * CHOOSE(CONTROL!$C$9, $D$9, 100%, $F$9) + CHOOSE(CONTROL!$C$27, 0.0021, 0)</f>
        <v>98.449200000000005</v>
      </c>
      <c r="I993" s="10">
        <f>98.4471 * CHOOSE(CONTROL!$C$9, $D$9, 100%, $F$9) + CHOOSE(CONTROL!$C$27, 0.0021, 0)</f>
        <v>98.449200000000005</v>
      </c>
      <c r="J993" s="10">
        <f>98.4471 * CHOOSE(CONTROL!$C$9, $D$9, 100%, $F$9) + CHOOSE(CONTROL!$C$27, 0.0021, 0)</f>
        <v>98.449200000000005</v>
      </c>
      <c r="K993" s="10">
        <f>98.4471 * CHOOSE(CONTROL!$C$9, $D$9, 100%, $F$9) + CHOOSE(CONTROL!$C$27, 0.0021, 0)</f>
        <v>98.449200000000005</v>
      </c>
      <c r="L993" s="10"/>
    </row>
    <row r="994" spans="1:12" ht="15.75" x14ac:dyDescent="0.25">
      <c r="A994" s="13">
        <v>71558</v>
      </c>
      <c r="B994" s="10">
        <f>99.1024 * CHOOSE(CONTROL!$C$9, $D$9, 100%, $F$9) + CHOOSE(CONTROL!$C$27, 0.0021, 0)</f>
        <v>99.104500000000002</v>
      </c>
      <c r="C994" s="10">
        <f>98.6702 * CHOOSE(CONTROL!$C$9, $D$9, 100%, $F$9) + CHOOSE(CONTROL!$C$27, 0.0021, 0)</f>
        <v>98.672299999999993</v>
      </c>
      <c r="D994" s="10">
        <f>98.6702 * CHOOSE(CONTROL!$C$9, $D$9, 100%, $F$9) + CHOOSE(CONTROL!$C$27, 0.0021, 0)</f>
        <v>98.672299999999993</v>
      </c>
      <c r="E994" s="10">
        <f>98.5335 * CHOOSE(CONTROL!$C$9, $D$9, 100%, $F$9) + CHOOSE(CONTROL!$C$27, 0.0021, 0)</f>
        <v>98.535600000000002</v>
      </c>
      <c r="F994" s="10">
        <f>98.5335 * CHOOSE(CONTROL!$C$9, $D$9, 100%, $F$9) + CHOOSE(CONTROL!$C$27, 0.0021, 0)</f>
        <v>98.535600000000002</v>
      </c>
      <c r="G994" s="10">
        <f>98.8049 * CHOOSE(CONTROL!$C$9, $D$9, 100%, $F$9) + CHOOSE(CONTROL!$C$27, 0.0021, 0)</f>
        <v>98.807000000000002</v>
      </c>
      <c r="H994" s="10">
        <f>98.6702 * CHOOSE(CONTROL!$C$9, $D$9, 100%, $F$9) + CHOOSE(CONTROL!$C$27, 0.0021, 0)</f>
        <v>98.672299999999993</v>
      </c>
      <c r="I994" s="10">
        <f>98.6702 * CHOOSE(CONTROL!$C$9, $D$9, 100%, $F$9) + CHOOSE(CONTROL!$C$27, 0.0021, 0)</f>
        <v>98.672299999999993</v>
      </c>
      <c r="J994" s="10">
        <f>98.6702 * CHOOSE(CONTROL!$C$9, $D$9, 100%, $F$9) + CHOOSE(CONTROL!$C$27, 0.0021, 0)</f>
        <v>98.672299999999993</v>
      </c>
      <c r="K994" s="10">
        <f>98.6702 * CHOOSE(CONTROL!$C$9, $D$9, 100%, $F$9) + CHOOSE(CONTROL!$C$27, 0.0021, 0)</f>
        <v>98.672299999999993</v>
      </c>
      <c r="L994" s="10"/>
    </row>
    <row r="995" spans="1:12" ht="15.75" x14ac:dyDescent="0.25">
      <c r="A995" s="13">
        <v>71589</v>
      </c>
      <c r="B995" s="10">
        <f>97.2042 * CHOOSE(CONTROL!$C$9, $D$9, 100%, $F$9) + CHOOSE(CONTROL!$C$27, 0.0021, 0)</f>
        <v>97.206299999999999</v>
      </c>
      <c r="C995" s="10">
        <f>96.772 * CHOOSE(CONTROL!$C$9, $D$9, 100%, $F$9) + CHOOSE(CONTROL!$C$27, 0.0021, 0)</f>
        <v>96.774100000000004</v>
      </c>
      <c r="D995" s="10">
        <f>96.772 * CHOOSE(CONTROL!$C$9, $D$9, 100%, $F$9) + CHOOSE(CONTROL!$C$27, 0.0021, 0)</f>
        <v>96.774100000000004</v>
      </c>
      <c r="E995" s="10">
        <f>96.6353 * CHOOSE(CONTROL!$C$9, $D$9, 100%, $F$9) + CHOOSE(CONTROL!$C$27, 0.0021, 0)</f>
        <v>96.6374</v>
      </c>
      <c r="F995" s="10">
        <f>96.6353 * CHOOSE(CONTROL!$C$9, $D$9, 100%, $F$9) + CHOOSE(CONTROL!$C$27, 0.0021, 0)</f>
        <v>96.6374</v>
      </c>
      <c r="G995" s="10">
        <f>96.9067 * CHOOSE(CONTROL!$C$9, $D$9, 100%, $F$9) + CHOOSE(CONTROL!$C$27, 0.0021, 0)</f>
        <v>96.908799999999999</v>
      </c>
      <c r="H995" s="10">
        <f>96.772 * CHOOSE(CONTROL!$C$9, $D$9, 100%, $F$9) + CHOOSE(CONTROL!$C$27, 0.0021, 0)</f>
        <v>96.774100000000004</v>
      </c>
      <c r="I995" s="10">
        <f>96.772 * CHOOSE(CONTROL!$C$9, $D$9, 100%, $F$9) + CHOOSE(CONTROL!$C$27, 0.0021, 0)</f>
        <v>96.774100000000004</v>
      </c>
      <c r="J995" s="10">
        <f>96.772 * CHOOSE(CONTROL!$C$9, $D$9, 100%, $F$9) + CHOOSE(CONTROL!$C$27, 0.0021, 0)</f>
        <v>96.774100000000004</v>
      </c>
      <c r="K995" s="10">
        <f>96.772 * CHOOSE(CONTROL!$C$9, $D$9, 100%, $F$9) + CHOOSE(CONTROL!$C$27, 0.0021, 0)</f>
        <v>96.774100000000004</v>
      </c>
      <c r="L995" s="10"/>
    </row>
    <row r="996" spans="1:12" ht="15.75" x14ac:dyDescent="0.25">
      <c r="A996" s="13">
        <v>71620</v>
      </c>
      <c r="B996" s="10">
        <f>95.7509 * CHOOSE(CONTROL!$C$9, $D$9, 100%, $F$9) + CHOOSE(CONTROL!$C$27, 0.0021, 0)</f>
        <v>95.753</v>
      </c>
      <c r="C996" s="10">
        <f>95.3186 * CHOOSE(CONTROL!$C$9, $D$9, 100%, $F$9) + CHOOSE(CONTROL!$C$27, 0.0021, 0)</f>
        <v>95.320700000000002</v>
      </c>
      <c r="D996" s="10">
        <f>95.3186 * CHOOSE(CONTROL!$C$9, $D$9, 100%, $F$9) + CHOOSE(CONTROL!$C$27, 0.0021, 0)</f>
        <v>95.320700000000002</v>
      </c>
      <c r="E996" s="10">
        <f>95.182 * CHOOSE(CONTROL!$C$9, $D$9, 100%, $F$9) + CHOOSE(CONTROL!$C$27, 0.0021, 0)</f>
        <v>95.184100000000001</v>
      </c>
      <c r="F996" s="10">
        <f>95.182 * CHOOSE(CONTROL!$C$9, $D$9, 100%, $F$9) + CHOOSE(CONTROL!$C$27, 0.0021, 0)</f>
        <v>95.184100000000001</v>
      </c>
      <c r="G996" s="10">
        <f>95.4533 * CHOOSE(CONTROL!$C$9, $D$9, 100%, $F$9) + CHOOSE(CONTROL!$C$27, 0.0021, 0)</f>
        <v>95.455399999999997</v>
      </c>
      <c r="H996" s="10">
        <f>95.3186 * CHOOSE(CONTROL!$C$9, $D$9, 100%, $F$9) + CHOOSE(CONTROL!$C$27, 0.0021, 0)</f>
        <v>95.320700000000002</v>
      </c>
      <c r="I996" s="10">
        <f>95.3186 * CHOOSE(CONTROL!$C$9, $D$9, 100%, $F$9) + CHOOSE(CONTROL!$C$27, 0.0021, 0)</f>
        <v>95.320700000000002</v>
      </c>
      <c r="J996" s="10">
        <f>95.3186 * CHOOSE(CONTROL!$C$9, $D$9, 100%, $F$9) + CHOOSE(CONTROL!$C$27, 0.0021, 0)</f>
        <v>95.320700000000002</v>
      </c>
      <c r="K996" s="10">
        <f>95.3186 * CHOOSE(CONTROL!$C$9, $D$9, 100%, $F$9) + CHOOSE(CONTROL!$C$27, 0.0021, 0)</f>
        <v>95.320700000000002</v>
      </c>
      <c r="L996" s="10"/>
    </row>
    <row r="997" spans="1:12" ht="15.75" x14ac:dyDescent="0.25">
      <c r="A997" s="13">
        <v>71649</v>
      </c>
      <c r="B997" s="10">
        <f>93.1073 * CHOOSE(CONTROL!$C$9, $D$9, 100%, $F$9) + CHOOSE(CONTROL!$C$27, 0.0021, 0)</f>
        <v>93.109399999999994</v>
      </c>
      <c r="C997" s="10">
        <f>92.6751 * CHOOSE(CONTROL!$C$9, $D$9, 100%, $F$9) + CHOOSE(CONTROL!$C$27, 0.0021, 0)</f>
        <v>92.677199999999999</v>
      </c>
      <c r="D997" s="10">
        <f>92.6751 * CHOOSE(CONTROL!$C$9, $D$9, 100%, $F$9) + CHOOSE(CONTROL!$C$27, 0.0021, 0)</f>
        <v>92.677199999999999</v>
      </c>
      <c r="E997" s="10">
        <f>92.5384 * CHOOSE(CONTROL!$C$9, $D$9, 100%, $F$9) + CHOOSE(CONTROL!$C$27, 0.0021, 0)</f>
        <v>92.540499999999994</v>
      </c>
      <c r="F997" s="10">
        <f>92.5384 * CHOOSE(CONTROL!$C$9, $D$9, 100%, $F$9) + CHOOSE(CONTROL!$C$27, 0.0021, 0)</f>
        <v>92.540499999999994</v>
      </c>
      <c r="G997" s="10">
        <f>92.8098 * CHOOSE(CONTROL!$C$9, $D$9, 100%, $F$9) + CHOOSE(CONTROL!$C$27, 0.0021, 0)</f>
        <v>92.811899999999994</v>
      </c>
      <c r="H997" s="10">
        <f>92.6751 * CHOOSE(CONTROL!$C$9, $D$9, 100%, $F$9) + CHOOSE(CONTROL!$C$27, 0.0021, 0)</f>
        <v>92.677199999999999</v>
      </c>
      <c r="I997" s="10">
        <f>92.6751 * CHOOSE(CONTROL!$C$9, $D$9, 100%, $F$9) + CHOOSE(CONTROL!$C$27, 0.0021, 0)</f>
        <v>92.677199999999999</v>
      </c>
      <c r="J997" s="10">
        <f>92.6751 * CHOOSE(CONTROL!$C$9, $D$9, 100%, $F$9) + CHOOSE(CONTROL!$C$27, 0.0021, 0)</f>
        <v>92.677199999999999</v>
      </c>
      <c r="K997" s="10">
        <f>92.6751 * CHOOSE(CONTROL!$C$9, $D$9, 100%, $F$9) + CHOOSE(CONTROL!$C$27, 0.0021, 0)</f>
        <v>92.677199999999999</v>
      </c>
      <c r="L997" s="10"/>
    </row>
    <row r="998" spans="1:12" ht="15.75" x14ac:dyDescent="0.25">
      <c r="A998" s="13">
        <v>71680</v>
      </c>
      <c r="B998" s="10">
        <f>92.0161 * CHOOSE(CONTROL!$C$9, $D$9, 100%, $F$9) + CHOOSE(CONTROL!$C$27, 0.0021, 0)</f>
        <v>92.018199999999993</v>
      </c>
      <c r="C998" s="10">
        <f>91.5839 * CHOOSE(CONTROL!$C$9, $D$9, 100%, $F$9) + CHOOSE(CONTROL!$C$27, 0.0021, 0)</f>
        <v>91.585999999999999</v>
      </c>
      <c r="D998" s="10">
        <f>91.5839 * CHOOSE(CONTROL!$C$9, $D$9, 100%, $F$9) + CHOOSE(CONTROL!$C$27, 0.0021, 0)</f>
        <v>91.585999999999999</v>
      </c>
      <c r="E998" s="10">
        <f>91.4472 * CHOOSE(CONTROL!$C$9, $D$9, 100%, $F$9) + CHOOSE(CONTROL!$C$27, 0.0021, 0)</f>
        <v>91.449299999999994</v>
      </c>
      <c r="F998" s="10">
        <f>91.4472 * CHOOSE(CONTROL!$C$9, $D$9, 100%, $F$9) + CHOOSE(CONTROL!$C$27, 0.0021, 0)</f>
        <v>91.449299999999994</v>
      </c>
      <c r="G998" s="10">
        <f>91.7186 * CHOOSE(CONTROL!$C$9, $D$9, 100%, $F$9) + CHOOSE(CONTROL!$C$27, 0.0021, 0)</f>
        <v>91.720699999999994</v>
      </c>
      <c r="H998" s="10">
        <f>91.5839 * CHOOSE(CONTROL!$C$9, $D$9, 100%, $F$9) + CHOOSE(CONTROL!$C$27, 0.0021, 0)</f>
        <v>91.585999999999999</v>
      </c>
      <c r="I998" s="10">
        <f>91.5839 * CHOOSE(CONTROL!$C$9, $D$9, 100%, $F$9) + CHOOSE(CONTROL!$C$27, 0.0021, 0)</f>
        <v>91.585999999999999</v>
      </c>
      <c r="J998" s="10">
        <f>91.5839 * CHOOSE(CONTROL!$C$9, $D$9, 100%, $F$9) + CHOOSE(CONTROL!$C$27, 0.0021, 0)</f>
        <v>91.585999999999999</v>
      </c>
      <c r="K998" s="10">
        <f>91.5839 * CHOOSE(CONTROL!$C$9, $D$9, 100%, $F$9) + CHOOSE(CONTROL!$C$27, 0.0021, 0)</f>
        <v>91.585999999999999</v>
      </c>
      <c r="L998" s="10"/>
    </row>
    <row r="999" spans="1:12" ht="15.75" x14ac:dyDescent="0.25">
      <c r="A999" s="13">
        <v>71710</v>
      </c>
      <c r="B999" s="10">
        <f>90.7132 * CHOOSE(CONTROL!$C$9, $D$9, 100%, $F$9) + CHOOSE(CONTROL!$C$27, 0.0021, 0)</f>
        <v>90.715299999999999</v>
      </c>
      <c r="C999" s="10">
        <f>90.2809 * CHOOSE(CONTROL!$C$9, $D$9, 100%, $F$9) + CHOOSE(CONTROL!$C$27, 0.0021, 0)</f>
        <v>90.283000000000001</v>
      </c>
      <c r="D999" s="10">
        <f>90.2809 * CHOOSE(CONTROL!$C$9, $D$9, 100%, $F$9) + CHOOSE(CONTROL!$C$27, 0.0021, 0)</f>
        <v>90.283000000000001</v>
      </c>
      <c r="E999" s="10">
        <f>90.1442 * CHOOSE(CONTROL!$C$9, $D$9, 100%, $F$9) + CHOOSE(CONTROL!$C$27, 0.0021, 0)</f>
        <v>90.146299999999997</v>
      </c>
      <c r="F999" s="10">
        <f>90.1442 * CHOOSE(CONTROL!$C$9, $D$9, 100%, $F$9) + CHOOSE(CONTROL!$C$27, 0.0021, 0)</f>
        <v>90.146299999999997</v>
      </c>
      <c r="G999" s="10">
        <f>90.4156 * CHOOSE(CONTROL!$C$9, $D$9, 100%, $F$9) + CHOOSE(CONTROL!$C$27, 0.0021, 0)</f>
        <v>90.417699999999996</v>
      </c>
      <c r="H999" s="10">
        <f>90.2809 * CHOOSE(CONTROL!$C$9, $D$9, 100%, $F$9) + CHOOSE(CONTROL!$C$27, 0.0021, 0)</f>
        <v>90.283000000000001</v>
      </c>
      <c r="I999" s="10">
        <f>90.2809 * CHOOSE(CONTROL!$C$9, $D$9, 100%, $F$9) + CHOOSE(CONTROL!$C$27, 0.0021, 0)</f>
        <v>90.283000000000001</v>
      </c>
      <c r="J999" s="10">
        <f>90.2809 * CHOOSE(CONTROL!$C$9, $D$9, 100%, $F$9) + CHOOSE(CONTROL!$C$27, 0.0021, 0)</f>
        <v>90.283000000000001</v>
      </c>
      <c r="K999" s="10">
        <f>90.2809 * CHOOSE(CONTROL!$C$9, $D$9, 100%, $F$9) + CHOOSE(CONTROL!$C$27, 0.0021, 0)</f>
        <v>90.283000000000001</v>
      </c>
      <c r="L999" s="10"/>
    </row>
    <row r="1000" spans="1:12" ht="15.75" x14ac:dyDescent="0.25">
      <c r="A1000" s="13">
        <v>71741</v>
      </c>
      <c r="B1000" s="10">
        <f>92.57 * CHOOSE(CONTROL!$C$9, $D$9, 100%, $F$9) + CHOOSE(CONTROL!$C$27, 0.0021, 0)</f>
        <v>92.572099999999992</v>
      </c>
      <c r="C1000" s="10">
        <f>92.1378 * CHOOSE(CONTROL!$C$9, $D$9, 100%, $F$9) + CHOOSE(CONTROL!$C$27, 0.0021, 0)</f>
        <v>92.139899999999997</v>
      </c>
      <c r="D1000" s="10">
        <f>92.1378 * CHOOSE(CONTROL!$C$9, $D$9, 100%, $F$9) + CHOOSE(CONTROL!$C$27, 0.0021, 0)</f>
        <v>92.139899999999997</v>
      </c>
      <c r="E1000" s="10">
        <f>92.0011 * CHOOSE(CONTROL!$C$9, $D$9, 100%, $F$9) + CHOOSE(CONTROL!$C$27, 0.0021, 0)</f>
        <v>92.003199999999993</v>
      </c>
      <c r="F1000" s="10">
        <f>92.0011 * CHOOSE(CONTROL!$C$9, $D$9, 100%, $F$9) + CHOOSE(CONTROL!$C$27, 0.0021, 0)</f>
        <v>92.003199999999993</v>
      </c>
      <c r="G1000" s="10">
        <f>92.2725 * CHOOSE(CONTROL!$C$9, $D$9, 100%, $F$9) + CHOOSE(CONTROL!$C$27, 0.0021, 0)</f>
        <v>92.274599999999992</v>
      </c>
      <c r="H1000" s="10">
        <f>92.1378 * CHOOSE(CONTROL!$C$9, $D$9, 100%, $F$9) + CHOOSE(CONTROL!$C$27, 0.0021, 0)</f>
        <v>92.139899999999997</v>
      </c>
      <c r="I1000" s="10">
        <f>92.1378 * CHOOSE(CONTROL!$C$9, $D$9, 100%, $F$9) + CHOOSE(CONTROL!$C$27, 0.0021, 0)</f>
        <v>92.139899999999997</v>
      </c>
      <c r="J1000" s="10">
        <f>92.1378 * CHOOSE(CONTROL!$C$9, $D$9, 100%, $F$9) + CHOOSE(CONTROL!$C$27, 0.0021, 0)</f>
        <v>92.139899999999997</v>
      </c>
      <c r="K1000" s="10">
        <f>92.1378 * CHOOSE(CONTROL!$C$9, $D$9, 100%, $F$9) + CHOOSE(CONTROL!$C$27, 0.0021, 0)</f>
        <v>92.139899999999997</v>
      </c>
      <c r="L1000" s="10"/>
    </row>
    <row r="1001" spans="1:12" ht="15.75" x14ac:dyDescent="0.25">
      <c r="A1001" s="13">
        <v>71771</v>
      </c>
      <c r="B1001" s="10">
        <f>93.6822 * CHOOSE(CONTROL!$C$9, $D$9, 100%, $F$9) + CHOOSE(CONTROL!$C$27, 0.0021, 0)</f>
        <v>93.684299999999993</v>
      </c>
      <c r="C1001" s="10">
        <f>93.25 * CHOOSE(CONTROL!$C$9, $D$9, 100%, $F$9) + CHOOSE(CONTROL!$C$27, 0.0021, 0)</f>
        <v>93.252099999999999</v>
      </c>
      <c r="D1001" s="10">
        <f>93.25 * CHOOSE(CONTROL!$C$9, $D$9, 100%, $F$9) + CHOOSE(CONTROL!$C$27, 0.0021, 0)</f>
        <v>93.252099999999999</v>
      </c>
      <c r="E1001" s="10">
        <f>93.1133 * CHOOSE(CONTROL!$C$9, $D$9, 100%, $F$9) + CHOOSE(CONTROL!$C$27, 0.0021, 0)</f>
        <v>93.115399999999994</v>
      </c>
      <c r="F1001" s="10">
        <f>93.1133 * CHOOSE(CONTROL!$C$9, $D$9, 100%, $F$9) + CHOOSE(CONTROL!$C$27, 0.0021, 0)</f>
        <v>93.115399999999994</v>
      </c>
      <c r="G1001" s="10">
        <f>93.3847 * CHOOSE(CONTROL!$C$9, $D$9, 100%, $F$9) + CHOOSE(CONTROL!$C$27, 0.0021, 0)</f>
        <v>93.386799999999994</v>
      </c>
      <c r="H1001" s="10">
        <f>93.25 * CHOOSE(CONTROL!$C$9, $D$9, 100%, $F$9) + CHOOSE(CONTROL!$C$27, 0.0021, 0)</f>
        <v>93.252099999999999</v>
      </c>
      <c r="I1001" s="10">
        <f>93.25 * CHOOSE(CONTROL!$C$9, $D$9, 100%, $F$9) + CHOOSE(CONTROL!$C$27, 0.0021, 0)</f>
        <v>93.252099999999999</v>
      </c>
      <c r="J1001" s="10">
        <f>93.25 * CHOOSE(CONTROL!$C$9, $D$9, 100%, $F$9) + CHOOSE(CONTROL!$C$27, 0.0021, 0)</f>
        <v>93.252099999999999</v>
      </c>
      <c r="K1001" s="10">
        <f>93.25 * CHOOSE(CONTROL!$C$9, $D$9, 100%, $F$9) + CHOOSE(CONTROL!$C$27, 0.0021, 0)</f>
        <v>93.252099999999999</v>
      </c>
      <c r="L1001" s="10"/>
    </row>
    <row r="1002" spans="1:12" ht="15.75" x14ac:dyDescent="0.25">
      <c r="A1002" s="13">
        <v>71802</v>
      </c>
      <c r="B1002" s="10">
        <f>95.5169 * CHOOSE(CONTROL!$C$9, $D$9, 100%, $F$9) + CHOOSE(CONTROL!$C$27, 0.0021, 0)</f>
        <v>95.519000000000005</v>
      </c>
      <c r="C1002" s="10">
        <f>95.0847 * CHOOSE(CONTROL!$C$9, $D$9, 100%, $F$9) + CHOOSE(CONTROL!$C$27, 0.0021, 0)</f>
        <v>95.086799999999997</v>
      </c>
      <c r="D1002" s="10">
        <f>95.0847 * CHOOSE(CONTROL!$C$9, $D$9, 100%, $F$9) + CHOOSE(CONTROL!$C$27, 0.0021, 0)</f>
        <v>95.086799999999997</v>
      </c>
      <c r="E1002" s="10">
        <f>94.948 * CHOOSE(CONTROL!$C$9, $D$9, 100%, $F$9) + CHOOSE(CONTROL!$C$27, 0.0021, 0)</f>
        <v>94.950099999999992</v>
      </c>
      <c r="F1002" s="10">
        <f>94.948 * CHOOSE(CONTROL!$C$9, $D$9, 100%, $F$9) + CHOOSE(CONTROL!$C$27, 0.0021, 0)</f>
        <v>94.950099999999992</v>
      </c>
      <c r="G1002" s="10">
        <f>95.2194 * CHOOSE(CONTROL!$C$9, $D$9, 100%, $F$9) + CHOOSE(CONTROL!$C$27, 0.0021, 0)</f>
        <v>95.221499999999992</v>
      </c>
      <c r="H1002" s="10">
        <f>95.0847 * CHOOSE(CONTROL!$C$9, $D$9, 100%, $F$9) + CHOOSE(CONTROL!$C$27, 0.0021, 0)</f>
        <v>95.086799999999997</v>
      </c>
      <c r="I1002" s="10">
        <f>95.0847 * CHOOSE(CONTROL!$C$9, $D$9, 100%, $F$9) + CHOOSE(CONTROL!$C$27, 0.0021, 0)</f>
        <v>95.086799999999997</v>
      </c>
      <c r="J1002" s="10">
        <f>95.0847 * CHOOSE(CONTROL!$C$9, $D$9, 100%, $F$9) + CHOOSE(CONTROL!$C$27, 0.0021, 0)</f>
        <v>95.086799999999997</v>
      </c>
      <c r="K1002" s="10">
        <f>95.0847 * CHOOSE(CONTROL!$C$9, $D$9, 100%, $F$9) + CHOOSE(CONTROL!$C$27, 0.0021, 0)</f>
        <v>95.086799999999997</v>
      </c>
      <c r="L1002" s="10"/>
    </row>
    <row r="1003" spans="1:12" ht="15.75" x14ac:dyDescent="0.25">
      <c r="A1003" s="13">
        <v>71833</v>
      </c>
      <c r="B1003" s="10">
        <f>96.0769 * CHOOSE(CONTROL!$C$9, $D$9, 100%, $F$9) + CHOOSE(CONTROL!$C$27, 0.0021, 0)</f>
        <v>96.078999999999994</v>
      </c>
      <c r="C1003" s="10">
        <f>95.6447 * CHOOSE(CONTROL!$C$9, $D$9, 100%, $F$9) + CHOOSE(CONTROL!$C$27, 0.0021, 0)</f>
        <v>95.646799999999999</v>
      </c>
      <c r="D1003" s="10">
        <f>95.6447 * CHOOSE(CONTROL!$C$9, $D$9, 100%, $F$9) + CHOOSE(CONTROL!$C$27, 0.0021, 0)</f>
        <v>95.646799999999999</v>
      </c>
      <c r="E1003" s="10">
        <f>95.508 * CHOOSE(CONTROL!$C$9, $D$9, 100%, $F$9) + CHOOSE(CONTROL!$C$27, 0.0021, 0)</f>
        <v>95.510099999999994</v>
      </c>
      <c r="F1003" s="10">
        <f>95.508 * CHOOSE(CONTROL!$C$9, $D$9, 100%, $F$9) + CHOOSE(CONTROL!$C$27, 0.0021, 0)</f>
        <v>95.510099999999994</v>
      </c>
      <c r="G1003" s="10">
        <f>95.7794 * CHOOSE(CONTROL!$C$9, $D$9, 100%, $F$9) + CHOOSE(CONTROL!$C$27, 0.0021, 0)</f>
        <v>95.781499999999994</v>
      </c>
      <c r="H1003" s="10">
        <f>95.6447 * CHOOSE(CONTROL!$C$9, $D$9, 100%, $F$9) + CHOOSE(CONTROL!$C$27, 0.0021, 0)</f>
        <v>95.646799999999999</v>
      </c>
      <c r="I1003" s="10">
        <f>95.6447 * CHOOSE(CONTROL!$C$9, $D$9, 100%, $F$9) + CHOOSE(CONTROL!$C$27, 0.0021, 0)</f>
        <v>95.646799999999999</v>
      </c>
      <c r="J1003" s="10">
        <f>95.6447 * CHOOSE(CONTROL!$C$9, $D$9, 100%, $F$9) + CHOOSE(CONTROL!$C$27, 0.0021, 0)</f>
        <v>95.646799999999999</v>
      </c>
      <c r="K1003" s="10">
        <f>95.6447 * CHOOSE(CONTROL!$C$9, $D$9, 100%, $F$9) + CHOOSE(CONTROL!$C$27, 0.0021, 0)</f>
        <v>95.646799999999999</v>
      </c>
      <c r="L1003" s="10"/>
    </row>
    <row r="1004" spans="1:12" ht="15.75" x14ac:dyDescent="0.25">
      <c r="A1004" s="13">
        <v>71863</v>
      </c>
      <c r="B1004" s="10">
        <f>97.9841 * CHOOSE(CONTROL!$C$9, $D$9, 100%, $F$9) + CHOOSE(CONTROL!$C$27, 0.0021, 0)</f>
        <v>97.986199999999997</v>
      </c>
      <c r="C1004" s="10">
        <f>97.5518 * CHOOSE(CONTROL!$C$9, $D$9, 100%, $F$9) + CHOOSE(CONTROL!$C$27, 0.0021, 0)</f>
        <v>97.553899999999999</v>
      </c>
      <c r="D1004" s="10">
        <f>97.5518 * CHOOSE(CONTROL!$C$9, $D$9, 100%, $F$9) + CHOOSE(CONTROL!$C$27, 0.0021, 0)</f>
        <v>97.553899999999999</v>
      </c>
      <c r="E1004" s="10">
        <f>97.4151 * CHOOSE(CONTROL!$C$9, $D$9, 100%, $F$9) + CHOOSE(CONTROL!$C$27, 0.0021, 0)</f>
        <v>97.417199999999994</v>
      </c>
      <c r="F1004" s="10">
        <f>97.4151 * CHOOSE(CONTROL!$C$9, $D$9, 100%, $F$9) + CHOOSE(CONTROL!$C$27, 0.0021, 0)</f>
        <v>97.417199999999994</v>
      </c>
      <c r="G1004" s="10">
        <f>97.6865 * CHOOSE(CONTROL!$C$9, $D$9, 100%, $F$9) + CHOOSE(CONTROL!$C$27, 0.0021, 0)</f>
        <v>97.688599999999994</v>
      </c>
      <c r="H1004" s="10">
        <f>97.5518 * CHOOSE(CONTROL!$C$9, $D$9, 100%, $F$9) + CHOOSE(CONTROL!$C$27, 0.0021, 0)</f>
        <v>97.553899999999999</v>
      </c>
      <c r="I1004" s="10">
        <f>97.5518 * CHOOSE(CONTROL!$C$9, $D$9, 100%, $F$9) + CHOOSE(CONTROL!$C$27, 0.0021, 0)</f>
        <v>97.553899999999999</v>
      </c>
      <c r="J1004" s="10">
        <f>97.5518 * CHOOSE(CONTROL!$C$9, $D$9, 100%, $F$9) + CHOOSE(CONTROL!$C$27, 0.0021, 0)</f>
        <v>97.553899999999999</v>
      </c>
      <c r="K1004" s="10">
        <f>97.5518 * CHOOSE(CONTROL!$C$9, $D$9, 100%, $F$9) + CHOOSE(CONTROL!$C$27, 0.0021, 0)</f>
        <v>97.553899999999999</v>
      </c>
      <c r="L1004" s="10"/>
    </row>
    <row r="1005" spans="1:12" ht="15.75" x14ac:dyDescent="0.25">
      <c r="A1005" s="13">
        <v>71894</v>
      </c>
      <c r="B1005" s="10">
        <f>100.3981 * CHOOSE(CONTROL!$C$9, $D$9, 100%, $F$9) + CHOOSE(CONTROL!$C$27, 0.0021, 0)</f>
        <v>100.4002</v>
      </c>
      <c r="C1005" s="10">
        <f>99.9659 * CHOOSE(CONTROL!$C$9, $D$9, 100%, $F$9) + CHOOSE(CONTROL!$C$27, 0.0021, 0)</f>
        <v>99.968000000000004</v>
      </c>
      <c r="D1005" s="10">
        <f>99.9659 * CHOOSE(CONTROL!$C$9, $D$9, 100%, $F$9) + CHOOSE(CONTROL!$C$27, 0.0021, 0)</f>
        <v>99.968000000000004</v>
      </c>
      <c r="E1005" s="10">
        <f>99.8292 * CHOOSE(CONTROL!$C$9, $D$9, 100%, $F$9) + CHOOSE(CONTROL!$C$27, 0.0021, 0)</f>
        <v>99.831299999999999</v>
      </c>
      <c r="F1005" s="10">
        <f>99.8292 * CHOOSE(CONTROL!$C$9, $D$9, 100%, $F$9) + CHOOSE(CONTROL!$C$27, 0.0021, 0)</f>
        <v>99.831299999999999</v>
      </c>
      <c r="G1005" s="10">
        <f>100.1006 * CHOOSE(CONTROL!$C$9, $D$9, 100%, $F$9) + CHOOSE(CONTROL!$C$27, 0.0021, 0)</f>
        <v>100.1027</v>
      </c>
      <c r="H1005" s="10">
        <f>99.9659 * CHOOSE(CONTROL!$C$9, $D$9, 100%, $F$9) + CHOOSE(CONTROL!$C$27, 0.0021, 0)</f>
        <v>99.968000000000004</v>
      </c>
      <c r="I1005" s="10">
        <f>99.9659 * CHOOSE(CONTROL!$C$9, $D$9, 100%, $F$9) + CHOOSE(CONTROL!$C$27, 0.0021, 0)</f>
        <v>99.968000000000004</v>
      </c>
      <c r="J1005" s="10">
        <f>99.9659 * CHOOSE(CONTROL!$C$9, $D$9, 100%, $F$9) + CHOOSE(CONTROL!$C$27, 0.0021, 0)</f>
        <v>99.968000000000004</v>
      </c>
      <c r="K1005" s="10">
        <f>99.9659 * CHOOSE(CONTROL!$C$9, $D$9, 100%, $F$9) + CHOOSE(CONTROL!$C$27, 0.0021, 0)</f>
        <v>99.968000000000004</v>
      </c>
      <c r="L1005" s="10"/>
    </row>
    <row r="1006" spans="1:12" ht="15.75" x14ac:dyDescent="0.25">
      <c r="A1006" s="13">
        <v>71924</v>
      </c>
      <c r="B1006" s="10">
        <f>100.6247 * CHOOSE(CONTROL!$C$9, $D$9, 100%, $F$9) + CHOOSE(CONTROL!$C$27, 0.0021, 0)</f>
        <v>100.6268</v>
      </c>
      <c r="C1006" s="10">
        <f>100.1925 * CHOOSE(CONTROL!$C$9, $D$9, 100%, $F$9) + CHOOSE(CONTROL!$C$27, 0.0021, 0)</f>
        <v>100.19459999999999</v>
      </c>
      <c r="D1006" s="10">
        <f>100.1925 * CHOOSE(CONTROL!$C$9, $D$9, 100%, $F$9) + CHOOSE(CONTROL!$C$27, 0.0021, 0)</f>
        <v>100.19459999999999</v>
      </c>
      <c r="E1006" s="10">
        <f>100.0558 * CHOOSE(CONTROL!$C$9, $D$9, 100%, $F$9) + CHOOSE(CONTROL!$C$27, 0.0021, 0)</f>
        <v>100.0579</v>
      </c>
      <c r="F1006" s="10">
        <f>100.0558 * CHOOSE(CONTROL!$C$9, $D$9, 100%, $F$9) + CHOOSE(CONTROL!$C$27, 0.0021, 0)</f>
        <v>100.0579</v>
      </c>
      <c r="G1006" s="10">
        <f>100.3272 * CHOOSE(CONTROL!$C$9, $D$9, 100%, $F$9) + CHOOSE(CONTROL!$C$27, 0.0021, 0)</f>
        <v>100.3293</v>
      </c>
      <c r="H1006" s="10">
        <f>100.1925 * CHOOSE(CONTROL!$C$9, $D$9, 100%, $F$9) + CHOOSE(CONTROL!$C$27, 0.0021, 0)</f>
        <v>100.19459999999999</v>
      </c>
      <c r="I1006" s="10">
        <f>100.1925 * CHOOSE(CONTROL!$C$9, $D$9, 100%, $F$9) + CHOOSE(CONTROL!$C$27, 0.0021, 0)</f>
        <v>100.19459999999999</v>
      </c>
      <c r="J1006" s="10">
        <f>100.1925 * CHOOSE(CONTROL!$C$9, $D$9, 100%, $F$9) + CHOOSE(CONTROL!$C$27, 0.0021, 0)</f>
        <v>100.19459999999999</v>
      </c>
      <c r="K1006" s="10">
        <f>100.1925 * CHOOSE(CONTROL!$C$9, $D$9, 100%, $F$9) + CHOOSE(CONTROL!$C$27, 0.0021, 0)</f>
        <v>100.19459999999999</v>
      </c>
      <c r="L1006" s="10"/>
    </row>
    <row r="1007" spans="1:12" ht="15.75" x14ac:dyDescent="0.25">
      <c r="A1007" s="13">
        <v>71955</v>
      </c>
      <c r="B1007" s="10">
        <f>98.6967 * CHOOSE(CONTROL!$C$9, $D$9, 100%, $F$9) + CHOOSE(CONTROL!$C$27, 0.0021, 0)</f>
        <v>98.698800000000006</v>
      </c>
      <c r="C1007" s="10">
        <f>98.2644 * CHOOSE(CONTROL!$C$9, $D$9, 100%, $F$9) + CHOOSE(CONTROL!$C$27, 0.0021, 0)</f>
        <v>98.266499999999994</v>
      </c>
      <c r="D1007" s="10">
        <f>98.2644 * CHOOSE(CONTROL!$C$9, $D$9, 100%, $F$9) + CHOOSE(CONTROL!$C$27, 0.0021, 0)</f>
        <v>98.266499999999994</v>
      </c>
      <c r="E1007" s="10">
        <f>98.1278 * CHOOSE(CONTROL!$C$9, $D$9, 100%, $F$9) + CHOOSE(CONTROL!$C$27, 0.0021, 0)</f>
        <v>98.129899999999992</v>
      </c>
      <c r="F1007" s="10">
        <f>98.1278 * CHOOSE(CONTROL!$C$9, $D$9, 100%, $F$9) + CHOOSE(CONTROL!$C$27, 0.0021, 0)</f>
        <v>98.129899999999992</v>
      </c>
      <c r="G1007" s="10">
        <f>98.3991 * CHOOSE(CONTROL!$C$9, $D$9, 100%, $F$9) + CHOOSE(CONTROL!$C$27, 0.0021, 0)</f>
        <v>98.401200000000003</v>
      </c>
      <c r="H1007" s="10">
        <f>98.2644 * CHOOSE(CONTROL!$C$9, $D$9, 100%, $F$9) + CHOOSE(CONTROL!$C$27, 0.0021, 0)</f>
        <v>98.266499999999994</v>
      </c>
      <c r="I1007" s="10">
        <f>98.2644 * CHOOSE(CONTROL!$C$9, $D$9, 100%, $F$9) + CHOOSE(CONTROL!$C$27, 0.0021, 0)</f>
        <v>98.266499999999994</v>
      </c>
      <c r="J1007" s="10">
        <f>98.2644 * CHOOSE(CONTROL!$C$9, $D$9, 100%, $F$9) + CHOOSE(CONTROL!$C$27, 0.0021, 0)</f>
        <v>98.266499999999994</v>
      </c>
      <c r="K1007" s="10">
        <f>98.2644 * CHOOSE(CONTROL!$C$9, $D$9, 100%, $F$9) + CHOOSE(CONTROL!$C$27, 0.0021, 0)</f>
        <v>98.266499999999994</v>
      </c>
      <c r="L1007" s="10"/>
    </row>
    <row r="1008" spans="1:12" ht="15.75" x14ac:dyDescent="0.25">
      <c r="A1008" s="13">
        <v>71986</v>
      </c>
      <c r="B1008" s="10">
        <f>97.2205 * CHOOSE(CONTROL!$C$9, $D$9, 100%, $F$9) + CHOOSE(CONTROL!$C$27, 0.0021, 0)</f>
        <v>97.2226</v>
      </c>
      <c r="C1008" s="10">
        <f>96.7882 * CHOOSE(CONTROL!$C$9, $D$9, 100%, $F$9) + CHOOSE(CONTROL!$C$27, 0.0021, 0)</f>
        <v>96.790300000000002</v>
      </c>
      <c r="D1008" s="10">
        <f>96.7882 * CHOOSE(CONTROL!$C$9, $D$9, 100%, $F$9) + CHOOSE(CONTROL!$C$27, 0.0021, 0)</f>
        <v>96.790300000000002</v>
      </c>
      <c r="E1008" s="10">
        <f>96.6516 * CHOOSE(CONTROL!$C$9, $D$9, 100%, $F$9) + CHOOSE(CONTROL!$C$27, 0.0021, 0)</f>
        <v>96.653700000000001</v>
      </c>
      <c r="F1008" s="10">
        <f>96.6516 * CHOOSE(CONTROL!$C$9, $D$9, 100%, $F$9) + CHOOSE(CONTROL!$C$27, 0.0021, 0)</f>
        <v>96.653700000000001</v>
      </c>
      <c r="G1008" s="10">
        <f>96.923 * CHOOSE(CONTROL!$C$9, $D$9, 100%, $F$9) + CHOOSE(CONTROL!$C$27, 0.0021, 0)</f>
        <v>96.9251</v>
      </c>
      <c r="H1008" s="10">
        <f>96.7882 * CHOOSE(CONTROL!$C$9, $D$9, 100%, $F$9) + CHOOSE(CONTROL!$C$27, 0.0021, 0)</f>
        <v>96.790300000000002</v>
      </c>
      <c r="I1008" s="10">
        <f>96.7882 * CHOOSE(CONTROL!$C$9, $D$9, 100%, $F$9) + CHOOSE(CONTROL!$C$27, 0.0021, 0)</f>
        <v>96.790300000000002</v>
      </c>
      <c r="J1008" s="10">
        <f>96.7882 * CHOOSE(CONTROL!$C$9, $D$9, 100%, $F$9) + CHOOSE(CONTROL!$C$27, 0.0021, 0)</f>
        <v>96.790300000000002</v>
      </c>
      <c r="K1008" s="10">
        <f>96.7882 * CHOOSE(CONTROL!$C$9, $D$9, 100%, $F$9) + CHOOSE(CONTROL!$C$27, 0.0021, 0)</f>
        <v>96.790300000000002</v>
      </c>
      <c r="L1008" s="10"/>
    </row>
    <row r="1009" spans="1:12" ht="15.75" x14ac:dyDescent="0.25">
      <c r="A1009" s="13">
        <v>72014</v>
      </c>
      <c r="B1009" s="10">
        <f>94.5354 * CHOOSE(CONTROL!$C$9, $D$9, 100%, $F$9) + CHOOSE(CONTROL!$C$27, 0.0021, 0)</f>
        <v>94.537499999999994</v>
      </c>
      <c r="C1009" s="10">
        <f>94.1032 * CHOOSE(CONTROL!$C$9, $D$9, 100%, $F$9) + CHOOSE(CONTROL!$C$27, 0.0021, 0)</f>
        <v>94.1053</v>
      </c>
      <c r="D1009" s="10">
        <f>94.1032 * CHOOSE(CONTROL!$C$9, $D$9, 100%, $F$9) + CHOOSE(CONTROL!$C$27, 0.0021, 0)</f>
        <v>94.1053</v>
      </c>
      <c r="E1009" s="10">
        <f>93.9665 * CHOOSE(CONTROL!$C$9, $D$9, 100%, $F$9) + CHOOSE(CONTROL!$C$27, 0.0021, 0)</f>
        <v>93.968599999999995</v>
      </c>
      <c r="F1009" s="10">
        <f>93.9665 * CHOOSE(CONTROL!$C$9, $D$9, 100%, $F$9) + CHOOSE(CONTROL!$C$27, 0.0021, 0)</f>
        <v>93.968599999999995</v>
      </c>
      <c r="G1009" s="10">
        <f>94.2379 * CHOOSE(CONTROL!$C$9, $D$9, 100%, $F$9) + CHOOSE(CONTROL!$C$27, 0.0021, 0)</f>
        <v>94.24</v>
      </c>
      <c r="H1009" s="10">
        <f>94.1032 * CHOOSE(CONTROL!$C$9, $D$9, 100%, $F$9) + CHOOSE(CONTROL!$C$27, 0.0021, 0)</f>
        <v>94.1053</v>
      </c>
      <c r="I1009" s="10">
        <f>94.1032 * CHOOSE(CONTROL!$C$9, $D$9, 100%, $F$9) + CHOOSE(CONTROL!$C$27, 0.0021, 0)</f>
        <v>94.1053</v>
      </c>
      <c r="J1009" s="10">
        <f>94.1032 * CHOOSE(CONTROL!$C$9, $D$9, 100%, $F$9) + CHOOSE(CONTROL!$C$27, 0.0021, 0)</f>
        <v>94.1053</v>
      </c>
      <c r="K1009" s="10">
        <f>94.1032 * CHOOSE(CONTROL!$C$9, $D$9, 100%, $F$9) + CHOOSE(CONTROL!$C$27, 0.0021, 0)</f>
        <v>94.1053</v>
      </c>
      <c r="L1009" s="10"/>
    </row>
    <row r="1010" spans="1:12" ht="15.75" x14ac:dyDescent="0.25">
      <c r="A1010" s="13">
        <v>72045</v>
      </c>
      <c r="B1010" s="10">
        <f>93.427 * CHOOSE(CONTROL!$C$9, $D$9, 100%, $F$9) + CHOOSE(CONTROL!$C$27, 0.0021, 0)</f>
        <v>93.429100000000005</v>
      </c>
      <c r="C1010" s="10">
        <f>92.9948 * CHOOSE(CONTROL!$C$9, $D$9, 100%, $F$9) + CHOOSE(CONTROL!$C$27, 0.0021, 0)</f>
        <v>92.996899999999997</v>
      </c>
      <c r="D1010" s="10">
        <f>92.9948 * CHOOSE(CONTROL!$C$9, $D$9, 100%, $F$9) + CHOOSE(CONTROL!$C$27, 0.0021, 0)</f>
        <v>92.996899999999997</v>
      </c>
      <c r="E1010" s="10">
        <f>92.8581 * CHOOSE(CONTROL!$C$9, $D$9, 100%, $F$9) + CHOOSE(CONTROL!$C$27, 0.0021, 0)</f>
        <v>92.860199999999992</v>
      </c>
      <c r="F1010" s="10">
        <f>92.8581 * CHOOSE(CONTROL!$C$9, $D$9, 100%, $F$9) + CHOOSE(CONTROL!$C$27, 0.0021, 0)</f>
        <v>92.860199999999992</v>
      </c>
      <c r="G1010" s="10">
        <f>93.1295 * CHOOSE(CONTROL!$C$9, $D$9, 100%, $F$9) + CHOOSE(CONTROL!$C$27, 0.0021, 0)</f>
        <v>93.131599999999992</v>
      </c>
      <c r="H1010" s="10">
        <f>92.9948 * CHOOSE(CONTROL!$C$9, $D$9, 100%, $F$9) + CHOOSE(CONTROL!$C$27, 0.0021, 0)</f>
        <v>92.996899999999997</v>
      </c>
      <c r="I1010" s="10">
        <f>92.9948 * CHOOSE(CONTROL!$C$9, $D$9, 100%, $F$9) + CHOOSE(CONTROL!$C$27, 0.0021, 0)</f>
        <v>92.996899999999997</v>
      </c>
      <c r="J1010" s="10">
        <f>92.9948 * CHOOSE(CONTROL!$C$9, $D$9, 100%, $F$9) + CHOOSE(CONTROL!$C$27, 0.0021, 0)</f>
        <v>92.996899999999997</v>
      </c>
      <c r="K1010" s="10">
        <f>92.9948 * CHOOSE(CONTROL!$C$9, $D$9, 100%, $F$9) + CHOOSE(CONTROL!$C$27, 0.0021, 0)</f>
        <v>92.996899999999997</v>
      </c>
      <c r="L1010" s="10"/>
    </row>
    <row r="1011" spans="1:12" ht="15.75" x14ac:dyDescent="0.25">
      <c r="A1011" s="13">
        <v>72075</v>
      </c>
      <c r="B1011" s="10">
        <f>92.1036 * CHOOSE(CONTROL!$C$9, $D$9, 100%, $F$9) + CHOOSE(CONTROL!$C$27, 0.0021, 0)</f>
        <v>92.105699999999999</v>
      </c>
      <c r="C1011" s="10">
        <f>91.6713 * CHOOSE(CONTROL!$C$9, $D$9, 100%, $F$9) + CHOOSE(CONTROL!$C$27, 0.0021, 0)</f>
        <v>91.673400000000001</v>
      </c>
      <c r="D1011" s="10">
        <f>91.6713 * CHOOSE(CONTROL!$C$9, $D$9, 100%, $F$9) + CHOOSE(CONTROL!$C$27, 0.0021, 0)</f>
        <v>91.673400000000001</v>
      </c>
      <c r="E1011" s="10">
        <f>91.5347 * CHOOSE(CONTROL!$C$9, $D$9, 100%, $F$9) + CHOOSE(CONTROL!$C$27, 0.0021, 0)</f>
        <v>91.536799999999999</v>
      </c>
      <c r="F1011" s="10">
        <f>91.5347 * CHOOSE(CONTROL!$C$9, $D$9, 100%, $F$9) + CHOOSE(CONTROL!$C$27, 0.0021, 0)</f>
        <v>91.536799999999999</v>
      </c>
      <c r="G1011" s="10">
        <f>91.806 * CHOOSE(CONTROL!$C$9, $D$9, 100%, $F$9) + CHOOSE(CONTROL!$C$27, 0.0021, 0)</f>
        <v>91.808099999999996</v>
      </c>
      <c r="H1011" s="10">
        <f>91.6713 * CHOOSE(CONTROL!$C$9, $D$9, 100%, $F$9) + CHOOSE(CONTROL!$C$27, 0.0021, 0)</f>
        <v>91.673400000000001</v>
      </c>
      <c r="I1011" s="10">
        <f>91.6713 * CHOOSE(CONTROL!$C$9, $D$9, 100%, $F$9) + CHOOSE(CONTROL!$C$27, 0.0021, 0)</f>
        <v>91.673400000000001</v>
      </c>
      <c r="J1011" s="10">
        <f>91.6713 * CHOOSE(CONTROL!$C$9, $D$9, 100%, $F$9) + CHOOSE(CONTROL!$C$27, 0.0021, 0)</f>
        <v>91.673400000000001</v>
      </c>
      <c r="K1011" s="10">
        <f>91.6713 * CHOOSE(CONTROL!$C$9, $D$9, 100%, $F$9) + CHOOSE(CONTROL!$C$27, 0.0021, 0)</f>
        <v>91.673400000000001</v>
      </c>
      <c r="L1011" s="10"/>
    </row>
    <row r="1012" spans="1:12" ht="15.75" x14ac:dyDescent="0.25">
      <c r="A1012" s="13">
        <v>72106</v>
      </c>
      <c r="B1012" s="10">
        <f>93.9896 * CHOOSE(CONTROL!$C$9, $D$9, 100%, $F$9) + CHOOSE(CONTROL!$C$27, 0.0021, 0)</f>
        <v>93.991699999999994</v>
      </c>
      <c r="C1012" s="10">
        <f>93.5574 * CHOOSE(CONTROL!$C$9, $D$9, 100%, $F$9) + CHOOSE(CONTROL!$C$27, 0.0021, 0)</f>
        <v>93.5595</v>
      </c>
      <c r="D1012" s="10">
        <f>93.5574 * CHOOSE(CONTROL!$C$9, $D$9, 100%, $F$9) + CHOOSE(CONTROL!$C$27, 0.0021, 0)</f>
        <v>93.5595</v>
      </c>
      <c r="E1012" s="10">
        <f>93.4207 * CHOOSE(CONTROL!$C$9, $D$9, 100%, $F$9) + CHOOSE(CONTROL!$C$27, 0.0021, 0)</f>
        <v>93.422799999999995</v>
      </c>
      <c r="F1012" s="10">
        <f>93.4207 * CHOOSE(CONTROL!$C$9, $D$9, 100%, $F$9) + CHOOSE(CONTROL!$C$27, 0.0021, 0)</f>
        <v>93.422799999999995</v>
      </c>
      <c r="G1012" s="10">
        <f>93.6921 * CHOOSE(CONTROL!$C$9, $D$9, 100%, $F$9) + CHOOSE(CONTROL!$C$27, 0.0021, 0)</f>
        <v>93.694199999999995</v>
      </c>
      <c r="H1012" s="10">
        <f>93.5574 * CHOOSE(CONTROL!$C$9, $D$9, 100%, $F$9) + CHOOSE(CONTROL!$C$27, 0.0021, 0)</f>
        <v>93.5595</v>
      </c>
      <c r="I1012" s="10">
        <f>93.5574 * CHOOSE(CONTROL!$C$9, $D$9, 100%, $F$9) + CHOOSE(CONTROL!$C$27, 0.0021, 0)</f>
        <v>93.5595</v>
      </c>
      <c r="J1012" s="10">
        <f>93.5574 * CHOOSE(CONTROL!$C$9, $D$9, 100%, $F$9) + CHOOSE(CONTROL!$C$27, 0.0021, 0)</f>
        <v>93.5595</v>
      </c>
      <c r="K1012" s="10">
        <f>93.5574 * CHOOSE(CONTROL!$C$9, $D$9, 100%, $F$9) + CHOOSE(CONTROL!$C$27, 0.0021, 0)</f>
        <v>93.5595</v>
      </c>
      <c r="L1012" s="10"/>
    </row>
    <row r="1013" spans="1:12" ht="15.75" x14ac:dyDescent="0.25">
      <c r="A1013" s="13">
        <v>72136</v>
      </c>
      <c r="B1013" s="10">
        <f>95.1193 * CHOOSE(CONTROL!$C$9, $D$9, 100%, $F$9) + CHOOSE(CONTROL!$C$27, 0.0021, 0)</f>
        <v>95.121399999999994</v>
      </c>
      <c r="C1013" s="10">
        <f>94.6871 * CHOOSE(CONTROL!$C$9, $D$9, 100%, $F$9) + CHOOSE(CONTROL!$C$27, 0.0021, 0)</f>
        <v>94.6892</v>
      </c>
      <c r="D1013" s="10">
        <f>94.6871 * CHOOSE(CONTROL!$C$9, $D$9, 100%, $F$9) + CHOOSE(CONTROL!$C$27, 0.0021, 0)</f>
        <v>94.6892</v>
      </c>
      <c r="E1013" s="10">
        <f>94.5504 * CHOOSE(CONTROL!$C$9, $D$9, 100%, $F$9) + CHOOSE(CONTROL!$C$27, 0.0021, 0)</f>
        <v>94.552499999999995</v>
      </c>
      <c r="F1013" s="10">
        <f>94.5504 * CHOOSE(CONTROL!$C$9, $D$9, 100%, $F$9) + CHOOSE(CONTROL!$C$27, 0.0021, 0)</f>
        <v>94.552499999999995</v>
      </c>
      <c r="G1013" s="10">
        <f>94.8218 * CHOOSE(CONTROL!$C$9, $D$9, 100%, $F$9) + CHOOSE(CONTROL!$C$27, 0.0021, 0)</f>
        <v>94.823899999999995</v>
      </c>
      <c r="H1013" s="10">
        <f>94.6871 * CHOOSE(CONTROL!$C$9, $D$9, 100%, $F$9) + CHOOSE(CONTROL!$C$27, 0.0021, 0)</f>
        <v>94.6892</v>
      </c>
      <c r="I1013" s="10">
        <f>94.6871 * CHOOSE(CONTROL!$C$9, $D$9, 100%, $F$9) + CHOOSE(CONTROL!$C$27, 0.0021, 0)</f>
        <v>94.6892</v>
      </c>
      <c r="J1013" s="10">
        <f>94.6871 * CHOOSE(CONTROL!$C$9, $D$9, 100%, $F$9) + CHOOSE(CONTROL!$C$27, 0.0021, 0)</f>
        <v>94.6892</v>
      </c>
      <c r="K1013" s="10">
        <f>94.6871 * CHOOSE(CONTROL!$C$9, $D$9, 100%, $F$9) + CHOOSE(CONTROL!$C$27, 0.0021, 0)</f>
        <v>94.6892</v>
      </c>
      <c r="L1013" s="10"/>
    </row>
    <row r="1014" spans="1:12" ht="15.75" x14ac:dyDescent="0.25">
      <c r="A1014" s="13">
        <v>72167</v>
      </c>
      <c r="B1014" s="10">
        <f>96.9829 * CHOOSE(CONTROL!$C$9, $D$9, 100%, $F$9) + CHOOSE(CONTROL!$C$27, 0.0021, 0)</f>
        <v>96.984999999999999</v>
      </c>
      <c r="C1014" s="10">
        <f>96.5506 * CHOOSE(CONTROL!$C$9, $D$9, 100%, $F$9) + CHOOSE(CONTROL!$C$27, 0.0021, 0)</f>
        <v>96.552700000000002</v>
      </c>
      <c r="D1014" s="10">
        <f>96.5506 * CHOOSE(CONTROL!$C$9, $D$9, 100%, $F$9) + CHOOSE(CONTROL!$C$27, 0.0021, 0)</f>
        <v>96.552700000000002</v>
      </c>
      <c r="E1014" s="10">
        <f>96.414 * CHOOSE(CONTROL!$C$9, $D$9, 100%, $F$9) + CHOOSE(CONTROL!$C$27, 0.0021, 0)</f>
        <v>96.4161</v>
      </c>
      <c r="F1014" s="10">
        <f>96.414 * CHOOSE(CONTROL!$C$9, $D$9, 100%, $F$9) + CHOOSE(CONTROL!$C$27, 0.0021, 0)</f>
        <v>96.4161</v>
      </c>
      <c r="G1014" s="10">
        <f>96.6854 * CHOOSE(CONTROL!$C$9, $D$9, 100%, $F$9) + CHOOSE(CONTROL!$C$27, 0.0021, 0)</f>
        <v>96.6875</v>
      </c>
      <c r="H1014" s="10">
        <f>96.5506 * CHOOSE(CONTROL!$C$9, $D$9, 100%, $F$9) + CHOOSE(CONTROL!$C$27, 0.0021, 0)</f>
        <v>96.552700000000002</v>
      </c>
      <c r="I1014" s="10">
        <f>96.5506 * CHOOSE(CONTROL!$C$9, $D$9, 100%, $F$9) + CHOOSE(CONTROL!$C$27, 0.0021, 0)</f>
        <v>96.552700000000002</v>
      </c>
      <c r="J1014" s="10">
        <f>96.5506 * CHOOSE(CONTROL!$C$9, $D$9, 100%, $F$9) + CHOOSE(CONTROL!$C$27, 0.0021, 0)</f>
        <v>96.552700000000002</v>
      </c>
      <c r="K1014" s="10">
        <f>96.5506 * CHOOSE(CONTROL!$C$9, $D$9, 100%, $F$9) + CHOOSE(CONTROL!$C$27, 0.0021, 0)</f>
        <v>96.552700000000002</v>
      </c>
      <c r="L1014" s="10"/>
    </row>
    <row r="1015" spans="1:12" ht="15.75" x14ac:dyDescent="0.25">
      <c r="A1015" s="13">
        <v>72198</v>
      </c>
      <c r="B1015" s="10">
        <f>97.5517 * CHOOSE(CONTROL!$C$9, $D$9, 100%, $F$9) + CHOOSE(CONTROL!$C$27, 0.0021, 0)</f>
        <v>97.553799999999995</v>
      </c>
      <c r="C1015" s="10">
        <f>97.1195 * CHOOSE(CONTROL!$C$9, $D$9, 100%, $F$9) + CHOOSE(CONTROL!$C$27, 0.0021, 0)</f>
        <v>97.121600000000001</v>
      </c>
      <c r="D1015" s="10">
        <f>97.1195 * CHOOSE(CONTROL!$C$9, $D$9, 100%, $F$9) + CHOOSE(CONTROL!$C$27, 0.0021, 0)</f>
        <v>97.121600000000001</v>
      </c>
      <c r="E1015" s="10">
        <f>96.9828 * CHOOSE(CONTROL!$C$9, $D$9, 100%, $F$9) + CHOOSE(CONTROL!$C$27, 0.0021, 0)</f>
        <v>96.984899999999996</v>
      </c>
      <c r="F1015" s="10">
        <f>96.9828 * CHOOSE(CONTROL!$C$9, $D$9, 100%, $F$9) + CHOOSE(CONTROL!$C$27, 0.0021, 0)</f>
        <v>96.984899999999996</v>
      </c>
      <c r="G1015" s="10">
        <f>97.2542 * CHOOSE(CONTROL!$C$9, $D$9, 100%, $F$9) + CHOOSE(CONTROL!$C$27, 0.0021, 0)</f>
        <v>97.256299999999996</v>
      </c>
      <c r="H1015" s="10">
        <f>97.1195 * CHOOSE(CONTROL!$C$9, $D$9, 100%, $F$9) + CHOOSE(CONTROL!$C$27, 0.0021, 0)</f>
        <v>97.121600000000001</v>
      </c>
      <c r="I1015" s="10">
        <f>97.1195 * CHOOSE(CONTROL!$C$9, $D$9, 100%, $F$9) + CHOOSE(CONTROL!$C$27, 0.0021, 0)</f>
        <v>97.121600000000001</v>
      </c>
      <c r="J1015" s="10">
        <f>97.1195 * CHOOSE(CONTROL!$C$9, $D$9, 100%, $F$9) + CHOOSE(CONTROL!$C$27, 0.0021, 0)</f>
        <v>97.121600000000001</v>
      </c>
      <c r="K1015" s="10">
        <f>97.1195 * CHOOSE(CONTROL!$C$9, $D$9, 100%, $F$9) + CHOOSE(CONTROL!$C$27, 0.0021, 0)</f>
        <v>97.121600000000001</v>
      </c>
      <c r="L1015" s="10"/>
    </row>
    <row r="1016" spans="1:12" ht="15.75" x14ac:dyDescent="0.25">
      <c r="A1016" s="13">
        <v>72228</v>
      </c>
      <c r="B1016" s="10">
        <f>99.4888 * CHOOSE(CONTROL!$C$9, $D$9, 100%, $F$9) + CHOOSE(CONTROL!$C$27, 0.0021, 0)</f>
        <v>99.490899999999996</v>
      </c>
      <c r="C1016" s="10">
        <f>99.0565 * CHOOSE(CONTROL!$C$9, $D$9, 100%, $F$9) + CHOOSE(CONTROL!$C$27, 0.0021, 0)</f>
        <v>99.058599999999998</v>
      </c>
      <c r="D1016" s="10">
        <f>99.0565 * CHOOSE(CONTROL!$C$9, $D$9, 100%, $F$9) + CHOOSE(CONTROL!$C$27, 0.0021, 0)</f>
        <v>99.058599999999998</v>
      </c>
      <c r="E1016" s="10">
        <f>98.9199 * CHOOSE(CONTROL!$C$9, $D$9, 100%, $F$9) + CHOOSE(CONTROL!$C$27, 0.0021, 0)</f>
        <v>98.921999999999997</v>
      </c>
      <c r="F1016" s="10">
        <f>98.9199 * CHOOSE(CONTROL!$C$9, $D$9, 100%, $F$9) + CHOOSE(CONTROL!$C$27, 0.0021, 0)</f>
        <v>98.921999999999997</v>
      </c>
      <c r="G1016" s="10">
        <f>99.1913 * CHOOSE(CONTROL!$C$9, $D$9, 100%, $F$9) + CHOOSE(CONTROL!$C$27, 0.0021, 0)</f>
        <v>99.193399999999997</v>
      </c>
      <c r="H1016" s="10">
        <f>99.0565 * CHOOSE(CONTROL!$C$9, $D$9, 100%, $F$9) + CHOOSE(CONTROL!$C$27, 0.0021, 0)</f>
        <v>99.058599999999998</v>
      </c>
      <c r="I1016" s="10">
        <f>99.0565 * CHOOSE(CONTROL!$C$9, $D$9, 100%, $F$9) + CHOOSE(CONTROL!$C$27, 0.0021, 0)</f>
        <v>99.058599999999998</v>
      </c>
      <c r="J1016" s="10">
        <f>99.0565 * CHOOSE(CONTROL!$C$9, $D$9, 100%, $F$9) + CHOOSE(CONTROL!$C$27, 0.0021, 0)</f>
        <v>99.058599999999998</v>
      </c>
      <c r="K1016" s="10">
        <f>99.0565 * CHOOSE(CONTROL!$C$9, $D$9, 100%, $F$9) + CHOOSE(CONTROL!$C$27, 0.0021, 0)</f>
        <v>99.058599999999998</v>
      </c>
      <c r="L1016" s="10"/>
    </row>
    <row r="1017" spans="1:12" ht="15.75" x14ac:dyDescent="0.25">
      <c r="A1017" s="13">
        <v>72259</v>
      </c>
      <c r="B1017" s="10">
        <f>101.9408 * CHOOSE(CONTROL!$C$9, $D$9, 100%, $F$9) + CHOOSE(CONTROL!$C$27, 0.0021, 0)</f>
        <v>101.94289999999999</v>
      </c>
      <c r="C1017" s="10">
        <f>101.5086 * CHOOSE(CONTROL!$C$9, $D$9, 100%, $F$9) + CHOOSE(CONTROL!$C$27, 0.0021, 0)</f>
        <v>101.5107</v>
      </c>
      <c r="D1017" s="10">
        <f>101.5086 * CHOOSE(CONTROL!$C$9, $D$9, 100%, $F$9) + CHOOSE(CONTROL!$C$27, 0.0021, 0)</f>
        <v>101.5107</v>
      </c>
      <c r="E1017" s="10">
        <f>101.3719 * CHOOSE(CONTROL!$C$9, $D$9, 100%, $F$9) + CHOOSE(CONTROL!$C$27, 0.0021, 0)</f>
        <v>101.374</v>
      </c>
      <c r="F1017" s="10">
        <f>101.3719 * CHOOSE(CONTROL!$C$9, $D$9, 100%, $F$9) + CHOOSE(CONTROL!$C$27, 0.0021, 0)</f>
        <v>101.374</v>
      </c>
      <c r="G1017" s="10">
        <f>101.6433 * CHOOSE(CONTROL!$C$9, $D$9, 100%, $F$9) + CHOOSE(CONTROL!$C$27, 0.0021, 0)</f>
        <v>101.6454</v>
      </c>
      <c r="H1017" s="10">
        <f>101.5086 * CHOOSE(CONTROL!$C$9, $D$9, 100%, $F$9) + CHOOSE(CONTROL!$C$27, 0.0021, 0)</f>
        <v>101.5107</v>
      </c>
      <c r="I1017" s="10">
        <f>101.5086 * CHOOSE(CONTROL!$C$9, $D$9, 100%, $F$9) + CHOOSE(CONTROL!$C$27, 0.0021, 0)</f>
        <v>101.5107</v>
      </c>
      <c r="J1017" s="10">
        <f>101.5086 * CHOOSE(CONTROL!$C$9, $D$9, 100%, $F$9) + CHOOSE(CONTROL!$C$27, 0.0021, 0)</f>
        <v>101.5107</v>
      </c>
      <c r="K1017" s="10">
        <f>101.5086 * CHOOSE(CONTROL!$C$9, $D$9, 100%, $F$9) + CHOOSE(CONTROL!$C$27, 0.0021, 0)</f>
        <v>101.5107</v>
      </c>
      <c r="L1017" s="10"/>
    </row>
    <row r="1018" spans="1:12" ht="15.75" x14ac:dyDescent="0.25">
      <c r="A1018" s="13">
        <v>72289</v>
      </c>
      <c r="B1018" s="10">
        <f>102.171 * CHOOSE(CONTROL!$C$9, $D$9, 100%, $F$9) + CHOOSE(CONTROL!$C$27, 0.0021, 0)</f>
        <v>102.17310000000001</v>
      </c>
      <c r="C1018" s="10">
        <f>101.7388 * CHOOSE(CONTROL!$C$9, $D$9, 100%, $F$9) + CHOOSE(CONTROL!$C$27, 0.0021, 0)</f>
        <v>101.7409</v>
      </c>
      <c r="D1018" s="10">
        <f>101.7388 * CHOOSE(CONTROL!$C$9, $D$9, 100%, $F$9) + CHOOSE(CONTROL!$C$27, 0.0021, 0)</f>
        <v>101.7409</v>
      </c>
      <c r="E1018" s="10">
        <f>101.6021 * CHOOSE(CONTROL!$C$9, $D$9, 100%, $F$9) + CHOOSE(CONTROL!$C$27, 0.0021, 0)</f>
        <v>101.60419999999999</v>
      </c>
      <c r="F1018" s="10">
        <f>101.6021 * CHOOSE(CONTROL!$C$9, $D$9, 100%, $F$9) + CHOOSE(CONTROL!$C$27, 0.0021, 0)</f>
        <v>101.60419999999999</v>
      </c>
      <c r="G1018" s="10">
        <f>101.8735 * CHOOSE(CONTROL!$C$9, $D$9, 100%, $F$9) + CHOOSE(CONTROL!$C$27, 0.0021, 0)</f>
        <v>101.87560000000001</v>
      </c>
      <c r="H1018" s="10">
        <f>101.7388 * CHOOSE(CONTROL!$C$9, $D$9, 100%, $F$9) + CHOOSE(CONTROL!$C$27, 0.0021, 0)</f>
        <v>101.7409</v>
      </c>
      <c r="I1018" s="10">
        <f>101.7388 * CHOOSE(CONTROL!$C$9, $D$9, 100%, $F$9) + CHOOSE(CONTROL!$C$27, 0.0021, 0)</f>
        <v>101.7409</v>
      </c>
      <c r="J1018" s="10">
        <f>101.7388 * CHOOSE(CONTROL!$C$9, $D$9, 100%, $F$9) + CHOOSE(CONTROL!$C$27, 0.0021, 0)</f>
        <v>101.7409</v>
      </c>
      <c r="K1018" s="10">
        <f>101.7388 * CHOOSE(CONTROL!$C$9, $D$9, 100%, $F$9) + CHOOSE(CONTROL!$C$27, 0.0021, 0)</f>
        <v>101.7409</v>
      </c>
      <c r="L1018" s="10"/>
    </row>
    <row r="1019" spans="1:12" ht="15.75" x14ac:dyDescent="0.25">
      <c r="A1019" s="13">
        <v>72320</v>
      </c>
      <c r="B1019" s="10">
        <f>100.2126 * CHOOSE(CONTROL!$C$9, $D$9, 100%, $F$9) + CHOOSE(CONTROL!$C$27, 0.0021, 0)</f>
        <v>100.21469999999999</v>
      </c>
      <c r="C1019" s="10">
        <f>99.7804 * CHOOSE(CONTROL!$C$9, $D$9, 100%, $F$9) + CHOOSE(CONTROL!$C$27, 0.0021, 0)</f>
        <v>99.782499999999999</v>
      </c>
      <c r="D1019" s="10">
        <f>99.7804 * CHOOSE(CONTROL!$C$9, $D$9, 100%, $F$9) + CHOOSE(CONTROL!$C$27, 0.0021, 0)</f>
        <v>99.782499999999999</v>
      </c>
      <c r="E1019" s="10">
        <f>99.6437 * CHOOSE(CONTROL!$C$9, $D$9, 100%, $F$9) + CHOOSE(CONTROL!$C$27, 0.0021, 0)</f>
        <v>99.645799999999994</v>
      </c>
      <c r="F1019" s="10">
        <f>99.6437 * CHOOSE(CONTROL!$C$9, $D$9, 100%, $F$9) + CHOOSE(CONTROL!$C$27, 0.0021, 0)</f>
        <v>99.645799999999994</v>
      </c>
      <c r="G1019" s="10">
        <f>99.9151 * CHOOSE(CONTROL!$C$9, $D$9, 100%, $F$9) + CHOOSE(CONTROL!$C$27, 0.0021, 0)</f>
        <v>99.917199999999994</v>
      </c>
      <c r="H1019" s="10">
        <f>99.7804 * CHOOSE(CONTROL!$C$9, $D$9, 100%, $F$9) + CHOOSE(CONTROL!$C$27, 0.0021, 0)</f>
        <v>99.782499999999999</v>
      </c>
      <c r="I1019" s="10">
        <f>99.7804 * CHOOSE(CONTROL!$C$9, $D$9, 100%, $F$9) + CHOOSE(CONTROL!$C$27, 0.0021, 0)</f>
        <v>99.782499999999999</v>
      </c>
      <c r="J1019" s="10">
        <f>99.7804 * CHOOSE(CONTROL!$C$9, $D$9, 100%, $F$9) + CHOOSE(CONTROL!$C$27, 0.0021, 0)</f>
        <v>99.782499999999999</v>
      </c>
      <c r="K1019" s="10">
        <f>99.7804 * CHOOSE(CONTROL!$C$9, $D$9, 100%, $F$9) + CHOOSE(CONTROL!$C$27, 0.0021, 0)</f>
        <v>99.782499999999999</v>
      </c>
      <c r="L1019" s="10"/>
    </row>
    <row r="1020" spans="1:12" ht="15.75" x14ac:dyDescent="0.25">
      <c r="A1020" s="13">
        <v>72351</v>
      </c>
      <c r="B1020" s="10">
        <f>98.7132 * CHOOSE(CONTROL!$C$9, $D$9, 100%, $F$9) + CHOOSE(CONTROL!$C$27, 0.0021, 0)</f>
        <v>98.715299999999999</v>
      </c>
      <c r="C1020" s="10">
        <f>98.281 * CHOOSE(CONTROL!$C$9, $D$9, 100%, $F$9) + CHOOSE(CONTROL!$C$27, 0.0021, 0)</f>
        <v>98.283100000000005</v>
      </c>
      <c r="D1020" s="10">
        <f>98.281 * CHOOSE(CONTROL!$C$9, $D$9, 100%, $F$9) + CHOOSE(CONTROL!$C$27, 0.0021, 0)</f>
        <v>98.283100000000005</v>
      </c>
      <c r="E1020" s="10">
        <f>98.1443 * CHOOSE(CONTROL!$C$9, $D$9, 100%, $F$9) + CHOOSE(CONTROL!$C$27, 0.0021, 0)</f>
        <v>98.1464</v>
      </c>
      <c r="F1020" s="10">
        <f>98.1443 * CHOOSE(CONTROL!$C$9, $D$9, 100%, $F$9) + CHOOSE(CONTROL!$C$27, 0.0021, 0)</f>
        <v>98.1464</v>
      </c>
      <c r="G1020" s="10">
        <f>98.4157 * CHOOSE(CONTROL!$C$9, $D$9, 100%, $F$9) + CHOOSE(CONTROL!$C$27, 0.0021, 0)</f>
        <v>98.4178</v>
      </c>
      <c r="H1020" s="10">
        <f>98.281 * CHOOSE(CONTROL!$C$9, $D$9, 100%, $F$9) + CHOOSE(CONTROL!$C$27, 0.0021, 0)</f>
        <v>98.283100000000005</v>
      </c>
      <c r="I1020" s="10">
        <f>98.281 * CHOOSE(CONTROL!$C$9, $D$9, 100%, $F$9) + CHOOSE(CONTROL!$C$27, 0.0021, 0)</f>
        <v>98.283100000000005</v>
      </c>
      <c r="J1020" s="10">
        <f>98.281 * CHOOSE(CONTROL!$C$9, $D$9, 100%, $F$9) + CHOOSE(CONTROL!$C$27, 0.0021, 0)</f>
        <v>98.283100000000005</v>
      </c>
      <c r="K1020" s="10">
        <f>98.281 * CHOOSE(CONTROL!$C$9, $D$9, 100%, $F$9) + CHOOSE(CONTROL!$C$27, 0.0021, 0)</f>
        <v>98.283100000000005</v>
      </c>
      <c r="L1020" s="10"/>
    </row>
    <row r="1021" spans="1:12" ht="15.75" x14ac:dyDescent="0.25">
      <c r="A1021" s="13">
        <v>72379</v>
      </c>
      <c r="B1021" s="10">
        <f>95.9859 * CHOOSE(CONTROL!$C$9, $D$9, 100%, $F$9) + CHOOSE(CONTROL!$C$27, 0.0021, 0)</f>
        <v>95.988</v>
      </c>
      <c r="C1021" s="10">
        <f>95.5537 * CHOOSE(CONTROL!$C$9, $D$9, 100%, $F$9) + CHOOSE(CONTROL!$C$27, 0.0021, 0)</f>
        <v>95.555800000000005</v>
      </c>
      <c r="D1021" s="10">
        <f>95.5537 * CHOOSE(CONTROL!$C$9, $D$9, 100%, $F$9) + CHOOSE(CONTROL!$C$27, 0.0021, 0)</f>
        <v>95.555800000000005</v>
      </c>
      <c r="E1021" s="10">
        <f>95.417 * CHOOSE(CONTROL!$C$9, $D$9, 100%, $F$9) + CHOOSE(CONTROL!$C$27, 0.0021, 0)</f>
        <v>95.4191</v>
      </c>
      <c r="F1021" s="10">
        <f>95.417 * CHOOSE(CONTROL!$C$9, $D$9, 100%, $F$9) + CHOOSE(CONTROL!$C$27, 0.0021, 0)</f>
        <v>95.4191</v>
      </c>
      <c r="G1021" s="10">
        <f>95.6884 * CHOOSE(CONTROL!$C$9, $D$9, 100%, $F$9) + CHOOSE(CONTROL!$C$27, 0.0021, 0)</f>
        <v>95.6905</v>
      </c>
      <c r="H1021" s="10">
        <f>95.5537 * CHOOSE(CONTROL!$C$9, $D$9, 100%, $F$9) + CHOOSE(CONTROL!$C$27, 0.0021, 0)</f>
        <v>95.555800000000005</v>
      </c>
      <c r="I1021" s="10">
        <f>95.5537 * CHOOSE(CONTROL!$C$9, $D$9, 100%, $F$9) + CHOOSE(CONTROL!$C$27, 0.0021, 0)</f>
        <v>95.555800000000005</v>
      </c>
      <c r="J1021" s="10">
        <f>95.5537 * CHOOSE(CONTROL!$C$9, $D$9, 100%, $F$9) + CHOOSE(CONTROL!$C$27, 0.0021, 0)</f>
        <v>95.555800000000005</v>
      </c>
      <c r="K1021" s="10">
        <f>95.5537 * CHOOSE(CONTROL!$C$9, $D$9, 100%, $F$9) + CHOOSE(CONTROL!$C$27, 0.0021, 0)</f>
        <v>95.555800000000005</v>
      </c>
      <c r="L1021" s="10"/>
    </row>
    <row r="1022" spans="1:12" ht="15.75" x14ac:dyDescent="0.25">
      <c r="A1022" s="13">
        <v>72410</v>
      </c>
      <c r="B1022" s="10">
        <f>94.8601 * CHOOSE(CONTROL!$C$9, $D$9, 100%, $F$9) + CHOOSE(CONTROL!$C$27, 0.0021, 0)</f>
        <v>94.862200000000001</v>
      </c>
      <c r="C1022" s="10">
        <f>94.4279 * CHOOSE(CONTROL!$C$9, $D$9, 100%, $F$9) + CHOOSE(CONTROL!$C$27, 0.0021, 0)</f>
        <v>94.429999999999993</v>
      </c>
      <c r="D1022" s="10">
        <f>94.4279 * CHOOSE(CONTROL!$C$9, $D$9, 100%, $F$9) + CHOOSE(CONTROL!$C$27, 0.0021, 0)</f>
        <v>94.429999999999993</v>
      </c>
      <c r="E1022" s="10">
        <f>94.2912 * CHOOSE(CONTROL!$C$9, $D$9, 100%, $F$9) + CHOOSE(CONTROL!$C$27, 0.0021, 0)</f>
        <v>94.293300000000002</v>
      </c>
      <c r="F1022" s="10">
        <f>94.2912 * CHOOSE(CONTROL!$C$9, $D$9, 100%, $F$9) + CHOOSE(CONTROL!$C$27, 0.0021, 0)</f>
        <v>94.293300000000002</v>
      </c>
      <c r="G1022" s="10">
        <f>94.5626 * CHOOSE(CONTROL!$C$9, $D$9, 100%, $F$9) + CHOOSE(CONTROL!$C$27, 0.0021, 0)</f>
        <v>94.564700000000002</v>
      </c>
      <c r="H1022" s="10">
        <f>94.4279 * CHOOSE(CONTROL!$C$9, $D$9, 100%, $F$9) + CHOOSE(CONTROL!$C$27, 0.0021, 0)</f>
        <v>94.429999999999993</v>
      </c>
      <c r="I1022" s="10">
        <f>94.4279 * CHOOSE(CONTROL!$C$9, $D$9, 100%, $F$9) + CHOOSE(CONTROL!$C$27, 0.0021, 0)</f>
        <v>94.429999999999993</v>
      </c>
      <c r="J1022" s="10">
        <f>94.4279 * CHOOSE(CONTROL!$C$9, $D$9, 100%, $F$9) + CHOOSE(CONTROL!$C$27, 0.0021, 0)</f>
        <v>94.429999999999993</v>
      </c>
      <c r="K1022" s="10">
        <f>94.4279 * CHOOSE(CONTROL!$C$9, $D$9, 100%, $F$9) + CHOOSE(CONTROL!$C$27, 0.0021, 0)</f>
        <v>94.429999999999993</v>
      </c>
      <c r="L1022" s="10"/>
    </row>
    <row r="1023" spans="1:12" ht="15.75" x14ac:dyDescent="0.25">
      <c r="A1023" s="13">
        <v>72440</v>
      </c>
      <c r="B1023" s="10">
        <f>93.5158 * CHOOSE(CONTROL!$C$9, $D$9, 100%, $F$9) + CHOOSE(CONTROL!$C$27, 0.0021, 0)</f>
        <v>93.517899999999997</v>
      </c>
      <c r="C1023" s="10">
        <f>93.0836 * CHOOSE(CONTROL!$C$9, $D$9, 100%, $F$9) + CHOOSE(CONTROL!$C$27, 0.0021, 0)</f>
        <v>93.085700000000003</v>
      </c>
      <c r="D1023" s="10">
        <f>93.0836 * CHOOSE(CONTROL!$C$9, $D$9, 100%, $F$9) + CHOOSE(CONTROL!$C$27, 0.0021, 0)</f>
        <v>93.085700000000003</v>
      </c>
      <c r="E1023" s="10">
        <f>92.9469 * CHOOSE(CONTROL!$C$9, $D$9, 100%, $F$9) + CHOOSE(CONTROL!$C$27, 0.0021, 0)</f>
        <v>92.948999999999998</v>
      </c>
      <c r="F1023" s="10">
        <f>92.9469 * CHOOSE(CONTROL!$C$9, $D$9, 100%, $F$9) + CHOOSE(CONTROL!$C$27, 0.0021, 0)</f>
        <v>92.948999999999998</v>
      </c>
      <c r="G1023" s="10">
        <f>93.2183 * CHOOSE(CONTROL!$C$9, $D$9, 100%, $F$9) + CHOOSE(CONTROL!$C$27, 0.0021, 0)</f>
        <v>93.220399999999998</v>
      </c>
      <c r="H1023" s="10">
        <f>93.0836 * CHOOSE(CONTROL!$C$9, $D$9, 100%, $F$9) + CHOOSE(CONTROL!$C$27, 0.0021, 0)</f>
        <v>93.085700000000003</v>
      </c>
      <c r="I1023" s="10">
        <f>93.0836 * CHOOSE(CONTROL!$C$9, $D$9, 100%, $F$9) + CHOOSE(CONTROL!$C$27, 0.0021, 0)</f>
        <v>93.085700000000003</v>
      </c>
      <c r="J1023" s="10">
        <f>93.0836 * CHOOSE(CONTROL!$C$9, $D$9, 100%, $F$9) + CHOOSE(CONTROL!$C$27, 0.0021, 0)</f>
        <v>93.085700000000003</v>
      </c>
      <c r="K1023" s="10">
        <f>93.0836 * CHOOSE(CONTROL!$C$9, $D$9, 100%, $F$9) + CHOOSE(CONTROL!$C$27, 0.0021, 0)</f>
        <v>93.085700000000003</v>
      </c>
      <c r="L1023" s="10"/>
    </row>
    <row r="1024" spans="1:12" ht="15.75" x14ac:dyDescent="0.25">
      <c r="A1024" s="13">
        <v>72471</v>
      </c>
      <c r="B1024" s="10">
        <f>95.4316 * CHOOSE(CONTROL!$C$9, $D$9, 100%, $F$9) + CHOOSE(CONTROL!$C$27, 0.0021, 0)</f>
        <v>95.433700000000002</v>
      </c>
      <c r="C1024" s="10">
        <f>94.9993 * CHOOSE(CONTROL!$C$9, $D$9, 100%, $F$9) + CHOOSE(CONTROL!$C$27, 0.0021, 0)</f>
        <v>95.001400000000004</v>
      </c>
      <c r="D1024" s="10">
        <f>94.9993 * CHOOSE(CONTROL!$C$9, $D$9, 100%, $F$9) + CHOOSE(CONTROL!$C$27, 0.0021, 0)</f>
        <v>95.001400000000004</v>
      </c>
      <c r="E1024" s="10">
        <f>94.8627 * CHOOSE(CONTROL!$C$9, $D$9, 100%, $F$9) + CHOOSE(CONTROL!$C$27, 0.0021, 0)</f>
        <v>94.864800000000002</v>
      </c>
      <c r="F1024" s="10">
        <f>94.8627 * CHOOSE(CONTROL!$C$9, $D$9, 100%, $F$9) + CHOOSE(CONTROL!$C$27, 0.0021, 0)</f>
        <v>94.864800000000002</v>
      </c>
      <c r="G1024" s="10">
        <f>95.134 * CHOOSE(CONTROL!$C$9, $D$9, 100%, $F$9) + CHOOSE(CONTROL!$C$27, 0.0021, 0)</f>
        <v>95.136099999999999</v>
      </c>
      <c r="H1024" s="10">
        <f>94.9993 * CHOOSE(CONTROL!$C$9, $D$9, 100%, $F$9) + CHOOSE(CONTROL!$C$27, 0.0021, 0)</f>
        <v>95.001400000000004</v>
      </c>
      <c r="I1024" s="10">
        <f>94.9993 * CHOOSE(CONTROL!$C$9, $D$9, 100%, $F$9) + CHOOSE(CONTROL!$C$27, 0.0021, 0)</f>
        <v>95.001400000000004</v>
      </c>
      <c r="J1024" s="10">
        <f>94.9993 * CHOOSE(CONTROL!$C$9, $D$9, 100%, $F$9) + CHOOSE(CONTROL!$C$27, 0.0021, 0)</f>
        <v>95.001400000000004</v>
      </c>
      <c r="K1024" s="10">
        <f>94.9993 * CHOOSE(CONTROL!$C$9, $D$9, 100%, $F$9) + CHOOSE(CONTROL!$C$27, 0.0021, 0)</f>
        <v>95.001400000000004</v>
      </c>
      <c r="L1024" s="10"/>
    </row>
    <row r="1025" spans="1:12" ht="15.75" x14ac:dyDescent="0.25">
      <c r="A1025" s="13">
        <v>72501</v>
      </c>
      <c r="B1025" s="10">
        <f>96.579 * CHOOSE(CONTROL!$C$9, $D$9, 100%, $F$9) + CHOOSE(CONTROL!$C$27, 0.0021, 0)</f>
        <v>96.581099999999992</v>
      </c>
      <c r="C1025" s="10">
        <f>96.1468 * CHOOSE(CONTROL!$C$9, $D$9, 100%, $F$9) + CHOOSE(CONTROL!$C$27, 0.0021, 0)</f>
        <v>96.148899999999998</v>
      </c>
      <c r="D1025" s="10">
        <f>96.1468 * CHOOSE(CONTROL!$C$9, $D$9, 100%, $F$9) + CHOOSE(CONTROL!$C$27, 0.0021, 0)</f>
        <v>96.148899999999998</v>
      </c>
      <c r="E1025" s="10">
        <f>96.0101 * CHOOSE(CONTROL!$C$9, $D$9, 100%, $F$9) + CHOOSE(CONTROL!$C$27, 0.0021, 0)</f>
        <v>96.012199999999993</v>
      </c>
      <c r="F1025" s="10">
        <f>96.0101 * CHOOSE(CONTROL!$C$9, $D$9, 100%, $F$9) + CHOOSE(CONTROL!$C$27, 0.0021, 0)</f>
        <v>96.012199999999993</v>
      </c>
      <c r="G1025" s="10">
        <f>96.2815 * CHOOSE(CONTROL!$C$9, $D$9, 100%, $F$9) + CHOOSE(CONTROL!$C$27, 0.0021, 0)</f>
        <v>96.283599999999993</v>
      </c>
      <c r="H1025" s="10">
        <f>96.1468 * CHOOSE(CONTROL!$C$9, $D$9, 100%, $F$9) + CHOOSE(CONTROL!$C$27, 0.0021, 0)</f>
        <v>96.148899999999998</v>
      </c>
      <c r="I1025" s="10">
        <f>96.1468 * CHOOSE(CONTROL!$C$9, $D$9, 100%, $F$9) + CHOOSE(CONTROL!$C$27, 0.0021, 0)</f>
        <v>96.148899999999998</v>
      </c>
      <c r="J1025" s="10">
        <f>96.1468 * CHOOSE(CONTROL!$C$9, $D$9, 100%, $F$9) + CHOOSE(CONTROL!$C$27, 0.0021, 0)</f>
        <v>96.148899999999998</v>
      </c>
      <c r="K1025" s="10">
        <f>96.1468 * CHOOSE(CONTROL!$C$9, $D$9, 100%, $F$9) + CHOOSE(CONTROL!$C$27, 0.0021, 0)</f>
        <v>96.148899999999998</v>
      </c>
      <c r="L1025" s="10"/>
    </row>
    <row r="1026" spans="1:12" ht="15.75" x14ac:dyDescent="0.25">
      <c r="A1026" s="13">
        <v>72532</v>
      </c>
      <c r="B1026" s="10">
        <f>98.4719 * CHOOSE(CONTROL!$C$9, $D$9, 100%, $F$9) + CHOOSE(CONTROL!$C$27, 0.0021, 0)</f>
        <v>98.474000000000004</v>
      </c>
      <c r="C1026" s="10">
        <f>98.0396 * CHOOSE(CONTROL!$C$9, $D$9, 100%, $F$9) + CHOOSE(CONTROL!$C$27, 0.0021, 0)</f>
        <v>98.041699999999992</v>
      </c>
      <c r="D1026" s="10">
        <f>98.0396 * CHOOSE(CONTROL!$C$9, $D$9, 100%, $F$9) + CHOOSE(CONTROL!$C$27, 0.0021, 0)</f>
        <v>98.041699999999992</v>
      </c>
      <c r="E1026" s="10">
        <f>97.903 * CHOOSE(CONTROL!$C$9, $D$9, 100%, $F$9) + CHOOSE(CONTROL!$C$27, 0.0021, 0)</f>
        <v>97.905100000000004</v>
      </c>
      <c r="F1026" s="10">
        <f>97.903 * CHOOSE(CONTROL!$C$9, $D$9, 100%, $F$9) + CHOOSE(CONTROL!$C$27, 0.0021, 0)</f>
        <v>97.905100000000004</v>
      </c>
      <c r="G1026" s="10">
        <f>98.1744 * CHOOSE(CONTROL!$C$9, $D$9, 100%, $F$9) + CHOOSE(CONTROL!$C$27, 0.0021, 0)</f>
        <v>98.176500000000004</v>
      </c>
      <c r="H1026" s="10">
        <f>98.0396 * CHOOSE(CONTROL!$C$9, $D$9, 100%, $F$9) + CHOOSE(CONTROL!$C$27, 0.0021, 0)</f>
        <v>98.041699999999992</v>
      </c>
      <c r="I1026" s="10">
        <f>98.0396 * CHOOSE(CONTROL!$C$9, $D$9, 100%, $F$9) + CHOOSE(CONTROL!$C$27, 0.0021, 0)</f>
        <v>98.041699999999992</v>
      </c>
      <c r="J1026" s="10">
        <f>98.0396 * CHOOSE(CONTROL!$C$9, $D$9, 100%, $F$9) + CHOOSE(CONTROL!$C$27, 0.0021, 0)</f>
        <v>98.041699999999992</v>
      </c>
      <c r="K1026" s="10">
        <f>98.0396 * CHOOSE(CONTROL!$C$9, $D$9, 100%, $F$9) + CHOOSE(CONTROL!$C$27, 0.0021, 0)</f>
        <v>98.041699999999992</v>
      </c>
      <c r="L1026" s="10"/>
    </row>
    <row r="1027" spans="1:12" ht="15.75" x14ac:dyDescent="0.25">
      <c r="A1027" s="13">
        <v>72563</v>
      </c>
      <c r="B1027" s="10">
        <f>99.0496 * CHOOSE(CONTROL!$C$9, $D$9, 100%, $F$9) + CHOOSE(CONTROL!$C$27, 0.0021, 0)</f>
        <v>99.051699999999997</v>
      </c>
      <c r="C1027" s="10">
        <f>98.6174 * CHOOSE(CONTROL!$C$9, $D$9, 100%, $F$9) + CHOOSE(CONTROL!$C$27, 0.0021, 0)</f>
        <v>98.619500000000002</v>
      </c>
      <c r="D1027" s="10">
        <f>98.6174 * CHOOSE(CONTROL!$C$9, $D$9, 100%, $F$9) + CHOOSE(CONTROL!$C$27, 0.0021, 0)</f>
        <v>98.619500000000002</v>
      </c>
      <c r="E1027" s="10">
        <f>98.4807 * CHOOSE(CONTROL!$C$9, $D$9, 100%, $F$9) + CHOOSE(CONTROL!$C$27, 0.0021, 0)</f>
        <v>98.482799999999997</v>
      </c>
      <c r="F1027" s="10">
        <f>98.4807 * CHOOSE(CONTROL!$C$9, $D$9, 100%, $F$9) + CHOOSE(CONTROL!$C$27, 0.0021, 0)</f>
        <v>98.482799999999997</v>
      </c>
      <c r="G1027" s="10">
        <f>98.7521 * CHOOSE(CONTROL!$C$9, $D$9, 100%, $F$9) + CHOOSE(CONTROL!$C$27, 0.0021, 0)</f>
        <v>98.754199999999997</v>
      </c>
      <c r="H1027" s="10">
        <f>98.6174 * CHOOSE(CONTROL!$C$9, $D$9, 100%, $F$9) + CHOOSE(CONTROL!$C$27, 0.0021, 0)</f>
        <v>98.619500000000002</v>
      </c>
      <c r="I1027" s="10">
        <f>98.6174 * CHOOSE(CONTROL!$C$9, $D$9, 100%, $F$9) + CHOOSE(CONTROL!$C$27, 0.0021, 0)</f>
        <v>98.619500000000002</v>
      </c>
      <c r="J1027" s="10">
        <f>98.6174 * CHOOSE(CONTROL!$C$9, $D$9, 100%, $F$9) + CHOOSE(CONTROL!$C$27, 0.0021, 0)</f>
        <v>98.619500000000002</v>
      </c>
      <c r="K1027" s="10">
        <f>98.6174 * CHOOSE(CONTROL!$C$9, $D$9, 100%, $F$9) + CHOOSE(CONTROL!$C$27, 0.0021, 0)</f>
        <v>98.619500000000002</v>
      </c>
      <c r="L1027" s="10"/>
    </row>
    <row r="1028" spans="1:12" ht="15.75" x14ac:dyDescent="0.25">
      <c r="A1028" s="13">
        <v>72593</v>
      </c>
      <c r="B1028" s="10">
        <f>101.0172 * CHOOSE(CONTROL!$C$9, $D$9, 100%, $F$9) + CHOOSE(CONTROL!$C$27, 0.0021, 0)</f>
        <v>101.0193</v>
      </c>
      <c r="C1028" s="10">
        <f>100.585 * CHOOSE(CONTROL!$C$9, $D$9, 100%, $F$9) + CHOOSE(CONTROL!$C$27, 0.0021, 0)</f>
        <v>100.58709999999999</v>
      </c>
      <c r="D1028" s="10">
        <f>100.585 * CHOOSE(CONTROL!$C$9, $D$9, 100%, $F$9) + CHOOSE(CONTROL!$C$27, 0.0021, 0)</f>
        <v>100.58709999999999</v>
      </c>
      <c r="E1028" s="10">
        <f>100.4483 * CHOOSE(CONTROL!$C$9, $D$9, 100%, $F$9) + CHOOSE(CONTROL!$C$27, 0.0021, 0)</f>
        <v>100.4504</v>
      </c>
      <c r="F1028" s="10">
        <f>100.4483 * CHOOSE(CONTROL!$C$9, $D$9, 100%, $F$9) + CHOOSE(CONTROL!$C$27, 0.0021, 0)</f>
        <v>100.4504</v>
      </c>
      <c r="G1028" s="10">
        <f>100.7197 * CHOOSE(CONTROL!$C$9, $D$9, 100%, $F$9) + CHOOSE(CONTROL!$C$27, 0.0021, 0)</f>
        <v>100.7218</v>
      </c>
      <c r="H1028" s="10">
        <f>100.585 * CHOOSE(CONTROL!$C$9, $D$9, 100%, $F$9) + CHOOSE(CONTROL!$C$27, 0.0021, 0)</f>
        <v>100.58709999999999</v>
      </c>
      <c r="I1028" s="10">
        <f>100.585 * CHOOSE(CONTROL!$C$9, $D$9, 100%, $F$9) + CHOOSE(CONTROL!$C$27, 0.0021, 0)</f>
        <v>100.58709999999999</v>
      </c>
      <c r="J1028" s="10">
        <f>100.585 * CHOOSE(CONTROL!$C$9, $D$9, 100%, $F$9) + CHOOSE(CONTROL!$C$27, 0.0021, 0)</f>
        <v>100.58709999999999</v>
      </c>
      <c r="K1028" s="10">
        <f>100.585 * CHOOSE(CONTROL!$C$9, $D$9, 100%, $F$9) + CHOOSE(CONTROL!$C$27, 0.0021, 0)</f>
        <v>100.58709999999999</v>
      </c>
      <c r="L1028" s="10"/>
    </row>
    <row r="1029" spans="1:12" ht="15.75" x14ac:dyDescent="0.25">
      <c r="A1029" s="13">
        <v>72624</v>
      </c>
      <c r="B1029" s="10">
        <f>103.5078 * CHOOSE(CONTROL!$C$9, $D$9, 100%, $F$9) + CHOOSE(CONTROL!$C$27, 0.0021, 0)</f>
        <v>103.5099</v>
      </c>
      <c r="C1029" s="10">
        <f>103.0755 * CHOOSE(CONTROL!$C$9, $D$9, 100%, $F$9) + CHOOSE(CONTROL!$C$27, 0.0021, 0)</f>
        <v>103.0776</v>
      </c>
      <c r="D1029" s="10">
        <f>103.0755 * CHOOSE(CONTROL!$C$9, $D$9, 100%, $F$9) + CHOOSE(CONTROL!$C$27, 0.0021, 0)</f>
        <v>103.0776</v>
      </c>
      <c r="E1029" s="10">
        <f>102.9389 * CHOOSE(CONTROL!$C$9, $D$9, 100%, $F$9) + CHOOSE(CONTROL!$C$27, 0.0021, 0)</f>
        <v>102.941</v>
      </c>
      <c r="F1029" s="10">
        <f>102.9389 * CHOOSE(CONTROL!$C$9, $D$9, 100%, $F$9) + CHOOSE(CONTROL!$C$27, 0.0021, 0)</f>
        <v>102.941</v>
      </c>
      <c r="G1029" s="10">
        <f>103.2103 * CHOOSE(CONTROL!$C$9, $D$9, 100%, $F$9) + CHOOSE(CONTROL!$C$27, 0.0021, 0)</f>
        <v>103.2124</v>
      </c>
      <c r="H1029" s="10">
        <f>103.0755 * CHOOSE(CONTROL!$C$9, $D$9, 100%, $F$9) + CHOOSE(CONTROL!$C$27, 0.0021, 0)</f>
        <v>103.0776</v>
      </c>
      <c r="I1029" s="10">
        <f>103.0755 * CHOOSE(CONTROL!$C$9, $D$9, 100%, $F$9) + CHOOSE(CONTROL!$C$27, 0.0021, 0)</f>
        <v>103.0776</v>
      </c>
      <c r="J1029" s="10">
        <f>103.0755 * CHOOSE(CONTROL!$C$9, $D$9, 100%, $F$9) + CHOOSE(CONTROL!$C$27, 0.0021, 0)</f>
        <v>103.0776</v>
      </c>
      <c r="K1029" s="10">
        <f>103.0755 * CHOOSE(CONTROL!$C$9, $D$9, 100%, $F$9) + CHOOSE(CONTROL!$C$27, 0.0021, 0)</f>
        <v>103.0776</v>
      </c>
      <c r="L1029" s="10"/>
    </row>
    <row r="1030" spans="1:12" ht="15.75" x14ac:dyDescent="0.25">
      <c r="A1030" s="13">
        <v>72654</v>
      </c>
      <c r="B1030" s="10">
        <f>103.7416 * CHOOSE(CONTROL!$C$9, $D$9, 100%, $F$9) + CHOOSE(CONTROL!$C$27, 0.0021, 0)</f>
        <v>103.7437</v>
      </c>
      <c r="C1030" s="10">
        <f>103.3094 * CHOOSE(CONTROL!$C$9, $D$9, 100%, $F$9) + CHOOSE(CONTROL!$C$27, 0.0021, 0)</f>
        <v>103.3115</v>
      </c>
      <c r="D1030" s="10">
        <f>103.3094 * CHOOSE(CONTROL!$C$9, $D$9, 100%, $F$9) + CHOOSE(CONTROL!$C$27, 0.0021, 0)</f>
        <v>103.3115</v>
      </c>
      <c r="E1030" s="10">
        <f>103.1727 * CHOOSE(CONTROL!$C$9, $D$9, 100%, $F$9) + CHOOSE(CONTROL!$C$27, 0.0021, 0)</f>
        <v>103.1748</v>
      </c>
      <c r="F1030" s="10">
        <f>103.1727 * CHOOSE(CONTROL!$C$9, $D$9, 100%, $F$9) + CHOOSE(CONTROL!$C$27, 0.0021, 0)</f>
        <v>103.1748</v>
      </c>
      <c r="G1030" s="10">
        <f>103.4441 * CHOOSE(CONTROL!$C$9, $D$9, 100%, $F$9) + CHOOSE(CONTROL!$C$27, 0.0021, 0)</f>
        <v>103.4462</v>
      </c>
      <c r="H1030" s="10">
        <f>103.3094 * CHOOSE(CONTROL!$C$9, $D$9, 100%, $F$9) + CHOOSE(CONTROL!$C$27, 0.0021, 0)</f>
        <v>103.3115</v>
      </c>
      <c r="I1030" s="10">
        <f>103.3094 * CHOOSE(CONTROL!$C$9, $D$9, 100%, $F$9) + CHOOSE(CONTROL!$C$27, 0.0021, 0)</f>
        <v>103.3115</v>
      </c>
      <c r="J1030" s="10">
        <f>103.3094 * CHOOSE(CONTROL!$C$9, $D$9, 100%, $F$9) + CHOOSE(CONTROL!$C$27, 0.0021, 0)</f>
        <v>103.3115</v>
      </c>
      <c r="K1030" s="10">
        <f>103.3094 * CHOOSE(CONTROL!$C$9, $D$9, 100%, $F$9) + CHOOSE(CONTROL!$C$27, 0.0021, 0)</f>
        <v>103.3115</v>
      </c>
      <c r="L1030" s="10"/>
    </row>
    <row r="1031" spans="1:12" ht="15.75" x14ac:dyDescent="0.25">
      <c r="A1031" s="13">
        <v>72685</v>
      </c>
      <c r="B1031" s="10">
        <f>101.7524 * CHOOSE(CONTROL!$C$9, $D$9, 100%, $F$9) + CHOOSE(CONTROL!$C$27, 0.0021, 0)</f>
        <v>101.75449999999999</v>
      </c>
      <c r="C1031" s="10">
        <f>101.3202 * CHOOSE(CONTROL!$C$9, $D$9, 100%, $F$9) + CHOOSE(CONTROL!$C$27, 0.0021, 0)</f>
        <v>101.3223</v>
      </c>
      <c r="D1031" s="10">
        <f>101.3202 * CHOOSE(CONTROL!$C$9, $D$9, 100%, $F$9) + CHOOSE(CONTROL!$C$27, 0.0021, 0)</f>
        <v>101.3223</v>
      </c>
      <c r="E1031" s="10">
        <f>101.1835 * CHOOSE(CONTROL!$C$9, $D$9, 100%, $F$9) + CHOOSE(CONTROL!$C$27, 0.0021, 0)</f>
        <v>101.18559999999999</v>
      </c>
      <c r="F1031" s="10">
        <f>101.1835 * CHOOSE(CONTROL!$C$9, $D$9, 100%, $F$9) + CHOOSE(CONTROL!$C$27, 0.0021, 0)</f>
        <v>101.18559999999999</v>
      </c>
      <c r="G1031" s="10">
        <f>101.4549 * CHOOSE(CONTROL!$C$9, $D$9, 100%, $F$9) + CHOOSE(CONTROL!$C$27, 0.0021, 0)</f>
        <v>101.45699999999999</v>
      </c>
      <c r="H1031" s="10">
        <f>101.3202 * CHOOSE(CONTROL!$C$9, $D$9, 100%, $F$9) + CHOOSE(CONTROL!$C$27, 0.0021, 0)</f>
        <v>101.3223</v>
      </c>
      <c r="I1031" s="10">
        <f>101.3202 * CHOOSE(CONTROL!$C$9, $D$9, 100%, $F$9) + CHOOSE(CONTROL!$C$27, 0.0021, 0)</f>
        <v>101.3223</v>
      </c>
      <c r="J1031" s="10">
        <f>101.3202 * CHOOSE(CONTROL!$C$9, $D$9, 100%, $F$9) + CHOOSE(CONTROL!$C$27, 0.0021, 0)</f>
        <v>101.3223</v>
      </c>
      <c r="K1031" s="10">
        <f>101.3202 * CHOOSE(CONTROL!$C$9, $D$9, 100%, $F$9) + CHOOSE(CONTROL!$C$27, 0.0021, 0)</f>
        <v>101.3223</v>
      </c>
      <c r="L1031" s="10"/>
    </row>
    <row r="1032" spans="1:12" ht="15.75" x14ac:dyDescent="0.25">
      <c r="A1032" s="13">
        <v>72716</v>
      </c>
      <c r="B1032" s="10">
        <f>100.2294 * CHOOSE(CONTROL!$C$9, $D$9, 100%, $F$9) + CHOOSE(CONTROL!$C$27, 0.0021, 0)</f>
        <v>100.2315</v>
      </c>
      <c r="C1032" s="10">
        <f>99.7972 * CHOOSE(CONTROL!$C$9, $D$9, 100%, $F$9) + CHOOSE(CONTROL!$C$27, 0.0021, 0)</f>
        <v>99.799300000000002</v>
      </c>
      <c r="D1032" s="10">
        <f>99.7972 * CHOOSE(CONTROL!$C$9, $D$9, 100%, $F$9) + CHOOSE(CONTROL!$C$27, 0.0021, 0)</f>
        <v>99.799300000000002</v>
      </c>
      <c r="E1032" s="10">
        <f>99.6605 * CHOOSE(CONTROL!$C$9, $D$9, 100%, $F$9) + CHOOSE(CONTROL!$C$27, 0.0021, 0)</f>
        <v>99.662599999999998</v>
      </c>
      <c r="F1032" s="10">
        <f>99.6605 * CHOOSE(CONTROL!$C$9, $D$9, 100%, $F$9) + CHOOSE(CONTROL!$C$27, 0.0021, 0)</f>
        <v>99.662599999999998</v>
      </c>
      <c r="G1032" s="10">
        <f>99.9319 * CHOOSE(CONTROL!$C$9, $D$9, 100%, $F$9) + CHOOSE(CONTROL!$C$27, 0.0021, 0)</f>
        <v>99.933999999999997</v>
      </c>
      <c r="H1032" s="10">
        <f>99.7972 * CHOOSE(CONTROL!$C$9, $D$9, 100%, $F$9) + CHOOSE(CONTROL!$C$27, 0.0021, 0)</f>
        <v>99.799300000000002</v>
      </c>
      <c r="I1032" s="10">
        <f>99.7972 * CHOOSE(CONTROL!$C$9, $D$9, 100%, $F$9) + CHOOSE(CONTROL!$C$27, 0.0021, 0)</f>
        <v>99.799300000000002</v>
      </c>
      <c r="J1032" s="10">
        <f>99.7972 * CHOOSE(CONTROL!$C$9, $D$9, 100%, $F$9) + CHOOSE(CONTROL!$C$27, 0.0021, 0)</f>
        <v>99.799300000000002</v>
      </c>
      <c r="K1032" s="10">
        <f>99.7972 * CHOOSE(CONTROL!$C$9, $D$9, 100%, $F$9) + CHOOSE(CONTROL!$C$27, 0.0021, 0)</f>
        <v>99.799300000000002</v>
      </c>
      <c r="L1032" s="10"/>
    </row>
    <row r="1033" spans="1:12" ht="15.75" x14ac:dyDescent="0.25">
      <c r="A1033" s="13">
        <v>72744</v>
      </c>
      <c r="B1033" s="10">
        <f>97.4592 * CHOOSE(CONTROL!$C$9, $D$9, 100%, $F$9) + CHOOSE(CONTROL!$C$27, 0.0021, 0)</f>
        <v>97.461299999999994</v>
      </c>
      <c r="C1033" s="10">
        <f>97.027 * CHOOSE(CONTROL!$C$9, $D$9, 100%, $F$9) + CHOOSE(CONTROL!$C$27, 0.0021, 0)</f>
        <v>97.0291</v>
      </c>
      <c r="D1033" s="10">
        <f>97.027 * CHOOSE(CONTROL!$C$9, $D$9, 100%, $F$9) + CHOOSE(CONTROL!$C$27, 0.0021, 0)</f>
        <v>97.0291</v>
      </c>
      <c r="E1033" s="10">
        <f>96.8903 * CHOOSE(CONTROL!$C$9, $D$9, 100%, $F$9) + CHOOSE(CONTROL!$C$27, 0.0021, 0)</f>
        <v>96.892399999999995</v>
      </c>
      <c r="F1033" s="10">
        <f>96.8903 * CHOOSE(CONTROL!$C$9, $D$9, 100%, $F$9) + CHOOSE(CONTROL!$C$27, 0.0021, 0)</f>
        <v>96.892399999999995</v>
      </c>
      <c r="G1033" s="10">
        <f>97.1617 * CHOOSE(CONTROL!$C$9, $D$9, 100%, $F$9) + CHOOSE(CONTROL!$C$27, 0.0021, 0)</f>
        <v>97.163799999999995</v>
      </c>
      <c r="H1033" s="10">
        <f>97.027 * CHOOSE(CONTROL!$C$9, $D$9, 100%, $F$9) + CHOOSE(CONTROL!$C$27, 0.0021, 0)</f>
        <v>97.0291</v>
      </c>
      <c r="I1033" s="10">
        <f>97.027 * CHOOSE(CONTROL!$C$9, $D$9, 100%, $F$9) + CHOOSE(CONTROL!$C$27, 0.0021, 0)</f>
        <v>97.0291</v>
      </c>
      <c r="J1033" s="10">
        <f>97.027 * CHOOSE(CONTROL!$C$9, $D$9, 100%, $F$9) + CHOOSE(CONTROL!$C$27, 0.0021, 0)</f>
        <v>97.0291</v>
      </c>
      <c r="K1033" s="10">
        <f>97.027 * CHOOSE(CONTROL!$C$9, $D$9, 100%, $F$9) + CHOOSE(CONTROL!$C$27, 0.0021, 0)</f>
        <v>97.0291</v>
      </c>
      <c r="L1033" s="10"/>
    </row>
    <row r="1034" spans="1:12" ht="15.75" x14ac:dyDescent="0.25">
      <c r="A1034" s="13">
        <v>72775</v>
      </c>
      <c r="B1034" s="10">
        <f>96.3157 * CHOOSE(CONTROL!$C$9, $D$9, 100%, $F$9) + CHOOSE(CONTROL!$C$27, 0.0021, 0)</f>
        <v>96.317800000000005</v>
      </c>
      <c r="C1034" s="10">
        <f>95.8835 * CHOOSE(CONTROL!$C$9, $D$9, 100%, $F$9) + CHOOSE(CONTROL!$C$27, 0.0021, 0)</f>
        <v>95.885599999999997</v>
      </c>
      <c r="D1034" s="10">
        <f>95.8835 * CHOOSE(CONTROL!$C$9, $D$9, 100%, $F$9) + CHOOSE(CONTROL!$C$27, 0.0021, 0)</f>
        <v>95.885599999999997</v>
      </c>
      <c r="E1034" s="10">
        <f>95.7468 * CHOOSE(CONTROL!$C$9, $D$9, 100%, $F$9) + CHOOSE(CONTROL!$C$27, 0.0021, 0)</f>
        <v>95.748899999999992</v>
      </c>
      <c r="F1034" s="10">
        <f>95.7468 * CHOOSE(CONTROL!$C$9, $D$9, 100%, $F$9) + CHOOSE(CONTROL!$C$27, 0.0021, 0)</f>
        <v>95.748899999999992</v>
      </c>
      <c r="G1034" s="10">
        <f>96.0182 * CHOOSE(CONTROL!$C$9, $D$9, 100%, $F$9) + CHOOSE(CONTROL!$C$27, 0.0021, 0)</f>
        <v>96.020299999999992</v>
      </c>
      <c r="H1034" s="10">
        <f>95.8835 * CHOOSE(CONTROL!$C$9, $D$9, 100%, $F$9) + CHOOSE(CONTROL!$C$27, 0.0021, 0)</f>
        <v>95.885599999999997</v>
      </c>
      <c r="I1034" s="10">
        <f>95.8835 * CHOOSE(CONTROL!$C$9, $D$9, 100%, $F$9) + CHOOSE(CONTROL!$C$27, 0.0021, 0)</f>
        <v>95.885599999999997</v>
      </c>
      <c r="J1034" s="10">
        <f>95.8835 * CHOOSE(CONTROL!$C$9, $D$9, 100%, $F$9) + CHOOSE(CONTROL!$C$27, 0.0021, 0)</f>
        <v>95.885599999999997</v>
      </c>
      <c r="K1034" s="10">
        <f>95.8835 * CHOOSE(CONTROL!$C$9, $D$9, 100%, $F$9) + CHOOSE(CONTROL!$C$27, 0.0021, 0)</f>
        <v>95.885599999999997</v>
      </c>
      <c r="L1034" s="10"/>
    </row>
    <row r="1035" spans="1:12" ht="15.75" x14ac:dyDescent="0.25">
      <c r="A1035" s="13">
        <v>72805</v>
      </c>
      <c r="B1035" s="10">
        <f>94.9503 * CHOOSE(CONTROL!$C$9, $D$9, 100%, $F$9) + CHOOSE(CONTROL!$C$27, 0.0021, 0)</f>
        <v>94.952399999999997</v>
      </c>
      <c r="C1035" s="10">
        <f>94.5181 * CHOOSE(CONTROL!$C$9, $D$9, 100%, $F$9) + CHOOSE(CONTROL!$C$27, 0.0021, 0)</f>
        <v>94.520200000000003</v>
      </c>
      <c r="D1035" s="10">
        <f>94.5181 * CHOOSE(CONTROL!$C$9, $D$9, 100%, $F$9) + CHOOSE(CONTROL!$C$27, 0.0021, 0)</f>
        <v>94.520200000000003</v>
      </c>
      <c r="E1035" s="10">
        <f>94.3814 * CHOOSE(CONTROL!$C$9, $D$9, 100%, $F$9) + CHOOSE(CONTROL!$C$27, 0.0021, 0)</f>
        <v>94.383499999999998</v>
      </c>
      <c r="F1035" s="10">
        <f>94.3814 * CHOOSE(CONTROL!$C$9, $D$9, 100%, $F$9) + CHOOSE(CONTROL!$C$27, 0.0021, 0)</f>
        <v>94.383499999999998</v>
      </c>
      <c r="G1035" s="10">
        <f>94.6528 * CHOOSE(CONTROL!$C$9, $D$9, 100%, $F$9) + CHOOSE(CONTROL!$C$27, 0.0021, 0)</f>
        <v>94.654899999999998</v>
      </c>
      <c r="H1035" s="10">
        <f>94.5181 * CHOOSE(CONTROL!$C$9, $D$9, 100%, $F$9) + CHOOSE(CONTROL!$C$27, 0.0021, 0)</f>
        <v>94.520200000000003</v>
      </c>
      <c r="I1035" s="10">
        <f>94.5181 * CHOOSE(CONTROL!$C$9, $D$9, 100%, $F$9) + CHOOSE(CONTROL!$C$27, 0.0021, 0)</f>
        <v>94.520200000000003</v>
      </c>
      <c r="J1035" s="10">
        <f>94.5181 * CHOOSE(CONTROL!$C$9, $D$9, 100%, $F$9) + CHOOSE(CONTROL!$C$27, 0.0021, 0)</f>
        <v>94.520200000000003</v>
      </c>
      <c r="K1035" s="10">
        <f>94.5181 * CHOOSE(CONTROL!$C$9, $D$9, 100%, $F$9) + CHOOSE(CONTROL!$C$27, 0.0021, 0)</f>
        <v>94.520200000000003</v>
      </c>
      <c r="L1035" s="10"/>
    </row>
    <row r="1036" spans="1:12" ht="15.75" x14ac:dyDescent="0.25">
      <c r="A1036" s="13">
        <v>72836</v>
      </c>
      <c r="B1036" s="10">
        <f>96.8962 * CHOOSE(CONTROL!$C$9, $D$9, 100%, $F$9) + CHOOSE(CONTROL!$C$27, 0.0021, 0)</f>
        <v>96.898299999999992</v>
      </c>
      <c r="C1036" s="10">
        <f>96.4639 * CHOOSE(CONTROL!$C$9, $D$9, 100%, $F$9) + CHOOSE(CONTROL!$C$27, 0.0021, 0)</f>
        <v>96.465999999999994</v>
      </c>
      <c r="D1036" s="10">
        <f>96.4639 * CHOOSE(CONTROL!$C$9, $D$9, 100%, $F$9) + CHOOSE(CONTROL!$C$27, 0.0021, 0)</f>
        <v>96.465999999999994</v>
      </c>
      <c r="E1036" s="10">
        <f>96.3273 * CHOOSE(CONTROL!$C$9, $D$9, 100%, $F$9) + CHOOSE(CONTROL!$C$27, 0.0021, 0)</f>
        <v>96.329399999999993</v>
      </c>
      <c r="F1036" s="10">
        <f>96.3273 * CHOOSE(CONTROL!$C$9, $D$9, 100%, $F$9) + CHOOSE(CONTROL!$C$27, 0.0021, 0)</f>
        <v>96.329399999999993</v>
      </c>
      <c r="G1036" s="10">
        <f>96.5986 * CHOOSE(CONTROL!$C$9, $D$9, 100%, $F$9) + CHOOSE(CONTROL!$C$27, 0.0021, 0)</f>
        <v>96.600700000000003</v>
      </c>
      <c r="H1036" s="10">
        <f>96.4639 * CHOOSE(CONTROL!$C$9, $D$9, 100%, $F$9) + CHOOSE(CONTROL!$C$27, 0.0021, 0)</f>
        <v>96.465999999999994</v>
      </c>
      <c r="I1036" s="10">
        <f>96.4639 * CHOOSE(CONTROL!$C$9, $D$9, 100%, $F$9) + CHOOSE(CONTROL!$C$27, 0.0021, 0)</f>
        <v>96.465999999999994</v>
      </c>
      <c r="J1036" s="10">
        <f>96.4639 * CHOOSE(CONTROL!$C$9, $D$9, 100%, $F$9) + CHOOSE(CONTROL!$C$27, 0.0021, 0)</f>
        <v>96.465999999999994</v>
      </c>
      <c r="K1036" s="10">
        <f>96.4639 * CHOOSE(CONTROL!$C$9, $D$9, 100%, $F$9) + CHOOSE(CONTROL!$C$27, 0.0021, 0)</f>
        <v>96.465999999999994</v>
      </c>
      <c r="L1036" s="10"/>
    </row>
    <row r="1037" spans="1:12" ht="15.75" x14ac:dyDescent="0.25">
      <c r="A1037" s="13">
        <v>72866</v>
      </c>
      <c r="B1037" s="10">
        <f>98.0617 * CHOOSE(CONTROL!$C$9, $D$9, 100%, $F$9) + CHOOSE(CONTROL!$C$27, 0.0021, 0)</f>
        <v>98.063800000000001</v>
      </c>
      <c r="C1037" s="10">
        <f>97.6294 * CHOOSE(CONTROL!$C$9, $D$9, 100%, $F$9) + CHOOSE(CONTROL!$C$27, 0.0021, 0)</f>
        <v>97.631500000000003</v>
      </c>
      <c r="D1037" s="10">
        <f>97.6294 * CHOOSE(CONTROL!$C$9, $D$9, 100%, $F$9) + CHOOSE(CONTROL!$C$27, 0.0021, 0)</f>
        <v>97.631500000000003</v>
      </c>
      <c r="E1037" s="10">
        <f>97.4928 * CHOOSE(CONTROL!$C$9, $D$9, 100%, $F$9) + CHOOSE(CONTROL!$C$27, 0.0021, 0)</f>
        <v>97.494900000000001</v>
      </c>
      <c r="F1037" s="10">
        <f>97.4928 * CHOOSE(CONTROL!$C$9, $D$9, 100%, $F$9) + CHOOSE(CONTROL!$C$27, 0.0021, 0)</f>
        <v>97.494900000000001</v>
      </c>
      <c r="G1037" s="10">
        <f>97.7641 * CHOOSE(CONTROL!$C$9, $D$9, 100%, $F$9) + CHOOSE(CONTROL!$C$27, 0.0021, 0)</f>
        <v>97.766199999999998</v>
      </c>
      <c r="H1037" s="10">
        <f>97.6294 * CHOOSE(CONTROL!$C$9, $D$9, 100%, $F$9) + CHOOSE(CONTROL!$C$27, 0.0021, 0)</f>
        <v>97.631500000000003</v>
      </c>
      <c r="I1037" s="10">
        <f>97.6294 * CHOOSE(CONTROL!$C$9, $D$9, 100%, $F$9) + CHOOSE(CONTROL!$C$27, 0.0021, 0)</f>
        <v>97.631500000000003</v>
      </c>
      <c r="J1037" s="10">
        <f>97.6294 * CHOOSE(CONTROL!$C$9, $D$9, 100%, $F$9) + CHOOSE(CONTROL!$C$27, 0.0021, 0)</f>
        <v>97.631500000000003</v>
      </c>
      <c r="K1037" s="10">
        <f>97.6294 * CHOOSE(CONTROL!$C$9, $D$9, 100%, $F$9) + CHOOSE(CONTROL!$C$27, 0.0021, 0)</f>
        <v>97.631500000000003</v>
      </c>
      <c r="L1037" s="10"/>
    </row>
    <row r="1038" spans="1:12" ht="15.75" x14ac:dyDescent="0.25">
      <c r="A1038" s="13">
        <v>72897</v>
      </c>
      <c r="B1038" s="10">
        <f>99.9843 * CHOOSE(CONTROL!$C$9, $D$9, 100%, $F$9) + CHOOSE(CONTROL!$C$27, 0.0021, 0)</f>
        <v>99.986400000000003</v>
      </c>
      <c r="C1038" s="10">
        <f>99.5521 * CHOOSE(CONTROL!$C$9, $D$9, 100%, $F$9) + CHOOSE(CONTROL!$C$27, 0.0021, 0)</f>
        <v>99.554199999999994</v>
      </c>
      <c r="D1038" s="10">
        <f>99.5521 * CHOOSE(CONTROL!$C$9, $D$9, 100%, $F$9) + CHOOSE(CONTROL!$C$27, 0.0021, 0)</f>
        <v>99.554199999999994</v>
      </c>
      <c r="E1038" s="10">
        <f>99.4154 * CHOOSE(CONTROL!$C$9, $D$9, 100%, $F$9) + CHOOSE(CONTROL!$C$27, 0.0021, 0)</f>
        <v>99.417500000000004</v>
      </c>
      <c r="F1038" s="10">
        <f>99.4154 * CHOOSE(CONTROL!$C$9, $D$9, 100%, $F$9) + CHOOSE(CONTROL!$C$27, 0.0021, 0)</f>
        <v>99.417500000000004</v>
      </c>
      <c r="G1038" s="10">
        <f>99.6868 * CHOOSE(CONTROL!$C$9, $D$9, 100%, $F$9) + CHOOSE(CONTROL!$C$27, 0.0021, 0)</f>
        <v>99.688900000000004</v>
      </c>
      <c r="H1038" s="10">
        <f>99.5521 * CHOOSE(CONTROL!$C$9, $D$9, 100%, $F$9) + CHOOSE(CONTROL!$C$27, 0.0021, 0)</f>
        <v>99.554199999999994</v>
      </c>
      <c r="I1038" s="10">
        <f>99.5521 * CHOOSE(CONTROL!$C$9, $D$9, 100%, $F$9) + CHOOSE(CONTROL!$C$27, 0.0021, 0)</f>
        <v>99.554199999999994</v>
      </c>
      <c r="J1038" s="10">
        <f>99.5521 * CHOOSE(CONTROL!$C$9, $D$9, 100%, $F$9) + CHOOSE(CONTROL!$C$27, 0.0021, 0)</f>
        <v>99.554199999999994</v>
      </c>
      <c r="K1038" s="10">
        <f>99.5521 * CHOOSE(CONTROL!$C$9, $D$9, 100%, $F$9) + CHOOSE(CONTROL!$C$27, 0.0021, 0)</f>
        <v>99.554199999999994</v>
      </c>
      <c r="L1038" s="10"/>
    </row>
    <row r="1039" spans="1:12" ht="15.75" x14ac:dyDescent="0.25">
      <c r="A1039" s="13">
        <v>72928</v>
      </c>
      <c r="B1039" s="10">
        <f>100.5711 * CHOOSE(CONTROL!$C$9, $D$9, 100%, $F$9) + CHOOSE(CONTROL!$C$27, 0.0021, 0)</f>
        <v>100.5732</v>
      </c>
      <c r="C1039" s="10">
        <f>100.1389 * CHOOSE(CONTROL!$C$9, $D$9, 100%, $F$9) + CHOOSE(CONTROL!$C$27, 0.0021, 0)</f>
        <v>100.14100000000001</v>
      </c>
      <c r="D1039" s="10">
        <f>100.1389 * CHOOSE(CONTROL!$C$9, $D$9, 100%, $F$9) + CHOOSE(CONTROL!$C$27, 0.0021, 0)</f>
        <v>100.14100000000001</v>
      </c>
      <c r="E1039" s="10">
        <f>100.0022 * CHOOSE(CONTROL!$C$9, $D$9, 100%, $F$9) + CHOOSE(CONTROL!$C$27, 0.0021, 0)</f>
        <v>100.0043</v>
      </c>
      <c r="F1039" s="10">
        <f>100.0022 * CHOOSE(CONTROL!$C$9, $D$9, 100%, $F$9) + CHOOSE(CONTROL!$C$27, 0.0021, 0)</f>
        <v>100.0043</v>
      </c>
      <c r="G1039" s="10">
        <f>100.2736 * CHOOSE(CONTROL!$C$9, $D$9, 100%, $F$9) + CHOOSE(CONTROL!$C$27, 0.0021, 0)</f>
        <v>100.2757</v>
      </c>
      <c r="H1039" s="10">
        <f>100.1389 * CHOOSE(CONTROL!$C$9, $D$9, 100%, $F$9) + CHOOSE(CONTROL!$C$27, 0.0021, 0)</f>
        <v>100.14100000000001</v>
      </c>
      <c r="I1039" s="10">
        <f>100.1389 * CHOOSE(CONTROL!$C$9, $D$9, 100%, $F$9) + CHOOSE(CONTROL!$C$27, 0.0021, 0)</f>
        <v>100.14100000000001</v>
      </c>
      <c r="J1039" s="10">
        <f>100.1389 * CHOOSE(CONTROL!$C$9, $D$9, 100%, $F$9) + CHOOSE(CONTROL!$C$27, 0.0021, 0)</f>
        <v>100.14100000000001</v>
      </c>
      <c r="K1039" s="10">
        <f>100.1389 * CHOOSE(CONTROL!$C$9, $D$9, 100%, $F$9) + CHOOSE(CONTROL!$C$27, 0.0021, 0)</f>
        <v>100.14100000000001</v>
      </c>
      <c r="L1039" s="10"/>
    </row>
    <row r="1040" spans="1:12" ht="15.75" x14ac:dyDescent="0.25">
      <c r="A1040" s="13">
        <v>72958</v>
      </c>
      <c r="B1040" s="10">
        <f>102.5696 * CHOOSE(CONTROL!$C$9, $D$9, 100%, $F$9) + CHOOSE(CONTROL!$C$27, 0.0021, 0)</f>
        <v>102.57169999999999</v>
      </c>
      <c r="C1040" s="10">
        <f>102.1374 * CHOOSE(CONTROL!$C$9, $D$9, 100%, $F$9) + CHOOSE(CONTROL!$C$27, 0.0021, 0)</f>
        <v>102.1395</v>
      </c>
      <c r="D1040" s="10">
        <f>102.1374 * CHOOSE(CONTROL!$C$9, $D$9, 100%, $F$9) + CHOOSE(CONTROL!$C$27, 0.0021, 0)</f>
        <v>102.1395</v>
      </c>
      <c r="E1040" s="10">
        <f>102.0007 * CHOOSE(CONTROL!$C$9, $D$9, 100%, $F$9) + CHOOSE(CONTROL!$C$27, 0.0021, 0)</f>
        <v>102.00279999999999</v>
      </c>
      <c r="F1040" s="10">
        <f>102.0007 * CHOOSE(CONTROL!$C$9, $D$9, 100%, $F$9) + CHOOSE(CONTROL!$C$27, 0.0021, 0)</f>
        <v>102.00279999999999</v>
      </c>
      <c r="G1040" s="10">
        <f>102.2721 * CHOOSE(CONTROL!$C$9, $D$9, 100%, $F$9) + CHOOSE(CONTROL!$C$27, 0.0021, 0)</f>
        <v>102.27419999999999</v>
      </c>
      <c r="H1040" s="10">
        <f>102.1374 * CHOOSE(CONTROL!$C$9, $D$9, 100%, $F$9) + CHOOSE(CONTROL!$C$27, 0.0021, 0)</f>
        <v>102.1395</v>
      </c>
      <c r="I1040" s="10">
        <f>102.1374 * CHOOSE(CONTROL!$C$9, $D$9, 100%, $F$9) + CHOOSE(CONTROL!$C$27, 0.0021, 0)</f>
        <v>102.1395</v>
      </c>
      <c r="J1040" s="10">
        <f>102.1374 * CHOOSE(CONTROL!$C$9, $D$9, 100%, $F$9) + CHOOSE(CONTROL!$C$27, 0.0021, 0)</f>
        <v>102.1395</v>
      </c>
      <c r="K1040" s="10">
        <f>102.1374 * CHOOSE(CONTROL!$C$9, $D$9, 100%, $F$9) + CHOOSE(CONTROL!$C$27, 0.0021, 0)</f>
        <v>102.1395</v>
      </c>
      <c r="L1040" s="10"/>
    </row>
    <row r="1041" spans="1:12" ht="15.75" x14ac:dyDescent="0.25">
      <c r="A1041" s="13">
        <v>72989</v>
      </c>
      <c r="B1041" s="10">
        <f>105.0994 * CHOOSE(CONTROL!$C$9, $D$9, 100%, $F$9) + CHOOSE(CONTROL!$C$27, 0.0021, 0)</f>
        <v>105.1015</v>
      </c>
      <c r="C1041" s="10">
        <f>104.6671 * CHOOSE(CONTROL!$C$9, $D$9, 100%, $F$9) + CHOOSE(CONTROL!$C$27, 0.0021, 0)</f>
        <v>104.6692</v>
      </c>
      <c r="D1041" s="10">
        <f>104.6671 * CHOOSE(CONTROL!$C$9, $D$9, 100%, $F$9) + CHOOSE(CONTROL!$C$27, 0.0021, 0)</f>
        <v>104.6692</v>
      </c>
      <c r="E1041" s="10">
        <f>104.5305 * CHOOSE(CONTROL!$C$9, $D$9, 100%, $F$9) + CHOOSE(CONTROL!$C$27, 0.0021, 0)</f>
        <v>104.5326</v>
      </c>
      <c r="F1041" s="10">
        <f>104.5305 * CHOOSE(CONTROL!$C$9, $D$9, 100%, $F$9) + CHOOSE(CONTROL!$C$27, 0.0021, 0)</f>
        <v>104.5326</v>
      </c>
      <c r="G1041" s="10">
        <f>104.8019 * CHOOSE(CONTROL!$C$9, $D$9, 100%, $F$9) + CHOOSE(CONTROL!$C$27, 0.0021, 0)</f>
        <v>104.804</v>
      </c>
      <c r="H1041" s="10">
        <f>104.6671 * CHOOSE(CONTROL!$C$9, $D$9, 100%, $F$9) + CHOOSE(CONTROL!$C$27, 0.0021, 0)</f>
        <v>104.6692</v>
      </c>
      <c r="I1041" s="10">
        <f>104.6671 * CHOOSE(CONTROL!$C$9, $D$9, 100%, $F$9) + CHOOSE(CONTROL!$C$27, 0.0021, 0)</f>
        <v>104.6692</v>
      </c>
      <c r="J1041" s="10">
        <f>104.6671 * CHOOSE(CONTROL!$C$9, $D$9, 100%, $F$9) + CHOOSE(CONTROL!$C$27, 0.0021, 0)</f>
        <v>104.6692</v>
      </c>
      <c r="K1041" s="10">
        <f>104.6671 * CHOOSE(CONTROL!$C$9, $D$9, 100%, $F$9) + CHOOSE(CONTROL!$C$27, 0.0021, 0)</f>
        <v>104.6692</v>
      </c>
      <c r="L1041" s="10"/>
    </row>
    <row r="1042" spans="1:12" ht="15.75" x14ac:dyDescent="0.25">
      <c r="A1042" s="13">
        <v>73019</v>
      </c>
      <c r="B1042" s="10">
        <f>105.3369 * CHOOSE(CONTROL!$C$9, $D$9, 100%, $F$9) + CHOOSE(CONTROL!$C$27, 0.0021, 0)</f>
        <v>105.339</v>
      </c>
      <c r="C1042" s="10">
        <f>104.9046 * CHOOSE(CONTROL!$C$9, $D$9, 100%, $F$9) + CHOOSE(CONTROL!$C$27, 0.0021, 0)</f>
        <v>104.9067</v>
      </c>
      <c r="D1042" s="10">
        <f>104.9046 * CHOOSE(CONTROL!$C$9, $D$9, 100%, $F$9) + CHOOSE(CONTROL!$C$27, 0.0021, 0)</f>
        <v>104.9067</v>
      </c>
      <c r="E1042" s="10">
        <f>104.768 * CHOOSE(CONTROL!$C$9, $D$9, 100%, $F$9) + CHOOSE(CONTROL!$C$27, 0.0021, 0)</f>
        <v>104.7701</v>
      </c>
      <c r="F1042" s="10">
        <f>104.768 * CHOOSE(CONTROL!$C$9, $D$9, 100%, $F$9) + CHOOSE(CONTROL!$C$27, 0.0021, 0)</f>
        <v>104.7701</v>
      </c>
      <c r="G1042" s="10">
        <f>105.0394 * CHOOSE(CONTROL!$C$9, $D$9, 100%, $F$9) + CHOOSE(CONTROL!$C$27, 0.0021, 0)</f>
        <v>105.0415</v>
      </c>
      <c r="H1042" s="10">
        <f>104.9046 * CHOOSE(CONTROL!$C$9, $D$9, 100%, $F$9) + CHOOSE(CONTROL!$C$27, 0.0021, 0)</f>
        <v>104.9067</v>
      </c>
      <c r="I1042" s="10">
        <f>104.9046 * CHOOSE(CONTROL!$C$9, $D$9, 100%, $F$9) + CHOOSE(CONTROL!$C$27, 0.0021, 0)</f>
        <v>104.9067</v>
      </c>
      <c r="J1042" s="10">
        <f>104.9046 * CHOOSE(CONTROL!$C$9, $D$9, 100%, $F$9) + CHOOSE(CONTROL!$C$27, 0.0021, 0)</f>
        <v>104.9067</v>
      </c>
      <c r="K1042" s="10">
        <f>104.9046 * CHOOSE(CONTROL!$C$9, $D$9, 100%, $F$9) + CHOOSE(CONTROL!$C$27, 0.0021, 0)</f>
        <v>104.9067</v>
      </c>
      <c r="L1042" s="10"/>
    </row>
    <row r="1043" spans="1:12" ht="15.75" x14ac:dyDescent="0.25">
      <c r="A1043" s="13">
        <v>73050</v>
      </c>
      <c r="B1043" s="10">
        <f>103.3164 * CHOOSE(CONTROL!$C$9, $D$9, 100%, $F$9) + CHOOSE(CONTROL!$C$27, 0.0021, 0)</f>
        <v>103.3185</v>
      </c>
      <c r="C1043" s="10">
        <f>102.8842 * CHOOSE(CONTROL!$C$9, $D$9, 100%, $F$9) + CHOOSE(CONTROL!$C$27, 0.0021, 0)</f>
        <v>102.88630000000001</v>
      </c>
      <c r="D1043" s="10">
        <f>102.8842 * CHOOSE(CONTROL!$C$9, $D$9, 100%, $F$9) + CHOOSE(CONTROL!$C$27, 0.0021, 0)</f>
        <v>102.88630000000001</v>
      </c>
      <c r="E1043" s="10">
        <f>102.7475 * CHOOSE(CONTROL!$C$9, $D$9, 100%, $F$9) + CHOOSE(CONTROL!$C$27, 0.0021, 0)</f>
        <v>102.7496</v>
      </c>
      <c r="F1043" s="10">
        <f>102.7475 * CHOOSE(CONTROL!$C$9, $D$9, 100%, $F$9) + CHOOSE(CONTROL!$C$27, 0.0021, 0)</f>
        <v>102.7496</v>
      </c>
      <c r="G1043" s="10">
        <f>103.0189 * CHOOSE(CONTROL!$C$9, $D$9, 100%, $F$9) + CHOOSE(CONTROL!$C$27, 0.0021, 0)</f>
        <v>103.021</v>
      </c>
      <c r="H1043" s="10">
        <f>102.8842 * CHOOSE(CONTROL!$C$9, $D$9, 100%, $F$9) + CHOOSE(CONTROL!$C$27, 0.0021, 0)</f>
        <v>102.88630000000001</v>
      </c>
      <c r="I1043" s="10">
        <f>102.8842 * CHOOSE(CONTROL!$C$9, $D$9, 100%, $F$9) + CHOOSE(CONTROL!$C$27, 0.0021, 0)</f>
        <v>102.88630000000001</v>
      </c>
      <c r="J1043" s="10">
        <f>102.8842 * CHOOSE(CONTROL!$C$9, $D$9, 100%, $F$9) + CHOOSE(CONTROL!$C$27, 0.0021, 0)</f>
        <v>102.88630000000001</v>
      </c>
      <c r="K1043" s="10">
        <f>102.8842 * CHOOSE(CONTROL!$C$9, $D$9, 100%, $F$9) + CHOOSE(CONTROL!$C$27, 0.0021, 0)</f>
        <v>102.88630000000001</v>
      </c>
      <c r="L1043" s="10"/>
    </row>
    <row r="1044" spans="1:12" ht="15.75" x14ac:dyDescent="0.25">
      <c r="A1044" s="13">
        <v>73081</v>
      </c>
      <c r="B1044" s="10">
        <f>101.7695 * CHOOSE(CONTROL!$C$9, $D$9, 100%, $F$9) + CHOOSE(CONTROL!$C$27, 0.0021, 0)</f>
        <v>101.77159999999999</v>
      </c>
      <c r="C1044" s="10">
        <f>101.3372 * CHOOSE(CONTROL!$C$9, $D$9, 100%, $F$9) + CHOOSE(CONTROL!$C$27, 0.0021, 0)</f>
        <v>101.33929999999999</v>
      </c>
      <c r="D1044" s="10">
        <f>101.3372 * CHOOSE(CONTROL!$C$9, $D$9, 100%, $F$9) + CHOOSE(CONTROL!$C$27, 0.0021, 0)</f>
        <v>101.33929999999999</v>
      </c>
      <c r="E1044" s="10">
        <f>101.2006 * CHOOSE(CONTROL!$C$9, $D$9, 100%, $F$9) + CHOOSE(CONTROL!$C$27, 0.0021, 0)</f>
        <v>101.20269999999999</v>
      </c>
      <c r="F1044" s="10">
        <f>101.2006 * CHOOSE(CONTROL!$C$9, $D$9, 100%, $F$9) + CHOOSE(CONTROL!$C$27, 0.0021, 0)</f>
        <v>101.20269999999999</v>
      </c>
      <c r="G1044" s="10">
        <f>101.472 * CHOOSE(CONTROL!$C$9, $D$9, 100%, $F$9) + CHOOSE(CONTROL!$C$27, 0.0021, 0)</f>
        <v>101.47409999999999</v>
      </c>
      <c r="H1044" s="10">
        <f>101.3372 * CHOOSE(CONTROL!$C$9, $D$9, 100%, $F$9) + CHOOSE(CONTROL!$C$27, 0.0021, 0)</f>
        <v>101.33929999999999</v>
      </c>
      <c r="I1044" s="10">
        <f>101.3372 * CHOOSE(CONTROL!$C$9, $D$9, 100%, $F$9) + CHOOSE(CONTROL!$C$27, 0.0021, 0)</f>
        <v>101.33929999999999</v>
      </c>
      <c r="J1044" s="10">
        <f>101.3372 * CHOOSE(CONTROL!$C$9, $D$9, 100%, $F$9) + CHOOSE(CONTROL!$C$27, 0.0021, 0)</f>
        <v>101.33929999999999</v>
      </c>
      <c r="K1044" s="10">
        <f>101.3372 * CHOOSE(CONTROL!$C$9, $D$9, 100%, $F$9) + CHOOSE(CONTROL!$C$27, 0.0021, 0)</f>
        <v>101.33929999999999</v>
      </c>
      <c r="L1044" s="10"/>
    </row>
    <row r="1045" spans="1:12" ht="15.75" x14ac:dyDescent="0.25">
      <c r="A1045" s="13">
        <v>73109</v>
      </c>
      <c r="B1045" s="10">
        <f>98.9557 * CHOOSE(CONTROL!$C$9, $D$9, 100%, $F$9) + CHOOSE(CONTROL!$C$27, 0.0021, 0)</f>
        <v>98.957799999999992</v>
      </c>
      <c r="C1045" s="10">
        <f>98.5235 * CHOOSE(CONTROL!$C$9, $D$9, 100%, $F$9) + CHOOSE(CONTROL!$C$27, 0.0021, 0)</f>
        <v>98.525599999999997</v>
      </c>
      <c r="D1045" s="10">
        <f>98.5235 * CHOOSE(CONTROL!$C$9, $D$9, 100%, $F$9) + CHOOSE(CONTROL!$C$27, 0.0021, 0)</f>
        <v>98.525599999999997</v>
      </c>
      <c r="E1045" s="10">
        <f>98.3868 * CHOOSE(CONTROL!$C$9, $D$9, 100%, $F$9) + CHOOSE(CONTROL!$C$27, 0.0021, 0)</f>
        <v>98.388899999999992</v>
      </c>
      <c r="F1045" s="10">
        <f>98.3868 * CHOOSE(CONTROL!$C$9, $D$9, 100%, $F$9) + CHOOSE(CONTROL!$C$27, 0.0021, 0)</f>
        <v>98.388899999999992</v>
      </c>
      <c r="G1045" s="10">
        <f>98.6582 * CHOOSE(CONTROL!$C$9, $D$9, 100%, $F$9) + CHOOSE(CONTROL!$C$27, 0.0021, 0)</f>
        <v>98.660299999999992</v>
      </c>
      <c r="H1045" s="10">
        <f>98.5235 * CHOOSE(CONTROL!$C$9, $D$9, 100%, $F$9) + CHOOSE(CONTROL!$C$27, 0.0021, 0)</f>
        <v>98.525599999999997</v>
      </c>
      <c r="I1045" s="10">
        <f>98.5235 * CHOOSE(CONTROL!$C$9, $D$9, 100%, $F$9) + CHOOSE(CONTROL!$C$27, 0.0021, 0)</f>
        <v>98.525599999999997</v>
      </c>
      <c r="J1045" s="10">
        <f>98.5235 * CHOOSE(CONTROL!$C$9, $D$9, 100%, $F$9) + CHOOSE(CONTROL!$C$27, 0.0021, 0)</f>
        <v>98.525599999999997</v>
      </c>
      <c r="K1045" s="10">
        <f>98.5235 * CHOOSE(CONTROL!$C$9, $D$9, 100%, $F$9) + CHOOSE(CONTROL!$C$27, 0.0021, 0)</f>
        <v>98.525599999999997</v>
      </c>
      <c r="L1045" s="10"/>
    </row>
    <row r="1046" spans="1:12" ht="15.75" x14ac:dyDescent="0.25">
      <c r="A1046" s="13">
        <v>73140</v>
      </c>
      <c r="B1046" s="10">
        <f>97.7942 * CHOOSE(CONTROL!$C$9, $D$9, 100%, $F$9) + CHOOSE(CONTROL!$C$27, 0.0021, 0)</f>
        <v>97.796300000000002</v>
      </c>
      <c r="C1046" s="10">
        <f>97.362 * CHOOSE(CONTROL!$C$9, $D$9, 100%, $F$9) + CHOOSE(CONTROL!$C$27, 0.0021, 0)</f>
        <v>97.364099999999993</v>
      </c>
      <c r="D1046" s="10">
        <f>97.362 * CHOOSE(CONTROL!$C$9, $D$9, 100%, $F$9) + CHOOSE(CONTROL!$C$27, 0.0021, 0)</f>
        <v>97.364099999999993</v>
      </c>
      <c r="E1046" s="10">
        <f>97.2253 * CHOOSE(CONTROL!$C$9, $D$9, 100%, $F$9) + CHOOSE(CONTROL!$C$27, 0.0021, 0)</f>
        <v>97.227400000000003</v>
      </c>
      <c r="F1046" s="10">
        <f>97.2253 * CHOOSE(CONTROL!$C$9, $D$9, 100%, $F$9) + CHOOSE(CONTROL!$C$27, 0.0021, 0)</f>
        <v>97.227400000000003</v>
      </c>
      <c r="G1046" s="10">
        <f>97.4967 * CHOOSE(CONTROL!$C$9, $D$9, 100%, $F$9) + CHOOSE(CONTROL!$C$27, 0.0021, 0)</f>
        <v>97.498800000000003</v>
      </c>
      <c r="H1046" s="10">
        <f>97.362 * CHOOSE(CONTROL!$C$9, $D$9, 100%, $F$9) + CHOOSE(CONTROL!$C$27, 0.0021, 0)</f>
        <v>97.364099999999993</v>
      </c>
      <c r="I1046" s="10">
        <f>97.362 * CHOOSE(CONTROL!$C$9, $D$9, 100%, $F$9) + CHOOSE(CONTROL!$C$27, 0.0021, 0)</f>
        <v>97.364099999999993</v>
      </c>
      <c r="J1046" s="10">
        <f>97.362 * CHOOSE(CONTROL!$C$9, $D$9, 100%, $F$9) + CHOOSE(CONTROL!$C$27, 0.0021, 0)</f>
        <v>97.364099999999993</v>
      </c>
      <c r="K1046" s="10">
        <f>97.362 * CHOOSE(CONTROL!$C$9, $D$9, 100%, $F$9) + CHOOSE(CONTROL!$C$27, 0.0021, 0)</f>
        <v>97.364099999999993</v>
      </c>
      <c r="L1046" s="10"/>
    </row>
    <row r="1047" spans="1:12" ht="15.75" x14ac:dyDescent="0.25">
      <c r="A1047" s="13">
        <v>73170</v>
      </c>
      <c r="B1047" s="10">
        <f>96.4074 * CHOOSE(CONTROL!$C$9, $D$9, 100%, $F$9) + CHOOSE(CONTROL!$C$27, 0.0021, 0)</f>
        <v>96.409499999999994</v>
      </c>
      <c r="C1047" s="10">
        <f>95.9751 * CHOOSE(CONTROL!$C$9, $D$9, 100%, $F$9) + CHOOSE(CONTROL!$C$27, 0.0021, 0)</f>
        <v>95.977199999999996</v>
      </c>
      <c r="D1047" s="10">
        <f>95.9751 * CHOOSE(CONTROL!$C$9, $D$9, 100%, $F$9) + CHOOSE(CONTROL!$C$27, 0.0021, 0)</f>
        <v>95.977199999999996</v>
      </c>
      <c r="E1047" s="10">
        <f>95.8385 * CHOOSE(CONTROL!$C$9, $D$9, 100%, $F$9) + CHOOSE(CONTROL!$C$27, 0.0021, 0)</f>
        <v>95.840599999999995</v>
      </c>
      <c r="F1047" s="10">
        <f>95.8385 * CHOOSE(CONTROL!$C$9, $D$9, 100%, $F$9) + CHOOSE(CONTROL!$C$27, 0.0021, 0)</f>
        <v>95.840599999999995</v>
      </c>
      <c r="G1047" s="10">
        <f>96.1098 * CHOOSE(CONTROL!$C$9, $D$9, 100%, $F$9) + CHOOSE(CONTROL!$C$27, 0.0021, 0)</f>
        <v>96.111900000000006</v>
      </c>
      <c r="H1047" s="10">
        <f>95.9751 * CHOOSE(CONTROL!$C$9, $D$9, 100%, $F$9) + CHOOSE(CONTROL!$C$27, 0.0021, 0)</f>
        <v>95.977199999999996</v>
      </c>
      <c r="I1047" s="10">
        <f>95.9751 * CHOOSE(CONTROL!$C$9, $D$9, 100%, $F$9) + CHOOSE(CONTROL!$C$27, 0.0021, 0)</f>
        <v>95.977199999999996</v>
      </c>
      <c r="J1047" s="10">
        <f>95.9751 * CHOOSE(CONTROL!$C$9, $D$9, 100%, $F$9) + CHOOSE(CONTROL!$C$27, 0.0021, 0)</f>
        <v>95.977199999999996</v>
      </c>
      <c r="K1047" s="10">
        <f>95.9751 * CHOOSE(CONTROL!$C$9, $D$9, 100%, $F$9) + CHOOSE(CONTROL!$C$27, 0.0021, 0)</f>
        <v>95.977199999999996</v>
      </c>
      <c r="L1047" s="10"/>
    </row>
    <row r="1048" spans="1:12" ht="15.75" x14ac:dyDescent="0.25">
      <c r="A1048" s="13">
        <v>73201</v>
      </c>
      <c r="B1048" s="10">
        <f>98.3838 * CHOOSE(CONTROL!$C$9, $D$9, 100%, $F$9) + CHOOSE(CONTROL!$C$27, 0.0021, 0)</f>
        <v>98.385899999999992</v>
      </c>
      <c r="C1048" s="10">
        <f>97.9516 * CHOOSE(CONTROL!$C$9, $D$9, 100%, $F$9) + CHOOSE(CONTROL!$C$27, 0.0021, 0)</f>
        <v>97.953699999999998</v>
      </c>
      <c r="D1048" s="10">
        <f>97.9516 * CHOOSE(CONTROL!$C$9, $D$9, 100%, $F$9) + CHOOSE(CONTROL!$C$27, 0.0021, 0)</f>
        <v>97.953699999999998</v>
      </c>
      <c r="E1048" s="10">
        <f>97.8149 * CHOOSE(CONTROL!$C$9, $D$9, 100%, $F$9) + CHOOSE(CONTROL!$C$27, 0.0021, 0)</f>
        <v>97.816999999999993</v>
      </c>
      <c r="F1048" s="10">
        <f>97.8149 * CHOOSE(CONTROL!$C$9, $D$9, 100%, $F$9) + CHOOSE(CONTROL!$C$27, 0.0021, 0)</f>
        <v>97.816999999999993</v>
      </c>
      <c r="G1048" s="10">
        <f>98.0863 * CHOOSE(CONTROL!$C$9, $D$9, 100%, $F$9) + CHOOSE(CONTROL!$C$27, 0.0021, 0)</f>
        <v>98.088399999999993</v>
      </c>
      <c r="H1048" s="10">
        <f>97.9516 * CHOOSE(CONTROL!$C$9, $D$9, 100%, $F$9) + CHOOSE(CONTROL!$C$27, 0.0021, 0)</f>
        <v>97.953699999999998</v>
      </c>
      <c r="I1048" s="10">
        <f>97.9516 * CHOOSE(CONTROL!$C$9, $D$9, 100%, $F$9) + CHOOSE(CONTROL!$C$27, 0.0021, 0)</f>
        <v>97.953699999999998</v>
      </c>
      <c r="J1048" s="10">
        <f>97.9516 * CHOOSE(CONTROL!$C$9, $D$9, 100%, $F$9) + CHOOSE(CONTROL!$C$27, 0.0021, 0)</f>
        <v>97.953699999999998</v>
      </c>
      <c r="K1048" s="10">
        <f>97.9516 * CHOOSE(CONTROL!$C$9, $D$9, 100%, $F$9) + CHOOSE(CONTROL!$C$27, 0.0021, 0)</f>
        <v>97.953699999999998</v>
      </c>
      <c r="L1048" s="10"/>
    </row>
    <row r="1049" spans="1:12" ht="15.75" x14ac:dyDescent="0.25">
      <c r="A1049" s="13">
        <v>73231</v>
      </c>
      <c r="B1049" s="10">
        <f>99.5676 * CHOOSE(CONTROL!$C$9, $D$9, 100%, $F$9) + CHOOSE(CONTROL!$C$27, 0.0021, 0)</f>
        <v>99.569699999999997</v>
      </c>
      <c r="C1049" s="10">
        <f>99.1354 * CHOOSE(CONTROL!$C$9, $D$9, 100%, $F$9) + CHOOSE(CONTROL!$C$27, 0.0021, 0)</f>
        <v>99.137500000000003</v>
      </c>
      <c r="D1049" s="10">
        <f>99.1354 * CHOOSE(CONTROL!$C$9, $D$9, 100%, $F$9) + CHOOSE(CONTROL!$C$27, 0.0021, 0)</f>
        <v>99.137500000000003</v>
      </c>
      <c r="E1049" s="10">
        <f>98.9987 * CHOOSE(CONTROL!$C$9, $D$9, 100%, $F$9) + CHOOSE(CONTROL!$C$27, 0.0021, 0)</f>
        <v>99.000799999999998</v>
      </c>
      <c r="F1049" s="10">
        <f>98.9987 * CHOOSE(CONTROL!$C$9, $D$9, 100%, $F$9) + CHOOSE(CONTROL!$C$27, 0.0021, 0)</f>
        <v>99.000799999999998</v>
      </c>
      <c r="G1049" s="10">
        <f>99.2701 * CHOOSE(CONTROL!$C$9, $D$9, 100%, $F$9) + CHOOSE(CONTROL!$C$27, 0.0021, 0)</f>
        <v>99.272199999999998</v>
      </c>
      <c r="H1049" s="10">
        <f>99.1354 * CHOOSE(CONTROL!$C$9, $D$9, 100%, $F$9) + CHOOSE(CONTROL!$C$27, 0.0021, 0)</f>
        <v>99.137500000000003</v>
      </c>
      <c r="I1049" s="10">
        <f>99.1354 * CHOOSE(CONTROL!$C$9, $D$9, 100%, $F$9) + CHOOSE(CONTROL!$C$27, 0.0021, 0)</f>
        <v>99.137500000000003</v>
      </c>
      <c r="J1049" s="10">
        <f>99.1354 * CHOOSE(CONTROL!$C$9, $D$9, 100%, $F$9) + CHOOSE(CONTROL!$C$27, 0.0021, 0)</f>
        <v>99.137500000000003</v>
      </c>
      <c r="K1049" s="10">
        <f>99.1354 * CHOOSE(CONTROL!$C$9, $D$9, 100%, $F$9) + CHOOSE(CONTROL!$C$27, 0.0021, 0)</f>
        <v>99.137500000000003</v>
      </c>
      <c r="L1049" s="10"/>
    </row>
    <row r="1050" spans="1:12" ht="15.75" x14ac:dyDescent="0.25">
      <c r="A1050" s="13">
        <v>73262</v>
      </c>
      <c r="B1050" s="10">
        <f>101.5205 * CHOOSE(CONTROL!$C$9, $D$9, 100%, $F$9) + CHOOSE(CONTROL!$C$27, 0.0021, 0)</f>
        <v>101.5226</v>
      </c>
      <c r="C1050" s="10">
        <f>101.0883 * CHOOSE(CONTROL!$C$9, $D$9, 100%, $F$9) + CHOOSE(CONTROL!$C$27, 0.0021, 0)</f>
        <v>101.0904</v>
      </c>
      <c r="D1050" s="10">
        <f>101.0883 * CHOOSE(CONTROL!$C$9, $D$9, 100%, $F$9) + CHOOSE(CONTROL!$C$27, 0.0021, 0)</f>
        <v>101.0904</v>
      </c>
      <c r="E1050" s="10">
        <f>100.9516 * CHOOSE(CONTROL!$C$9, $D$9, 100%, $F$9) + CHOOSE(CONTROL!$C$27, 0.0021, 0)</f>
        <v>100.9537</v>
      </c>
      <c r="F1050" s="10">
        <f>100.9516 * CHOOSE(CONTROL!$C$9, $D$9, 100%, $F$9) + CHOOSE(CONTROL!$C$27, 0.0021, 0)</f>
        <v>100.9537</v>
      </c>
      <c r="G1050" s="10">
        <f>101.223 * CHOOSE(CONTROL!$C$9, $D$9, 100%, $F$9) + CHOOSE(CONTROL!$C$27, 0.0021, 0)</f>
        <v>101.2251</v>
      </c>
      <c r="H1050" s="10">
        <f>101.0883 * CHOOSE(CONTROL!$C$9, $D$9, 100%, $F$9) + CHOOSE(CONTROL!$C$27, 0.0021, 0)</f>
        <v>101.0904</v>
      </c>
      <c r="I1050" s="10">
        <f>101.0883 * CHOOSE(CONTROL!$C$9, $D$9, 100%, $F$9) + CHOOSE(CONTROL!$C$27, 0.0021, 0)</f>
        <v>101.0904</v>
      </c>
      <c r="J1050" s="10">
        <f>101.0883 * CHOOSE(CONTROL!$C$9, $D$9, 100%, $F$9) + CHOOSE(CONTROL!$C$27, 0.0021, 0)</f>
        <v>101.0904</v>
      </c>
      <c r="K1050" s="10">
        <f>101.0883 * CHOOSE(CONTROL!$C$9, $D$9, 100%, $F$9) + CHOOSE(CONTROL!$C$27, 0.0021, 0)</f>
        <v>101.0904</v>
      </c>
      <c r="L1050" s="10"/>
    </row>
    <row r="1051" spans="1:12" ht="15.75" x14ac:dyDescent="0.25">
      <c r="A1051" s="13">
        <v>73293</v>
      </c>
      <c r="B1051" s="10">
        <f>102.1166 * CHOOSE(CONTROL!$C$9, $D$9, 100%, $F$9) + CHOOSE(CONTROL!$C$27, 0.0021, 0)</f>
        <v>102.1187</v>
      </c>
      <c r="C1051" s="10">
        <f>101.6843 * CHOOSE(CONTROL!$C$9, $D$9, 100%, $F$9) + CHOOSE(CONTROL!$C$27, 0.0021, 0)</f>
        <v>101.68639999999999</v>
      </c>
      <c r="D1051" s="10">
        <f>101.6843 * CHOOSE(CONTROL!$C$9, $D$9, 100%, $F$9) + CHOOSE(CONTROL!$C$27, 0.0021, 0)</f>
        <v>101.68639999999999</v>
      </c>
      <c r="E1051" s="10">
        <f>101.5477 * CHOOSE(CONTROL!$C$9, $D$9, 100%, $F$9) + CHOOSE(CONTROL!$C$27, 0.0021, 0)</f>
        <v>101.5498</v>
      </c>
      <c r="F1051" s="10">
        <f>101.5477 * CHOOSE(CONTROL!$C$9, $D$9, 100%, $F$9) + CHOOSE(CONTROL!$C$27, 0.0021, 0)</f>
        <v>101.5498</v>
      </c>
      <c r="G1051" s="10">
        <f>101.819 * CHOOSE(CONTROL!$C$9, $D$9, 100%, $F$9) + CHOOSE(CONTROL!$C$27, 0.0021, 0)</f>
        <v>101.8211</v>
      </c>
      <c r="H1051" s="10">
        <f>101.6843 * CHOOSE(CONTROL!$C$9, $D$9, 100%, $F$9) + CHOOSE(CONTROL!$C$27, 0.0021, 0)</f>
        <v>101.68639999999999</v>
      </c>
      <c r="I1051" s="10">
        <f>101.6843 * CHOOSE(CONTROL!$C$9, $D$9, 100%, $F$9) + CHOOSE(CONTROL!$C$27, 0.0021, 0)</f>
        <v>101.68639999999999</v>
      </c>
      <c r="J1051" s="10">
        <f>101.6843 * CHOOSE(CONTROL!$C$9, $D$9, 100%, $F$9) + CHOOSE(CONTROL!$C$27, 0.0021, 0)</f>
        <v>101.68639999999999</v>
      </c>
      <c r="K1051" s="10">
        <f>101.6843 * CHOOSE(CONTROL!$C$9, $D$9, 100%, $F$9) + CHOOSE(CONTROL!$C$27, 0.0021, 0)</f>
        <v>101.68639999999999</v>
      </c>
      <c r="L1051" s="10"/>
    </row>
    <row r="1052" spans="1:12" ht="15.75" x14ac:dyDescent="0.25">
      <c r="A1052" s="13">
        <v>73323</v>
      </c>
      <c r="B1052" s="10">
        <f>104.1465 * CHOOSE(CONTROL!$C$9, $D$9, 100%, $F$9) + CHOOSE(CONTROL!$C$27, 0.0021, 0)</f>
        <v>104.1486</v>
      </c>
      <c r="C1052" s="10">
        <f>103.7143 * CHOOSE(CONTROL!$C$9, $D$9, 100%, $F$9) + CHOOSE(CONTROL!$C$27, 0.0021, 0)</f>
        <v>103.71639999999999</v>
      </c>
      <c r="D1052" s="10">
        <f>103.7143 * CHOOSE(CONTROL!$C$9, $D$9, 100%, $F$9) + CHOOSE(CONTROL!$C$27, 0.0021, 0)</f>
        <v>103.71639999999999</v>
      </c>
      <c r="E1052" s="10">
        <f>103.5776 * CHOOSE(CONTROL!$C$9, $D$9, 100%, $F$9) + CHOOSE(CONTROL!$C$27, 0.0021, 0)</f>
        <v>103.5797</v>
      </c>
      <c r="F1052" s="10">
        <f>103.5776 * CHOOSE(CONTROL!$C$9, $D$9, 100%, $F$9) + CHOOSE(CONTROL!$C$27, 0.0021, 0)</f>
        <v>103.5797</v>
      </c>
      <c r="G1052" s="10">
        <f>103.849 * CHOOSE(CONTROL!$C$9, $D$9, 100%, $F$9) + CHOOSE(CONTROL!$C$27, 0.0021, 0)</f>
        <v>103.8511</v>
      </c>
      <c r="H1052" s="10">
        <f>103.7143 * CHOOSE(CONTROL!$C$9, $D$9, 100%, $F$9) + CHOOSE(CONTROL!$C$27, 0.0021, 0)</f>
        <v>103.71639999999999</v>
      </c>
      <c r="I1052" s="10">
        <f>103.7143 * CHOOSE(CONTROL!$C$9, $D$9, 100%, $F$9) + CHOOSE(CONTROL!$C$27, 0.0021, 0)</f>
        <v>103.71639999999999</v>
      </c>
      <c r="J1052" s="10">
        <f>103.7143 * CHOOSE(CONTROL!$C$9, $D$9, 100%, $F$9) + CHOOSE(CONTROL!$C$27, 0.0021, 0)</f>
        <v>103.71639999999999</v>
      </c>
      <c r="K1052" s="10">
        <f>103.7143 * CHOOSE(CONTROL!$C$9, $D$9, 100%, $F$9) + CHOOSE(CONTROL!$C$27, 0.0021, 0)</f>
        <v>103.71639999999999</v>
      </c>
      <c r="L1052" s="10"/>
    </row>
    <row r="1053" spans="1:12" ht="15.75" x14ac:dyDescent="0.25">
      <c r="A1053" s="13">
        <v>73354</v>
      </c>
      <c r="B1053" s="10">
        <f>106.716 * CHOOSE(CONTROL!$C$9, $D$9, 100%, $F$9) + CHOOSE(CONTROL!$C$27, 0.0021, 0)</f>
        <v>106.71809999999999</v>
      </c>
      <c r="C1053" s="10">
        <f>106.2838 * CHOOSE(CONTROL!$C$9, $D$9, 100%, $F$9) + CHOOSE(CONTROL!$C$27, 0.0021, 0)</f>
        <v>106.2859</v>
      </c>
      <c r="D1053" s="10">
        <f>106.2838 * CHOOSE(CONTROL!$C$9, $D$9, 100%, $F$9) + CHOOSE(CONTROL!$C$27, 0.0021, 0)</f>
        <v>106.2859</v>
      </c>
      <c r="E1053" s="10">
        <f>106.1471 * CHOOSE(CONTROL!$C$9, $D$9, 100%, $F$9) + CHOOSE(CONTROL!$C$27, 0.0021, 0)</f>
        <v>106.14919999999999</v>
      </c>
      <c r="F1053" s="10">
        <f>106.1471 * CHOOSE(CONTROL!$C$9, $D$9, 100%, $F$9) + CHOOSE(CONTROL!$C$27, 0.0021, 0)</f>
        <v>106.14919999999999</v>
      </c>
      <c r="G1053" s="10">
        <f>106.4185 * CHOOSE(CONTROL!$C$9, $D$9, 100%, $F$9) + CHOOSE(CONTROL!$C$27, 0.0021, 0)</f>
        <v>106.42059999999999</v>
      </c>
      <c r="H1053" s="10">
        <f>106.2838 * CHOOSE(CONTROL!$C$9, $D$9, 100%, $F$9) + CHOOSE(CONTROL!$C$27, 0.0021, 0)</f>
        <v>106.2859</v>
      </c>
      <c r="I1053" s="10">
        <f>106.2838 * CHOOSE(CONTROL!$C$9, $D$9, 100%, $F$9) + CHOOSE(CONTROL!$C$27, 0.0021, 0)</f>
        <v>106.2859</v>
      </c>
      <c r="J1053" s="10">
        <f>106.2838 * CHOOSE(CONTROL!$C$9, $D$9, 100%, $F$9) + CHOOSE(CONTROL!$C$27, 0.0021, 0)</f>
        <v>106.2859</v>
      </c>
      <c r="K1053" s="10">
        <f>106.2838 * CHOOSE(CONTROL!$C$9, $D$9, 100%, $F$9) + CHOOSE(CONTROL!$C$27, 0.0021, 0)</f>
        <v>106.2859</v>
      </c>
      <c r="L1053" s="10"/>
    </row>
    <row r="1054" spans="1:12" ht="15.75" x14ac:dyDescent="0.25">
      <c r="A1054" s="13">
        <v>73384</v>
      </c>
      <c r="B1054" s="10">
        <f>106.9573 * CHOOSE(CONTROL!$C$9, $D$9, 100%, $F$9) + CHOOSE(CONTROL!$C$27, 0.0021, 0)</f>
        <v>106.9594</v>
      </c>
      <c r="C1054" s="10">
        <f>106.525 * CHOOSE(CONTROL!$C$9, $D$9, 100%, $F$9) + CHOOSE(CONTROL!$C$27, 0.0021, 0)</f>
        <v>106.5271</v>
      </c>
      <c r="D1054" s="10">
        <f>106.525 * CHOOSE(CONTROL!$C$9, $D$9, 100%, $F$9) + CHOOSE(CONTROL!$C$27, 0.0021, 0)</f>
        <v>106.5271</v>
      </c>
      <c r="E1054" s="10">
        <f>106.3883 * CHOOSE(CONTROL!$C$9, $D$9, 100%, $F$9) + CHOOSE(CONTROL!$C$27, 0.0021, 0)</f>
        <v>106.3904</v>
      </c>
      <c r="F1054" s="10">
        <f>106.3883 * CHOOSE(CONTROL!$C$9, $D$9, 100%, $F$9) + CHOOSE(CONTROL!$C$27, 0.0021, 0)</f>
        <v>106.3904</v>
      </c>
      <c r="G1054" s="10">
        <f>106.6597 * CHOOSE(CONTROL!$C$9, $D$9, 100%, $F$9) + CHOOSE(CONTROL!$C$27, 0.0021, 0)</f>
        <v>106.6618</v>
      </c>
      <c r="H1054" s="10">
        <f>106.525 * CHOOSE(CONTROL!$C$9, $D$9, 100%, $F$9) + CHOOSE(CONTROL!$C$27, 0.0021, 0)</f>
        <v>106.5271</v>
      </c>
      <c r="I1054" s="10">
        <f>106.525 * CHOOSE(CONTROL!$C$9, $D$9, 100%, $F$9) + CHOOSE(CONTROL!$C$27, 0.0021, 0)</f>
        <v>106.5271</v>
      </c>
      <c r="J1054" s="10">
        <f>106.525 * CHOOSE(CONTROL!$C$9, $D$9, 100%, $F$9) + CHOOSE(CONTROL!$C$27, 0.0021, 0)</f>
        <v>106.5271</v>
      </c>
      <c r="K1054" s="10">
        <f>106.525 * CHOOSE(CONTROL!$C$9, $D$9, 100%, $F$9) + CHOOSE(CONTROL!$C$27, 0.0021, 0)</f>
        <v>106.5271</v>
      </c>
      <c r="L1054" s="10"/>
    </row>
    <row r="1055" spans="1:12" ht="15.75" x14ac:dyDescent="0.25">
      <c r="A1055" s="13">
        <v>73415</v>
      </c>
      <c r="B1055" s="10">
        <f>104.905 * CHOOSE(CONTROL!$C$9, $D$9, 100%, $F$9) + CHOOSE(CONTROL!$C$27, 0.0021, 0)</f>
        <v>104.9071</v>
      </c>
      <c r="C1055" s="10">
        <f>104.4728 * CHOOSE(CONTROL!$C$9, $D$9, 100%, $F$9) + CHOOSE(CONTROL!$C$27, 0.0021, 0)</f>
        <v>104.47490000000001</v>
      </c>
      <c r="D1055" s="10">
        <f>104.4728 * CHOOSE(CONTROL!$C$9, $D$9, 100%, $F$9) + CHOOSE(CONTROL!$C$27, 0.0021, 0)</f>
        <v>104.47490000000001</v>
      </c>
      <c r="E1055" s="10">
        <f>104.3361 * CHOOSE(CONTROL!$C$9, $D$9, 100%, $F$9) + CHOOSE(CONTROL!$C$27, 0.0021, 0)</f>
        <v>104.3382</v>
      </c>
      <c r="F1055" s="10">
        <f>104.3361 * CHOOSE(CONTROL!$C$9, $D$9, 100%, $F$9) + CHOOSE(CONTROL!$C$27, 0.0021, 0)</f>
        <v>104.3382</v>
      </c>
      <c r="G1055" s="10">
        <f>104.6075 * CHOOSE(CONTROL!$C$9, $D$9, 100%, $F$9) + CHOOSE(CONTROL!$C$27, 0.0021, 0)</f>
        <v>104.6096</v>
      </c>
      <c r="H1055" s="10">
        <f>104.4728 * CHOOSE(CONTROL!$C$9, $D$9, 100%, $F$9) + CHOOSE(CONTROL!$C$27, 0.0021, 0)</f>
        <v>104.47490000000001</v>
      </c>
      <c r="I1055" s="10">
        <f>104.4728 * CHOOSE(CONTROL!$C$9, $D$9, 100%, $F$9) + CHOOSE(CONTROL!$C$27, 0.0021, 0)</f>
        <v>104.47490000000001</v>
      </c>
      <c r="J1055" s="10">
        <f>104.4728 * CHOOSE(CONTROL!$C$9, $D$9, 100%, $F$9) + CHOOSE(CONTROL!$C$27, 0.0021, 0)</f>
        <v>104.47490000000001</v>
      </c>
      <c r="K1055" s="10">
        <f>104.4728 * CHOOSE(CONTROL!$C$9, $D$9, 100%, $F$9) + CHOOSE(CONTROL!$C$27, 0.0021, 0)</f>
        <v>104.47490000000001</v>
      </c>
      <c r="L1055" s="10"/>
    </row>
    <row r="1056" spans="1:12" ht="15" x14ac:dyDescent="0.2">
      <c r="A1056" s="12"/>
      <c r="B1056" s="10"/>
      <c r="C1056" s="10"/>
      <c r="D1056" s="10"/>
      <c r="E1056" s="10"/>
      <c r="F1056" s="10"/>
      <c r="G1056" s="10"/>
      <c r="H1056" s="10"/>
      <c r="I1056" s="10"/>
      <c r="L1056" s="10"/>
    </row>
    <row r="1057" spans="1:12" ht="15" x14ac:dyDescent="0.2">
      <c r="A1057" s="11">
        <v>2014</v>
      </c>
      <c r="B1057" s="10">
        <f>AVERAGE(B12:B23)</f>
        <v>23.470223327615784</v>
      </c>
      <c r="C1057" s="10">
        <f>AVERAGE(C12:C23)</f>
        <v>23.037982161234989</v>
      </c>
      <c r="D1057" s="10"/>
      <c r="E1057" s="10">
        <f t="shared" ref="E1057:K1057" si="0">AVERAGE(E12:E23)</f>
        <v>22.901322412807314</v>
      </c>
      <c r="F1057" s="10">
        <f t="shared" si="0"/>
        <v>22.901322412807314</v>
      </c>
      <c r="G1057" s="10">
        <f t="shared" si="0"/>
        <v>23.172693324756995</v>
      </c>
      <c r="H1057" s="10">
        <f t="shared" si="0"/>
        <v>23.037982161234989</v>
      </c>
      <c r="I1057" s="10">
        <f t="shared" si="0"/>
        <v>23.037982161234989</v>
      </c>
      <c r="J1057" s="10">
        <f t="shared" si="0"/>
        <v>22.677772855917667</v>
      </c>
      <c r="K1057" s="10">
        <f t="shared" si="0"/>
        <v>23.037982161234989</v>
      </c>
      <c r="L1057" s="10"/>
    </row>
    <row r="1058" spans="1:12" ht="15" x14ac:dyDescent="0.2">
      <c r="A1058" s="11">
        <v>2015</v>
      </c>
      <c r="B1058" s="10">
        <f>AVERAGE(B24:B35)</f>
        <v>22.429108333333335</v>
      </c>
      <c r="C1058" s="10">
        <f>AVERAGE(C24:C35)</f>
        <v>21.996874999999992</v>
      </c>
      <c r="D1058" s="10"/>
      <c r="E1058" s="10">
        <f t="shared" ref="E1058:K1058" si="1">AVERAGE(E24:E35)</f>
        <v>21.860199999999995</v>
      </c>
      <c r="F1058" s="10">
        <f t="shared" si="1"/>
        <v>21.860199999999995</v>
      </c>
      <c r="G1058" s="10">
        <f t="shared" si="1"/>
        <v>22.131591666666665</v>
      </c>
      <c r="H1058" s="10">
        <f t="shared" si="1"/>
        <v>21.996874999999992</v>
      </c>
      <c r="I1058" s="10">
        <f t="shared" si="1"/>
        <v>21.996874999999992</v>
      </c>
      <c r="J1058" s="10">
        <f t="shared" si="1"/>
        <v>21.996874999999992</v>
      </c>
      <c r="K1058" s="10">
        <f t="shared" si="1"/>
        <v>21.996874999999992</v>
      </c>
      <c r="L1058" s="10"/>
    </row>
    <row r="1059" spans="1:12" ht="15" x14ac:dyDescent="0.2">
      <c r="A1059" s="11">
        <v>2016</v>
      </c>
      <c r="B1059" s="10">
        <f>AVERAGE(B36:B47)</f>
        <v>21.620458333333332</v>
      </c>
      <c r="C1059" s="10">
        <f>AVERAGE(C36:C47)</f>
        <v>21.188208333333332</v>
      </c>
      <c r="D1059" s="10"/>
      <c r="E1059" s="10">
        <f t="shared" ref="E1059:K1059" si="2">AVERAGE(E36:E47)</f>
        <v>21.051550000000002</v>
      </c>
      <c r="F1059" s="10">
        <f t="shared" si="2"/>
        <v>21.051550000000002</v>
      </c>
      <c r="G1059" s="10">
        <f t="shared" si="2"/>
        <v>21.322925000000001</v>
      </c>
      <c r="H1059" s="10">
        <f t="shared" si="2"/>
        <v>21.188208333333332</v>
      </c>
      <c r="I1059" s="10">
        <f t="shared" si="2"/>
        <v>21.188208333333332</v>
      </c>
      <c r="J1059" s="10">
        <f t="shared" si="2"/>
        <v>21.188208333333332</v>
      </c>
      <c r="K1059" s="10">
        <f t="shared" si="2"/>
        <v>21.188208333333332</v>
      </c>
      <c r="L1059" s="10"/>
    </row>
    <row r="1060" spans="1:12" ht="15" x14ac:dyDescent="0.2">
      <c r="A1060" s="11">
        <v>2017</v>
      </c>
      <c r="B1060" s="10">
        <f>AVERAGE(B48:B59)</f>
        <v>21.685124999999999</v>
      </c>
      <c r="C1060" s="10">
        <f>AVERAGE(C48:C59)</f>
        <v>21.252858333333336</v>
      </c>
      <c r="D1060" s="10"/>
      <c r="E1060" s="10">
        <f t="shared" ref="E1060:K1060" si="3">AVERAGE(E48:E59)</f>
        <v>21.116224999999996</v>
      </c>
      <c r="F1060" s="10">
        <f t="shared" si="3"/>
        <v>21.116224999999996</v>
      </c>
      <c r="G1060" s="10">
        <f t="shared" si="3"/>
        <v>21.387591666666665</v>
      </c>
      <c r="H1060" s="10">
        <f t="shared" si="3"/>
        <v>21.252858333333336</v>
      </c>
      <c r="I1060" s="10">
        <f t="shared" si="3"/>
        <v>21.252858333333336</v>
      </c>
      <c r="J1060" s="10">
        <f t="shared" si="3"/>
        <v>21.252858333333336</v>
      </c>
      <c r="K1060" s="10">
        <f t="shared" si="3"/>
        <v>21.252858333333336</v>
      </c>
      <c r="L1060" s="10"/>
    </row>
    <row r="1061" spans="1:12" ht="15" x14ac:dyDescent="0.2">
      <c r="A1061" s="11">
        <v>2018</v>
      </c>
      <c r="B1061" s="10">
        <f>AVERAGE(B60:B71)</f>
        <v>22.314908333333332</v>
      </c>
      <c r="C1061" s="10">
        <f>AVERAGE(C60:C71)</f>
        <v>21.882683333333329</v>
      </c>
      <c r="D1061" s="10"/>
      <c r="E1061" s="10">
        <f t="shared" ref="E1061:K1061" si="4">AVERAGE(E60:E71)</f>
        <v>21.746008333333336</v>
      </c>
      <c r="F1061" s="10">
        <f t="shared" si="4"/>
        <v>21.746008333333336</v>
      </c>
      <c r="G1061" s="10">
        <f t="shared" si="4"/>
        <v>22.017408333333336</v>
      </c>
      <c r="H1061" s="10">
        <f t="shared" si="4"/>
        <v>21.882683333333329</v>
      </c>
      <c r="I1061" s="10">
        <f t="shared" si="4"/>
        <v>21.882683333333329</v>
      </c>
      <c r="J1061" s="10">
        <f t="shared" si="4"/>
        <v>21.882683333333329</v>
      </c>
      <c r="K1061" s="10">
        <f t="shared" si="4"/>
        <v>21.882683333333329</v>
      </c>
      <c r="L1061" s="10"/>
    </row>
    <row r="1062" spans="1:12" ht="15" x14ac:dyDescent="0.2">
      <c r="A1062" s="11">
        <v>2019</v>
      </c>
      <c r="B1062" s="10">
        <f>AVERAGE(B72:B83)</f>
        <v>24.076591666666662</v>
      </c>
      <c r="C1062" s="10">
        <f>AVERAGE(C72:C83)</f>
        <v>23.644333333333332</v>
      </c>
      <c r="D1062" s="10"/>
      <c r="E1062" s="10">
        <f t="shared" ref="E1062:K1062" si="5">AVERAGE(E72:E83)</f>
        <v>23.507683333333333</v>
      </c>
      <c r="F1062" s="10">
        <f t="shared" si="5"/>
        <v>23.507683333333333</v>
      </c>
      <c r="G1062" s="10">
        <f t="shared" si="5"/>
        <v>23.779058333333328</v>
      </c>
      <c r="H1062" s="10">
        <f t="shared" si="5"/>
        <v>23.644333333333332</v>
      </c>
      <c r="I1062" s="10">
        <f t="shared" si="5"/>
        <v>23.644333333333332</v>
      </c>
      <c r="J1062" s="10">
        <f t="shared" si="5"/>
        <v>23.644333333333332</v>
      </c>
      <c r="K1062" s="10">
        <f t="shared" si="5"/>
        <v>23.644333333333332</v>
      </c>
      <c r="L1062" s="10"/>
    </row>
    <row r="1063" spans="1:12" ht="15" x14ac:dyDescent="0.2">
      <c r="A1063" s="11">
        <v>2020</v>
      </c>
      <c r="B1063" s="10">
        <f>AVERAGE(B84:B95)</f>
        <v>25.069725000000002</v>
      </c>
      <c r="C1063" s="10">
        <f>AVERAGE(C84:C95)</f>
        <v>24.637483333333336</v>
      </c>
      <c r="D1063" s="10"/>
      <c r="E1063" s="10">
        <f t="shared" ref="E1063:K1063" si="6">AVERAGE(E84:E95)</f>
        <v>24.500816666666665</v>
      </c>
      <c r="F1063" s="10">
        <f t="shared" si="6"/>
        <v>24.500816666666665</v>
      </c>
      <c r="G1063" s="10">
        <f t="shared" si="6"/>
        <v>24.772191666666668</v>
      </c>
      <c r="H1063" s="10">
        <f t="shared" si="6"/>
        <v>24.637483333333336</v>
      </c>
      <c r="I1063" s="10">
        <f t="shared" si="6"/>
        <v>24.637483333333336</v>
      </c>
      <c r="J1063" s="10">
        <f t="shared" si="6"/>
        <v>24.637483333333336</v>
      </c>
      <c r="K1063" s="10">
        <f t="shared" si="6"/>
        <v>24.637483333333336</v>
      </c>
      <c r="L1063" s="10"/>
    </row>
    <row r="1064" spans="1:12" ht="15" x14ac:dyDescent="0.2">
      <c r="A1064" s="11">
        <v>2021</v>
      </c>
      <c r="B1064" s="10">
        <f>AVERAGE(B96:B107)</f>
        <v>26.076583333333335</v>
      </c>
      <c r="C1064" s="10">
        <f>AVERAGE(C96:C107)</f>
        <v>25.644333333333332</v>
      </c>
      <c r="D1064" s="10"/>
      <c r="E1064" s="10">
        <f t="shared" ref="E1064:K1064" si="7">AVERAGE(E96:E107)</f>
        <v>25.507683333333333</v>
      </c>
      <c r="F1064" s="10">
        <f t="shared" si="7"/>
        <v>25.507683333333333</v>
      </c>
      <c r="G1064" s="10">
        <f t="shared" si="7"/>
        <v>25.779066666666665</v>
      </c>
      <c r="H1064" s="10">
        <f t="shared" si="7"/>
        <v>25.644333333333332</v>
      </c>
      <c r="I1064" s="10">
        <f t="shared" si="7"/>
        <v>25.644333333333332</v>
      </c>
      <c r="J1064" s="10">
        <f t="shared" si="7"/>
        <v>25.644333333333332</v>
      </c>
      <c r="K1064" s="10">
        <f t="shared" si="7"/>
        <v>25.644333333333332</v>
      </c>
      <c r="L1064" s="10"/>
    </row>
    <row r="1065" spans="1:12" ht="15" x14ac:dyDescent="0.2">
      <c r="A1065" s="11">
        <v>2022</v>
      </c>
      <c r="B1065" s="10">
        <f>AVERAGE(B108:B119)</f>
        <v>27.232683333333327</v>
      </c>
      <c r="C1065" s="10">
        <f>AVERAGE(C108:C119)</f>
        <v>26.800433333333331</v>
      </c>
      <c r="D1065" s="10"/>
      <c r="E1065" s="10">
        <f t="shared" ref="E1065:K1065" si="8">AVERAGE(E108:E119)</f>
        <v>26.663775000000001</v>
      </c>
      <c r="F1065" s="10">
        <f t="shared" si="8"/>
        <v>26.663775000000001</v>
      </c>
      <c r="G1065" s="10">
        <f t="shared" si="8"/>
        <v>26.935150000000004</v>
      </c>
      <c r="H1065" s="10">
        <f t="shared" si="8"/>
        <v>26.800433333333331</v>
      </c>
      <c r="I1065" s="10">
        <f t="shared" si="8"/>
        <v>26.800433333333331</v>
      </c>
      <c r="J1065" s="10">
        <f t="shared" si="8"/>
        <v>26.800433333333331</v>
      </c>
      <c r="K1065" s="10">
        <f t="shared" si="8"/>
        <v>26.800433333333331</v>
      </c>
      <c r="L1065" s="10"/>
    </row>
    <row r="1066" spans="1:12" ht="15" x14ac:dyDescent="0.2">
      <c r="A1066" s="11">
        <v>2023</v>
      </c>
      <c r="B1066" s="10">
        <f>AVERAGE(B120:B131)</f>
        <v>28.320150000000002</v>
      </c>
      <c r="C1066" s="10">
        <f>AVERAGE(C120:C131)</f>
        <v>27.887908333333328</v>
      </c>
      <c r="D1066" s="10"/>
      <c r="E1066" s="10">
        <f t="shared" ref="E1066:K1066" si="9">AVERAGE(E120:E131)</f>
        <v>27.751241666666662</v>
      </c>
      <c r="F1066" s="10">
        <f t="shared" si="9"/>
        <v>27.751241666666662</v>
      </c>
      <c r="G1066" s="10">
        <f t="shared" si="9"/>
        <v>28.022625000000001</v>
      </c>
      <c r="H1066" s="10">
        <f t="shared" si="9"/>
        <v>27.887908333333328</v>
      </c>
      <c r="I1066" s="10">
        <f t="shared" si="9"/>
        <v>27.887908333333328</v>
      </c>
      <c r="J1066" s="10">
        <f t="shared" si="9"/>
        <v>27.887908333333328</v>
      </c>
      <c r="K1066" s="10">
        <f t="shared" si="9"/>
        <v>27.887908333333328</v>
      </c>
      <c r="L1066" s="10"/>
    </row>
    <row r="1067" spans="1:12" ht="15" x14ac:dyDescent="0.2">
      <c r="A1067" s="11">
        <v>2024</v>
      </c>
      <c r="B1067" s="10">
        <f>AVERAGE(B132:B143)</f>
        <v>29.352733333333333</v>
      </c>
      <c r="C1067" s="10">
        <f>AVERAGE(C132:C143)</f>
        <v>28.920491666666663</v>
      </c>
      <c r="D1067" s="10"/>
      <c r="E1067" s="10">
        <f t="shared" ref="E1067:K1067" si="10">AVERAGE(E132:E143)</f>
        <v>28.78383333333333</v>
      </c>
      <c r="F1067" s="10">
        <f t="shared" si="10"/>
        <v>28.78383333333333</v>
      </c>
      <c r="G1067" s="10">
        <f t="shared" si="10"/>
        <v>29.055199999999996</v>
      </c>
      <c r="H1067" s="10">
        <f t="shared" si="10"/>
        <v>28.920491666666663</v>
      </c>
      <c r="I1067" s="10">
        <f t="shared" si="10"/>
        <v>28.920491666666663</v>
      </c>
      <c r="J1067" s="10">
        <f t="shared" si="10"/>
        <v>28.920491666666663</v>
      </c>
      <c r="K1067" s="10">
        <f t="shared" si="10"/>
        <v>28.920491666666663</v>
      </c>
      <c r="L1067" s="10"/>
    </row>
    <row r="1068" spans="1:12" ht="15" x14ac:dyDescent="0.2">
      <c r="A1068" s="11">
        <v>2025</v>
      </c>
      <c r="B1068" s="10">
        <f>AVERAGE(B144:B155)</f>
        <v>30.337299999999999</v>
      </c>
      <c r="C1068" s="10">
        <f>AVERAGE(C144:C155)</f>
        <v>29.905058333333329</v>
      </c>
      <c r="D1068" s="10"/>
      <c r="E1068" s="10">
        <f t="shared" ref="E1068:K1068" si="11">AVERAGE(E144:E155)</f>
        <v>29.768399999999996</v>
      </c>
      <c r="F1068" s="10">
        <f t="shared" si="11"/>
        <v>29.768399999999996</v>
      </c>
      <c r="G1068" s="10">
        <f t="shared" si="11"/>
        <v>30.039791666666662</v>
      </c>
      <c r="H1068" s="10">
        <f t="shared" si="11"/>
        <v>29.905058333333329</v>
      </c>
      <c r="I1068" s="10">
        <f t="shared" si="11"/>
        <v>29.905058333333329</v>
      </c>
      <c r="J1068" s="10">
        <f t="shared" si="11"/>
        <v>29.905058333333329</v>
      </c>
      <c r="K1068" s="10">
        <f t="shared" si="11"/>
        <v>29.905058333333329</v>
      </c>
      <c r="L1068" s="10"/>
    </row>
    <row r="1069" spans="1:12" ht="15" x14ac:dyDescent="0.2">
      <c r="A1069" s="11">
        <v>2026</v>
      </c>
      <c r="B1069" s="10">
        <f>AVERAGE(B156:B167)</f>
        <v>31.311575000000001</v>
      </c>
      <c r="C1069" s="10">
        <f>AVERAGE(C156:C167)</f>
        <v>30.879324999999994</v>
      </c>
      <c r="D1069" s="10"/>
      <c r="E1069" s="10">
        <f t="shared" ref="E1069:K1069" si="12">AVERAGE(E156:E167)</f>
        <v>30.742674999999995</v>
      </c>
      <c r="F1069" s="10">
        <f t="shared" si="12"/>
        <v>30.742674999999995</v>
      </c>
      <c r="G1069" s="10">
        <f t="shared" si="12"/>
        <v>31.01404166666666</v>
      </c>
      <c r="H1069" s="10">
        <f t="shared" si="12"/>
        <v>30.879324999999994</v>
      </c>
      <c r="I1069" s="10">
        <f t="shared" si="12"/>
        <v>30.879324999999994</v>
      </c>
      <c r="J1069" s="10">
        <f t="shared" si="12"/>
        <v>30.879324999999994</v>
      </c>
      <c r="K1069" s="10">
        <f t="shared" si="12"/>
        <v>30.879324999999994</v>
      </c>
      <c r="L1069" s="10"/>
    </row>
    <row r="1070" spans="1:12" ht="15" x14ac:dyDescent="0.2">
      <c r="A1070" s="11">
        <v>2027</v>
      </c>
      <c r="B1070" s="10">
        <f>AVERAGE(B168:B179)</f>
        <v>32.325283333333331</v>
      </c>
      <c r="C1070" s="10">
        <f>AVERAGE(C168:C179)</f>
        <v>31.893041666666662</v>
      </c>
      <c r="D1070" s="10"/>
      <c r="E1070" s="10">
        <f t="shared" ref="E1070:K1070" si="13">AVERAGE(E168:E179)</f>
        <v>31.756383333333332</v>
      </c>
      <c r="F1070" s="10">
        <f t="shared" si="13"/>
        <v>31.756383333333332</v>
      </c>
      <c r="G1070" s="10">
        <f t="shared" si="13"/>
        <v>32.027758333333338</v>
      </c>
      <c r="H1070" s="10">
        <f t="shared" si="13"/>
        <v>31.893041666666662</v>
      </c>
      <c r="I1070" s="10">
        <f t="shared" si="13"/>
        <v>31.893041666666662</v>
      </c>
      <c r="J1070" s="10">
        <f t="shared" si="13"/>
        <v>31.893041666666662</v>
      </c>
      <c r="K1070" s="10">
        <f t="shared" si="13"/>
        <v>31.893041666666662</v>
      </c>
      <c r="L1070" s="10"/>
    </row>
    <row r="1071" spans="1:12" ht="15" x14ac:dyDescent="0.2">
      <c r="A1071" s="11">
        <v>2028</v>
      </c>
      <c r="B1071" s="10">
        <f>AVERAGE(B180:B191)</f>
        <v>33.376749999999994</v>
      </c>
      <c r="C1071" s="10">
        <f>AVERAGE(C180:C191)</f>
        <v>32.944524999999999</v>
      </c>
      <c r="D1071" s="10"/>
      <c r="E1071" s="10">
        <f t="shared" ref="E1071:K1071" si="14">AVERAGE(E180:E191)</f>
        <v>32.807841666666668</v>
      </c>
      <c r="F1071" s="10">
        <f t="shared" si="14"/>
        <v>32.807841666666668</v>
      </c>
      <c r="G1071" s="10">
        <f t="shared" si="14"/>
        <v>33.079233333333335</v>
      </c>
      <c r="H1071" s="10">
        <f t="shared" si="14"/>
        <v>32.944524999999999</v>
      </c>
      <c r="I1071" s="10">
        <f t="shared" si="14"/>
        <v>32.944524999999999</v>
      </c>
      <c r="J1071" s="10">
        <f t="shared" si="14"/>
        <v>32.944524999999999</v>
      </c>
      <c r="K1071" s="10">
        <f t="shared" si="14"/>
        <v>32.944524999999999</v>
      </c>
      <c r="L1071" s="10"/>
    </row>
    <row r="1072" spans="1:12" ht="15" x14ac:dyDescent="0.2">
      <c r="A1072" s="11">
        <v>2029</v>
      </c>
      <c r="B1072" s="10">
        <f>AVERAGE(B192:B203)</f>
        <v>34.486525</v>
      </c>
      <c r="C1072" s="10">
        <f>AVERAGE(C192:C203)</f>
        <v>34.054274999999997</v>
      </c>
      <c r="D1072" s="10"/>
      <c r="E1072" s="10">
        <f t="shared" ref="E1072:K1072" si="15">AVERAGE(E192:E203)</f>
        <v>33.917624999999994</v>
      </c>
      <c r="F1072" s="10">
        <f t="shared" si="15"/>
        <v>33.917624999999994</v>
      </c>
      <c r="G1072" s="10">
        <f t="shared" si="15"/>
        <v>34.189008333333327</v>
      </c>
      <c r="H1072" s="10">
        <f t="shared" si="15"/>
        <v>34.054274999999997</v>
      </c>
      <c r="I1072" s="10">
        <f t="shared" si="15"/>
        <v>34.054274999999997</v>
      </c>
      <c r="J1072" s="10">
        <f t="shared" si="15"/>
        <v>34.054274999999997</v>
      </c>
      <c r="K1072" s="10">
        <f t="shared" si="15"/>
        <v>34.054274999999997</v>
      </c>
      <c r="L1072" s="10"/>
    </row>
    <row r="1073" spans="1:12" ht="15" x14ac:dyDescent="0.2">
      <c r="A1073" s="11">
        <v>2030</v>
      </c>
      <c r="B1073" s="10">
        <f>AVERAGE(B204:B215)</f>
        <v>35.611733333333326</v>
      </c>
      <c r="C1073" s="10">
        <f>AVERAGE(C204:C215)</f>
        <v>35.179491666666664</v>
      </c>
      <c r="D1073" s="10"/>
      <c r="E1073" s="10">
        <f t="shared" ref="E1073:K1073" si="16">AVERAGE(E204:E215)</f>
        <v>35.042833333333327</v>
      </c>
      <c r="F1073" s="10">
        <f t="shared" si="16"/>
        <v>35.042833333333327</v>
      </c>
      <c r="G1073" s="10">
        <f t="shared" si="16"/>
        <v>35.314216666666667</v>
      </c>
      <c r="H1073" s="10">
        <f t="shared" si="16"/>
        <v>35.179491666666664</v>
      </c>
      <c r="I1073" s="10">
        <f t="shared" si="16"/>
        <v>35.179491666666664</v>
      </c>
      <c r="J1073" s="10">
        <f t="shared" si="16"/>
        <v>35.179491666666664</v>
      </c>
      <c r="K1073" s="10">
        <f t="shared" si="16"/>
        <v>35.179491666666664</v>
      </c>
      <c r="L1073" s="10"/>
    </row>
    <row r="1074" spans="1:12" ht="15" x14ac:dyDescent="0.2">
      <c r="A1074" s="11">
        <v>2031</v>
      </c>
      <c r="B1074" s="10">
        <f>AVERAGE(B216:B227)</f>
        <v>36.135666666666665</v>
      </c>
      <c r="C1074" s="10">
        <f>AVERAGE(C216:C227)</f>
        <v>35.703400000000002</v>
      </c>
      <c r="D1074" s="10"/>
      <c r="E1074" s="10">
        <f t="shared" ref="E1074:K1074" si="17">AVERAGE(E216:E227)</f>
        <v>35.566758333333333</v>
      </c>
      <c r="F1074" s="10">
        <f t="shared" si="17"/>
        <v>35.566758333333333</v>
      </c>
      <c r="G1074" s="10">
        <f t="shared" si="17"/>
        <v>35.838099999999997</v>
      </c>
      <c r="H1074" s="10">
        <f t="shared" si="17"/>
        <v>35.703400000000002</v>
      </c>
      <c r="I1074" s="10">
        <f t="shared" si="17"/>
        <v>35.703400000000002</v>
      </c>
      <c r="J1074" s="10">
        <f t="shared" si="17"/>
        <v>35.703400000000002</v>
      </c>
      <c r="K1074" s="10">
        <f t="shared" si="17"/>
        <v>35.703400000000002</v>
      </c>
      <c r="L1074" s="10"/>
    </row>
    <row r="1075" spans="1:12" ht="15" x14ac:dyDescent="0.2">
      <c r="A1075" s="11">
        <v>2032</v>
      </c>
      <c r="B1075" s="10">
        <f>AVERAGE(B228:B239)</f>
        <v>36.6678</v>
      </c>
      <c r="C1075" s="10">
        <f>AVERAGE(C228:C239)</f>
        <v>36.235566666666664</v>
      </c>
      <c r="D1075" s="10"/>
      <c r="E1075" s="10">
        <f t="shared" ref="E1075:K1075" si="18">AVERAGE(E228:E239)</f>
        <v>36.098899999999993</v>
      </c>
      <c r="F1075" s="10">
        <f t="shared" si="18"/>
        <v>36.098899999999993</v>
      </c>
      <c r="G1075" s="10">
        <f t="shared" si="18"/>
        <v>36.370274999999999</v>
      </c>
      <c r="H1075" s="10">
        <f t="shared" si="18"/>
        <v>36.235566666666664</v>
      </c>
      <c r="I1075" s="10">
        <f t="shared" si="18"/>
        <v>36.235566666666664</v>
      </c>
      <c r="J1075" s="10">
        <f t="shared" si="18"/>
        <v>36.235566666666664</v>
      </c>
      <c r="K1075" s="10">
        <f t="shared" si="18"/>
        <v>36.235566666666664</v>
      </c>
      <c r="L1075" s="10"/>
    </row>
    <row r="1076" spans="1:12" ht="15" x14ac:dyDescent="0.2">
      <c r="A1076" s="11">
        <v>2033</v>
      </c>
      <c r="B1076" s="10">
        <f>AVERAGE(B240:B251)</f>
        <v>37.208316666666661</v>
      </c>
      <c r="C1076" s="10">
        <f>AVERAGE(C240:C251)</f>
        <v>36.776066666666672</v>
      </c>
      <c r="D1076" s="10"/>
      <c r="E1076" s="10">
        <f t="shared" ref="E1076:K1076" si="19">AVERAGE(E240:E251)</f>
        <v>36.639408333333328</v>
      </c>
      <c r="F1076" s="10">
        <f t="shared" si="19"/>
        <v>36.639408333333328</v>
      </c>
      <c r="G1076" s="10">
        <f t="shared" si="19"/>
        <v>36.910791666666661</v>
      </c>
      <c r="H1076" s="10">
        <f t="shared" si="19"/>
        <v>36.776066666666672</v>
      </c>
      <c r="I1076" s="10">
        <f t="shared" si="19"/>
        <v>36.776066666666672</v>
      </c>
      <c r="J1076" s="10">
        <f t="shared" si="19"/>
        <v>36.776066666666672</v>
      </c>
      <c r="K1076" s="10">
        <f t="shared" si="19"/>
        <v>36.776066666666672</v>
      </c>
      <c r="L1076" s="10"/>
    </row>
    <row r="1077" spans="1:12" ht="15" x14ac:dyDescent="0.2">
      <c r="A1077" s="11">
        <v>2034</v>
      </c>
      <c r="B1077" s="10">
        <f>AVERAGE(B252:B263)</f>
        <v>37.757341666666669</v>
      </c>
      <c r="C1077" s="10">
        <f>AVERAGE(C252:C263)</f>
        <v>37.325099999999999</v>
      </c>
      <c r="D1077" s="10"/>
      <c r="E1077" s="10">
        <f t="shared" ref="E1077:K1077" si="20">AVERAGE(E252:E263)</f>
        <v>37.188441666666662</v>
      </c>
      <c r="F1077" s="10">
        <f t="shared" si="20"/>
        <v>37.188441666666662</v>
      </c>
      <c r="G1077" s="10">
        <f t="shared" si="20"/>
        <v>37.459808333333335</v>
      </c>
      <c r="H1077" s="10">
        <f t="shared" si="20"/>
        <v>37.325099999999999</v>
      </c>
      <c r="I1077" s="10">
        <f t="shared" si="20"/>
        <v>37.325099999999999</v>
      </c>
      <c r="J1077" s="10">
        <f t="shared" si="20"/>
        <v>37.325099999999999</v>
      </c>
      <c r="K1077" s="10">
        <f t="shared" si="20"/>
        <v>37.325099999999999</v>
      </c>
      <c r="L1077" s="10"/>
    </row>
    <row r="1078" spans="1:12" ht="15" x14ac:dyDescent="0.2">
      <c r="A1078" s="11">
        <v>2035</v>
      </c>
      <c r="B1078" s="10">
        <f>AVERAGE(B264:B275)</f>
        <v>38.314991666666664</v>
      </c>
      <c r="C1078" s="10">
        <f>AVERAGE(C264:C275)</f>
        <v>37.882741666666668</v>
      </c>
      <c r="D1078" s="10"/>
      <c r="E1078" s="10">
        <f t="shared" ref="E1078:K1078" si="21">AVERAGE(E264:E275)</f>
        <v>37.746075000000005</v>
      </c>
      <c r="F1078" s="10">
        <f t="shared" si="21"/>
        <v>37.746075000000005</v>
      </c>
      <c r="G1078" s="10">
        <f t="shared" si="21"/>
        <v>38.017466666666664</v>
      </c>
      <c r="H1078" s="10">
        <f t="shared" si="21"/>
        <v>37.882741666666668</v>
      </c>
      <c r="I1078" s="10">
        <f t="shared" si="21"/>
        <v>37.882741666666668</v>
      </c>
      <c r="J1078" s="10">
        <f t="shared" si="21"/>
        <v>37.882741666666668</v>
      </c>
      <c r="K1078" s="10">
        <f t="shared" si="21"/>
        <v>37.882741666666668</v>
      </c>
      <c r="L1078" s="10"/>
    </row>
    <row r="1079" spans="1:12" ht="15" x14ac:dyDescent="0.2">
      <c r="A1079" s="11">
        <v>2036</v>
      </c>
      <c r="B1079" s="10">
        <f>AVERAGE(B276:B287)</f>
        <v>38.881408333333333</v>
      </c>
      <c r="C1079" s="10">
        <f>AVERAGE(C276:C287)</f>
        <v>38.449166666666663</v>
      </c>
      <c r="D1079" s="10"/>
      <c r="E1079" s="10">
        <f t="shared" ref="E1079:K1079" si="22">AVERAGE(E276:E287)</f>
        <v>38.312508333333334</v>
      </c>
      <c r="F1079" s="10">
        <f t="shared" si="22"/>
        <v>38.312508333333334</v>
      </c>
      <c r="G1079" s="10">
        <f t="shared" si="22"/>
        <v>38.583883333333333</v>
      </c>
      <c r="H1079" s="10">
        <f t="shared" si="22"/>
        <v>38.449166666666663</v>
      </c>
      <c r="I1079" s="10">
        <f t="shared" si="22"/>
        <v>38.449166666666663</v>
      </c>
      <c r="J1079" s="10">
        <f t="shared" si="22"/>
        <v>38.449166666666663</v>
      </c>
      <c r="K1079" s="10">
        <f t="shared" si="22"/>
        <v>38.449166666666663</v>
      </c>
      <c r="L1079" s="10"/>
    </row>
    <row r="1080" spans="1:12" ht="15" x14ac:dyDescent="0.2">
      <c r="A1080" s="11">
        <v>2037</v>
      </c>
      <c r="B1080" s="10">
        <f>AVERAGE(B288:B299)</f>
        <v>39.456741666666673</v>
      </c>
      <c r="C1080" s="10">
        <f>AVERAGE(C288:C299)</f>
        <v>39.024483333333329</v>
      </c>
      <c r="D1080" s="10"/>
      <c r="E1080" s="10">
        <f t="shared" ref="E1080:K1080" si="23">AVERAGE(E288:E299)</f>
        <v>38.887841666666667</v>
      </c>
      <c r="F1080" s="10">
        <f t="shared" si="23"/>
        <v>38.887841666666667</v>
      </c>
      <c r="G1080" s="10">
        <f t="shared" si="23"/>
        <v>39.159216666666666</v>
      </c>
      <c r="H1080" s="10">
        <f t="shared" si="23"/>
        <v>39.024483333333329</v>
      </c>
      <c r="I1080" s="10">
        <f t="shared" si="23"/>
        <v>39.024483333333329</v>
      </c>
      <c r="J1080" s="10">
        <f t="shared" si="23"/>
        <v>39.024483333333329</v>
      </c>
      <c r="K1080" s="10">
        <f t="shared" si="23"/>
        <v>39.024483333333329</v>
      </c>
      <c r="L1080" s="10"/>
    </row>
    <row r="1081" spans="1:12" ht="15" x14ac:dyDescent="0.2">
      <c r="A1081" s="11">
        <f t="shared" ref="A1081:A1112" si="24">A1080+1</f>
        <v>2038</v>
      </c>
      <c r="B1081" s="10">
        <f>AVERAGE(B300:B311)</f>
        <v>40.04111666666666</v>
      </c>
      <c r="C1081" s="10">
        <f>AVERAGE(C300:C311)</f>
        <v>39.60885833333333</v>
      </c>
      <c r="D1081" s="10"/>
      <c r="E1081" s="10">
        <f t="shared" ref="E1081:K1081" si="25">AVERAGE(E300:E311)</f>
        <v>39.472208333333334</v>
      </c>
      <c r="F1081" s="10">
        <f t="shared" si="25"/>
        <v>39.472208333333334</v>
      </c>
      <c r="G1081" s="10">
        <f t="shared" si="25"/>
        <v>39.743583333333326</v>
      </c>
      <c r="H1081" s="10">
        <f t="shared" si="25"/>
        <v>39.60885833333333</v>
      </c>
      <c r="I1081" s="10">
        <f t="shared" si="25"/>
        <v>39.60885833333333</v>
      </c>
      <c r="J1081" s="10">
        <f t="shared" si="25"/>
        <v>39.60885833333333</v>
      </c>
      <c r="K1081" s="10">
        <f t="shared" si="25"/>
        <v>39.60885833333333</v>
      </c>
      <c r="L1081" s="10"/>
    </row>
    <row r="1082" spans="1:12" ht="15" x14ac:dyDescent="0.2">
      <c r="A1082" s="11">
        <f t="shared" si="24"/>
        <v>2039</v>
      </c>
      <c r="B1082" s="10">
        <f>AVERAGE(B312:B323)</f>
        <v>40.634666666666654</v>
      </c>
      <c r="C1082" s="10">
        <f>AVERAGE(C312:C323)</f>
        <v>40.202433333333332</v>
      </c>
      <c r="D1082" s="10"/>
      <c r="E1082" s="10">
        <f t="shared" ref="E1082:K1082" si="26">AVERAGE(E312:E323)</f>
        <v>40.065766666666661</v>
      </c>
      <c r="F1082" s="10">
        <f t="shared" si="26"/>
        <v>40.065766666666661</v>
      </c>
      <c r="G1082" s="10">
        <f t="shared" si="26"/>
        <v>40.337158333333328</v>
      </c>
      <c r="H1082" s="10">
        <f t="shared" si="26"/>
        <v>40.202433333333332</v>
      </c>
      <c r="I1082" s="10">
        <f t="shared" si="26"/>
        <v>40.202433333333332</v>
      </c>
      <c r="J1082" s="10">
        <f t="shared" si="26"/>
        <v>40.202433333333332</v>
      </c>
      <c r="K1082" s="10">
        <f t="shared" si="26"/>
        <v>40.202433333333332</v>
      </c>
      <c r="L1082" s="10"/>
    </row>
    <row r="1083" spans="1:12" ht="15" x14ac:dyDescent="0.2">
      <c r="A1083" s="11">
        <f t="shared" si="24"/>
        <v>2040</v>
      </c>
      <c r="B1083" s="10">
        <f>AVERAGE(B324:B335)</f>
        <v>41.237575</v>
      </c>
      <c r="C1083" s="10">
        <f>AVERAGE(C324:C335)</f>
        <v>40.805325000000003</v>
      </c>
      <c r="D1083" s="10"/>
      <c r="E1083" s="10">
        <f t="shared" ref="E1083:K1083" si="27">AVERAGE(E324:E335)</f>
        <v>40.66866666666666</v>
      </c>
      <c r="F1083" s="10">
        <f t="shared" si="27"/>
        <v>40.66866666666666</v>
      </c>
      <c r="G1083" s="10">
        <f t="shared" si="27"/>
        <v>40.940049999999992</v>
      </c>
      <c r="H1083" s="10">
        <f t="shared" si="27"/>
        <v>40.805325000000003</v>
      </c>
      <c r="I1083" s="10">
        <f t="shared" si="27"/>
        <v>40.805325000000003</v>
      </c>
      <c r="J1083" s="10">
        <f t="shared" si="27"/>
        <v>40.805325000000003</v>
      </c>
      <c r="K1083" s="10">
        <f t="shared" si="27"/>
        <v>40.805325000000003</v>
      </c>
      <c r="L1083" s="10"/>
    </row>
    <row r="1084" spans="1:12" ht="15" x14ac:dyDescent="0.2">
      <c r="A1084" s="11">
        <f t="shared" si="24"/>
        <v>2041</v>
      </c>
      <c r="B1084" s="10">
        <f>AVERAGE(B336:B347)</f>
        <v>41.84995</v>
      </c>
      <c r="C1084" s="10">
        <f>AVERAGE(C336:C347)</f>
        <v>41.41770833333333</v>
      </c>
      <c r="D1084" s="10"/>
      <c r="E1084" s="10">
        <f t="shared" ref="E1084:K1084" si="28">AVERAGE(E336:E347)</f>
        <v>41.281041666666667</v>
      </c>
      <c r="F1084" s="10">
        <f t="shared" si="28"/>
        <v>41.281041666666667</v>
      </c>
      <c r="G1084" s="10">
        <f t="shared" si="28"/>
        <v>41.552433333333333</v>
      </c>
      <c r="H1084" s="10">
        <f t="shared" si="28"/>
        <v>41.41770833333333</v>
      </c>
      <c r="I1084" s="10">
        <f t="shared" si="28"/>
        <v>41.41770833333333</v>
      </c>
      <c r="J1084" s="10">
        <f t="shared" si="28"/>
        <v>41.41770833333333</v>
      </c>
      <c r="K1084" s="10">
        <f t="shared" si="28"/>
        <v>41.41770833333333</v>
      </c>
      <c r="L1084" s="10"/>
    </row>
    <row r="1085" spans="1:12" ht="15" x14ac:dyDescent="0.2">
      <c r="A1085" s="11">
        <f t="shared" si="24"/>
        <v>2042</v>
      </c>
      <c r="B1085" s="10">
        <f>AVERAGE(B348:B359)</f>
        <v>42.471958333333333</v>
      </c>
      <c r="C1085" s="10">
        <f>AVERAGE(C348:C359)</f>
        <v>42.039699999999996</v>
      </c>
      <c r="D1085" s="10"/>
      <c r="E1085" s="10">
        <f t="shared" ref="E1085:K1085" si="29">AVERAGE(E348:E359)</f>
        <v>41.903058333333327</v>
      </c>
      <c r="F1085" s="10">
        <f t="shared" si="29"/>
        <v>41.903058333333327</v>
      </c>
      <c r="G1085" s="10">
        <f t="shared" si="29"/>
        <v>42.174424999999992</v>
      </c>
      <c r="H1085" s="10">
        <f t="shared" si="29"/>
        <v>42.039699999999996</v>
      </c>
      <c r="I1085" s="10">
        <f t="shared" si="29"/>
        <v>42.039699999999996</v>
      </c>
      <c r="J1085" s="10">
        <f t="shared" si="29"/>
        <v>42.039699999999996</v>
      </c>
      <c r="K1085" s="10">
        <f t="shared" si="29"/>
        <v>42.039699999999996</v>
      </c>
      <c r="L1085" s="10"/>
    </row>
    <row r="1086" spans="1:12" ht="15" x14ac:dyDescent="0.2">
      <c r="A1086" s="11">
        <f t="shared" si="24"/>
        <v>2043</v>
      </c>
      <c r="B1086" s="10">
        <f>AVERAGE(B360:B371)</f>
        <v>43.103749999999998</v>
      </c>
      <c r="C1086" s="10">
        <f>AVERAGE(C360:C371)</f>
        <v>42.671483333333335</v>
      </c>
      <c r="D1086" s="10"/>
      <c r="E1086" s="10">
        <f t="shared" ref="E1086:K1086" si="30">AVERAGE(E360:E371)</f>
        <v>42.534849999999999</v>
      </c>
      <c r="F1086" s="10">
        <f t="shared" si="30"/>
        <v>42.534849999999999</v>
      </c>
      <c r="G1086" s="10">
        <f t="shared" si="30"/>
        <v>42.806233333333324</v>
      </c>
      <c r="H1086" s="10">
        <f t="shared" si="30"/>
        <v>42.671483333333335</v>
      </c>
      <c r="I1086" s="10">
        <f t="shared" si="30"/>
        <v>42.671483333333335</v>
      </c>
      <c r="J1086" s="10">
        <f t="shared" si="30"/>
        <v>42.671483333333335</v>
      </c>
      <c r="K1086" s="10">
        <f t="shared" si="30"/>
        <v>42.671483333333335</v>
      </c>
      <c r="L1086" s="10"/>
    </row>
    <row r="1087" spans="1:12" ht="15" x14ac:dyDescent="0.2">
      <c r="A1087" s="11">
        <f t="shared" si="24"/>
        <v>2044</v>
      </c>
      <c r="B1087" s="10">
        <f>AVERAGE(B372:B383)</f>
        <v>43.745458333333325</v>
      </c>
      <c r="C1087" s="10">
        <f>AVERAGE(C372:C383)</f>
        <v>43.313216666666669</v>
      </c>
      <c r="D1087" s="10"/>
      <c r="E1087" s="10">
        <f t="shared" ref="E1087:K1087" si="31">AVERAGE(E372:E383)</f>
        <v>43.176558333333332</v>
      </c>
      <c r="F1087" s="10">
        <f t="shared" si="31"/>
        <v>43.176558333333332</v>
      </c>
      <c r="G1087" s="10">
        <f t="shared" si="31"/>
        <v>43.447958333333332</v>
      </c>
      <c r="H1087" s="10">
        <f t="shared" si="31"/>
        <v>43.313216666666669</v>
      </c>
      <c r="I1087" s="10">
        <f t="shared" si="31"/>
        <v>43.313216666666669</v>
      </c>
      <c r="J1087" s="10">
        <f t="shared" si="31"/>
        <v>43.313216666666669</v>
      </c>
      <c r="K1087" s="10">
        <f t="shared" si="31"/>
        <v>43.313216666666669</v>
      </c>
      <c r="L1087" s="10"/>
    </row>
    <row r="1088" spans="1:12" ht="15" x14ac:dyDescent="0.2">
      <c r="A1088" s="11">
        <f t="shared" si="24"/>
        <v>2045</v>
      </c>
      <c r="B1088" s="10">
        <f>AVERAGE(B384:B395)</f>
        <v>44.397283333333327</v>
      </c>
      <c r="C1088" s="10">
        <f>AVERAGE(C384:C395)</f>
        <v>43.965041666666657</v>
      </c>
      <c r="D1088" s="10"/>
      <c r="E1088" s="10">
        <f t="shared" ref="E1088:K1088" si="32">AVERAGE(E384:E395)</f>
        <v>43.828375000000001</v>
      </c>
      <c r="F1088" s="10">
        <f t="shared" si="32"/>
        <v>43.828375000000001</v>
      </c>
      <c r="G1088" s="10">
        <f t="shared" si="32"/>
        <v>44.099741666666667</v>
      </c>
      <c r="H1088" s="10">
        <f t="shared" si="32"/>
        <v>43.965041666666657</v>
      </c>
      <c r="I1088" s="10">
        <f t="shared" si="32"/>
        <v>43.965041666666657</v>
      </c>
      <c r="J1088" s="10">
        <f t="shared" si="32"/>
        <v>43.965041666666657</v>
      </c>
      <c r="K1088" s="10">
        <f t="shared" si="32"/>
        <v>43.965041666666657</v>
      </c>
      <c r="L1088" s="10"/>
    </row>
    <row r="1089" spans="1:12" ht="15" x14ac:dyDescent="0.2">
      <c r="A1089" s="11">
        <f t="shared" si="24"/>
        <v>2046</v>
      </c>
      <c r="B1089" s="10">
        <f>AVERAGE(B396:B407)</f>
        <v>45.059358333333336</v>
      </c>
      <c r="C1089" s="10">
        <f>AVERAGE(C396:C407)</f>
        <v>44.627091666666665</v>
      </c>
      <c r="D1089" s="10"/>
      <c r="E1089" s="10">
        <f t="shared" ref="E1089:K1089" si="33">AVERAGE(E396:E407)</f>
        <v>44.490441666666669</v>
      </c>
      <c r="F1089" s="10">
        <f t="shared" si="33"/>
        <v>44.490441666666669</v>
      </c>
      <c r="G1089" s="10">
        <f t="shared" si="33"/>
        <v>44.761808333333327</v>
      </c>
      <c r="H1089" s="10">
        <f t="shared" si="33"/>
        <v>44.627091666666665</v>
      </c>
      <c r="I1089" s="10">
        <f t="shared" si="33"/>
        <v>44.627091666666665</v>
      </c>
      <c r="J1089" s="10">
        <f t="shared" si="33"/>
        <v>44.627091666666665</v>
      </c>
      <c r="K1089" s="10">
        <f t="shared" si="33"/>
        <v>44.627091666666665</v>
      </c>
      <c r="L1089" s="10"/>
    </row>
    <row r="1090" spans="1:12" ht="15" x14ac:dyDescent="0.2">
      <c r="A1090" s="11">
        <f t="shared" si="24"/>
        <v>2047</v>
      </c>
      <c r="B1090" s="10">
        <f>AVERAGE(B408:B419)</f>
        <v>45.731825000000008</v>
      </c>
      <c r="C1090" s="10">
        <f>AVERAGE(C408:C419)</f>
        <v>45.299566666666664</v>
      </c>
      <c r="D1090" s="10"/>
      <c r="E1090" s="10">
        <f t="shared" ref="E1090:K1090" si="34">AVERAGE(E408:E419)</f>
        <v>45.162916666666661</v>
      </c>
      <c r="F1090" s="10">
        <f t="shared" si="34"/>
        <v>45.162916666666661</v>
      </c>
      <c r="G1090" s="10">
        <f t="shared" si="34"/>
        <v>45.434291666666667</v>
      </c>
      <c r="H1090" s="10">
        <f t="shared" si="34"/>
        <v>45.299566666666664</v>
      </c>
      <c r="I1090" s="10">
        <f t="shared" si="34"/>
        <v>45.299566666666664</v>
      </c>
      <c r="J1090" s="10">
        <f t="shared" si="34"/>
        <v>45.299566666666664</v>
      </c>
      <c r="K1090" s="10">
        <f t="shared" si="34"/>
        <v>45.299566666666664</v>
      </c>
      <c r="L1090" s="10"/>
    </row>
    <row r="1091" spans="1:12" ht="15" x14ac:dyDescent="0.2">
      <c r="A1091" s="11">
        <f t="shared" si="24"/>
        <v>2048</v>
      </c>
      <c r="B1091" s="10">
        <f>AVERAGE(B420:B431)</f>
        <v>46.414875000000002</v>
      </c>
      <c r="C1091" s="10">
        <f>AVERAGE(C420:C431)</f>
        <v>45.982616666666672</v>
      </c>
      <c r="D1091" s="10"/>
      <c r="E1091" s="10">
        <f t="shared" ref="E1091:K1091" si="35">AVERAGE(E420:E431)</f>
        <v>45.845974999999989</v>
      </c>
      <c r="F1091" s="10">
        <f t="shared" si="35"/>
        <v>45.845974999999989</v>
      </c>
      <c r="G1091" s="10">
        <f t="shared" si="35"/>
        <v>46.117341666666668</v>
      </c>
      <c r="H1091" s="10">
        <f t="shared" si="35"/>
        <v>45.982616666666672</v>
      </c>
      <c r="I1091" s="10">
        <f t="shared" si="35"/>
        <v>45.982616666666672</v>
      </c>
      <c r="J1091" s="10">
        <f t="shared" si="35"/>
        <v>45.982616666666672</v>
      </c>
      <c r="K1091" s="10">
        <f t="shared" si="35"/>
        <v>45.982616666666672</v>
      </c>
      <c r="L1091" s="10"/>
    </row>
    <row r="1092" spans="1:12" ht="15" x14ac:dyDescent="0.2">
      <c r="A1092" s="11">
        <f t="shared" si="24"/>
        <v>2049</v>
      </c>
      <c r="B1092" s="10">
        <f>AVERAGE(B432:B443)</f>
        <v>47.108658333333345</v>
      </c>
      <c r="C1092" s="10">
        <f>AVERAGE(C432:C443)</f>
        <v>46.676408333333335</v>
      </c>
      <c r="D1092" s="10"/>
      <c r="E1092" s="10">
        <f t="shared" ref="E1092:K1092" si="36">AVERAGE(E432:E443)</f>
        <v>46.539758333333332</v>
      </c>
      <c r="F1092" s="10">
        <f t="shared" si="36"/>
        <v>46.539758333333332</v>
      </c>
      <c r="G1092" s="10">
        <f t="shared" si="36"/>
        <v>46.811116666666663</v>
      </c>
      <c r="H1092" s="10">
        <f t="shared" si="36"/>
        <v>46.676408333333335</v>
      </c>
      <c r="I1092" s="10">
        <f t="shared" si="36"/>
        <v>46.676408333333335</v>
      </c>
      <c r="J1092" s="10">
        <f t="shared" si="36"/>
        <v>46.676408333333335</v>
      </c>
      <c r="K1092" s="10">
        <f t="shared" si="36"/>
        <v>46.676408333333335</v>
      </c>
      <c r="L1092" s="10"/>
    </row>
    <row r="1093" spans="1:12" ht="15" x14ac:dyDescent="0.2">
      <c r="A1093" s="11">
        <f t="shared" si="24"/>
        <v>2050</v>
      </c>
      <c r="B1093" s="10">
        <f>AVERAGE(B444:B455)</f>
        <v>47.813358333333326</v>
      </c>
      <c r="C1093" s="10">
        <f>AVERAGE(C444:C455)</f>
        <v>47.381124999999997</v>
      </c>
      <c r="D1093" s="10"/>
      <c r="E1093" s="10">
        <f t="shared" ref="E1093:K1093" si="37">AVERAGE(E444:E455)</f>
        <v>47.244458333333334</v>
      </c>
      <c r="F1093" s="10">
        <f t="shared" si="37"/>
        <v>47.244458333333334</v>
      </c>
      <c r="G1093" s="10">
        <f t="shared" si="37"/>
        <v>47.51584166666666</v>
      </c>
      <c r="H1093" s="10">
        <f t="shared" si="37"/>
        <v>47.381124999999997</v>
      </c>
      <c r="I1093" s="10">
        <f t="shared" si="37"/>
        <v>47.381124999999997</v>
      </c>
      <c r="J1093" s="10">
        <f t="shared" si="37"/>
        <v>47.381124999999997</v>
      </c>
      <c r="K1093" s="10">
        <f t="shared" si="37"/>
        <v>47.381124999999997</v>
      </c>
      <c r="L1093" s="10"/>
    </row>
    <row r="1094" spans="1:12" ht="15" x14ac:dyDescent="0.2">
      <c r="A1094" s="11">
        <f t="shared" si="24"/>
        <v>2051</v>
      </c>
      <c r="B1094" s="10">
        <f>AVERAGE(B456:B467)</f>
        <v>48.529149999999987</v>
      </c>
      <c r="C1094" s="10">
        <f>AVERAGE(C456:C467)</f>
        <v>48.096883333333331</v>
      </c>
      <c r="D1094" s="10"/>
      <c r="E1094" s="10">
        <f t="shared" ref="E1094:K1094" si="38">AVERAGE(E456:E467)</f>
        <v>47.960241666666668</v>
      </c>
      <c r="F1094" s="10">
        <f t="shared" si="38"/>
        <v>47.960241666666668</v>
      </c>
      <c r="G1094" s="10">
        <f t="shared" si="38"/>
        <v>48.231599999999993</v>
      </c>
      <c r="H1094" s="10">
        <f t="shared" si="38"/>
        <v>48.096883333333331</v>
      </c>
      <c r="I1094" s="10">
        <f t="shared" si="38"/>
        <v>48.096883333333331</v>
      </c>
      <c r="J1094" s="10">
        <f t="shared" si="38"/>
        <v>48.096883333333331</v>
      </c>
      <c r="K1094" s="10">
        <f t="shared" si="38"/>
        <v>48.096883333333331</v>
      </c>
      <c r="L1094" s="10"/>
    </row>
    <row r="1095" spans="1:12" ht="15" x14ac:dyDescent="0.2">
      <c r="A1095" s="11">
        <f t="shared" si="24"/>
        <v>2052</v>
      </c>
      <c r="B1095" s="10">
        <f>AVERAGE(B468:B479)</f>
        <v>49.256166666666665</v>
      </c>
      <c r="C1095" s="10">
        <f>AVERAGE(C468:C479)</f>
        <v>48.823933333333322</v>
      </c>
      <c r="D1095" s="10"/>
      <c r="E1095" s="10">
        <f t="shared" ref="E1095:K1095" si="39">AVERAGE(E468:E479)</f>
        <v>48.687266666666666</v>
      </c>
      <c r="F1095" s="10">
        <f t="shared" si="39"/>
        <v>48.687266666666666</v>
      </c>
      <c r="G1095" s="10">
        <f t="shared" si="39"/>
        <v>48.958641666666665</v>
      </c>
      <c r="H1095" s="10">
        <f t="shared" si="39"/>
        <v>48.823933333333322</v>
      </c>
      <c r="I1095" s="10">
        <f t="shared" si="39"/>
        <v>48.823933333333322</v>
      </c>
      <c r="J1095" s="10">
        <f t="shared" si="39"/>
        <v>48.823933333333322</v>
      </c>
      <c r="K1095" s="10">
        <f t="shared" si="39"/>
        <v>48.823933333333322</v>
      </c>
      <c r="L1095" s="10"/>
    </row>
    <row r="1096" spans="1:12" ht="15" x14ac:dyDescent="0.2">
      <c r="A1096" s="11">
        <f t="shared" si="24"/>
        <v>2053</v>
      </c>
      <c r="B1096" s="10">
        <f>AVERAGE(B480:B491)</f>
        <v>49.994675000000001</v>
      </c>
      <c r="C1096" s="10">
        <f>AVERAGE(C480:C491)</f>
        <v>49.562383333333337</v>
      </c>
      <c r="D1096" s="10"/>
      <c r="E1096" s="10">
        <f t="shared" ref="E1096:K1096" si="40">AVERAGE(E480:E491)</f>
        <v>49.425758333333341</v>
      </c>
      <c r="F1096" s="10">
        <f t="shared" si="40"/>
        <v>49.425758333333341</v>
      </c>
      <c r="G1096" s="10">
        <f t="shared" si="40"/>
        <v>49.69710833333334</v>
      </c>
      <c r="H1096" s="10">
        <f t="shared" si="40"/>
        <v>49.562383333333337</v>
      </c>
      <c r="I1096" s="10">
        <f t="shared" si="40"/>
        <v>49.562383333333337</v>
      </c>
      <c r="J1096" s="10">
        <f t="shared" si="40"/>
        <v>49.562383333333337</v>
      </c>
      <c r="K1096" s="10">
        <f t="shared" si="40"/>
        <v>49.562383333333337</v>
      </c>
      <c r="L1096" s="10"/>
    </row>
    <row r="1097" spans="1:12" ht="15" x14ac:dyDescent="0.2">
      <c r="A1097" s="11">
        <f t="shared" si="24"/>
        <v>2054</v>
      </c>
      <c r="B1097" s="10">
        <f>AVERAGE(B492:B503)</f>
        <v>50.744724999999995</v>
      </c>
      <c r="C1097" s="10">
        <f>AVERAGE(C492:C503)</f>
        <v>50.312491666666666</v>
      </c>
      <c r="D1097" s="10"/>
      <c r="E1097" s="10">
        <f t="shared" ref="E1097:K1097" si="41">AVERAGE(E492:E503)</f>
        <v>50.175824999999996</v>
      </c>
      <c r="F1097" s="10">
        <f t="shared" si="41"/>
        <v>50.175824999999996</v>
      </c>
      <c r="G1097" s="10">
        <f t="shared" si="41"/>
        <v>50.447216666666669</v>
      </c>
      <c r="H1097" s="10">
        <f t="shared" si="41"/>
        <v>50.312491666666666</v>
      </c>
      <c r="I1097" s="10">
        <f t="shared" si="41"/>
        <v>50.312491666666666</v>
      </c>
      <c r="J1097" s="10">
        <f t="shared" si="41"/>
        <v>50.312491666666666</v>
      </c>
      <c r="K1097" s="10">
        <f t="shared" si="41"/>
        <v>50.312491666666666</v>
      </c>
      <c r="L1097" s="10"/>
    </row>
    <row r="1098" spans="1:12" ht="15" x14ac:dyDescent="0.2">
      <c r="A1098" s="11">
        <f t="shared" si="24"/>
        <v>2055</v>
      </c>
      <c r="B1098" s="10">
        <f>AVERAGE(B504:B515)</f>
        <v>51.506599999999999</v>
      </c>
      <c r="C1098" s="10">
        <f>AVERAGE(C504:C515)</f>
        <v>51.074375000000003</v>
      </c>
      <c r="D1098" s="10"/>
      <c r="E1098" s="10">
        <f t="shared" ref="E1098:K1098" si="42">AVERAGE(E504:E515)</f>
        <v>50.937691666666666</v>
      </c>
      <c r="F1098" s="10">
        <f t="shared" si="42"/>
        <v>50.937691666666666</v>
      </c>
      <c r="G1098" s="10">
        <f t="shared" si="42"/>
        <v>51.209074999999991</v>
      </c>
      <c r="H1098" s="10">
        <f t="shared" si="42"/>
        <v>51.074375000000003</v>
      </c>
      <c r="I1098" s="10">
        <f t="shared" si="42"/>
        <v>51.074375000000003</v>
      </c>
      <c r="J1098" s="10">
        <f t="shared" si="42"/>
        <v>51.074375000000003</v>
      </c>
      <c r="K1098" s="10">
        <f t="shared" si="42"/>
        <v>51.074375000000003</v>
      </c>
      <c r="L1098" s="10"/>
    </row>
    <row r="1099" spans="1:12" ht="15" x14ac:dyDescent="0.2">
      <c r="A1099" s="11">
        <f t="shared" si="24"/>
        <v>2056</v>
      </c>
      <c r="B1099" s="10">
        <f>AVERAGE(B516:B527)</f>
        <v>52.280466666666662</v>
      </c>
      <c r="C1099" s="10">
        <f>AVERAGE(C516:C527)</f>
        <v>51.848208333333332</v>
      </c>
      <c r="D1099" s="10"/>
      <c r="E1099" s="10">
        <f t="shared" ref="E1099:K1099" si="43">AVERAGE(E516:E527)</f>
        <v>51.711558333333329</v>
      </c>
      <c r="F1099" s="10">
        <f t="shared" si="43"/>
        <v>51.711558333333329</v>
      </c>
      <c r="G1099" s="10">
        <f t="shared" si="43"/>
        <v>51.982941666666669</v>
      </c>
      <c r="H1099" s="10">
        <f t="shared" si="43"/>
        <v>51.848208333333332</v>
      </c>
      <c r="I1099" s="10">
        <f t="shared" si="43"/>
        <v>51.848208333333332</v>
      </c>
      <c r="J1099" s="10">
        <f t="shared" si="43"/>
        <v>51.848208333333332</v>
      </c>
      <c r="K1099" s="10">
        <f t="shared" si="43"/>
        <v>51.848208333333332</v>
      </c>
      <c r="L1099" s="10"/>
    </row>
    <row r="1100" spans="1:12" ht="15" x14ac:dyDescent="0.2">
      <c r="A1100" s="11">
        <f t="shared" si="24"/>
        <v>2057</v>
      </c>
      <c r="B1100" s="10">
        <f>AVERAGE(B528:B539)</f>
        <v>53.066483333333331</v>
      </c>
      <c r="C1100" s="10">
        <f>AVERAGE(C528:C539)</f>
        <v>52.634249999999987</v>
      </c>
      <c r="D1100" s="10"/>
      <c r="E1100" s="10">
        <f t="shared" ref="E1100:K1100" si="44">AVERAGE(E528:E539)</f>
        <v>52.497574999999991</v>
      </c>
      <c r="F1100" s="10">
        <f t="shared" si="44"/>
        <v>52.497574999999991</v>
      </c>
      <c r="G1100" s="10">
        <f t="shared" si="44"/>
        <v>52.76895833333333</v>
      </c>
      <c r="H1100" s="10">
        <f t="shared" si="44"/>
        <v>52.634249999999987</v>
      </c>
      <c r="I1100" s="10">
        <f t="shared" si="44"/>
        <v>52.634249999999987</v>
      </c>
      <c r="J1100" s="10">
        <f t="shared" si="44"/>
        <v>52.634249999999987</v>
      </c>
      <c r="K1100" s="10">
        <f t="shared" si="44"/>
        <v>52.634249999999987</v>
      </c>
      <c r="L1100" s="10"/>
    </row>
    <row r="1101" spans="1:12" ht="15" x14ac:dyDescent="0.2">
      <c r="A1101" s="11">
        <f t="shared" si="24"/>
        <v>2058</v>
      </c>
      <c r="B1101" s="10">
        <f>AVERAGE(B540:B551)</f>
        <v>53.864891666666658</v>
      </c>
      <c r="C1101" s="10">
        <f>AVERAGE(C540:C551)</f>
        <v>53.432616666666668</v>
      </c>
      <c r="D1101" s="10"/>
      <c r="E1101" s="10">
        <f t="shared" ref="E1101:K1101" si="45">AVERAGE(E540:E551)</f>
        <v>53.295991666666659</v>
      </c>
      <c r="F1101" s="10">
        <f t="shared" si="45"/>
        <v>53.295991666666659</v>
      </c>
      <c r="G1101" s="10">
        <f t="shared" si="45"/>
        <v>53.567341666666657</v>
      </c>
      <c r="H1101" s="10">
        <f t="shared" si="45"/>
        <v>53.432616666666668</v>
      </c>
      <c r="I1101" s="10">
        <f t="shared" si="45"/>
        <v>53.432616666666668</v>
      </c>
      <c r="J1101" s="10">
        <f t="shared" si="45"/>
        <v>53.432616666666668</v>
      </c>
      <c r="K1101" s="10">
        <f t="shared" si="45"/>
        <v>53.432616666666668</v>
      </c>
      <c r="L1101" s="10"/>
    </row>
    <row r="1102" spans="1:12" ht="15" x14ac:dyDescent="0.2">
      <c r="A1102" s="11">
        <f t="shared" si="24"/>
        <v>2059</v>
      </c>
      <c r="B1102" s="10">
        <f>AVERAGE(B552:B563)</f>
        <v>54.675816666666655</v>
      </c>
      <c r="C1102" s="10">
        <f>AVERAGE(C552:C563)</f>
        <v>54.243574999999993</v>
      </c>
      <c r="D1102" s="10"/>
      <c r="E1102" s="10">
        <f t="shared" ref="E1102:K1102" si="46">AVERAGE(E552:E563)</f>
        <v>54.10690833333333</v>
      </c>
      <c r="F1102" s="10">
        <f t="shared" si="46"/>
        <v>54.10690833333333</v>
      </c>
      <c r="G1102" s="10">
        <f t="shared" si="46"/>
        <v>54.378308333333337</v>
      </c>
      <c r="H1102" s="10">
        <f t="shared" si="46"/>
        <v>54.243574999999993</v>
      </c>
      <c r="I1102" s="10">
        <f t="shared" si="46"/>
        <v>54.243574999999993</v>
      </c>
      <c r="J1102" s="10">
        <f t="shared" si="46"/>
        <v>54.243574999999993</v>
      </c>
      <c r="K1102" s="10">
        <f t="shared" si="46"/>
        <v>54.243574999999993</v>
      </c>
      <c r="L1102" s="10"/>
    </row>
    <row r="1103" spans="1:12" ht="15" x14ac:dyDescent="0.2">
      <c r="A1103" s="11">
        <f t="shared" si="24"/>
        <v>2060</v>
      </c>
      <c r="B1103" s="10">
        <f>AVERAGE(B564:B575)</f>
        <v>55.499516666666672</v>
      </c>
      <c r="C1103" s="10">
        <f>AVERAGE(C564:C575)</f>
        <v>55.067266666666661</v>
      </c>
      <c r="D1103" s="10"/>
      <c r="E1103" s="10">
        <f t="shared" ref="E1103:K1103" si="47">AVERAGE(E564:E575)</f>
        <v>54.930616666666651</v>
      </c>
      <c r="F1103" s="10">
        <f t="shared" si="47"/>
        <v>54.930616666666651</v>
      </c>
      <c r="G1103" s="10">
        <f t="shared" si="47"/>
        <v>55.201983333333338</v>
      </c>
      <c r="H1103" s="10">
        <f t="shared" si="47"/>
        <v>55.067266666666661</v>
      </c>
      <c r="I1103" s="10">
        <f t="shared" si="47"/>
        <v>55.067266666666661</v>
      </c>
      <c r="J1103" s="10">
        <f t="shared" si="47"/>
        <v>55.067266666666661</v>
      </c>
      <c r="K1103" s="10">
        <f t="shared" si="47"/>
        <v>55.067266666666661</v>
      </c>
      <c r="L1103" s="10"/>
    </row>
    <row r="1104" spans="1:12" ht="15" x14ac:dyDescent="0.2">
      <c r="A1104" s="11">
        <f t="shared" si="24"/>
        <v>2061</v>
      </c>
      <c r="B1104" s="10">
        <f>AVERAGE(B576:B587)</f>
        <v>56.336166666666664</v>
      </c>
      <c r="C1104" s="10">
        <f>AVERAGE(C576:C587)</f>
        <v>55.903908333333334</v>
      </c>
      <c r="D1104" s="10"/>
      <c r="E1104" s="10">
        <f t="shared" ref="E1104:K1104" si="48">AVERAGE(E576:E587)</f>
        <v>55.767266666666664</v>
      </c>
      <c r="F1104" s="10">
        <f t="shared" si="48"/>
        <v>55.767266666666664</v>
      </c>
      <c r="G1104" s="10">
        <f t="shared" si="48"/>
        <v>56.038616666666663</v>
      </c>
      <c r="H1104" s="10">
        <f t="shared" si="48"/>
        <v>55.903908333333334</v>
      </c>
      <c r="I1104" s="10">
        <f t="shared" si="48"/>
        <v>55.903908333333334</v>
      </c>
      <c r="J1104" s="10">
        <f t="shared" si="48"/>
        <v>55.903908333333334</v>
      </c>
      <c r="K1104" s="10">
        <f t="shared" si="48"/>
        <v>55.903908333333334</v>
      </c>
      <c r="L1104" s="10"/>
    </row>
    <row r="1105" spans="1:11" ht="15" x14ac:dyDescent="0.2">
      <c r="A1105" s="11">
        <f t="shared" si="24"/>
        <v>2062</v>
      </c>
      <c r="B1105" s="10">
        <f t="shared" ref="B1105:C1124" ca="1" si="49">AVERAGE(OFFSET(B$588,($A1105-$A$1105)*12,0,12,1))</f>
        <v>57.185975000000006</v>
      </c>
      <c r="C1105" s="10">
        <f t="shared" ca="1" si="49"/>
        <v>56.753700000000002</v>
      </c>
      <c r="D1105" s="10"/>
      <c r="E1105" s="10">
        <f t="shared" ref="E1105:K1114" ca="1" si="50">AVERAGE(OFFSET(E$588,($A1105-$A$1105)*12,0,12,1))</f>
        <v>56.617066666666659</v>
      </c>
      <c r="F1105" s="10">
        <f t="shared" ca="1" si="50"/>
        <v>56.617066666666659</v>
      </c>
      <c r="G1105" s="10">
        <f t="shared" ca="1" si="50"/>
        <v>56.888416666666672</v>
      </c>
      <c r="H1105" s="10">
        <f t="shared" ca="1" si="50"/>
        <v>56.753700000000002</v>
      </c>
      <c r="I1105" s="10">
        <f t="shared" ca="1" si="50"/>
        <v>56.753700000000002</v>
      </c>
      <c r="J1105" s="10">
        <f t="shared" ca="1" si="50"/>
        <v>56.753700000000002</v>
      </c>
      <c r="K1105" s="10">
        <f t="shared" ca="1" si="50"/>
        <v>56.753700000000002</v>
      </c>
    </row>
    <row r="1106" spans="1:11" ht="15" x14ac:dyDescent="0.2">
      <c r="A1106" s="11">
        <f t="shared" si="24"/>
        <v>2063</v>
      </c>
      <c r="B1106" s="10">
        <f t="shared" ca="1" si="49"/>
        <v>58.049116666666663</v>
      </c>
      <c r="C1106" s="10">
        <f t="shared" ca="1" si="49"/>
        <v>57.616883333333334</v>
      </c>
      <c r="D1106" s="10"/>
      <c r="E1106" s="10">
        <f t="shared" ca="1" si="50"/>
        <v>57.480216666666657</v>
      </c>
      <c r="F1106" s="10">
        <f t="shared" ca="1" si="50"/>
        <v>57.480216666666657</v>
      </c>
      <c r="G1106" s="10">
        <f t="shared" ca="1" si="50"/>
        <v>57.751599999999996</v>
      </c>
      <c r="H1106" s="10">
        <f t="shared" ca="1" si="50"/>
        <v>57.616883333333334</v>
      </c>
      <c r="I1106" s="10">
        <f t="shared" ca="1" si="50"/>
        <v>57.616883333333334</v>
      </c>
      <c r="J1106" s="10">
        <f t="shared" ca="1" si="50"/>
        <v>57.616883333333334</v>
      </c>
      <c r="K1106" s="10">
        <f t="shared" ca="1" si="50"/>
        <v>57.616883333333334</v>
      </c>
    </row>
    <row r="1107" spans="1:11" ht="15" x14ac:dyDescent="0.2">
      <c r="A1107" s="11">
        <f t="shared" si="24"/>
        <v>2064</v>
      </c>
      <c r="B1107" s="10">
        <f t="shared" ca="1" si="49"/>
        <v>58.925849999999997</v>
      </c>
      <c r="C1107" s="10">
        <f t="shared" ca="1" si="49"/>
        <v>58.493616666666661</v>
      </c>
      <c r="D1107" s="10"/>
      <c r="E1107" s="10">
        <f t="shared" ca="1" si="50"/>
        <v>58.356949999999991</v>
      </c>
      <c r="F1107" s="10">
        <f t="shared" ca="1" si="50"/>
        <v>58.356949999999991</v>
      </c>
      <c r="G1107" s="10">
        <f t="shared" ca="1" si="50"/>
        <v>58.628341666666664</v>
      </c>
      <c r="H1107" s="10">
        <f t="shared" ca="1" si="50"/>
        <v>58.493616666666661</v>
      </c>
      <c r="I1107" s="10">
        <f t="shared" ca="1" si="50"/>
        <v>58.493616666666661</v>
      </c>
      <c r="J1107" s="10">
        <f t="shared" ca="1" si="50"/>
        <v>58.493616666666661</v>
      </c>
      <c r="K1107" s="10">
        <f t="shared" ca="1" si="50"/>
        <v>58.493616666666661</v>
      </c>
    </row>
    <row r="1108" spans="1:11" ht="15" x14ac:dyDescent="0.2">
      <c r="A1108" s="11">
        <f t="shared" si="24"/>
        <v>2065</v>
      </c>
      <c r="B1108" s="10">
        <f t="shared" ca="1" si="49"/>
        <v>59.816391666666654</v>
      </c>
      <c r="C1108" s="10">
        <f t="shared" ca="1" si="49"/>
        <v>59.384158333333339</v>
      </c>
      <c r="D1108" s="10"/>
      <c r="E1108" s="10">
        <f t="shared" ca="1" si="50"/>
        <v>59.247475000000001</v>
      </c>
      <c r="F1108" s="10">
        <f t="shared" ca="1" si="50"/>
        <v>59.247475000000001</v>
      </c>
      <c r="G1108" s="10">
        <f t="shared" ca="1" si="50"/>
        <v>59.518866666666668</v>
      </c>
      <c r="H1108" s="10">
        <f t="shared" ca="1" si="50"/>
        <v>59.384158333333339</v>
      </c>
      <c r="I1108" s="10">
        <f t="shared" ca="1" si="50"/>
        <v>59.384158333333339</v>
      </c>
      <c r="J1108" s="10">
        <f t="shared" ca="1" si="50"/>
        <v>59.384158333333339</v>
      </c>
      <c r="K1108" s="10">
        <f t="shared" ca="1" si="50"/>
        <v>59.384158333333339</v>
      </c>
    </row>
    <row r="1109" spans="1:11" ht="15" x14ac:dyDescent="0.2">
      <c r="A1109" s="11">
        <f t="shared" si="24"/>
        <v>2066</v>
      </c>
      <c r="B1109" s="10">
        <f t="shared" ca="1" si="49"/>
        <v>60.720924999999994</v>
      </c>
      <c r="C1109" s="10">
        <f t="shared" ca="1" si="49"/>
        <v>60.288674999999991</v>
      </c>
      <c r="D1109" s="10"/>
      <c r="E1109" s="10">
        <f t="shared" ca="1" si="50"/>
        <v>60.152016666666661</v>
      </c>
      <c r="F1109" s="10">
        <f t="shared" ca="1" si="50"/>
        <v>60.152016666666661</v>
      </c>
      <c r="G1109" s="10">
        <f t="shared" ca="1" si="50"/>
        <v>60.423383333333334</v>
      </c>
      <c r="H1109" s="10">
        <f t="shared" ca="1" si="50"/>
        <v>60.288674999999991</v>
      </c>
      <c r="I1109" s="10">
        <f t="shared" ca="1" si="50"/>
        <v>60.288674999999991</v>
      </c>
      <c r="J1109" s="10">
        <f t="shared" ca="1" si="50"/>
        <v>60.288674999999991</v>
      </c>
      <c r="K1109" s="10">
        <f t="shared" ca="1" si="50"/>
        <v>60.288674999999991</v>
      </c>
    </row>
    <row r="1110" spans="1:11" ht="15" x14ac:dyDescent="0.2">
      <c r="A1110" s="11">
        <f t="shared" si="24"/>
        <v>2067</v>
      </c>
      <c r="B1110" s="10">
        <f t="shared" ca="1" si="49"/>
        <v>61.63968333333333</v>
      </c>
      <c r="C1110" s="10">
        <f t="shared" ca="1" si="49"/>
        <v>61.20741666666666</v>
      </c>
      <c r="D1110" s="10"/>
      <c r="E1110" s="10">
        <f t="shared" ca="1" si="50"/>
        <v>61.070766666666657</v>
      </c>
      <c r="F1110" s="10">
        <f t="shared" ca="1" si="50"/>
        <v>61.070766666666657</v>
      </c>
      <c r="G1110" s="10">
        <f t="shared" ca="1" si="50"/>
        <v>61.342125000000003</v>
      </c>
      <c r="H1110" s="10">
        <f t="shared" ca="1" si="50"/>
        <v>61.20741666666666</v>
      </c>
      <c r="I1110" s="10">
        <f t="shared" ca="1" si="50"/>
        <v>61.20741666666666</v>
      </c>
      <c r="J1110" s="10">
        <f t="shared" ca="1" si="50"/>
        <v>61.20741666666666</v>
      </c>
      <c r="K1110" s="10">
        <f t="shared" ca="1" si="50"/>
        <v>61.20741666666666</v>
      </c>
    </row>
    <row r="1111" spans="1:11" ht="15" x14ac:dyDescent="0.2">
      <c r="A1111" s="11">
        <f t="shared" si="24"/>
        <v>2068</v>
      </c>
      <c r="B1111" s="10">
        <f t="shared" ca="1" si="49"/>
        <v>62.57288333333333</v>
      </c>
      <c r="C1111" s="10">
        <f t="shared" ca="1" si="49"/>
        <v>62.14060833333334</v>
      </c>
      <c r="D1111" s="10"/>
      <c r="E1111" s="10">
        <f t="shared" ca="1" si="50"/>
        <v>62.003983333333338</v>
      </c>
      <c r="F1111" s="10">
        <f t="shared" ca="1" si="50"/>
        <v>62.003983333333338</v>
      </c>
      <c r="G1111" s="10">
        <f t="shared" ca="1" si="50"/>
        <v>62.275325000000002</v>
      </c>
      <c r="H1111" s="10">
        <f t="shared" ca="1" si="50"/>
        <v>62.14060833333334</v>
      </c>
      <c r="I1111" s="10">
        <f t="shared" ca="1" si="50"/>
        <v>62.14060833333334</v>
      </c>
      <c r="J1111" s="10">
        <f t="shared" ca="1" si="50"/>
        <v>62.14060833333334</v>
      </c>
      <c r="K1111" s="10">
        <f t="shared" ca="1" si="50"/>
        <v>62.14060833333334</v>
      </c>
    </row>
    <row r="1112" spans="1:11" ht="15" x14ac:dyDescent="0.2">
      <c r="A1112" s="11">
        <f t="shared" si="24"/>
        <v>2069</v>
      </c>
      <c r="B1112" s="10">
        <f t="shared" ca="1" si="49"/>
        <v>63.520766666666667</v>
      </c>
      <c r="C1112" s="10">
        <f t="shared" ca="1" si="49"/>
        <v>63.088483333333329</v>
      </c>
      <c r="D1112" s="10"/>
      <c r="E1112" s="10">
        <f t="shared" ca="1" si="50"/>
        <v>62.951858333333327</v>
      </c>
      <c r="F1112" s="10">
        <f t="shared" ca="1" si="50"/>
        <v>62.951858333333327</v>
      </c>
      <c r="G1112" s="10">
        <f t="shared" ca="1" si="50"/>
        <v>63.223191666666658</v>
      </c>
      <c r="H1112" s="10">
        <f t="shared" ca="1" si="50"/>
        <v>63.088483333333329</v>
      </c>
      <c r="I1112" s="10">
        <f t="shared" ca="1" si="50"/>
        <v>63.088483333333329</v>
      </c>
      <c r="J1112" s="10">
        <f t="shared" ca="1" si="50"/>
        <v>63.088483333333329</v>
      </c>
      <c r="K1112" s="10">
        <f t="shared" ca="1" si="50"/>
        <v>63.088483333333329</v>
      </c>
    </row>
    <row r="1113" spans="1:11" ht="15" x14ac:dyDescent="0.2">
      <c r="A1113" s="11">
        <f t="shared" ref="A1113:A1143" si="51">A1112+1</f>
        <v>2070</v>
      </c>
      <c r="B1113" s="10">
        <f t="shared" ca="1" si="49"/>
        <v>64.483516666666674</v>
      </c>
      <c r="C1113" s="10">
        <f t="shared" ca="1" si="49"/>
        <v>64.05127499999999</v>
      </c>
      <c r="D1113" s="10"/>
      <c r="E1113" s="10">
        <f t="shared" ca="1" si="50"/>
        <v>63.914608333333319</v>
      </c>
      <c r="F1113" s="10">
        <f t="shared" ca="1" si="50"/>
        <v>63.914608333333319</v>
      </c>
      <c r="G1113" s="10">
        <f t="shared" ca="1" si="50"/>
        <v>64.185974999999999</v>
      </c>
      <c r="H1113" s="10">
        <f t="shared" ca="1" si="50"/>
        <v>64.05127499999999</v>
      </c>
      <c r="I1113" s="10">
        <f t="shared" ca="1" si="50"/>
        <v>64.05127499999999</v>
      </c>
      <c r="J1113" s="10">
        <f t="shared" ca="1" si="50"/>
        <v>64.05127499999999</v>
      </c>
      <c r="K1113" s="10">
        <f t="shared" ca="1" si="50"/>
        <v>64.05127499999999</v>
      </c>
    </row>
    <row r="1114" spans="1:11" ht="15" x14ac:dyDescent="0.2">
      <c r="A1114" s="11">
        <f t="shared" si="51"/>
        <v>2071</v>
      </c>
      <c r="B1114" s="10">
        <f t="shared" ca="1" si="49"/>
        <v>65.461425000000006</v>
      </c>
      <c r="C1114" s="10">
        <f t="shared" ca="1" si="49"/>
        <v>65.029200000000003</v>
      </c>
      <c r="D1114" s="10"/>
      <c r="E1114" s="10">
        <f t="shared" ca="1" si="50"/>
        <v>64.892525000000006</v>
      </c>
      <c r="F1114" s="10">
        <f t="shared" ca="1" si="50"/>
        <v>64.892525000000006</v>
      </c>
      <c r="G1114" s="10">
        <f t="shared" ca="1" si="50"/>
        <v>65.163899999999998</v>
      </c>
      <c r="H1114" s="10">
        <f t="shared" ca="1" si="50"/>
        <v>65.029200000000003</v>
      </c>
      <c r="I1114" s="10">
        <f t="shared" ca="1" si="50"/>
        <v>65.029200000000003</v>
      </c>
      <c r="J1114" s="10">
        <f t="shared" ca="1" si="50"/>
        <v>65.029200000000003</v>
      </c>
      <c r="K1114" s="10">
        <f t="shared" ca="1" si="50"/>
        <v>65.029200000000003</v>
      </c>
    </row>
    <row r="1115" spans="1:11" ht="15" x14ac:dyDescent="0.2">
      <c r="A1115" s="11">
        <f t="shared" si="51"/>
        <v>2072</v>
      </c>
      <c r="B1115" s="10">
        <f t="shared" ca="1" si="49"/>
        <v>66.45471666666667</v>
      </c>
      <c r="C1115" s="10">
        <f t="shared" ca="1" si="49"/>
        <v>66.022491666666653</v>
      </c>
      <c r="D1115" s="10"/>
      <c r="E1115" s="10">
        <f t="shared" ref="E1115:K1124" ca="1" si="52">AVERAGE(OFFSET(E$588,($A1115-$A$1105)*12,0,12,1))</f>
        <v>65.885808333333344</v>
      </c>
      <c r="F1115" s="10">
        <f t="shared" ca="1" si="52"/>
        <v>65.885808333333344</v>
      </c>
      <c r="G1115" s="10">
        <f t="shared" ca="1" si="52"/>
        <v>66.157200000000003</v>
      </c>
      <c r="H1115" s="10">
        <f t="shared" ca="1" si="52"/>
        <v>66.022491666666653</v>
      </c>
      <c r="I1115" s="10">
        <f t="shared" ca="1" si="52"/>
        <v>66.022491666666653</v>
      </c>
      <c r="J1115" s="10">
        <f t="shared" ca="1" si="52"/>
        <v>66.022491666666653</v>
      </c>
      <c r="K1115" s="10">
        <f t="shared" ca="1" si="52"/>
        <v>66.022491666666653</v>
      </c>
    </row>
    <row r="1116" spans="1:11" ht="15" x14ac:dyDescent="0.2">
      <c r="A1116" s="11">
        <f t="shared" si="51"/>
        <v>2073</v>
      </c>
      <c r="B1116" s="10">
        <f t="shared" ca="1" si="49"/>
        <v>67.463674999999995</v>
      </c>
      <c r="C1116" s="10">
        <f t="shared" ca="1" si="49"/>
        <v>67.031391666666664</v>
      </c>
      <c r="D1116" s="10"/>
      <c r="E1116" s="10">
        <f t="shared" ca="1" si="52"/>
        <v>66.894741666666661</v>
      </c>
      <c r="F1116" s="10">
        <f t="shared" ca="1" si="52"/>
        <v>66.894741666666661</v>
      </c>
      <c r="G1116" s="10">
        <f t="shared" ca="1" si="52"/>
        <v>67.166108333333341</v>
      </c>
      <c r="H1116" s="10">
        <f t="shared" ca="1" si="52"/>
        <v>67.031391666666664</v>
      </c>
      <c r="I1116" s="10">
        <f t="shared" ca="1" si="52"/>
        <v>67.031391666666664</v>
      </c>
      <c r="J1116" s="10">
        <f t="shared" ca="1" si="52"/>
        <v>67.031391666666664</v>
      </c>
      <c r="K1116" s="10">
        <f t="shared" ca="1" si="52"/>
        <v>67.031391666666664</v>
      </c>
    </row>
    <row r="1117" spans="1:11" ht="15" x14ac:dyDescent="0.2">
      <c r="A1117" s="11">
        <f t="shared" si="51"/>
        <v>2074</v>
      </c>
      <c r="B1117" s="10">
        <f t="shared" ca="1" si="49"/>
        <v>68.488425000000007</v>
      </c>
      <c r="C1117" s="10">
        <f t="shared" ca="1" si="49"/>
        <v>68.05619999999999</v>
      </c>
      <c r="D1117" s="10"/>
      <c r="E1117" s="10">
        <f t="shared" ca="1" si="52"/>
        <v>67.919525000000007</v>
      </c>
      <c r="F1117" s="10">
        <f t="shared" ca="1" si="52"/>
        <v>67.919525000000007</v>
      </c>
      <c r="G1117" s="10">
        <f t="shared" ca="1" si="52"/>
        <v>68.190908333333326</v>
      </c>
      <c r="H1117" s="10">
        <f t="shared" ca="1" si="52"/>
        <v>68.05619999999999</v>
      </c>
      <c r="I1117" s="10">
        <f t="shared" ca="1" si="52"/>
        <v>68.05619999999999</v>
      </c>
      <c r="J1117" s="10">
        <f t="shared" ca="1" si="52"/>
        <v>68.05619999999999</v>
      </c>
      <c r="K1117" s="10">
        <f t="shared" ca="1" si="52"/>
        <v>68.05619999999999</v>
      </c>
    </row>
    <row r="1118" spans="1:11" ht="15" x14ac:dyDescent="0.2">
      <c r="A1118" s="11">
        <f t="shared" si="51"/>
        <v>2075</v>
      </c>
      <c r="B1118" s="10">
        <f t="shared" ca="1" si="49"/>
        <v>69.529333333333327</v>
      </c>
      <c r="C1118" s="10">
        <f t="shared" ca="1" si="49"/>
        <v>69.097075000000004</v>
      </c>
      <c r="D1118" s="10"/>
      <c r="E1118" s="10">
        <f t="shared" ca="1" si="52"/>
        <v>68.960433333333327</v>
      </c>
      <c r="F1118" s="10">
        <f t="shared" ca="1" si="52"/>
        <v>68.960433333333327</v>
      </c>
      <c r="G1118" s="10">
        <f t="shared" ca="1" si="52"/>
        <v>69.231799999999993</v>
      </c>
      <c r="H1118" s="10">
        <f t="shared" ca="1" si="52"/>
        <v>69.097075000000004</v>
      </c>
      <c r="I1118" s="10">
        <f t="shared" ca="1" si="52"/>
        <v>69.097075000000004</v>
      </c>
      <c r="J1118" s="10">
        <f t="shared" ca="1" si="52"/>
        <v>69.097075000000004</v>
      </c>
      <c r="K1118" s="10">
        <f t="shared" ca="1" si="52"/>
        <v>69.097075000000004</v>
      </c>
    </row>
    <row r="1119" spans="1:11" ht="15" x14ac:dyDescent="0.2">
      <c r="A1119" s="11">
        <f t="shared" si="51"/>
        <v>2076</v>
      </c>
      <c r="B1119" s="10">
        <f t="shared" ca="1" si="49"/>
        <v>70.586574999999996</v>
      </c>
      <c r="C1119" s="10">
        <f t="shared" ca="1" si="49"/>
        <v>70.154358333333334</v>
      </c>
      <c r="D1119" s="10"/>
      <c r="E1119" s="10">
        <f t="shared" ca="1" si="52"/>
        <v>70.017666666666656</v>
      </c>
      <c r="F1119" s="10">
        <f t="shared" ca="1" si="52"/>
        <v>70.017666666666656</v>
      </c>
      <c r="G1119" s="10">
        <f t="shared" ca="1" si="52"/>
        <v>70.28905833333333</v>
      </c>
      <c r="H1119" s="10">
        <f t="shared" ca="1" si="52"/>
        <v>70.154358333333334</v>
      </c>
      <c r="I1119" s="10">
        <f t="shared" ca="1" si="52"/>
        <v>70.154358333333334</v>
      </c>
      <c r="J1119" s="10">
        <f t="shared" ca="1" si="52"/>
        <v>70.154358333333334</v>
      </c>
      <c r="K1119" s="10">
        <f t="shared" ca="1" si="52"/>
        <v>70.154358333333334</v>
      </c>
    </row>
    <row r="1120" spans="1:11" ht="15" x14ac:dyDescent="0.2">
      <c r="A1120" s="11">
        <f t="shared" si="51"/>
        <v>2077</v>
      </c>
      <c r="B1120" s="10">
        <f t="shared" ca="1" si="49"/>
        <v>71.66046666666665</v>
      </c>
      <c r="C1120" s="10">
        <f t="shared" ca="1" si="49"/>
        <v>71.228241666666662</v>
      </c>
      <c r="D1120" s="10"/>
      <c r="E1120" s="10">
        <f t="shared" ca="1" si="52"/>
        <v>71.091558333333339</v>
      </c>
      <c r="F1120" s="10">
        <f t="shared" ca="1" si="52"/>
        <v>71.091558333333339</v>
      </c>
      <c r="G1120" s="10">
        <f t="shared" ca="1" si="52"/>
        <v>71.362958333333324</v>
      </c>
      <c r="H1120" s="10">
        <f t="shared" ca="1" si="52"/>
        <v>71.228241666666662</v>
      </c>
      <c r="I1120" s="10">
        <f t="shared" ca="1" si="52"/>
        <v>71.228241666666662</v>
      </c>
      <c r="J1120" s="10">
        <f t="shared" ca="1" si="52"/>
        <v>71.228241666666662</v>
      </c>
      <c r="K1120" s="10">
        <f t="shared" ca="1" si="52"/>
        <v>71.228241666666662</v>
      </c>
    </row>
    <row r="1121" spans="1:11" ht="15" x14ac:dyDescent="0.2">
      <c r="A1121" s="11">
        <f t="shared" si="51"/>
        <v>2078</v>
      </c>
      <c r="B1121" s="10">
        <f t="shared" ca="1" si="49"/>
        <v>72.751250000000013</v>
      </c>
      <c r="C1121" s="10">
        <f t="shared" ca="1" si="49"/>
        <v>72.319008333333315</v>
      </c>
      <c r="D1121" s="10"/>
      <c r="E1121" s="10">
        <f t="shared" ca="1" si="52"/>
        <v>72.182341666666673</v>
      </c>
      <c r="F1121" s="10">
        <f t="shared" ca="1" si="52"/>
        <v>72.182341666666673</v>
      </c>
      <c r="G1121" s="10">
        <f t="shared" ca="1" si="52"/>
        <v>72.453716666666679</v>
      </c>
      <c r="H1121" s="10">
        <f t="shared" ca="1" si="52"/>
        <v>72.319008333333315</v>
      </c>
      <c r="I1121" s="10">
        <f t="shared" ca="1" si="52"/>
        <v>72.319008333333315</v>
      </c>
      <c r="J1121" s="10">
        <f t="shared" ca="1" si="52"/>
        <v>72.319008333333315</v>
      </c>
      <c r="K1121" s="10">
        <f t="shared" ca="1" si="52"/>
        <v>72.319008333333315</v>
      </c>
    </row>
    <row r="1122" spans="1:11" ht="15" x14ac:dyDescent="0.2">
      <c r="A1122" s="11">
        <f t="shared" si="51"/>
        <v>2079</v>
      </c>
      <c r="B1122" s="10">
        <f t="shared" ca="1" si="49"/>
        <v>73.859175000000008</v>
      </c>
      <c r="C1122" s="10">
        <f t="shared" ca="1" si="49"/>
        <v>73.426933333333324</v>
      </c>
      <c r="D1122" s="10"/>
      <c r="E1122" s="10">
        <f t="shared" ca="1" si="52"/>
        <v>73.290274999999994</v>
      </c>
      <c r="F1122" s="10">
        <f t="shared" ca="1" si="52"/>
        <v>73.290274999999994</v>
      </c>
      <c r="G1122" s="10">
        <f t="shared" ca="1" si="52"/>
        <v>73.561666666666667</v>
      </c>
      <c r="H1122" s="10">
        <f t="shared" ca="1" si="52"/>
        <v>73.426933333333324</v>
      </c>
      <c r="I1122" s="10">
        <f t="shared" ca="1" si="52"/>
        <v>73.426933333333324</v>
      </c>
      <c r="J1122" s="10">
        <f t="shared" ca="1" si="52"/>
        <v>73.426933333333324</v>
      </c>
      <c r="K1122" s="10">
        <f t="shared" ca="1" si="52"/>
        <v>73.426933333333324</v>
      </c>
    </row>
    <row r="1123" spans="1:11" ht="15" x14ac:dyDescent="0.2">
      <c r="A1123" s="11">
        <f t="shared" si="51"/>
        <v>2080</v>
      </c>
      <c r="B1123" s="10">
        <f t="shared" ca="1" si="49"/>
        <v>74.984533333333331</v>
      </c>
      <c r="C1123" s="10">
        <f t="shared" ca="1" si="49"/>
        <v>74.552274999999995</v>
      </c>
      <c r="D1123" s="10"/>
      <c r="E1123" s="10">
        <f t="shared" ca="1" si="52"/>
        <v>74.415633333333332</v>
      </c>
      <c r="F1123" s="10">
        <f t="shared" ca="1" si="52"/>
        <v>74.415633333333332</v>
      </c>
      <c r="G1123" s="10">
        <f t="shared" ca="1" si="52"/>
        <v>74.686999999999998</v>
      </c>
      <c r="H1123" s="10">
        <f t="shared" ca="1" si="52"/>
        <v>74.552274999999995</v>
      </c>
      <c r="I1123" s="10">
        <f t="shared" ca="1" si="52"/>
        <v>74.552274999999995</v>
      </c>
      <c r="J1123" s="10">
        <f t="shared" ca="1" si="52"/>
        <v>74.552274999999995</v>
      </c>
      <c r="K1123" s="10">
        <f t="shared" ca="1" si="52"/>
        <v>74.552274999999995</v>
      </c>
    </row>
    <row r="1124" spans="1:11" ht="15" x14ac:dyDescent="0.2">
      <c r="A1124" s="11">
        <f t="shared" si="51"/>
        <v>2081</v>
      </c>
      <c r="B1124" s="10">
        <f t="shared" ca="1" si="49"/>
        <v>76.127574999999993</v>
      </c>
      <c r="C1124" s="10">
        <f t="shared" ca="1" si="49"/>
        <v>75.695341666666664</v>
      </c>
      <c r="D1124" s="10"/>
      <c r="E1124" s="10">
        <f t="shared" ca="1" si="52"/>
        <v>75.558674999999994</v>
      </c>
      <c r="F1124" s="10">
        <f t="shared" ca="1" si="52"/>
        <v>75.558674999999994</v>
      </c>
      <c r="G1124" s="10">
        <f t="shared" ca="1" si="52"/>
        <v>75.830058333333341</v>
      </c>
      <c r="H1124" s="10">
        <f t="shared" ca="1" si="52"/>
        <v>75.695341666666664</v>
      </c>
      <c r="I1124" s="10">
        <f t="shared" ca="1" si="52"/>
        <v>75.695341666666664</v>
      </c>
      <c r="J1124" s="10">
        <f t="shared" ca="1" si="52"/>
        <v>75.695341666666664</v>
      </c>
      <c r="K1124" s="10">
        <f t="shared" ca="1" si="52"/>
        <v>75.695341666666664</v>
      </c>
    </row>
    <row r="1125" spans="1:11" ht="15" x14ac:dyDescent="0.2">
      <c r="A1125" s="11">
        <f t="shared" si="51"/>
        <v>2082</v>
      </c>
      <c r="B1125" s="10">
        <f t="shared" ref="B1125:C1143" ca="1" si="53">AVERAGE(OFFSET(B$588,($A1125-$A$1105)*12,0,12,1))</f>
        <v>77.288599999999988</v>
      </c>
      <c r="C1125" s="10">
        <f t="shared" ca="1" si="53"/>
        <v>76.856341666666665</v>
      </c>
      <c r="D1125" s="10"/>
      <c r="E1125" s="10">
        <f t="shared" ref="E1125:K1134" ca="1" si="54">AVERAGE(OFFSET(E$588,($A1125-$A$1105)*12,0,12,1))</f>
        <v>76.719700000000003</v>
      </c>
      <c r="F1125" s="10">
        <f t="shared" ca="1" si="54"/>
        <v>76.719700000000003</v>
      </c>
      <c r="G1125" s="10">
        <f t="shared" ca="1" si="54"/>
        <v>76.991050000000001</v>
      </c>
      <c r="H1125" s="10">
        <f t="shared" ca="1" si="54"/>
        <v>76.856341666666665</v>
      </c>
      <c r="I1125" s="10">
        <f t="shared" ca="1" si="54"/>
        <v>76.856341666666665</v>
      </c>
      <c r="J1125" s="10">
        <f t="shared" ca="1" si="54"/>
        <v>76.856341666666665</v>
      </c>
      <c r="K1125" s="10">
        <f t="shared" ca="1" si="54"/>
        <v>76.856341666666665</v>
      </c>
    </row>
    <row r="1126" spans="1:11" ht="15" x14ac:dyDescent="0.2">
      <c r="A1126" s="11">
        <f t="shared" si="51"/>
        <v>2083</v>
      </c>
      <c r="B1126" s="10">
        <f t="shared" ca="1" si="53"/>
        <v>78.467858333333339</v>
      </c>
      <c r="C1126" s="10">
        <f t="shared" ca="1" si="53"/>
        <v>78.03564999999999</v>
      </c>
      <c r="D1126" s="10"/>
      <c r="E1126" s="10">
        <f t="shared" ca="1" si="54"/>
        <v>77.898949999999999</v>
      </c>
      <c r="F1126" s="10">
        <f t="shared" ca="1" si="54"/>
        <v>77.898949999999999</v>
      </c>
      <c r="G1126" s="10">
        <f t="shared" ca="1" si="54"/>
        <v>78.170349999999999</v>
      </c>
      <c r="H1126" s="10">
        <f t="shared" ca="1" si="54"/>
        <v>78.03564999999999</v>
      </c>
      <c r="I1126" s="10">
        <f t="shared" ca="1" si="54"/>
        <v>78.03564999999999</v>
      </c>
      <c r="J1126" s="10">
        <f t="shared" ca="1" si="54"/>
        <v>78.03564999999999</v>
      </c>
      <c r="K1126" s="10">
        <f t="shared" ca="1" si="54"/>
        <v>78.03564999999999</v>
      </c>
    </row>
    <row r="1127" spans="1:11" ht="15" x14ac:dyDescent="0.2">
      <c r="A1127" s="11">
        <f t="shared" si="51"/>
        <v>2084</v>
      </c>
      <c r="B1127" s="10">
        <f t="shared" ca="1" si="53"/>
        <v>79.665691666666689</v>
      </c>
      <c r="C1127" s="10">
        <f t="shared" ca="1" si="53"/>
        <v>79.233449999999991</v>
      </c>
      <c r="D1127" s="10"/>
      <c r="E1127" s="10">
        <f t="shared" ca="1" si="54"/>
        <v>79.09678333333332</v>
      </c>
      <c r="F1127" s="10">
        <f t="shared" ca="1" si="54"/>
        <v>79.09678333333332</v>
      </c>
      <c r="G1127" s="10">
        <f t="shared" ca="1" si="54"/>
        <v>79.368174999999994</v>
      </c>
      <c r="H1127" s="10">
        <f t="shared" ca="1" si="54"/>
        <v>79.233449999999991</v>
      </c>
      <c r="I1127" s="10">
        <f t="shared" ca="1" si="54"/>
        <v>79.233449999999991</v>
      </c>
      <c r="J1127" s="10">
        <f t="shared" ca="1" si="54"/>
        <v>79.233449999999991</v>
      </c>
      <c r="K1127" s="10">
        <f t="shared" ca="1" si="54"/>
        <v>79.233449999999991</v>
      </c>
    </row>
    <row r="1128" spans="1:11" ht="15" x14ac:dyDescent="0.2">
      <c r="A1128" s="11">
        <f t="shared" si="51"/>
        <v>2085</v>
      </c>
      <c r="B1128" s="10">
        <f t="shared" ca="1" si="53"/>
        <v>80.882349999999988</v>
      </c>
      <c r="C1128" s="10">
        <f t="shared" ca="1" si="53"/>
        <v>80.450099999999992</v>
      </c>
      <c r="D1128" s="10"/>
      <c r="E1128" s="10">
        <f t="shared" ca="1" si="54"/>
        <v>80.313450000000003</v>
      </c>
      <c r="F1128" s="10">
        <f t="shared" ca="1" si="54"/>
        <v>80.313450000000003</v>
      </c>
      <c r="G1128" s="10">
        <f t="shared" ca="1" si="54"/>
        <v>80.584816666666669</v>
      </c>
      <c r="H1128" s="10">
        <f t="shared" ca="1" si="54"/>
        <v>80.450099999999992</v>
      </c>
      <c r="I1128" s="10">
        <f t="shared" ca="1" si="54"/>
        <v>80.450099999999992</v>
      </c>
      <c r="J1128" s="10">
        <f t="shared" ca="1" si="54"/>
        <v>80.450099999999992</v>
      </c>
      <c r="K1128" s="10">
        <f t="shared" ca="1" si="54"/>
        <v>80.450099999999992</v>
      </c>
    </row>
    <row r="1129" spans="1:11" ht="15" x14ac:dyDescent="0.2">
      <c r="A1129" s="11">
        <f t="shared" si="51"/>
        <v>2086</v>
      </c>
      <c r="B1129" s="10">
        <f t="shared" ca="1" si="53"/>
        <v>82.118158333333341</v>
      </c>
      <c r="C1129" s="10">
        <f t="shared" ca="1" si="53"/>
        <v>81.685874999999996</v>
      </c>
      <c r="D1129" s="10"/>
      <c r="E1129" s="10">
        <f t="shared" ca="1" si="54"/>
        <v>81.549249999999986</v>
      </c>
      <c r="F1129" s="10">
        <f t="shared" ca="1" si="54"/>
        <v>81.549249999999986</v>
      </c>
      <c r="G1129" s="10">
        <f t="shared" ca="1" si="54"/>
        <v>81.820600000000013</v>
      </c>
      <c r="H1129" s="10">
        <f t="shared" ca="1" si="54"/>
        <v>81.685874999999996</v>
      </c>
      <c r="I1129" s="10">
        <f t="shared" ca="1" si="54"/>
        <v>81.685874999999996</v>
      </c>
      <c r="J1129" s="10">
        <f t="shared" ca="1" si="54"/>
        <v>81.685874999999996</v>
      </c>
      <c r="K1129" s="10">
        <f t="shared" ca="1" si="54"/>
        <v>81.685874999999996</v>
      </c>
    </row>
    <row r="1130" spans="1:11" ht="15" x14ac:dyDescent="0.2">
      <c r="A1130" s="11">
        <f t="shared" si="51"/>
        <v>2087</v>
      </c>
      <c r="B1130" s="10">
        <f t="shared" ca="1" si="53"/>
        <v>83.373358333333343</v>
      </c>
      <c r="C1130" s="10">
        <f t="shared" ca="1" si="53"/>
        <v>82.941108333333332</v>
      </c>
      <c r="D1130" s="10"/>
      <c r="E1130" s="10">
        <f t="shared" ca="1" si="54"/>
        <v>82.804458333333343</v>
      </c>
      <c r="F1130" s="10">
        <f t="shared" ca="1" si="54"/>
        <v>82.804458333333343</v>
      </c>
      <c r="G1130" s="10">
        <f t="shared" ca="1" si="54"/>
        <v>83.075833333333335</v>
      </c>
      <c r="H1130" s="10">
        <f t="shared" ca="1" si="54"/>
        <v>82.941108333333332</v>
      </c>
      <c r="I1130" s="10">
        <f t="shared" ca="1" si="54"/>
        <v>82.941108333333332</v>
      </c>
      <c r="J1130" s="10">
        <f t="shared" ca="1" si="54"/>
        <v>82.941108333333332</v>
      </c>
      <c r="K1130" s="10">
        <f t="shared" ca="1" si="54"/>
        <v>82.941108333333332</v>
      </c>
    </row>
    <row r="1131" spans="1:11" ht="15" x14ac:dyDescent="0.2">
      <c r="A1131" s="11">
        <f t="shared" si="51"/>
        <v>2088</v>
      </c>
      <c r="B1131" s="10">
        <f t="shared" ca="1" si="53"/>
        <v>84.648308333333333</v>
      </c>
      <c r="C1131" s="10">
        <f t="shared" ca="1" si="53"/>
        <v>84.216091666666657</v>
      </c>
      <c r="D1131" s="10"/>
      <c r="E1131" s="10">
        <f t="shared" ca="1" si="54"/>
        <v>84.079408333333348</v>
      </c>
      <c r="F1131" s="10">
        <f t="shared" ca="1" si="54"/>
        <v>84.079408333333348</v>
      </c>
      <c r="G1131" s="10">
        <f t="shared" ca="1" si="54"/>
        <v>84.350800000000007</v>
      </c>
      <c r="H1131" s="10">
        <f t="shared" ca="1" si="54"/>
        <v>84.216091666666657</v>
      </c>
      <c r="I1131" s="10">
        <f t="shared" ca="1" si="54"/>
        <v>84.216091666666657</v>
      </c>
      <c r="J1131" s="10">
        <f t="shared" ca="1" si="54"/>
        <v>84.216091666666657</v>
      </c>
      <c r="K1131" s="10">
        <f t="shared" ca="1" si="54"/>
        <v>84.216091666666657</v>
      </c>
    </row>
    <row r="1132" spans="1:11" ht="15" x14ac:dyDescent="0.2">
      <c r="A1132" s="11">
        <f t="shared" si="51"/>
        <v>2089</v>
      </c>
      <c r="B1132" s="10">
        <f t="shared" ca="1" si="53"/>
        <v>85.943325000000002</v>
      </c>
      <c r="C1132" s="10">
        <f t="shared" ca="1" si="53"/>
        <v>85.511083333333318</v>
      </c>
      <c r="D1132" s="10"/>
      <c r="E1132" s="10">
        <f t="shared" ca="1" si="54"/>
        <v>85.374424999999988</v>
      </c>
      <c r="F1132" s="10">
        <f t="shared" ca="1" si="54"/>
        <v>85.374424999999988</v>
      </c>
      <c r="G1132" s="10">
        <f t="shared" ca="1" si="54"/>
        <v>85.645800000000008</v>
      </c>
      <c r="H1132" s="10">
        <f t="shared" ca="1" si="54"/>
        <v>85.511083333333318</v>
      </c>
      <c r="I1132" s="10">
        <f t="shared" ca="1" si="54"/>
        <v>85.511083333333318</v>
      </c>
      <c r="J1132" s="10">
        <f t="shared" ca="1" si="54"/>
        <v>85.511083333333318</v>
      </c>
      <c r="K1132" s="10">
        <f t="shared" ca="1" si="54"/>
        <v>85.511083333333318</v>
      </c>
    </row>
    <row r="1133" spans="1:11" ht="15" x14ac:dyDescent="0.2">
      <c r="A1133" s="11">
        <f t="shared" si="51"/>
        <v>2090</v>
      </c>
      <c r="B1133" s="10">
        <f t="shared" ca="1" si="53"/>
        <v>87.258708333333345</v>
      </c>
      <c r="C1133" s="10">
        <f t="shared" ca="1" si="53"/>
        <v>86.826441666666653</v>
      </c>
      <c r="D1133" s="10"/>
      <c r="E1133" s="10">
        <f t="shared" ca="1" si="54"/>
        <v>86.689808333333346</v>
      </c>
      <c r="F1133" s="10">
        <f t="shared" ca="1" si="54"/>
        <v>86.689808333333346</v>
      </c>
      <c r="G1133" s="10">
        <f t="shared" ca="1" si="54"/>
        <v>86.96115833333333</v>
      </c>
      <c r="H1133" s="10">
        <f t="shared" ca="1" si="54"/>
        <v>86.826441666666653</v>
      </c>
      <c r="I1133" s="10">
        <f t="shared" ca="1" si="54"/>
        <v>86.826441666666653</v>
      </c>
      <c r="J1133" s="10">
        <f t="shared" ca="1" si="54"/>
        <v>86.826441666666653</v>
      </c>
      <c r="K1133" s="10">
        <f t="shared" ca="1" si="54"/>
        <v>86.826441666666653</v>
      </c>
    </row>
    <row r="1134" spans="1:11" ht="15" x14ac:dyDescent="0.2">
      <c r="A1134" s="11">
        <f t="shared" si="51"/>
        <v>2091</v>
      </c>
      <c r="B1134" s="10">
        <f t="shared" ca="1" si="53"/>
        <v>88.594749999999991</v>
      </c>
      <c r="C1134" s="10">
        <f t="shared" ca="1" si="53"/>
        <v>88.162508333333335</v>
      </c>
      <c r="D1134" s="10"/>
      <c r="E1134" s="10">
        <f t="shared" ca="1" si="54"/>
        <v>88.025841666666679</v>
      </c>
      <c r="F1134" s="10">
        <f t="shared" ca="1" si="54"/>
        <v>88.025841666666679</v>
      </c>
      <c r="G1134" s="10">
        <f t="shared" ca="1" si="54"/>
        <v>88.297225000000012</v>
      </c>
      <c r="H1134" s="10">
        <f t="shared" ca="1" si="54"/>
        <v>88.162508333333335</v>
      </c>
      <c r="I1134" s="10">
        <f t="shared" ca="1" si="54"/>
        <v>88.162508333333335</v>
      </c>
      <c r="J1134" s="10">
        <f t="shared" ca="1" si="54"/>
        <v>88.162508333333335</v>
      </c>
      <c r="K1134" s="10">
        <f t="shared" ca="1" si="54"/>
        <v>88.162508333333335</v>
      </c>
    </row>
    <row r="1135" spans="1:11" ht="15" x14ac:dyDescent="0.2">
      <c r="A1135" s="11">
        <f t="shared" si="51"/>
        <v>2092</v>
      </c>
      <c r="B1135" s="10">
        <f t="shared" ca="1" si="53"/>
        <v>89.951841666666667</v>
      </c>
      <c r="C1135" s="10">
        <f t="shared" ca="1" si="53"/>
        <v>89.519566666666663</v>
      </c>
      <c r="D1135" s="10"/>
      <c r="E1135" s="10">
        <f t="shared" ref="E1135:K1143" ca="1" si="55">AVERAGE(OFFSET(E$588,($A1135-$A$1105)*12,0,12,1))</f>
        <v>89.382933333333355</v>
      </c>
      <c r="F1135" s="10">
        <f t="shared" ca="1" si="55"/>
        <v>89.382933333333355</v>
      </c>
      <c r="G1135" s="10">
        <f t="shared" ca="1" si="55"/>
        <v>89.654291666666666</v>
      </c>
      <c r="H1135" s="10">
        <f t="shared" ca="1" si="55"/>
        <v>89.519566666666663</v>
      </c>
      <c r="I1135" s="10">
        <f t="shared" ca="1" si="55"/>
        <v>89.519566666666663</v>
      </c>
      <c r="J1135" s="10">
        <f t="shared" ca="1" si="55"/>
        <v>89.519566666666663</v>
      </c>
      <c r="K1135" s="10">
        <f t="shared" ca="1" si="55"/>
        <v>89.519566666666663</v>
      </c>
    </row>
    <row r="1136" spans="1:11" ht="15" x14ac:dyDescent="0.2">
      <c r="A1136" s="11">
        <f t="shared" si="51"/>
        <v>2093</v>
      </c>
      <c r="B1136" s="10">
        <f t="shared" ca="1" si="53"/>
        <v>91.330233333333354</v>
      </c>
      <c r="C1136" s="10">
        <f t="shared" ca="1" si="53"/>
        <v>90.897975000000017</v>
      </c>
      <c r="D1136" s="10"/>
      <c r="E1136" s="10">
        <f t="shared" ca="1" si="55"/>
        <v>90.761316666666673</v>
      </c>
      <c r="F1136" s="10">
        <f t="shared" ca="1" si="55"/>
        <v>90.761316666666673</v>
      </c>
      <c r="G1136" s="10">
        <f t="shared" ca="1" si="55"/>
        <v>91.032699999999991</v>
      </c>
      <c r="H1136" s="10">
        <f t="shared" ca="1" si="55"/>
        <v>90.897975000000017</v>
      </c>
      <c r="I1136" s="10">
        <f t="shared" ca="1" si="55"/>
        <v>90.897975000000017</v>
      </c>
      <c r="J1136" s="10">
        <f t="shared" ca="1" si="55"/>
        <v>90.897975000000017</v>
      </c>
      <c r="K1136" s="10">
        <f t="shared" ca="1" si="55"/>
        <v>90.897975000000017</v>
      </c>
    </row>
    <row r="1137" spans="1:11" ht="15" x14ac:dyDescent="0.2">
      <c r="A1137" s="11">
        <f t="shared" si="51"/>
        <v>2094</v>
      </c>
      <c r="B1137" s="10">
        <f t="shared" ca="1" si="53"/>
        <v>92.730316666666667</v>
      </c>
      <c r="C1137" s="10">
        <f t="shared" ca="1" si="53"/>
        <v>92.298066666666671</v>
      </c>
      <c r="D1137" s="10"/>
      <c r="E1137" s="10">
        <f t="shared" ca="1" si="55"/>
        <v>92.161408333333327</v>
      </c>
      <c r="F1137" s="10">
        <f t="shared" ca="1" si="55"/>
        <v>92.161408333333327</v>
      </c>
      <c r="G1137" s="10">
        <f t="shared" ca="1" si="55"/>
        <v>92.432783333333319</v>
      </c>
      <c r="H1137" s="10">
        <f t="shared" ca="1" si="55"/>
        <v>92.298066666666671</v>
      </c>
      <c r="I1137" s="10">
        <f t="shared" ca="1" si="55"/>
        <v>92.298066666666671</v>
      </c>
      <c r="J1137" s="10">
        <f t="shared" ca="1" si="55"/>
        <v>92.298066666666671</v>
      </c>
      <c r="K1137" s="10">
        <f t="shared" ca="1" si="55"/>
        <v>92.298066666666671</v>
      </c>
    </row>
    <row r="1138" spans="1:11" ht="15" x14ac:dyDescent="0.2">
      <c r="A1138" s="11">
        <f t="shared" si="51"/>
        <v>2095</v>
      </c>
      <c r="B1138" s="10">
        <f t="shared" ca="1" si="53"/>
        <v>94.152416666666667</v>
      </c>
      <c r="C1138" s="10">
        <f t="shared" ca="1" si="53"/>
        <v>93.720166666666671</v>
      </c>
      <c r="D1138" s="10"/>
      <c r="E1138" s="10">
        <f t="shared" ca="1" si="55"/>
        <v>93.583516666666654</v>
      </c>
      <c r="F1138" s="10">
        <f t="shared" ca="1" si="55"/>
        <v>93.583516666666654</v>
      </c>
      <c r="G1138" s="10">
        <f t="shared" ca="1" si="55"/>
        <v>93.854883333333319</v>
      </c>
      <c r="H1138" s="10">
        <f t="shared" ca="1" si="55"/>
        <v>93.720166666666671</v>
      </c>
      <c r="I1138" s="10">
        <f t="shared" ca="1" si="55"/>
        <v>93.720166666666671</v>
      </c>
      <c r="J1138" s="10">
        <f t="shared" ca="1" si="55"/>
        <v>93.720166666666671</v>
      </c>
      <c r="K1138" s="10">
        <f t="shared" ca="1" si="55"/>
        <v>93.720166666666671</v>
      </c>
    </row>
    <row r="1139" spans="1:11" ht="15" x14ac:dyDescent="0.2">
      <c r="A1139" s="11">
        <f t="shared" si="51"/>
        <v>2096</v>
      </c>
      <c r="B1139" s="10">
        <f t="shared" ca="1" si="53"/>
        <v>95.59685833333333</v>
      </c>
      <c r="C1139" s="10">
        <f t="shared" ca="1" si="53"/>
        <v>95.164625000000001</v>
      </c>
      <c r="D1139" s="10"/>
      <c r="E1139" s="10">
        <f t="shared" ca="1" si="55"/>
        <v>95.027941666666663</v>
      </c>
      <c r="F1139" s="10">
        <f t="shared" ca="1" si="55"/>
        <v>95.027941666666663</v>
      </c>
      <c r="G1139" s="10">
        <f t="shared" ca="1" si="55"/>
        <v>95.299324999999996</v>
      </c>
      <c r="H1139" s="10">
        <f t="shared" ca="1" si="55"/>
        <v>95.164625000000001</v>
      </c>
      <c r="I1139" s="10">
        <f t="shared" ca="1" si="55"/>
        <v>95.164625000000001</v>
      </c>
      <c r="J1139" s="10">
        <f t="shared" ca="1" si="55"/>
        <v>95.164625000000001</v>
      </c>
      <c r="K1139" s="10">
        <f t="shared" ca="1" si="55"/>
        <v>95.164625000000001</v>
      </c>
    </row>
    <row r="1140" spans="1:11" ht="15" x14ac:dyDescent="0.2">
      <c r="A1140" s="11">
        <f t="shared" si="51"/>
        <v>2097</v>
      </c>
      <c r="B1140" s="10">
        <f t="shared" ca="1" si="53"/>
        <v>97.064033333333342</v>
      </c>
      <c r="C1140" s="10">
        <f t="shared" ca="1" si="53"/>
        <v>96.631799999999998</v>
      </c>
      <c r="D1140" s="10"/>
      <c r="E1140" s="10">
        <f t="shared" ca="1" si="55"/>
        <v>96.495133333333328</v>
      </c>
      <c r="F1140" s="10">
        <f t="shared" ca="1" si="55"/>
        <v>96.495133333333328</v>
      </c>
      <c r="G1140" s="10">
        <f t="shared" ca="1" si="55"/>
        <v>96.766525000000001</v>
      </c>
      <c r="H1140" s="10">
        <f t="shared" ca="1" si="55"/>
        <v>96.631799999999998</v>
      </c>
      <c r="I1140" s="10">
        <f t="shared" ca="1" si="55"/>
        <v>96.631799999999998</v>
      </c>
      <c r="J1140" s="10">
        <f t="shared" ca="1" si="55"/>
        <v>96.631799999999998</v>
      </c>
      <c r="K1140" s="10">
        <f t="shared" ca="1" si="55"/>
        <v>96.631799999999998</v>
      </c>
    </row>
    <row r="1141" spans="1:11" ht="15" x14ac:dyDescent="0.2">
      <c r="A1141" s="11">
        <f t="shared" si="51"/>
        <v>2098</v>
      </c>
      <c r="B1141" s="10">
        <f t="shared" ca="1" si="53"/>
        <v>98.554275000000018</v>
      </c>
      <c r="C1141" s="10">
        <f t="shared" ca="1" si="53"/>
        <v>98.122050000000002</v>
      </c>
      <c r="D1141" s="10"/>
      <c r="E1141" s="10">
        <f t="shared" ca="1" si="55"/>
        <v>97.985374999999991</v>
      </c>
      <c r="F1141" s="10">
        <f t="shared" ca="1" si="55"/>
        <v>97.985374999999991</v>
      </c>
      <c r="G1141" s="10">
        <f t="shared" ca="1" si="55"/>
        <v>98.256766666666678</v>
      </c>
      <c r="H1141" s="10">
        <f t="shared" ca="1" si="55"/>
        <v>98.122050000000002</v>
      </c>
      <c r="I1141" s="10">
        <f t="shared" ca="1" si="55"/>
        <v>98.122050000000002</v>
      </c>
      <c r="J1141" s="10">
        <f t="shared" ca="1" si="55"/>
        <v>98.122050000000002</v>
      </c>
      <c r="K1141" s="10">
        <f t="shared" ca="1" si="55"/>
        <v>98.122050000000002</v>
      </c>
    </row>
    <row r="1142" spans="1:11" ht="15" x14ac:dyDescent="0.2">
      <c r="A1142" s="11">
        <f t="shared" si="51"/>
        <v>2099</v>
      </c>
      <c r="B1142" s="10">
        <f t="shared" ca="1" si="53"/>
        <v>100.06795</v>
      </c>
      <c r="C1142" s="10">
        <f t="shared" ca="1" si="53"/>
        <v>99.635716666666667</v>
      </c>
      <c r="D1142" s="10"/>
      <c r="E1142" s="10">
        <f t="shared" ca="1" si="55"/>
        <v>99.499050000000011</v>
      </c>
      <c r="F1142" s="10">
        <f t="shared" ca="1" si="55"/>
        <v>99.499050000000011</v>
      </c>
      <c r="G1142" s="10">
        <f t="shared" ca="1" si="55"/>
        <v>99.770433333333315</v>
      </c>
      <c r="H1142" s="10">
        <f t="shared" ca="1" si="55"/>
        <v>99.635716666666667</v>
      </c>
      <c r="I1142" s="10">
        <f t="shared" ca="1" si="55"/>
        <v>99.635716666666667</v>
      </c>
      <c r="J1142" s="10">
        <f t="shared" ca="1" si="55"/>
        <v>99.635716666666667</v>
      </c>
      <c r="K1142" s="10">
        <f t="shared" ca="1" si="55"/>
        <v>99.635716666666667</v>
      </c>
    </row>
    <row r="1143" spans="1:11" ht="15" x14ac:dyDescent="0.2">
      <c r="A1143" s="11">
        <f t="shared" si="51"/>
        <v>2100</v>
      </c>
      <c r="B1143" s="10">
        <f t="shared" ca="1" si="53"/>
        <v>101.60544166666665</v>
      </c>
      <c r="C1143" s="10">
        <f t="shared" ca="1" si="53"/>
        <v>101.17320833333332</v>
      </c>
      <c r="D1143" s="10"/>
      <c r="E1143" s="10">
        <f t="shared" ca="1" si="55"/>
        <v>101.03653333333331</v>
      </c>
      <c r="F1143" s="10">
        <f t="shared" ca="1" si="55"/>
        <v>101.03653333333331</v>
      </c>
      <c r="G1143" s="10">
        <f t="shared" ca="1" si="55"/>
        <v>101.30791666666666</v>
      </c>
      <c r="H1143" s="10">
        <f t="shared" ca="1" si="55"/>
        <v>101.17320833333332</v>
      </c>
      <c r="I1143" s="10">
        <f t="shared" ca="1" si="55"/>
        <v>101.17320833333332</v>
      </c>
      <c r="J1143" s="10">
        <f t="shared" ca="1" si="55"/>
        <v>101.17320833333332</v>
      </c>
      <c r="K1143" s="10">
        <f t="shared" ca="1" si="55"/>
        <v>101.17320833333332</v>
      </c>
    </row>
    <row r="1144" spans="1:11" x14ac:dyDescent="0.2">
      <c r="A1144" s="8"/>
    </row>
    <row r="1145" spans="1:11" x14ac:dyDescent="0.2">
      <c r="A1145" s="8"/>
    </row>
    <row r="1146" spans="1:11" x14ac:dyDescent="0.2">
      <c r="A1146" s="8"/>
    </row>
    <row r="1147" spans="1:11" x14ac:dyDescent="0.2">
      <c r="A1147" s="8"/>
    </row>
    <row r="1148" spans="1:11" x14ac:dyDescent="0.2">
      <c r="A1148" s="8"/>
    </row>
    <row r="1149" spans="1:11" x14ac:dyDescent="0.2">
      <c r="A1149" s="8"/>
    </row>
    <row r="1150" spans="1:11" x14ac:dyDescent="0.2">
      <c r="A1150" s="8"/>
    </row>
    <row r="1151" spans="1:11" x14ac:dyDescent="0.2">
      <c r="A1151" s="8"/>
    </row>
    <row r="1152" spans="1:11" x14ac:dyDescent="0.2">
      <c r="A1152" s="8"/>
    </row>
    <row r="1153" spans="1:1" x14ac:dyDescent="0.2">
      <c r="A1153" s="8"/>
    </row>
    <row r="1154" spans="1:1" x14ac:dyDescent="0.2">
      <c r="A1154" s="8"/>
    </row>
    <row r="1155" spans="1:1" x14ac:dyDescent="0.2">
      <c r="A1155" s="8"/>
    </row>
    <row r="1156" spans="1:1" x14ac:dyDescent="0.2">
      <c r="A1156" s="8"/>
    </row>
    <row r="1157" spans="1:1" x14ac:dyDescent="0.2">
      <c r="A1157" s="8"/>
    </row>
    <row r="1158" spans="1:1" x14ac:dyDescent="0.2">
      <c r="A1158" s="8"/>
    </row>
    <row r="1159" spans="1:1" x14ac:dyDescent="0.2">
      <c r="A1159" s="8"/>
    </row>
    <row r="1160" spans="1:1" x14ac:dyDescent="0.2">
      <c r="A1160" s="8"/>
    </row>
    <row r="1161" spans="1:1" x14ac:dyDescent="0.2">
      <c r="A1161" s="8"/>
    </row>
    <row r="1162" spans="1:1" x14ac:dyDescent="0.2">
      <c r="A1162" s="8"/>
    </row>
    <row r="1163" spans="1:1" x14ac:dyDescent="0.2">
      <c r="A1163" s="8"/>
    </row>
  </sheetData>
  <pageMargins left="0.25" right="0.25" top="0.5" bottom="0.5" header="0.25" footer="0.25"/>
  <pageSetup paperSize="5" scale="80" orientation="landscape" r:id="rId1"/>
  <headerFooter alignWithMargins="0">
    <oddFooter>&amp;R&amp;A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Drop Down 1">
              <controlPr locked="0" defaultSize="0" autoLine="0" autoPict="0">
                <anchor moveWithCells="1">
                  <from>
                    <xdr:col>6</xdr:col>
                    <xdr:colOff>95250</xdr:colOff>
                    <xdr:row>7</xdr:row>
                    <xdr:rowOff>28575</xdr:rowOff>
                  </from>
                  <to>
                    <xdr:col>7</xdr:col>
                    <xdr:colOff>123825</xdr:colOff>
                    <xdr:row>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Drop Down 2">
              <controlPr locked="0" defaultSize="0" autoLine="0" autoPict="0">
                <anchor moveWithCells="1">
                  <from>
                    <xdr:col>7</xdr:col>
                    <xdr:colOff>295275</xdr:colOff>
                    <xdr:row>7</xdr:row>
                    <xdr:rowOff>57150</xdr:rowOff>
                  </from>
                  <to>
                    <xdr:col>8</xdr:col>
                    <xdr:colOff>314325</xdr:colOff>
                    <xdr:row>8</xdr:row>
                    <xdr:rowOff>133350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7"/>
  <dimension ref="A1:K1163"/>
  <sheetViews>
    <sheetView zoomScale="70" zoomScaleNormal="70" workbookViewId="0">
      <pane xSplit="1" ySplit="11" topLeftCell="B12" activePane="bottomRight" state="frozen"/>
      <selection activeCell="A12" sqref="A11:A12"/>
      <selection pane="topRight" activeCell="A12" sqref="A11:A12"/>
      <selection pane="bottomLeft" activeCell="A12" sqref="A11:A12"/>
      <selection pane="bottomRight" activeCell="B12" sqref="B12"/>
    </sheetView>
  </sheetViews>
  <sheetFormatPr defaultColWidth="7.109375" defaultRowHeight="12.75" x14ac:dyDescent="0.2"/>
  <cols>
    <col min="1" max="1" width="18.44140625" style="9" customWidth="1"/>
    <col min="2" max="3" width="14.5546875" style="9" customWidth="1"/>
    <col min="4" max="4" width="16.88671875" style="9" customWidth="1"/>
    <col min="5" max="5" width="14.5546875" style="9" customWidth="1"/>
    <col min="6" max="6" width="16.77734375" style="9" customWidth="1"/>
    <col min="7" max="9" width="14.5546875" style="9" customWidth="1"/>
    <col min="10" max="10" width="12.21875" style="8" customWidth="1"/>
    <col min="11" max="11" width="9.6640625" style="8" customWidth="1"/>
    <col min="12" max="16384" width="7.109375" style="8"/>
  </cols>
  <sheetData>
    <row r="1" spans="1:10" ht="15.75" x14ac:dyDescent="0.25">
      <c r="A1" s="101" t="s">
        <v>91</v>
      </c>
    </row>
    <row r="2" spans="1:10" ht="15.75" x14ac:dyDescent="0.25">
      <c r="A2" s="101" t="s">
        <v>92</v>
      </c>
    </row>
    <row r="3" spans="1:10" ht="15.75" x14ac:dyDescent="0.25">
      <c r="A3" s="101" t="s">
        <v>93</v>
      </c>
    </row>
    <row r="4" spans="1:10" ht="15.75" x14ac:dyDescent="0.25">
      <c r="A4" s="101" t="s">
        <v>94</v>
      </c>
    </row>
    <row r="5" spans="1:10" ht="15.75" x14ac:dyDescent="0.25">
      <c r="A5" s="101" t="s">
        <v>96</v>
      </c>
    </row>
    <row r="6" spans="1:10" ht="15.75" x14ac:dyDescent="0.25">
      <c r="A6" s="101" t="s">
        <v>98</v>
      </c>
    </row>
    <row r="8" spans="1:10" ht="15.75" x14ac:dyDescent="0.25">
      <c r="A8" s="30" t="s">
        <v>28</v>
      </c>
      <c r="B8" s="31"/>
      <c r="C8" s="24"/>
    </row>
    <row r="9" spans="1:10" ht="15.75" x14ac:dyDescent="0.25">
      <c r="A9" s="30"/>
      <c r="B9" s="24"/>
      <c r="C9" s="24"/>
      <c r="D9" s="23" t="s">
        <v>27</v>
      </c>
      <c r="E9" s="22">
        <f>1-0.263</f>
        <v>0.73699999999999999</v>
      </c>
      <c r="F9" s="23" t="s">
        <v>26</v>
      </c>
      <c r="G9" s="22">
        <f>1+0.263</f>
        <v>1.2629999999999999</v>
      </c>
    </row>
    <row r="10" spans="1:10" s="18" customFormat="1" ht="34.9" customHeight="1" x14ac:dyDescent="0.25">
      <c r="B10" s="21" t="s">
        <v>38</v>
      </c>
      <c r="C10" s="19" t="s">
        <v>37</v>
      </c>
      <c r="D10" s="21" t="s">
        <v>36</v>
      </c>
      <c r="E10" s="21" t="s">
        <v>35</v>
      </c>
      <c r="F10" s="21" t="s">
        <v>34</v>
      </c>
      <c r="G10" s="19" t="s">
        <v>33</v>
      </c>
      <c r="H10" s="19" t="s">
        <v>32</v>
      </c>
      <c r="I10" s="21" t="s">
        <v>31</v>
      </c>
      <c r="J10" s="19" t="s">
        <v>30</v>
      </c>
    </row>
    <row r="11" spans="1:10" s="18" customFormat="1" ht="21" customHeight="1" x14ac:dyDescent="0.25">
      <c r="A11" s="20" t="s">
        <v>15</v>
      </c>
      <c r="B11" s="20" t="s">
        <v>14</v>
      </c>
      <c r="C11" s="20" t="s">
        <v>14</v>
      </c>
      <c r="D11" s="20" t="s">
        <v>14</v>
      </c>
      <c r="E11" s="20" t="s">
        <v>14</v>
      </c>
      <c r="F11" s="20" t="s">
        <v>14</v>
      </c>
      <c r="G11" s="20" t="s">
        <v>14</v>
      </c>
      <c r="H11" s="20" t="s">
        <v>14</v>
      </c>
      <c r="I11" s="20" t="s">
        <v>14</v>
      </c>
      <c r="J11" s="20" t="s">
        <v>29</v>
      </c>
    </row>
    <row r="12" spans="1:10" ht="15" x14ac:dyDescent="0.2">
      <c r="A12" s="16">
        <v>41640</v>
      </c>
      <c r="B12" s="10">
        <v>16.436064253071699</v>
      </c>
      <c r="C12" s="10">
        <v>15.500883217915501</v>
      </c>
      <c r="D12" s="10">
        <v>15.493070717915501</v>
      </c>
      <c r="E12" s="28">
        <v>16.288836342915499</v>
      </c>
      <c r="F12" s="27">
        <v>16.279814253071699</v>
      </c>
      <c r="G12" s="10">
        <v>15.4993207179155</v>
      </c>
      <c r="H12" s="10">
        <v>15.4993207179155</v>
      </c>
      <c r="I12" s="10">
        <v>15.500883217915501</v>
      </c>
      <c r="J12" s="29">
        <f>98.77</f>
        <v>98.77</v>
      </c>
    </row>
    <row r="13" spans="1:10" ht="15" x14ac:dyDescent="0.2">
      <c r="A13" s="16">
        <v>41671</v>
      </c>
      <c r="B13" s="10">
        <v>16.992829878071699</v>
      </c>
      <c r="C13" s="10">
        <v>21.392476967915499</v>
      </c>
      <c r="D13" s="10">
        <v>21.384664467915499</v>
      </c>
      <c r="E13" s="28">
        <v>16.845601967915499</v>
      </c>
      <c r="F13" s="27">
        <v>16.836579878071699</v>
      </c>
      <c r="G13" s="10">
        <v>21.390914467915501</v>
      </c>
      <c r="H13" s="10">
        <v>21.390914467915501</v>
      </c>
      <c r="I13" s="10">
        <v>21.392476967915499</v>
      </c>
      <c r="J13" s="29">
        <f>94.99</f>
        <v>94.99</v>
      </c>
    </row>
    <row r="14" spans="1:10" ht="15" x14ac:dyDescent="0.2">
      <c r="A14" s="16">
        <v>41699</v>
      </c>
      <c r="B14" s="10">
        <f>16.125 * CHOOSE(CONTROL!$C$15, $E$9, 100%, $G$9) + CHOOSE(CONTROL!$C$38, 0.0256, 0)</f>
        <v>16.150600000000001</v>
      </c>
      <c r="C14" s="10">
        <f>15.2656 * CHOOSE(CONTROL!$C$15, $E$9, 100%, $G$9) + CHOOSE(CONTROL!$C$38, 0.0347, 0)</f>
        <v>15.3003</v>
      </c>
      <c r="D14" s="10">
        <f>15.2578 * CHOOSE(CONTROL!$C$15, $E$9, 100%, $G$9) + CHOOSE(CONTROL!$C$38, 0.0347, 0)</f>
        <v>15.2925</v>
      </c>
      <c r="E14" s="28">
        <f>15.9688 * CHOOSE(CONTROL!$C$15, $E$9, 100%, $G$9) + CHOOSE(CONTROL!$C$38, 0.0347, 0)</f>
        <v>16.003499999999999</v>
      </c>
      <c r="F14" s="27">
        <f>15.9688 * CHOOSE(CONTROL!$C$15, $E$9, 100%, $G$9) + CHOOSE(CONTROL!$C$38, 0.0256, 0)</f>
        <v>15.994400000000001</v>
      </c>
      <c r="G14" s="10">
        <f>15.2641 * CHOOSE(CONTROL!$C$15, $E$9, 100%, $G$9) + CHOOSE(CONTROL!$C$38, 0.0347, 0)</f>
        <v>15.2988</v>
      </c>
      <c r="H14" s="10">
        <f>15.2641 * CHOOSE(CONTROL!$C$15, $E$9, 100%, $G$9) + CHOOSE(CONTROL!$C$38, 0.0347, 0)</f>
        <v>15.2988</v>
      </c>
      <c r="I14" s="10">
        <f>15.2656 * CHOOSE(CONTROL!$C$15, $E$9, 100%, $G$9) + CHOOSE(CONTROL!$C$38, 0.0347, 0)</f>
        <v>15.3003</v>
      </c>
      <c r="J14" s="29">
        <f>96.43</f>
        <v>96.43</v>
      </c>
    </row>
    <row r="15" spans="1:10" ht="15" x14ac:dyDescent="0.2">
      <c r="A15" s="16">
        <v>41730</v>
      </c>
      <c r="B15" s="10">
        <f>15.9375 * CHOOSE(CONTROL!$C$15, $E$9, 100%, $G$9) + CHOOSE(CONTROL!$C$38, 0.0256, 0)</f>
        <v>15.963100000000001</v>
      </c>
      <c r="C15" s="10">
        <f>15.1172 * CHOOSE(CONTROL!$C$15, $E$9, 100%, $G$9) + CHOOSE(CONTROL!$C$38, 0.0347, 0)</f>
        <v>15.151900000000001</v>
      </c>
      <c r="D15" s="10">
        <f>15.1094 * CHOOSE(CONTROL!$C$15, $E$9, 100%, $G$9) + CHOOSE(CONTROL!$C$38, 0.0347, 0)</f>
        <v>15.144100000000002</v>
      </c>
      <c r="E15" s="28">
        <f>15.7812 * CHOOSE(CONTROL!$C$15, $E$9, 100%, $G$9) + CHOOSE(CONTROL!$C$38, 0.0347, 0)</f>
        <v>15.815900000000001</v>
      </c>
      <c r="F15" s="27">
        <f>15.7812 * CHOOSE(CONTROL!$C$15, $E$9, 100%, $G$9) + CHOOSE(CONTROL!$C$38, 0.0256, 0)</f>
        <v>15.806800000000001</v>
      </c>
      <c r="G15" s="10">
        <f>15.1156 * CHOOSE(CONTROL!$C$15, $E$9, 100%, $G$9) + CHOOSE(CONTROL!$C$38, 0.0347, 0)</f>
        <v>15.150300000000001</v>
      </c>
      <c r="H15" s="10">
        <f>15.1156 * CHOOSE(CONTROL!$C$15, $E$9, 100%, $G$9) + CHOOSE(CONTROL!$C$38, 0.0347, 0)</f>
        <v>15.150300000000001</v>
      </c>
      <c r="I15" s="10">
        <f>15.1172 * CHOOSE(CONTROL!$C$15, $E$9, 100%, $G$9) + CHOOSE(CONTROL!$C$38, 0.0347, 0)</f>
        <v>15.151900000000001</v>
      </c>
      <c r="J15" s="29">
        <f>95.72</f>
        <v>95.72</v>
      </c>
    </row>
    <row r="16" spans="1:10" ht="15" x14ac:dyDescent="0.2">
      <c r="A16" s="16">
        <v>41760</v>
      </c>
      <c r="B16" s="10">
        <f>15.8125 * CHOOSE(CONTROL!$C$15, $E$9, 100%, $G$9) + CHOOSE(CONTROL!$C$38, 0.0278, 0)</f>
        <v>15.840299999999999</v>
      </c>
      <c r="C16" s="10">
        <f>15.0312 * CHOOSE(CONTROL!$C$15, $E$9, 100%, $G$9) + CHOOSE(CONTROL!$C$38, 0.0369, 0)</f>
        <v>15.068099999999999</v>
      </c>
      <c r="D16" s="10">
        <f>15.0234 * CHOOSE(CONTROL!$C$15, $E$9, 100%, $G$9) + CHOOSE(CONTROL!$C$38, 0.0369, 0)</f>
        <v>15.0603</v>
      </c>
      <c r="E16" s="28">
        <f>15.6562 * CHOOSE(CONTROL!$C$15, $E$9, 100%, $G$9) + CHOOSE(CONTROL!$C$38, 0.0369, 0)</f>
        <v>15.693099999999999</v>
      </c>
      <c r="F16" s="27">
        <f>15.6562 * CHOOSE(CONTROL!$C$15, $E$9, 100%, $G$9) + CHOOSE(CONTROL!$C$38, 0.0278, 0)</f>
        <v>15.683999999999999</v>
      </c>
      <c r="G16" s="10">
        <f>15.0297 * CHOOSE(CONTROL!$C$15, $E$9, 100%, $G$9) + CHOOSE(CONTROL!$C$38, 0.0369, 0)</f>
        <v>15.066599999999999</v>
      </c>
      <c r="H16" s="10">
        <f>15.0297 * CHOOSE(CONTROL!$C$15, $E$9, 100%, $G$9) + CHOOSE(CONTROL!$C$38, 0.0369, 0)</f>
        <v>15.066599999999999</v>
      </c>
      <c r="I16" s="10">
        <f>15.0312 * CHOOSE(CONTROL!$C$15, $E$9, 100%, $G$9) + CHOOSE(CONTROL!$C$38, 0.0369, 0)</f>
        <v>15.068099999999999</v>
      </c>
      <c r="J16" s="29">
        <f>94.9</f>
        <v>94.9</v>
      </c>
    </row>
    <row r="17" spans="1:10" ht="15" x14ac:dyDescent="0.2">
      <c r="A17" s="16">
        <v>41791</v>
      </c>
      <c r="B17" s="10">
        <f>15.7656 * CHOOSE(CONTROL!$C$15, $E$9, 100%, $G$9) + CHOOSE(CONTROL!$C$38, 0.0278, 0)</f>
        <v>15.793399999999998</v>
      </c>
      <c r="C17" s="10">
        <f>14.9844 * CHOOSE(CONTROL!$C$15, $E$9, 100%, $G$9) + CHOOSE(CONTROL!$C$38, 0.0369, 0)</f>
        <v>15.0213</v>
      </c>
      <c r="D17" s="10">
        <f>14.9766 * CHOOSE(CONTROL!$C$15, $E$9, 100%, $G$9) + CHOOSE(CONTROL!$C$38, 0.0369, 0)</f>
        <v>15.013499999999999</v>
      </c>
      <c r="E17" s="28">
        <f>15.6094 * CHOOSE(CONTROL!$C$15, $E$9, 100%, $G$9) + CHOOSE(CONTROL!$C$38, 0.0369, 0)</f>
        <v>15.6463</v>
      </c>
      <c r="F17" s="27">
        <f>15.6094 * CHOOSE(CONTROL!$C$15, $E$9, 100%, $G$9) + CHOOSE(CONTROL!$C$38, 0.0278, 0)</f>
        <v>15.6372</v>
      </c>
      <c r="G17" s="10">
        <f>14.9828 * CHOOSE(CONTROL!$C$15, $E$9, 100%, $G$9) + CHOOSE(CONTROL!$C$38, 0.0369, 0)</f>
        <v>15.019699999999998</v>
      </c>
      <c r="H17" s="10">
        <f>14.9828 * CHOOSE(CONTROL!$C$15, $E$9, 100%, $G$9) + CHOOSE(CONTROL!$C$38, 0.0369, 0)</f>
        <v>15.019699999999998</v>
      </c>
      <c r="I17" s="10">
        <f>14.9844 * CHOOSE(CONTROL!$C$15, $E$9, 100%, $G$9) + CHOOSE(CONTROL!$C$38, 0.0369, 0)</f>
        <v>15.0213</v>
      </c>
      <c r="J17" s="29">
        <f>94.02</f>
        <v>94.02</v>
      </c>
    </row>
    <row r="18" spans="1:10" ht="15" x14ac:dyDescent="0.2">
      <c r="A18" s="16">
        <v>41821</v>
      </c>
      <c r="B18" s="10">
        <f>15.6906 * CHOOSE(CONTROL!$C$15, $E$9, 100%, $G$9) + CHOOSE(CONTROL!$C$38, 0.0278, 0)</f>
        <v>15.718399999999999</v>
      </c>
      <c r="C18" s="10">
        <f>14.8828 * CHOOSE(CONTROL!$C$15, $E$9, 100%, $G$9) + CHOOSE(CONTROL!$C$38, 0.0369, 0)</f>
        <v>14.919699999999999</v>
      </c>
      <c r="D18" s="10">
        <f>14.875 * CHOOSE(CONTROL!$C$15, $E$9, 100%, $G$9) + CHOOSE(CONTROL!$C$38, 0.0369, 0)</f>
        <v>14.911899999999999</v>
      </c>
      <c r="E18" s="28">
        <f>15.5344 * CHOOSE(CONTROL!$C$15, $E$9, 100%, $G$9) + CHOOSE(CONTROL!$C$38, 0.0369, 0)</f>
        <v>15.571299999999999</v>
      </c>
      <c r="F18" s="27">
        <f>15.5344 * CHOOSE(CONTROL!$C$15, $E$9, 100%, $G$9) + CHOOSE(CONTROL!$C$38, 0.0278, 0)</f>
        <v>15.562199999999999</v>
      </c>
      <c r="G18" s="10">
        <f>14.8812 * CHOOSE(CONTROL!$C$15, $E$9, 100%, $G$9) + CHOOSE(CONTROL!$C$38, 0.0369, 0)</f>
        <v>14.918099999999999</v>
      </c>
      <c r="H18" s="10">
        <f>14.8812 * CHOOSE(CONTROL!$C$15, $E$9, 100%, $G$9) + CHOOSE(CONTROL!$C$38, 0.0369, 0)</f>
        <v>14.918099999999999</v>
      </c>
      <c r="I18" s="10">
        <f>14.8828 * CHOOSE(CONTROL!$C$15, $E$9, 100%, $G$9) + CHOOSE(CONTROL!$C$38, 0.0369, 0)</f>
        <v>14.919699999999999</v>
      </c>
      <c r="J18" s="29">
        <f>93.13</f>
        <v>93.13</v>
      </c>
    </row>
    <row r="19" spans="1:10" ht="15" x14ac:dyDescent="0.2">
      <c r="A19" s="16">
        <v>41852</v>
      </c>
      <c r="B19" s="10">
        <f>15.6906 * CHOOSE(CONTROL!$C$15, $E$9, 100%, $G$9) + CHOOSE(CONTROL!$C$38, 0.0278, 0)</f>
        <v>15.718399999999999</v>
      </c>
      <c r="C19" s="10">
        <f>14.8828 * CHOOSE(CONTROL!$C$15, $E$9, 100%, $G$9) + CHOOSE(CONTROL!$C$38, 0.0369, 0)</f>
        <v>14.919699999999999</v>
      </c>
      <c r="D19" s="10">
        <f>14.875 * CHOOSE(CONTROL!$C$15, $E$9, 100%, $G$9) + CHOOSE(CONTROL!$C$38, 0.0369, 0)</f>
        <v>14.911899999999999</v>
      </c>
      <c r="E19" s="28">
        <f>15.5344 * CHOOSE(CONTROL!$C$15, $E$9, 100%, $G$9) + CHOOSE(CONTROL!$C$38, 0.0369, 0)</f>
        <v>15.571299999999999</v>
      </c>
      <c r="F19" s="27">
        <f>15.5344 * CHOOSE(CONTROL!$C$15, $E$9, 100%, $G$9) + CHOOSE(CONTROL!$C$38, 0.0278, 0)</f>
        <v>15.562199999999999</v>
      </c>
      <c r="G19" s="10">
        <f>14.8812 * CHOOSE(CONTROL!$C$15, $E$9, 100%, $G$9) + CHOOSE(CONTROL!$C$38, 0.0369, 0)</f>
        <v>14.918099999999999</v>
      </c>
      <c r="H19" s="10">
        <f>14.8812 * CHOOSE(CONTROL!$C$15, $E$9, 100%, $G$9) + CHOOSE(CONTROL!$C$38, 0.0369, 0)</f>
        <v>14.918099999999999</v>
      </c>
      <c r="I19" s="10">
        <f>14.8828 * CHOOSE(CONTROL!$C$15, $E$9, 100%, $G$9) + CHOOSE(CONTROL!$C$38, 0.0369, 0)</f>
        <v>14.919699999999999</v>
      </c>
      <c r="J19" s="29">
        <f>92.26</f>
        <v>92.26</v>
      </c>
    </row>
    <row r="20" spans="1:10" ht="15" x14ac:dyDescent="0.2">
      <c r="A20" s="16">
        <v>41883</v>
      </c>
      <c r="B20" s="10">
        <f>15.6906 * CHOOSE(CONTROL!$C$15, $E$9, 100%, $G$9) + CHOOSE(CONTROL!$C$38, 0.0278, 0)</f>
        <v>15.718399999999999</v>
      </c>
      <c r="C20" s="10">
        <f>14.8828 * CHOOSE(CONTROL!$C$15, $E$9, 100%, $G$9) + CHOOSE(CONTROL!$C$38, 0.0369, 0)</f>
        <v>14.919699999999999</v>
      </c>
      <c r="D20" s="10">
        <f>14.875 * CHOOSE(CONTROL!$C$15, $E$9, 100%, $G$9) + CHOOSE(CONTROL!$C$38, 0.0369, 0)</f>
        <v>14.911899999999999</v>
      </c>
      <c r="E20" s="28">
        <f>15.5344 * CHOOSE(CONTROL!$C$15, $E$9, 100%, $G$9) + CHOOSE(CONTROL!$C$38, 0.0369, 0)</f>
        <v>15.571299999999999</v>
      </c>
      <c r="F20" s="27">
        <f>15.5344 * CHOOSE(CONTROL!$C$15, $E$9, 100%, $G$9) + CHOOSE(CONTROL!$C$38, 0.0278, 0)</f>
        <v>15.562199999999999</v>
      </c>
      <c r="G20" s="10">
        <f>14.8812 * CHOOSE(CONTROL!$C$15, $E$9, 100%, $G$9) + CHOOSE(CONTROL!$C$38, 0.0369, 0)</f>
        <v>14.918099999999999</v>
      </c>
      <c r="H20" s="10">
        <f>14.8812 * CHOOSE(CONTROL!$C$15, $E$9, 100%, $G$9) + CHOOSE(CONTROL!$C$38, 0.0369, 0)</f>
        <v>14.918099999999999</v>
      </c>
      <c r="I20" s="10">
        <f>14.8828 * CHOOSE(CONTROL!$C$15, $E$9, 100%, $G$9) + CHOOSE(CONTROL!$C$38, 0.0369, 0)</f>
        <v>14.919699999999999</v>
      </c>
      <c r="J20" s="29">
        <f>91.45</f>
        <v>91.45</v>
      </c>
    </row>
    <row r="21" spans="1:10" ht="15" x14ac:dyDescent="0.2">
      <c r="A21" s="16">
        <v>41913</v>
      </c>
      <c r="B21" s="10">
        <f>15.5078 * CHOOSE(CONTROL!$C$15, $E$9, 100%, $G$9) + CHOOSE(CONTROL!$C$38, 0.0256, 0)</f>
        <v>15.5334</v>
      </c>
      <c r="C21" s="10">
        <f>14.7266 * CHOOSE(CONTROL!$C$15, $E$9, 100%, $G$9) + CHOOSE(CONTROL!$C$38, 0.0347, 0)</f>
        <v>14.7613</v>
      </c>
      <c r="D21" s="10">
        <f>14.7187 * CHOOSE(CONTROL!$C$15, $E$9, 100%, $G$9) + CHOOSE(CONTROL!$C$38, 0.0347, 0)</f>
        <v>14.753400000000001</v>
      </c>
      <c r="E21" s="28">
        <f>15.3516 * CHOOSE(CONTROL!$C$15, $E$9, 100%, $G$9) + CHOOSE(CONTROL!$C$38, 0.0347, 0)</f>
        <v>15.3863</v>
      </c>
      <c r="F21" s="27">
        <f>15.3516 * CHOOSE(CONTROL!$C$15, $E$9, 100%, $G$9) + CHOOSE(CONTROL!$C$38, 0.0256, 0)</f>
        <v>15.3772</v>
      </c>
      <c r="G21" s="10">
        <f>14.725 * CHOOSE(CONTROL!$C$15, $E$9, 100%, $G$9) + CHOOSE(CONTROL!$C$38, 0.0347, 0)</f>
        <v>14.7597</v>
      </c>
      <c r="H21" s="10">
        <f>14.725 * CHOOSE(CONTROL!$C$15, $E$9, 100%, $G$9) + CHOOSE(CONTROL!$C$38, 0.0347, 0)</f>
        <v>14.7597</v>
      </c>
      <c r="I21" s="10">
        <f>14.7266 * CHOOSE(CONTROL!$C$15, $E$9, 100%, $G$9) + CHOOSE(CONTROL!$C$38, 0.0347, 0)</f>
        <v>14.7613</v>
      </c>
      <c r="J21" s="29">
        <f>90.74</f>
        <v>90.74</v>
      </c>
    </row>
    <row r="22" spans="1:10" ht="15" x14ac:dyDescent="0.2">
      <c r="A22" s="16">
        <v>41944</v>
      </c>
      <c r="B22" s="10">
        <f>15.5078 * CHOOSE(CONTROL!$C$15, $E$9, 100%, $G$9) + CHOOSE(CONTROL!$C$38, 0.0256, 0)</f>
        <v>15.5334</v>
      </c>
      <c r="C22" s="10">
        <f>14.7266 * CHOOSE(CONTROL!$C$15, $E$9, 100%, $G$9) + CHOOSE(CONTROL!$C$38, 0.0347, 0)</f>
        <v>14.7613</v>
      </c>
      <c r="D22" s="10">
        <f>14.7187 * CHOOSE(CONTROL!$C$15, $E$9, 100%, $G$9) + CHOOSE(CONTROL!$C$38, 0.0347, 0)</f>
        <v>14.753400000000001</v>
      </c>
      <c r="E22" s="28">
        <f>15.3516 * CHOOSE(CONTROL!$C$15, $E$9, 100%, $G$9) + CHOOSE(CONTROL!$C$38, 0.0347, 0)</f>
        <v>15.3863</v>
      </c>
      <c r="F22" s="27">
        <f>15.3516 * CHOOSE(CONTROL!$C$15, $E$9, 100%, $G$9) + CHOOSE(CONTROL!$C$38, 0.0256, 0)</f>
        <v>15.3772</v>
      </c>
      <c r="G22" s="10">
        <f>14.725 * CHOOSE(CONTROL!$C$15, $E$9, 100%, $G$9) + CHOOSE(CONTROL!$C$38, 0.0347, 0)</f>
        <v>14.7597</v>
      </c>
      <c r="H22" s="10">
        <f>14.725 * CHOOSE(CONTROL!$C$15, $E$9, 100%, $G$9) + CHOOSE(CONTROL!$C$38, 0.0347, 0)</f>
        <v>14.7597</v>
      </c>
      <c r="I22" s="10">
        <f>14.7266 * CHOOSE(CONTROL!$C$15, $E$9, 100%, $G$9) + CHOOSE(CONTROL!$C$38, 0.0347, 0)</f>
        <v>14.7613</v>
      </c>
      <c r="J22" s="29">
        <f>90.14</f>
        <v>90.14</v>
      </c>
    </row>
    <row r="23" spans="1:10" ht="15" x14ac:dyDescent="0.2">
      <c r="A23" s="16">
        <v>41974</v>
      </c>
      <c r="B23" s="10">
        <f>15.5078 * CHOOSE(CONTROL!$C$15, $E$9, 100%, $G$9) + CHOOSE(CONTROL!$C$38, 0.0256, 0)</f>
        <v>15.5334</v>
      </c>
      <c r="C23" s="10">
        <f>14.7266 * CHOOSE(CONTROL!$C$15, $E$9, 100%, $G$9) + CHOOSE(CONTROL!$C$38, 0.0347, 0)</f>
        <v>14.7613</v>
      </c>
      <c r="D23" s="10">
        <f>14.7187 * CHOOSE(CONTROL!$C$15, $E$9, 100%, $G$9) + CHOOSE(CONTROL!$C$38, 0.0347, 0)</f>
        <v>14.753400000000001</v>
      </c>
      <c r="E23" s="28">
        <f>15.3516 * CHOOSE(CONTROL!$C$15, $E$9, 100%, $G$9) + CHOOSE(CONTROL!$C$38, 0.0347, 0)</f>
        <v>15.3863</v>
      </c>
      <c r="F23" s="27">
        <f>15.3516 * CHOOSE(CONTROL!$C$15, $E$9, 100%, $G$9) + CHOOSE(CONTROL!$C$38, 0.0256, 0)</f>
        <v>15.3772</v>
      </c>
      <c r="G23" s="10">
        <f>14.725 * CHOOSE(CONTROL!$C$15, $E$9, 100%, $G$9) + CHOOSE(CONTROL!$C$38, 0.0347, 0)</f>
        <v>14.7597</v>
      </c>
      <c r="H23" s="10">
        <f>14.725 * CHOOSE(CONTROL!$C$15, $E$9, 100%, $G$9) + CHOOSE(CONTROL!$C$38, 0.0347, 0)</f>
        <v>14.7597</v>
      </c>
      <c r="I23" s="10">
        <f>14.7266 * CHOOSE(CONTROL!$C$15, $E$9, 100%, $G$9) + CHOOSE(CONTROL!$C$38, 0.0347, 0)</f>
        <v>14.7613</v>
      </c>
      <c r="J23" s="29">
        <f>89.58</f>
        <v>89.58</v>
      </c>
    </row>
    <row r="24" spans="1:10" ht="15" x14ac:dyDescent="0.2">
      <c r="A24" s="16">
        <v>42005</v>
      </c>
      <c r="B24" s="10">
        <f>14.6734 * CHOOSE(CONTROL!$C$15, $E$9, 100%, $G$9) + CHOOSE(CONTROL!$C$38, 0.0256, 0)</f>
        <v>14.699000000000002</v>
      </c>
      <c r="C24" s="10">
        <f>14.6797 * CHOOSE(CONTROL!$C$15, $E$9, 100%, $G$9) + CHOOSE(CONTROL!$C$38, 0.0347, 0)</f>
        <v>14.714400000000001</v>
      </c>
      <c r="D24" s="10">
        <f>14.6719 * CHOOSE(CONTROL!$C$15, $E$9, 100%, $G$9) + CHOOSE(CONTROL!$C$38, 0.0347, 0)</f>
        <v>14.706600000000002</v>
      </c>
      <c r="E24" s="28">
        <f>14.5172 * CHOOSE(CONTROL!$C$15, $E$9, 100%, $G$9) + CHOOSE(CONTROL!$C$38, 0.0347, 0)</f>
        <v>14.551900000000002</v>
      </c>
      <c r="F24" s="27">
        <f>14.5172 * CHOOSE(CONTROL!$C$15, $E$9, 100%, $G$9) + CHOOSE(CONTROL!$C$38, 0.0256, 0)</f>
        <v>14.542800000000002</v>
      </c>
      <c r="G24" s="10">
        <f>14.6781 * CHOOSE(CONTROL!$C$15, $E$9, 100%, $G$9) + CHOOSE(CONTROL!$C$38, 0.0347, 0)</f>
        <v>14.712800000000001</v>
      </c>
      <c r="H24" s="10">
        <f>14.6781 * CHOOSE(CONTROL!$C$15, $E$9, 100%, $G$9) + CHOOSE(CONTROL!$C$38, 0.0347, 0)</f>
        <v>14.712800000000001</v>
      </c>
      <c r="I24" s="10">
        <f>14.6797 * CHOOSE(CONTROL!$C$15, $E$9, 100%, $G$9) + CHOOSE(CONTROL!$C$38, 0.0347, 0)</f>
        <v>14.714400000000001</v>
      </c>
      <c r="J24" s="29">
        <f>88.88</f>
        <v>88.88</v>
      </c>
    </row>
    <row r="25" spans="1:10" ht="15" x14ac:dyDescent="0.2">
      <c r="A25" s="16">
        <v>42036</v>
      </c>
      <c r="B25" s="10">
        <f>14.6734 * CHOOSE(CONTROL!$C$15, $E$9, 100%, $G$9) + CHOOSE(CONTROL!$C$38, 0.0256, 0)</f>
        <v>14.699000000000002</v>
      </c>
      <c r="C25" s="10">
        <f>14.6797 * CHOOSE(CONTROL!$C$15, $E$9, 100%, $G$9) + CHOOSE(CONTROL!$C$38, 0.0347, 0)</f>
        <v>14.714400000000001</v>
      </c>
      <c r="D25" s="10">
        <f>14.6719 * CHOOSE(CONTROL!$C$15, $E$9, 100%, $G$9) + CHOOSE(CONTROL!$C$38, 0.0347, 0)</f>
        <v>14.706600000000002</v>
      </c>
      <c r="E25" s="28">
        <f>14.5172 * CHOOSE(CONTROL!$C$15, $E$9, 100%, $G$9) + CHOOSE(CONTROL!$C$38, 0.0347, 0)</f>
        <v>14.551900000000002</v>
      </c>
      <c r="F25" s="27">
        <f>14.5172 * CHOOSE(CONTROL!$C$15, $E$9, 100%, $G$9) + CHOOSE(CONTROL!$C$38, 0.0256, 0)</f>
        <v>14.542800000000002</v>
      </c>
      <c r="G25" s="10">
        <f>14.6781 * CHOOSE(CONTROL!$C$15, $E$9, 100%, $G$9) + CHOOSE(CONTROL!$C$38, 0.0347, 0)</f>
        <v>14.712800000000001</v>
      </c>
      <c r="H25" s="10">
        <f>14.6781 * CHOOSE(CONTROL!$C$15, $E$9, 100%, $G$9) + CHOOSE(CONTROL!$C$38, 0.0347, 0)</f>
        <v>14.712800000000001</v>
      </c>
      <c r="I25" s="10">
        <f>14.6797 * CHOOSE(CONTROL!$C$15, $E$9, 100%, $G$9) + CHOOSE(CONTROL!$C$38, 0.0347, 0)</f>
        <v>14.714400000000001</v>
      </c>
      <c r="J25" s="29">
        <f>88.19</f>
        <v>88.19</v>
      </c>
    </row>
    <row r="26" spans="1:10" ht="15" x14ac:dyDescent="0.2">
      <c r="A26" s="16">
        <v>42064</v>
      </c>
      <c r="B26" s="10">
        <f>14.6734 * CHOOSE(CONTROL!$C$15, $E$9, 100%, $G$9) + CHOOSE(CONTROL!$C$38, 0.0256, 0)</f>
        <v>14.699000000000002</v>
      </c>
      <c r="C26" s="10">
        <f>14.6797 * CHOOSE(CONTROL!$C$15, $E$9, 100%, $G$9) + CHOOSE(CONTROL!$C$38, 0.0347, 0)</f>
        <v>14.714400000000001</v>
      </c>
      <c r="D26" s="10">
        <f>14.6719 * CHOOSE(CONTROL!$C$15, $E$9, 100%, $G$9) + CHOOSE(CONTROL!$C$38, 0.0347, 0)</f>
        <v>14.706600000000002</v>
      </c>
      <c r="E26" s="28">
        <f>14.5172 * CHOOSE(CONTROL!$C$15, $E$9, 100%, $G$9) + CHOOSE(CONTROL!$C$38, 0.0347, 0)</f>
        <v>14.551900000000002</v>
      </c>
      <c r="F26" s="27">
        <f>14.5172 * CHOOSE(CONTROL!$C$15, $E$9, 100%, $G$9) + CHOOSE(CONTROL!$C$38, 0.0256, 0)</f>
        <v>14.542800000000002</v>
      </c>
      <c r="G26" s="10">
        <f>14.6781 * CHOOSE(CONTROL!$C$15, $E$9, 100%, $G$9) + CHOOSE(CONTROL!$C$38, 0.0347, 0)</f>
        <v>14.712800000000001</v>
      </c>
      <c r="H26" s="10">
        <f>14.6781 * CHOOSE(CONTROL!$C$15, $E$9, 100%, $G$9) + CHOOSE(CONTROL!$C$38, 0.0347, 0)</f>
        <v>14.712800000000001</v>
      </c>
      <c r="I26" s="10">
        <f>14.6797 * CHOOSE(CONTROL!$C$15, $E$9, 100%, $G$9) + CHOOSE(CONTROL!$C$38, 0.0347, 0)</f>
        <v>14.714400000000001</v>
      </c>
      <c r="J26" s="29">
        <f>87.57</f>
        <v>87.57</v>
      </c>
    </row>
    <row r="27" spans="1:10" ht="15" x14ac:dyDescent="0.2">
      <c r="A27" s="16">
        <v>42095</v>
      </c>
      <c r="B27" s="10">
        <f>14.6734 * CHOOSE(CONTROL!$C$15, $E$9, 100%, $G$9) + CHOOSE(CONTROL!$C$38, 0.0256, 0)</f>
        <v>14.699000000000002</v>
      </c>
      <c r="C27" s="10">
        <f>14.4984 * CHOOSE(CONTROL!$C$15, $E$9, 100%, $G$9) + CHOOSE(CONTROL!$C$38, 0.0347, 0)</f>
        <v>14.533100000000001</v>
      </c>
      <c r="D27" s="10">
        <f>14.4906 * CHOOSE(CONTROL!$C$15, $E$9, 100%, $G$9) + CHOOSE(CONTROL!$C$38, 0.0347, 0)</f>
        <v>14.525300000000001</v>
      </c>
      <c r="E27" s="28">
        <f>14.5172 * CHOOSE(CONTROL!$C$15, $E$9, 100%, $G$9) + CHOOSE(CONTROL!$C$38, 0.0347, 0)</f>
        <v>14.551900000000002</v>
      </c>
      <c r="F27" s="27">
        <f>14.5172 * CHOOSE(CONTROL!$C$15, $E$9, 100%, $G$9) + CHOOSE(CONTROL!$C$38, 0.0256, 0)</f>
        <v>14.542800000000002</v>
      </c>
      <c r="G27" s="10">
        <f>14.4969 * CHOOSE(CONTROL!$C$15, $E$9, 100%, $G$9) + CHOOSE(CONTROL!$C$38, 0.0347, 0)</f>
        <v>14.531600000000001</v>
      </c>
      <c r="H27" s="10">
        <f>14.4969 * CHOOSE(CONTROL!$C$15, $E$9, 100%, $G$9) + CHOOSE(CONTROL!$C$38, 0.0347, 0)</f>
        <v>14.531600000000001</v>
      </c>
      <c r="I27" s="10">
        <f>14.4984 * CHOOSE(CONTROL!$C$15, $E$9, 100%, $G$9) + CHOOSE(CONTROL!$C$38, 0.0347, 0)</f>
        <v>14.533100000000001</v>
      </c>
      <c r="J27" s="29">
        <f>87.01</f>
        <v>87.01</v>
      </c>
    </row>
    <row r="28" spans="1:10" ht="15" x14ac:dyDescent="0.2">
      <c r="A28" s="16">
        <v>42125</v>
      </c>
      <c r="B28" s="10">
        <f>14.6734 * CHOOSE(CONTROL!$C$15, $E$9, 100%, $G$9) + CHOOSE(CONTROL!$C$38, 0.0278, 0)</f>
        <v>14.7012</v>
      </c>
      <c r="C28" s="10">
        <f>14.4984 * CHOOSE(CONTROL!$C$15, $E$9, 100%, $G$9) + CHOOSE(CONTROL!$C$38, 0.0369, 0)</f>
        <v>14.535299999999999</v>
      </c>
      <c r="D28" s="10">
        <f>14.4906 * CHOOSE(CONTROL!$C$15, $E$9, 100%, $G$9) + CHOOSE(CONTROL!$C$38, 0.0369, 0)</f>
        <v>14.5275</v>
      </c>
      <c r="E28" s="28">
        <f>14.5172 * CHOOSE(CONTROL!$C$15, $E$9, 100%, $G$9) + CHOOSE(CONTROL!$C$38, 0.0369, 0)</f>
        <v>14.5541</v>
      </c>
      <c r="F28" s="27">
        <f>14.5172 * CHOOSE(CONTROL!$C$15, $E$9, 100%, $G$9) + CHOOSE(CONTROL!$C$38, 0.0278, 0)</f>
        <v>14.545</v>
      </c>
      <c r="G28" s="10">
        <f>14.4969 * CHOOSE(CONTROL!$C$15, $E$9, 100%, $G$9) + CHOOSE(CONTROL!$C$38, 0.0369, 0)</f>
        <v>14.533799999999999</v>
      </c>
      <c r="H28" s="10">
        <f>14.4969 * CHOOSE(CONTROL!$C$15, $E$9, 100%, $G$9) + CHOOSE(CONTROL!$C$38, 0.0369, 0)</f>
        <v>14.533799999999999</v>
      </c>
      <c r="I28" s="10">
        <f>14.4984 * CHOOSE(CONTROL!$C$15, $E$9, 100%, $G$9) + CHOOSE(CONTROL!$C$38, 0.0369, 0)</f>
        <v>14.535299999999999</v>
      </c>
      <c r="J28" s="29">
        <f>86.51</f>
        <v>86.51</v>
      </c>
    </row>
    <row r="29" spans="1:10" ht="15" x14ac:dyDescent="0.2">
      <c r="A29" s="16">
        <v>42156</v>
      </c>
      <c r="B29" s="10">
        <f>14.6734 * CHOOSE(CONTROL!$C$15, $E$9, 100%, $G$9) + CHOOSE(CONTROL!$C$38, 0.0278, 0)</f>
        <v>14.7012</v>
      </c>
      <c r="C29" s="10">
        <f>14.4984 * CHOOSE(CONTROL!$C$15, $E$9, 100%, $G$9) + CHOOSE(CONTROL!$C$38, 0.0369, 0)</f>
        <v>14.535299999999999</v>
      </c>
      <c r="D29" s="10">
        <f>14.4906 * CHOOSE(CONTROL!$C$15, $E$9, 100%, $G$9) + CHOOSE(CONTROL!$C$38, 0.0369, 0)</f>
        <v>14.5275</v>
      </c>
      <c r="E29" s="28">
        <f>14.5172 * CHOOSE(CONTROL!$C$15, $E$9, 100%, $G$9) + CHOOSE(CONTROL!$C$38, 0.0369, 0)</f>
        <v>14.5541</v>
      </c>
      <c r="F29" s="27">
        <f>14.5172 * CHOOSE(CONTROL!$C$15, $E$9, 100%, $G$9) + CHOOSE(CONTROL!$C$38, 0.0278, 0)</f>
        <v>14.545</v>
      </c>
      <c r="G29" s="10">
        <f>14.4969 * CHOOSE(CONTROL!$C$15, $E$9, 100%, $G$9) + CHOOSE(CONTROL!$C$38, 0.0369, 0)</f>
        <v>14.533799999999999</v>
      </c>
      <c r="H29" s="10">
        <f>14.4969 * CHOOSE(CONTROL!$C$15, $E$9, 100%, $G$9) + CHOOSE(CONTROL!$C$38, 0.0369, 0)</f>
        <v>14.533799999999999</v>
      </c>
      <c r="I29" s="10">
        <f>14.4984 * CHOOSE(CONTROL!$C$15, $E$9, 100%, $G$9) + CHOOSE(CONTROL!$C$38, 0.0369, 0)</f>
        <v>14.535299999999999</v>
      </c>
      <c r="J29" s="29">
        <f>86.02</f>
        <v>86.02</v>
      </c>
    </row>
    <row r="30" spans="1:10" ht="15" x14ac:dyDescent="0.2">
      <c r="A30" s="16">
        <v>42186</v>
      </c>
      <c r="B30" s="10">
        <f>14.6734 * CHOOSE(CONTROL!$C$15, $E$9, 100%, $G$9) + CHOOSE(CONTROL!$C$38, 0.0278, 0)</f>
        <v>14.7012</v>
      </c>
      <c r="C30" s="10">
        <f>14.4984 * CHOOSE(CONTROL!$C$15, $E$9, 100%, $G$9) + CHOOSE(CONTROL!$C$38, 0.0369, 0)</f>
        <v>14.535299999999999</v>
      </c>
      <c r="D30" s="10">
        <f>14.4906 * CHOOSE(CONTROL!$C$15, $E$9, 100%, $G$9) + CHOOSE(CONTROL!$C$38, 0.0369, 0)</f>
        <v>14.5275</v>
      </c>
      <c r="E30" s="28">
        <f>14.5172 * CHOOSE(CONTROL!$C$15, $E$9, 100%, $G$9) + CHOOSE(CONTROL!$C$38, 0.0369, 0)</f>
        <v>14.5541</v>
      </c>
      <c r="F30" s="27">
        <f>14.5172 * CHOOSE(CONTROL!$C$15, $E$9, 100%, $G$9) + CHOOSE(CONTROL!$C$38, 0.0278, 0)</f>
        <v>14.545</v>
      </c>
      <c r="G30" s="10">
        <f>14.4969 * CHOOSE(CONTROL!$C$15, $E$9, 100%, $G$9) + CHOOSE(CONTROL!$C$38, 0.0369, 0)</f>
        <v>14.533799999999999</v>
      </c>
      <c r="H30" s="10">
        <f>14.4969 * CHOOSE(CONTROL!$C$15, $E$9, 100%, $G$9) + CHOOSE(CONTROL!$C$38, 0.0369, 0)</f>
        <v>14.533799999999999</v>
      </c>
      <c r="I30" s="10">
        <f>14.4984 * CHOOSE(CONTROL!$C$15, $E$9, 100%, $G$9) + CHOOSE(CONTROL!$C$38, 0.0369, 0)</f>
        <v>14.535299999999999</v>
      </c>
      <c r="J30" s="29">
        <f>85.41</f>
        <v>85.41</v>
      </c>
    </row>
    <row r="31" spans="1:10" ht="15" x14ac:dyDescent="0.2">
      <c r="A31" s="16">
        <v>42217</v>
      </c>
      <c r="B31" s="10">
        <f>14.6734 * CHOOSE(CONTROL!$C$15, $E$9, 100%, $G$9) + CHOOSE(CONTROL!$C$38, 0.0278, 0)</f>
        <v>14.7012</v>
      </c>
      <c r="C31" s="10">
        <f>14.4984 * CHOOSE(CONTROL!$C$15, $E$9, 100%, $G$9) + CHOOSE(CONTROL!$C$38, 0.0369, 0)</f>
        <v>14.535299999999999</v>
      </c>
      <c r="D31" s="10">
        <f>14.4906 * CHOOSE(CONTROL!$C$15, $E$9, 100%, $G$9) + CHOOSE(CONTROL!$C$38, 0.0369, 0)</f>
        <v>14.5275</v>
      </c>
      <c r="E31" s="28">
        <f>14.5172 * CHOOSE(CONTROL!$C$15, $E$9, 100%, $G$9) + CHOOSE(CONTROL!$C$38, 0.0369, 0)</f>
        <v>14.5541</v>
      </c>
      <c r="F31" s="27">
        <f>14.5172 * CHOOSE(CONTROL!$C$15, $E$9, 100%, $G$9) + CHOOSE(CONTROL!$C$38, 0.0278, 0)</f>
        <v>14.545</v>
      </c>
      <c r="G31" s="10">
        <f>14.4969 * CHOOSE(CONTROL!$C$15, $E$9, 100%, $G$9) + CHOOSE(CONTROL!$C$38, 0.0369, 0)</f>
        <v>14.533799999999999</v>
      </c>
      <c r="H31" s="10">
        <f>14.4969 * CHOOSE(CONTROL!$C$15, $E$9, 100%, $G$9) + CHOOSE(CONTROL!$C$38, 0.0369, 0)</f>
        <v>14.533799999999999</v>
      </c>
      <c r="I31" s="10">
        <f>14.4984 * CHOOSE(CONTROL!$C$15, $E$9, 100%, $G$9) + CHOOSE(CONTROL!$C$38, 0.0369, 0)</f>
        <v>14.535299999999999</v>
      </c>
      <c r="J31" s="29">
        <f>84.88</f>
        <v>84.88</v>
      </c>
    </row>
    <row r="32" spans="1:10" ht="15" x14ac:dyDescent="0.2">
      <c r="A32" s="16">
        <v>42248</v>
      </c>
      <c r="B32" s="10">
        <f>14.6734 * CHOOSE(CONTROL!$C$15, $E$9, 100%, $G$9) + CHOOSE(CONTROL!$C$38, 0.0278, 0)</f>
        <v>14.7012</v>
      </c>
      <c r="C32" s="10">
        <f>14.4984 * CHOOSE(CONTROL!$C$15, $E$9, 100%, $G$9) + CHOOSE(CONTROL!$C$38, 0.0369, 0)</f>
        <v>14.535299999999999</v>
      </c>
      <c r="D32" s="10">
        <f>14.4906 * CHOOSE(CONTROL!$C$15, $E$9, 100%, $G$9) + CHOOSE(CONTROL!$C$38, 0.0369, 0)</f>
        <v>14.5275</v>
      </c>
      <c r="E32" s="28">
        <f>14.5172 * CHOOSE(CONTROL!$C$15, $E$9, 100%, $G$9) + CHOOSE(CONTROL!$C$38, 0.0369, 0)</f>
        <v>14.5541</v>
      </c>
      <c r="F32" s="27">
        <f>14.5172 * CHOOSE(CONTROL!$C$15, $E$9, 100%, $G$9) + CHOOSE(CONTROL!$C$38, 0.0278, 0)</f>
        <v>14.545</v>
      </c>
      <c r="G32" s="10">
        <f>14.4969 * CHOOSE(CONTROL!$C$15, $E$9, 100%, $G$9) + CHOOSE(CONTROL!$C$38, 0.0369, 0)</f>
        <v>14.533799999999999</v>
      </c>
      <c r="H32" s="10">
        <f>14.4969 * CHOOSE(CONTROL!$C$15, $E$9, 100%, $G$9) + CHOOSE(CONTROL!$C$38, 0.0369, 0)</f>
        <v>14.533799999999999</v>
      </c>
      <c r="I32" s="10">
        <f>14.4984 * CHOOSE(CONTROL!$C$15, $E$9, 100%, $G$9) + CHOOSE(CONTROL!$C$38, 0.0369, 0)</f>
        <v>14.535299999999999</v>
      </c>
      <c r="J32" s="29">
        <f>84.44</f>
        <v>84.44</v>
      </c>
    </row>
    <row r="33" spans="1:10" ht="15" x14ac:dyDescent="0.2">
      <c r="A33" s="16">
        <v>42278</v>
      </c>
      <c r="B33" s="10">
        <f>14.6734 * CHOOSE(CONTROL!$C$15, $E$9, 100%, $G$9) + CHOOSE(CONTROL!$C$38, 0.0256, 0)</f>
        <v>14.699000000000002</v>
      </c>
      <c r="C33" s="10">
        <f>14.4984 * CHOOSE(CONTROL!$C$15, $E$9, 100%, $G$9) + CHOOSE(CONTROL!$C$38, 0.0347, 0)</f>
        <v>14.533100000000001</v>
      </c>
      <c r="D33" s="10">
        <f>14.4906 * CHOOSE(CONTROL!$C$15, $E$9, 100%, $G$9) + CHOOSE(CONTROL!$C$38, 0.0347, 0)</f>
        <v>14.525300000000001</v>
      </c>
      <c r="E33" s="28">
        <f>14.5172 * CHOOSE(CONTROL!$C$15, $E$9, 100%, $G$9) + CHOOSE(CONTROL!$C$38, 0.0347, 0)</f>
        <v>14.551900000000002</v>
      </c>
      <c r="F33" s="27">
        <f>14.5172 * CHOOSE(CONTROL!$C$15, $E$9, 100%, $G$9) + CHOOSE(CONTROL!$C$38, 0.0256, 0)</f>
        <v>14.542800000000002</v>
      </c>
      <c r="G33" s="10">
        <f>14.4969 * CHOOSE(CONTROL!$C$15, $E$9, 100%, $G$9) + CHOOSE(CONTROL!$C$38, 0.0347, 0)</f>
        <v>14.531600000000001</v>
      </c>
      <c r="H33" s="10">
        <f>14.4969 * CHOOSE(CONTROL!$C$15, $E$9, 100%, $G$9) + CHOOSE(CONTROL!$C$38, 0.0347, 0)</f>
        <v>14.531600000000001</v>
      </c>
      <c r="I33" s="10">
        <f>14.4984 * CHOOSE(CONTROL!$C$15, $E$9, 100%, $G$9) + CHOOSE(CONTROL!$C$38, 0.0347, 0)</f>
        <v>14.533100000000001</v>
      </c>
      <c r="J33" s="29">
        <f>84.02</f>
        <v>84.02</v>
      </c>
    </row>
    <row r="34" spans="1:10" ht="15" x14ac:dyDescent="0.2">
      <c r="A34" s="16">
        <v>42309</v>
      </c>
      <c r="B34" s="10">
        <f>14.6734 * CHOOSE(CONTROL!$C$15, $E$9, 100%, $G$9) + CHOOSE(CONTROL!$C$38, 0.0256, 0)</f>
        <v>14.699000000000002</v>
      </c>
      <c r="C34" s="10">
        <f>14.4984 * CHOOSE(CONTROL!$C$15, $E$9, 100%, $G$9) + CHOOSE(CONTROL!$C$38, 0.0347, 0)</f>
        <v>14.533100000000001</v>
      </c>
      <c r="D34" s="10">
        <f>14.4906 * CHOOSE(CONTROL!$C$15, $E$9, 100%, $G$9) + CHOOSE(CONTROL!$C$38, 0.0347, 0)</f>
        <v>14.525300000000001</v>
      </c>
      <c r="E34" s="28">
        <f>14.5172 * CHOOSE(CONTROL!$C$15, $E$9, 100%, $G$9) + CHOOSE(CONTROL!$C$38, 0.0347, 0)</f>
        <v>14.551900000000002</v>
      </c>
      <c r="F34" s="27">
        <f>14.5172 * CHOOSE(CONTROL!$C$15, $E$9, 100%, $G$9) + CHOOSE(CONTROL!$C$38, 0.0256, 0)</f>
        <v>14.542800000000002</v>
      </c>
      <c r="G34" s="10">
        <f>14.4969 * CHOOSE(CONTROL!$C$15, $E$9, 100%, $G$9) + CHOOSE(CONTROL!$C$38, 0.0347, 0)</f>
        <v>14.531600000000001</v>
      </c>
      <c r="H34" s="10">
        <f>14.4969 * CHOOSE(CONTROL!$C$15, $E$9, 100%, $G$9) + CHOOSE(CONTROL!$C$38, 0.0347, 0)</f>
        <v>14.531600000000001</v>
      </c>
      <c r="I34" s="10">
        <f>14.4984 * CHOOSE(CONTROL!$C$15, $E$9, 100%, $G$9) + CHOOSE(CONTROL!$C$38, 0.0347, 0)</f>
        <v>14.533100000000001</v>
      </c>
      <c r="J34" s="29">
        <f>83.66</f>
        <v>83.66</v>
      </c>
    </row>
    <row r="35" spans="1:10" ht="15" x14ac:dyDescent="0.2">
      <c r="A35" s="16">
        <v>42339</v>
      </c>
      <c r="B35" s="10">
        <f>14.6734 * CHOOSE(CONTROL!$C$15, $E$9, 100%, $G$9) + CHOOSE(CONTROL!$C$38, 0.0256, 0)</f>
        <v>14.699000000000002</v>
      </c>
      <c r="C35" s="10">
        <f>14.4984 * CHOOSE(CONTROL!$C$15, $E$9, 100%, $G$9) + CHOOSE(CONTROL!$C$38, 0.0347, 0)</f>
        <v>14.533100000000001</v>
      </c>
      <c r="D35" s="10">
        <f>14.4906 * CHOOSE(CONTROL!$C$15, $E$9, 100%, $G$9) + CHOOSE(CONTROL!$C$38, 0.0347, 0)</f>
        <v>14.525300000000001</v>
      </c>
      <c r="E35" s="28">
        <f>14.5172 * CHOOSE(CONTROL!$C$15, $E$9, 100%, $G$9) + CHOOSE(CONTROL!$C$38, 0.0347, 0)</f>
        <v>14.551900000000002</v>
      </c>
      <c r="F35" s="27">
        <f>14.5172 * CHOOSE(CONTROL!$C$15, $E$9, 100%, $G$9) + CHOOSE(CONTROL!$C$38, 0.0256, 0)</f>
        <v>14.542800000000002</v>
      </c>
      <c r="G35" s="10">
        <f>14.4969 * CHOOSE(CONTROL!$C$15, $E$9, 100%, $G$9) + CHOOSE(CONTROL!$C$38, 0.0347, 0)</f>
        <v>14.531600000000001</v>
      </c>
      <c r="H35" s="10">
        <f>14.4969 * CHOOSE(CONTROL!$C$15, $E$9, 100%, $G$9) + CHOOSE(CONTROL!$C$38, 0.0347, 0)</f>
        <v>14.531600000000001</v>
      </c>
      <c r="I35" s="10">
        <f>14.4984 * CHOOSE(CONTROL!$C$15, $E$9, 100%, $G$9) + CHOOSE(CONTROL!$C$38, 0.0347, 0)</f>
        <v>14.533100000000001</v>
      </c>
      <c r="J35" s="29">
        <f>83.33</f>
        <v>83.33</v>
      </c>
    </row>
    <row r="36" spans="1:10" ht="15" x14ac:dyDescent="0.2">
      <c r="A36" s="16">
        <v>42370</v>
      </c>
      <c r="B36" s="10">
        <f>13.7281 * CHOOSE(CONTROL!$C$15, $E$9, 100%, $G$9) + CHOOSE(CONTROL!$C$38, 0.0256, 0)</f>
        <v>13.7537</v>
      </c>
      <c r="C36" s="10">
        <f>13.8214 * CHOOSE(CONTROL!$C$15, $E$9, 100%, $G$9) + CHOOSE(CONTROL!$C$38, 0.0347, 0)</f>
        <v>13.856100000000001</v>
      </c>
      <c r="D36" s="10">
        <f>13.8135 * CHOOSE(CONTROL!$C$15, $E$9, 100%, $G$9) + CHOOSE(CONTROL!$C$38, 0.0347, 0)</f>
        <v>13.8482</v>
      </c>
      <c r="E36" s="28">
        <f>13.5718 * CHOOSE(CONTROL!$C$15, $E$9, 100%, $G$9) + CHOOSE(CONTROL!$C$38, 0.0347, 0)</f>
        <v>13.6065</v>
      </c>
      <c r="F36" s="27">
        <f>13.5718 * CHOOSE(CONTROL!$C$15, $E$9, 100%, $G$9) + CHOOSE(CONTROL!$C$38, 0.0256, 0)</f>
        <v>13.5974</v>
      </c>
      <c r="G36" s="10">
        <f>13.8198 * CHOOSE(CONTROL!$C$15, $E$9, 100%, $G$9) + CHOOSE(CONTROL!$C$38, 0.0347, 0)</f>
        <v>13.854500000000002</v>
      </c>
      <c r="H36" s="10">
        <f>13.8198 * CHOOSE(CONTROL!$C$15, $E$9, 100%, $G$9) + CHOOSE(CONTROL!$C$38, 0.0347, 0)</f>
        <v>13.854500000000002</v>
      </c>
      <c r="I36" s="10">
        <f>13.8214 * CHOOSE(CONTROL!$C$15, $E$9, 100%, $G$9) + CHOOSE(CONTROL!$C$38, 0.0347, 0)</f>
        <v>13.856100000000001</v>
      </c>
      <c r="J36" s="29">
        <f>82.83</f>
        <v>82.83</v>
      </c>
    </row>
    <row r="37" spans="1:10" ht="15" x14ac:dyDescent="0.2">
      <c r="A37" s="16">
        <v>42401</v>
      </c>
      <c r="B37" s="10">
        <f>13.7656 * CHOOSE(CONTROL!$C$15, $E$9, 100%, $G$9) + CHOOSE(CONTROL!$C$38, 0.0256, 0)</f>
        <v>13.7912</v>
      </c>
      <c r="C37" s="10">
        <f>13.8214 * CHOOSE(CONTROL!$C$15, $E$9, 100%, $G$9) + CHOOSE(CONTROL!$C$38, 0.0347, 0)</f>
        <v>13.856100000000001</v>
      </c>
      <c r="D37" s="10">
        <f>13.8135 * CHOOSE(CONTROL!$C$15, $E$9, 100%, $G$9) + CHOOSE(CONTROL!$C$38, 0.0347, 0)</f>
        <v>13.8482</v>
      </c>
      <c r="E37" s="28">
        <f>13.6093 * CHOOSE(CONTROL!$C$15, $E$9, 100%, $G$9) + CHOOSE(CONTROL!$C$38, 0.0347, 0)</f>
        <v>13.644</v>
      </c>
      <c r="F37" s="27">
        <f>13.6093 * CHOOSE(CONTROL!$C$15, $E$9, 100%, $G$9) + CHOOSE(CONTROL!$C$38, 0.0256, 0)</f>
        <v>13.6349</v>
      </c>
      <c r="G37" s="10">
        <f>13.8198 * CHOOSE(CONTROL!$C$15, $E$9, 100%, $G$9) + CHOOSE(CONTROL!$C$38, 0.0347, 0)</f>
        <v>13.854500000000002</v>
      </c>
      <c r="H37" s="10">
        <f>13.8198 * CHOOSE(CONTROL!$C$15, $E$9, 100%, $G$9) + CHOOSE(CONTROL!$C$38, 0.0347, 0)</f>
        <v>13.854500000000002</v>
      </c>
      <c r="I37" s="10">
        <f>13.8214 * CHOOSE(CONTROL!$C$15, $E$9, 100%, $G$9) + CHOOSE(CONTROL!$C$38, 0.0347, 0)</f>
        <v>13.856100000000001</v>
      </c>
      <c r="J37" s="29">
        <f>82.38</f>
        <v>82.38</v>
      </c>
    </row>
    <row r="38" spans="1:10" ht="15" x14ac:dyDescent="0.2">
      <c r="A38" s="16">
        <v>42430</v>
      </c>
      <c r="B38" s="10">
        <f>13.7984 * CHOOSE(CONTROL!$C$15, $E$9, 100%, $G$9) + CHOOSE(CONTROL!$C$38, 0.0256, 0)</f>
        <v>13.824000000000002</v>
      </c>
      <c r="C38" s="10">
        <f>13.8214 * CHOOSE(CONTROL!$C$15, $E$9, 100%, $G$9) + CHOOSE(CONTROL!$C$38, 0.0347, 0)</f>
        <v>13.856100000000001</v>
      </c>
      <c r="D38" s="10">
        <f>13.8135 * CHOOSE(CONTROL!$C$15, $E$9, 100%, $G$9) + CHOOSE(CONTROL!$C$38, 0.0347, 0)</f>
        <v>13.8482</v>
      </c>
      <c r="E38" s="28">
        <f>13.6422 * CHOOSE(CONTROL!$C$15, $E$9, 100%, $G$9) + CHOOSE(CONTROL!$C$38, 0.0347, 0)</f>
        <v>13.676900000000002</v>
      </c>
      <c r="F38" s="27">
        <f>13.6422 * CHOOSE(CONTROL!$C$15, $E$9, 100%, $G$9) + CHOOSE(CONTROL!$C$38, 0.0256, 0)</f>
        <v>13.667800000000002</v>
      </c>
      <c r="G38" s="10">
        <f>13.8198 * CHOOSE(CONTROL!$C$15, $E$9, 100%, $G$9) + CHOOSE(CONTROL!$C$38, 0.0347, 0)</f>
        <v>13.854500000000002</v>
      </c>
      <c r="H38" s="10">
        <f>13.8198 * CHOOSE(CONTROL!$C$15, $E$9, 100%, $G$9) + CHOOSE(CONTROL!$C$38, 0.0347, 0)</f>
        <v>13.854500000000002</v>
      </c>
      <c r="I38" s="10">
        <f>13.8214 * CHOOSE(CONTROL!$C$15, $E$9, 100%, $G$9) + CHOOSE(CONTROL!$C$38, 0.0347, 0)</f>
        <v>13.856100000000001</v>
      </c>
      <c r="J38" s="29">
        <f>81.97</f>
        <v>81.97</v>
      </c>
    </row>
    <row r="39" spans="1:10" ht="15" x14ac:dyDescent="0.2">
      <c r="A39" s="16">
        <v>42461</v>
      </c>
      <c r="B39" s="10">
        <f>13.8312 * CHOOSE(CONTROL!$C$15, $E$9, 100%, $G$9) + CHOOSE(CONTROL!$C$38, 0.0256, 0)</f>
        <v>13.856800000000002</v>
      </c>
      <c r="C39" s="10">
        <f>13.6705 * CHOOSE(CONTROL!$C$15, $E$9, 100%, $G$9) + CHOOSE(CONTROL!$C$38, 0.0347, 0)</f>
        <v>13.705200000000001</v>
      </c>
      <c r="D39" s="10">
        <f>13.6627 * CHOOSE(CONTROL!$C$15, $E$9, 100%, $G$9) + CHOOSE(CONTROL!$C$38, 0.0347, 0)</f>
        <v>13.6974</v>
      </c>
      <c r="E39" s="28">
        <f>13.675 * CHOOSE(CONTROL!$C$15, $E$9, 100%, $G$9) + CHOOSE(CONTROL!$C$38, 0.0347, 0)</f>
        <v>13.709700000000002</v>
      </c>
      <c r="F39" s="27">
        <f>13.675 * CHOOSE(CONTROL!$C$15, $E$9, 100%, $G$9) + CHOOSE(CONTROL!$C$38, 0.0256, 0)</f>
        <v>13.700600000000001</v>
      </c>
      <c r="G39" s="10">
        <f>13.6689 * CHOOSE(CONTROL!$C$15, $E$9, 100%, $G$9) + CHOOSE(CONTROL!$C$38, 0.0347, 0)</f>
        <v>13.703600000000002</v>
      </c>
      <c r="H39" s="10">
        <f>13.6689 * CHOOSE(CONTROL!$C$15, $E$9, 100%, $G$9) + CHOOSE(CONTROL!$C$38, 0.0347, 0)</f>
        <v>13.703600000000002</v>
      </c>
      <c r="I39" s="10">
        <f>13.6705 * CHOOSE(CONTROL!$C$15, $E$9, 100%, $G$9) + CHOOSE(CONTROL!$C$38, 0.0347, 0)</f>
        <v>13.705200000000001</v>
      </c>
      <c r="J39" s="29">
        <f>81.62</f>
        <v>81.62</v>
      </c>
    </row>
    <row r="40" spans="1:10" ht="15" x14ac:dyDescent="0.2">
      <c r="A40" s="16">
        <v>42491</v>
      </c>
      <c r="B40" s="10">
        <f>13.8625 * CHOOSE(CONTROL!$C$15, $E$9, 100%, $G$9) + CHOOSE(CONTROL!$C$38, 0.0278, 0)</f>
        <v>13.8903</v>
      </c>
      <c r="C40" s="10">
        <f>13.7082 * CHOOSE(CONTROL!$C$15, $E$9, 100%, $G$9) + CHOOSE(CONTROL!$C$38, 0.0369, 0)</f>
        <v>13.745099999999999</v>
      </c>
      <c r="D40" s="10">
        <f>13.7004 * CHOOSE(CONTROL!$C$15, $E$9, 100%, $G$9) + CHOOSE(CONTROL!$C$38, 0.0369, 0)</f>
        <v>13.737299999999999</v>
      </c>
      <c r="E40" s="28">
        <f>13.7062 * CHOOSE(CONTROL!$C$15, $E$9, 100%, $G$9) + CHOOSE(CONTROL!$C$38, 0.0369, 0)</f>
        <v>13.7431</v>
      </c>
      <c r="F40" s="27">
        <f>13.7062 * CHOOSE(CONTROL!$C$15, $E$9, 100%, $G$9) + CHOOSE(CONTROL!$C$38, 0.0278, 0)</f>
        <v>13.734</v>
      </c>
      <c r="G40" s="10">
        <f>13.7066 * CHOOSE(CONTROL!$C$15, $E$9, 100%, $G$9) + CHOOSE(CONTROL!$C$38, 0.0369, 0)</f>
        <v>13.743499999999999</v>
      </c>
      <c r="H40" s="10">
        <f>13.7066 * CHOOSE(CONTROL!$C$15, $E$9, 100%, $G$9) + CHOOSE(CONTROL!$C$38, 0.0369, 0)</f>
        <v>13.743499999999999</v>
      </c>
      <c r="I40" s="10">
        <f>13.7082 * CHOOSE(CONTROL!$C$15, $E$9, 100%, $G$9) + CHOOSE(CONTROL!$C$38, 0.0369, 0)</f>
        <v>13.745099999999999</v>
      </c>
      <c r="J40" s="29">
        <f>81.32</f>
        <v>81.319999999999993</v>
      </c>
    </row>
    <row r="41" spans="1:10" ht="15" x14ac:dyDescent="0.2">
      <c r="A41" s="16">
        <v>42522</v>
      </c>
      <c r="B41" s="10">
        <f>13.8984 * CHOOSE(CONTROL!$C$15, $E$9, 100%, $G$9) + CHOOSE(CONTROL!$C$38, 0.0278, 0)</f>
        <v>13.9262</v>
      </c>
      <c r="C41" s="10">
        <f>13.7459 * CHOOSE(CONTROL!$C$15, $E$9, 100%, $G$9) + CHOOSE(CONTROL!$C$38, 0.0369, 0)</f>
        <v>13.7828</v>
      </c>
      <c r="D41" s="10">
        <f>13.7381 * CHOOSE(CONTROL!$C$15, $E$9, 100%, $G$9) + CHOOSE(CONTROL!$C$38, 0.0369, 0)</f>
        <v>13.774999999999999</v>
      </c>
      <c r="E41" s="28">
        <f>13.7422 * CHOOSE(CONTROL!$C$15, $E$9, 100%, $G$9) + CHOOSE(CONTROL!$C$38, 0.0369, 0)</f>
        <v>13.7791</v>
      </c>
      <c r="F41" s="27">
        <f>13.7422 * CHOOSE(CONTROL!$C$15, $E$9, 100%, $G$9) + CHOOSE(CONTROL!$C$38, 0.0278, 0)</f>
        <v>13.77</v>
      </c>
      <c r="G41" s="10">
        <f>13.7444 * CHOOSE(CONTROL!$C$15, $E$9, 100%, $G$9) + CHOOSE(CONTROL!$C$38, 0.0369, 0)</f>
        <v>13.7813</v>
      </c>
      <c r="H41" s="10">
        <f>13.7444 * CHOOSE(CONTROL!$C$15, $E$9, 100%, $G$9) + CHOOSE(CONTROL!$C$38, 0.0369, 0)</f>
        <v>13.7813</v>
      </c>
      <c r="I41" s="10">
        <f>13.7459 * CHOOSE(CONTROL!$C$15, $E$9, 100%, $G$9) + CHOOSE(CONTROL!$C$38, 0.0369, 0)</f>
        <v>13.7828</v>
      </c>
      <c r="J41" s="29">
        <f>81.06</f>
        <v>81.06</v>
      </c>
    </row>
    <row r="42" spans="1:10" ht="15" x14ac:dyDescent="0.2">
      <c r="A42" s="16">
        <v>42552</v>
      </c>
      <c r="B42" s="10">
        <f>13.9406 * CHOOSE(CONTROL!$C$15, $E$9, 100%, $G$9) + CHOOSE(CONTROL!$C$38, 0.0278, 0)</f>
        <v>13.968399999999999</v>
      </c>
      <c r="C42" s="10">
        <f>13.7836 * CHOOSE(CONTROL!$C$15, $E$9, 100%, $G$9) + CHOOSE(CONTROL!$C$38, 0.0369, 0)</f>
        <v>13.820499999999999</v>
      </c>
      <c r="D42" s="10">
        <f>13.7758 * CHOOSE(CONTROL!$C$15, $E$9, 100%, $G$9) + CHOOSE(CONTROL!$C$38, 0.0369, 0)</f>
        <v>13.8127</v>
      </c>
      <c r="E42" s="28">
        <f>13.7843 * CHOOSE(CONTROL!$C$15, $E$9, 100%, $G$9) + CHOOSE(CONTROL!$C$38, 0.0369, 0)</f>
        <v>13.821199999999999</v>
      </c>
      <c r="F42" s="27">
        <f>13.7843 * CHOOSE(CONTROL!$C$15, $E$9, 100%, $G$9) + CHOOSE(CONTROL!$C$38, 0.0278, 0)</f>
        <v>13.812099999999999</v>
      </c>
      <c r="G42" s="10">
        <f>13.7821 * CHOOSE(CONTROL!$C$15, $E$9, 100%, $G$9) + CHOOSE(CONTROL!$C$38, 0.0369, 0)</f>
        <v>13.818999999999999</v>
      </c>
      <c r="H42" s="10">
        <f>13.7821 * CHOOSE(CONTROL!$C$15, $E$9, 100%, $G$9) + CHOOSE(CONTROL!$C$38, 0.0369, 0)</f>
        <v>13.818999999999999</v>
      </c>
      <c r="I42" s="10">
        <f>13.7836 * CHOOSE(CONTROL!$C$15, $E$9, 100%, $G$9) + CHOOSE(CONTROL!$C$38, 0.0369, 0)</f>
        <v>13.820499999999999</v>
      </c>
      <c r="J42" s="29">
        <f>80.72</f>
        <v>80.72</v>
      </c>
    </row>
    <row r="43" spans="1:10" ht="15" x14ac:dyDescent="0.2">
      <c r="A43" s="16">
        <v>42583</v>
      </c>
      <c r="B43" s="10">
        <f>13.9781 * CHOOSE(CONTROL!$C$15, $E$9, 100%, $G$9) + CHOOSE(CONTROL!$C$38, 0.0278, 0)</f>
        <v>14.005899999999999</v>
      </c>
      <c r="C43" s="10">
        <f>13.8214 * CHOOSE(CONTROL!$C$15, $E$9, 100%, $G$9) + CHOOSE(CONTROL!$C$38, 0.0369, 0)</f>
        <v>13.8583</v>
      </c>
      <c r="D43" s="10">
        <f>13.8135 * CHOOSE(CONTROL!$C$15, $E$9, 100%, $G$9) + CHOOSE(CONTROL!$C$38, 0.0369, 0)</f>
        <v>13.850399999999999</v>
      </c>
      <c r="E43" s="28">
        <f>13.8218 * CHOOSE(CONTROL!$C$15, $E$9, 100%, $G$9) + CHOOSE(CONTROL!$C$38, 0.0369, 0)</f>
        <v>13.858699999999999</v>
      </c>
      <c r="F43" s="27">
        <f>13.8218 * CHOOSE(CONTROL!$C$15, $E$9, 100%, $G$9) + CHOOSE(CONTROL!$C$38, 0.0278, 0)</f>
        <v>13.849599999999999</v>
      </c>
      <c r="G43" s="10">
        <f>13.8198 * CHOOSE(CONTROL!$C$15, $E$9, 100%, $G$9) + CHOOSE(CONTROL!$C$38, 0.0369, 0)</f>
        <v>13.8567</v>
      </c>
      <c r="H43" s="10">
        <f>13.8198 * CHOOSE(CONTROL!$C$15, $E$9, 100%, $G$9) + CHOOSE(CONTROL!$C$38, 0.0369, 0)</f>
        <v>13.8567</v>
      </c>
      <c r="I43" s="10">
        <f>13.8214 * CHOOSE(CONTROL!$C$15, $E$9, 100%, $G$9) + CHOOSE(CONTROL!$C$38, 0.0369, 0)</f>
        <v>13.8583</v>
      </c>
      <c r="J43" s="29">
        <f>80.43</f>
        <v>80.430000000000007</v>
      </c>
    </row>
    <row r="44" spans="1:10" ht="15" x14ac:dyDescent="0.2">
      <c r="A44" s="16">
        <v>42614</v>
      </c>
      <c r="B44" s="10">
        <f>14.0062 * CHOOSE(CONTROL!$C$15, $E$9, 100%, $G$9) + CHOOSE(CONTROL!$C$38, 0.0278, 0)</f>
        <v>14.033999999999999</v>
      </c>
      <c r="C44" s="10">
        <f>13.8591 * CHOOSE(CONTROL!$C$15, $E$9, 100%, $G$9) + CHOOSE(CONTROL!$C$38, 0.0369, 0)</f>
        <v>13.895999999999999</v>
      </c>
      <c r="D44" s="10">
        <f>13.8513 * CHOOSE(CONTROL!$C$15, $E$9, 100%, $G$9) + CHOOSE(CONTROL!$C$38, 0.0369, 0)</f>
        <v>13.888199999999999</v>
      </c>
      <c r="E44" s="28">
        <f>13.85 * CHOOSE(CONTROL!$C$15, $E$9, 100%, $G$9) + CHOOSE(CONTROL!$C$38, 0.0369, 0)</f>
        <v>13.886899999999999</v>
      </c>
      <c r="F44" s="27">
        <f>13.85 * CHOOSE(CONTROL!$C$15, $E$9, 100%, $G$9) + CHOOSE(CONTROL!$C$38, 0.0278, 0)</f>
        <v>13.877799999999999</v>
      </c>
      <c r="G44" s="10">
        <f>13.8575 * CHOOSE(CONTROL!$C$15, $E$9, 100%, $G$9) + CHOOSE(CONTROL!$C$38, 0.0369, 0)</f>
        <v>13.894399999999999</v>
      </c>
      <c r="H44" s="10">
        <f>13.8575 * CHOOSE(CONTROL!$C$15, $E$9, 100%, $G$9) + CHOOSE(CONTROL!$C$38, 0.0369, 0)</f>
        <v>13.894399999999999</v>
      </c>
      <c r="I44" s="10">
        <f>13.8591 * CHOOSE(CONTROL!$C$15, $E$9, 100%, $G$9) + CHOOSE(CONTROL!$C$38, 0.0369, 0)</f>
        <v>13.895999999999999</v>
      </c>
      <c r="J44" s="29">
        <f>80.17</f>
        <v>80.17</v>
      </c>
    </row>
    <row r="45" spans="1:10" ht="15" x14ac:dyDescent="0.2">
      <c r="A45" s="16">
        <v>42644</v>
      </c>
      <c r="B45" s="10">
        <f>14.0375 * CHOOSE(CONTROL!$C$15, $E$9, 100%, $G$9) + CHOOSE(CONTROL!$C$38, 0.0256, 0)</f>
        <v>14.0631</v>
      </c>
      <c r="C45" s="10">
        <f>13.8968 * CHOOSE(CONTROL!$C$15, $E$9, 100%, $G$9) + CHOOSE(CONTROL!$C$38, 0.0347, 0)</f>
        <v>13.931500000000002</v>
      </c>
      <c r="D45" s="10">
        <f>13.889 * CHOOSE(CONTROL!$C$15, $E$9, 100%, $G$9) + CHOOSE(CONTROL!$C$38, 0.0347, 0)</f>
        <v>13.9237</v>
      </c>
      <c r="E45" s="28">
        <f>13.8812 * CHOOSE(CONTROL!$C$15, $E$9, 100%, $G$9) + CHOOSE(CONTROL!$C$38, 0.0347, 0)</f>
        <v>13.915900000000001</v>
      </c>
      <c r="F45" s="27">
        <f>13.8812 * CHOOSE(CONTROL!$C$15, $E$9, 100%, $G$9) + CHOOSE(CONTROL!$C$38, 0.0256, 0)</f>
        <v>13.9068</v>
      </c>
      <c r="G45" s="10">
        <f>13.8952 * CHOOSE(CONTROL!$C$15, $E$9, 100%, $G$9) + CHOOSE(CONTROL!$C$38, 0.0347, 0)</f>
        <v>13.929900000000002</v>
      </c>
      <c r="H45" s="10">
        <f>13.8952 * CHOOSE(CONTROL!$C$15, $E$9, 100%, $G$9) + CHOOSE(CONTROL!$C$38, 0.0347, 0)</f>
        <v>13.929900000000002</v>
      </c>
      <c r="I45" s="10">
        <f>13.8968 * CHOOSE(CONTROL!$C$15, $E$9, 100%, $G$9) + CHOOSE(CONTROL!$C$38, 0.0347, 0)</f>
        <v>13.931500000000002</v>
      </c>
      <c r="J45" s="29">
        <f>79.95</f>
        <v>79.95</v>
      </c>
    </row>
    <row r="46" spans="1:10" ht="15" x14ac:dyDescent="0.2">
      <c r="A46" s="16">
        <v>42675</v>
      </c>
      <c r="B46" s="10">
        <f>14.0656 * CHOOSE(CONTROL!$C$15, $E$9, 100%, $G$9) + CHOOSE(CONTROL!$C$38, 0.0256, 0)</f>
        <v>14.091200000000001</v>
      </c>
      <c r="C46" s="10">
        <f>13.9345 * CHOOSE(CONTROL!$C$15, $E$9, 100%, $G$9) + CHOOSE(CONTROL!$C$38, 0.0347, 0)</f>
        <v>13.969200000000001</v>
      </c>
      <c r="D46" s="10">
        <f>13.9267 * CHOOSE(CONTROL!$C$15, $E$9, 100%, $G$9) + CHOOSE(CONTROL!$C$38, 0.0347, 0)</f>
        <v>13.961400000000001</v>
      </c>
      <c r="E46" s="28">
        <f>13.9093 * CHOOSE(CONTROL!$C$15, $E$9, 100%, $G$9) + CHOOSE(CONTROL!$C$38, 0.0347, 0)</f>
        <v>13.944000000000001</v>
      </c>
      <c r="F46" s="27">
        <f>13.9093 * CHOOSE(CONTROL!$C$15, $E$9, 100%, $G$9) + CHOOSE(CONTROL!$C$38, 0.0256, 0)</f>
        <v>13.934900000000001</v>
      </c>
      <c r="G46" s="10">
        <f>13.933 * CHOOSE(CONTROL!$C$15, $E$9, 100%, $G$9) + CHOOSE(CONTROL!$C$38, 0.0347, 0)</f>
        <v>13.967700000000001</v>
      </c>
      <c r="H46" s="10">
        <f>13.933 * CHOOSE(CONTROL!$C$15, $E$9, 100%, $G$9) + CHOOSE(CONTROL!$C$38, 0.0347, 0)</f>
        <v>13.967700000000001</v>
      </c>
      <c r="I46" s="10">
        <f>13.9345 * CHOOSE(CONTROL!$C$15, $E$9, 100%, $G$9) + CHOOSE(CONTROL!$C$38, 0.0347, 0)</f>
        <v>13.969200000000001</v>
      </c>
      <c r="J46" s="29">
        <f>79.77</f>
        <v>79.77</v>
      </c>
    </row>
    <row r="47" spans="1:10" ht="15" x14ac:dyDescent="0.2">
      <c r="A47" s="16">
        <v>42705</v>
      </c>
      <c r="B47" s="10">
        <f>14.0953 * CHOOSE(CONTROL!$C$15, $E$9, 100%, $G$9) + CHOOSE(CONTROL!$C$38, 0.0256, 0)</f>
        <v>14.120900000000001</v>
      </c>
      <c r="C47" s="10">
        <f>13.9722 * CHOOSE(CONTROL!$C$15, $E$9, 100%, $G$9) + CHOOSE(CONTROL!$C$38, 0.0347, 0)</f>
        <v>14.006900000000002</v>
      </c>
      <c r="D47" s="10">
        <f>13.9644 * CHOOSE(CONTROL!$C$15, $E$9, 100%, $G$9) + CHOOSE(CONTROL!$C$38, 0.0347, 0)</f>
        <v>13.9991</v>
      </c>
      <c r="E47" s="28">
        <f>13.939 * CHOOSE(CONTROL!$C$15, $E$9, 100%, $G$9) + CHOOSE(CONTROL!$C$38, 0.0347, 0)</f>
        <v>13.973700000000001</v>
      </c>
      <c r="F47" s="27">
        <f>13.939 * CHOOSE(CONTROL!$C$15, $E$9, 100%, $G$9) + CHOOSE(CONTROL!$C$38, 0.0256, 0)</f>
        <v>13.964600000000001</v>
      </c>
      <c r="G47" s="10">
        <f>13.9707 * CHOOSE(CONTROL!$C$15, $E$9, 100%, $G$9) + CHOOSE(CONTROL!$C$38, 0.0347, 0)</f>
        <v>14.005400000000002</v>
      </c>
      <c r="H47" s="10">
        <f>13.9707 * CHOOSE(CONTROL!$C$15, $E$9, 100%, $G$9) + CHOOSE(CONTROL!$C$38, 0.0347, 0)</f>
        <v>14.005400000000002</v>
      </c>
      <c r="I47" s="10">
        <f>13.9722 * CHOOSE(CONTROL!$C$15, $E$9, 100%, $G$9) + CHOOSE(CONTROL!$C$38, 0.0347, 0)</f>
        <v>14.006900000000002</v>
      </c>
      <c r="J47" s="29">
        <f>79.63</f>
        <v>79.63</v>
      </c>
    </row>
    <row r="48" spans="1:10" ht="15" x14ac:dyDescent="0.2">
      <c r="A48" s="16">
        <v>42736</v>
      </c>
      <c r="B48" s="10">
        <f>15.0549 * CHOOSE(CONTROL!$C$15, $E$9, 100%, $G$9) + CHOOSE(CONTROL!$C$38, 0.0256, 0)</f>
        <v>15.080500000000001</v>
      </c>
      <c r="C48" s="10">
        <f>14.61 * CHOOSE(CONTROL!$C$15, $E$9, 100%, $G$9) + CHOOSE(CONTROL!$C$38, 0.0347, 0)</f>
        <v>14.6447</v>
      </c>
      <c r="D48" s="10">
        <f>14.6022 * CHOOSE(CONTROL!$C$15, $E$9, 100%, $G$9) + CHOOSE(CONTROL!$C$38, 0.0347, 0)</f>
        <v>14.636900000000001</v>
      </c>
      <c r="E48" s="28">
        <f>14.8987 * CHOOSE(CONTROL!$C$15, $E$9, 100%, $G$9) + CHOOSE(CONTROL!$C$38, 0.0347, 0)</f>
        <v>14.933400000000001</v>
      </c>
      <c r="F48" s="27">
        <f>14.8987 * CHOOSE(CONTROL!$C$15, $E$9, 100%, $G$9) + CHOOSE(CONTROL!$C$38, 0.0256, 0)</f>
        <v>14.924300000000001</v>
      </c>
      <c r="G48" s="10">
        <f>14.6085 * CHOOSE(CONTROL!$C$15, $E$9, 100%, $G$9) + CHOOSE(CONTROL!$C$38, 0.0347, 0)</f>
        <v>14.6432</v>
      </c>
      <c r="H48" s="10">
        <f>14.6085 * CHOOSE(CONTROL!$C$15, $E$9, 100%, $G$9) + CHOOSE(CONTROL!$C$38, 0.0347, 0)</f>
        <v>14.6432</v>
      </c>
      <c r="I48" s="10">
        <f>14.61 * CHOOSE(CONTROL!$C$15, $E$9, 100%, $G$9) + CHOOSE(CONTROL!$C$38, 0.0347, 0)</f>
        <v>14.6447</v>
      </c>
      <c r="J48" s="29">
        <f>77.6624</f>
        <v>77.662400000000005</v>
      </c>
    </row>
    <row r="49" spans="1:10" ht="15" x14ac:dyDescent="0.2">
      <c r="A49" s="16">
        <v>42767</v>
      </c>
      <c r="B49" s="10">
        <f>15.2757 * CHOOSE(CONTROL!$C$15, $E$9, 100%, $G$9) + CHOOSE(CONTROL!$C$38, 0.0256, 0)</f>
        <v>15.301300000000001</v>
      </c>
      <c r="C49" s="10">
        <f>14.8308 * CHOOSE(CONTROL!$C$15, $E$9, 100%, $G$9) + CHOOSE(CONTROL!$C$38, 0.0347, 0)</f>
        <v>14.865500000000001</v>
      </c>
      <c r="D49" s="10">
        <f>14.823 * CHOOSE(CONTROL!$C$15, $E$9, 100%, $G$9) + CHOOSE(CONTROL!$C$38, 0.0347, 0)</f>
        <v>14.857700000000001</v>
      </c>
      <c r="E49" s="28">
        <f>15.1194 * CHOOSE(CONTROL!$C$15, $E$9, 100%, $G$9) + CHOOSE(CONTROL!$C$38, 0.0347, 0)</f>
        <v>15.154100000000001</v>
      </c>
      <c r="F49" s="27">
        <f>15.1194 * CHOOSE(CONTROL!$C$15, $E$9, 100%, $G$9) + CHOOSE(CONTROL!$C$38, 0.0256, 0)</f>
        <v>15.145000000000001</v>
      </c>
      <c r="G49" s="10">
        <f>14.8292 * CHOOSE(CONTROL!$C$15, $E$9, 100%, $G$9) + CHOOSE(CONTROL!$C$38, 0.0347, 0)</f>
        <v>14.863900000000001</v>
      </c>
      <c r="H49" s="10">
        <f>14.8292 * CHOOSE(CONTROL!$C$15, $E$9, 100%, $G$9) + CHOOSE(CONTROL!$C$38, 0.0347, 0)</f>
        <v>14.863900000000001</v>
      </c>
      <c r="I49" s="10">
        <f>14.8308 * CHOOSE(CONTROL!$C$15, $E$9, 100%, $G$9) + CHOOSE(CONTROL!$C$38, 0.0347, 0)</f>
        <v>14.865500000000001</v>
      </c>
      <c r="J49" s="29">
        <f>77.4465</f>
        <v>77.4465</v>
      </c>
    </row>
    <row r="50" spans="1:10" ht="15" x14ac:dyDescent="0.2">
      <c r="A50" s="16">
        <v>42795</v>
      </c>
      <c r="B50" s="10">
        <f>14.7647 * CHOOSE(CONTROL!$C$15, $E$9, 100%, $G$9) + CHOOSE(CONTROL!$C$38, 0.0256, 0)</f>
        <v>14.7903</v>
      </c>
      <c r="C50" s="10">
        <f>14.3198 * CHOOSE(CONTROL!$C$15, $E$9, 100%, $G$9) + CHOOSE(CONTROL!$C$38, 0.0347, 0)</f>
        <v>14.354500000000002</v>
      </c>
      <c r="D50" s="10">
        <f>14.312 * CHOOSE(CONTROL!$C$15, $E$9, 100%, $G$9) + CHOOSE(CONTROL!$C$38, 0.0347, 0)</f>
        <v>14.3467</v>
      </c>
      <c r="E50" s="28">
        <f>14.6084 * CHOOSE(CONTROL!$C$15, $E$9, 100%, $G$9) + CHOOSE(CONTROL!$C$38, 0.0347, 0)</f>
        <v>14.6431</v>
      </c>
      <c r="F50" s="27">
        <f>14.6084 * CHOOSE(CONTROL!$C$15, $E$9, 100%, $G$9) + CHOOSE(CONTROL!$C$38, 0.0256, 0)</f>
        <v>14.634</v>
      </c>
      <c r="G50" s="10">
        <f>14.3182 * CHOOSE(CONTROL!$C$15, $E$9, 100%, $G$9) + CHOOSE(CONTROL!$C$38, 0.0347, 0)</f>
        <v>14.3529</v>
      </c>
      <c r="H50" s="10">
        <f>14.3182 * CHOOSE(CONTROL!$C$15, $E$9, 100%, $G$9) + CHOOSE(CONTROL!$C$38, 0.0347, 0)</f>
        <v>14.3529</v>
      </c>
      <c r="I50" s="10">
        <f>14.3198 * CHOOSE(CONTROL!$C$15, $E$9, 100%, $G$9) + CHOOSE(CONTROL!$C$38, 0.0347, 0)</f>
        <v>14.354500000000002</v>
      </c>
      <c r="J50" s="29">
        <f>81.5284</f>
        <v>81.528400000000005</v>
      </c>
    </row>
    <row r="51" spans="1:10" ht="15" x14ac:dyDescent="0.2">
      <c r="A51" s="16">
        <v>42826</v>
      </c>
      <c r="B51" s="10">
        <f>14.2695 * CHOOSE(CONTROL!$C$15, $E$9, 100%, $G$9) + CHOOSE(CONTROL!$C$38, 0.0256, 0)</f>
        <v>14.295100000000001</v>
      </c>
      <c r="C51" s="10">
        <f>13.8246 * CHOOSE(CONTROL!$C$15, $E$9, 100%, $G$9) + CHOOSE(CONTROL!$C$38, 0.0347, 0)</f>
        <v>13.859300000000001</v>
      </c>
      <c r="D51" s="10">
        <f>13.8168 * CHOOSE(CONTROL!$C$15, $E$9, 100%, $G$9) + CHOOSE(CONTROL!$C$38, 0.0347, 0)</f>
        <v>13.851500000000001</v>
      </c>
      <c r="E51" s="28">
        <f>14.1132 * CHOOSE(CONTROL!$C$15, $E$9, 100%, $G$9) + CHOOSE(CONTROL!$C$38, 0.0347, 0)</f>
        <v>14.147900000000002</v>
      </c>
      <c r="F51" s="27">
        <f>14.1132 * CHOOSE(CONTROL!$C$15, $E$9, 100%, $G$9) + CHOOSE(CONTROL!$C$38, 0.0256, 0)</f>
        <v>14.138800000000002</v>
      </c>
      <c r="G51" s="10">
        <f>13.823 * CHOOSE(CONTROL!$C$15, $E$9, 100%, $G$9) + CHOOSE(CONTROL!$C$38, 0.0347, 0)</f>
        <v>13.857700000000001</v>
      </c>
      <c r="H51" s="10">
        <f>13.823 * CHOOSE(CONTROL!$C$15, $E$9, 100%, $G$9) + CHOOSE(CONTROL!$C$38, 0.0347, 0)</f>
        <v>13.857700000000001</v>
      </c>
      <c r="I51" s="10">
        <f>13.8246 * CHOOSE(CONTROL!$C$15, $E$9, 100%, $G$9) + CHOOSE(CONTROL!$C$38, 0.0347, 0)</f>
        <v>13.859300000000001</v>
      </c>
      <c r="J51" s="29">
        <f>86.8216</f>
        <v>86.821600000000004</v>
      </c>
    </row>
    <row r="52" spans="1:10" ht="15" x14ac:dyDescent="0.2">
      <c r="A52" s="16">
        <v>42856</v>
      </c>
      <c r="B52" s="10">
        <f>13.7534 * CHOOSE(CONTROL!$C$15, $E$9, 100%, $G$9) + CHOOSE(CONTROL!$C$38, 0.0278, 0)</f>
        <v>13.781199999999998</v>
      </c>
      <c r="C52" s="10">
        <f>13.3085 * CHOOSE(CONTROL!$C$15, $E$9, 100%, $G$9) + CHOOSE(CONTROL!$C$38, 0.0369, 0)</f>
        <v>13.3454</v>
      </c>
      <c r="D52" s="10">
        <f>13.3007 * CHOOSE(CONTROL!$C$15, $E$9, 100%, $G$9) + CHOOSE(CONTROL!$C$38, 0.0369, 0)</f>
        <v>13.3376</v>
      </c>
      <c r="E52" s="28">
        <f>13.5971 * CHOOSE(CONTROL!$C$15, $E$9, 100%, $G$9) + CHOOSE(CONTROL!$C$38, 0.0369, 0)</f>
        <v>13.633999999999999</v>
      </c>
      <c r="F52" s="27">
        <f>13.5971 * CHOOSE(CONTROL!$C$15, $E$9, 100%, $G$9) + CHOOSE(CONTROL!$C$38, 0.0278, 0)</f>
        <v>13.624899999999998</v>
      </c>
      <c r="G52" s="10">
        <f>13.3069 * CHOOSE(CONTROL!$C$15, $E$9, 100%, $G$9) + CHOOSE(CONTROL!$C$38, 0.0369, 0)</f>
        <v>13.3438</v>
      </c>
      <c r="H52" s="10">
        <f>13.3069 * CHOOSE(CONTROL!$C$15, $E$9, 100%, $G$9) + CHOOSE(CONTROL!$C$38, 0.0369, 0)</f>
        <v>13.3438</v>
      </c>
      <c r="I52" s="10">
        <f>13.3085 * CHOOSE(CONTROL!$C$15, $E$9, 100%, $G$9) + CHOOSE(CONTROL!$C$38, 0.0369, 0)</f>
        <v>13.3454</v>
      </c>
      <c r="J52" s="29">
        <f>89.7352</f>
        <v>89.735200000000006</v>
      </c>
    </row>
    <row r="53" spans="1:10" ht="15" x14ac:dyDescent="0.2">
      <c r="A53" s="16">
        <v>42887</v>
      </c>
      <c r="B53" s="10">
        <f>13.3915 * CHOOSE(CONTROL!$C$15, $E$9, 100%, $G$9) + CHOOSE(CONTROL!$C$38, 0.0278, 0)</f>
        <v>13.4193</v>
      </c>
      <c r="C53" s="10">
        <f>12.9466 * CHOOSE(CONTROL!$C$15, $E$9, 100%, $G$9) + CHOOSE(CONTROL!$C$38, 0.0369, 0)</f>
        <v>12.983499999999999</v>
      </c>
      <c r="D53" s="10">
        <f>12.9388 * CHOOSE(CONTROL!$C$15, $E$9, 100%, $G$9) + CHOOSE(CONTROL!$C$38, 0.0369, 0)</f>
        <v>12.9757</v>
      </c>
      <c r="E53" s="28">
        <f>13.2353 * CHOOSE(CONTROL!$C$15, $E$9, 100%, $G$9) + CHOOSE(CONTROL!$C$38, 0.0369, 0)</f>
        <v>13.2722</v>
      </c>
      <c r="F53" s="27">
        <f>13.2353 * CHOOSE(CONTROL!$C$15, $E$9, 100%, $G$9) + CHOOSE(CONTROL!$C$38, 0.0278, 0)</f>
        <v>13.2631</v>
      </c>
      <c r="G53" s="10">
        <f>12.9451 * CHOOSE(CONTROL!$C$15, $E$9, 100%, $G$9) + CHOOSE(CONTROL!$C$38, 0.0369, 0)</f>
        <v>12.981999999999999</v>
      </c>
      <c r="H53" s="10">
        <f>12.9451 * CHOOSE(CONTROL!$C$15, $E$9, 100%, $G$9) + CHOOSE(CONTROL!$C$38, 0.0369, 0)</f>
        <v>12.981999999999999</v>
      </c>
      <c r="I53" s="10">
        <f>12.9466 * CHOOSE(CONTROL!$C$15, $E$9, 100%, $G$9) + CHOOSE(CONTROL!$C$38, 0.0369, 0)</f>
        <v>12.983499999999999</v>
      </c>
      <c r="J53" s="29">
        <f>91.0282</f>
        <v>91.028199999999998</v>
      </c>
    </row>
    <row r="54" spans="1:10" ht="15" x14ac:dyDescent="0.2">
      <c r="A54" s="16">
        <v>42917</v>
      </c>
      <c r="B54" s="10">
        <f>13.185 * CHOOSE(CONTROL!$C$15, $E$9, 100%, $G$9) + CHOOSE(CONTROL!$C$38, 0.0278, 0)</f>
        <v>13.2128</v>
      </c>
      <c r="C54" s="10">
        <f>12.7402 * CHOOSE(CONTROL!$C$15, $E$9, 100%, $G$9) + CHOOSE(CONTROL!$C$38, 0.0369, 0)</f>
        <v>12.777099999999999</v>
      </c>
      <c r="D54" s="10">
        <f>12.7323 * CHOOSE(CONTROL!$C$15, $E$9, 100%, $G$9) + CHOOSE(CONTROL!$C$38, 0.0369, 0)</f>
        <v>12.7692</v>
      </c>
      <c r="E54" s="28">
        <f>13.0288 * CHOOSE(CONTROL!$C$15, $E$9, 100%, $G$9) + CHOOSE(CONTROL!$C$38, 0.0369, 0)</f>
        <v>13.0657</v>
      </c>
      <c r="F54" s="27">
        <f>13.0288 * CHOOSE(CONTROL!$C$15, $E$9, 100%, $G$9) + CHOOSE(CONTROL!$C$38, 0.0278, 0)</f>
        <v>13.0566</v>
      </c>
      <c r="G54" s="10">
        <f>12.7386 * CHOOSE(CONTROL!$C$15, $E$9, 100%, $G$9) + CHOOSE(CONTROL!$C$38, 0.0369, 0)</f>
        <v>12.775499999999999</v>
      </c>
      <c r="H54" s="10">
        <f>12.7386 * CHOOSE(CONTROL!$C$15, $E$9, 100%, $G$9) + CHOOSE(CONTROL!$C$38, 0.0369, 0)</f>
        <v>12.775499999999999</v>
      </c>
      <c r="I54" s="10">
        <f>12.7402 * CHOOSE(CONTROL!$C$15, $E$9, 100%, $G$9) + CHOOSE(CONTROL!$C$38, 0.0369, 0)</f>
        <v>12.777099999999999</v>
      </c>
      <c r="J54" s="29">
        <f>90.6025</f>
        <v>90.602500000000006</v>
      </c>
    </row>
    <row r="55" spans="1:10" ht="15" x14ac:dyDescent="0.2">
      <c r="A55" s="16">
        <v>42948</v>
      </c>
      <c r="B55" s="10">
        <f>13.287 * CHOOSE(CONTROL!$C$15, $E$9, 100%, $G$9) + CHOOSE(CONTROL!$C$38, 0.0278, 0)</f>
        <v>13.3148</v>
      </c>
      <c r="C55" s="10">
        <f>12.8421 * CHOOSE(CONTROL!$C$15, $E$9, 100%, $G$9) + CHOOSE(CONTROL!$C$38, 0.0369, 0)</f>
        <v>12.879</v>
      </c>
      <c r="D55" s="10">
        <f>12.8343 * CHOOSE(CONTROL!$C$15, $E$9, 100%, $G$9) + CHOOSE(CONTROL!$C$38, 0.0369, 0)</f>
        <v>12.8712</v>
      </c>
      <c r="E55" s="28">
        <f>13.1307 * CHOOSE(CONTROL!$C$15, $E$9, 100%, $G$9) + CHOOSE(CONTROL!$C$38, 0.0369, 0)</f>
        <v>13.167599999999998</v>
      </c>
      <c r="F55" s="27">
        <f>13.1307 * CHOOSE(CONTROL!$C$15, $E$9, 100%, $G$9) + CHOOSE(CONTROL!$C$38, 0.0278, 0)</f>
        <v>13.158499999999998</v>
      </c>
      <c r="G55" s="10">
        <f>12.8405 * CHOOSE(CONTROL!$C$15, $E$9, 100%, $G$9) + CHOOSE(CONTROL!$C$38, 0.0369, 0)</f>
        <v>12.8774</v>
      </c>
      <c r="H55" s="10">
        <f>12.8405 * CHOOSE(CONTROL!$C$15, $E$9, 100%, $G$9) + CHOOSE(CONTROL!$C$38, 0.0369, 0)</f>
        <v>12.8774</v>
      </c>
      <c r="I55" s="10">
        <f>12.8421 * CHOOSE(CONTROL!$C$15, $E$9, 100%, $G$9) + CHOOSE(CONTROL!$C$38, 0.0369, 0)</f>
        <v>12.879</v>
      </c>
      <c r="J55" s="29">
        <f>88.4933</f>
        <v>88.493300000000005</v>
      </c>
    </row>
    <row r="56" spans="1:10" ht="15" x14ac:dyDescent="0.2">
      <c r="A56" s="16">
        <v>42979</v>
      </c>
      <c r="B56" s="10">
        <f>13.5638 * CHOOSE(CONTROL!$C$15, $E$9, 100%, $G$9) + CHOOSE(CONTROL!$C$38, 0.0278, 0)</f>
        <v>13.5916</v>
      </c>
      <c r="C56" s="10">
        <f>13.1189 * CHOOSE(CONTROL!$C$15, $E$9, 100%, $G$9) + CHOOSE(CONTROL!$C$38, 0.0369, 0)</f>
        <v>13.155799999999999</v>
      </c>
      <c r="D56" s="10">
        <f>13.111 * CHOOSE(CONTROL!$C$15, $E$9, 100%, $G$9) + CHOOSE(CONTROL!$C$38, 0.0369, 0)</f>
        <v>13.1479</v>
      </c>
      <c r="E56" s="28">
        <f>13.4075 * CHOOSE(CONTROL!$C$15, $E$9, 100%, $G$9) + CHOOSE(CONTROL!$C$38, 0.0369, 0)</f>
        <v>13.4444</v>
      </c>
      <c r="F56" s="27">
        <f>13.4075 * CHOOSE(CONTROL!$C$15, $E$9, 100%, $G$9) + CHOOSE(CONTROL!$C$38, 0.0278, 0)</f>
        <v>13.4353</v>
      </c>
      <c r="G56" s="10">
        <f>13.1173 * CHOOSE(CONTROL!$C$15, $E$9, 100%, $G$9) + CHOOSE(CONTROL!$C$38, 0.0369, 0)</f>
        <v>13.154199999999999</v>
      </c>
      <c r="H56" s="10">
        <f>13.1173 * CHOOSE(CONTROL!$C$15, $E$9, 100%, $G$9) + CHOOSE(CONTROL!$C$38, 0.0369, 0)</f>
        <v>13.154199999999999</v>
      </c>
      <c r="I56" s="10">
        <f>13.1189 * CHOOSE(CONTROL!$C$15, $E$9, 100%, $G$9) + CHOOSE(CONTROL!$C$38, 0.0369, 0)</f>
        <v>13.155799999999999</v>
      </c>
      <c r="J56" s="29">
        <f>85.5519</f>
        <v>85.551900000000003</v>
      </c>
    </row>
    <row r="57" spans="1:10" ht="15" x14ac:dyDescent="0.2">
      <c r="A57" s="16">
        <v>43009</v>
      </c>
      <c r="B57" s="10">
        <f>13.7956 * CHOOSE(CONTROL!$C$15, $E$9, 100%, $G$9) + CHOOSE(CONTROL!$C$38, 0.0256, 0)</f>
        <v>13.821200000000001</v>
      </c>
      <c r="C57" s="10">
        <f>13.3507 * CHOOSE(CONTROL!$C$15, $E$9, 100%, $G$9) + CHOOSE(CONTROL!$C$38, 0.0347, 0)</f>
        <v>13.385400000000001</v>
      </c>
      <c r="D57" s="10">
        <f>13.3429 * CHOOSE(CONTROL!$C$15, $E$9, 100%, $G$9) + CHOOSE(CONTROL!$C$38, 0.0347, 0)</f>
        <v>13.377600000000001</v>
      </c>
      <c r="E57" s="28">
        <f>13.6393 * CHOOSE(CONTROL!$C$15, $E$9, 100%, $G$9) + CHOOSE(CONTROL!$C$38, 0.0347, 0)</f>
        <v>13.674000000000001</v>
      </c>
      <c r="F57" s="27">
        <f>13.6393 * CHOOSE(CONTROL!$C$15, $E$9, 100%, $G$9) + CHOOSE(CONTROL!$C$38, 0.0256, 0)</f>
        <v>13.664900000000001</v>
      </c>
      <c r="G57" s="10">
        <f>13.3491 * CHOOSE(CONTROL!$C$15, $E$9, 100%, $G$9) + CHOOSE(CONTROL!$C$38, 0.0347, 0)</f>
        <v>13.383800000000001</v>
      </c>
      <c r="H57" s="10">
        <f>13.3491 * CHOOSE(CONTROL!$C$15, $E$9, 100%, $G$9) + CHOOSE(CONTROL!$C$38, 0.0347, 0)</f>
        <v>13.383800000000001</v>
      </c>
      <c r="I57" s="10">
        <f>13.3507 * CHOOSE(CONTROL!$C$15, $E$9, 100%, $G$9) + CHOOSE(CONTROL!$C$38, 0.0347, 0)</f>
        <v>13.385400000000001</v>
      </c>
      <c r="J57" s="29">
        <f>82.5935</f>
        <v>82.593500000000006</v>
      </c>
    </row>
    <row r="58" spans="1:10" ht="15" x14ac:dyDescent="0.2">
      <c r="A58" s="16">
        <v>43040</v>
      </c>
      <c r="B58" s="10">
        <f>13.989 * CHOOSE(CONTROL!$C$15, $E$9, 100%, $G$9) + CHOOSE(CONTROL!$C$38, 0.0256, 0)</f>
        <v>14.014600000000002</v>
      </c>
      <c r="C58" s="10">
        <f>13.5441 * CHOOSE(CONTROL!$C$15, $E$9, 100%, $G$9) + CHOOSE(CONTROL!$C$38, 0.0347, 0)</f>
        <v>13.578800000000001</v>
      </c>
      <c r="D58" s="10">
        <f>13.5363 * CHOOSE(CONTROL!$C$15, $E$9, 100%, $G$9) + CHOOSE(CONTROL!$C$38, 0.0347, 0)</f>
        <v>13.571000000000002</v>
      </c>
      <c r="E58" s="28">
        <f>13.8328 * CHOOSE(CONTROL!$C$15, $E$9, 100%, $G$9) + CHOOSE(CONTROL!$C$38, 0.0347, 0)</f>
        <v>13.867500000000001</v>
      </c>
      <c r="F58" s="27">
        <f>13.8328 * CHOOSE(CONTROL!$C$15, $E$9, 100%, $G$9) + CHOOSE(CONTROL!$C$38, 0.0256, 0)</f>
        <v>13.858400000000001</v>
      </c>
      <c r="G58" s="10">
        <f>13.5426 * CHOOSE(CONTROL!$C$15, $E$9, 100%, $G$9) + CHOOSE(CONTROL!$C$38, 0.0347, 0)</f>
        <v>13.577300000000001</v>
      </c>
      <c r="H58" s="10">
        <f>13.5426 * CHOOSE(CONTROL!$C$15, $E$9, 100%, $G$9) + CHOOSE(CONTROL!$C$38, 0.0347, 0)</f>
        <v>13.577300000000001</v>
      </c>
      <c r="I58" s="10">
        <f>13.5441 * CHOOSE(CONTROL!$C$15, $E$9, 100%, $G$9) + CHOOSE(CONTROL!$C$38, 0.0347, 0)</f>
        <v>13.578800000000001</v>
      </c>
      <c r="J58" s="29">
        <f>82.005</f>
        <v>82.004999999999995</v>
      </c>
    </row>
    <row r="59" spans="1:10" ht="15" x14ac:dyDescent="0.2">
      <c r="A59" s="16">
        <v>43070</v>
      </c>
      <c r="B59" s="10">
        <f>14.5851 * CHOOSE(CONTROL!$C$15, $E$9, 100%, $G$9) + CHOOSE(CONTROL!$C$38, 0.0256, 0)</f>
        <v>14.610700000000001</v>
      </c>
      <c r="C59" s="10">
        <f>14.1402 * CHOOSE(CONTROL!$C$15, $E$9, 100%, $G$9) + CHOOSE(CONTROL!$C$38, 0.0347, 0)</f>
        <v>14.174900000000001</v>
      </c>
      <c r="D59" s="10">
        <f>14.1324 * CHOOSE(CONTROL!$C$15, $E$9, 100%, $G$9) + CHOOSE(CONTROL!$C$38, 0.0347, 0)</f>
        <v>14.167100000000001</v>
      </c>
      <c r="E59" s="28">
        <f>14.4288 * CHOOSE(CONTROL!$C$15, $E$9, 100%, $G$9) + CHOOSE(CONTROL!$C$38, 0.0347, 0)</f>
        <v>14.463500000000002</v>
      </c>
      <c r="F59" s="27">
        <f>14.4288 * CHOOSE(CONTROL!$C$15, $E$9, 100%, $G$9) + CHOOSE(CONTROL!$C$38, 0.0256, 0)</f>
        <v>14.454400000000001</v>
      </c>
      <c r="G59" s="10">
        <f>14.1386 * CHOOSE(CONTROL!$C$15, $E$9, 100%, $G$9) + CHOOSE(CONTROL!$C$38, 0.0347, 0)</f>
        <v>14.173300000000001</v>
      </c>
      <c r="H59" s="10">
        <f>14.1386 * CHOOSE(CONTROL!$C$15, $E$9, 100%, $G$9) + CHOOSE(CONTROL!$C$38, 0.0347, 0)</f>
        <v>14.173300000000001</v>
      </c>
      <c r="I59" s="10">
        <f>14.1402 * CHOOSE(CONTROL!$C$15, $E$9, 100%, $G$9) + CHOOSE(CONTROL!$C$38, 0.0347, 0)</f>
        <v>14.174900000000001</v>
      </c>
      <c r="J59" s="29">
        <f>79.5715</f>
        <v>79.5715</v>
      </c>
    </row>
    <row r="60" spans="1:10" ht="15" x14ac:dyDescent="0.2">
      <c r="A60" s="16">
        <v>43101</v>
      </c>
      <c r="B60" s="10">
        <f>15.2676 * CHOOSE(CONTROL!$C$15, $E$9, 100%, $G$9) + CHOOSE(CONTROL!$C$38, 0.0256, 0)</f>
        <v>15.293200000000001</v>
      </c>
      <c r="C60" s="10">
        <f>14.8193 * CHOOSE(CONTROL!$C$15, $E$9, 100%, $G$9) + CHOOSE(CONTROL!$C$38, 0.0347, 0)</f>
        <v>14.854000000000001</v>
      </c>
      <c r="D60" s="10">
        <f>14.8115 * CHOOSE(CONTROL!$C$15, $E$9, 100%, $G$9) + CHOOSE(CONTROL!$C$38, 0.0347, 0)</f>
        <v>14.846200000000001</v>
      </c>
      <c r="E60" s="28">
        <f>15.1113 * CHOOSE(CONTROL!$C$15, $E$9, 100%, $G$9) + CHOOSE(CONTROL!$C$38, 0.0347, 0)</f>
        <v>15.146000000000001</v>
      </c>
      <c r="F60" s="27">
        <f>15.1113 * CHOOSE(CONTROL!$C$15, $E$9, 100%, $G$9) + CHOOSE(CONTROL!$C$38, 0.0256, 0)</f>
        <v>15.136900000000001</v>
      </c>
      <c r="G60" s="10">
        <f>14.8177 * CHOOSE(CONTROL!$C$15, $E$9, 100%, $G$9) + CHOOSE(CONTROL!$C$38, 0.0347, 0)</f>
        <v>14.852400000000001</v>
      </c>
      <c r="H60" s="10">
        <f>14.8177 * CHOOSE(CONTROL!$C$15, $E$9, 100%, $G$9) + CHOOSE(CONTROL!$C$38, 0.0347, 0)</f>
        <v>14.852400000000001</v>
      </c>
      <c r="I60" s="10">
        <f>14.8193 * CHOOSE(CONTROL!$C$15, $E$9, 100%, $G$9) + CHOOSE(CONTROL!$C$38, 0.0347, 0)</f>
        <v>14.854000000000001</v>
      </c>
      <c r="J60" s="29">
        <f>79.5399</f>
        <v>79.539900000000003</v>
      </c>
    </row>
    <row r="61" spans="1:10" ht="15" x14ac:dyDescent="0.2">
      <c r="A61" s="16">
        <v>43132</v>
      </c>
      <c r="B61" s="10">
        <f>15.4883 * CHOOSE(CONTROL!$C$15, $E$9, 100%, $G$9) + CHOOSE(CONTROL!$C$38, 0.0256, 0)</f>
        <v>15.513900000000001</v>
      </c>
      <c r="C61" s="10">
        <f>15.0401 * CHOOSE(CONTROL!$C$15, $E$9, 100%, $G$9) + CHOOSE(CONTROL!$C$38, 0.0347, 0)</f>
        <v>15.074800000000002</v>
      </c>
      <c r="D61" s="10">
        <f>15.0323 * CHOOSE(CONTROL!$C$15, $E$9, 100%, $G$9) + CHOOSE(CONTROL!$C$38, 0.0347, 0)</f>
        <v>15.067</v>
      </c>
      <c r="E61" s="28">
        <f>15.3321 * CHOOSE(CONTROL!$C$15, $E$9, 100%, $G$9) + CHOOSE(CONTROL!$C$38, 0.0347, 0)</f>
        <v>15.366800000000001</v>
      </c>
      <c r="F61" s="27">
        <f>15.3321 * CHOOSE(CONTROL!$C$15, $E$9, 100%, $G$9) + CHOOSE(CONTROL!$C$38, 0.0256, 0)</f>
        <v>15.357700000000001</v>
      </c>
      <c r="G61" s="10">
        <f>15.0385 * CHOOSE(CONTROL!$C$15, $E$9, 100%, $G$9) + CHOOSE(CONTROL!$C$38, 0.0347, 0)</f>
        <v>15.073200000000002</v>
      </c>
      <c r="H61" s="10">
        <f>15.0385 * CHOOSE(CONTROL!$C$15, $E$9, 100%, $G$9) + CHOOSE(CONTROL!$C$38, 0.0347, 0)</f>
        <v>15.073200000000002</v>
      </c>
      <c r="I61" s="10">
        <f>15.0401 * CHOOSE(CONTROL!$C$15, $E$9, 100%, $G$9) + CHOOSE(CONTROL!$C$38, 0.0347, 0)</f>
        <v>15.074800000000002</v>
      </c>
      <c r="J61" s="29">
        <f>79.3188</f>
        <v>79.318799999999996</v>
      </c>
    </row>
    <row r="62" spans="1:10" ht="15" x14ac:dyDescent="0.2">
      <c r="A62" s="16">
        <v>43160</v>
      </c>
      <c r="B62" s="10">
        <f>14.9773 * CHOOSE(CONTROL!$C$15, $E$9, 100%, $G$9) + CHOOSE(CONTROL!$C$38, 0.0256, 0)</f>
        <v>15.0029</v>
      </c>
      <c r="C62" s="10">
        <f>14.529 * CHOOSE(CONTROL!$C$15, $E$9, 100%, $G$9) + CHOOSE(CONTROL!$C$38, 0.0347, 0)</f>
        <v>14.563700000000001</v>
      </c>
      <c r="D62" s="10">
        <f>14.5212 * CHOOSE(CONTROL!$C$15, $E$9, 100%, $G$9) + CHOOSE(CONTROL!$C$38, 0.0347, 0)</f>
        <v>14.555900000000001</v>
      </c>
      <c r="E62" s="28">
        <f>14.8211 * CHOOSE(CONTROL!$C$15, $E$9, 100%, $G$9) + CHOOSE(CONTROL!$C$38, 0.0347, 0)</f>
        <v>14.8558</v>
      </c>
      <c r="F62" s="27">
        <f>14.8211 * CHOOSE(CONTROL!$C$15, $E$9, 100%, $G$9) + CHOOSE(CONTROL!$C$38, 0.0256, 0)</f>
        <v>14.8467</v>
      </c>
      <c r="G62" s="10">
        <f>14.5275 * CHOOSE(CONTROL!$C$15, $E$9, 100%, $G$9) + CHOOSE(CONTROL!$C$38, 0.0347, 0)</f>
        <v>14.562200000000001</v>
      </c>
      <c r="H62" s="10">
        <f>14.5275 * CHOOSE(CONTROL!$C$15, $E$9, 100%, $G$9) + CHOOSE(CONTROL!$C$38, 0.0347, 0)</f>
        <v>14.562200000000001</v>
      </c>
      <c r="I62" s="10">
        <f>14.529 * CHOOSE(CONTROL!$C$15, $E$9, 100%, $G$9) + CHOOSE(CONTROL!$C$38, 0.0347, 0)</f>
        <v>14.563700000000001</v>
      </c>
      <c r="J62" s="29">
        <f>83.4994</f>
        <v>83.499399999999994</v>
      </c>
    </row>
    <row r="63" spans="1:10" ht="15" x14ac:dyDescent="0.2">
      <c r="A63" s="16">
        <v>43191</v>
      </c>
      <c r="B63" s="10">
        <f>14.4821 * CHOOSE(CONTROL!$C$15, $E$9, 100%, $G$9) + CHOOSE(CONTROL!$C$38, 0.0256, 0)</f>
        <v>14.507700000000002</v>
      </c>
      <c r="C63" s="10">
        <f>14.0339 * CHOOSE(CONTROL!$C$15, $E$9, 100%, $G$9) + CHOOSE(CONTROL!$C$38, 0.0347, 0)</f>
        <v>14.0686</v>
      </c>
      <c r="D63" s="10">
        <f>14.026 * CHOOSE(CONTROL!$C$15, $E$9, 100%, $G$9) + CHOOSE(CONTROL!$C$38, 0.0347, 0)</f>
        <v>14.060700000000001</v>
      </c>
      <c r="E63" s="28">
        <f>14.3259 * CHOOSE(CONTROL!$C$15, $E$9, 100%, $G$9) + CHOOSE(CONTROL!$C$38, 0.0347, 0)</f>
        <v>14.360600000000002</v>
      </c>
      <c r="F63" s="27">
        <f>14.3259 * CHOOSE(CONTROL!$C$15, $E$9, 100%, $G$9) + CHOOSE(CONTROL!$C$38, 0.0256, 0)</f>
        <v>14.351500000000001</v>
      </c>
      <c r="G63" s="10">
        <f>14.0323 * CHOOSE(CONTROL!$C$15, $E$9, 100%, $G$9) + CHOOSE(CONTROL!$C$38, 0.0347, 0)</f>
        <v>14.067</v>
      </c>
      <c r="H63" s="10">
        <f>14.0323 * CHOOSE(CONTROL!$C$15, $E$9, 100%, $G$9) + CHOOSE(CONTROL!$C$38, 0.0347, 0)</f>
        <v>14.067</v>
      </c>
      <c r="I63" s="10">
        <f>14.0339 * CHOOSE(CONTROL!$C$15, $E$9, 100%, $G$9) + CHOOSE(CONTROL!$C$38, 0.0347, 0)</f>
        <v>14.0686</v>
      </c>
      <c r="J63" s="29">
        <f>88.9205</f>
        <v>88.920500000000004</v>
      </c>
    </row>
    <row r="64" spans="1:10" ht="15" x14ac:dyDescent="0.2">
      <c r="A64" s="16">
        <v>43221</v>
      </c>
      <c r="B64" s="10">
        <f>13.966 * CHOOSE(CONTROL!$C$15, $E$9, 100%, $G$9) + CHOOSE(CONTROL!$C$38, 0.0278, 0)</f>
        <v>13.993799999999998</v>
      </c>
      <c r="C64" s="10">
        <f>13.5177 * CHOOSE(CONTROL!$C$15, $E$9, 100%, $G$9) + CHOOSE(CONTROL!$C$38, 0.0369, 0)</f>
        <v>13.554599999999999</v>
      </c>
      <c r="D64" s="10">
        <f>13.5099 * CHOOSE(CONTROL!$C$15, $E$9, 100%, $G$9) + CHOOSE(CONTROL!$C$38, 0.0369, 0)</f>
        <v>13.546799999999999</v>
      </c>
      <c r="E64" s="28">
        <f>13.8098 * CHOOSE(CONTROL!$C$15, $E$9, 100%, $G$9) + CHOOSE(CONTROL!$C$38, 0.0369, 0)</f>
        <v>13.846699999999998</v>
      </c>
      <c r="F64" s="27">
        <f>13.8098 * CHOOSE(CONTROL!$C$15, $E$9, 100%, $G$9) + CHOOSE(CONTROL!$C$38, 0.0278, 0)</f>
        <v>13.837599999999998</v>
      </c>
      <c r="G64" s="10">
        <f>13.5162 * CHOOSE(CONTROL!$C$15, $E$9, 100%, $G$9) + CHOOSE(CONTROL!$C$38, 0.0369, 0)</f>
        <v>13.553099999999999</v>
      </c>
      <c r="H64" s="10">
        <f>13.5162 * CHOOSE(CONTROL!$C$15, $E$9, 100%, $G$9) + CHOOSE(CONTROL!$C$38, 0.0369, 0)</f>
        <v>13.553099999999999</v>
      </c>
      <c r="I64" s="10">
        <f>13.5177 * CHOOSE(CONTROL!$C$15, $E$9, 100%, $G$9) + CHOOSE(CONTROL!$C$38, 0.0369, 0)</f>
        <v>13.554599999999999</v>
      </c>
      <c r="J64" s="29">
        <f>91.9045</f>
        <v>91.904499999999999</v>
      </c>
    </row>
    <row r="65" spans="1:10" ht="15" x14ac:dyDescent="0.2">
      <c r="A65" s="16">
        <v>43252</v>
      </c>
      <c r="B65" s="10">
        <f>13.6042 * CHOOSE(CONTROL!$C$15, $E$9, 100%, $G$9) + CHOOSE(CONTROL!$C$38, 0.0278, 0)</f>
        <v>13.632</v>
      </c>
      <c r="C65" s="10">
        <f>13.1559 * CHOOSE(CONTROL!$C$15, $E$9, 100%, $G$9) + CHOOSE(CONTROL!$C$38, 0.0369, 0)</f>
        <v>13.1928</v>
      </c>
      <c r="D65" s="10">
        <f>13.1481 * CHOOSE(CONTROL!$C$15, $E$9, 100%, $G$9) + CHOOSE(CONTROL!$C$38, 0.0369, 0)</f>
        <v>13.184999999999999</v>
      </c>
      <c r="E65" s="28">
        <f>13.4479 * CHOOSE(CONTROL!$C$15, $E$9, 100%, $G$9) + CHOOSE(CONTROL!$C$38, 0.0369, 0)</f>
        <v>13.4848</v>
      </c>
      <c r="F65" s="27">
        <f>13.4479 * CHOOSE(CONTROL!$C$15, $E$9, 100%, $G$9) + CHOOSE(CONTROL!$C$38, 0.0278, 0)</f>
        <v>13.4757</v>
      </c>
      <c r="G65" s="10">
        <f>13.1543 * CHOOSE(CONTROL!$C$15, $E$9, 100%, $G$9) + CHOOSE(CONTROL!$C$38, 0.0369, 0)</f>
        <v>13.191199999999998</v>
      </c>
      <c r="H65" s="10">
        <f>13.1543 * CHOOSE(CONTROL!$C$15, $E$9, 100%, $G$9) + CHOOSE(CONTROL!$C$38, 0.0369, 0)</f>
        <v>13.191199999999998</v>
      </c>
      <c r="I65" s="10">
        <f>13.1559 * CHOOSE(CONTROL!$C$15, $E$9, 100%, $G$9) + CHOOSE(CONTROL!$C$38, 0.0369, 0)</f>
        <v>13.1928</v>
      </c>
      <c r="J65" s="29">
        <f>93.2288</f>
        <v>93.228800000000007</v>
      </c>
    </row>
    <row r="66" spans="1:10" ht="15" x14ac:dyDescent="0.2">
      <c r="A66" s="16">
        <v>43282</v>
      </c>
      <c r="B66" s="10">
        <f>13.3977 * CHOOSE(CONTROL!$C$15, $E$9, 100%, $G$9) + CHOOSE(CONTROL!$C$38, 0.0278, 0)</f>
        <v>13.4255</v>
      </c>
      <c r="C66" s="10">
        <f>12.9494 * CHOOSE(CONTROL!$C$15, $E$9, 100%, $G$9) + CHOOSE(CONTROL!$C$38, 0.0369, 0)</f>
        <v>12.9863</v>
      </c>
      <c r="D66" s="10">
        <f>12.9416 * CHOOSE(CONTROL!$C$15, $E$9, 100%, $G$9) + CHOOSE(CONTROL!$C$38, 0.0369, 0)</f>
        <v>12.978499999999999</v>
      </c>
      <c r="E66" s="28">
        <f>13.2414 * CHOOSE(CONTROL!$C$15, $E$9, 100%, $G$9) + CHOOSE(CONTROL!$C$38, 0.0369, 0)</f>
        <v>13.2783</v>
      </c>
      <c r="F66" s="27">
        <f>13.2414 * CHOOSE(CONTROL!$C$15, $E$9, 100%, $G$9) + CHOOSE(CONTROL!$C$38, 0.0278, 0)</f>
        <v>13.2692</v>
      </c>
      <c r="G66" s="10">
        <f>12.9479 * CHOOSE(CONTROL!$C$15, $E$9, 100%, $G$9) + CHOOSE(CONTROL!$C$38, 0.0369, 0)</f>
        <v>12.9848</v>
      </c>
      <c r="H66" s="10">
        <f>12.9479 * CHOOSE(CONTROL!$C$15, $E$9, 100%, $G$9) + CHOOSE(CONTROL!$C$38, 0.0369, 0)</f>
        <v>12.9848</v>
      </c>
      <c r="I66" s="10">
        <f>12.9494 * CHOOSE(CONTROL!$C$15, $E$9, 100%, $G$9) + CHOOSE(CONTROL!$C$38, 0.0369, 0)</f>
        <v>12.9863</v>
      </c>
      <c r="J66" s="29">
        <f>92.7928</f>
        <v>92.7928</v>
      </c>
    </row>
    <row r="67" spans="1:10" ht="15" x14ac:dyDescent="0.2">
      <c r="A67" s="16">
        <v>43313</v>
      </c>
      <c r="B67" s="10">
        <f>13.4996 * CHOOSE(CONTROL!$C$15, $E$9, 100%, $G$9) + CHOOSE(CONTROL!$C$38, 0.0278, 0)</f>
        <v>13.527399999999998</v>
      </c>
      <c r="C67" s="10">
        <f>13.0513 * CHOOSE(CONTROL!$C$15, $E$9, 100%, $G$9) + CHOOSE(CONTROL!$C$38, 0.0369, 0)</f>
        <v>13.088199999999999</v>
      </c>
      <c r="D67" s="10">
        <f>13.0435 * CHOOSE(CONTROL!$C$15, $E$9, 100%, $G$9) + CHOOSE(CONTROL!$C$38, 0.0369, 0)</f>
        <v>13.080399999999999</v>
      </c>
      <c r="E67" s="28">
        <f>13.3434 * CHOOSE(CONTROL!$C$15, $E$9, 100%, $G$9) + CHOOSE(CONTROL!$C$38, 0.0369, 0)</f>
        <v>13.3803</v>
      </c>
      <c r="F67" s="27">
        <f>13.3434 * CHOOSE(CONTROL!$C$15, $E$9, 100%, $G$9) + CHOOSE(CONTROL!$C$38, 0.0278, 0)</f>
        <v>13.3712</v>
      </c>
      <c r="G67" s="10">
        <f>13.0498 * CHOOSE(CONTROL!$C$15, $E$9, 100%, $G$9) + CHOOSE(CONTROL!$C$38, 0.0369, 0)</f>
        <v>13.086699999999999</v>
      </c>
      <c r="H67" s="10">
        <f>13.0498 * CHOOSE(CONTROL!$C$15, $E$9, 100%, $G$9) + CHOOSE(CONTROL!$C$38, 0.0369, 0)</f>
        <v>13.086699999999999</v>
      </c>
      <c r="I67" s="10">
        <f>13.0513 * CHOOSE(CONTROL!$C$15, $E$9, 100%, $G$9) + CHOOSE(CONTROL!$C$38, 0.0369, 0)</f>
        <v>13.088199999999999</v>
      </c>
      <c r="J67" s="29">
        <f>90.6326</f>
        <v>90.632599999999996</v>
      </c>
    </row>
    <row r="68" spans="1:10" ht="15" x14ac:dyDescent="0.2">
      <c r="A68" s="16">
        <v>43344</v>
      </c>
      <c r="B68" s="10">
        <f>13.7764 * CHOOSE(CONTROL!$C$15, $E$9, 100%, $G$9) + CHOOSE(CONTROL!$C$38, 0.0278, 0)</f>
        <v>13.8042</v>
      </c>
      <c r="C68" s="10">
        <f>13.3281 * CHOOSE(CONTROL!$C$15, $E$9, 100%, $G$9) + CHOOSE(CONTROL!$C$38, 0.0369, 0)</f>
        <v>13.364999999999998</v>
      </c>
      <c r="D68" s="10">
        <f>13.3203 * CHOOSE(CONTROL!$C$15, $E$9, 100%, $G$9) + CHOOSE(CONTROL!$C$38, 0.0369, 0)</f>
        <v>13.357199999999999</v>
      </c>
      <c r="E68" s="28">
        <f>13.6202 * CHOOSE(CONTROL!$C$15, $E$9, 100%, $G$9) + CHOOSE(CONTROL!$C$38, 0.0369, 0)</f>
        <v>13.6571</v>
      </c>
      <c r="F68" s="27">
        <f>13.6202 * CHOOSE(CONTROL!$C$15, $E$9, 100%, $G$9) + CHOOSE(CONTROL!$C$38, 0.0278, 0)</f>
        <v>13.648</v>
      </c>
      <c r="G68" s="10">
        <f>13.3266 * CHOOSE(CONTROL!$C$15, $E$9, 100%, $G$9) + CHOOSE(CONTROL!$C$38, 0.0369, 0)</f>
        <v>13.363499999999998</v>
      </c>
      <c r="H68" s="10">
        <f>13.3266 * CHOOSE(CONTROL!$C$15, $E$9, 100%, $G$9) + CHOOSE(CONTROL!$C$38, 0.0369, 0)</f>
        <v>13.363499999999998</v>
      </c>
      <c r="I68" s="10">
        <f>13.3281 * CHOOSE(CONTROL!$C$15, $E$9, 100%, $G$9) + CHOOSE(CONTROL!$C$38, 0.0369, 0)</f>
        <v>13.364999999999998</v>
      </c>
      <c r="J68" s="29">
        <f>87.6201</f>
        <v>87.620099999999994</v>
      </c>
    </row>
    <row r="69" spans="1:10" ht="15" x14ac:dyDescent="0.2">
      <c r="A69" s="16">
        <v>43374</v>
      </c>
      <c r="B69" s="10">
        <f>14.0082 * CHOOSE(CONTROL!$C$15, $E$9, 100%, $G$9) + CHOOSE(CONTROL!$C$38, 0.0256, 0)</f>
        <v>14.033800000000001</v>
      </c>
      <c r="C69" s="10">
        <f>13.5599 * CHOOSE(CONTROL!$C$15, $E$9, 100%, $G$9) + CHOOSE(CONTROL!$C$38, 0.0347, 0)</f>
        <v>13.594600000000002</v>
      </c>
      <c r="D69" s="10">
        <f>13.5521 * CHOOSE(CONTROL!$C$15, $E$9, 100%, $G$9) + CHOOSE(CONTROL!$C$38, 0.0347, 0)</f>
        <v>13.5868</v>
      </c>
      <c r="E69" s="28">
        <f>13.852 * CHOOSE(CONTROL!$C$15, $E$9, 100%, $G$9) + CHOOSE(CONTROL!$C$38, 0.0347, 0)</f>
        <v>13.886700000000001</v>
      </c>
      <c r="F69" s="27">
        <f>13.852 * CHOOSE(CONTROL!$C$15, $E$9, 100%, $G$9) + CHOOSE(CONTROL!$C$38, 0.0256, 0)</f>
        <v>13.877600000000001</v>
      </c>
      <c r="G69" s="10">
        <f>13.5584 * CHOOSE(CONTROL!$C$15, $E$9, 100%, $G$9) + CHOOSE(CONTROL!$C$38, 0.0347, 0)</f>
        <v>13.593100000000002</v>
      </c>
      <c r="H69" s="10">
        <f>13.5584 * CHOOSE(CONTROL!$C$15, $E$9, 100%, $G$9) + CHOOSE(CONTROL!$C$38, 0.0347, 0)</f>
        <v>13.593100000000002</v>
      </c>
      <c r="I69" s="10">
        <f>13.5599 * CHOOSE(CONTROL!$C$15, $E$9, 100%, $G$9) + CHOOSE(CONTROL!$C$38, 0.0347, 0)</f>
        <v>13.594600000000002</v>
      </c>
      <c r="J69" s="29">
        <f>84.5901</f>
        <v>84.590100000000007</v>
      </c>
    </row>
    <row r="70" spans="1:10" ht="15" x14ac:dyDescent="0.2">
      <c r="A70" s="16">
        <v>43405</v>
      </c>
      <c r="B70" s="10">
        <f>14.2017 * CHOOSE(CONTROL!$C$15, $E$9, 100%, $G$9) + CHOOSE(CONTROL!$C$38, 0.0256, 0)</f>
        <v>14.227300000000001</v>
      </c>
      <c r="C70" s="10">
        <f>13.7534 * CHOOSE(CONTROL!$C$15, $E$9, 100%, $G$9) + CHOOSE(CONTROL!$C$38, 0.0347, 0)</f>
        <v>13.7881</v>
      </c>
      <c r="D70" s="10">
        <f>13.7456 * CHOOSE(CONTROL!$C$15, $E$9, 100%, $G$9) + CHOOSE(CONTROL!$C$38, 0.0347, 0)</f>
        <v>13.7803</v>
      </c>
      <c r="E70" s="28">
        <f>14.0454 * CHOOSE(CONTROL!$C$15, $E$9, 100%, $G$9) + CHOOSE(CONTROL!$C$38, 0.0347, 0)</f>
        <v>14.080100000000002</v>
      </c>
      <c r="F70" s="27">
        <f>14.0454 * CHOOSE(CONTROL!$C$15, $E$9, 100%, $G$9) + CHOOSE(CONTROL!$C$38, 0.0256, 0)</f>
        <v>14.071000000000002</v>
      </c>
      <c r="G70" s="10">
        <f>13.7518 * CHOOSE(CONTROL!$C$15, $E$9, 100%, $G$9) + CHOOSE(CONTROL!$C$38, 0.0347, 0)</f>
        <v>13.7865</v>
      </c>
      <c r="H70" s="10">
        <f>13.7518 * CHOOSE(CONTROL!$C$15, $E$9, 100%, $G$9) + CHOOSE(CONTROL!$C$38, 0.0347, 0)</f>
        <v>13.7865</v>
      </c>
      <c r="I70" s="10">
        <f>13.7534 * CHOOSE(CONTROL!$C$15, $E$9, 100%, $G$9) + CHOOSE(CONTROL!$C$38, 0.0347, 0)</f>
        <v>13.7881</v>
      </c>
      <c r="J70" s="29">
        <f>83.9874</f>
        <v>83.987399999999994</v>
      </c>
    </row>
    <row r="71" spans="1:10" ht="15" x14ac:dyDescent="0.2">
      <c r="A71" s="16">
        <v>43435</v>
      </c>
      <c r="B71" s="10">
        <f>14.7977 * CHOOSE(CONTROL!$C$15, $E$9, 100%, $G$9) + CHOOSE(CONTROL!$C$38, 0.0256, 0)</f>
        <v>14.823300000000001</v>
      </c>
      <c r="C71" s="10">
        <f>14.3495 * CHOOSE(CONTROL!$C$15, $E$9, 100%, $G$9) + CHOOSE(CONTROL!$C$38, 0.0347, 0)</f>
        <v>14.384200000000002</v>
      </c>
      <c r="D71" s="10">
        <f>14.3416 * CHOOSE(CONTROL!$C$15, $E$9, 100%, $G$9) + CHOOSE(CONTROL!$C$38, 0.0347, 0)</f>
        <v>14.376300000000001</v>
      </c>
      <c r="E71" s="28">
        <f>14.6415 * CHOOSE(CONTROL!$C$15, $E$9, 100%, $G$9) + CHOOSE(CONTROL!$C$38, 0.0347, 0)</f>
        <v>14.676200000000001</v>
      </c>
      <c r="F71" s="27">
        <f>14.6415 * CHOOSE(CONTROL!$C$15, $E$9, 100%, $G$9) + CHOOSE(CONTROL!$C$38, 0.0256, 0)</f>
        <v>14.667100000000001</v>
      </c>
      <c r="G71" s="10">
        <f>14.3479 * CHOOSE(CONTROL!$C$15, $E$9, 100%, $G$9) + CHOOSE(CONTROL!$C$38, 0.0347, 0)</f>
        <v>14.3826</v>
      </c>
      <c r="H71" s="10">
        <f>14.3479 * CHOOSE(CONTROL!$C$15, $E$9, 100%, $G$9) + CHOOSE(CONTROL!$C$38, 0.0347, 0)</f>
        <v>14.3826</v>
      </c>
      <c r="I71" s="10">
        <f>14.3495 * CHOOSE(CONTROL!$C$15, $E$9, 100%, $G$9) + CHOOSE(CONTROL!$C$38, 0.0347, 0)</f>
        <v>14.384200000000002</v>
      </c>
      <c r="J71" s="29">
        <f>81.4951</f>
        <v>81.495099999999994</v>
      </c>
    </row>
    <row r="72" spans="1:10" ht="15" x14ac:dyDescent="0.2">
      <c r="A72" s="16">
        <v>43466</v>
      </c>
      <c r="B72" s="10">
        <f>17.0237 * CHOOSE(CONTROL!$C$15, $E$9, 100%, $G$9) + CHOOSE(CONTROL!$C$38, 0.0256, 0)</f>
        <v>17.049300000000002</v>
      </c>
      <c r="C72" s="10">
        <f>16.1474 * CHOOSE(CONTROL!$C$15, $E$9, 100%, $G$9) + CHOOSE(CONTROL!$C$38, 0.0347, 0)</f>
        <v>16.182100000000002</v>
      </c>
      <c r="D72" s="10">
        <f>16.1396 * CHOOSE(CONTROL!$C$15, $E$9, 100%, $G$9) + CHOOSE(CONTROL!$C$38, 0.0347, 0)</f>
        <v>16.174300000000002</v>
      </c>
      <c r="E72" s="28">
        <f>16.8675 * CHOOSE(CONTROL!$C$15, $E$9, 100%, $G$9) + CHOOSE(CONTROL!$C$38, 0.0347, 0)</f>
        <v>16.902200000000001</v>
      </c>
      <c r="F72" s="27">
        <f>16.8675 * CHOOSE(CONTROL!$C$15, $E$9, 100%, $G$9) + CHOOSE(CONTROL!$C$38, 0.0256, 0)</f>
        <v>16.8931</v>
      </c>
      <c r="G72" s="10">
        <f>16.1459 * CHOOSE(CONTROL!$C$15, $E$9, 100%, $G$9) + CHOOSE(CONTROL!$C$38, 0.0347, 0)</f>
        <v>16.180600000000002</v>
      </c>
      <c r="H72" s="10">
        <f>16.1459 * CHOOSE(CONTROL!$C$15, $E$9, 100%, $G$9) + CHOOSE(CONTROL!$C$38, 0.0347, 0)</f>
        <v>16.180600000000002</v>
      </c>
      <c r="I72" s="10">
        <f>16.1474 * CHOOSE(CONTROL!$C$15, $E$9, 100%, $G$9) + CHOOSE(CONTROL!$C$38, 0.0347, 0)</f>
        <v>16.182100000000002</v>
      </c>
      <c r="J72" s="26">
        <f>93.2096</f>
        <v>93.209599999999995</v>
      </c>
    </row>
    <row r="73" spans="1:10" ht="15" x14ac:dyDescent="0.2">
      <c r="A73" s="16">
        <v>43497</v>
      </c>
      <c r="B73" s="10">
        <f>17.2445 * CHOOSE(CONTROL!$C$15, $E$9, 100%, $G$9) + CHOOSE(CONTROL!$C$38, 0.0256, 0)</f>
        <v>17.270099999999999</v>
      </c>
      <c r="C73" s="10">
        <f>16.3682 * CHOOSE(CONTROL!$C$15, $E$9, 100%, $G$9) + CHOOSE(CONTROL!$C$38, 0.0347, 0)</f>
        <v>16.402900000000002</v>
      </c>
      <c r="D73" s="10">
        <f>16.3604 * CHOOSE(CONTROL!$C$15, $E$9, 100%, $G$9) + CHOOSE(CONTROL!$C$38, 0.0347, 0)</f>
        <v>16.395099999999999</v>
      </c>
      <c r="E73" s="28">
        <f>17.0882 * CHOOSE(CONTROL!$C$15, $E$9, 100%, $G$9) + CHOOSE(CONTROL!$C$38, 0.0347, 0)</f>
        <v>17.122900000000001</v>
      </c>
      <c r="F73" s="27">
        <f>17.0882 * CHOOSE(CONTROL!$C$15, $E$9, 100%, $G$9) + CHOOSE(CONTROL!$C$38, 0.0256, 0)</f>
        <v>17.113800000000001</v>
      </c>
      <c r="G73" s="10">
        <f>16.3666 * CHOOSE(CONTROL!$C$15, $E$9, 100%, $G$9) + CHOOSE(CONTROL!$C$38, 0.0347, 0)</f>
        <v>16.401299999999999</v>
      </c>
      <c r="H73" s="10">
        <f>16.3666 * CHOOSE(CONTROL!$C$15, $E$9, 100%, $G$9) + CHOOSE(CONTROL!$C$38, 0.0347, 0)</f>
        <v>16.401299999999999</v>
      </c>
      <c r="I73" s="10">
        <f>16.3682 * CHOOSE(CONTROL!$C$15, $E$9, 100%, $G$9) + CHOOSE(CONTROL!$C$38, 0.0347, 0)</f>
        <v>16.402900000000002</v>
      </c>
      <c r="J73" s="26">
        <f>92.9505</f>
        <v>92.950500000000005</v>
      </c>
    </row>
    <row r="74" spans="1:10" ht="15" x14ac:dyDescent="0.2">
      <c r="A74" s="16">
        <v>43525</v>
      </c>
      <c r="B74" s="10">
        <f>16.7334 * CHOOSE(CONTROL!$C$15, $E$9, 100%, $G$9) + CHOOSE(CONTROL!$C$38, 0.0256, 0)</f>
        <v>16.759</v>
      </c>
      <c r="C74" s="10">
        <f>15.8572 * CHOOSE(CONTROL!$C$15, $E$9, 100%, $G$9) + CHOOSE(CONTROL!$C$38, 0.0347, 0)</f>
        <v>15.891900000000001</v>
      </c>
      <c r="D74" s="10">
        <f>15.8493 * CHOOSE(CONTROL!$C$15, $E$9, 100%, $G$9) + CHOOSE(CONTROL!$C$38, 0.0347, 0)</f>
        <v>15.884</v>
      </c>
      <c r="E74" s="28">
        <f>16.5772 * CHOOSE(CONTROL!$C$15, $E$9, 100%, $G$9) + CHOOSE(CONTROL!$C$38, 0.0347, 0)</f>
        <v>16.611900000000002</v>
      </c>
      <c r="F74" s="27">
        <f>16.5772 * CHOOSE(CONTROL!$C$15, $E$9, 100%, $G$9) + CHOOSE(CONTROL!$C$38, 0.0256, 0)</f>
        <v>16.602800000000002</v>
      </c>
      <c r="G74" s="10">
        <f>15.8556 * CHOOSE(CONTROL!$C$15, $E$9, 100%, $G$9) + CHOOSE(CONTROL!$C$38, 0.0347, 0)</f>
        <v>15.890300000000002</v>
      </c>
      <c r="H74" s="10">
        <f>15.8556 * CHOOSE(CONTROL!$C$15, $E$9, 100%, $G$9) + CHOOSE(CONTROL!$C$38, 0.0347, 0)</f>
        <v>15.890300000000002</v>
      </c>
      <c r="I74" s="10">
        <f>15.8572 * CHOOSE(CONTROL!$C$15, $E$9, 100%, $G$9) + CHOOSE(CONTROL!$C$38, 0.0347, 0)</f>
        <v>15.891900000000001</v>
      </c>
      <c r="J74" s="26">
        <f>97.8496</f>
        <v>97.849599999999995</v>
      </c>
    </row>
    <row r="75" spans="1:10" ht="15" x14ac:dyDescent="0.2">
      <c r="A75" s="16">
        <v>43556</v>
      </c>
      <c r="B75" s="10">
        <f>16.2383 * CHOOSE(CONTROL!$C$15, $E$9, 100%, $G$9) + CHOOSE(CONTROL!$C$38, 0.0256, 0)</f>
        <v>16.2639</v>
      </c>
      <c r="C75" s="10">
        <f>15.362 * CHOOSE(CONTROL!$C$15, $E$9, 100%, $G$9) + CHOOSE(CONTROL!$C$38, 0.0347, 0)</f>
        <v>15.396700000000001</v>
      </c>
      <c r="D75" s="10">
        <f>15.3542 * CHOOSE(CONTROL!$C$15, $E$9, 100%, $G$9) + CHOOSE(CONTROL!$C$38, 0.0347, 0)</f>
        <v>15.388900000000001</v>
      </c>
      <c r="E75" s="28">
        <f>16.082 * CHOOSE(CONTROL!$C$15, $E$9, 100%, $G$9) + CHOOSE(CONTROL!$C$38, 0.0347, 0)</f>
        <v>16.116700000000002</v>
      </c>
      <c r="F75" s="27">
        <f>16.082 * CHOOSE(CONTROL!$C$15, $E$9, 100%, $G$9) + CHOOSE(CONTROL!$C$38, 0.0256, 0)</f>
        <v>16.107600000000001</v>
      </c>
      <c r="G75" s="10">
        <f>15.3604 * CHOOSE(CONTROL!$C$15, $E$9, 100%, $G$9) + CHOOSE(CONTROL!$C$38, 0.0347, 0)</f>
        <v>15.395100000000001</v>
      </c>
      <c r="H75" s="10">
        <f>15.3604 * CHOOSE(CONTROL!$C$15, $E$9, 100%, $G$9) + CHOOSE(CONTROL!$C$38, 0.0347, 0)</f>
        <v>15.395100000000001</v>
      </c>
      <c r="I75" s="10">
        <f>15.362 * CHOOSE(CONTROL!$C$15, $E$9, 100%, $G$9) + CHOOSE(CONTROL!$C$38, 0.0347, 0)</f>
        <v>15.396700000000001</v>
      </c>
      <c r="J75" s="26">
        <f>104.2024</f>
        <v>104.2024</v>
      </c>
    </row>
    <row r="76" spans="1:10" ht="15" x14ac:dyDescent="0.2">
      <c r="A76" s="16">
        <v>43586</v>
      </c>
      <c r="B76" s="10">
        <f>15.7221 * CHOOSE(CONTROL!$C$15, $E$9, 100%, $G$9) + CHOOSE(CONTROL!$C$38, 0.0278, 0)</f>
        <v>15.749899999999998</v>
      </c>
      <c r="C76" s="10">
        <f>14.8459 * CHOOSE(CONTROL!$C$15, $E$9, 100%, $G$9) + CHOOSE(CONTROL!$C$38, 0.0369, 0)</f>
        <v>14.8828</v>
      </c>
      <c r="D76" s="10">
        <f>14.838 * CHOOSE(CONTROL!$C$15, $E$9, 100%, $G$9) + CHOOSE(CONTROL!$C$38, 0.0369, 0)</f>
        <v>14.874899999999998</v>
      </c>
      <c r="E76" s="28">
        <f>15.5659 * CHOOSE(CONTROL!$C$15, $E$9, 100%, $G$9) + CHOOSE(CONTROL!$C$38, 0.0369, 0)</f>
        <v>15.602799999999998</v>
      </c>
      <c r="F76" s="27">
        <f>15.5659 * CHOOSE(CONTROL!$C$15, $E$9, 100%, $G$9) + CHOOSE(CONTROL!$C$38, 0.0278, 0)</f>
        <v>15.593699999999998</v>
      </c>
      <c r="G76" s="10">
        <f>14.8443 * CHOOSE(CONTROL!$C$15, $E$9, 100%, $G$9) + CHOOSE(CONTROL!$C$38, 0.0369, 0)</f>
        <v>14.8812</v>
      </c>
      <c r="H76" s="10">
        <f>14.8443 * CHOOSE(CONTROL!$C$15, $E$9, 100%, $G$9) + CHOOSE(CONTROL!$C$38, 0.0369, 0)</f>
        <v>14.8812</v>
      </c>
      <c r="I76" s="10">
        <f>14.8459 * CHOOSE(CONTROL!$C$15, $E$9, 100%, $G$9) + CHOOSE(CONTROL!$C$38, 0.0369, 0)</f>
        <v>14.8828</v>
      </c>
      <c r="J76" s="26">
        <f>107.6993</f>
        <v>107.69929999999999</v>
      </c>
    </row>
    <row r="77" spans="1:10" ht="15" x14ac:dyDescent="0.2">
      <c r="A77" s="16">
        <v>43617</v>
      </c>
      <c r="B77" s="10">
        <f>15.3603 * CHOOSE(CONTROL!$C$15, $E$9, 100%, $G$9) + CHOOSE(CONTROL!$C$38, 0.0278, 0)</f>
        <v>15.3881</v>
      </c>
      <c r="C77" s="10">
        <f>14.484 * CHOOSE(CONTROL!$C$15, $E$9, 100%, $G$9) + CHOOSE(CONTROL!$C$38, 0.0369, 0)</f>
        <v>14.520899999999999</v>
      </c>
      <c r="D77" s="10">
        <f>14.4762 * CHOOSE(CONTROL!$C$15, $E$9, 100%, $G$9) + CHOOSE(CONTROL!$C$38, 0.0369, 0)</f>
        <v>14.5131</v>
      </c>
      <c r="E77" s="28">
        <f>15.2041 * CHOOSE(CONTROL!$C$15, $E$9, 100%, $G$9) + CHOOSE(CONTROL!$C$38, 0.0369, 0)</f>
        <v>15.241</v>
      </c>
      <c r="F77" s="27">
        <f>15.2041 * CHOOSE(CONTROL!$C$15, $E$9, 100%, $G$9) + CHOOSE(CONTROL!$C$38, 0.0278, 0)</f>
        <v>15.2319</v>
      </c>
      <c r="G77" s="10">
        <f>14.4825 * CHOOSE(CONTROL!$C$15, $E$9, 100%, $G$9) + CHOOSE(CONTROL!$C$38, 0.0369, 0)</f>
        <v>14.519399999999999</v>
      </c>
      <c r="H77" s="10">
        <f>14.4825 * CHOOSE(CONTROL!$C$15, $E$9, 100%, $G$9) + CHOOSE(CONTROL!$C$38, 0.0369, 0)</f>
        <v>14.519399999999999</v>
      </c>
      <c r="I77" s="10">
        <f>14.484 * CHOOSE(CONTROL!$C$15, $E$9, 100%, $G$9) + CHOOSE(CONTROL!$C$38, 0.0369, 0)</f>
        <v>14.520899999999999</v>
      </c>
      <c r="J77" s="26">
        <f>109.2511</f>
        <v>109.25109999999999</v>
      </c>
    </row>
    <row r="78" spans="1:10" ht="15" x14ac:dyDescent="0.2">
      <c r="A78" s="16">
        <v>43647</v>
      </c>
      <c r="B78" s="10">
        <f>15.1538 * CHOOSE(CONTROL!$C$15, $E$9, 100%, $G$9) + CHOOSE(CONTROL!$C$38, 0.0278, 0)</f>
        <v>15.1816</v>
      </c>
      <c r="C78" s="10">
        <f>14.2775 * CHOOSE(CONTROL!$C$15, $E$9, 100%, $G$9) + CHOOSE(CONTROL!$C$38, 0.0369, 0)</f>
        <v>14.314399999999999</v>
      </c>
      <c r="D78" s="10">
        <f>14.2697 * CHOOSE(CONTROL!$C$15, $E$9, 100%, $G$9) + CHOOSE(CONTROL!$C$38, 0.0369, 0)</f>
        <v>14.3066</v>
      </c>
      <c r="E78" s="28">
        <f>14.9976 * CHOOSE(CONTROL!$C$15, $E$9, 100%, $G$9) + CHOOSE(CONTROL!$C$38, 0.0369, 0)</f>
        <v>15.0345</v>
      </c>
      <c r="F78" s="27">
        <f>14.9976 * CHOOSE(CONTROL!$C$15, $E$9, 100%, $G$9) + CHOOSE(CONTROL!$C$38, 0.0278, 0)</f>
        <v>15.025399999999999</v>
      </c>
      <c r="G78" s="10">
        <f>14.276 * CHOOSE(CONTROL!$C$15, $E$9, 100%, $G$9) + CHOOSE(CONTROL!$C$38, 0.0369, 0)</f>
        <v>14.312899999999999</v>
      </c>
      <c r="H78" s="10">
        <f>14.276 * CHOOSE(CONTROL!$C$15, $E$9, 100%, $G$9) + CHOOSE(CONTROL!$C$38, 0.0369, 0)</f>
        <v>14.312899999999999</v>
      </c>
      <c r="I78" s="10">
        <f>14.2775 * CHOOSE(CONTROL!$C$15, $E$9, 100%, $G$9) + CHOOSE(CONTROL!$C$38, 0.0369, 0)</f>
        <v>14.314399999999999</v>
      </c>
      <c r="J78" s="26">
        <f>108.7402</f>
        <v>108.7402</v>
      </c>
    </row>
    <row r="79" spans="1:10" ht="15" x14ac:dyDescent="0.2">
      <c r="A79" s="16">
        <v>43678</v>
      </c>
      <c r="B79" s="10">
        <f>15.2557 * CHOOSE(CONTROL!$C$15, $E$9, 100%, $G$9) + CHOOSE(CONTROL!$C$38, 0.0278, 0)</f>
        <v>15.283499999999998</v>
      </c>
      <c r="C79" s="10">
        <f>14.3794 * CHOOSE(CONTROL!$C$15, $E$9, 100%, $G$9) + CHOOSE(CONTROL!$C$38, 0.0369, 0)</f>
        <v>14.4163</v>
      </c>
      <c r="D79" s="10">
        <f>14.3716 * CHOOSE(CONTROL!$C$15, $E$9, 100%, $G$9) + CHOOSE(CONTROL!$C$38, 0.0369, 0)</f>
        <v>14.4085</v>
      </c>
      <c r="E79" s="28">
        <f>15.0995 * CHOOSE(CONTROL!$C$15, $E$9, 100%, $G$9) + CHOOSE(CONTROL!$C$38, 0.0369, 0)</f>
        <v>15.1364</v>
      </c>
      <c r="F79" s="27">
        <f>15.0995 * CHOOSE(CONTROL!$C$15, $E$9, 100%, $G$9) + CHOOSE(CONTROL!$C$38, 0.0278, 0)</f>
        <v>15.1273</v>
      </c>
      <c r="G79" s="10">
        <f>14.3779 * CHOOSE(CONTROL!$C$15, $E$9, 100%, $G$9) + CHOOSE(CONTROL!$C$38, 0.0369, 0)</f>
        <v>14.4148</v>
      </c>
      <c r="H79" s="10">
        <f>14.3779 * CHOOSE(CONTROL!$C$15, $E$9, 100%, $G$9) + CHOOSE(CONTROL!$C$38, 0.0369, 0)</f>
        <v>14.4148</v>
      </c>
      <c r="I79" s="10">
        <f>14.3794 * CHOOSE(CONTROL!$C$15, $E$9, 100%, $G$9) + CHOOSE(CONTROL!$C$38, 0.0369, 0)</f>
        <v>14.4163</v>
      </c>
      <c r="J79" s="26">
        <f>106.2087</f>
        <v>106.20869999999999</v>
      </c>
    </row>
    <row r="80" spans="1:10" ht="15" x14ac:dyDescent="0.2">
      <c r="A80" s="16">
        <v>43709</v>
      </c>
      <c r="B80" s="10">
        <f>15.5325 * CHOOSE(CONTROL!$C$15, $E$9, 100%, $G$9) + CHOOSE(CONTROL!$C$38, 0.0278, 0)</f>
        <v>15.5603</v>
      </c>
      <c r="C80" s="10">
        <f>14.6562 * CHOOSE(CONTROL!$C$15, $E$9, 100%, $G$9) + CHOOSE(CONTROL!$C$38, 0.0369, 0)</f>
        <v>14.693099999999999</v>
      </c>
      <c r="D80" s="10">
        <f>14.6484 * CHOOSE(CONTROL!$C$15, $E$9, 100%, $G$9) + CHOOSE(CONTROL!$C$38, 0.0369, 0)</f>
        <v>14.6853</v>
      </c>
      <c r="E80" s="28">
        <f>15.3763 * CHOOSE(CONTROL!$C$15, $E$9, 100%, $G$9) + CHOOSE(CONTROL!$C$38, 0.0369, 0)</f>
        <v>15.4132</v>
      </c>
      <c r="F80" s="27">
        <f>15.3763 * CHOOSE(CONTROL!$C$15, $E$9, 100%, $G$9) + CHOOSE(CONTROL!$C$38, 0.0278, 0)</f>
        <v>15.4041</v>
      </c>
      <c r="G80" s="10">
        <f>14.6547 * CHOOSE(CONTROL!$C$15, $E$9, 100%, $G$9) + CHOOSE(CONTROL!$C$38, 0.0369, 0)</f>
        <v>14.691599999999999</v>
      </c>
      <c r="H80" s="10">
        <f>14.6547 * CHOOSE(CONTROL!$C$15, $E$9, 100%, $G$9) + CHOOSE(CONTROL!$C$38, 0.0369, 0)</f>
        <v>14.691599999999999</v>
      </c>
      <c r="I80" s="10">
        <f>14.6562 * CHOOSE(CONTROL!$C$15, $E$9, 100%, $G$9) + CHOOSE(CONTROL!$C$38, 0.0369, 0)</f>
        <v>14.693099999999999</v>
      </c>
      <c r="J80" s="26">
        <f>102.6785</f>
        <v>102.6785</v>
      </c>
    </row>
    <row r="81" spans="1:10" ht="15" x14ac:dyDescent="0.2">
      <c r="A81" s="16">
        <v>43739</v>
      </c>
      <c r="B81" s="10">
        <f>15.7644 * CHOOSE(CONTROL!$C$15, $E$9, 100%, $G$9) + CHOOSE(CONTROL!$C$38, 0.0256, 0)</f>
        <v>15.790000000000001</v>
      </c>
      <c r="C81" s="10">
        <f>14.8881 * CHOOSE(CONTROL!$C$15, $E$9, 100%, $G$9) + CHOOSE(CONTROL!$C$38, 0.0347, 0)</f>
        <v>14.922800000000001</v>
      </c>
      <c r="D81" s="10">
        <f>14.8803 * CHOOSE(CONTROL!$C$15, $E$9, 100%, $G$9) + CHOOSE(CONTROL!$C$38, 0.0347, 0)</f>
        <v>14.915000000000001</v>
      </c>
      <c r="E81" s="28">
        <f>15.6081 * CHOOSE(CONTROL!$C$15, $E$9, 100%, $G$9) + CHOOSE(CONTROL!$C$38, 0.0347, 0)</f>
        <v>15.642800000000001</v>
      </c>
      <c r="F81" s="27">
        <f>15.6081 * CHOOSE(CONTROL!$C$15, $E$9, 100%, $G$9) + CHOOSE(CONTROL!$C$38, 0.0256, 0)</f>
        <v>15.633700000000001</v>
      </c>
      <c r="G81" s="10">
        <f>14.8865 * CHOOSE(CONTROL!$C$15, $E$9, 100%, $G$9) + CHOOSE(CONTROL!$C$38, 0.0347, 0)</f>
        <v>14.921200000000001</v>
      </c>
      <c r="H81" s="10">
        <f>14.8865 * CHOOSE(CONTROL!$C$15, $E$9, 100%, $G$9) + CHOOSE(CONTROL!$C$38, 0.0347, 0)</f>
        <v>14.921200000000001</v>
      </c>
      <c r="I81" s="10">
        <f>14.8881 * CHOOSE(CONTROL!$C$15, $E$9, 100%, $G$9) + CHOOSE(CONTROL!$C$38, 0.0347, 0)</f>
        <v>14.922800000000001</v>
      </c>
      <c r="J81" s="26">
        <f>99.1278</f>
        <v>99.127799999999993</v>
      </c>
    </row>
    <row r="82" spans="1:10" ht="15" x14ac:dyDescent="0.2">
      <c r="A82" s="16">
        <v>43770</v>
      </c>
      <c r="B82" s="10">
        <f>15.9578 * CHOOSE(CONTROL!$C$15, $E$9, 100%, $G$9) + CHOOSE(CONTROL!$C$38, 0.0256, 0)</f>
        <v>15.983400000000001</v>
      </c>
      <c r="C82" s="10">
        <f>15.0815 * CHOOSE(CONTROL!$C$15, $E$9, 100%, $G$9) + CHOOSE(CONTROL!$C$38, 0.0347, 0)</f>
        <v>15.116200000000001</v>
      </c>
      <c r="D82" s="10">
        <f>15.0737 * CHOOSE(CONTROL!$C$15, $E$9, 100%, $G$9) + CHOOSE(CONTROL!$C$38, 0.0347, 0)</f>
        <v>15.108400000000001</v>
      </c>
      <c r="E82" s="28">
        <f>15.8015 * CHOOSE(CONTROL!$C$15, $E$9, 100%, $G$9) + CHOOSE(CONTROL!$C$38, 0.0347, 0)</f>
        <v>15.836200000000002</v>
      </c>
      <c r="F82" s="27">
        <f>15.8015 * CHOOSE(CONTROL!$C$15, $E$9, 100%, $G$9) + CHOOSE(CONTROL!$C$38, 0.0256, 0)</f>
        <v>15.827100000000002</v>
      </c>
      <c r="G82" s="10">
        <f>15.0799 * CHOOSE(CONTROL!$C$15, $E$9, 100%, $G$9) + CHOOSE(CONTROL!$C$38, 0.0347, 0)</f>
        <v>15.114600000000001</v>
      </c>
      <c r="H82" s="10">
        <f>15.0799 * CHOOSE(CONTROL!$C$15, $E$9, 100%, $G$9) + CHOOSE(CONTROL!$C$38, 0.0347, 0)</f>
        <v>15.114600000000001</v>
      </c>
      <c r="I82" s="10">
        <f>15.0815 * CHOOSE(CONTROL!$C$15, $E$9, 100%, $G$9) + CHOOSE(CONTROL!$C$38, 0.0347, 0)</f>
        <v>15.116200000000001</v>
      </c>
      <c r="J82" s="26">
        <f>98.4215</f>
        <v>98.421499999999995</v>
      </c>
    </row>
    <row r="83" spans="1:10" ht="15" x14ac:dyDescent="0.2">
      <c r="A83" s="16">
        <v>43800</v>
      </c>
      <c r="B83" s="10">
        <f>16.5539 * CHOOSE(CONTROL!$C$15, $E$9, 100%, $G$9) + CHOOSE(CONTROL!$C$38, 0.0256, 0)</f>
        <v>16.579499999999999</v>
      </c>
      <c r="C83" s="10">
        <f>15.6776 * CHOOSE(CONTROL!$C$15, $E$9, 100%, $G$9) + CHOOSE(CONTROL!$C$38, 0.0347, 0)</f>
        <v>15.712300000000001</v>
      </c>
      <c r="D83" s="10">
        <f>15.6698 * CHOOSE(CONTROL!$C$15, $E$9, 100%, $G$9) + CHOOSE(CONTROL!$C$38, 0.0347, 0)</f>
        <v>15.704500000000001</v>
      </c>
      <c r="E83" s="28">
        <f>16.3976 * CHOOSE(CONTROL!$C$15, $E$9, 100%, $G$9) + CHOOSE(CONTROL!$C$38, 0.0347, 0)</f>
        <v>16.432300000000001</v>
      </c>
      <c r="F83" s="27">
        <f>16.3976 * CHOOSE(CONTROL!$C$15, $E$9, 100%, $G$9) + CHOOSE(CONTROL!$C$38, 0.0256, 0)</f>
        <v>16.423200000000001</v>
      </c>
      <c r="G83" s="10">
        <f>15.676 * CHOOSE(CONTROL!$C$15, $E$9, 100%, $G$9) + CHOOSE(CONTROL!$C$38, 0.0347, 0)</f>
        <v>15.710700000000001</v>
      </c>
      <c r="H83" s="10">
        <f>15.676 * CHOOSE(CONTROL!$C$15, $E$9, 100%, $G$9) + CHOOSE(CONTROL!$C$38, 0.0347, 0)</f>
        <v>15.710700000000001</v>
      </c>
      <c r="I83" s="10">
        <f>15.6776 * CHOOSE(CONTROL!$C$15, $E$9, 100%, $G$9) + CHOOSE(CONTROL!$C$38, 0.0347, 0)</f>
        <v>15.712300000000001</v>
      </c>
      <c r="J83" s="26">
        <f>95.5008</f>
        <v>95.500799999999998</v>
      </c>
    </row>
    <row r="84" spans="1:10" ht="15" x14ac:dyDescent="0.2">
      <c r="A84" s="16">
        <v>43831</v>
      </c>
      <c r="B84" s="10">
        <f>17.9366 * CHOOSE(CONTROL!$C$15, $E$9, 100%, $G$9) + CHOOSE(CONTROL!$C$38, 0.0256, 0)</f>
        <v>17.962199999999999</v>
      </c>
      <c r="C84" s="10">
        <f>16.8896 * CHOOSE(CONTROL!$C$15, $E$9, 100%, $G$9) + CHOOSE(CONTROL!$C$38, 0.0347, 0)</f>
        <v>16.924300000000002</v>
      </c>
      <c r="D84" s="10">
        <f>16.8818 * CHOOSE(CONTROL!$C$15, $E$9, 100%, $G$9) + CHOOSE(CONTROL!$C$38, 0.0347, 0)</f>
        <v>16.916499999999999</v>
      </c>
      <c r="E84" s="28">
        <f>17.7804 * CHOOSE(CONTROL!$C$15, $E$9, 100%, $G$9) + CHOOSE(CONTROL!$C$38, 0.0347, 0)</f>
        <v>17.815100000000001</v>
      </c>
      <c r="F84" s="27">
        <f>17.7804 * CHOOSE(CONTROL!$C$15, $E$9, 100%, $G$9) + CHOOSE(CONTROL!$C$38, 0.0256, 0)</f>
        <v>17.806000000000001</v>
      </c>
      <c r="G84" s="10">
        <f>16.888 * CHOOSE(CONTROL!$C$15, $E$9, 100%, $G$9) + CHOOSE(CONTROL!$C$38, 0.0347, 0)</f>
        <v>16.922700000000003</v>
      </c>
      <c r="H84" s="10">
        <f>16.888 * CHOOSE(CONTROL!$C$15, $E$9, 100%, $G$9) + CHOOSE(CONTROL!$C$38, 0.0347, 0)</f>
        <v>16.922700000000003</v>
      </c>
      <c r="I84" s="10">
        <f>16.8896 * CHOOSE(CONTROL!$C$15, $E$9, 100%, $G$9) + CHOOSE(CONTROL!$C$38, 0.0347, 0)</f>
        <v>16.924300000000002</v>
      </c>
      <c r="J84" s="26">
        <f>97.0458</f>
        <v>97.0458</v>
      </c>
    </row>
    <row r="85" spans="1:10" ht="15" x14ac:dyDescent="0.2">
      <c r="A85" s="16">
        <v>43862</v>
      </c>
      <c r="B85" s="10">
        <f>18.1574 * CHOOSE(CONTROL!$C$15, $E$9, 100%, $G$9) + CHOOSE(CONTROL!$C$38, 0.0256, 0)</f>
        <v>18.183</v>
      </c>
      <c r="C85" s="10">
        <f>17.1104 * CHOOSE(CONTROL!$C$15, $E$9, 100%, $G$9) + CHOOSE(CONTROL!$C$38, 0.0347, 0)</f>
        <v>17.145099999999999</v>
      </c>
      <c r="D85" s="10">
        <f>17.1026 * CHOOSE(CONTROL!$C$15, $E$9, 100%, $G$9) + CHOOSE(CONTROL!$C$38, 0.0347, 0)</f>
        <v>17.1373</v>
      </c>
      <c r="E85" s="28">
        <f>18.0011 * CHOOSE(CONTROL!$C$15, $E$9, 100%, $G$9) + CHOOSE(CONTROL!$C$38, 0.0347, 0)</f>
        <v>18.035800000000002</v>
      </c>
      <c r="F85" s="27">
        <f>18.0011 * CHOOSE(CONTROL!$C$15, $E$9, 100%, $G$9) + CHOOSE(CONTROL!$C$38, 0.0256, 0)</f>
        <v>18.026700000000002</v>
      </c>
      <c r="G85" s="10">
        <f>17.1088 * CHOOSE(CONTROL!$C$15, $E$9, 100%, $G$9) + CHOOSE(CONTROL!$C$38, 0.0347, 0)</f>
        <v>17.1435</v>
      </c>
      <c r="H85" s="10">
        <f>17.1088 * CHOOSE(CONTROL!$C$15, $E$9, 100%, $G$9) + CHOOSE(CONTROL!$C$38, 0.0347, 0)</f>
        <v>17.1435</v>
      </c>
      <c r="I85" s="10">
        <f>17.1104 * CHOOSE(CONTROL!$C$15, $E$9, 100%, $G$9) + CHOOSE(CONTROL!$C$38, 0.0347, 0)</f>
        <v>17.145099999999999</v>
      </c>
      <c r="J85" s="26">
        <f>96.7761</f>
        <v>96.7761</v>
      </c>
    </row>
    <row r="86" spans="1:10" ht="15" x14ac:dyDescent="0.2">
      <c r="A86" s="16">
        <v>43891</v>
      </c>
      <c r="B86" s="10">
        <f>17.6463 * CHOOSE(CONTROL!$C$15, $E$9, 100%, $G$9) + CHOOSE(CONTROL!$C$38, 0.0256, 0)</f>
        <v>17.671900000000001</v>
      </c>
      <c r="C86" s="10">
        <f>16.5993 * CHOOSE(CONTROL!$C$15, $E$9, 100%, $G$9) + CHOOSE(CONTROL!$C$38, 0.0347, 0)</f>
        <v>16.634</v>
      </c>
      <c r="D86" s="10">
        <f>16.5915 * CHOOSE(CONTROL!$C$15, $E$9, 100%, $G$9) + CHOOSE(CONTROL!$C$38, 0.0347, 0)</f>
        <v>16.626200000000001</v>
      </c>
      <c r="E86" s="28">
        <f>17.4901 * CHOOSE(CONTROL!$C$15, $E$9, 100%, $G$9) + CHOOSE(CONTROL!$C$38, 0.0347, 0)</f>
        <v>17.524800000000003</v>
      </c>
      <c r="F86" s="27">
        <f>17.4901 * CHOOSE(CONTROL!$C$15, $E$9, 100%, $G$9) + CHOOSE(CONTROL!$C$38, 0.0256, 0)</f>
        <v>17.515700000000002</v>
      </c>
      <c r="G86" s="10">
        <f>16.5978 * CHOOSE(CONTROL!$C$15, $E$9, 100%, $G$9) + CHOOSE(CONTROL!$C$38, 0.0347, 0)</f>
        <v>16.6325</v>
      </c>
      <c r="H86" s="10">
        <f>16.5978 * CHOOSE(CONTROL!$C$15, $E$9, 100%, $G$9) + CHOOSE(CONTROL!$C$38, 0.0347, 0)</f>
        <v>16.6325</v>
      </c>
      <c r="I86" s="10">
        <f>16.5993 * CHOOSE(CONTROL!$C$15, $E$9, 100%, $G$9) + CHOOSE(CONTROL!$C$38, 0.0347, 0)</f>
        <v>16.634</v>
      </c>
      <c r="J86" s="26">
        <f>101.8767</f>
        <v>101.8767</v>
      </c>
    </row>
    <row r="87" spans="1:10" ht="15" x14ac:dyDescent="0.2">
      <c r="A87" s="16">
        <v>43922</v>
      </c>
      <c r="B87" s="10">
        <f>17.1512 * CHOOSE(CONTROL!$C$15, $E$9, 100%, $G$9) + CHOOSE(CONTROL!$C$38, 0.0256, 0)</f>
        <v>17.1768</v>
      </c>
      <c r="C87" s="10">
        <f>16.1042 * CHOOSE(CONTROL!$C$15, $E$9, 100%, $G$9) + CHOOSE(CONTROL!$C$38, 0.0347, 0)</f>
        <v>16.1389</v>
      </c>
      <c r="D87" s="10">
        <f>16.0963 * CHOOSE(CONTROL!$C$15, $E$9, 100%, $G$9) + CHOOSE(CONTROL!$C$38, 0.0347, 0)</f>
        <v>16.131</v>
      </c>
      <c r="E87" s="28">
        <f>16.9949 * CHOOSE(CONTROL!$C$15, $E$9, 100%, $G$9) + CHOOSE(CONTROL!$C$38, 0.0347, 0)</f>
        <v>17.029600000000002</v>
      </c>
      <c r="F87" s="27">
        <f>16.9949 * CHOOSE(CONTROL!$C$15, $E$9, 100%, $G$9) + CHOOSE(CONTROL!$C$38, 0.0256, 0)</f>
        <v>17.020500000000002</v>
      </c>
      <c r="G87" s="10">
        <f>16.1026 * CHOOSE(CONTROL!$C$15, $E$9, 100%, $G$9) + CHOOSE(CONTROL!$C$38, 0.0347, 0)</f>
        <v>16.1373</v>
      </c>
      <c r="H87" s="10">
        <f>16.1026 * CHOOSE(CONTROL!$C$15, $E$9, 100%, $G$9) + CHOOSE(CONTROL!$C$38, 0.0347, 0)</f>
        <v>16.1373</v>
      </c>
      <c r="I87" s="10">
        <f>16.1042 * CHOOSE(CONTROL!$C$15, $E$9, 100%, $G$9) + CHOOSE(CONTROL!$C$38, 0.0347, 0)</f>
        <v>16.1389</v>
      </c>
      <c r="J87" s="26">
        <f>108.4911</f>
        <v>108.4911</v>
      </c>
    </row>
    <row r="88" spans="1:10" ht="15" x14ac:dyDescent="0.2">
      <c r="A88" s="16">
        <v>43952</v>
      </c>
      <c r="B88" s="10">
        <f>16.635 * CHOOSE(CONTROL!$C$15, $E$9, 100%, $G$9) + CHOOSE(CONTROL!$C$38, 0.0278, 0)</f>
        <v>16.662800000000001</v>
      </c>
      <c r="C88" s="10">
        <f>15.588 * CHOOSE(CONTROL!$C$15, $E$9, 100%, $G$9) + CHOOSE(CONTROL!$C$38, 0.0369, 0)</f>
        <v>15.624899999999998</v>
      </c>
      <c r="D88" s="10">
        <f>15.5802 * CHOOSE(CONTROL!$C$15, $E$9, 100%, $G$9) + CHOOSE(CONTROL!$C$38, 0.0369, 0)</f>
        <v>15.617099999999999</v>
      </c>
      <c r="E88" s="28">
        <f>16.4788 * CHOOSE(CONTROL!$C$15, $E$9, 100%, $G$9) + CHOOSE(CONTROL!$C$38, 0.0369, 0)</f>
        <v>16.515699999999999</v>
      </c>
      <c r="F88" s="27">
        <f>16.4788 * CHOOSE(CONTROL!$C$15, $E$9, 100%, $G$9) + CHOOSE(CONTROL!$C$38, 0.0278, 0)</f>
        <v>16.506599999999999</v>
      </c>
      <c r="G88" s="10">
        <f>15.5865 * CHOOSE(CONTROL!$C$15, $E$9, 100%, $G$9) + CHOOSE(CONTROL!$C$38, 0.0369, 0)</f>
        <v>15.623399999999998</v>
      </c>
      <c r="H88" s="10">
        <f>15.5865 * CHOOSE(CONTROL!$C$15, $E$9, 100%, $G$9) + CHOOSE(CONTROL!$C$38, 0.0369, 0)</f>
        <v>15.623399999999998</v>
      </c>
      <c r="I88" s="10">
        <f>15.588 * CHOOSE(CONTROL!$C$15, $E$9, 100%, $G$9) + CHOOSE(CONTROL!$C$38, 0.0369, 0)</f>
        <v>15.624899999999998</v>
      </c>
      <c r="J88" s="26">
        <f>112.1318</f>
        <v>112.1318</v>
      </c>
    </row>
    <row r="89" spans="1:10" ht="15" x14ac:dyDescent="0.2">
      <c r="A89" s="16">
        <v>43983</v>
      </c>
      <c r="B89" s="10">
        <f>16.2732 * CHOOSE(CONTROL!$C$15, $E$9, 100%, $G$9) + CHOOSE(CONTROL!$C$38, 0.0278, 0)</f>
        <v>16.300999999999998</v>
      </c>
      <c r="C89" s="10">
        <f>15.2262 * CHOOSE(CONTROL!$C$15, $E$9, 100%, $G$9) + CHOOSE(CONTROL!$C$38, 0.0369, 0)</f>
        <v>15.2631</v>
      </c>
      <c r="D89" s="10">
        <f>15.2184 * CHOOSE(CONTROL!$C$15, $E$9, 100%, $G$9) + CHOOSE(CONTROL!$C$38, 0.0369, 0)</f>
        <v>15.2553</v>
      </c>
      <c r="E89" s="28">
        <f>16.117 * CHOOSE(CONTROL!$C$15, $E$9, 100%, $G$9) + CHOOSE(CONTROL!$C$38, 0.0369, 0)</f>
        <v>16.1539</v>
      </c>
      <c r="F89" s="27">
        <f>16.117 * CHOOSE(CONTROL!$C$15, $E$9, 100%, $G$9) + CHOOSE(CONTROL!$C$38, 0.0278, 0)</f>
        <v>16.1448</v>
      </c>
      <c r="G89" s="10">
        <f>15.2247 * CHOOSE(CONTROL!$C$15, $E$9, 100%, $G$9) + CHOOSE(CONTROL!$C$38, 0.0369, 0)</f>
        <v>15.2616</v>
      </c>
      <c r="H89" s="10">
        <f>15.2247 * CHOOSE(CONTROL!$C$15, $E$9, 100%, $G$9) + CHOOSE(CONTROL!$C$38, 0.0369, 0)</f>
        <v>15.2616</v>
      </c>
      <c r="I89" s="10">
        <f>15.2262 * CHOOSE(CONTROL!$C$15, $E$9, 100%, $G$9) + CHOOSE(CONTROL!$C$38, 0.0369, 0)</f>
        <v>15.2631</v>
      </c>
      <c r="J89" s="26">
        <f>113.7475</f>
        <v>113.7475</v>
      </c>
    </row>
    <row r="90" spans="1:10" ht="15" x14ac:dyDescent="0.2">
      <c r="A90" s="16">
        <v>44013</v>
      </c>
      <c r="B90" s="10">
        <f>16.0667 * CHOOSE(CONTROL!$C$15, $E$9, 100%, $G$9) + CHOOSE(CONTROL!$C$38, 0.0278, 0)</f>
        <v>16.0945</v>
      </c>
      <c r="C90" s="10">
        <f>15.0197 * CHOOSE(CONTROL!$C$15, $E$9, 100%, $G$9) + CHOOSE(CONTROL!$C$38, 0.0369, 0)</f>
        <v>15.0566</v>
      </c>
      <c r="D90" s="10">
        <f>15.0119 * CHOOSE(CONTROL!$C$15, $E$9, 100%, $G$9) + CHOOSE(CONTROL!$C$38, 0.0369, 0)</f>
        <v>15.0488</v>
      </c>
      <c r="E90" s="28">
        <f>15.9105 * CHOOSE(CONTROL!$C$15, $E$9, 100%, $G$9) + CHOOSE(CONTROL!$C$38, 0.0369, 0)</f>
        <v>15.9474</v>
      </c>
      <c r="F90" s="27">
        <f>15.9105 * CHOOSE(CONTROL!$C$15, $E$9, 100%, $G$9) + CHOOSE(CONTROL!$C$38, 0.0278, 0)</f>
        <v>15.9383</v>
      </c>
      <c r="G90" s="10">
        <f>15.0182 * CHOOSE(CONTROL!$C$15, $E$9, 100%, $G$9) + CHOOSE(CONTROL!$C$38, 0.0369, 0)</f>
        <v>15.055099999999999</v>
      </c>
      <c r="H90" s="10">
        <f>15.0182 * CHOOSE(CONTROL!$C$15, $E$9, 100%, $G$9) + CHOOSE(CONTROL!$C$38, 0.0369, 0)</f>
        <v>15.055099999999999</v>
      </c>
      <c r="I90" s="10">
        <f>15.0197 * CHOOSE(CONTROL!$C$15, $E$9, 100%, $G$9) + CHOOSE(CONTROL!$C$38, 0.0369, 0)</f>
        <v>15.0566</v>
      </c>
      <c r="J90" s="26">
        <f>113.2155</f>
        <v>113.21550000000001</v>
      </c>
    </row>
    <row r="91" spans="1:10" ht="15" x14ac:dyDescent="0.2">
      <c r="A91" s="16">
        <v>44044</v>
      </c>
      <c r="B91" s="10">
        <f>16.1686 * CHOOSE(CONTROL!$C$15, $E$9, 100%, $G$9) + CHOOSE(CONTROL!$C$38, 0.0278, 0)</f>
        <v>16.196400000000001</v>
      </c>
      <c r="C91" s="10">
        <f>15.1216 * CHOOSE(CONTROL!$C$15, $E$9, 100%, $G$9) + CHOOSE(CONTROL!$C$38, 0.0369, 0)</f>
        <v>15.1585</v>
      </c>
      <c r="D91" s="10">
        <f>15.1138 * CHOOSE(CONTROL!$C$15, $E$9, 100%, $G$9) + CHOOSE(CONTROL!$C$38, 0.0369, 0)</f>
        <v>15.150699999999999</v>
      </c>
      <c r="E91" s="28">
        <f>16.0124 * CHOOSE(CONTROL!$C$15, $E$9, 100%, $G$9) + CHOOSE(CONTROL!$C$38, 0.0369, 0)</f>
        <v>16.049299999999999</v>
      </c>
      <c r="F91" s="27">
        <f>16.0124 * CHOOSE(CONTROL!$C$15, $E$9, 100%, $G$9) + CHOOSE(CONTROL!$C$38, 0.0278, 0)</f>
        <v>16.040199999999999</v>
      </c>
      <c r="G91" s="10">
        <f>15.1201 * CHOOSE(CONTROL!$C$15, $E$9, 100%, $G$9) + CHOOSE(CONTROL!$C$38, 0.0369, 0)</f>
        <v>15.157</v>
      </c>
      <c r="H91" s="10">
        <f>15.1201 * CHOOSE(CONTROL!$C$15, $E$9, 100%, $G$9) + CHOOSE(CONTROL!$C$38, 0.0369, 0)</f>
        <v>15.157</v>
      </c>
      <c r="I91" s="10">
        <f>15.1216 * CHOOSE(CONTROL!$C$15, $E$9, 100%, $G$9) + CHOOSE(CONTROL!$C$38, 0.0369, 0)</f>
        <v>15.1585</v>
      </c>
      <c r="J91" s="26">
        <f>110.5799</f>
        <v>110.57989999999999</v>
      </c>
    </row>
    <row r="92" spans="1:10" ht="15" x14ac:dyDescent="0.2">
      <c r="A92" s="16">
        <v>44075</v>
      </c>
      <c r="B92" s="10">
        <f>16.4454 * CHOOSE(CONTROL!$C$15, $E$9, 100%, $G$9) + CHOOSE(CONTROL!$C$38, 0.0278, 0)</f>
        <v>16.473199999999999</v>
      </c>
      <c r="C92" s="10">
        <f>15.3984 * CHOOSE(CONTROL!$C$15, $E$9, 100%, $G$9) + CHOOSE(CONTROL!$C$38, 0.0369, 0)</f>
        <v>15.4353</v>
      </c>
      <c r="D92" s="10">
        <f>15.3906 * CHOOSE(CONTROL!$C$15, $E$9, 100%, $G$9) + CHOOSE(CONTROL!$C$38, 0.0369, 0)</f>
        <v>15.427499999999998</v>
      </c>
      <c r="E92" s="28">
        <f>16.2892 * CHOOSE(CONTROL!$C$15, $E$9, 100%, $G$9) + CHOOSE(CONTROL!$C$38, 0.0369, 0)</f>
        <v>16.3261</v>
      </c>
      <c r="F92" s="27">
        <f>16.2892 * CHOOSE(CONTROL!$C$15, $E$9, 100%, $G$9) + CHOOSE(CONTROL!$C$38, 0.0278, 0)</f>
        <v>16.317</v>
      </c>
      <c r="G92" s="10">
        <f>15.3969 * CHOOSE(CONTROL!$C$15, $E$9, 100%, $G$9) + CHOOSE(CONTROL!$C$38, 0.0369, 0)</f>
        <v>15.4338</v>
      </c>
      <c r="H92" s="10">
        <f>15.3969 * CHOOSE(CONTROL!$C$15, $E$9, 100%, $G$9) + CHOOSE(CONTROL!$C$38, 0.0369, 0)</f>
        <v>15.4338</v>
      </c>
      <c r="I92" s="10">
        <f>15.3984 * CHOOSE(CONTROL!$C$15, $E$9, 100%, $G$9) + CHOOSE(CONTROL!$C$38, 0.0369, 0)</f>
        <v>15.4353</v>
      </c>
      <c r="J92" s="26">
        <f>106.9044</f>
        <v>106.9044</v>
      </c>
    </row>
    <row r="93" spans="1:10" ht="15" x14ac:dyDescent="0.2">
      <c r="A93" s="16">
        <v>44105</v>
      </c>
      <c r="B93" s="10">
        <f>16.6772 * CHOOSE(CONTROL!$C$15, $E$9, 100%, $G$9) + CHOOSE(CONTROL!$C$38, 0.0256, 0)</f>
        <v>16.7028</v>
      </c>
      <c r="C93" s="10">
        <f>15.6303 * CHOOSE(CONTROL!$C$15, $E$9, 100%, $G$9) + CHOOSE(CONTROL!$C$38, 0.0347, 0)</f>
        <v>15.665000000000001</v>
      </c>
      <c r="D93" s="10">
        <f>15.6224 * CHOOSE(CONTROL!$C$15, $E$9, 100%, $G$9) + CHOOSE(CONTROL!$C$38, 0.0347, 0)</f>
        <v>15.657100000000002</v>
      </c>
      <c r="E93" s="28">
        <f>16.521 * CHOOSE(CONTROL!$C$15, $E$9, 100%, $G$9) + CHOOSE(CONTROL!$C$38, 0.0347, 0)</f>
        <v>16.555700000000002</v>
      </c>
      <c r="F93" s="27">
        <f>16.521 * CHOOSE(CONTROL!$C$15, $E$9, 100%, $G$9) + CHOOSE(CONTROL!$C$38, 0.0256, 0)</f>
        <v>16.546600000000002</v>
      </c>
      <c r="G93" s="10">
        <f>15.6287 * CHOOSE(CONTROL!$C$15, $E$9, 100%, $G$9) + CHOOSE(CONTROL!$C$38, 0.0347, 0)</f>
        <v>15.663400000000001</v>
      </c>
      <c r="H93" s="10">
        <f>15.6287 * CHOOSE(CONTROL!$C$15, $E$9, 100%, $G$9) + CHOOSE(CONTROL!$C$38, 0.0347, 0)</f>
        <v>15.663400000000001</v>
      </c>
      <c r="I93" s="10">
        <f>15.6303 * CHOOSE(CONTROL!$C$15, $E$9, 100%, $G$9) + CHOOSE(CONTROL!$C$38, 0.0347, 0)</f>
        <v>15.665000000000001</v>
      </c>
      <c r="J93" s="26">
        <f>103.2076</f>
        <v>103.2076</v>
      </c>
    </row>
    <row r="94" spans="1:10" ht="15" x14ac:dyDescent="0.2">
      <c r="A94" s="16">
        <v>44136</v>
      </c>
      <c r="B94" s="10">
        <f>16.8707 * CHOOSE(CONTROL!$C$15, $E$9, 100%, $G$9) + CHOOSE(CONTROL!$C$38, 0.0256, 0)</f>
        <v>16.8963</v>
      </c>
      <c r="C94" s="10">
        <f>15.8237 * CHOOSE(CONTROL!$C$15, $E$9, 100%, $G$9) + CHOOSE(CONTROL!$C$38, 0.0347, 0)</f>
        <v>15.858400000000001</v>
      </c>
      <c r="D94" s="10">
        <f>15.8159 * CHOOSE(CONTROL!$C$15, $E$9, 100%, $G$9) + CHOOSE(CONTROL!$C$38, 0.0347, 0)</f>
        <v>15.8506</v>
      </c>
      <c r="E94" s="28">
        <f>16.7144 * CHOOSE(CONTROL!$C$15, $E$9, 100%, $G$9) + CHOOSE(CONTROL!$C$38, 0.0347, 0)</f>
        <v>16.749100000000002</v>
      </c>
      <c r="F94" s="27">
        <f>16.7144 * CHOOSE(CONTROL!$C$15, $E$9, 100%, $G$9) + CHOOSE(CONTROL!$C$38, 0.0256, 0)</f>
        <v>16.740000000000002</v>
      </c>
      <c r="G94" s="10">
        <f>15.8221 * CHOOSE(CONTROL!$C$15, $E$9, 100%, $G$9) + CHOOSE(CONTROL!$C$38, 0.0347, 0)</f>
        <v>15.856800000000002</v>
      </c>
      <c r="H94" s="10">
        <f>15.8221 * CHOOSE(CONTROL!$C$15, $E$9, 100%, $G$9) + CHOOSE(CONTROL!$C$38, 0.0347, 0)</f>
        <v>15.856800000000002</v>
      </c>
      <c r="I94" s="10">
        <f>15.8237 * CHOOSE(CONTROL!$C$15, $E$9, 100%, $G$9) + CHOOSE(CONTROL!$C$38, 0.0347, 0)</f>
        <v>15.858400000000001</v>
      </c>
      <c r="J94" s="26">
        <f>102.4722</f>
        <v>102.4722</v>
      </c>
    </row>
    <row r="95" spans="1:10" ht="15" x14ac:dyDescent="0.2">
      <c r="A95" s="16">
        <v>44166</v>
      </c>
      <c r="B95" s="10">
        <f>17.4668 * CHOOSE(CONTROL!$C$15, $E$9, 100%, $G$9) + CHOOSE(CONTROL!$C$38, 0.0256, 0)</f>
        <v>17.4924</v>
      </c>
      <c r="C95" s="10">
        <f>16.4198 * CHOOSE(CONTROL!$C$15, $E$9, 100%, $G$9) + CHOOSE(CONTROL!$C$38, 0.0347, 0)</f>
        <v>16.454499999999999</v>
      </c>
      <c r="D95" s="10">
        <f>16.412 * CHOOSE(CONTROL!$C$15, $E$9, 100%, $G$9) + CHOOSE(CONTROL!$C$38, 0.0347, 0)</f>
        <v>16.4467</v>
      </c>
      <c r="E95" s="28">
        <f>17.3105 * CHOOSE(CONTROL!$C$15, $E$9, 100%, $G$9) + CHOOSE(CONTROL!$C$38, 0.0347, 0)</f>
        <v>17.345200000000002</v>
      </c>
      <c r="F95" s="27">
        <f>17.3105 * CHOOSE(CONTROL!$C$15, $E$9, 100%, $G$9) + CHOOSE(CONTROL!$C$38, 0.0256, 0)</f>
        <v>17.336100000000002</v>
      </c>
      <c r="G95" s="10">
        <f>16.4182 * CHOOSE(CONTROL!$C$15, $E$9, 100%, $G$9) + CHOOSE(CONTROL!$C$38, 0.0347, 0)</f>
        <v>16.4529</v>
      </c>
      <c r="H95" s="10">
        <f>16.4182 * CHOOSE(CONTROL!$C$15, $E$9, 100%, $G$9) + CHOOSE(CONTROL!$C$38, 0.0347, 0)</f>
        <v>16.4529</v>
      </c>
      <c r="I95" s="10">
        <f>16.4198 * CHOOSE(CONTROL!$C$15, $E$9, 100%, $G$9) + CHOOSE(CONTROL!$C$38, 0.0347, 0)</f>
        <v>16.454499999999999</v>
      </c>
      <c r="J95" s="26">
        <f>99.4313</f>
        <v>99.431299999999993</v>
      </c>
    </row>
    <row r="96" spans="1:10" ht="15" x14ac:dyDescent="0.2">
      <c r="A96" s="16">
        <v>44197</v>
      </c>
      <c r="B96" s="10">
        <f>18.7166 * CHOOSE(CONTROL!$C$15, $E$9, 100%, $G$9) + CHOOSE(CONTROL!$C$38, 0.0256, 0)</f>
        <v>18.7422</v>
      </c>
      <c r="C96" s="10">
        <f>17.4396 * CHOOSE(CONTROL!$C$15, $E$9, 100%, $G$9) + CHOOSE(CONTROL!$C$38, 0.0347, 0)</f>
        <v>17.474299999999999</v>
      </c>
      <c r="D96" s="10">
        <f>17.4318 * CHOOSE(CONTROL!$C$15, $E$9, 100%, $G$9) + CHOOSE(CONTROL!$C$38, 0.0347, 0)</f>
        <v>17.4665</v>
      </c>
      <c r="E96" s="28">
        <f>18.5603 * CHOOSE(CONTROL!$C$15, $E$9, 100%, $G$9) + CHOOSE(CONTROL!$C$38, 0.0347, 0)</f>
        <v>18.595000000000002</v>
      </c>
      <c r="F96" s="27">
        <f>18.5603 * CHOOSE(CONTROL!$C$15, $E$9, 100%, $G$9) + CHOOSE(CONTROL!$C$38, 0.0256, 0)</f>
        <v>18.585900000000002</v>
      </c>
      <c r="G96" s="10">
        <f>17.438 * CHOOSE(CONTROL!$C$15, $E$9, 100%, $G$9) + CHOOSE(CONTROL!$C$38, 0.0347, 0)</f>
        <v>17.4727</v>
      </c>
      <c r="H96" s="10">
        <f>17.438 * CHOOSE(CONTROL!$C$15, $E$9, 100%, $G$9) + CHOOSE(CONTROL!$C$38, 0.0347, 0)</f>
        <v>17.4727</v>
      </c>
      <c r="I96" s="10">
        <f>17.4396 * CHOOSE(CONTROL!$C$15, $E$9, 100%, $G$9) + CHOOSE(CONTROL!$C$38, 0.0347, 0)</f>
        <v>17.474299999999999</v>
      </c>
      <c r="J96" s="26">
        <f>101.0568</f>
        <v>101.0568</v>
      </c>
    </row>
    <row r="97" spans="1:10" ht="15" x14ac:dyDescent="0.2">
      <c r="A97" s="16">
        <v>44228</v>
      </c>
      <c r="B97" s="10">
        <f>18.9373 * CHOOSE(CONTROL!$C$15, $E$9, 100%, $G$9) + CHOOSE(CONTROL!$C$38, 0.0256, 0)</f>
        <v>18.962900000000001</v>
      </c>
      <c r="C97" s="10">
        <f>17.6604 * CHOOSE(CONTROL!$C$15, $E$9, 100%, $G$9) + CHOOSE(CONTROL!$C$38, 0.0347, 0)</f>
        <v>17.6951</v>
      </c>
      <c r="D97" s="10">
        <f>17.6526 * CHOOSE(CONTROL!$C$15, $E$9, 100%, $G$9) + CHOOSE(CONTROL!$C$38, 0.0347, 0)</f>
        <v>17.6873</v>
      </c>
      <c r="E97" s="28">
        <f>18.7811 * CHOOSE(CONTROL!$C$15, $E$9, 100%, $G$9) + CHOOSE(CONTROL!$C$38, 0.0347, 0)</f>
        <v>18.815799999999999</v>
      </c>
      <c r="F97" s="27">
        <f>18.7811 * CHOOSE(CONTROL!$C$15, $E$9, 100%, $G$9) + CHOOSE(CONTROL!$C$38, 0.0256, 0)</f>
        <v>18.806699999999999</v>
      </c>
      <c r="G97" s="10">
        <f>17.6588 * CHOOSE(CONTROL!$C$15, $E$9, 100%, $G$9) + CHOOSE(CONTROL!$C$38, 0.0347, 0)</f>
        <v>17.6935</v>
      </c>
      <c r="H97" s="10">
        <f>17.6588 * CHOOSE(CONTROL!$C$15, $E$9, 100%, $G$9) + CHOOSE(CONTROL!$C$38, 0.0347, 0)</f>
        <v>17.6935</v>
      </c>
      <c r="I97" s="10">
        <f>17.6604 * CHOOSE(CONTROL!$C$15, $E$9, 100%, $G$9) + CHOOSE(CONTROL!$C$38, 0.0347, 0)</f>
        <v>17.6951</v>
      </c>
      <c r="J97" s="26">
        <f>100.7759</f>
        <v>100.77589999999999</v>
      </c>
    </row>
    <row r="98" spans="1:10" ht="15" x14ac:dyDescent="0.2">
      <c r="A98" s="16">
        <v>44256</v>
      </c>
      <c r="B98" s="10">
        <f>18.4263 * CHOOSE(CONTROL!$C$15, $E$9, 100%, $G$9) + CHOOSE(CONTROL!$C$38, 0.0256, 0)</f>
        <v>18.451900000000002</v>
      </c>
      <c r="C98" s="10">
        <f>17.1493 * CHOOSE(CONTROL!$C$15, $E$9, 100%, $G$9) + CHOOSE(CONTROL!$C$38, 0.0347, 0)</f>
        <v>17.184000000000001</v>
      </c>
      <c r="D98" s="10">
        <f>17.1415 * CHOOSE(CONTROL!$C$15, $E$9, 100%, $G$9) + CHOOSE(CONTROL!$C$38, 0.0347, 0)</f>
        <v>17.176200000000001</v>
      </c>
      <c r="E98" s="28">
        <f>18.27 * CHOOSE(CONTROL!$C$15, $E$9, 100%, $G$9) + CHOOSE(CONTROL!$C$38, 0.0347, 0)</f>
        <v>18.3047</v>
      </c>
      <c r="F98" s="27">
        <f>18.27 * CHOOSE(CONTROL!$C$15, $E$9, 100%, $G$9) + CHOOSE(CONTROL!$C$38, 0.0256, 0)</f>
        <v>18.2956</v>
      </c>
      <c r="G98" s="10">
        <f>17.1478 * CHOOSE(CONTROL!$C$15, $E$9, 100%, $G$9) + CHOOSE(CONTROL!$C$38, 0.0347, 0)</f>
        <v>17.182500000000001</v>
      </c>
      <c r="H98" s="10">
        <f>17.1478 * CHOOSE(CONTROL!$C$15, $E$9, 100%, $G$9) + CHOOSE(CONTROL!$C$38, 0.0347, 0)</f>
        <v>17.182500000000001</v>
      </c>
      <c r="I98" s="10">
        <f>17.1493 * CHOOSE(CONTROL!$C$15, $E$9, 100%, $G$9) + CHOOSE(CONTROL!$C$38, 0.0347, 0)</f>
        <v>17.184000000000001</v>
      </c>
      <c r="J98" s="26">
        <f>106.0874</f>
        <v>106.0874</v>
      </c>
    </row>
    <row r="99" spans="1:10" ht="15" x14ac:dyDescent="0.2">
      <c r="A99" s="16">
        <v>44287</v>
      </c>
      <c r="B99" s="10">
        <f>17.9311 * CHOOSE(CONTROL!$C$15, $E$9, 100%, $G$9) + CHOOSE(CONTROL!$C$38, 0.0256, 0)</f>
        <v>17.956700000000001</v>
      </c>
      <c r="C99" s="10">
        <f>16.6542 * CHOOSE(CONTROL!$C$15, $E$9, 100%, $G$9) + CHOOSE(CONTROL!$C$38, 0.0347, 0)</f>
        <v>16.6889</v>
      </c>
      <c r="D99" s="10">
        <f>16.6463 * CHOOSE(CONTROL!$C$15, $E$9, 100%, $G$9) + CHOOSE(CONTROL!$C$38, 0.0347, 0)</f>
        <v>16.681000000000001</v>
      </c>
      <c r="E99" s="28">
        <f>17.7749 * CHOOSE(CONTROL!$C$15, $E$9, 100%, $G$9) + CHOOSE(CONTROL!$C$38, 0.0347, 0)</f>
        <v>17.8096</v>
      </c>
      <c r="F99" s="27">
        <f>17.7749 * CHOOSE(CONTROL!$C$15, $E$9, 100%, $G$9) + CHOOSE(CONTROL!$C$38, 0.0256, 0)</f>
        <v>17.8005</v>
      </c>
      <c r="G99" s="10">
        <f>16.6526 * CHOOSE(CONTROL!$C$15, $E$9, 100%, $G$9) + CHOOSE(CONTROL!$C$38, 0.0347, 0)</f>
        <v>16.6873</v>
      </c>
      <c r="H99" s="10">
        <f>16.6526 * CHOOSE(CONTROL!$C$15, $E$9, 100%, $G$9) + CHOOSE(CONTROL!$C$38, 0.0347, 0)</f>
        <v>16.6873</v>
      </c>
      <c r="I99" s="10">
        <f>16.6542 * CHOOSE(CONTROL!$C$15, $E$9, 100%, $G$9) + CHOOSE(CONTROL!$C$38, 0.0347, 0)</f>
        <v>16.6889</v>
      </c>
      <c r="J99" s="26">
        <f>112.9751</f>
        <v>112.9751</v>
      </c>
    </row>
    <row r="100" spans="1:10" ht="15" x14ac:dyDescent="0.2">
      <c r="A100" s="16">
        <v>44317</v>
      </c>
      <c r="B100" s="10">
        <f>17.415 * CHOOSE(CONTROL!$C$15, $E$9, 100%, $G$9) + CHOOSE(CONTROL!$C$38, 0.0278, 0)</f>
        <v>17.442799999999998</v>
      </c>
      <c r="C100" s="10">
        <f>16.138 * CHOOSE(CONTROL!$C$15, $E$9, 100%, $G$9) + CHOOSE(CONTROL!$C$38, 0.0369, 0)</f>
        <v>16.174900000000001</v>
      </c>
      <c r="D100" s="10">
        <f>16.1302 * CHOOSE(CONTROL!$C$15, $E$9, 100%, $G$9) + CHOOSE(CONTROL!$C$38, 0.0369, 0)</f>
        <v>16.167099999999998</v>
      </c>
      <c r="E100" s="28">
        <f>17.2588 * CHOOSE(CONTROL!$C$15, $E$9, 100%, $G$9) + CHOOSE(CONTROL!$C$38, 0.0369, 0)</f>
        <v>17.2957</v>
      </c>
      <c r="F100" s="27">
        <f>17.2588 * CHOOSE(CONTROL!$C$15, $E$9, 100%, $G$9) + CHOOSE(CONTROL!$C$38, 0.0278, 0)</f>
        <v>17.2866</v>
      </c>
      <c r="G100" s="10">
        <f>16.1365 * CHOOSE(CONTROL!$C$15, $E$9, 100%, $G$9) + CHOOSE(CONTROL!$C$38, 0.0369, 0)</f>
        <v>16.173400000000001</v>
      </c>
      <c r="H100" s="10">
        <f>16.1365 * CHOOSE(CONTROL!$C$15, $E$9, 100%, $G$9) + CHOOSE(CONTROL!$C$38, 0.0369, 0)</f>
        <v>16.173400000000001</v>
      </c>
      <c r="I100" s="10">
        <f>16.138 * CHOOSE(CONTROL!$C$15, $E$9, 100%, $G$9) + CHOOSE(CONTROL!$C$38, 0.0369, 0)</f>
        <v>16.174900000000001</v>
      </c>
      <c r="J100" s="26">
        <f>116.7663</f>
        <v>116.7663</v>
      </c>
    </row>
    <row r="101" spans="1:10" ht="15" x14ac:dyDescent="0.2">
      <c r="A101" s="16">
        <v>44348</v>
      </c>
      <c r="B101" s="10">
        <f>17.0532 * CHOOSE(CONTROL!$C$15, $E$9, 100%, $G$9) + CHOOSE(CONTROL!$C$38, 0.0278, 0)</f>
        <v>17.081</v>
      </c>
      <c r="C101" s="10">
        <f>15.7762 * CHOOSE(CONTROL!$C$15, $E$9, 100%, $G$9) + CHOOSE(CONTROL!$C$38, 0.0369, 0)</f>
        <v>15.813099999999999</v>
      </c>
      <c r="D101" s="10">
        <f>15.7684 * CHOOSE(CONTROL!$C$15, $E$9, 100%, $G$9) + CHOOSE(CONTROL!$C$38, 0.0369, 0)</f>
        <v>15.805299999999999</v>
      </c>
      <c r="E101" s="28">
        <f>16.8969 * CHOOSE(CONTROL!$C$15, $E$9, 100%, $G$9) + CHOOSE(CONTROL!$C$38, 0.0369, 0)</f>
        <v>16.933799999999998</v>
      </c>
      <c r="F101" s="27">
        <f>16.8969 * CHOOSE(CONTROL!$C$15, $E$9, 100%, $G$9) + CHOOSE(CONTROL!$C$38, 0.0278, 0)</f>
        <v>16.924699999999998</v>
      </c>
      <c r="G101" s="10">
        <f>15.7747 * CHOOSE(CONTROL!$C$15, $E$9, 100%, $G$9) + CHOOSE(CONTROL!$C$38, 0.0369, 0)</f>
        <v>15.811599999999999</v>
      </c>
      <c r="H101" s="10">
        <f>15.7747 * CHOOSE(CONTROL!$C$15, $E$9, 100%, $G$9) + CHOOSE(CONTROL!$C$38, 0.0369, 0)</f>
        <v>15.811599999999999</v>
      </c>
      <c r="I101" s="10">
        <f>15.7762 * CHOOSE(CONTROL!$C$15, $E$9, 100%, $G$9) + CHOOSE(CONTROL!$C$38, 0.0369, 0)</f>
        <v>15.813099999999999</v>
      </c>
      <c r="J101" s="26">
        <f>118.4488</f>
        <v>118.44880000000001</v>
      </c>
    </row>
    <row r="102" spans="1:10" ht="15" x14ac:dyDescent="0.2">
      <c r="A102" s="16">
        <v>44378</v>
      </c>
      <c r="B102" s="10">
        <f>16.8467 * CHOOSE(CONTROL!$C$15, $E$9, 100%, $G$9) + CHOOSE(CONTROL!$C$38, 0.0278, 0)</f>
        <v>16.874499999999998</v>
      </c>
      <c r="C102" s="10">
        <f>15.5697 * CHOOSE(CONTROL!$C$15, $E$9, 100%, $G$9) + CHOOSE(CONTROL!$C$38, 0.0369, 0)</f>
        <v>15.606599999999998</v>
      </c>
      <c r="D102" s="10">
        <f>15.5619 * CHOOSE(CONTROL!$C$15, $E$9, 100%, $G$9) + CHOOSE(CONTROL!$C$38, 0.0369, 0)</f>
        <v>15.598799999999999</v>
      </c>
      <c r="E102" s="28">
        <f>16.6904 * CHOOSE(CONTROL!$C$15, $E$9, 100%, $G$9) + CHOOSE(CONTROL!$C$38, 0.0369, 0)</f>
        <v>16.7273</v>
      </c>
      <c r="F102" s="27">
        <f>16.6904 * CHOOSE(CONTROL!$C$15, $E$9, 100%, $G$9) + CHOOSE(CONTROL!$C$38, 0.0278, 0)</f>
        <v>16.7182</v>
      </c>
      <c r="G102" s="10">
        <f>15.5682 * CHOOSE(CONTROL!$C$15, $E$9, 100%, $G$9) + CHOOSE(CONTROL!$C$38, 0.0369, 0)</f>
        <v>15.605099999999998</v>
      </c>
      <c r="H102" s="10">
        <f>15.5682 * CHOOSE(CONTROL!$C$15, $E$9, 100%, $G$9) + CHOOSE(CONTROL!$C$38, 0.0369, 0)</f>
        <v>15.605099999999998</v>
      </c>
      <c r="I102" s="10">
        <f>15.5697 * CHOOSE(CONTROL!$C$15, $E$9, 100%, $G$9) + CHOOSE(CONTROL!$C$38, 0.0369, 0)</f>
        <v>15.606599999999998</v>
      </c>
      <c r="J102" s="26">
        <f>117.8948</f>
        <v>117.8948</v>
      </c>
    </row>
    <row r="103" spans="1:10" ht="15" x14ac:dyDescent="0.2">
      <c r="A103" s="16">
        <v>44409</v>
      </c>
      <c r="B103" s="10">
        <f>16.9486 * CHOOSE(CONTROL!$C$15, $E$9, 100%, $G$9) + CHOOSE(CONTROL!$C$38, 0.0278, 0)</f>
        <v>16.976399999999998</v>
      </c>
      <c r="C103" s="10">
        <f>15.6716 * CHOOSE(CONTROL!$C$15, $E$9, 100%, $G$9) + CHOOSE(CONTROL!$C$38, 0.0369, 0)</f>
        <v>15.708499999999999</v>
      </c>
      <c r="D103" s="10">
        <f>15.6638 * CHOOSE(CONTROL!$C$15, $E$9, 100%, $G$9) + CHOOSE(CONTROL!$C$38, 0.0369, 0)</f>
        <v>15.700699999999999</v>
      </c>
      <c r="E103" s="28">
        <f>16.7923 * CHOOSE(CONTROL!$C$15, $E$9, 100%, $G$9) + CHOOSE(CONTROL!$C$38, 0.0369, 0)</f>
        <v>16.8292</v>
      </c>
      <c r="F103" s="27">
        <f>16.7923 * CHOOSE(CONTROL!$C$15, $E$9, 100%, $G$9) + CHOOSE(CONTROL!$C$38, 0.0278, 0)</f>
        <v>16.8201</v>
      </c>
      <c r="G103" s="10">
        <f>15.6701 * CHOOSE(CONTROL!$C$15, $E$9, 100%, $G$9) + CHOOSE(CONTROL!$C$38, 0.0369, 0)</f>
        <v>15.706999999999999</v>
      </c>
      <c r="H103" s="10">
        <f>15.6701 * CHOOSE(CONTROL!$C$15, $E$9, 100%, $G$9) + CHOOSE(CONTROL!$C$38, 0.0369, 0)</f>
        <v>15.706999999999999</v>
      </c>
      <c r="I103" s="10">
        <f>15.6716 * CHOOSE(CONTROL!$C$15, $E$9, 100%, $G$9) + CHOOSE(CONTROL!$C$38, 0.0369, 0)</f>
        <v>15.708499999999999</v>
      </c>
      <c r="J103" s="26">
        <f>115.1503</f>
        <v>115.1503</v>
      </c>
    </row>
    <row r="104" spans="1:10" ht="15" x14ac:dyDescent="0.2">
      <c r="A104" s="16">
        <v>44440</v>
      </c>
      <c r="B104" s="10">
        <f>17.2254 * CHOOSE(CONTROL!$C$15, $E$9, 100%, $G$9) + CHOOSE(CONTROL!$C$38, 0.0278, 0)</f>
        <v>17.2532</v>
      </c>
      <c r="C104" s="10">
        <f>15.9484 * CHOOSE(CONTROL!$C$15, $E$9, 100%, $G$9) + CHOOSE(CONTROL!$C$38, 0.0369, 0)</f>
        <v>15.985299999999999</v>
      </c>
      <c r="D104" s="10">
        <f>15.9406 * CHOOSE(CONTROL!$C$15, $E$9, 100%, $G$9) + CHOOSE(CONTROL!$C$38, 0.0369, 0)</f>
        <v>15.977499999999999</v>
      </c>
      <c r="E104" s="28">
        <f>17.0691 * CHOOSE(CONTROL!$C$15, $E$9, 100%, $G$9) + CHOOSE(CONTROL!$C$38, 0.0369, 0)</f>
        <v>17.105999999999998</v>
      </c>
      <c r="F104" s="27">
        <f>17.0691 * CHOOSE(CONTROL!$C$15, $E$9, 100%, $G$9) + CHOOSE(CONTROL!$C$38, 0.0278, 0)</f>
        <v>17.096899999999998</v>
      </c>
      <c r="G104" s="10">
        <f>15.9469 * CHOOSE(CONTROL!$C$15, $E$9, 100%, $G$9) + CHOOSE(CONTROL!$C$38, 0.0369, 0)</f>
        <v>15.983799999999999</v>
      </c>
      <c r="H104" s="10">
        <f>15.9469 * CHOOSE(CONTROL!$C$15, $E$9, 100%, $G$9) + CHOOSE(CONTROL!$C$38, 0.0369, 0)</f>
        <v>15.983799999999999</v>
      </c>
      <c r="I104" s="10">
        <f>15.9484 * CHOOSE(CONTROL!$C$15, $E$9, 100%, $G$9) + CHOOSE(CONTROL!$C$38, 0.0369, 0)</f>
        <v>15.985299999999999</v>
      </c>
      <c r="J104" s="26">
        <f>111.3229</f>
        <v>111.3229</v>
      </c>
    </row>
    <row r="105" spans="1:10" ht="15" x14ac:dyDescent="0.2">
      <c r="A105" s="16">
        <v>44470</v>
      </c>
      <c r="B105" s="10">
        <f>17.4572 * CHOOSE(CONTROL!$C$15, $E$9, 100%, $G$9) + CHOOSE(CONTROL!$C$38, 0.0256, 0)</f>
        <v>17.482800000000001</v>
      </c>
      <c r="C105" s="10">
        <f>16.1803 * CHOOSE(CONTROL!$C$15, $E$9, 100%, $G$9) + CHOOSE(CONTROL!$C$38, 0.0347, 0)</f>
        <v>16.215</v>
      </c>
      <c r="D105" s="10">
        <f>16.1724 * CHOOSE(CONTROL!$C$15, $E$9, 100%, $G$9) + CHOOSE(CONTROL!$C$38, 0.0347, 0)</f>
        <v>16.207100000000001</v>
      </c>
      <c r="E105" s="28">
        <f>17.301 * CHOOSE(CONTROL!$C$15, $E$9, 100%, $G$9) + CHOOSE(CONTROL!$C$38, 0.0347, 0)</f>
        <v>17.335699999999999</v>
      </c>
      <c r="F105" s="27">
        <f>17.301 * CHOOSE(CONTROL!$C$15, $E$9, 100%, $G$9) + CHOOSE(CONTROL!$C$38, 0.0256, 0)</f>
        <v>17.326599999999999</v>
      </c>
      <c r="G105" s="10">
        <f>16.1787 * CHOOSE(CONTROL!$C$15, $E$9, 100%, $G$9) + CHOOSE(CONTROL!$C$38, 0.0347, 0)</f>
        <v>16.2134</v>
      </c>
      <c r="H105" s="10">
        <f>16.1787 * CHOOSE(CONTROL!$C$15, $E$9, 100%, $G$9) + CHOOSE(CONTROL!$C$38, 0.0347, 0)</f>
        <v>16.2134</v>
      </c>
      <c r="I105" s="10">
        <f>16.1803 * CHOOSE(CONTROL!$C$15, $E$9, 100%, $G$9) + CHOOSE(CONTROL!$C$38, 0.0347, 0)</f>
        <v>16.215</v>
      </c>
      <c r="J105" s="26">
        <f>107.4732</f>
        <v>107.47320000000001</v>
      </c>
    </row>
    <row r="106" spans="1:10" ht="15" x14ac:dyDescent="0.2">
      <c r="A106" s="16">
        <v>44501</v>
      </c>
      <c r="B106" s="10">
        <f>17.6506 * CHOOSE(CONTROL!$C$15, $E$9, 100%, $G$9) + CHOOSE(CONTROL!$C$38, 0.0256, 0)</f>
        <v>17.676200000000001</v>
      </c>
      <c r="C106" s="10">
        <f>16.3737 * CHOOSE(CONTROL!$C$15, $E$9, 100%, $G$9) + CHOOSE(CONTROL!$C$38, 0.0347, 0)</f>
        <v>16.4084</v>
      </c>
      <c r="D106" s="10">
        <f>16.3659 * CHOOSE(CONTROL!$C$15, $E$9, 100%, $G$9) + CHOOSE(CONTROL!$C$38, 0.0347, 0)</f>
        <v>16.400600000000001</v>
      </c>
      <c r="E106" s="28">
        <f>17.4944 * CHOOSE(CONTROL!$C$15, $E$9, 100%, $G$9) + CHOOSE(CONTROL!$C$38, 0.0347, 0)</f>
        <v>17.5291</v>
      </c>
      <c r="F106" s="27">
        <f>17.4944 * CHOOSE(CONTROL!$C$15, $E$9, 100%, $G$9) + CHOOSE(CONTROL!$C$38, 0.0256, 0)</f>
        <v>17.52</v>
      </c>
      <c r="G106" s="10">
        <f>16.3721 * CHOOSE(CONTROL!$C$15, $E$9, 100%, $G$9) + CHOOSE(CONTROL!$C$38, 0.0347, 0)</f>
        <v>16.4068</v>
      </c>
      <c r="H106" s="10">
        <f>16.3721 * CHOOSE(CONTROL!$C$15, $E$9, 100%, $G$9) + CHOOSE(CONTROL!$C$38, 0.0347, 0)</f>
        <v>16.4068</v>
      </c>
      <c r="I106" s="10">
        <f>16.3737 * CHOOSE(CONTROL!$C$15, $E$9, 100%, $G$9) + CHOOSE(CONTROL!$C$38, 0.0347, 0)</f>
        <v>16.4084</v>
      </c>
      <c r="J106" s="26">
        <f>106.7075</f>
        <v>106.7075</v>
      </c>
    </row>
    <row r="107" spans="1:10" ht="15" x14ac:dyDescent="0.2">
      <c r="A107" s="16">
        <v>44531</v>
      </c>
      <c r="B107" s="10">
        <f>18.2467 * CHOOSE(CONTROL!$C$15, $E$9, 100%, $G$9) + CHOOSE(CONTROL!$C$38, 0.0256, 0)</f>
        <v>18.272300000000001</v>
      </c>
      <c r="C107" s="10">
        <f>16.9698 * CHOOSE(CONTROL!$C$15, $E$9, 100%, $G$9) + CHOOSE(CONTROL!$C$38, 0.0347, 0)</f>
        <v>17.0045</v>
      </c>
      <c r="D107" s="10">
        <f>16.962 * CHOOSE(CONTROL!$C$15, $E$9, 100%, $G$9) + CHOOSE(CONTROL!$C$38, 0.0347, 0)</f>
        <v>16.996700000000001</v>
      </c>
      <c r="E107" s="28">
        <f>18.0905 * CHOOSE(CONTROL!$C$15, $E$9, 100%, $G$9) + CHOOSE(CONTROL!$C$38, 0.0347, 0)</f>
        <v>18.1252</v>
      </c>
      <c r="F107" s="27">
        <f>18.0905 * CHOOSE(CONTROL!$C$15, $E$9, 100%, $G$9) + CHOOSE(CONTROL!$C$38, 0.0256, 0)</f>
        <v>18.116099999999999</v>
      </c>
      <c r="G107" s="10">
        <f>16.9682 * CHOOSE(CONTROL!$C$15, $E$9, 100%, $G$9) + CHOOSE(CONTROL!$C$38, 0.0347, 0)</f>
        <v>17.0029</v>
      </c>
      <c r="H107" s="10">
        <f>16.9682 * CHOOSE(CONTROL!$C$15, $E$9, 100%, $G$9) + CHOOSE(CONTROL!$C$38, 0.0347, 0)</f>
        <v>17.0029</v>
      </c>
      <c r="I107" s="10">
        <f>16.9698 * CHOOSE(CONTROL!$C$15, $E$9, 100%, $G$9) + CHOOSE(CONTROL!$C$38, 0.0347, 0)</f>
        <v>17.0045</v>
      </c>
      <c r="J107" s="26">
        <f>103.5409</f>
        <v>103.54089999999999</v>
      </c>
    </row>
    <row r="108" spans="1:10" ht="15" x14ac:dyDescent="0.2">
      <c r="A108" s="16">
        <v>44562</v>
      </c>
      <c r="B108" s="10">
        <f>19.3556 * CHOOSE(CONTROL!$C$15, $E$9, 100%, $G$9) + CHOOSE(CONTROL!$C$38, 0.0256, 0)</f>
        <v>19.3812</v>
      </c>
      <c r="C108" s="10">
        <f>17.9849 * CHOOSE(CONTROL!$C$15, $E$9, 100%, $G$9) + CHOOSE(CONTROL!$C$38, 0.0347, 0)</f>
        <v>18.019600000000001</v>
      </c>
      <c r="D108" s="10">
        <f>17.9771 * CHOOSE(CONTROL!$C$15, $E$9, 100%, $G$9) + CHOOSE(CONTROL!$C$38, 0.0347, 0)</f>
        <v>18.011800000000001</v>
      </c>
      <c r="E108" s="28">
        <f>19.1993 * CHOOSE(CONTROL!$C$15, $E$9, 100%, $G$9) + CHOOSE(CONTROL!$C$38, 0.0347, 0)</f>
        <v>19.234000000000002</v>
      </c>
      <c r="F108" s="27">
        <f>19.1993 * CHOOSE(CONTROL!$C$15, $E$9, 100%, $G$9) + CHOOSE(CONTROL!$C$38, 0.0256, 0)</f>
        <v>19.224900000000002</v>
      </c>
      <c r="G108" s="10">
        <f>17.9834 * CHOOSE(CONTROL!$C$15, $E$9, 100%, $G$9) + CHOOSE(CONTROL!$C$38, 0.0347, 0)</f>
        <v>18.0181</v>
      </c>
      <c r="H108" s="10">
        <f>17.9834 * CHOOSE(CONTROL!$C$15, $E$9, 100%, $G$9) + CHOOSE(CONTROL!$C$38, 0.0347, 0)</f>
        <v>18.0181</v>
      </c>
      <c r="I108" s="10">
        <f>17.9849 * CHOOSE(CONTROL!$C$15, $E$9, 100%, $G$9) + CHOOSE(CONTROL!$C$38, 0.0347, 0)</f>
        <v>18.019600000000001</v>
      </c>
      <c r="J108" s="26">
        <f>105.2242</f>
        <v>105.2242</v>
      </c>
    </row>
    <row r="109" spans="1:10" ht="15" x14ac:dyDescent="0.2">
      <c r="A109" s="16">
        <v>44593</v>
      </c>
      <c r="B109" s="10">
        <f>19.5763 * CHOOSE(CONTROL!$C$15, $E$9, 100%, $G$9) + CHOOSE(CONTROL!$C$38, 0.0256, 0)</f>
        <v>19.601900000000001</v>
      </c>
      <c r="C109" s="10">
        <f>18.2057 * CHOOSE(CONTROL!$C$15, $E$9, 100%, $G$9) + CHOOSE(CONTROL!$C$38, 0.0347, 0)</f>
        <v>18.240400000000001</v>
      </c>
      <c r="D109" s="10">
        <f>18.1979 * CHOOSE(CONTROL!$C$15, $E$9, 100%, $G$9) + CHOOSE(CONTROL!$C$38, 0.0347, 0)</f>
        <v>18.232600000000001</v>
      </c>
      <c r="E109" s="28">
        <f>19.4201 * CHOOSE(CONTROL!$C$15, $E$9, 100%, $G$9) + CHOOSE(CONTROL!$C$38, 0.0347, 0)</f>
        <v>19.454800000000002</v>
      </c>
      <c r="F109" s="27">
        <f>19.4201 * CHOOSE(CONTROL!$C$15, $E$9, 100%, $G$9) + CHOOSE(CONTROL!$C$38, 0.0256, 0)</f>
        <v>19.445700000000002</v>
      </c>
      <c r="G109" s="10">
        <f>18.2041 * CHOOSE(CONTROL!$C$15, $E$9, 100%, $G$9) + CHOOSE(CONTROL!$C$38, 0.0347, 0)</f>
        <v>18.238800000000001</v>
      </c>
      <c r="H109" s="10">
        <f>18.2041 * CHOOSE(CONTROL!$C$15, $E$9, 100%, $G$9) + CHOOSE(CONTROL!$C$38, 0.0347, 0)</f>
        <v>18.238800000000001</v>
      </c>
      <c r="I109" s="10">
        <f>18.2057 * CHOOSE(CONTROL!$C$15, $E$9, 100%, $G$9) + CHOOSE(CONTROL!$C$38, 0.0347, 0)</f>
        <v>18.240400000000001</v>
      </c>
      <c r="J109" s="26">
        <f>104.9317</f>
        <v>104.93170000000001</v>
      </c>
    </row>
    <row r="110" spans="1:10" ht="15" x14ac:dyDescent="0.2">
      <c r="A110" s="16">
        <v>44621</v>
      </c>
      <c r="B110" s="10">
        <f>19.0653 * CHOOSE(CONTROL!$C$15, $E$9, 100%, $G$9) + CHOOSE(CONTROL!$C$38, 0.0256, 0)</f>
        <v>19.090900000000001</v>
      </c>
      <c r="C110" s="10">
        <f>17.6947 * CHOOSE(CONTROL!$C$15, $E$9, 100%, $G$9) + CHOOSE(CONTROL!$C$38, 0.0347, 0)</f>
        <v>17.729400000000002</v>
      </c>
      <c r="D110" s="10">
        <f>17.6868 * CHOOSE(CONTROL!$C$15, $E$9, 100%, $G$9) + CHOOSE(CONTROL!$C$38, 0.0347, 0)</f>
        <v>17.721500000000002</v>
      </c>
      <c r="E110" s="28">
        <f>18.9091 * CHOOSE(CONTROL!$C$15, $E$9, 100%, $G$9) + CHOOSE(CONTROL!$C$38, 0.0347, 0)</f>
        <v>18.9438</v>
      </c>
      <c r="F110" s="27">
        <f>18.9091 * CHOOSE(CONTROL!$C$15, $E$9, 100%, $G$9) + CHOOSE(CONTROL!$C$38, 0.0256, 0)</f>
        <v>18.934699999999999</v>
      </c>
      <c r="G110" s="10">
        <f>17.6931 * CHOOSE(CONTROL!$C$15, $E$9, 100%, $G$9) + CHOOSE(CONTROL!$C$38, 0.0347, 0)</f>
        <v>17.727800000000002</v>
      </c>
      <c r="H110" s="10">
        <f>17.6931 * CHOOSE(CONTROL!$C$15, $E$9, 100%, $G$9) + CHOOSE(CONTROL!$C$38, 0.0347, 0)</f>
        <v>17.727800000000002</v>
      </c>
      <c r="I110" s="10">
        <f>17.6947 * CHOOSE(CONTROL!$C$15, $E$9, 100%, $G$9) + CHOOSE(CONTROL!$C$38, 0.0347, 0)</f>
        <v>17.729400000000002</v>
      </c>
      <c r="J110" s="26">
        <f>110.4622</f>
        <v>110.4622</v>
      </c>
    </row>
    <row r="111" spans="1:10" ht="15" x14ac:dyDescent="0.2">
      <c r="A111" s="16">
        <v>44652</v>
      </c>
      <c r="B111" s="10">
        <f>18.5701 * CHOOSE(CONTROL!$C$15, $E$9, 100%, $G$9) + CHOOSE(CONTROL!$C$38, 0.0256, 0)</f>
        <v>18.595700000000001</v>
      </c>
      <c r="C111" s="10">
        <f>17.1995 * CHOOSE(CONTROL!$C$15, $E$9, 100%, $G$9) + CHOOSE(CONTROL!$C$38, 0.0347, 0)</f>
        <v>17.234200000000001</v>
      </c>
      <c r="D111" s="10">
        <f>17.1917 * CHOOSE(CONTROL!$C$15, $E$9, 100%, $G$9) + CHOOSE(CONTROL!$C$38, 0.0347, 0)</f>
        <v>17.226400000000002</v>
      </c>
      <c r="E111" s="28">
        <f>18.4139 * CHOOSE(CONTROL!$C$15, $E$9, 100%, $G$9) + CHOOSE(CONTROL!$C$38, 0.0347, 0)</f>
        <v>18.448600000000003</v>
      </c>
      <c r="F111" s="27">
        <f>18.4139 * CHOOSE(CONTROL!$C$15, $E$9, 100%, $G$9) + CHOOSE(CONTROL!$C$38, 0.0256, 0)</f>
        <v>18.439500000000002</v>
      </c>
      <c r="G111" s="10">
        <f>17.1979 * CHOOSE(CONTROL!$C$15, $E$9, 100%, $G$9) + CHOOSE(CONTROL!$C$38, 0.0347, 0)</f>
        <v>17.232600000000001</v>
      </c>
      <c r="H111" s="10">
        <f>17.1979 * CHOOSE(CONTROL!$C$15, $E$9, 100%, $G$9) + CHOOSE(CONTROL!$C$38, 0.0347, 0)</f>
        <v>17.232600000000001</v>
      </c>
      <c r="I111" s="10">
        <f>17.1995 * CHOOSE(CONTROL!$C$15, $E$9, 100%, $G$9) + CHOOSE(CONTROL!$C$38, 0.0347, 0)</f>
        <v>17.234200000000001</v>
      </c>
      <c r="J111" s="26">
        <f>117.634</f>
        <v>117.634</v>
      </c>
    </row>
    <row r="112" spans="1:10" ht="15" x14ac:dyDescent="0.2">
      <c r="A112" s="16">
        <v>44682</v>
      </c>
      <c r="B112" s="10">
        <f>18.054 * CHOOSE(CONTROL!$C$15, $E$9, 100%, $G$9) + CHOOSE(CONTROL!$C$38, 0.0278, 0)</f>
        <v>18.081799999999998</v>
      </c>
      <c r="C112" s="10">
        <f>16.6834 * CHOOSE(CONTROL!$C$15, $E$9, 100%, $G$9) + CHOOSE(CONTROL!$C$38, 0.0369, 0)</f>
        <v>16.720299999999998</v>
      </c>
      <c r="D112" s="10">
        <f>16.6755 * CHOOSE(CONTROL!$C$15, $E$9, 100%, $G$9) + CHOOSE(CONTROL!$C$38, 0.0369, 0)</f>
        <v>16.712399999999999</v>
      </c>
      <c r="E112" s="28">
        <f>17.8978 * CHOOSE(CONTROL!$C$15, $E$9, 100%, $G$9) + CHOOSE(CONTROL!$C$38, 0.0369, 0)</f>
        <v>17.934699999999999</v>
      </c>
      <c r="F112" s="27">
        <f>17.8978 * CHOOSE(CONTROL!$C$15, $E$9, 100%, $G$9) + CHOOSE(CONTROL!$C$38, 0.0278, 0)</f>
        <v>17.925599999999999</v>
      </c>
      <c r="G112" s="10">
        <f>16.6818 * CHOOSE(CONTROL!$C$15, $E$9, 100%, $G$9) + CHOOSE(CONTROL!$C$38, 0.0369, 0)</f>
        <v>16.718699999999998</v>
      </c>
      <c r="H112" s="10">
        <f>16.6818 * CHOOSE(CONTROL!$C$15, $E$9, 100%, $G$9) + CHOOSE(CONTROL!$C$38, 0.0369, 0)</f>
        <v>16.718699999999998</v>
      </c>
      <c r="I112" s="10">
        <f>16.6834 * CHOOSE(CONTROL!$C$15, $E$9, 100%, $G$9) + CHOOSE(CONTROL!$C$38, 0.0369, 0)</f>
        <v>16.720299999999998</v>
      </c>
      <c r="J112" s="26">
        <f>121.5815</f>
        <v>121.58150000000001</v>
      </c>
    </row>
    <row r="113" spans="1:10" ht="15" x14ac:dyDescent="0.2">
      <c r="A113" s="16">
        <v>44713</v>
      </c>
      <c r="B113" s="10">
        <f>17.6922 * CHOOSE(CONTROL!$C$15, $E$9, 100%, $G$9) + CHOOSE(CONTROL!$C$38, 0.0278, 0)</f>
        <v>17.72</v>
      </c>
      <c r="C113" s="10">
        <f>16.3215 * CHOOSE(CONTROL!$C$15, $E$9, 100%, $G$9) + CHOOSE(CONTROL!$C$38, 0.0369, 0)</f>
        <v>16.3584</v>
      </c>
      <c r="D113" s="10">
        <f>16.3137 * CHOOSE(CONTROL!$C$15, $E$9, 100%, $G$9) + CHOOSE(CONTROL!$C$38, 0.0369, 0)</f>
        <v>16.3506</v>
      </c>
      <c r="E113" s="28">
        <f>17.5359 * CHOOSE(CONTROL!$C$15, $E$9, 100%, $G$9) + CHOOSE(CONTROL!$C$38, 0.0369, 0)</f>
        <v>17.572800000000001</v>
      </c>
      <c r="F113" s="27">
        <f>17.5359 * CHOOSE(CONTROL!$C$15, $E$9, 100%, $G$9) + CHOOSE(CONTROL!$C$38, 0.0278, 0)</f>
        <v>17.563700000000001</v>
      </c>
      <c r="G113" s="10">
        <f>16.32 * CHOOSE(CONTROL!$C$15, $E$9, 100%, $G$9) + CHOOSE(CONTROL!$C$38, 0.0369, 0)</f>
        <v>16.3569</v>
      </c>
      <c r="H113" s="10">
        <f>16.32 * CHOOSE(CONTROL!$C$15, $E$9, 100%, $G$9) + CHOOSE(CONTROL!$C$38, 0.0369, 0)</f>
        <v>16.3569</v>
      </c>
      <c r="I113" s="10">
        <f>16.3215 * CHOOSE(CONTROL!$C$15, $E$9, 100%, $G$9) + CHOOSE(CONTROL!$C$38, 0.0369, 0)</f>
        <v>16.3584</v>
      </c>
      <c r="J113" s="26">
        <f>123.3334</f>
        <v>123.3334</v>
      </c>
    </row>
    <row r="114" spans="1:10" ht="15" x14ac:dyDescent="0.2">
      <c r="A114" s="16">
        <v>44743</v>
      </c>
      <c r="B114" s="10">
        <f>17.4857 * CHOOSE(CONTROL!$C$15, $E$9, 100%, $G$9) + CHOOSE(CONTROL!$C$38, 0.0278, 0)</f>
        <v>17.513500000000001</v>
      </c>
      <c r="C114" s="10">
        <f>16.115 * CHOOSE(CONTROL!$C$15, $E$9, 100%, $G$9) + CHOOSE(CONTROL!$C$38, 0.0369, 0)</f>
        <v>16.151899999999998</v>
      </c>
      <c r="D114" s="10">
        <f>16.1072 * CHOOSE(CONTROL!$C$15, $E$9, 100%, $G$9) + CHOOSE(CONTROL!$C$38, 0.0369, 0)</f>
        <v>16.144099999999998</v>
      </c>
      <c r="E114" s="28">
        <f>17.3295 * CHOOSE(CONTROL!$C$15, $E$9, 100%, $G$9) + CHOOSE(CONTROL!$C$38, 0.0369, 0)</f>
        <v>17.366399999999999</v>
      </c>
      <c r="F114" s="27">
        <f>17.3295 * CHOOSE(CONTROL!$C$15, $E$9, 100%, $G$9) + CHOOSE(CONTROL!$C$38, 0.0278, 0)</f>
        <v>17.357299999999999</v>
      </c>
      <c r="G114" s="10">
        <f>16.1135 * CHOOSE(CONTROL!$C$15, $E$9, 100%, $G$9) + CHOOSE(CONTROL!$C$38, 0.0369, 0)</f>
        <v>16.150399999999998</v>
      </c>
      <c r="H114" s="10">
        <f>16.1135 * CHOOSE(CONTROL!$C$15, $E$9, 100%, $G$9) + CHOOSE(CONTROL!$C$38, 0.0369, 0)</f>
        <v>16.150399999999998</v>
      </c>
      <c r="I114" s="10">
        <f>16.115 * CHOOSE(CONTROL!$C$15, $E$9, 100%, $G$9) + CHOOSE(CONTROL!$C$38, 0.0369, 0)</f>
        <v>16.151899999999998</v>
      </c>
      <c r="J114" s="26">
        <f>122.7566</f>
        <v>122.75660000000001</v>
      </c>
    </row>
    <row r="115" spans="1:10" ht="15" x14ac:dyDescent="0.2">
      <c r="A115" s="16">
        <v>44774</v>
      </c>
      <c r="B115" s="10">
        <f>17.5876 * CHOOSE(CONTROL!$C$15, $E$9, 100%, $G$9) + CHOOSE(CONTROL!$C$38, 0.0278, 0)</f>
        <v>17.615399999999998</v>
      </c>
      <c r="C115" s="10">
        <f>16.2169 * CHOOSE(CONTROL!$C$15, $E$9, 100%, $G$9) + CHOOSE(CONTROL!$C$38, 0.0369, 0)</f>
        <v>16.253799999999998</v>
      </c>
      <c r="D115" s="10">
        <f>16.2091 * CHOOSE(CONTROL!$C$15, $E$9, 100%, $G$9) + CHOOSE(CONTROL!$C$38, 0.0369, 0)</f>
        <v>16.245999999999999</v>
      </c>
      <c r="E115" s="28">
        <f>17.4314 * CHOOSE(CONTROL!$C$15, $E$9, 100%, $G$9) + CHOOSE(CONTROL!$C$38, 0.0369, 0)</f>
        <v>17.468299999999999</v>
      </c>
      <c r="F115" s="27">
        <f>17.4314 * CHOOSE(CONTROL!$C$15, $E$9, 100%, $G$9) + CHOOSE(CONTROL!$C$38, 0.0278, 0)</f>
        <v>17.459199999999999</v>
      </c>
      <c r="G115" s="10">
        <f>16.2154 * CHOOSE(CONTROL!$C$15, $E$9, 100%, $G$9) + CHOOSE(CONTROL!$C$38, 0.0369, 0)</f>
        <v>16.252299999999998</v>
      </c>
      <c r="H115" s="10">
        <f>16.2154 * CHOOSE(CONTROL!$C$15, $E$9, 100%, $G$9) + CHOOSE(CONTROL!$C$38, 0.0369, 0)</f>
        <v>16.252299999999998</v>
      </c>
      <c r="I115" s="10">
        <f>16.2169 * CHOOSE(CONTROL!$C$15, $E$9, 100%, $G$9) + CHOOSE(CONTROL!$C$38, 0.0369, 0)</f>
        <v>16.253799999999998</v>
      </c>
      <c r="J115" s="26">
        <f>119.8989</f>
        <v>119.8989</v>
      </c>
    </row>
    <row r="116" spans="1:10" ht="15" x14ac:dyDescent="0.2">
      <c r="A116" s="16">
        <v>44805</v>
      </c>
      <c r="B116" s="10">
        <f>17.8644 * CHOOSE(CONTROL!$C$15, $E$9, 100%, $G$9) + CHOOSE(CONTROL!$C$38, 0.0278, 0)</f>
        <v>17.892199999999999</v>
      </c>
      <c r="C116" s="10">
        <f>16.4937 * CHOOSE(CONTROL!$C$15, $E$9, 100%, $G$9) + CHOOSE(CONTROL!$C$38, 0.0369, 0)</f>
        <v>16.5306</v>
      </c>
      <c r="D116" s="10">
        <f>16.4859 * CHOOSE(CONTROL!$C$15, $E$9, 100%, $G$9) + CHOOSE(CONTROL!$C$38, 0.0369, 0)</f>
        <v>16.5228</v>
      </c>
      <c r="E116" s="28">
        <f>17.7082 * CHOOSE(CONTROL!$C$15, $E$9, 100%, $G$9) + CHOOSE(CONTROL!$C$38, 0.0369, 0)</f>
        <v>17.745100000000001</v>
      </c>
      <c r="F116" s="27">
        <f>17.7082 * CHOOSE(CONTROL!$C$15, $E$9, 100%, $G$9) + CHOOSE(CONTROL!$C$38, 0.0278, 0)</f>
        <v>17.736000000000001</v>
      </c>
      <c r="G116" s="10">
        <f>16.4922 * CHOOSE(CONTROL!$C$15, $E$9, 100%, $G$9) + CHOOSE(CONTROL!$C$38, 0.0369, 0)</f>
        <v>16.5291</v>
      </c>
      <c r="H116" s="10">
        <f>16.4922 * CHOOSE(CONTROL!$C$15, $E$9, 100%, $G$9) + CHOOSE(CONTROL!$C$38, 0.0369, 0)</f>
        <v>16.5291</v>
      </c>
      <c r="I116" s="10">
        <f>16.4937 * CHOOSE(CONTROL!$C$15, $E$9, 100%, $G$9) + CHOOSE(CONTROL!$C$38, 0.0369, 0)</f>
        <v>16.5306</v>
      </c>
      <c r="J116" s="26">
        <f>115.9136</f>
        <v>115.9136</v>
      </c>
    </row>
    <row r="117" spans="1:10" ht="15" x14ac:dyDescent="0.2">
      <c r="A117" s="16">
        <v>44835</v>
      </c>
      <c r="B117" s="10">
        <f>18.0962 * CHOOSE(CONTROL!$C$15, $E$9, 100%, $G$9) + CHOOSE(CONTROL!$C$38, 0.0256, 0)</f>
        <v>18.1218</v>
      </c>
      <c r="C117" s="10">
        <f>16.7256 * CHOOSE(CONTROL!$C$15, $E$9, 100%, $G$9) + CHOOSE(CONTROL!$C$38, 0.0347, 0)</f>
        <v>16.760300000000001</v>
      </c>
      <c r="D117" s="10">
        <f>16.7178 * CHOOSE(CONTROL!$C$15, $E$9, 100%, $G$9) + CHOOSE(CONTROL!$C$38, 0.0347, 0)</f>
        <v>16.752500000000001</v>
      </c>
      <c r="E117" s="28">
        <f>17.94 * CHOOSE(CONTROL!$C$15, $E$9, 100%, $G$9) + CHOOSE(CONTROL!$C$38, 0.0347, 0)</f>
        <v>17.974700000000002</v>
      </c>
      <c r="F117" s="27">
        <f>17.94 * CHOOSE(CONTROL!$C$15, $E$9, 100%, $G$9) + CHOOSE(CONTROL!$C$38, 0.0256, 0)</f>
        <v>17.965600000000002</v>
      </c>
      <c r="G117" s="10">
        <f>16.724 * CHOOSE(CONTROL!$C$15, $E$9, 100%, $G$9) + CHOOSE(CONTROL!$C$38, 0.0347, 0)</f>
        <v>16.758700000000001</v>
      </c>
      <c r="H117" s="10">
        <f>16.724 * CHOOSE(CONTROL!$C$15, $E$9, 100%, $G$9) + CHOOSE(CONTROL!$C$38, 0.0347, 0)</f>
        <v>16.758700000000001</v>
      </c>
      <c r="I117" s="10">
        <f>16.7256 * CHOOSE(CONTROL!$C$15, $E$9, 100%, $G$9) + CHOOSE(CONTROL!$C$38, 0.0347, 0)</f>
        <v>16.760300000000001</v>
      </c>
      <c r="J117" s="26">
        <f>111.9052</f>
        <v>111.90519999999999</v>
      </c>
    </row>
    <row r="118" spans="1:10" ht="15" x14ac:dyDescent="0.2">
      <c r="A118" s="16">
        <v>44866</v>
      </c>
      <c r="B118" s="10">
        <f>18.2897 * CHOOSE(CONTROL!$C$15, $E$9, 100%, $G$9) + CHOOSE(CONTROL!$C$38, 0.0256, 0)</f>
        <v>18.315300000000001</v>
      </c>
      <c r="C118" s="10">
        <f>16.919 * CHOOSE(CONTROL!$C$15, $E$9, 100%, $G$9) + CHOOSE(CONTROL!$C$38, 0.0347, 0)</f>
        <v>16.953700000000001</v>
      </c>
      <c r="D118" s="10">
        <f>16.9112 * CHOOSE(CONTROL!$C$15, $E$9, 100%, $G$9) + CHOOSE(CONTROL!$C$38, 0.0347, 0)</f>
        <v>16.945900000000002</v>
      </c>
      <c r="E118" s="28">
        <f>18.1334 * CHOOSE(CONTROL!$C$15, $E$9, 100%, $G$9) + CHOOSE(CONTROL!$C$38, 0.0347, 0)</f>
        <v>18.168100000000003</v>
      </c>
      <c r="F118" s="27">
        <f>18.1334 * CHOOSE(CONTROL!$C$15, $E$9, 100%, $G$9) + CHOOSE(CONTROL!$C$38, 0.0256, 0)</f>
        <v>18.159000000000002</v>
      </c>
      <c r="G118" s="10">
        <f>16.9174 * CHOOSE(CONTROL!$C$15, $E$9, 100%, $G$9) + CHOOSE(CONTROL!$C$38, 0.0347, 0)</f>
        <v>16.952100000000002</v>
      </c>
      <c r="H118" s="10">
        <f>16.9174 * CHOOSE(CONTROL!$C$15, $E$9, 100%, $G$9) + CHOOSE(CONTROL!$C$38, 0.0347, 0)</f>
        <v>16.952100000000002</v>
      </c>
      <c r="I118" s="10">
        <f>16.919 * CHOOSE(CONTROL!$C$15, $E$9, 100%, $G$9) + CHOOSE(CONTROL!$C$38, 0.0347, 0)</f>
        <v>16.953700000000001</v>
      </c>
      <c r="J118" s="26">
        <f>111.1079</f>
        <v>111.1079</v>
      </c>
    </row>
    <row r="119" spans="1:10" ht="15" x14ac:dyDescent="0.2">
      <c r="A119" s="16">
        <v>44896</v>
      </c>
      <c r="B119" s="10">
        <f>18.8857 * CHOOSE(CONTROL!$C$15, $E$9, 100%, $G$9) + CHOOSE(CONTROL!$C$38, 0.0256, 0)</f>
        <v>18.911300000000001</v>
      </c>
      <c r="C119" s="10">
        <f>17.5151 * CHOOSE(CONTROL!$C$15, $E$9, 100%, $G$9) + CHOOSE(CONTROL!$C$38, 0.0347, 0)</f>
        <v>17.549800000000001</v>
      </c>
      <c r="D119" s="10">
        <f>17.5073 * CHOOSE(CONTROL!$C$15, $E$9, 100%, $G$9) + CHOOSE(CONTROL!$C$38, 0.0347, 0)</f>
        <v>17.542000000000002</v>
      </c>
      <c r="E119" s="28">
        <f>18.7295 * CHOOSE(CONTROL!$C$15, $E$9, 100%, $G$9) + CHOOSE(CONTROL!$C$38, 0.0347, 0)</f>
        <v>18.764200000000002</v>
      </c>
      <c r="F119" s="27">
        <f>18.7295 * CHOOSE(CONTROL!$C$15, $E$9, 100%, $G$9) + CHOOSE(CONTROL!$C$38, 0.0256, 0)</f>
        <v>18.755100000000002</v>
      </c>
      <c r="G119" s="10">
        <f>17.5135 * CHOOSE(CONTROL!$C$15, $E$9, 100%, $G$9) + CHOOSE(CONTROL!$C$38, 0.0347, 0)</f>
        <v>17.548200000000001</v>
      </c>
      <c r="H119" s="10">
        <f>17.5135 * CHOOSE(CONTROL!$C$15, $E$9, 100%, $G$9) + CHOOSE(CONTROL!$C$38, 0.0347, 0)</f>
        <v>17.548200000000001</v>
      </c>
      <c r="I119" s="10">
        <f>17.5151 * CHOOSE(CONTROL!$C$15, $E$9, 100%, $G$9) + CHOOSE(CONTROL!$C$38, 0.0347, 0)</f>
        <v>17.549800000000001</v>
      </c>
      <c r="J119" s="26">
        <f>107.8107</f>
        <v>107.8107</v>
      </c>
    </row>
    <row r="120" spans="1:10" ht="15" x14ac:dyDescent="0.2">
      <c r="A120" s="16">
        <v>44927</v>
      </c>
      <c r="B120" s="10">
        <f>20.1548 * CHOOSE(CONTROL!$C$15, $E$9, 100%, $G$9) + CHOOSE(CONTROL!$C$38, 0.0256, 0)</f>
        <v>20.180400000000002</v>
      </c>
      <c r="C120" s="10">
        <f>18.6084 * CHOOSE(CONTROL!$C$15, $E$9, 100%, $G$9) + CHOOSE(CONTROL!$C$38, 0.0347, 0)</f>
        <v>18.6431</v>
      </c>
      <c r="D120" s="10">
        <f>18.6005 * CHOOSE(CONTROL!$C$15, $E$9, 100%, $G$9) + CHOOSE(CONTROL!$C$38, 0.0347, 0)</f>
        <v>18.635200000000001</v>
      </c>
      <c r="E120" s="28">
        <f>19.9985 * CHOOSE(CONTROL!$C$15, $E$9, 100%, $G$9) + CHOOSE(CONTROL!$C$38, 0.0347, 0)</f>
        <v>20.033200000000001</v>
      </c>
      <c r="F120" s="27">
        <f>19.9985 * CHOOSE(CONTROL!$C$15, $E$9, 100%, $G$9) + CHOOSE(CONTROL!$C$38, 0.0256, 0)</f>
        <v>20.024100000000001</v>
      </c>
      <c r="G120" s="10">
        <f>18.6068 * CHOOSE(CONTROL!$C$15, $E$9, 100%, $G$9) + CHOOSE(CONTROL!$C$38, 0.0347, 0)</f>
        <v>18.641500000000001</v>
      </c>
      <c r="H120" s="10">
        <f>18.6068 * CHOOSE(CONTROL!$C$15, $E$9, 100%, $G$9) + CHOOSE(CONTROL!$C$38, 0.0347, 0)</f>
        <v>18.641500000000001</v>
      </c>
      <c r="I120" s="10">
        <f>18.6084 * CHOOSE(CONTROL!$C$15, $E$9, 100%, $G$9) + CHOOSE(CONTROL!$C$38, 0.0347, 0)</f>
        <v>18.6431</v>
      </c>
      <c r="J120" s="26">
        <f>109.5664</f>
        <v>109.5664</v>
      </c>
    </row>
    <row r="121" spans="1:10" ht="15" x14ac:dyDescent="0.2">
      <c r="A121" s="16">
        <v>44958</v>
      </c>
      <c r="B121" s="10">
        <f>20.3755 * CHOOSE(CONTROL!$C$15, $E$9, 100%, $G$9) + CHOOSE(CONTROL!$C$38, 0.0256, 0)</f>
        <v>20.4011</v>
      </c>
      <c r="C121" s="10">
        <f>18.8291 * CHOOSE(CONTROL!$C$15, $E$9, 100%, $G$9) + CHOOSE(CONTROL!$C$38, 0.0347, 0)</f>
        <v>18.863800000000001</v>
      </c>
      <c r="D121" s="10">
        <f>18.8213 * CHOOSE(CONTROL!$C$15, $E$9, 100%, $G$9) + CHOOSE(CONTROL!$C$38, 0.0347, 0)</f>
        <v>18.856000000000002</v>
      </c>
      <c r="E121" s="28">
        <f>20.2193 * CHOOSE(CONTROL!$C$15, $E$9, 100%, $G$9) + CHOOSE(CONTROL!$C$38, 0.0347, 0)</f>
        <v>20.254000000000001</v>
      </c>
      <c r="F121" s="27">
        <f>20.2193 * CHOOSE(CONTROL!$C$15, $E$9, 100%, $G$9) + CHOOSE(CONTROL!$C$38, 0.0256, 0)</f>
        <v>20.244900000000001</v>
      </c>
      <c r="G121" s="10">
        <f>18.8276 * CHOOSE(CONTROL!$C$15, $E$9, 100%, $G$9) + CHOOSE(CONTROL!$C$38, 0.0347, 0)</f>
        <v>18.862300000000001</v>
      </c>
      <c r="H121" s="10">
        <f>18.8276 * CHOOSE(CONTROL!$C$15, $E$9, 100%, $G$9) + CHOOSE(CONTROL!$C$38, 0.0347, 0)</f>
        <v>18.862300000000001</v>
      </c>
      <c r="I121" s="10">
        <f>18.8291 * CHOOSE(CONTROL!$C$15, $E$9, 100%, $G$9) + CHOOSE(CONTROL!$C$38, 0.0347, 0)</f>
        <v>18.863800000000001</v>
      </c>
      <c r="J121" s="26">
        <f>109.2618</f>
        <v>109.26179999999999</v>
      </c>
    </row>
    <row r="122" spans="1:10" ht="15" x14ac:dyDescent="0.2">
      <c r="A122" s="16">
        <v>44986</v>
      </c>
      <c r="B122" s="10">
        <f>19.8645 * CHOOSE(CONTROL!$C$15, $E$9, 100%, $G$9) + CHOOSE(CONTROL!$C$38, 0.0256, 0)</f>
        <v>19.8901</v>
      </c>
      <c r="C122" s="10">
        <f>18.3181 * CHOOSE(CONTROL!$C$15, $E$9, 100%, $G$9) + CHOOSE(CONTROL!$C$38, 0.0347, 0)</f>
        <v>18.352800000000002</v>
      </c>
      <c r="D122" s="10">
        <f>18.3103 * CHOOSE(CONTROL!$C$15, $E$9, 100%, $G$9) + CHOOSE(CONTROL!$C$38, 0.0347, 0)</f>
        <v>18.345000000000002</v>
      </c>
      <c r="E122" s="28">
        <f>19.7082 * CHOOSE(CONTROL!$C$15, $E$9, 100%, $G$9) + CHOOSE(CONTROL!$C$38, 0.0347, 0)</f>
        <v>19.742900000000002</v>
      </c>
      <c r="F122" s="27">
        <f>19.7082 * CHOOSE(CONTROL!$C$15, $E$9, 100%, $G$9) + CHOOSE(CONTROL!$C$38, 0.0256, 0)</f>
        <v>19.733800000000002</v>
      </c>
      <c r="G122" s="10">
        <f>18.3165 * CHOOSE(CONTROL!$C$15, $E$9, 100%, $G$9) + CHOOSE(CONTROL!$C$38, 0.0347, 0)</f>
        <v>18.351200000000002</v>
      </c>
      <c r="H122" s="10">
        <f>18.3165 * CHOOSE(CONTROL!$C$15, $E$9, 100%, $G$9) + CHOOSE(CONTROL!$C$38, 0.0347, 0)</f>
        <v>18.351200000000002</v>
      </c>
      <c r="I122" s="10">
        <f>18.3181 * CHOOSE(CONTROL!$C$15, $E$9, 100%, $G$9) + CHOOSE(CONTROL!$C$38, 0.0347, 0)</f>
        <v>18.352800000000002</v>
      </c>
      <c r="J122" s="26">
        <f>115.0206</f>
        <v>115.0206</v>
      </c>
    </row>
    <row r="123" spans="1:10" ht="15" x14ac:dyDescent="0.2">
      <c r="A123" s="16">
        <v>45017</v>
      </c>
      <c r="B123" s="10">
        <f>19.3693 * CHOOSE(CONTROL!$C$15, $E$9, 100%, $G$9) + CHOOSE(CONTROL!$C$38, 0.0256, 0)</f>
        <v>19.3949</v>
      </c>
      <c r="C123" s="10">
        <f>17.8229 * CHOOSE(CONTROL!$C$15, $E$9, 100%, $G$9) + CHOOSE(CONTROL!$C$38, 0.0347, 0)</f>
        <v>17.857600000000001</v>
      </c>
      <c r="D123" s="10">
        <f>17.8151 * CHOOSE(CONTROL!$C$15, $E$9, 100%, $G$9) + CHOOSE(CONTROL!$C$38, 0.0347, 0)</f>
        <v>17.849800000000002</v>
      </c>
      <c r="E123" s="28">
        <f>19.2131 * CHOOSE(CONTROL!$C$15, $E$9, 100%, $G$9) + CHOOSE(CONTROL!$C$38, 0.0347, 0)</f>
        <v>19.247800000000002</v>
      </c>
      <c r="F123" s="27">
        <f>19.2131 * CHOOSE(CONTROL!$C$15, $E$9, 100%, $G$9) + CHOOSE(CONTROL!$C$38, 0.0256, 0)</f>
        <v>19.238700000000001</v>
      </c>
      <c r="G123" s="10">
        <f>17.8213 * CHOOSE(CONTROL!$C$15, $E$9, 100%, $G$9) + CHOOSE(CONTROL!$C$38, 0.0347, 0)</f>
        <v>17.856000000000002</v>
      </c>
      <c r="H123" s="10">
        <f>17.8213 * CHOOSE(CONTROL!$C$15, $E$9, 100%, $G$9) + CHOOSE(CONTROL!$C$38, 0.0347, 0)</f>
        <v>17.856000000000002</v>
      </c>
      <c r="I123" s="10">
        <f>17.8229 * CHOOSE(CONTROL!$C$15, $E$9, 100%, $G$9) + CHOOSE(CONTROL!$C$38, 0.0347, 0)</f>
        <v>17.857600000000001</v>
      </c>
      <c r="J123" s="26">
        <f>122.4882</f>
        <v>122.48820000000001</v>
      </c>
    </row>
    <row r="124" spans="1:10" ht="15" x14ac:dyDescent="0.2">
      <c r="A124" s="16">
        <v>45047</v>
      </c>
      <c r="B124" s="10">
        <f>18.8532 * CHOOSE(CONTROL!$C$15, $E$9, 100%, $G$9) + CHOOSE(CONTROL!$C$38, 0.0278, 0)</f>
        <v>18.881</v>
      </c>
      <c r="C124" s="10">
        <f>17.3068 * CHOOSE(CONTROL!$C$15, $E$9, 100%, $G$9) + CHOOSE(CONTROL!$C$38, 0.0369, 0)</f>
        <v>17.343699999999998</v>
      </c>
      <c r="D124" s="10">
        <f>17.299 * CHOOSE(CONTROL!$C$15, $E$9, 100%, $G$9) + CHOOSE(CONTROL!$C$38, 0.0369, 0)</f>
        <v>17.335899999999999</v>
      </c>
      <c r="E124" s="28">
        <f>18.697 * CHOOSE(CONTROL!$C$15, $E$9, 100%, $G$9) + CHOOSE(CONTROL!$C$38, 0.0369, 0)</f>
        <v>18.733899999999998</v>
      </c>
      <c r="F124" s="27">
        <f>18.697 * CHOOSE(CONTROL!$C$15, $E$9, 100%, $G$9) + CHOOSE(CONTROL!$C$38, 0.0278, 0)</f>
        <v>18.724799999999998</v>
      </c>
      <c r="G124" s="10">
        <f>17.3052 * CHOOSE(CONTROL!$C$15, $E$9, 100%, $G$9) + CHOOSE(CONTROL!$C$38, 0.0369, 0)</f>
        <v>17.342099999999999</v>
      </c>
      <c r="H124" s="10">
        <f>17.3052 * CHOOSE(CONTROL!$C$15, $E$9, 100%, $G$9) + CHOOSE(CONTROL!$C$38, 0.0369, 0)</f>
        <v>17.342099999999999</v>
      </c>
      <c r="I124" s="10">
        <f>17.3068 * CHOOSE(CONTROL!$C$15, $E$9, 100%, $G$9) + CHOOSE(CONTROL!$C$38, 0.0369, 0)</f>
        <v>17.343699999999998</v>
      </c>
      <c r="J124" s="26">
        <f>126.5987</f>
        <v>126.59869999999999</v>
      </c>
    </row>
    <row r="125" spans="1:10" ht="15" x14ac:dyDescent="0.2">
      <c r="A125" s="16">
        <v>45078</v>
      </c>
      <c r="B125" s="10">
        <f>18.4914 * CHOOSE(CONTROL!$C$15, $E$9, 100%, $G$9) + CHOOSE(CONTROL!$C$38, 0.0278, 0)</f>
        <v>18.519199999999998</v>
      </c>
      <c r="C125" s="10">
        <f>16.945 * CHOOSE(CONTROL!$C$15, $E$9, 100%, $G$9) + CHOOSE(CONTROL!$C$38, 0.0369, 0)</f>
        <v>16.9819</v>
      </c>
      <c r="D125" s="10">
        <f>16.9372 * CHOOSE(CONTROL!$C$15, $E$9, 100%, $G$9) + CHOOSE(CONTROL!$C$38, 0.0369, 0)</f>
        <v>16.9741</v>
      </c>
      <c r="E125" s="28">
        <f>18.3351 * CHOOSE(CONTROL!$C$15, $E$9, 100%, $G$9) + CHOOSE(CONTROL!$C$38, 0.0369, 0)</f>
        <v>18.372</v>
      </c>
      <c r="F125" s="27">
        <f>18.3351 * CHOOSE(CONTROL!$C$15, $E$9, 100%, $G$9) + CHOOSE(CONTROL!$C$38, 0.0278, 0)</f>
        <v>18.3629</v>
      </c>
      <c r="G125" s="10">
        <f>16.9434 * CHOOSE(CONTROL!$C$15, $E$9, 100%, $G$9) + CHOOSE(CONTROL!$C$38, 0.0369, 0)</f>
        <v>16.9803</v>
      </c>
      <c r="H125" s="10">
        <f>16.9434 * CHOOSE(CONTROL!$C$15, $E$9, 100%, $G$9) + CHOOSE(CONTROL!$C$38, 0.0369, 0)</f>
        <v>16.9803</v>
      </c>
      <c r="I125" s="10">
        <f>16.945 * CHOOSE(CONTROL!$C$15, $E$9, 100%, $G$9) + CHOOSE(CONTROL!$C$38, 0.0369, 0)</f>
        <v>16.9819</v>
      </c>
      <c r="J125" s="26">
        <f>128.4229</f>
        <v>128.4229</v>
      </c>
    </row>
    <row r="126" spans="1:10" ht="15" x14ac:dyDescent="0.2">
      <c r="A126" s="16">
        <v>45108</v>
      </c>
      <c r="B126" s="10">
        <f>18.2849 * CHOOSE(CONTROL!$C$15, $E$9, 100%, $G$9) + CHOOSE(CONTROL!$C$38, 0.0278, 0)</f>
        <v>18.3127</v>
      </c>
      <c r="C126" s="10">
        <f>16.7385 * CHOOSE(CONTROL!$C$15, $E$9, 100%, $G$9) + CHOOSE(CONTROL!$C$38, 0.0369, 0)</f>
        <v>16.775399999999998</v>
      </c>
      <c r="D126" s="10">
        <f>16.7307 * CHOOSE(CONTROL!$C$15, $E$9, 100%, $G$9) + CHOOSE(CONTROL!$C$38, 0.0369, 0)</f>
        <v>16.767599999999998</v>
      </c>
      <c r="E126" s="28">
        <f>18.1286 * CHOOSE(CONTROL!$C$15, $E$9, 100%, $G$9) + CHOOSE(CONTROL!$C$38, 0.0369, 0)</f>
        <v>18.165499999999998</v>
      </c>
      <c r="F126" s="27">
        <f>18.1286 * CHOOSE(CONTROL!$C$15, $E$9, 100%, $G$9) + CHOOSE(CONTROL!$C$38, 0.0278, 0)</f>
        <v>18.156399999999998</v>
      </c>
      <c r="G126" s="10">
        <f>16.7369 * CHOOSE(CONTROL!$C$15, $E$9, 100%, $G$9) + CHOOSE(CONTROL!$C$38, 0.0369, 0)</f>
        <v>16.773799999999998</v>
      </c>
      <c r="H126" s="10">
        <f>16.7369 * CHOOSE(CONTROL!$C$15, $E$9, 100%, $G$9) + CHOOSE(CONTROL!$C$38, 0.0369, 0)</f>
        <v>16.773799999999998</v>
      </c>
      <c r="I126" s="10">
        <f>16.7385 * CHOOSE(CONTROL!$C$15, $E$9, 100%, $G$9) + CHOOSE(CONTROL!$C$38, 0.0369, 0)</f>
        <v>16.775399999999998</v>
      </c>
      <c r="J126" s="26">
        <f>127.8223</f>
        <v>127.8223</v>
      </c>
    </row>
    <row r="127" spans="1:10" ht="15" x14ac:dyDescent="0.2">
      <c r="A127" s="16">
        <v>45139</v>
      </c>
      <c r="B127" s="10">
        <f>18.3868 * CHOOSE(CONTROL!$C$15, $E$9, 100%, $G$9) + CHOOSE(CONTROL!$C$38, 0.0278, 0)</f>
        <v>18.4146</v>
      </c>
      <c r="C127" s="10">
        <f>16.8404 * CHOOSE(CONTROL!$C$15, $E$9, 100%, $G$9) + CHOOSE(CONTROL!$C$38, 0.0369, 0)</f>
        <v>16.877299999999998</v>
      </c>
      <c r="D127" s="10">
        <f>16.8326 * CHOOSE(CONTROL!$C$15, $E$9, 100%, $G$9) + CHOOSE(CONTROL!$C$38, 0.0369, 0)</f>
        <v>16.869499999999999</v>
      </c>
      <c r="E127" s="28">
        <f>18.2305 * CHOOSE(CONTROL!$C$15, $E$9, 100%, $G$9) + CHOOSE(CONTROL!$C$38, 0.0369, 0)</f>
        <v>18.267399999999999</v>
      </c>
      <c r="F127" s="27">
        <f>18.2305 * CHOOSE(CONTROL!$C$15, $E$9, 100%, $G$9) + CHOOSE(CONTROL!$C$38, 0.0278, 0)</f>
        <v>18.258299999999998</v>
      </c>
      <c r="G127" s="10">
        <f>16.8388 * CHOOSE(CONTROL!$C$15, $E$9, 100%, $G$9) + CHOOSE(CONTROL!$C$38, 0.0369, 0)</f>
        <v>16.875699999999998</v>
      </c>
      <c r="H127" s="10">
        <f>16.8388 * CHOOSE(CONTROL!$C$15, $E$9, 100%, $G$9) + CHOOSE(CONTROL!$C$38, 0.0369, 0)</f>
        <v>16.875699999999998</v>
      </c>
      <c r="I127" s="10">
        <f>16.8404 * CHOOSE(CONTROL!$C$15, $E$9, 100%, $G$9) + CHOOSE(CONTROL!$C$38, 0.0369, 0)</f>
        <v>16.877299999999998</v>
      </c>
      <c r="J127" s="26">
        <f>124.8466</f>
        <v>124.8466</v>
      </c>
    </row>
    <row r="128" spans="1:10" ht="15" x14ac:dyDescent="0.2">
      <c r="A128" s="16">
        <v>45170</v>
      </c>
      <c r="B128" s="10">
        <f>18.6636 * CHOOSE(CONTROL!$C$15, $E$9, 100%, $G$9) + CHOOSE(CONTROL!$C$38, 0.0278, 0)</f>
        <v>18.691399999999998</v>
      </c>
      <c r="C128" s="10">
        <f>17.1172 * CHOOSE(CONTROL!$C$15, $E$9, 100%, $G$9) + CHOOSE(CONTROL!$C$38, 0.0369, 0)</f>
        <v>17.1541</v>
      </c>
      <c r="D128" s="10">
        <f>17.1094 * CHOOSE(CONTROL!$C$15, $E$9, 100%, $G$9) + CHOOSE(CONTROL!$C$38, 0.0369, 0)</f>
        <v>17.1463</v>
      </c>
      <c r="E128" s="28">
        <f>18.5073 * CHOOSE(CONTROL!$C$15, $E$9, 100%, $G$9) + CHOOSE(CONTROL!$C$38, 0.0369, 0)</f>
        <v>18.5442</v>
      </c>
      <c r="F128" s="27">
        <f>18.5073 * CHOOSE(CONTROL!$C$15, $E$9, 100%, $G$9) + CHOOSE(CONTROL!$C$38, 0.0278, 0)</f>
        <v>18.5351</v>
      </c>
      <c r="G128" s="10">
        <f>17.1156 * CHOOSE(CONTROL!$C$15, $E$9, 100%, $G$9) + CHOOSE(CONTROL!$C$38, 0.0369, 0)</f>
        <v>17.1525</v>
      </c>
      <c r="H128" s="10">
        <f>17.1156 * CHOOSE(CONTROL!$C$15, $E$9, 100%, $G$9) + CHOOSE(CONTROL!$C$38, 0.0369, 0)</f>
        <v>17.1525</v>
      </c>
      <c r="I128" s="10">
        <f>17.1172 * CHOOSE(CONTROL!$C$15, $E$9, 100%, $G$9) + CHOOSE(CONTROL!$C$38, 0.0369, 0)</f>
        <v>17.1541</v>
      </c>
      <c r="J128" s="26">
        <f>120.6969</f>
        <v>120.6969</v>
      </c>
    </row>
    <row r="129" spans="1:10" ht="15" x14ac:dyDescent="0.2">
      <c r="A129" s="16">
        <v>45200</v>
      </c>
      <c r="B129" s="10">
        <f>18.8954 * CHOOSE(CONTROL!$C$15, $E$9, 100%, $G$9) + CHOOSE(CONTROL!$C$38, 0.0256, 0)</f>
        <v>18.920999999999999</v>
      </c>
      <c r="C129" s="10">
        <f>17.349 * CHOOSE(CONTROL!$C$15, $E$9, 100%, $G$9) + CHOOSE(CONTROL!$C$38, 0.0347, 0)</f>
        <v>17.383700000000001</v>
      </c>
      <c r="D129" s="10">
        <f>17.3412 * CHOOSE(CONTROL!$C$15, $E$9, 100%, $G$9) + CHOOSE(CONTROL!$C$38, 0.0347, 0)</f>
        <v>17.375900000000001</v>
      </c>
      <c r="E129" s="28">
        <f>18.7392 * CHOOSE(CONTROL!$C$15, $E$9, 100%, $G$9) + CHOOSE(CONTROL!$C$38, 0.0347, 0)</f>
        <v>18.773900000000001</v>
      </c>
      <c r="F129" s="27">
        <f>18.7392 * CHOOSE(CONTROL!$C$15, $E$9, 100%, $G$9) + CHOOSE(CONTROL!$C$38, 0.0256, 0)</f>
        <v>18.764800000000001</v>
      </c>
      <c r="G129" s="10">
        <f>17.3474 * CHOOSE(CONTROL!$C$15, $E$9, 100%, $G$9) + CHOOSE(CONTROL!$C$38, 0.0347, 0)</f>
        <v>17.382100000000001</v>
      </c>
      <c r="H129" s="10">
        <f>17.3474 * CHOOSE(CONTROL!$C$15, $E$9, 100%, $G$9) + CHOOSE(CONTROL!$C$38, 0.0347, 0)</f>
        <v>17.382100000000001</v>
      </c>
      <c r="I129" s="10">
        <f>17.349 * CHOOSE(CONTROL!$C$15, $E$9, 100%, $G$9) + CHOOSE(CONTROL!$C$38, 0.0347, 0)</f>
        <v>17.383700000000001</v>
      </c>
      <c r="J129" s="26">
        <f>116.5231</f>
        <v>116.5231</v>
      </c>
    </row>
    <row r="130" spans="1:10" ht="15" x14ac:dyDescent="0.2">
      <c r="A130" s="16">
        <v>45231</v>
      </c>
      <c r="B130" s="10">
        <f>19.0889 * CHOOSE(CONTROL!$C$15, $E$9, 100%, $G$9) + CHOOSE(CONTROL!$C$38, 0.0256, 0)</f>
        <v>19.1145</v>
      </c>
      <c r="C130" s="10">
        <f>17.5424 * CHOOSE(CONTROL!$C$15, $E$9, 100%, $G$9) + CHOOSE(CONTROL!$C$38, 0.0347, 0)</f>
        <v>17.577100000000002</v>
      </c>
      <c r="D130" s="10">
        <f>17.5346 * CHOOSE(CONTROL!$C$15, $E$9, 100%, $G$9) + CHOOSE(CONTROL!$C$38, 0.0347, 0)</f>
        <v>17.569300000000002</v>
      </c>
      <c r="E130" s="28">
        <f>18.9326 * CHOOSE(CONTROL!$C$15, $E$9, 100%, $G$9) + CHOOSE(CONTROL!$C$38, 0.0347, 0)</f>
        <v>18.967300000000002</v>
      </c>
      <c r="F130" s="27">
        <f>18.9326 * CHOOSE(CONTROL!$C$15, $E$9, 100%, $G$9) + CHOOSE(CONTROL!$C$38, 0.0256, 0)</f>
        <v>18.958200000000001</v>
      </c>
      <c r="G130" s="10">
        <f>17.5409 * CHOOSE(CONTROL!$C$15, $E$9, 100%, $G$9) + CHOOSE(CONTROL!$C$38, 0.0347, 0)</f>
        <v>17.575600000000001</v>
      </c>
      <c r="H130" s="10">
        <f>17.5409 * CHOOSE(CONTROL!$C$15, $E$9, 100%, $G$9) + CHOOSE(CONTROL!$C$38, 0.0347, 0)</f>
        <v>17.575600000000001</v>
      </c>
      <c r="I130" s="10">
        <f>17.5424 * CHOOSE(CONTROL!$C$15, $E$9, 100%, $G$9) + CHOOSE(CONTROL!$C$38, 0.0347, 0)</f>
        <v>17.577100000000002</v>
      </c>
      <c r="J130" s="26">
        <f>115.6928</f>
        <v>115.69280000000001</v>
      </c>
    </row>
    <row r="131" spans="1:10" ht="15" x14ac:dyDescent="0.2">
      <c r="A131" s="16">
        <v>45261</v>
      </c>
      <c r="B131" s="10">
        <f>19.6849 * CHOOSE(CONTROL!$C$15, $E$9, 100%, $G$9) + CHOOSE(CONTROL!$C$38, 0.0256, 0)</f>
        <v>19.7105</v>
      </c>
      <c r="C131" s="10">
        <f>18.1385 * CHOOSE(CONTROL!$C$15, $E$9, 100%, $G$9) + CHOOSE(CONTROL!$C$38, 0.0347, 0)</f>
        <v>18.173200000000001</v>
      </c>
      <c r="D131" s="10">
        <f>18.1307 * CHOOSE(CONTROL!$C$15, $E$9, 100%, $G$9) + CHOOSE(CONTROL!$C$38, 0.0347, 0)</f>
        <v>18.165400000000002</v>
      </c>
      <c r="E131" s="28">
        <f>19.5287 * CHOOSE(CONTROL!$C$15, $E$9, 100%, $G$9) + CHOOSE(CONTROL!$C$38, 0.0347, 0)</f>
        <v>19.563400000000001</v>
      </c>
      <c r="F131" s="27">
        <f>19.5287 * CHOOSE(CONTROL!$C$15, $E$9, 100%, $G$9) + CHOOSE(CONTROL!$C$38, 0.0256, 0)</f>
        <v>19.554300000000001</v>
      </c>
      <c r="G131" s="10">
        <f>18.137 * CHOOSE(CONTROL!$C$15, $E$9, 100%, $G$9) + CHOOSE(CONTROL!$C$38, 0.0347, 0)</f>
        <v>18.171700000000001</v>
      </c>
      <c r="H131" s="10">
        <f>18.137 * CHOOSE(CONTROL!$C$15, $E$9, 100%, $G$9) + CHOOSE(CONTROL!$C$38, 0.0347, 0)</f>
        <v>18.171700000000001</v>
      </c>
      <c r="I131" s="10">
        <f>18.1385 * CHOOSE(CONTROL!$C$15, $E$9, 100%, $G$9) + CHOOSE(CONTROL!$C$38, 0.0347, 0)</f>
        <v>18.173200000000001</v>
      </c>
      <c r="J131" s="26">
        <f>112.2597</f>
        <v>112.2597</v>
      </c>
    </row>
    <row r="132" spans="1:10" ht="15" x14ac:dyDescent="0.2">
      <c r="A132" s="16">
        <v>45292</v>
      </c>
      <c r="B132" s="10">
        <f>20.9828 * CHOOSE(CONTROL!$C$15, $E$9, 100%, $G$9) + CHOOSE(CONTROL!$C$38, 0.0256, 0)</f>
        <v>21.008400000000002</v>
      </c>
      <c r="C132" s="10">
        <f>19.2599 * CHOOSE(CONTROL!$C$15, $E$9, 100%, $G$9) + CHOOSE(CONTROL!$C$38, 0.0347, 0)</f>
        <v>19.294599999999999</v>
      </c>
      <c r="D132" s="10">
        <f>19.2521 * CHOOSE(CONTROL!$C$15, $E$9, 100%, $G$9) + CHOOSE(CONTROL!$C$38, 0.0347, 0)</f>
        <v>19.286799999999999</v>
      </c>
      <c r="E132" s="28">
        <f>20.8265 * CHOOSE(CONTROL!$C$15, $E$9, 100%, $G$9) + CHOOSE(CONTROL!$C$38, 0.0347, 0)</f>
        <v>20.8612</v>
      </c>
      <c r="F132" s="27">
        <f>20.8265 * CHOOSE(CONTROL!$C$15, $E$9, 100%, $G$9) + CHOOSE(CONTROL!$C$38, 0.0256, 0)</f>
        <v>20.8521</v>
      </c>
      <c r="G132" s="10">
        <f>19.2584 * CHOOSE(CONTROL!$C$15, $E$9, 100%, $G$9) + CHOOSE(CONTROL!$C$38, 0.0347, 0)</f>
        <v>19.293100000000003</v>
      </c>
      <c r="H132" s="10">
        <f>19.2584 * CHOOSE(CONTROL!$C$15, $E$9, 100%, $G$9) + CHOOSE(CONTROL!$C$38, 0.0347, 0)</f>
        <v>19.293100000000003</v>
      </c>
      <c r="I132" s="10">
        <f>19.2599 * CHOOSE(CONTROL!$C$15, $E$9, 100%, $G$9) + CHOOSE(CONTROL!$C$38, 0.0347, 0)</f>
        <v>19.294599999999999</v>
      </c>
      <c r="J132" s="26">
        <f>114.0833</f>
        <v>114.08329999999999</v>
      </c>
    </row>
    <row r="133" spans="1:10" ht="15" x14ac:dyDescent="0.2">
      <c r="A133" s="16">
        <v>45323</v>
      </c>
      <c r="B133" s="10">
        <f>21.2035 * CHOOSE(CONTROL!$C$15, $E$9, 100%, $G$9) + CHOOSE(CONTROL!$C$38, 0.0256, 0)</f>
        <v>21.229099999999999</v>
      </c>
      <c r="C133" s="10">
        <f>19.4807 * CHOOSE(CONTROL!$C$15, $E$9, 100%, $G$9) + CHOOSE(CONTROL!$C$38, 0.0347, 0)</f>
        <v>19.5154</v>
      </c>
      <c r="D133" s="10">
        <f>19.4729 * CHOOSE(CONTROL!$C$15, $E$9, 100%, $G$9) + CHOOSE(CONTROL!$C$38, 0.0347, 0)</f>
        <v>19.5076</v>
      </c>
      <c r="E133" s="28">
        <f>21.0473 * CHOOSE(CONTROL!$C$15, $E$9, 100%, $G$9) + CHOOSE(CONTROL!$C$38, 0.0347, 0)</f>
        <v>21.082000000000001</v>
      </c>
      <c r="F133" s="27">
        <f>21.0473 * CHOOSE(CONTROL!$C$15, $E$9, 100%, $G$9) + CHOOSE(CONTROL!$C$38, 0.0256, 0)</f>
        <v>21.072900000000001</v>
      </c>
      <c r="G133" s="10">
        <f>19.4791 * CHOOSE(CONTROL!$C$15, $E$9, 100%, $G$9) + CHOOSE(CONTROL!$C$38, 0.0347, 0)</f>
        <v>19.5138</v>
      </c>
      <c r="H133" s="10">
        <f>19.4791 * CHOOSE(CONTROL!$C$15, $E$9, 100%, $G$9) + CHOOSE(CONTROL!$C$38, 0.0347, 0)</f>
        <v>19.5138</v>
      </c>
      <c r="I133" s="10">
        <f>19.4807 * CHOOSE(CONTROL!$C$15, $E$9, 100%, $G$9) + CHOOSE(CONTROL!$C$38, 0.0347, 0)</f>
        <v>19.5154</v>
      </c>
      <c r="J133" s="26">
        <f>113.7662</f>
        <v>113.7662</v>
      </c>
    </row>
    <row r="134" spans="1:10" ht="15" x14ac:dyDescent="0.2">
      <c r="A134" s="16">
        <v>45352</v>
      </c>
      <c r="B134" s="10">
        <f>20.6925 * CHOOSE(CONTROL!$C$15, $E$9, 100%, $G$9) + CHOOSE(CONTROL!$C$38, 0.0256, 0)</f>
        <v>20.7181</v>
      </c>
      <c r="C134" s="10">
        <f>18.9697 * CHOOSE(CONTROL!$C$15, $E$9, 100%, $G$9) + CHOOSE(CONTROL!$C$38, 0.0347, 0)</f>
        <v>19.0044</v>
      </c>
      <c r="D134" s="10">
        <f>18.9618 * CHOOSE(CONTROL!$C$15, $E$9, 100%, $G$9) + CHOOSE(CONTROL!$C$38, 0.0347, 0)</f>
        <v>18.996500000000001</v>
      </c>
      <c r="E134" s="28">
        <f>20.5363 * CHOOSE(CONTROL!$C$15, $E$9, 100%, $G$9) + CHOOSE(CONTROL!$C$38, 0.0347, 0)</f>
        <v>20.571000000000002</v>
      </c>
      <c r="F134" s="27">
        <f>20.5363 * CHOOSE(CONTROL!$C$15, $E$9, 100%, $G$9) + CHOOSE(CONTROL!$C$38, 0.0256, 0)</f>
        <v>20.561900000000001</v>
      </c>
      <c r="G134" s="10">
        <f>18.9681 * CHOOSE(CONTROL!$C$15, $E$9, 100%, $G$9) + CHOOSE(CONTROL!$C$38, 0.0347, 0)</f>
        <v>19.002800000000001</v>
      </c>
      <c r="H134" s="10">
        <f>18.9681 * CHOOSE(CONTROL!$C$15, $E$9, 100%, $G$9) + CHOOSE(CONTROL!$C$38, 0.0347, 0)</f>
        <v>19.002800000000001</v>
      </c>
      <c r="I134" s="10">
        <f>18.9697 * CHOOSE(CONTROL!$C$15, $E$9, 100%, $G$9) + CHOOSE(CONTROL!$C$38, 0.0347, 0)</f>
        <v>19.0044</v>
      </c>
      <c r="J134" s="26">
        <f>119.7624</f>
        <v>119.7624</v>
      </c>
    </row>
    <row r="135" spans="1:10" ht="15" x14ac:dyDescent="0.2">
      <c r="A135" s="16">
        <v>45383</v>
      </c>
      <c r="B135" s="10">
        <f>20.1973 * CHOOSE(CONTROL!$C$15, $E$9, 100%, $G$9) + CHOOSE(CONTROL!$C$38, 0.0256, 0)</f>
        <v>20.222899999999999</v>
      </c>
      <c r="C135" s="10">
        <f>18.4745 * CHOOSE(CONTROL!$C$15, $E$9, 100%, $G$9) + CHOOSE(CONTROL!$C$38, 0.0347, 0)</f>
        <v>18.5092</v>
      </c>
      <c r="D135" s="10">
        <f>18.4667 * CHOOSE(CONTROL!$C$15, $E$9, 100%, $G$9) + CHOOSE(CONTROL!$C$38, 0.0347, 0)</f>
        <v>18.5014</v>
      </c>
      <c r="E135" s="28">
        <f>20.0411 * CHOOSE(CONTROL!$C$15, $E$9, 100%, $G$9) + CHOOSE(CONTROL!$C$38, 0.0347, 0)</f>
        <v>20.075800000000001</v>
      </c>
      <c r="F135" s="27">
        <f>20.0411 * CHOOSE(CONTROL!$C$15, $E$9, 100%, $G$9) + CHOOSE(CONTROL!$C$38, 0.0256, 0)</f>
        <v>20.066700000000001</v>
      </c>
      <c r="G135" s="10">
        <f>18.4729 * CHOOSE(CONTROL!$C$15, $E$9, 100%, $G$9) + CHOOSE(CONTROL!$C$38, 0.0347, 0)</f>
        <v>18.5076</v>
      </c>
      <c r="H135" s="10">
        <f>18.4729 * CHOOSE(CONTROL!$C$15, $E$9, 100%, $G$9) + CHOOSE(CONTROL!$C$38, 0.0347, 0)</f>
        <v>18.5076</v>
      </c>
      <c r="I135" s="10">
        <f>18.4745 * CHOOSE(CONTROL!$C$15, $E$9, 100%, $G$9) + CHOOSE(CONTROL!$C$38, 0.0347, 0)</f>
        <v>18.5092</v>
      </c>
      <c r="J135" s="26">
        <f>127.5379</f>
        <v>127.53789999999999</v>
      </c>
    </row>
    <row r="136" spans="1:10" ht="15" x14ac:dyDescent="0.2">
      <c r="A136" s="16">
        <v>45413</v>
      </c>
      <c r="B136" s="10">
        <f>19.6812 * CHOOSE(CONTROL!$C$15, $E$9, 100%, $G$9) + CHOOSE(CONTROL!$C$38, 0.0278, 0)</f>
        <v>19.709</v>
      </c>
      <c r="C136" s="10">
        <f>17.9584 * CHOOSE(CONTROL!$C$15, $E$9, 100%, $G$9) + CHOOSE(CONTROL!$C$38, 0.0369, 0)</f>
        <v>17.9953</v>
      </c>
      <c r="D136" s="10">
        <f>17.9505 * CHOOSE(CONTROL!$C$15, $E$9, 100%, $G$9) + CHOOSE(CONTROL!$C$38, 0.0369, 0)</f>
        <v>17.987400000000001</v>
      </c>
      <c r="E136" s="28">
        <f>19.525 * CHOOSE(CONTROL!$C$15, $E$9, 100%, $G$9) + CHOOSE(CONTROL!$C$38, 0.0369, 0)</f>
        <v>19.561899999999998</v>
      </c>
      <c r="F136" s="27">
        <f>19.525 * CHOOSE(CONTROL!$C$15, $E$9, 100%, $G$9) + CHOOSE(CONTROL!$C$38, 0.0278, 0)</f>
        <v>19.552799999999998</v>
      </c>
      <c r="G136" s="10">
        <f>17.9568 * CHOOSE(CONTROL!$C$15, $E$9, 100%, $G$9) + CHOOSE(CONTROL!$C$38, 0.0369, 0)</f>
        <v>17.9937</v>
      </c>
      <c r="H136" s="10">
        <f>17.9568 * CHOOSE(CONTROL!$C$15, $E$9, 100%, $G$9) + CHOOSE(CONTROL!$C$38, 0.0369, 0)</f>
        <v>17.9937</v>
      </c>
      <c r="I136" s="10">
        <f>17.9584 * CHOOSE(CONTROL!$C$15, $E$9, 100%, $G$9) + CHOOSE(CONTROL!$C$38, 0.0369, 0)</f>
        <v>17.9953</v>
      </c>
      <c r="J136" s="26">
        <f>131.8179</f>
        <v>131.81790000000001</v>
      </c>
    </row>
    <row r="137" spans="1:10" ht="15" x14ac:dyDescent="0.2">
      <c r="A137" s="16">
        <v>45444</v>
      </c>
      <c r="B137" s="10">
        <f>19.3194 * CHOOSE(CONTROL!$C$15, $E$9, 100%, $G$9) + CHOOSE(CONTROL!$C$38, 0.0278, 0)</f>
        <v>19.347200000000001</v>
      </c>
      <c r="C137" s="10">
        <f>17.5965 * CHOOSE(CONTROL!$C$15, $E$9, 100%, $G$9) + CHOOSE(CONTROL!$C$38, 0.0369, 0)</f>
        <v>17.633399999999998</v>
      </c>
      <c r="D137" s="10">
        <f>17.5887 * CHOOSE(CONTROL!$C$15, $E$9, 100%, $G$9) + CHOOSE(CONTROL!$C$38, 0.0369, 0)</f>
        <v>17.625599999999999</v>
      </c>
      <c r="E137" s="28">
        <f>19.1631 * CHOOSE(CONTROL!$C$15, $E$9, 100%, $G$9) + CHOOSE(CONTROL!$C$38, 0.0369, 0)</f>
        <v>19.2</v>
      </c>
      <c r="F137" s="27">
        <f>19.1631 * CHOOSE(CONTROL!$C$15, $E$9, 100%, $G$9) + CHOOSE(CONTROL!$C$38, 0.0278, 0)</f>
        <v>19.190899999999999</v>
      </c>
      <c r="G137" s="10">
        <f>17.595 * CHOOSE(CONTROL!$C$15, $E$9, 100%, $G$9) + CHOOSE(CONTROL!$C$38, 0.0369, 0)</f>
        <v>17.631899999999998</v>
      </c>
      <c r="H137" s="10">
        <f>17.595 * CHOOSE(CONTROL!$C$15, $E$9, 100%, $G$9) + CHOOSE(CONTROL!$C$38, 0.0369, 0)</f>
        <v>17.631899999999998</v>
      </c>
      <c r="I137" s="10">
        <f>17.5965 * CHOOSE(CONTROL!$C$15, $E$9, 100%, $G$9) + CHOOSE(CONTROL!$C$38, 0.0369, 0)</f>
        <v>17.633399999999998</v>
      </c>
      <c r="J137" s="26">
        <f>133.7172</f>
        <v>133.71719999999999</v>
      </c>
    </row>
    <row r="138" spans="1:10" ht="15" x14ac:dyDescent="0.2">
      <c r="A138" s="16">
        <v>45474</v>
      </c>
      <c r="B138" s="10">
        <f>19.1129 * CHOOSE(CONTROL!$C$15, $E$9, 100%, $G$9) + CHOOSE(CONTROL!$C$38, 0.0278, 0)</f>
        <v>19.140699999999999</v>
      </c>
      <c r="C138" s="10">
        <f>17.39 * CHOOSE(CONTROL!$C$15, $E$9, 100%, $G$9) + CHOOSE(CONTROL!$C$38, 0.0369, 0)</f>
        <v>17.4269</v>
      </c>
      <c r="D138" s="10">
        <f>17.3822 * CHOOSE(CONTROL!$C$15, $E$9, 100%, $G$9) + CHOOSE(CONTROL!$C$38, 0.0369, 0)</f>
        <v>17.4191</v>
      </c>
      <c r="E138" s="28">
        <f>18.9566 * CHOOSE(CONTROL!$C$15, $E$9, 100%, $G$9) + CHOOSE(CONTROL!$C$38, 0.0369, 0)</f>
        <v>18.993500000000001</v>
      </c>
      <c r="F138" s="27">
        <f>18.9566 * CHOOSE(CONTROL!$C$15, $E$9, 100%, $G$9) + CHOOSE(CONTROL!$C$38, 0.0278, 0)</f>
        <v>18.984400000000001</v>
      </c>
      <c r="G138" s="10">
        <f>17.3885 * CHOOSE(CONTROL!$C$15, $E$9, 100%, $G$9) + CHOOSE(CONTROL!$C$38, 0.0369, 0)</f>
        <v>17.4254</v>
      </c>
      <c r="H138" s="10">
        <f>17.3885 * CHOOSE(CONTROL!$C$15, $E$9, 100%, $G$9) + CHOOSE(CONTROL!$C$38, 0.0369, 0)</f>
        <v>17.4254</v>
      </c>
      <c r="I138" s="10">
        <f>17.39 * CHOOSE(CONTROL!$C$15, $E$9, 100%, $G$9) + CHOOSE(CONTROL!$C$38, 0.0369, 0)</f>
        <v>17.4269</v>
      </c>
      <c r="J138" s="26">
        <f>133.0919</f>
        <v>133.09190000000001</v>
      </c>
    </row>
    <row r="139" spans="1:10" ht="15" x14ac:dyDescent="0.2">
      <c r="A139" s="16">
        <v>45505</v>
      </c>
      <c r="B139" s="10">
        <f>19.2148 * CHOOSE(CONTROL!$C$15, $E$9, 100%, $G$9) + CHOOSE(CONTROL!$C$38, 0.0278, 0)</f>
        <v>19.242599999999999</v>
      </c>
      <c r="C139" s="10">
        <f>17.4919 * CHOOSE(CONTROL!$C$15, $E$9, 100%, $G$9) + CHOOSE(CONTROL!$C$38, 0.0369, 0)</f>
        <v>17.5288</v>
      </c>
      <c r="D139" s="10">
        <f>17.4841 * CHOOSE(CONTROL!$C$15, $E$9, 100%, $G$9) + CHOOSE(CONTROL!$C$38, 0.0369, 0)</f>
        <v>17.521000000000001</v>
      </c>
      <c r="E139" s="28">
        <f>19.0585 * CHOOSE(CONTROL!$C$15, $E$9, 100%, $G$9) + CHOOSE(CONTROL!$C$38, 0.0369, 0)</f>
        <v>19.095399999999998</v>
      </c>
      <c r="F139" s="27">
        <f>19.0585 * CHOOSE(CONTROL!$C$15, $E$9, 100%, $G$9) + CHOOSE(CONTROL!$C$38, 0.0278, 0)</f>
        <v>19.086299999999998</v>
      </c>
      <c r="G139" s="10">
        <f>17.4904 * CHOOSE(CONTROL!$C$15, $E$9, 100%, $G$9) + CHOOSE(CONTROL!$C$38, 0.0369, 0)</f>
        <v>17.5273</v>
      </c>
      <c r="H139" s="10">
        <f>17.4904 * CHOOSE(CONTROL!$C$15, $E$9, 100%, $G$9) + CHOOSE(CONTROL!$C$38, 0.0369, 0)</f>
        <v>17.5273</v>
      </c>
      <c r="I139" s="10">
        <f>17.4919 * CHOOSE(CONTROL!$C$15, $E$9, 100%, $G$9) + CHOOSE(CONTROL!$C$38, 0.0369, 0)</f>
        <v>17.5288</v>
      </c>
      <c r="J139" s="26">
        <f>129.9935</f>
        <v>129.99350000000001</v>
      </c>
    </row>
    <row r="140" spans="1:10" ht="15" x14ac:dyDescent="0.2">
      <c r="A140" s="16">
        <v>45536</v>
      </c>
      <c r="B140" s="10">
        <f>19.4916 * CHOOSE(CONTROL!$C$15, $E$9, 100%, $G$9) + CHOOSE(CONTROL!$C$38, 0.0278, 0)</f>
        <v>19.519399999999997</v>
      </c>
      <c r="C140" s="10">
        <f>17.7687 * CHOOSE(CONTROL!$C$15, $E$9, 100%, $G$9) + CHOOSE(CONTROL!$C$38, 0.0369, 0)</f>
        <v>17.805599999999998</v>
      </c>
      <c r="D140" s="10">
        <f>17.7609 * CHOOSE(CONTROL!$C$15, $E$9, 100%, $G$9) + CHOOSE(CONTROL!$C$38, 0.0369, 0)</f>
        <v>17.797799999999999</v>
      </c>
      <c r="E140" s="28">
        <f>19.3353 * CHOOSE(CONTROL!$C$15, $E$9, 100%, $G$9) + CHOOSE(CONTROL!$C$38, 0.0369, 0)</f>
        <v>19.372199999999999</v>
      </c>
      <c r="F140" s="27">
        <f>19.3353 * CHOOSE(CONTROL!$C$15, $E$9, 100%, $G$9) + CHOOSE(CONTROL!$C$38, 0.0278, 0)</f>
        <v>19.363099999999999</v>
      </c>
      <c r="G140" s="10">
        <f>17.7672 * CHOOSE(CONTROL!$C$15, $E$9, 100%, $G$9) + CHOOSE(CONTROL!$C$38, 0.0369, 0)</f>
        <v>17.804099999999998</v>
      </c>
      <c r="H140" s="10">
        <f>17.7672 * CHOOSE(CONTROL!$C$15, $E$9, 100%, $G$9) + CHOOSE(CONTROL!$C$38, 0.0369, 0)</f>
        <v>17.804099999999998</v>
      </c>
      <c r="I140" s="10">
        <f>17.7687 * CHOOSE(CONTROL!$C$15, $E$9, 100%, $G$9) + CHOOSE(CONTROL!$C$38, 0.0369, 0)</f>
        <v>17.805599999999998</v>
      </c>
      <c r="J140" s="26">
        <f>125.6728</f>
        <v>125.6728</v>
      </c>
    </row>
    <row r="141" spans="1:10" ht="15" x14ac:dyDescent="0.2">
      <c r="A141" s="16">
        <v>45566</v>
      </c>
      <c r="B141" s="10">
        <f>19.7234 * CHOOSE(CONTROL!$C$15, $E$9, 100%, $G$9) + CHOOSE(CONTROL!$C$38, 0.0256, 0)</f>
        <v>19.749000000000002</v>
      </c>
      <c r="C141" s="10">
        <f>18.0006 * CHOOSE(CONTROL!$C$15, $E$9, 100%, $G$9) + CHOOSE(CONTROL!$C$38, 0.0347, 0)</f>
        <v>18.035299999999999</v>
      </c>
      <c r="D141" s="10">
        <f>17.9928 * CHOOSE(CONTROL!$C$15, $E$9, 100%, $G$9) + CHOOSE(CONTROL!$C$38, 0.0347, 0)</f>
        <v>18.0275</v>
      </c>
      <c r="E141" s="28">
        <f>19.5672 * CHOOSE(CONTROL!$C$15, $E$9, 100%, $G$9) + CHOOSE(CONTROL!$C$38, 0.0347, 0)</f>
        <v>19.601900000000001</v>
      </c>
      <c r="F141" s="27">
        <f>19.5672 * CHOOSE(CONTROL!$C$15, $E$9, 100%, $G$9) + CHOOSE(CONTROL!$C$38, 0.0256, 0)</f>
        <v>19.5928</v>
      </c>
      <c r="G141" s="10">
        <f>17.999 * CHOOSE(CONTROL!$C$15, $E$9, 100%, $G$9) + CHOOSE(CONTROL!$C$38, 0.0347, 0)</f>
        <v>18.0337</v>
      </c>
      <c r="H141" s="10">
        <f>17.999 * CHOOSE(CONTROL!$C$15, $E$9, 100%, $G$9) + CHOOSE(CONTROL!$C$38, 0.0347, 0)</f>
        <v>18.0337</v>
      </c>
      <c r="I141" s="10">
        <f>18.0006 * CHOOSE(CONTROL!$C$15, $E$9, 100%, $G$9) + CHOOSE(CONTROL!$C$38, 0.0347, 0)</f>
        <v>18.035299999999999</v>
      </c>
      <c r="J141" s="26">
        <f>121.3269</f>
        <v>121.32689999999999</v>
      </c>
    </row>
    <row r="142" spans="1:10" ht="15" x14ac:dyDescent="0.2">
      <c r="A142" s="16">
        <v>45597</v>
      </c>
      <c r="B142" s="10">
        <f>19.9169 * CHOOSE(CONTROL!$C$15, $E$9, 100%, $G$9) + CHOOSE(CONTROL!$C$38, 0.0256, 0)</f>
        <v>19.942499999999999</v>
      </c>
      <c r="C142" s="10">
        <f>18.194 * CHOOSE(CONTROL!$C$15, $E$9, 100%, $G$9) + CHOOSE(CONTROL!$C$38, 0.0347, 0)</f>
        <v>18.2287</v>
      </c>
      <c r="D142" s="10">
        <f>18.1862 * CHOOSE(CONTROL!$C$15, $E$9, 100%, $G$9) + CHOOSE(CONTROL!$C$38, 0.0347, 0)</f>
        <v>18.2209</v>
      </c>
      <c r="E142" s="28">
        <f>19.7606 * CHOOSE(CONTROL!$C$15, $E$9, 100%, $G$9) + CHOOSE(CONTROL!$C$38, 0.0347, 0)</f>
        <v>19.795300000000001</v>
      </c>
      <c r="F142" s="27">
        <f>19.7606 * CHOOSE(CONTROL!$C$15, $E$9, 100%, $G$9) + CHOOSE(CONTROL!$C$38, 0.0256, 0)</f>
        <v>19.786200000000001</v>
      </c>
      <c r="G142" s="10">
        <f>18.1924 * CHOOSE(CONTROL!$C$15, $E$9, 100%, $G$9) + CHOOSE(CONTROL!$C$38, 0.0347, 0)</f>
        <v>18.2271</v>
      </c>
      <c r="H142" s="10">
        <f>18.1924 * CHOOSE(CONTROL!$C$15, $E$9, 100%, $G$9) + CHOOSE(CONTROL!$C$38, 0.0347, 0)</f>
        <v>18.2271</v>
      </c>
      <c r="I142" s="10">
        <f>18.194 * CHOOSE(CONTROL!$C$15, $E$9, 100%, $G$9) + CHOOSE(CONTROL!$C$38, 0.0347, 0)</f>
        <v>18.2287</v>
      </c>
      <c r="J142" s="26">
        <f>120.4624</f>
        <v>120.4624</v>
      </c>
    </row>
    <row r="143" spans="1:10" ht="15" x14ac:dyDescent="0.2">
      <c r="A143" s="16">
        <v>45627</v>
      </c>
      <c r="B143" s="10">
        <f>20.5129 * CHOOSE(CONTROL!$C$15, $E$9, 100%, $G$9) + CHOOSE(CONTROL!$C$38, 0.0256, 0)</f>
        <v>20.538499999999999</v>
      </c>
      <c r="C143" s="10">
        <f>18.7901 * CHOOSE(CONTROL!$C$15, $E$9, 100%, $G$9) + CHOOSE(CONTROL!$C$38, 0.0347, 0)</f>
        <v>18.8248</v>
      </c>
      <c r="D143" s="10">
        <f>18.7823 * CHOOSE(CONTROL!$C$15, $E$9, 100%, $G$9) + CHOOSE(CONTROL!$C$38, 0.0347, 0)</f>
        <v>18.817</v>
      </c>
      <c r="E143" s="28">
        <f>20.3567 * CHOOSE(CONTROL!$C$15, $E$9, 100%, $G$9) + CHOOSE(CONTROL!$C$38, 0.0347, 0)</f>
        <v>20.391400000000001</v>
      </c>
      <c r="F143" s="27">
        <f>20.3567 * CHOOSE(CONTROL!$C$15, $E$9, 100%, $G$9) + CHOOSE(CONTROL!$C$38, 0.0256, 0)</f>
        <v>20.382300000000001</v>
      </c>
      <c r="G143" s="10">
        <f>18.7885 * CHOOSE(CONTROL!$C$15, $E$9, 100%, $G$9) + CHOOSE(CONTROL!$C$38, 0.0347, 0)</f>
        <v>18.8232</v>
      </c>
      <c r="H143" s="10">
        <f>18.7885 * CHOOSE(CONTROL!$C$15, $E$9, 100%, $G$9) + CHOOSE(CONTROL!$C$38, 0.0347, 0)</f>
        <v>18.8232</v>
      </c>
      <c r="I143" s="10">
        <f>18.7901 * CHOOSE(CONTROL!$C$15, $E$9, 100%, $G$9) + CHOOSE(CONTROL!$C$38, 0.0347, 0)</f>
        <v>18.8248</v>
      </c>
      <c r="J143" s="26">
        <f>116.8877</f>
        <v>116.8877</v>
      </c>
    </row>
    <row r="144" spans="1:10" ht="15" x14ac:dyDescent="0.2">
      <c r="A144" s="16">
        <v>45658</v>
      </c>
      <c r="B144" s="10">
        <f>21.87 * CHOOSE(CONTROL!$C$15, $E$9, 100%, $G$9) + CHOOSE(CONTROL!$C$38, 0.0256, 0)</f>
        <v>21.895600000000002</v>
      </c>
      <c r="C144" s="10">
        <f>19.9693 * CHOOSE(CONTROL!$C$15, $E$9, 100%, $G$9) + CHOOSE(CONTROL!$C$38, 0.0347, 0)</f>
        <v>20.004000000000001</v>
      </c>
      <c r="D144" s="10">
        <f>19.9615 * CHOOSE(CONTROL!$C$15, $E$9, 100%, $G$9) + CHOOSE(CONTROL!$C$38, 0.0347, 0)</f>
        <v>19.996200000000002</v>
      </c>
      <c r="E144" s="28">
        <f>21.7138 * CHOOSE(CONTROL!$C$15, $E$9, 100%, $G$9) + CHOOSE(CONTROL!$C$38, 0.0347, 0)</f>
        <v>21.7485</v>
      </c>
      <c r="F144" s="27">
        <f>21.7138 * CHOOSE(CONTROL!$C$15, $E$9, 100%, $G$9) + CHOOSE(CONTROL!$C$38, 0.0256, 0)</f>
        <v>21.7394</v>
      </c>
      <c r="G144" s="10">
        <f>19.9677 * CHOOSE(CONTROL!$C$15, $E$9, 100%, $G$9) + CHOOSE(CONTROL!$C$38, 0.0347, 0)</f>
        <v>20.002400000000002</v>
      </c>
      <c r="H144" s="10">
        <f>19.9677 * CHOOSE(CONTROL!$C$15, $E$9, 100%, $G$9) + CHOOSE(CONTROL!$C$38, 0.0347, 0)</f>
        <v>20.002400000000002</v>
      </c>
      <c r="I144" s="10">
        <f>19.9693 * CHOOSE(CONTROL!$C$15, $E$9, 100%, $G$9) + CHOOSE(CONTROL!$C$38, 0.0347, 0)</f>
        <v>20.004000000000001</v>
      </c>
      <c r="J144" s="26">
        <f>118.7751</f>
        <v>118.77509999999999</v>
      </c>
    </row>
    <row r="145" spans="1:10" ht="15" x14ac:dyDescent="0.2">
      <c r="A145" s="16">
        <v>45689</v>
      </c>
      <c r="B145" s="10">
        <f>22.0908 * CHOOSE(CONTROL!$C$15, $E$9, 100%, $G$9) + CHOOSE(CONTROL!$C$38, 0.0256, 0)</f>
        <v>22.116400000000002</v>
      </c>
      <c r="C145" s="10">
        <f>20.1901 * CHOOSE(CONTROL!$C$15, $E$9, 100%, $G$9) + CHOOSE(CONTROL!$C$38, 0.0347, 0)</f>
        <v>20.224800000000002</v>
      </c>
      <c r="D145" s="10">
        <f>20.1822 * CHOOSE(CONTROL!$C$15, $E$9, 100%, $G$9) + CHOOSE(CONTROL!$C$38, 0.0347, 0)</f>
        <v>20.216900000000003</v>
      </c>
      <c r="E145" s="28">
        <f>21.9346 * CHOOSE(CONTROL!$C$15, $E$9, 100%, $G$9) + CHOOSE(CONTROL!$C$38, 0.0347, 0)</f>
        <v>21.9693</v>
      </c>
      <c r="F145" s="27">
        <f>21.9346 * CHOOSE(CONTROL!$C$15, $E$9, 100%, $G$9) + CHOOSE(CONTROL!$C$38, 0.0256, 0)</f>
        <v>21.9602</v>
      </c>
      <c r="G145" s="10">
        <f>20.1885 * CHOOSE(CONTROL!$C$15, $E$9, 100%, $G$9) + CHOOSE(CONTROL!$C$38, 0.0347, 0)</f>
        <v>20.223200000000002</v>
      </c>
      <c r="H145" s="10">
        <f>20.1885 * CHOOSE(CONTROL!$C$15, $E$9, 100%, $G$9) + CHOOSE(CONTROL!$C$38, 0.0347, 0)</f>
        <v>20.223200000000002</v>
      </c>
      <c r="I145" s="10">
        <f>20.1901 * CHOOSE(CONTROL!$C$15, $E$9, 100%, $G$9) + CHOOSE(CONTROL!$C$38, 0.0347, 0)</f>
        <v>20.224800000000002</v>
      </c>
      <c r="J145" s="26">
        <f>118.445</f>
        <v>118.44499999999999</v>
      </c>
    </row>
    <row r="146" spans="1:10" ht="15" x14ac:dyDescent="0.2">
      <c r="A146" s="16">
        <v>45717</v>
      </c>
      <c r="B146" s="10">
        <f>21.5798 * CHOOSE(CONTROL!$C$15, $E$9, 100%, $G$9) + CHOOSE(CONTROL!$C$38, 0.0256, 0)</f>
        <v>21.605399999999999</v>
      </c>
      <c r="C146" s="10">
        <f>19.679 * CHOOSE(CONTROL!$C$15, $E$9, 100%, $G$9) + CHOOSE(CONTROL!$C$38, 0.0347, 0)</f>
        <v>19.713699999999999</v>
      </c>
      <c r="D146" s="10">
        <f>19.6712 * CHOOSE(CONTROL!$C$15, $E$9, 100%, $G$9) + CHOOSE(CONTROL!$C$38, 0.0347, 0)</f>
        <v>19.7059</v>
      </c>
      <c r="E146" s="28">
        <f>21.4235 * CHOOSE(CONTROL!$C$15, $E$9, 100%, $G$9) + CHOOSE(CONTROL!$C$38, 0.0347, 0)</f>
        <v>21.458200000000001</v>
      </c>
      <c r="F146" s="27">
        <f>21.4235 * CHOOSE(CONTROL!$C$15, $E$9, 100%, $G$9) + CHOOSE(CONTROL!$C$38, 0.0256, 0)</f>
        <v>21.449100000000001</v>
      </c>
      <c r="G146" s="10">
        <f>19.6775 * CHOOSE(CONTROL!$C$15, $E$9, 100%, $G$9) + CHOOSE(CONTROL!$C$38, 0.0347, 0)</f>
        <v>19.712199999999999</v>
      </c>
      <c r="H146" s="10">
        <f>19.6775 * CHOOSE(CONTROL!$C$15, $E$9, 100%, $G$9) + CHOOSE(CONTROL!$C$38, 0.0347, 0)</f>
        <v>19.712199999999999</v>
      </c>
      <c r="I146" s="10">
        <f>19.679 * CHOOSE(CONTROL!$C$15, $E$9, 100%, $G$9) + CHOOSE(CONTROL!$C$38, 0.0347, 0)</f>
        <v>19.713699999999999</v>
      </c>
      <c r="J146" s="26">
        <f>124.6877</f>
        <v>124.68770000000001</v>
      </c>
    </row>
    <row r="147" spans="1:10" ht="15" x14ac:dyDescent="0.2">
      <c r="A147" s="16">
        <v>45748</v>
      </c>
      <c r="B147" s="10">
        <f>21.0846 * CHOOSE(CONTROL!$C$15, $E$9, 100%, $G$9) + CHOOSE(CONTROL!$C$38, 0.0256, 0)</f>
        <v>21.110199999999999</v>
      </c>
      <c r="C147" s="10">
        <f>19.1838 * CHOOSE(CONTROL!$C$15, $E$9, 100%, $G$9) + CHOOSE(CONTROL!$C$38, 0.0347, 0)</f>
        <v>19.218500000000002</v>
      </c>
      <c r="D147" s="10">
        <f>19.176 * CHOOSE(CONTROL!$C$15, $E$9, 100%, $G$9) + CHOOSE(CONTROL!$C$38, 0.0347, 0)</f>
        <v>19.210699999999999</v>
      </c>
      <c r="E147" s="28">
        <f>20.9283 * CHOOSE(CONTROL!$C$15, $E$9, 100%, $G$9) + CHOOSE(CONTROL!$C$38, 0.0347, 0)</f>
        <v>20.963000000000001</v>
      </c>
      <c r="F147" s="27">
        <f>20.9283 * CHOOSE(CONTROL!$C$15, $E$9, 100%, $G$9) + CHOOSE(CONTROL!$C$38, 0.0256, 0)</f>
        <v>20.953900000000001</v>
      </c>
      <c r="G147" s="10">
        <f>19.1823 * CHOOSE(CONTROL!$C$15, $E$9, 100%, $G$9) + CHOOSE(CONTROL!$C$38, 0.0347, 0)</f>
        <v>19.217000000000002</v>
      </c>
      <c r="H147" s="10">
        <f>19.1823 * CHOOSE(CONTROL!$C$15, $E$9, 100%, $G$9) + CHOOSE(CONTROL!$C$38, 0.0347, 0)</f>
        <v>19.217000000000002</v>
      </c>
      <c r="I147" s="10">
        <f>19.1838 * CHOOSE(CONTROL!$C$15, $E$9, 100%, $G$9) + CHOOSE(CONTROL!$C$38, 0.0347, 0)</f>
        <v>19.218500000000002</v>
      </c>
      <c r="J147" s="26">
        <f>132.783</f>
        <v>132.78299999999999</v>
      </c>
    </row>
    <row r="148" spans="1:10" ht="15" x14ac:dyDescent="0.2">
      <c r="A148" s="16">
        <v>45778</v>
      </c>
      <c r="B148" s="10">
        <f>20.5685 * CHOOSE(CONTROL!$C$15, $E$9, 100%, $G$9) + CHOOSE(CONTROL!$C$38, 0.0278, 0)</f>
        <v>20.596299999999999</v>
      </c>
      <c r="C148" s="10">
        <f>18.6677 * CHOOSE(CONTROL!$C$15, $E$9, 100%, $G$9) + CHOOSE(CONTROL!$C$38, 0.0369, 0)</f>
        <v>18.704599999999999</v>
      </c>
      <c r="D148" s="10">
        <f>18.6599 * CHOOSE(CONTROL!$C$15, $E$9, 100%, $G$9) + CHOOSE(CONTROL!$C$38, 0.0369, 0)</f>
        <v>18.6968</v>
      </c>
      <c r="E148" s="28">
        <f>20.4122 * CHOOSE(CONTROL!$C$15, $E$9, 100%, $G$9) + CHOOSE(CONTROL!$C$38, 0.0369, 0)</f>
        <v>20.449099999999998</v>
      </c>
      <c r="F148" s="27">
        <f>20.4122 * CHOOSE(CONTROL!$C$15, $E$9, 100%, $G$9) + CHOOSE(CONTROL!$C$38, 0.0278, 0)</f>
        <v>20.439999999999998</v>
      </c>
      <c r="G148" s="10">
        <f>18.6662 * CHOOSE(CONTROL!$C$15, $E$9, 100%, $G$9) + CHOOSE(CONTROL!$C$38, 0.0369, 0)</f>
        <v>18.703099999999999</v>
      </c>
      <c r="H148" s="10">
        <f>18.6662 * CHOOSE(CONTROL!$C$15, $E$9, 100%, $G$9) + CHOOSE(CONTROL!$C$38, 0.0369, 0)</f>
        <v>18.703099999999999</v>
      </c>
      <c r="I148" s="10">
        <f>18.6677 * CHOOSE(CONTROL!$C$15, $E$9, 100%, $G$9) + CHOOSE(CONTROL!$C$38, 0.0369, 0)</f>
        <v>18.704599999999999</v>
      </c>
      <c r="J148" s="26">
        <f>137.239</f>
        <v>137.239</v>
      </c>
    </row>
    <row r="149" spans="1:10" ht="15" x14ac:dyDescent="0.2">
      <c r="A149" s="16">
        <v>45809</v>
      </c>
      <c r="B149" s="10">
        <f>20.2066 * CHOOSE(CONTROL!$C$15, $E$9, 100%, $G$9) + CHOOSE(CONTROL!$C$38, 0.0278, 0)</f>
        <v>20.234400000000001</v>
      </c>
      <c r="C149" s="10">
        <f>18.3059 * CHOOSE(CONTROL!$C$15, $E$9, 100%, $G$9) + CHOOSE(CONTROL!$C$38, 0.0369, 0)</f>
        <v>18.3428</v>
      </c>
      <c r="D149" s="10">
        <f>18.2981 * CHOOSE(CONTROL!$C$15, $E$9, 100%, $G$9) + CHOOSE(CONTROL!$C$38, 0.0369, 0)</f>
        <v>18.335000000000001</v>
      </c>
      <c r="E149" s="28">
        <f>20.0504 * CHOOSE(CONTROL!$C$15, $E$9, 100%, $G$9) + CHOOSE(CONTROL!$C$38, 0.0369, 0)</f>
        <v>20.087299999999999</v>
      </c>
      <c r="F149" s="27">
        <f>20.0504 * CHOOSE(CONTROL!$C$15, $E$9, 100%, $G$9) + CHOOSE(CONTROL!$C$38, 0.0278, 0)</f>
        <v>20.078199999999999</v>
      </c>
      <c r="G149" s="10">
        <f>18.3043 * CHOOSE(CONTROL!$C$15, $E$9, 100%, $G$9) + CHOOSE(CONTROL!$C$38, 0.0369, 0)</f>
        <v>18.341200000000001</v>
      </c>
      <c r="H149" s="10">
        <f>18.3043 * CHOOSE(CONTROL!$C$15, $E$9, 100%, $G$9) + CHOOSE(CONTROL!$C$38, 0.0369, 0)</f>
        <v>18.341200000000001</v>
      </c>
      <c r="I149" s="10">
        <f>18.3059 * CHOOSE(CONTROL!$C$15, $E$9, 100%, $G$9) + CHOOSE(CONTROL!$C$38, 0.0369, 0)</f>
        <v>18.3428</v>
      </c>
      <c r="J149" s="26">
        <f>139.2164</f>
        <v>139.21639999999999</v>
      </c>
    </row>
    <row r="150" spans="1:10" ht="15" x14ac:dyDescent="0.2">
      <c r="A150" s="16">
        <v>45839</v>
      </c>
      <c r="B150" s="10">
        <f>20.0002 * CHOOSE(CONTROL!$C$15, $E$9, 100%, $G$9) + CHOOSE(CONTROL!$C$38, 0.0278, 0)</f>
        <v>20.027999999999999</v>
      </c>
      <c r="C150" s="10">
        <f>18.0994 * CHOOSE(CONTROL!$C$15, $E$9, 100%, $G$9) + CHOOSE(CONTROL!$C$38, 0.0369, 0)</f>
        <v>18.136299999999999</v>
      </c>
      <c r="D150" s="10">
        <f>18.0916 * CHOOSE(CONTROL!$C$15, $E$9, 100%, $G$9) + CHOOSE(CONTROL!$C$38, 0.0369, 0)</f>
        <v>18.128499999999999</v>
      </c>
      <c r="E150" s="28">
        <f>19.8439 * CHOOSE(CONTROL!$C$15, $E$9, 100%, $G$9) + CHOOSE(CONTROL!$C$38, 0.0369, 0)</f>
        <v>19.880800000000001</v>
      </c>
      <c r="F150" s="27">
        <f>19.8439 * CHOOSE(CONTROL!$C$15, $E$9, 100%, $G$9) + CHOOSE(CONTROL!$C$38, 0.0278, 0)</f>
        <v>19.871700000000001</v>
      </c>
      <c r="G150" s="10">
        <f>18.0978 * CHOOSE(CONTROL!$C$15, $E$9, 100%, $G$9) + CHOOSE(CONTROL!$C$38, 0.0369, 0)</f>
        <v>18.134699999999999</v>
      </c>
      <c r="H150" s="10">
        <f>18.0978 * CHOOSE(CONTROL!$C$15, $E$9, 100%, $G$9) + CHOOSE(CONTROL!$C$38, 0.0369, 0)</f>
        <v>18.134699999999999</v>
      </c>
      <c r="I150" s="10">
        <f>18.0994 * CHOOSE(CONTROL!$C$15, $E$9, 100%, $G$9) + CHOOSE(CONTROL!$C$38, 0.0369, 0)</f>
        <v>18.136299999999999</v>
      </c>
      <c r="J150" s="26">
        <f>138.5653</f>
        <v>138.56530000000001</v>
      </c>
    </row>
    <row r="151" spans="1:10" ht="15" x14ac:dyDescent="0.2">
      <c r="A151" s="16">
        <v>45870</v>
      </c>
      <c r="B151" s="10">
        <f>20.1021 * CHOOSE(CONTROL!$C$15, $E$9, 100%, $G$9) + CHOOSE(CONTROL!$C$38, 0.0278, 0)</f>
        <v>20.129899999999999</v>
      </c>
      <c r="C151" s="10">
        <f>18.2013 * CHOOSE(CONTROL!$C$15, $E$9, 100%, $G$9) + CHOOSE(CONTROL!$C$38, 0.0369, 0)</f>
        <v>18.238199999999999</v>
      </c>
      <c r="D151" s="10">
        <f>18.1935 * CHOOSE(CONTROL!$C$15, $E$9, 100%, $G$9) + CHOOSE(CONTROL!$C$38, 0.0369, 0)</f>
        <v>18.230399999999999</v>
      </c>
      <c r="E151" s="28">
        <f>19.9458 * CHOOSE(CONTROL!$C$15, $E$9, 100%, $G$9) + CHOOSE(CONTROL!$C$38, 0.0369, 0)</f>
        <v>19.982699999999998</v>
      </c>
      <c r="F151" s="27">
        <f>19.9458 * CHOOSE(CONTROL!$C$15, $E$9, 100%, $G$9) + CHOOSE(CONTROL!$C$38, 0.0278, 0)</f>
        <v>19.973599999999998</v>
      </c>
      <c r="G151" s="10">
        <f>18.1998 * CHOOSE(CONTROL!$C$15, $E$9, 100%, $G$9) + CHOOSE(CONTROL!$C$38, 0.0369, 0)</f>
        <v>18.236699999999999</v>
      </c>
      <c r="H151" s="10">
        <f>18.1998 * CHOOSE(CONTROL!$C$15, $E$9, 100%, $G$9) + CHOOSE(CONTROL!$C$38, 0.0369, 0)</f>
        <v>18.236699999999999</v>
      </c>
      <c r="I151" s="10">
        <f>18.2013 * CHOOSE(CONTROL!$C$15, $E$9, 100%, $G$9) + CHOOSE(CONTROL!$C$38, 0.0369, 0)</f>
        <v>18.238199999999999</v>
      </c>
      <c r="J151" s="26">
        <f>135.3396</f>
        <v>135.33959999999999</v>
      </c>
    </row>
    <row r="152" spans="1:10" ht="15" x14ac:dyDescent="0.2">
      <c r="A152" s="16">
        <v>45901</v>
      </c>
      <c r="B152" s="10">
        <f>20.3789 * CHOOSE(CONTROL!$C$15, $E$9, 100%, $G$9) + CHOOSE(CONTROL!$C$38, 0.0278, 0)</f>
        <v>20.406700000000001</v>
      </c>
      <c r="C152" s="10">
        <f>18.4781 * CHOOSE(CONTROL!$C$15, $E$9, 100%, $G$9) + CHOOSE(CONTROL!$C$38, 0.0369, 0)</f>
        <v>18.515000000000001</v>
      </c>
      <c r="D152" s="10">
        <f>18.4703 * CHOOSE(CONTROL!$C$15, $E$9, 100%, $G$9) + CHOOSE(CONTROL!$C$38, 0.0369, 0)</f>
        <v>18.507200000000001</v>
      </c>
      <c r="E152" s="28">
        <f>20.2226 * CHOOSE(CONTROL!$C$15, $E$9, 100%, $G$9) + CHOOSE(CONTROL!$C$38, 0.0369, 0)</f>
        <v>20.259499999999999</v>
      </c>
      <c r="F152" s="27">
        <f>20.2226 * CHOOSE(CONTROL!$C$15, $E$9, 100%, $G$9) + CHOOSE(CONTROL!$C$38, 0.0278, 0)</f>
        <v>20.250399999999999</v>
      </c>
      <c r="G152" s="10">
        <f>18.4766 * CHOOSE(CONTROL!$C$15, $E$9, 100%, $G$9) + CHOOSE(CONTROL!$C$38, 0.0369, 0)</f>
        <v>18.513500000000001</v>
      </c>
      <c r="H152" s="10">
        <f>18.4766 * CHOOSE(CONTROL!$C$15, $E$9, 100%, $G$9) + CHOOSE(CONTROL!$C$38, 0.0369, 0)</f>
        <v>18.513500000000001</v>
      </c>
      <c r="I152" s="10">
        <f>18.4781 * CHOOSE(CONTROL!$C$15, $E$9, 100%, $G$9) + CHOOSE(CONTROL!$C$38, 0.0369, 0)</f>
        <v>18.515000000000001</v>
      </c>
      <c r="J152" s="26">
        <f>130.8411</f>
        <v>130.84110000000001</v>
      </c>
    </row>
    <row r="153" spans="1:10" ht="15" x14ac:dyDescent="0.2">
      <c r="A153" s="16">
        <v>45931</v>
      </c>
      <c r="B153" s="10">
        <f>20.6107 * CHOOSE(CONTROL!$C$15, $E$9, 100%, $G$9) + CHOOSE(CONTROL!$C$38, 0.0256, 0)</f>
        <v>20.636300000000002</v>
      </c>
      <c r="C153" s="10">
        <f>18.7099 * CHOOSE(CONTROL!$C$15, $E$9, 100%, $G$9) + CHOOSE(CONTROL!$C$38, 0.0347, 0)</f>
        <v>18.744600000000002</v>
      </c>
      <c r="D153" s="10">
        <f>18.7021 * CHOOSE(CONTROL!$C$15, $E$9, 100%, $G$9) + CHOOSE(CONTROL!$C$38, 0.0347, 0)</f>
        <v>18.736800000000002</v>
      </c>
      <c r="E153" s="28">
        <f>20.4544 * CHOOSE(CONTROL!$C$15, $E$9, 100%, $G$9) + CHOOSE(CONTROL!$C$38, 0.0347, 0)</f>
        <v>20.489100000000001</v>
      </c>
      <c r="F153" s="27">
        <f>20.4544 * CHOOSE(CONTROL!$C$15, $E$9, 100%, $G$9) + CHOOSE(CONTROL!$C$38, 0.0256, 0)</f>
        <v>20.48</v>
      </c>
      <c r="G153" s="10">
        <f>18.7084 * CHOOSE(CONTROL!$C$15, $E$9, 100%, $G$9) + CHOOSE(CONTROL!$C$38, 0.0347, 0)</f>
        <v>18.743100000000002</v>
      </c>
      <c r="H153" s="10">
        <f>18.7084 * CHOOSE(CONTROL!$C$15, $E$9, 100%, $G$9) + CHOOSE(CONTROL!$C$38, 0.0347, 0)</f>
        <v>18.743100000000002</v>
      </c>
      <c r="I153" s="10">
        <f>18.7099 * CHOOSE(CONTROL!$C$15, $E$9, 100%, $G$9) + CHOOSE(CONTROL!$C$38, 0.0347, 0)</f>
        <v>18.744600000000002</v>
      </c>
      <c r="J153" s="26">
        <f>126.3165</f>
        <v>126.3165</v>
      </c>
    </row>
    <row r="154" spans="1:10" ht="15" x14ac:dyDescent="0.2">
      <c r="A154" s="16">
        <v>45962</v>
      </c>
      <c r="B154" s="10">
        <f>20.8041 * CHOOSE(CONTROL!$C$15, $E$9, 100%, $G$9) + CHOOSE(CONTROL!$C$38, 0.0256, 0)</f>
        <v>20.829699999999999</v>
      </c>
      <c r="C154" s="10">
        <f>18.9034 * CHOOSE(CONTROL!$C$15, $E$9, 100%, $G$9) + CHOOSE(CONTROL!$C$38, 0.0347, 0)</f>
        <v>18.938100000000002</v>
      </c>
      <c r="D154" s="10">
        <f>18.8956 * CHOOSE(CONTROL!$C$15, $E$9, 100%, $G$9) + CHOOSE(CONTROL!$C$38, 0.0347, 0)</f>
        <v>18.930300000000003</v>
      </c>
      <c r="E154" s="28">
        <f>20.6479 * CHOOSE(CONTROL!$C$15, $E$9, 100%, $G$9) + CHOOSE(CONTROL!$C$38, 0.0347, 0)</f>
        <v>20.682600000000001</v>
      </c>
      <c r="F154" s="27">
        <f>20.6479 * CHOOSE(CONTROL!$C$15, $E$9, 100%, $G$9) + CHOOSE(CONTROL!$C$38, 0.0256, 0)</f>
        <v>20.673500000000001</v>
      </c>
      <c r="G154" s="10">
        <f>18.9018 * CHOOSE(CONTROL!$C$15, $E$9, 100%, $G$9) + CHOOSE(CONTROL!$C$38, 0.0347, 0)</f>
        <v>18.936500000000002</v>
      </c>
      <c r="H154" s="10">
        <f>18.9018 * CHOOSE(CONTROL!$C$15, $E$9, 100%, $G$9) + CHOOSE(CONTROL!$C$38, 0.0347, 0)</f>
        <v>18.936500000000002</v>
      </c>
      <c r="I154" s="10">
        <f>18.9034 * CHOOSE(CONTROL!$C$15, $E$9, 100%, $G$9) + CHOOSE(CONTROL!$C$38, 0.0347, 0)</f>
        <v>18.938100000000002</v>
      </c>
      <c r="J154" s="26">
        <f>125.4165</f>
        <v>125.4165</v>
      </c>
    </row>
    <row r="155" spans="1:10" ht="15" x14ac:dyDescent="0.2">
      <c r="A155" s="16">
        <v>45992</v>
      </c>
      <c r="B155" s="10">
        <f>21.4002 * CHOOSE(CONTROL!$C$15, $E$9, 100%, $G$9) + CHOOSE(CONTROL!$C$38, 0.0256, 0)</f>
        <v>21.425800000000002</v>
      </c>
      <c r="C155" s="10">
        <f>19.4995 * CHOOSE(CONTROL!$C$15, $E$9, 100%, $G$9) + CHOOSE(CONTROL!$C$38, 0.0347, 0)</f>
        <v>19.534200000000002</v>
      </c>
      <c r="D155" s="10">
        <f>19.4916 * CHOOSE(CONTROL!$C$15, $E$9, 100%, $G$9) + CHOOSE(CONTROL!$C$38, 0.0347, 0)</f>
        <v>19.526299999999999</v>
      </c>
      <c r="E155" s="28">
        <f>21.2439 * CHOOSE(CONTROL!$C$15, $E$9, 100%, $G$9) + CHOOSE(CONTROL!$C$38, 0.0347, 0)</f>
        <v>21.278600000000001</v>
      </c>
      <c r="F155" s="27">
        <f>21.2439 * CHOOSE(CONTROL!$C$15, $E$9, 100%, $G$9) + CHOOSE(CONTROL!$C$38, 0.0256, 0)</f>
        <v>21.269500000000001</v>
      </c>
      <c r="G155" s="10">
        <f>19.4979 * CHOOSE(CONTROL!$C$15, $E$9, 100%, $G$9) + CHOOSE(CONTROL!$C$38, 0.0347, 0)</f>
        <v>19.532600000000002</v>
      </c>
      <c r="H155" s="10">
        <f>19.4979 * CHOOSE(CONTROL!$C$15, $E$9, 100%, $G$9) + CHOOSE(CONTROL!$C$38, 0.0347, 0)</f>
        <v>19.532600000000002</v>
      </c>
      <c r="I155" s="10">
        <f>19.4995 * CHOOSE(CONTROL!$C$15, $E$9, 100%, $G$9) + CHOOSE(CONTROL!$C$38, 0.0347, 0)</f>
        <v>19.534200000000002</v>
      </c>
      <c r="J155" s="26">
        <f>121.6947</f>
        <v>121.6947</v>
      </c>
    </row>
    <row r="156" spans="1:10" ht="15" x14ac:dyDescent="0.2">
      <c r="A156" s="16">
        <v>46023</v>
      </c>
      <c r="B156" s="10">
        <f>22.6276 * CHOOSE(CONTROL!$C$15, $E$9, 100%, $G$9) + CHOOSE(CONTROL!$C$38, 0.0256, 0)</f>
        <v>22.653200000000002</v>
      </c>
      <c r="C156" s="10">
        <f>20.7084 * CHOOSE(CONTROL!$C$15, $E$9, 100%, $G$9) + CHOOSE(CONTROL!$C$38, 0.0347, 0)</f>
        <v>20.743100000000002</v>
      </c>
      <c r="D156" s="10">
        <f>20.7005 * CHOOSE(CONTROL!$C$15, $E$9, 100%, $G$9) + CHOOSE(CONTROL!$C$38, 0.0347, 0)</f>
        <v>20.735200000000003</v>
      </c>
      <c r="E156" s="28">
        <f>22.4713 * CHOOSE(CONTROL!$C$15, $E$9, 100%, $G$9) + CHOOSE(CONTROL!$C$38, 0.0347, 0)</f>
        <v>22.506</v>
      </c>
      <c r="F156" s="27">
        <f>22.4713 * CHOOSE(CONTROL!$C$15, $E$9, 100%, $G$9) + CHOOSE(CONTROL!$C$38, 0.0256, 0)</f>
        <v>22.4969</v>
      </c>
      <c r="G156" s="10">
        <f>20.7068 * CHOOSE(CONTROL!$C$15, $E$9, 100%, $G$9) + CHOOSE(CONTROL!$C$38, 0.0347, 0)</f>
        <v>20.741500000000002</v>
      </c>
      <c r="H156" s="10">
        <f>20.7068 * CHOOSE(CONTROL!$C$15, $E$9, 100%, $G$9) + CHOOSE(CONTROL!$C$38, 0.0347, 0)</f>
        <v>20.741500000000002</v>
      </c>
      <c r="I156" s="10">
        <f>20.7084 * CHOOSE(CONTROL!$C$15, $E$9, 100%, $G$9) + CHOOSE(CONTROL!$C$38, 0.0347, 0)</f>
        <v>20.743100000000002</v>
      </c>
      <c r="J156" s="26">
        <f>123.6692</f>
        <v>123.6692</v>
      </c>
    </row>
    <row r="157" spans="1:10" ht="15" x14ac:dyDescent="0.2">
      <c r="A157" s="16">
        <v>46054</v>
      </c>
      <c r="B157" s="10">
        <f>22.8483 * CHOOSE(CONTROL!$C$15, $E$9, 100%, $G$9) + CHOOSE(CONTROL!$C$38, 0.0256, 0)</f>
        <v>22.873899999999999</v>
      </c>
      <c r="C157" s="10">
        <f>20.9291 * CHOOSE(CONTROL!$C$15, $E$9, 100%, $G$9) + CHOOSE(CONTROL!$C$38, 0.0347, 0)</f>
        <v>20.963799999999999</v>
      </c>
      <c r="D157" s="10">
        <f>20.9213 * CHOOSE(CONTROL!$C$15, $E$9, 100%, $G$9) + CHOOSE(CONTROL!$C$38, 0.0347, 0)</f>
        <v>20.956</v>
      </c>
      <c r="E157" s="28">
        <f>22.6921 * CHOOSE(CONTROL!$C$15, $E$9, 100%, $G$9) + CHOOSE(CONTROL!$C$38, 0.0347, 0)</f>
        <v>22.726800000000001</v>
      </c>
      <c r="F157" s="27">
        <f>22.6921 * CHOOSE(CONTROL!$C$15, $E$9, 100%, $G$9) + CHOOSE(CONTROL!$C$38, 0.0256, 0)</f>
        <v>22.717700000000001</v>
      </c>
      <c r="G157" s="10">
        <f>20.9276 * CHOOSE(CONTROL!$C$15, $E$9, 100%, $G$9) + CHOOSE(CONTROL!$C$38, 0.0347, 0)</f>
        <v>20.962300000000003</v>
      </c>
      <c r="H157" s="10">
        <f>20.9276 * CHOOSE(CONTROL!$C$15, $E$9, 100%, $G$9) + CHOOSE(CONTROL!$C$38, 0.0347, 0)</f>
        <v>20.962300000000003</v>
      </c>
      <c r="I157" s="10">
        <f>20.9291 * CHOOSE(CONTROL!$C$15, $E$9, 100%, $G$9) + CHOOSE(CONTROL!$C$38, 0.0347, 0)</f>
        <v>20.963799999999999</v>
      </c>
      <c r="J157" s="26">
        <f>123.3255</f>
        <v>123.32550000000001</v>
      </c>
    </row>
    <row r="158" spans="1:10" ht="15" x14ac:dyDescent="0.2">
      <c r="A158" s="16">
        <v>46082</v>
      </c>
      <c r="B158" s="10">
        <f>22.3373 * CHOOSE(CONTROL!$C$15, $E$9, 100%, $G$9) + CHOOSE(CONTROL!$C$38, 0.0256, 0)</f>
        <v>22.3629</v>
      </c>
      <c r="C158" s="10">
        <f>20.4181 * CHOOSE(CONTROL!$C$15, $E$9, 100%, $G$9) + CHOOSE(CONTROL!$C$38, 0.0347, 0)</f>
        <v>20.4528</v>
      </c>
      <c r="D158" s="10">
        <f>20.4103 * CHOOSE(CONTROL!$C$15, $E$9, 100%, $G$9) + CHOOSE(CONTROL!$C$38, 0.0347, 0)</f>
        <v>20.445</v>
      </c>
      <c r="E158" s="28">
        <f>22.1811 * CHOOSE(CONTROL!$C$15, $E$9, 100%, $G$9) + CHOOSE(CONTROL!$C$38, 0.0347, 0)</f>
        <v>22.215800000000002</v>
      </c>
      <c r="F158" s="27">
        <f>22.1811 * CHOOSE(CONTROL!$C$15, $E$9, 100%, $G$9) + CHOOSE(CONTROL!$C$38, 0.0256, 0)</f>
        <v>22.206700000000001</v>
      </c>
      <c r="G158" s="10">
        <f>20.4165 * CHOOSE(CONTROL!$C$15, $E$9, 100%, $G$9) + CHOOSE(CONTROL!$C$38, 0.0347, 0)</f>
        <v>20.4512</v>
      </c>
      <c r="H158" s="10">
        <f>20.4165 * CHOOSE(CONTROL!$C$15, $E$9, 100%, $G$9) + CHOOSE(CONTROL!$C$38, 0.0347, 0)</f>
        <v>20.4512</v>
      </c>
      <c r="I158" s="10">
        <f>20.4181 * CHOOSE(CONTROL!$C$15, $E$9, 100%, $G$9) + CHOOSE(CONTROL!$C$38, 0.0347, 0)</f>
        <v>20.4528</v>
      </c>
      <c r="J158" s="26">
        <f>129.8255</f>
        <v>129.82550000000001</v>
      </c>
    </row>
    <row r="159" spans="1:10" ht="15" x14ac:dyDescent="0.2">
      <c r="A159" s="16">
        <v>46113</v>
      </c>
      <c r="B159" s="10">
        <f>21.8421 * CHOOSE(CONTROL!$C$15, $E$9, 100%, $G$9) + CHOOSE(CONTROL!$C$38, 0.0256, 0)</f>
        <v>21.867699999999999</v>
      </c>
      <c r="C159" s="10">
        <f>19.9229 * CHOOSE(CONTROL!$C$15, $E$9, 100%, $G$9) + CHOOSE(CONTROL!$C$38, 0.0347, 0)</f>
        <v>19.957599999999999</v>
      </c>
      <c r="D159" s="10">
        <f>19.9151 * CHOOSE(CONTROL!$C$15, $E$9, 100%, $G$9) + CHOOSE(CONTROL!$C$38, 0.0347, 0)</f>
        <v>19.9498</v>
      </c>
      <c r="E159" s="28">
        <f>21.6859 * CHOOSE(CONTROL!$C$15, $E$9, 100%, $G$9) + CHOOSE(CONTROL!$C$38, 0.0347, 0)</f>
        <v>21.720600000000001</v>
      </c>
      <c r="F159" s="27">
        <f>21.6859 * CHOOSE(CONTROL!$C$15, $E$9, 100%, $G$9) + CHOOSE(CONTROL!$C$38, 0.0256, 0)</f>
        <v>21.711500000000001</v>
      </c>
      <c r="G159" s="10">
        <f>19.9213 * CHOOSE(CONTROL!$C$15, $E$9, 100%, $G$9) + CHOOSE(CONTROL!$C$38, 0.0347, 0)</f>
        <v>19.956</v>
      </c>
      <c r="H159" s="10">
        <f>19.9213 * CHOOSE(CONTROL!$C$15, $E$9, 100%, $G$9) + CHOOSE(CONTROL!$C$38, 0.0347, 0)</f>
        <v>19.956</v>
      </c>
      <c r="I159" s="10">
        <f>19.9229 * CHOOSE(CONTROL!$C$15, $E$9, 100%, $G$9) + CHOOSE(CONTROL!$C$38, 0.0347, 0)</f>
        <v>19.957599999999999</v>
      </c>
      <c r="J159" s="26">
        <f>138.2544</f>
        <v>138.2544</v>
      </c>
    </row>
    <row r="160" spans="1:10" ht="15" x14ac:dyDescent="0.2">
      <c r="A160" s="16">
        <v>46143</v>
      </c>
      <c r="B160" s="10">
        <f>21.326 * CHOOSE(CONTROL!$C$15, $E$9, 100%, $G$9) + CHOOSE(CONTROL!$C$38, 0.0278, 0)</f>
        <v>21.3538</v>
      </c>
      <c r="C160" s="10">
        <f>19.4068 * CHOOSE(CONTROL!$C$15, $E$9, 100%, $G$9) + CHOOSE(CONTROL!$C$38, 0.0369, 0)</f>
        <v>19.4437</v>
      </c>
      <c r="D160" s="10">
        <f>19.399 * CHOOSE(CONTROL!$C$15, $E$9, 100%, $G$9) + CHOOSE(CONTROL!$C$38, 0.0369, 0)</f>
        <v>19.4359</v>
      </c>
      <c r="E160" s="28">
        <f>21.1698 * CHOOSE(CONTROL!$C$15, $E$9, 100%, $G$9) + CHOOSE(CONTROL!$C$38, 0.0369, 0)</f>
        <v>21.206699999999998</v>
      </c>
      <c r="F160" s="27">
        <f>21.1698 * CHOOSE(CONTROL!$C$15, $E$9, 100%, $G$9) + CHOOSE(CONTROL!$C$38, 0.0278, 0)</f>
        <v>21.197599999999998</v>
      </c>
      <c r="G160" s="10">
        <f>19.4052 * CHOOSE(CONTROL!$C$15, $E$9, 100%, $G$9) + CHOOSE(CONTROL!$C$38, 0.0369, 0)</f>
        <v>19.4421</v>
      </c>
      <c r="H160" s="10">
        <f>19.4052 * CHOOSE(CONTROL!$C$15, $E$9, 100%, $G$9) + CHOOSE(CONTROL!$C$38, 0.0369, 0)</f>
        <v>19.4421</v>
      </c>
      <c r="I160" s="10">
        <f>19.4068 * CHOOSE(CONTROL!$C$15, $E$9, 100%, $G$9) + CHOOSE(CONTROL!$C$38, 0.0369, 0)</f>
        <v>19.4437</v>
      </c>
      <c r="J160" s="26">
        <f>142.8939</f>
        <v>142.8939</v>
      </c>
    </row>
    <row r="161" spans="1:10" ht="15" x14ac:dyDescent="0.2">
      <c r="A161" s="16">
        <v>46174</v>
      </c>
      <c r="B161" s="10">
        <f>20.9642 * CHOOSE(CONTROL!$C$15, $E$9, 100%, $G$9) + CHOOSE(CONTROL!$C$38, 0.0278, 0)</f>
        <v>20.992000000000001</v>
      </c>
      <c r="C161" s="10">
        <f>19.045 * CHOOSE(CONTROL!$C$15, $E$9, 100%, $G$9) + CHOOSE(CONTROL!$C$38, 0.0369, 0)</f>
        <v>19.081900000000001</v>
      </c>
      <c r="D161" s="10">
        <f>19.0372 * CHOOSE(CONTROL!$C$15, $E$9, 100%, $G$9) + CHOOSE(CONTROL!$C$38, 0.0369, 0)</f>
        <v>19.074099999999998</v>
      </c>
      <c r="E161" s="28">
        <f>20.8079 * CHOOSE(CONTROL!$C$15, $E$9, 100%, $G$9) + CHOOSE(CONTROL!$C$38, 0.0369, 0)</f>
        <v>20.844799999999999</v>
      </c>
      <c r="F161" s="27">
        <f>20.8079 * CHOOSE(CONTROL!$C$15, $E$9, 100%, $G$9) + CHOOSE(CONTROL!$C$38, 0.0278, 0)</f>
        <v>20.835699999999999</v>
      </c>
      <c r="G161" s="10">
        <f>19.0434 * CHOOSE(CONTROL!$C$15, $E$9, 100%, $G$9) + CHOOSE(CONTROL!$C$38, 0.0369, 0)</f>
        <v>19.080299999999998</v>
      </c>
      <c r="H161" s="10">
        <f>19.0434 * CHOOSE(CONTROL!$C$15, $E$9, 100%, $G$9) + CHOOSE(CONTROL!$C$38, 0.0369, 0)</f>
        <v>19.080299999999998</v>
      </c>
      <c r="I161" s="10">
        <f>19.045 * CHOOSE(CONTROL!$C$15, $E$9, 100%, $G$9) + CHOOSE(CONTROL!$C$38, 0.0369, 0)</f>
        <v>19.081900000000001</v>
      </c>
      <c r="J161" s="26">
        <f>144.9528</f>
        <v>144.9528</v>
      </c>
    </row>
    <row r="162" spans="1:10" ht="15" x14ac:dyDescent="0.2">
      <c r="A162" s="16">
        <v>46204</v>
      </c>
      <c r="B162" s="10">
        <f>20.7577 * CHOOSE(CONTROL!$C$15, $E$9, 100%, $G$9) + CHOOSE(CONTROL!$C$38, 0.0278, 0)</f>
        <v>20.785499999999999</v>
      </c>
      <c r="C162" s="10">
        <f>18.8385 * CHOOSE(CONTROL!$C$15, $E$9, 100%, $G$9) + CHOOSE(CONTROL!$C$38, 0.0369, 0)</f>
        <v>18.875399999999999</v>
      </c>
      <c r="D162" s="10">
        <f>18.8307 * CHOOSE(CONTROL!$C$15, $E$9, 100%, $G$9) + CHOOSE(CONTROL!$C$38, 0.0369, 0)</f>
        <v>18.867599999999999</v>
      </c>
      <c r="E162" s="28">
        <f>20.6014 * CHOOSE(CONTROL!$C$15, $E$9, 100%, $G$9) + CHOOSE(CONTROL!$C$38, 0.0369, 0)</f>
        <v>20.638300000000001</v>
      </c>
      <c r="F162" s="27">
        <f>20.6014 * CHOOSE(CONTROL!$C$15, $E$9, 100%, $G$9) + CHOOSE(CONTROL!$C$38, 0.0278, 0)</f>
        <v>20.629200000000001</v>
      </c>
      <c r="G162" s="10">
        <f>18.8369 * CHOOSE(CONTROL!$C$15, $E$9, 100%, $G$9) + CHOOSE(CONTROL!$C$38, 0.0369, 0)</f>
        <v>18.873799999999999</v>
      </c>
      <c r="H162" s="10">
        <f>18.8369 * CHOOSE(CONTROL!$C$15, $E$9, 100%, $G$9) + CHOOSE(CONTROL!$C$38, 0.0369, 0)</f>
        <v>18.873799999999999</v>
      </c>
      <c r="I162" s="10">
        <f>18.8385 * CHOOSE(CONTROL!$C$15, $E$9, 100%, $G$9) + CHOOSE(CONTROL!$C$38, 0.0369, 0)</f>
        <v>18.875399999999999</v>
      </c>
      <c r="J162" s="26">
        <f>144.2749</f>
        <v>144.2749</v>
      </c>
    </row>
    <row r="163" spans="1:10" ht="15" x14ac:dyDescent="0.2">
      <c r="A163" s="16">
        <v>46235</v>
      </c>
      <c r="B163" s="10">
        <f>20.8596 * CHOOSE(CONTROL!$C$15, $E$9, 100%, $G$9) + CHOOSE(CONTROL!$C$38, 0.0278, 0)</f>
        <v>20.8874</v>
      </c>
      <c r="C163" s="10">
        <f>18.9404 * CHOOSE(CONTROL!$C$15, $E$9, 100%, $G$9) + CHOOSE(CONTROL!$C$38, 0.0369, 0)</f>
        <v>18.9773</v>
      </c>
      <c r="D163" s="10">
        <f>18.9326 * CHOOSE(CONTROL!$C$15, $E$9, 100%, $G$9) + CHOOSE(CONTROL!$C$38, 0.0369, 0)</f>
        <v>18.9695</v>
      </c>
      <c r="E163" s="28">
        <f>20.7034 * CHOOSE(CONTROL!$C$15, $E$9, 100%, $G$9) + CHOOSE(CONTROL!$C$38, 0.0369, 0)</f>
        <v>20.740299999999998</v>
      </c>
      <c r="F163" s="27">
        <f>20.7034 * CHOOSE(CONTROL!$C$15, $E$9, 100%, $G$9) + CHOOSE(CONTROL!$C$38, 0.0278, 0)</f>
        <v>20.731199999999998</v>
      </c>
      <c r="G163" s="10">
        <f>18.9388 * CHOOSE(CONTROL!$C$15, $E$9, 100%, $G$9) + CHOOSE(CONTROL!$C$38, 0.0369, 0)</f>
        <v>18.9757</v>
      </c>
      <c r="H163" s="10">
        <f>18.9388 * CHOOSE(CONTROL!$C$15, $E$9, 100%, $G$9) + CHOOSE(CONTROL!$C$38, 0.0369, 0)</f>
        <v>18.9757</v>
      </c>
      <c r="I163" s="10">
        <f>18.9404 * CHOOSE(CONTROL!$C$15, $E$9, 100%, $G$9) + CHOOSE(CONTROL!$C$38, 0.0369, 0)</f>
        <v>18.9773</v>
      </c>
      <c r="J163" s="26">
        <f>140.9163</f>
        <v>140.91630000000001</v>
      </c>
    </row>
    <row r="164" spans="1:10" ht="15" x14ac:dyDescent="0.2">
      <c r="A164" s="16">
        <v>46266</v>
      </c>
      <c r="B164" s="10">
        <f>21.1364 * CHOOSE(CONTROL!$C$15, $E$9, 100%, $G$9) + CHOOSE(CONTROL!$C$38, 0.0278, 0)</f>
        <v>21.164199999999997</v>
      </c>
      <c r="C164" s="10">
        <f>19.2172 * CHOOSE(CONTROL!$C$15, $E$9, 100%, $G$9) + CHOOSE(CONTROL!$C$38, 0.0369, 0)</f>
        <v>19.254099999999998</v>
      </c>
      <c r="D164" s="10">
        <f>19.2094 * CHOOSE(CONTROL!$C$15, $E$9, 100%, $G$9) + CHOOSE(CONTROL!$C$38, 0.0369, 0)</f>
        <v>19.246299999999998</v>
      </c>
      <c r="E164" s="28">
        <f>20.9802 * CHOOSE(CONTROL!$C$15, $E$9, 100%, $G$9) + CHOOSE(CONTROL!$C$38, 0.0369, 0)</f>
        <v>21.017099999999999</v>
      </c>
      <c r="F164" s="27">
        <f>20.9802 * CHOOSE(CONTROL!$C$15, $E$9, 100%, $G$9) + CHOOSE(CONTROL!$C$38, 0.0278, 0)</f>
        <v>21.007999999999999</v>
      </c>
      <c r="G164" s="10">
        <f>19.2156 * CHOOSE(CONTROL!$C$15, $E$9, 100%, $G$9) + CHOOSE(CONTROL!$C$38, 0.0369, 0)</f>
        <v>19.252499999999998</v>
      </c>
      <c r="H164" s="10">
        <f>19.2156 * CHOOSE(CONTROL!$C$15, $E$9, 100%, $G$9) + CHOOSE(CONTROL!$C$38, 0.0369, 0)</f>
        <v>19.252499999999998</v>
      </c>
      <c r="I164" s="10">
        <f>19.2172 * CHOOSE(CONTROL!$C$15, $E$9, 100%, $G$9) + CHOOSE(CONTROL!$C$38, 0.0369, 0)</f>
        <v>19.254099999999998</v>
      </c>
      <c r="J164" s="26">
        <f>136.2325</f>
        <v>136.23249999999999</v>
      </c>
    </row>
    <row r="165" spans="1:10" ht="15" x14ac:dyDescent="0.2">
      <c r="A165" s="16">
        <v>46296</v>
      </c>
      <c r="B165" s="10">
        <f>21.3682 * CHOOSE(CONTROL!$C$15, $E$9, 100%, $G$9) + CHOOSE(CONTROL!$C$38, 0.0256, 0)</f>
        <v>21.393800000000002</v>
      </c>
      <c r="C165" s="10">
        <f>19.449 * CHOOSE(CONTROL!$C$15, $E$9, 100%, $G$9) + CHOOSE(CONTROL!$C$38, 0.0347, 0)</f>
        <v>19.483700000000002</v>
      </c>
      <c r="D165" s="10">
        <f>19.4412 * CHOOSE(CONTROL!$C$15, $E$9, 100%, $G$9) + CHOOSE(CONTROL!$C$38, 0.0347, 0)</f>
        <v>19.475899999999999</v>
      </c>
      <c r="E165" s="28">
        <f>21.212 * CHOOSE(CONTROL!$C$15, $E$9, 100%, $G$9) + CHOOSE(CONTROL!$C$38, 0.0347, 0)</f>
        <v>21.246700000000001</v>
      </c>
      <c r="F165" s="27">
        <f>21.212 * CHOOSE(CONTROL!$C$15, $E$9, 100%, $G$9) + CHOOSE(CONTROL!$C$38, 0.0256, 0)</f>
        <v>21.2376</v>
      </c>
      <c r="G165" s="10">
        <f>19.4474 * CHOOSE(CONTROL!$C$15, $E$9, 100%, $G$9) + CHOOSE(CONTROL!$C$38, 0.0347, 0)</f>
        <v>19.482099999999999</v>
      </c>
      <c r="H165" s="10">
        <f>19.4474 * CHOOSE(CONTROL!$C$15, $E$9, 100%, $G$9) + CHOOSE(CONTROL!$C$38, 0.0347, 0)</f>
        <v>19.482099999999999</v>
      </c>
      <c r="I165" s="10">
        <f>19.449 * CHOOSE(CONTROL!$C$15, $E$9, 100%, $G$9) + CHOOSE(CONTROL!$C$38, 0.0347, 0)</f>
        <v>19.483700000000002</v>
      </c>
      <c r="J165" s="26">
        <f>131.5214</f>
        <v>131.5214</v>
      </c>
    </row>
    <row r="166" spans="1:10" ht="15" x14ac:dyDescent="0.2">
      <c r="A166" s="16">
        <v>46327</v>
      </c>
      <c r="B166" s="10">
        <f>21.5617 * CHOOSE(CONTROL!$C$15, $E$9, 100%, $G$9) + CHOOSE(CONTROL!$C$38, 0.0256, 0)</f>
        <v>21.587299999999999</v>
      </c>
      <c r="C166" s="10">
        <f>19.6424 * CHOOSE(CONTROL!$C$15, $E$9, 100%, $G$9) + CHOOSE(CONTROL!$C$38, 0.0347, 0)</f>
        <v>19.677099999999999</v>
      </c>
      <c r="D166" s="10">
        <f>19.6346 * CHOOSE(CONTROL!$C$15, $E$9, 100%, $G$9) + CHOOSE(CONTROL!$C$38, 0.0347, 0)</f>
        <v>19.6693</v>
      </c>
      <c r="E166" s="28">
        <f>21.4054 * CHOOSE(CONTROL!$C$15, $E$9, 100%, $G$9) + CHOOSE(CONTROL!$C$38, 0.0347, 0)</f>
        <v>21.440100000000001</v>
      </c>
      <c r="F166" s="27">
        <f>21.4054 * CHOOSE(CONTROL!$C$15, $E$9, 100%, $G$9) + CHOOSE(CONTROL!$C$38, 0.0256, 0)</f>
        <v>21.431000000000001</v>
      </c>
      <c r="G166" s="10">
        <f>19.6409 * CHOOSE(CONTROL!$C$15, $E$9, 100%, $G$9) + CHOOSE(CONTROL!$C$38, 0.0347, 0)</f>
        <v>19.675599999999999</v>
      </c>
      <c r="H166" s="10">
        <f>19.6409 * CHOOSE(CONTROL!$C$15, $E$9, 100%, $G$9) + CHOOSE(CONTROL!$C$38, 0.0347, 0)</f>
        <v>19.675599999999999</v>
      </c>
      <c r="I166" s="10">
        <f>19.6424 * CHOOSE(CONTROL!$C$15, $E$9, 100%, $G$9) + CHOOSE(CONTROL!$C$38, 0.0347, 0)</f>
        <v>19.677099999999999</v>
      </c>
      <c r="J166" s="26">
        <f>130.5843</f>
        <v>130.58430000000001</v>
      </c>
    </row>
    <row r="167" spans="1:10" ht="15" x14ac:dyDescent="0.2">
      <c r="A167" s="16">
        <v>46357</v>
      </c>
      <c r="B167" s="10">
        <f>22.1577 * CHOOSE(CONTROL!$C$15, $E$9, 100%, $G$9) + CHOOSE(CONTROL!$C$38, 0.0256, 0)</f>
        <v>22.183299999999999</v>
      </c>
      <c r="C167" s="10">
        <f>20.2385 * CHOOSE(CONTROL!$C$15, $E$9, 100%, $G$9) + CHOOSE(CONTROL!$C$38, 0.0347, 0)</f>
        <v>20.273199999999999</v>
      </c>
      <c r="D167" s="10">
        <f>20.2307 * CHOOSE(CONTROL!$C$15, $E$9, 100%, $G$9) + CHOOSE(CONTROL!$C$38, 0.0347, 0)</f>
        <v>20.2654</v>
      </c>
      <c r="E167" s="28">
        <f>22.0015 * CHOOSE(CONTROL!$C$15, $E$9, 100%, $G$9) + CHOOSE(CONTROL!$C$38, 0.0347, 0)</f>
        <v>22.036200000000001</v>
      </c>
      <c r="F167" s="27">
        <f>22.0015 * CHOOSE(CONTROL!$C$15, $E$9, 100%, $G$9) + CHOOSE(CONTROL!$C$38, 0.0256, 0)</f>
        <v>22.027100000000001</v>
      </c>
      <c r="G167" s="10">
        <f>20.237 * CHOOSE(CONTROL!$C$15, $E$9, 100%, $G$9) + CHOOSE(CONTROL!$C$38, 0.0347, 0)</f>
        <v>20.271699999999999</v>
      </c>
      <c r="H167" s="10">
        <f>20.237 * CHOOSE(CONTROL!$C$15, $E$9, 100%, $G$9) + CHOOSE(CONTROL!$C$38, 0.0347, 0)</f>
        <v>20.271699999999999</v>
      </c>
      <c r="I167" s="10">
        <f>20.2385 * CHOOSE(CONTROL!$C$15, $E$9, 100%, $G$9) + CHOOSE(CONTROL!$C$38, 0.0347, 0)</f>
        <v>20.273199999999999</v>
      </c>
      <c r="J167" s="26">
        <f>126.7092</f>
        <v>126.7092</v>
      </c>
    </row>
    <row r="168" spans="1:10" ht="15" x14ac:dyDescent="0.2">
      <c r="A168" s="16">
        <v>46388</v>
      </c>
      <c r="B168" s="10">
        <f>23.4366 * CHOOSE(CONTROL!$C$15, $E$9, 100%, $G$9) + CHOOSE(CONTROL!$C$38, 0.0256, 0)</f>
        <v>23.462199999999999</v>
      </c>
      <c r="C168" s="10">
        <f>21.4977 * CHOOSE(CONTROL!$C$15, $E$9, 100%, $G$9) + CHOOSE(CONTROL!$C$38, 0.0347, 0)</f>
        <v>21.532399999999999</v>
      </c>
      <c r="D168" s="10">
        <f>21.4898 * CHOOSE(CONTROL!$C$15, $E$9, 100%, $G$9) + CHOOSE(CONTROL!$C$38, 0.0347, 0)</f>
        <v>21.5245</v>
      </c>
      <c r="E168" s="28">
        <f>23.2804 * CHOOSE(CONTROL!$C$15, $E$9, 100%, $G$9) + CHOOSE(CONTROL!$C$38, 0.0347, 0)</f>
        <v>23.315100000000001</v>
      </c>
      <c r="F168" s="27">
        <f>23.2804 * CHOOSE(CONTROL!$C$15, $E$9, 100%, $G$9) + CHOOSE(CONTROL!$C$38, 0.0256, 0)</f>
        <v>23.306000000000001</v>
      </c>
      <c r="G168" s="10">
        <f>21.4961 * CHOOSE(CONTROL!$C$15, $E$9, 100%, $G$9) + CHOOSE(CONTROL!$C$38, 0.0347, 0)</f>
        <v>21.530799999999999</v>
      </c>
      <c r="H168" s="10">
        <f>21.4961 * CHOOSE(CONTROL!$C$15, $E$9, 100%, $G$9) + CHOOSE(CONTROL!$C$38, 0.0347, 0)</f>
        <v>21.530799999999999</v>
      </c>
      <c r="I168" s="10">
        <f>21.4977 * CHOOSE(CONTROL!$C$15, $E$9, 100%, $G$9) + CHOOSE(CONTROL!$C$38, 0.0347, 0)</f>
        <v>21.532399999999999</v>
      </c>
      <c r="J168" s="26">
        <f>128.7566</f>
        <v>128.75659999999999</v>
      </c>
    </row>
    <row r="169" spans="1:10" ht="15" x14ac:dyDescent="0.2">
      <c r="A169" s="16">
        <v>46419</v>
      </c>
      <c r="B169" s="10">
        <f>23.6574 * CHOOSE(CONTROL!$C$15, $E$9, 100%, $G$9) + CHOOSE(CONTROL!$C$38, 0.0256, 0)</f>
        <v>23.683</v>
      </c>
      <c r="C169" s="10">
        <f>21.7184 * CHOOSE(CONTROL!$C$15, $E$9, 100%, $G$9) + CHOOSE(CONTROL!$C$38, 0.0347, 0)</f>
        <v>21.7531</v>
      </c>
      <c r="D169" s="10">
        <f>21.7106 * CHOOSE(CONTROL!$C$15, $E$9, 100%, $G$9) + CHOOSE(CONTROL!$C$38, 0.0347, 0)</f>
        <v>21.7453</v>
      </c>
      <c r="E169" s="28">
        <f>23.5011 * CHOOSE(CONTROL!$C$15, $E$9, 100%, $G$9) + CHOOSE(CONTROL!$C$38, 0.0347, 0)</f>
        <v>23.535800000000002</v>
      </c>
      <c r="F169" s="27">
        <f>23.5011 * CHOOSE(CONTROL!$C$15, $E$9, 100%, $G$9) + CHOOSE(CONTROL!$C$38, 0.0256, 0)</f>
        <v>23.526700000000002</v>
      </c>
      <c r="G169" s="10">
        <f>21.7169 * CHOOSE(CONTROL!$C$15, $E$9, 100%, $G$9) + CHOOSE(CONTROL!$C$38, 0.0347, 0)</f>
        <v>21.7516</v>
      </c>
      <c r="H169" s="10">
        <f>21.7169 * CHOOSE(CONTROL!$C$15, $E$9, 100%, $G$9) + CHOOSE(CONTROL!$C$38, 0.0347, 0)</f>
        <v>21.7516</v>
      </c>
      <c r="I169" s="10">
        <f>21.7184 * CHOOSE(CONTROL!$C$15, $E$9, 100%, $G$9) + CHOOSE(CONTROL!$C$38, 0.0347, 0)</f>
        <v>21.7531</v>
      </c>
      <c r="J169" s="26">
        <f>128.3987</f>
        <v>128.39869999999999</v>
      </c>
    </row>
    <row r="170" spans="1:10" ht="15" x14ac:dyDescent="0.2">
      <c r="A170" s="16">
        <v>46447</v>
      </c>
      <c r="B170" s="10">
        <f>23.1463 * CHOOSE(CONTROL!$C$15, $E$9, 100%, $G$9) + CHOOSE(CONTROL!$C$38, 0.0256, 0)</f>
        <v>23.171900000000001</v>
      </c>
      <c r="C170" s="10">
        <f>21.2074 * CHOOSE(CONTROL!$C$15, $E$9, 100%, $G$9) + CHOOSE(CONTROL!$C$38, 0.0347, 0)</f>
        <v>21.242100000000001</v>
      </c>
      <c r="D170" s="10">
        <f>21.1996 * CHOOSE(CONTROL!$C$15, $E$9, 100%, $G$9) + CHOOSE(CONTROL!$C$38, 0.0347, 0)</f>
        <v>21.234300000000001</v>
      </c>
      <c r="E170" s="28">
        <f>22.9901 * CHOOSE(CONTROL!$C$15, $E$9, 100%, $G$9) + CHOOSE(CONTROL!$C$38, 0.0347, 0)</f>
        <v>23.024800000000003</v>
      </c>
      <c r="F170" s="27">
        <f>22.9901 * CHOOSE(CONTROL!$C$15, $E$9, 100%, $G$9) + CHOOSE(CONTROL!$C$38, 0.0256, 0)</f>
        <v>23.015700000000002</v>
      </c>
      <c r="G170" s="10">
        <f>21.2058 * CHOOSE(CONTROL!$C$15, $E$9, 100%, $G$9) + CHOOSE(CONTROL!$C$38, 0.0347, 0)</f>
        <v>21.240500000000001</v>
      </c>
      <c r="H170" s="10">
        <f>21.2058 * CHOOSE(CONTROL!$C$15, $E$9, 100%, $G$9) + CHOOSE(CONTROL!$C$38, 0.0347, 0)</f>
        <v>21.240500000000001</v>
      </c>
      <c r="I170" s="10">
        <f>21.2074 * CHOOSE(CONTROL!$C$15, $E$9, 100%, $G$9) + CHOOSE(CONTROL!$C$38, 0.0347, 0)</f>
        <v>21.242100000000001</v>
      </c>
      <c r="J170" s="26">
        <f>135.1661</f>
        <v>135.1661</v>
      </c>
    </row>
    <row r="171" spans="1:10" ht="15" x14ac:dyDescent="0.2">
      <c r="A171" s="16">
        <v>46478</v>
      </c>
      <c r="B171" s="10">
        <f>22.6512 * CHOOSE(CONTROL!$C$15, $E$9, 100%, $G$9) + CHOOSE(CONTROL!$C$38, 0.0256, 0)</f>
        <v>22.6768</v>
      </c>
      <c r="C171" s="10">
        <f>20.7122 * CHOOSE(CONTROL!$C$15, $E$9, 100%, $G$9) + CHOOSE(CONTROL!$C$38, 0.0347, 0)</f>
        <v>20.7469</v>
      </c>
      <c r="D171" s="10">
        <f>20.7044 * CHOOSE(CONTROL!$C$15, $E$9, 100%, $G$9) + CHOOSE(CONTROL!$C$38, 0.0347, 0)</f>
        <v>20.739100000000001</v>
      </c>
      <c r="E171" s="28">
        <f>22.4949 * CHOOSE(CONTROL!$C$15, $E$9, 100%, $G$9) + CHOOSE(CONTROL!$C$38, 0.0347, 0)</f>
        <v>22.529600000000002</v>
      </c>
      <c r="F171" s="27">
        <f>22.4949 * CHOOSE(CONTROL!$C$15, $E$9, 100%, $G$9) + CHOOSE(CONTROL!$C$38, 0.0256, 0)</f>
        <v>22.520500000000002</v>
      </c>
      <c r="G171" s="10">
        <f>20.7106 * CHOOSE(CONTROL!$C$15, $E$9, 100%, $G$9) + CHOOSE(CONTROL!$C$38, 0.0347, 0)</f>
        <v>20.7453</v>
      </c>
      <c r="H171" s="10">
        <f>20.7106 * CHOOSE(CONTROL!$C$15, $E$9, 100%, $G$9) + CHOOSE(CONTROL!$C$38, 0.0347, 0)</f>
        <v>20.7453</v>
      </c>
      <c r="I171" s="10">
        <f>20.7122 * CHOOSE(CONTROL!$C$15, $E$9, 100%, $G$9) + CHOOSE(CONTROL!$C$38, 0.0347, 0)</f>
        <v>20.7469</v>
      </c>
      <c r="J171" s="26">
        <f>143.9417</f>
        <v>143.9417</v>
      </c>
    </row>
    <row r="172" spans="1:10" ht="15" x14ac:dyDescent="0.2">
      <c r="A172" s="16">
        <v>46508</v>
      </c>
      <c r="B172" s="10">
        <f>22.135 * CHOOSE(CONTROL!$C$15, $E$9, 100%, $G$9) + CHOOSE(CONTROL!$C$38, 0.0278, 0)</f>
        <v>22.162800000000001</v>
      </c>
      <c r="C172" s="10">
        <f>20.1961 * CHOOSE(CONTROL!$C$15, $E$9, 100%, $G$9) + CHOOSE(CONTROL!$C$38, 0.0369, 0)</f>
        <v>20.233000000000001</v>
      </c>
      <c r="D172" s="10">
        <f>20.1883 * CHOOSE(CONTROL!$C$15, $E$9, 100%, $G$9) + CHOOSE(CONTROL!$C$38, 0.0369, 0)</f>
        <v>20.225200000000001</v>
      </c>
      <c r="E172" s="28">
        <f>21.9788 * CHOOSE(CONTROL!$C$15, $E$9, 100%, $G$9) + CHOOSE(CONTROL!$C$38, 0.0369, 0)</f>
        <v>22.015699999999999</v>
      </c>
      <c r="F172" s="27">
        <f>21.9788 * CHOOSE(CONTROL!$C$15, $E$9, 100%, $G$9) + CHOOSE(CONTROL!$C$38, 0.0278, 0)</f>
        <v>22.006599999999999</v>
      </c>
      <c r="G172" s="10">
        <f>20.1945 * CHOOSE(CONTROL!$C$15, $E$9, 100%, $G$9) + CHOOSE(CONTROL!$C$38, 0.0369, 0)</f>
        <v>20.231400000000001</v>
      </c>
      <c r="H172" s="10">
        <f>20.1945 * CHOOSE(CONTROL!$C$15, $E$9, 100%, $G$9) + CHOOSE(CONTROL!$C$38, 0.0369, 0)</f>
        <v>20.231400000000001</v>
      </c>
      <c r="I172" s="10">
        <f>20.1961 * CHOOSE(CONTROL!$C$15, $E$9, 100%, $G$9) + CHOOSE(CONTROL!$C$38, 0.0369, 0)</f>
        <v>20.233000000000001</v>
      </c>
      <c r="J172" s="26">
        <f>148.7721</f>
        <v>148.77209999999999</v>
      </c>
    </row>
    <row r="173" spans="1:10" ht="15" x14ac:dyDescent="0.2">
      <c r="A173" s="16">
        <v>46539</v>
      </c>
      <c r="B173" s="10">
        <f>21.7732 * CHOOSE(CONTROL!$C$15, $E$9, 100%, $G$9) + CHOOSE(CONTROL!$C$38, 0.0278, 0)</f>
        <v>21.800999999999998</v>
      </c>
      <c r="C173" s="10">
        <f>19.8343 * CHOOSE(CONTROL!$C$15, $E$9, 100%, $G$9) + CHOOSE(CONTROL!$C$38, 0.0369, 0)</f>
        <v>19.871199999999998</v>
      </c>
      <c r="D173" s="10">
        <f>19.8264 * CHOOSE(CONTROL!$C$15, $E$9, 100%, $G$9) + CHOOSE(CONTROL!$C$38, 0.0369, 0)</f>
        <v>19.863299999999999</v>
      </c>
      <c r="E173" s="28">
        <f>21.617 * CHOOSE(CONTROL!$C$15, $E$9, 100%, $G$9) + CHOOSE(CONTROL!$C$38, 0.0369, 0)</f>
        <v>21.6539</v>
      </c>
      <c r="F173" s="27">
        <f>21.617 * CHOOSE(CONTROL!$C$15, $E$9, 100%, $G$9) + CHOOSE(CONTROL!$C$38, 0.0278, 0)</f>
        <v>21.6448</v>
      </c>
      <c r="G173" s="10">
        <f>19.8327 * CHOOSE(CONTROL!$C$15, $E$9, 100%, $G$9) + CHOOSE(CONTROL!$C$38, 0.0369, 0)</f>
        <v>19.869599999999998</v>
      </c>
      <c r="H173" s="10">
        <f>19.8327 * CHOOSE(CONTROL!$C$15, $E$9, 100%, $G$9) + CHOOSE(CONTROL!$C$38, 0.0369, 0)</f>
        <v>19.869599999999998</v>
      </c>
      <c r="I173" s="10">
        <f>19.8343 * CHOOSE(CONTROL!$C$15, $E$9, 100%, $G$9) + CHOOSE(CONTROL!$C$38, 0.0369, 0)</f>
        <v>19.871199999999998</v>
      </c>
      <c r="J173" s="26">
        <f>150.9157</f>
        <v>150.91569999999999</v>
      </c>
    </row>
    <row r="174" spans="1:10" ht="15" x14ac:dyDescent="0.2">
      <c r="A174" s="16">
        <v>46569</v>
      </c>
      <c r="B174" s="10">
        <f>21.5667 * CHOOSE(CONTROL!$C$15, $E$9, 100%, $G$9) + CHOOSE(CONTROL!$C$38, 0.0278, 0)</f>
        <v>21.5945</v>
      </c>
      <c r="C174" s="10">
        <f>19.6278 * CHOOSE(CONTROL!$C$15, $E$9, 100%, $G$9) + CHOOSE(CONTROL!$C$38, 0.0369, 0)</f>
        <v>19.6647</v>
      </c>
      <c r="D174" s="10">
        <f>19.62 * CHOOSE(CONTROL!$C$15, $E$9, 100%, $G$9) + CHOOSE(CONTROL!$C$38, 0.0369, 0)</f>
        <v>19.6569</v>
      </c>
      <c r="E174" s="28">
        <f>21.4105 * CHOOSE(CONTROL!$C$15, $E$9, 100%, $G$9) + CHOOSE(CONTROL!$C$38, 0.0369, 0)</f>
        <v>21.447399999999998</v>
      </c>
      <c r="F174" s="27">
        <f>21.4105 * CHOOSE(CONTROL!$C$15, $E$9, 100%, $G$9) + CHOOSE(CONTROL!$C$38, 0.0278, 0)</f>
        <v>21.438299999999998</v>
      </c>
      <c r="G174" s="10">
        <f>19.6262 * CHOOSE(CONTROL!$C$15, $E$9, 100%, $G$9) + CHOOSE(CONTROL!$C$38, 0.0369, 0)</f>
        <v>19.6631</v>
      </c>
      <c r="H174" s="10">
        <f>19.6262 * CHOOSE(CONTROL!$C$15, $E$9, 100%, $G$9) + CHOOSE(CONTROL!$C$38, 0.0369, 0)</f>
        <v>19.6631</v>
      </c>
      <c r="I174" s="10">
        <f>19.6278 * CHOOSE(CONTROL!$C$15, $E$9, 100%, $G$9) + CHOOSE(CONTROL!$C$38, 0.0369, 0)</f>
        <v>19.6647</v>
      </c>
      <c r="J174" s="26">
        <f>150.21</f>
        <v>150.21</v>
      </c>
    </row>
    <row r="175" spans="1:10" ht="15" x14ac:dyDescent="0.2">
      <c r="A175" s="16">
        <v>46600</v>
      </c>
      <c r="B175" s="10">
        <f>21.6686 * CHOOSE(CONTROL!$C$15, $E$9, 100%, $G$9) + CHOOSE(CONTROL!$C$38, 0.0278, 0)</f>
        <v>21.696400000000001</v>
      </c>
      <c r="C175" s="10">
        <f>19.7297 * CHOOSE(CONTROL!$C$15, $E$9, 100%, $G$9) + CHOOSE(CONTROL!$C$38, 0.0369, 0)</f>
        <v>19.7666</v>
      </c>
      <c r="D175" s="10">
        <f>19.7219 * CHOOSE(CONTROL!$C$15, $E$9, 100%, $G$9) + CHOOSE(CONTROL!$C$38, 0.0369, 0)</f>
        <v>19.758800000000001</v>
      </c>
      <c r="E175" s="28">
        <f>21.5124 * CHOOSE(CONTROL!$C$15, $E$9, 100%, $G$9) + CHOOSE(CONTROL!$C$38, 0.0369, 0)</f>
        <v>21.549299999999999</v>
      </c>
      <c r="F175" s="27">
        <f>21.5124 * CHOOSE(CONTROL!$C$15, $E$9, 100%, $G$9) + CHOOSE(CONTROL!$C$38, 0.0278, 0)</f>
        <v>21.540199999999999</v>
      </c>
      <c r="G175" s="10">
        <f>19.7281 * CHOOSE(CONTROL!$C$15, $E$9, 100%, $G$9) + CHOOSE(CONTROL!$C$38, 0.0369, 0)</f>
        <v>19.765000000000001</v>
      </c>
      <c r="H175" s="10">
        <f>19.7281 * CHOOSE(CONTROL!$C$15, $E$9, 100%, $G$9) + CHOOSE(CONTROL!$C$38, 0.0369, 0)</f>
        <v>19.765000000000001</v>
      </c>
      <c r="I175" s="10">
        <f>19.7297 * CHOOSE(CONTROL!$C$15, $E$9, 100%, $G$9) + CHOOSE(CONTROL!$C$38, 0.0369, 0)</f>
        <v>19.7666</v>
      </c>
      <c r="J175" s="26">
        <f>146.7131</f>
        <v>146.7131</v>
      </c>
    </row>
    <row r="176" spans="1:10" ht="15" x14ac:dyDescent="0.2">
      <c r="A176" s="16">
        <v>46631</v>
      </c>
      <c r="B176" s="10">
        <f>21.9454 * CHOOSE(CONTROL!$C$15, $E$9, 100%, $G$9) + CHOOSE(CONTROL!$C$38, 0.0278, 0)</f>
        <v>21.973199999999999</v>
      </c>
      <c r="C176" s="10">
        <f>20.0065 * CHOOSE(CONTROL!$C$15, $E$9, 100%, $G$9) + CHOOSE(CONTROL!$C$38, 0.0369, 0)</f>
        <v>20.043399999999998</v>
      </c>
      <c r="D176" s="10">
        <f>19.9987 * CHOOSE(CONTROL!$C$15, $E$9, 100%, $G$9) + CHOOSE(CONTROL!$C$38, 0.0369, 0)</f>
        <v>20.035599999999999</v>
      </c>
      <c r="E176" s="28">
        <f>21.7892 * CHOOSE(CONTROL!$C$15, $E$9, 100%, $G$9) + CHOOSE(CONTROL!$C$38, 0.0369, 0)</f>
        <v>21.8261</v>
      </c>
      <c r="F176" s="27">
        <f>21.7892 * CHOOSE(CONTROL!$C$15, $E$9, 100%, $G$9) + CHOOSE(CONTROL!$C$38, 0.0278, 0)</f>
        <v>21.817</v>
      </c>
      <c r="G176" s="10">
        <f>20.0049 * CHOOSE(CONTROL!$C$15, $E$9, 100%, $G$9) + CHOOSE(CONTROL!$C$38, 0.0369, 0)</f>
        <v>20.041799999999999</v>
      </c>
      <c r="H176" s="10">
        <f>20.0049 * CHOOSE(CONTROL!$C$15, $E$9, 100%, $G$9) + CHOOSE(CONTROL!$C$38, 0.0369, 0)</f>
        <v>20.041799999999999</v>
      </c>
      <c r="I176" s="10">
        <f>20.0065 * CHOOSE(CONTROL!$C$15, $E$9, 100%, $G$9) + CHOOSE(CONTROL!$C$38, 0.0369, 0)</f>
        <v>20.043399999999998</v>
      </c>
      <c r="J176" s="26">
        <f>141.8366</f>
        <v>141.8366</v>
      </c>
    </row>
    <row r="177" spans="1:10" ht="15" x14ac:dyDescent="0.2">
      <c r="A177" s="16">
        <v>46661</v>
      </c>
      <c r="B177" s="10">
        <f>22.1772 * CHOOSE(CONTROL!$C$15, $E$9, 100%, $G$9) + CHOOSE(CONTROL!$C$38, 0.0256, 0)</f>
        <v>22.2028</v>
      </c>
      <c r="C177" s="10">
        <f>20.2383 * CHOOSE(CONTROL!$C$15, $E$9, 100%, $G$9) + CHOOSE(CONTROL!$C$38, 0.0347, 0)</f>
        <v>20.273</v>
      </c>
      <c r="D177" s="10">
        <f>20.2305 * CHOOSE(CONTROL!$C$15, $E$9, 100%, $G$9) + CHOOSE(CONTROL!$C$38, 0.0347, 0)</f>
        <v>20.2652</v>
      </c>
      <c r="E177" s="28">
        <f>22.021 * CHOOSE(CONTROL!$C$15, $E$9, 100%, $G$9) + CHOOSE(CONTROL!$C$38, 0.0347, 0)</f>
        <v>22.055700000000002</v>
      </c>
      <c r="F177" s="27">
        <f>22.021 * CHOOSE(CONTROL!$C$15, $E$9, 100%, $G$9) + CHOOSE(CONTROL!$C$38, 0.0256, 0)</f>
        <v>22.046600000000002</v>
      </c>
      <c r="G177" s="10">
        <f>20.2367 * CHOOSE(CONTROL!$C$15, $E$9, 100%, $G$9) + CHOOSE(CONTROL!$C$38, 0.0347, 0)</f>
        <v>20.2714</v>
      </c>
      <c r="H177" s="10">
        <f>20.2367 * CHOOSE(CONTROL!$C$15, $E$9, 100%, $G$9) + CHOOSE(CONTROL!$C$38, 0.0347, 0)</f>
        <v>20.2714</v>
      </c>
      <c r="I177" s="10">
        <f>20.2383 * CHOOSE(CONTROL!$C$15, $E$9, 100%, $G$9) + CHOOSE(CONTROL!$C$38, 0.0347, 0)</f>
        <v>20.273</v>
      </c>
      <c r="J177" s="26">
        <f>136.9318</f>
        <v>136.93180000000001</v>
      </c>
    </row>
    <row r="178" spans="1:10" ht="15" x14ac:dyDescent="0.2">
      <c r="A178" s="16">
        <v>46692</v>
      </c>
      <c r="B178" s="10">
        <f>22.3707 * CHOOSE(CONTROL!$C$15, $E$9, 100%, $G$9) + CHOOSE(CONTROL!$C$38, 0.0256, 0)</f>
        <v>22.3963</v>
      </c>
      <c r="C178" s="10">
        <f>20.4317 * CHOOSE(CONTROL!$C$15, $E$9, 100%, $G$9) + CHOOSE(CONTROL!$C$38, 0.0347, 0)</f>
        <v>20.4664</v>
      </c>
      <c r="D178" s="10">
        <f>20.4239 * CHOOSE(CONTROL!$C$15, $E$9, 100%, $G$9) + CHOOSE(CONTROL!$C$38, 0.0347, 0)</f>
        <v>20.458600000000001</v>
      </c>
      <c r="E178" s="28">
        <f>22.2144 * CHOOSE(CONTROL!$C$15, $E$9, 100%, $G$9) + CHOOSE(CONTROL!$C$38, 0.0347, 0)</f>
        <v>22.249100000000002</v>
      </c>
      <c r="F178" s="27">
        <f>22.2144 * CHOOSE(CONTROL!$C$15, $E$9, 100%, $G$9) + CHOOSE(CONTROL!$C$38, 0.0256, 0)</f>
        <v>22.240000000000002</v>
      </c>
      <c r="G178" s="10">
        <f>20.4302 * CHOOSE(CONTROL!$C$15, $E$9, 100%, $G$9) + CHOOSE(CONTROL!$C$38, 0.0347, 0)</f>
        <v>20.4649</v>
      </c>
      <c r="H178" s="10">
        <f>20.4302 * CHOOSE(CONTROL!$C$15, $E$9, 100%, $G$9) + CHOOSE(CONTROL!$C$38, 0.0347, 0)</f>
        <v>20.4649</v>
      </c>
      <c r="I178" s="10">
        <f>20.4317 * CHOOSE(CONTROL!$C$15, $E$9, 100%, $G$9) + CHOOSE(CONTROL!$C$38, 0.0347, 0)</f>
        <v>20.4664</v>
      </c>
      <c r="J178" s="26">
        <f>135.9561</f>
        <v>135.95609999999999</v>
      </c>
    </row>
    <row r="179" spans="1:10" ht="15" x14ac:dyDescent="0.2">
      <c r="A179" s="16">
        <v>46722</v>
      </c>
      <c r="B179" s="10">
        <f>22.9668 * CHOOSE(CONTROL!$C$15, $E$9, 100%, $G$9) + CHOOSE(CONTROL!$C$38, 0.0256, 0)</f>
        <v>22.9924</v>
      </c>
      <c r="C179" s="10">
        <f>21.0278 * CHOOSE(CONTROL!$C$15, $E$9, 100%, $G$9) + CHOOSE(CONTROL!$C$38, 0.0347, 0)</f>
        <v>21.0625</v>
      </c>
      <c r="D179" s="10">
        <f>21.02 * CHOOSE(CONTROL!$C$15, $E$9, 100%, $G$9) + CHOOSE(CONTROL!$C$38, 0.0347, 0)</f>
        <v>21.0547</v>
      </c>
      <c r="E179" s="28">
        <f>22.8105 * CHOOSE(CONTROL!$C$15, $E$9, 100%, $G$9) + CHOOSE(CONTROL!$C$38, 0.0347, 0)</f>
        <v>22.845200000000002</v>
      </c>
      <c r="F179" s="27">
        <f>22.8105 * CHOOSE(CONTROL!$C$15, $E$9, 100%, $G$9) + CHOOSE(CONTROL!$C$38, 0.0256, 0)</f>
        <v>22.836100000000002</v>
      </c>
      <c r="G179" s="10">
        <f>21.0262 * CHOOSE(CONTROL!$C$15, $E$9, 100%, $G$9) + CHOOSE(CONTROL!$C$38, 0.0347, 0)</f>
        <v>21.0609</v>
      </c>
      <c r="H179" s="10">
        <f>21.0262 * CHOOSE(CONTROL!$C$15, $E$9, 100%, $G$9) + CHOOSE(CONTROL!$C$38, 0.0347, 0)</f>
        <v>21.0609</v>
      </c>
      <c r="I179" s="10">
        <f>21.0278 * CHOOSE(CONTROL!$C$15, $E$9, 100%, $G$9) + CHOOSE(CONTROL!$C$38, 0.0347, 0)</f>
        <v>21.0625</v>
      </c>
      <c r="J179" s="26">
        <f>131.9216</f>
        <v>131.92160000000001</v>
      </c>
    </row>
    <row r="180" spans="1:10" ht="15" x14ac:dyDescent="0.2">
      <c r="A180" s="16">
        <v>46753</v>
      </c>
      <c r="B180" s="10">
        <f>24.3557 * CHOOSE(CONTROL!$C$15, $E$9, 100%, $G$9) + CHOOSE(CONTROL!$C$38, 0.0256, 0)</f>
        <v>24.3813</v>
      </c>
      <c r="C180" s="10">
        <f>22.3943 * CHOOSE(CONTROL!$C$15, $E$9, 100%, $G$9) + CHOOSE(CONTROL!$C$38, 0.0347, 0)</f>
        <v>22.429000000000002</v>
      </c>
      <c r="D180" s="10">
        <f>22.3865 * CHOOSE(CONTROL!$C$15, $E$9, 100%, $G$9) + CHOOSE(CONTROL!$C$38, 0.0347, 0)</f>
        <v>22.421200000000002</v>
      </c>
      <c r="E180" s="28">
        <f>24.1994 * CHOOSE(CONTROL!$C$15, $E$9, 100%, $G$9) + CHOOSE(CONTROL!$C$38, 0.0347, 0)</f>
        <v>24.234100000000002</v>
      </c>
      <c r="F180" s="27">
        <f>24.1994 * CHOOSE(CONTROL!$C$15, $E$9, 100%, $G$9) + CHOOSE(CONTROL!$C$38, 0.0256, 0)</f>
        <v>24.225000000000001</v>
      </c>
      <c r="G180" s="10">
        <f>22.3927 * CHOOSE(CONTROL!$C$15, $E$9, 100%, $G$9) + CHOOSE(CONTROL!$C$38, 0.0347, 0)</f>
        <v>22.427400000000002</v>
      </c>
      <c r="H180" s="10">
        <f>22.3927 * CHOOSE(CONTROL!$C$15, $E$9, 100%, $G$9) + CHOOSE(CONTROL!$C$38, 0.0347, 0)</f>
        <v>22.427400000000002</v>
      </c>
      <c r="I180" s="10">
        <f>22.3943 * CHOOSE(CONTROL!$C$15, $E$9, 100%, $G$9) + CHOOSE(CONTROL!$C$38, 0.0347, 0)</f>
        <v>22.429000000000002</v>
      </c>
      <c r="J180" s="26">
        <f>134.0463</f>
        <v>134.0463</v>
      </c>
    </row>
    <row r="181" spans="1:10" ht="15" x14ac:dyDescent="0.2">
      <c r="A181" s="16">
        <v>46784</v>
      </c>
      <c r="B181" s="10">
        <f>24.5764 * CHOOSE(CONTROL!$C$15, $E$9, 100%, $G$9) + CHOOSE(CONTROL!$C$38, 0.0256, 0)</f>
        <v>24.602</v>
      </c>
      <c r="C181" s="10">
        <f>22.6151 * CHOOSE(CONTROL!$C$15, $E$9, 100%, $G$9) + CHOOSE(CONTROL!$C$38, 0.0347, 0)</f>
        <v>22.649800000000003</v>
      </c>
      <c r="D181" s="10">
        <f>22.6072 * CHOOSE(CONTROL!$C$15, $E$9, 100%, $G$9) + CHOOSE(CONTROL!$C$38, 0.0347, 0)</f>
        <v>22.6419</v>
      </c>
      <c r="E181" s="28">
        <f>24.4202 * CHOOSE(CONTROL!$C$15, $E$9, 100%, $G$9) + CHOOSE(CONTROL!$C$38, 0.0347, 0)</f>
        <v>24.454900000000002</v>
      </c>
      <c r="F181" s="27">
        <f>24.4202 * CHOOSE(CONTROL!$C$15, $E$9, 100%, $G$9) + CHOOSE(CONTROL!$C$38, 0.0256, 0)</f>
        <v>24.445800000000002</v>
      </c>
      <c r="G181" s="10">
        <f>22.6135 * CHOOSE(CONTROL!$C$15, $E$9, 100%, $G$9) + CHOOSE(CONTROL!$C$38, 0.0347, 0)</f>
        <v>22.648199999999999</v>
      </c>
      <c r="H181" s="10">
        <f>22.6135 * CHOOSE(CONTROL!$C$15, $E$9, 100%, $G$9) + CHOOSE(CONTROL!$C$38, 0.0347, 0)</f>
        <v>22.648199999999999</v>
      </c>
      <c r="I181" s="10">
        <f>22.6151 * CHOOSE(CONTROL!$C$15, $E$9, 100%, $G$9) + CHOOSE(CONTROL!$C$38, 0.0347, 0)</f>
        <v>22.649800000000003</v>
      </c>
      <c r="J181" s="26">
        <f>133.6737</f>
        <v>133.6737</v>
      </c>
    </row>
    <row r="182" spans="1:10" ht="15" x14ac:dyDescent="0.2">
      <c r="A182" s="16">
        <v>46813</v>
      </c>
      <c r="B182" s="10">
        <f>24.0654 * CHOOSE(CONTROL!$C$15, $E$9, 100%, $G$9) + CHOOSE(CONTROL!$C$38, 0.0256, 0)</f>
        <v>24.091000000000001</v>
      </c>
      <c r="C182" s="10">
        <f>22.104 * CHOOSE(CONTROL!$C$15, $E$9, 100%, $G$9) + CHOOSE(CONTROL!$C$38, 0.0347, 0)</f>
        <v>22.1387</v>
      </c>
      <c r="D182" s="10">
        <f>22.0962 * CHOOSE(CONTROL!$C$15, $E$9, 100%, $G$9) + CHOOSE(CONTROL!$C$38, 0.0347, 0)</f>
        <v>22.1309</v>
      </c>
      <c r="E182" s="28">
        <f>23.9091 * CHOOSE(CONTROL!$C$15, $E$9, 100%, $G$9) + CHOOSE(CONTROL!$C$38, 0.0347, 0)</f>
        <v>23.9438</v>
      </c>
      <c r="F182" s="27">
        <f>23.9091 * CHOOSE(CONTROL!$C$15, $E$9, 100%, $G$9) + CHOOSE(CONTROL!$C$38, 0.0256, 0)</f>
        <v>23.934699999999999</v>
      </c>
      <c r="G182" s="10">
        <f>22.1025 * CHOOSE(CONTROL!$C$15, $E$9, 100%, $G$9) + CHOOSE(CONTROL!$C$38, 0.0347, 0)</f>
        <v>22.1372</v>
      </c>
      <c r="H182" s="10">
        <f>22.1025 * CHOOSE(CONTROL!$C$15, $E$9, 100%, $G$9) + CHOOSE(CONTROL!$C$38, 0.0347, 0)</f>
        <v>22.1372</v>
      </c>
      <c r="I182" s="10">
        <f>22.104 * CHOOSE(CONTROL!$C$15, $E$9, 100%, $G$9) + CHOOSE(CONTROL!$C$38, 0.0347, 0)</f>
        <v>22.1387</v>
      </c>
      <c r="J182" s="26">
        <f>140.7191</f>
        <v>140.7191</v>
      </c>
    </row>
    <row r="183" spans="1:10" ht="15" x14ac:dyDescent="0.2">
      <c r="A183" s="16">
        <v>46844</v>
      </c>
      <c r="B183" s="10">
        <f>23.5702 * CHOOSE(CONTROL!$C$15, $E$9, 100%, $G$9) + CHOOSE(CONTROL!$C$38, 0.0256, 0)</f>
        <v>23.595800000000001</v>
      </c>
      <c r="C183" s="10">
        <f>21.6088 * CHOOSE(CONTROL!$C$15, $E$9, 100%, $G$9) + CHOOSE(CONTROL!$C$38, 0.0347, 0)</f>
        <v>21.6435</v>
      </c>
      <c r="D183" s="10">
        <f>21.601 * CHOOSE(CONTROL!$C$15, $E$9, 100%, $G$9) + CHOOSE(CONTROL!$C$38, 0.0347, 0)</f>
        <v>21.6357</v>
      </c>
      <c r="E183" s="28">
        <f>23.414 * CHOOSE(CONTROL!$C$15, $E$9, 100%, $G$9) + CHOOSE(CONTROL!$C$38, 0.0347, 0)</f>
        <v>23.448700000000002</v>
      </c>
      <c r="F183" s="27">
        <f>23.414 * CHOOSE(CONTROL!$C$15, $E$9, 100%, $G$9) + CHOOSE(CONTROL!$C$38, 0.0256, 0)</f>
        <v>23.439600000000002</v>
      </c>
      <c r="G183" s="10">
        <f>21.6073 * CHOOSE(CONTROL!$C$15, $E$9, 100%, $G$9) + CHOOSE(CONTROL!$C$38, 0.0347, 0)</f>
        <v>21.641999999999999</v>
      </c>
      <c r="H183" s="10">
        <f>21.6073 * CHOOSE(CONTROL!$C$15, $E$9, 100%, $G$9) + CHOOSE(CONTROL!$C$38, 0.0347, 0)</f>
        <v>21.641999999999999</v>
      </c>
      <c r="I183" s="10">
        <f>21.6088 * CHOOSE(CONTROL!$C$15, $E$9, 100%, $G$9) + CHOOSE(CONTROL!$C$38, 0.0347, 0)</f>
        <v>21.6435</v>
      </c>
      <c r="J183" s="26">
        <f>149.8553</f>
        <v>149.8553</v>
      </c>
    </row>
    <row r="184" spans="1:10" ht="15" x14ac:dyDescent="0.2">
      <c r="A184" s="16">
        <v>46874</v>
      </c>
      <c r="B184" s="10">
        <f>23.0541 * CHOOSE(CONTROL!$C$15, $E$9, 100%, $G$9) + CHOOSE(CONTROL!$C$38, 0.0278, 0)</f>
        <v>23.081899999999997</v>
      </c>
      <c r="C184" s="10">
        <f>21.0927 * CHOOSE(CONTROL!$C$15, $E$9, 100%, $G$9) + CHOOSE(CONTROL!$C$38, 0.0369, 0)</f>
        <v>21.1296</v>
      </c>
      <c r="D184" s="10">
        <f>21.0849 * CHOOSE(CONTROL!$C$15, $E$9, 100%, $G$9) + CHOOSE(CONTROL!$C$38, 0.0369, 0)</f>
        <v>21.1218</v>
      </c>
      <c r="E184" s="28">
        <f>22.8979 * CHOOSE(CONTROL!$C$15, $E$9, 100%, $G$9) + CHOOSE(CONTROL!$C$38, 0.0369, 0)</f>
        <v>22.934799999999999</v>
      </c>
      <c r="F184" s="27">
        <f>22.8979 * CHOOSE(CONTROL!$C$15, $E$9, 100%, $G$9) + CHOOSE(CONTROL!$C$38, 0.0278, 0)</f>
        <v>22.925699999999999</v>
      </c>
      <c r="G184" s="10">
        <f>21.0912 * CHOOSE(CONTROL!$C$15, $E$9, 100%, $G$9) + CHOOSE(CONTROL!$C$38, 0.0369, 0)</f>
        <v>21.1281</v>
      </c>
      <c r="H184" s="10">
        <f>21.0912 * CHOOSE(CONTROL!$C$15, $E$9, 100%, $G$9) + CHOOSE(CONTROL!$C$38, 0.0369, 0)</f>
        <v>21.1281</v>
      </c>
      <c r="I184" s="10">
        <f>21.0927 * CHOOSE(CONTROL!$C$15, $E$9, 100%, $G$9) + CHOOSE(CONTROL!$C$38, 0.0369, 0)</f>
        <v>21.1296</v>
      </c>
      <c r="J184" s="26">
        <f>154.8841</f>
        <v>154.88409999999999</v>
      </c>
    </row>
    <row r="185" spans="1:10" ht="15" x14ac:dyDescent="0.2">
      <c r="A185" s="16">
        <v>46905</v>
      </c>
      <c r="B185" s="10">
        <f>22.6923 * CHOOSE(CONTROL!$C$15, $E$9, 100%, $G$9) + CHOOSE(CONTROL!$C$38, 0.0278, 0)</f>
        <v>22.720099999999999</v>
      </c>
      <c r="C185" s="10">
        <f>20.7309 * CHOOSE(CONTROL!$C$15, $E$9, 100%, $G$9) + CHOOSE(CONTROL!$C$38, 0.0369, 0)</f>
        <v>20.767799999999998</v>
      </c>
      <c r="D185" s="10">
        <f>20.7231 * CHOOSE(CONTROL!$C$15, $E$9, 100%, $G$9) + CHOOSE(CONTROL!$C$38, 0.0369, 0)</f>
        <v>20.759999999999998</v>
      </c>
      <c r="E185" s="28">
        <f>22.536 * CHOOSE(CONTROL!$C$15, $E$9, 100%, $G$9) + CHOOSE(CONTROL!$C$38, 0.0369, 0)</f>
        <v>22.572900000000001</v>
      </c>
      <c r="F185" s="27">
        <f>22.536 * CHOOSE(CONTROL!$C$15, $E$9, 100%, $G$9) + CHOOSE(CONTROL!$C$38, 0.0278, 0)</f>
        <v>22.563800000000001</v>
      </c>
      <c r="G185" s="10">
        <f>20.7293 * CHOOSE(CONTROL!$C$15, $E$9, 100%, $G$9) + CHOOSE(CONTROL!$C$38, 0.0369, 0)</f>
        <v>20.766199999999998</v>
      </c>
      <c r="H185" s="10">
        <f>20.7293 * CHOOSE(CONTROL!$C$15, $E$9, 100%, $G$9) + CHOOSE(CONTROL!$C$38, 0.0369, 0)</f>
        <v>20.766199999999998</v>
      </c>
      <c r="I185" s="10">
        <f>20.7309 * CHOOSE(CONTROL!$C$15, $E$9, 100%, $G$9) + CHOOSE(CONTROL!$C$38, 0.0369, 0)</f>
        <v>20.767799999999998</v>
      </c>
      <c r="J185" s="26">
        <f>157.1158</f>
        <v>157.11580000000001</v>
      </c>
    </row>
    <row r="186" spans="1:10" ht="15" x14ac:dyDescent="0.2">
      <c r="A186" s="16">
        <v>46935</v>
      </c>
      <c r="B186" s="10">
        <f>22.4858 * CHOOSE(CONTROL!$C$15, $E$9, 100%, $G$9) + CHOOSE(CONTROL!$C$38, 0.0278, 0)</f>
        <v>22.5136</v>
      </c>
      <c r="C186" s="10">
        <f>20.5244 * CHOOSE(CONTROL!$C$15, $E$9, 100%, $G$9) + CHOOSE(CONTROL!$C$38, 0.0369, 0)</f>
        <v>20.561299999999999</v>
      </c>
      <c r="D186" s="10">
        <f>20.5166 * CHOOSE(CONTROL!$C$15, $E$9, 100%, $G$9) + CHOOSE(CONTROL!$C$38, 0.0369, 0)</f>
        <v>20.5535</v>
      </c>
      <c r="E186" s="28">
        <f>22.3295 * CHOOSE(CONTROL!$C$15, $E$9, 100%, $G$9) + CHOOSE(CONTROL!$C$38, 0.0369, 0)</f>
        <v>22.366399999999999</v>
      </c>
      <c r="F186" s="27">
        <f>22.3295 * CHOOSE(CONTROL!$C$15, $E$9, 100%, $G$9) + CHOOSE(CONTROL!$C$38, 0.0278, 0)</f>
        <v>22.357299999999999</v>
      </c>
      <c r="G186" s="10">
        <f>20.5228 * CHOOSE(CONTROL!$C$15, $E$9, 100%, $G$9) + CHOOSE(CONTROL!$C$38, 0.0369, 0)</f>
        <v>20.559699999999999</v>
      </c>
      <c r="H186" s="10">
        <f>20.5228 * CHOOSE(CONTROL!$C$15, $E$9, 100%, $G$9) + CHOOSE(CONTROL!$C$38, 0.0369, 0)</f>
        <v>20.559699999999999</v>
      </c>
      <c r="I186" s="10">
        <f>20.5244 * CHOOSE(CONTROL!$C$15, $E$9, 100%, $G$9) + CHOOSE(CONTROL!$C$38, 0.0369, 0)</f>
        <v>20.561299999999999</v>
      </c>
      <c r="J186" s="26">
        <f>156.3811</f>
        <v>156.3811</v>
      </c>
    </row>
    <row r="187" spans="1:10" ht="15" x14ac:dyDescent="0.2">
      <c r="A187" s="16">
        <v>46966</v>
      </c>
      <c r="B187" s="10">
        <f>22.5877 * CHOOSE(CONTROL!$C$15, $E$9, 100%, $G$9) + CHOOSE(CONTROL!$C$38, 0.0278, 0)</f>
        <v>22.615500000000001</v>
      </c>
      <c r="C187" s="10">
        <f>20.6263 * CHOOSE(CONTROL!$C$15, $E$9, 100%, $G$9) + CHOOSE(CONTROL!$C$38, 0.0369, 0)</f>
        <v>20.6632</v>
      </c>
      <c r="D187" s="10">
        <f>20.6185 * CHOOSE(CONTROL!$C$15, $E$9, 100%, $G$9) + CHOOSE(CONTROL!$C$38, 0.0369, 0)</f>
        <v>20.6554</v>
      </c>
      <c r="E187" s="28">
        <f>22.4314 * CHOOSE(CONTROL!$C$15, $E$9, 100%, $G$9) + CHOOSE(CONTROL!$C$38, 0.0369, 0)</f>
        <v>22.468299999999999</v>
      </c>
      <c r="F187" s="27">
        <f>22.4314 * CHOOSE(CONTROL!$C$15, $E$9, 100%, $G$9) + CHOOSE(CONTROL!$C$38, 0.0278, 0)</f>
        <v>22.459199999999999</v>
      </c>
      <c r="G187" s="10">
        <f>20.6248 * CHOOSE(CONTROL!$C$15, $E$9, 100%, $G$9) + CHOOSE(CONTROL!$C$38, 0.0369, 0)</f>
        <v>20.6617</v>
      </c>
      <c r="H187" s="10">
        <f>20.6248 * CHOOSE(CONTROL!$C$15, $E$9, 100%, $G$9) + CHOOSE(CONTROL!$C$38, 0.0369, 0)</f>
        <v>20.6617</v>
      </c>
      <c r="I187" s="10">
        <f>20.6263 * CHOOSE(CONTROL!$C$15, $E$9, 100%, $G$9) + CHOOSE(CONTROL!$C$38, 0.0369, 0)</f>
        <v>20.6632</v>
      </c>
      <c r="J187" s="26">
        <f>152.7406</f>
        <v>152.7406</v>
      </c>
    </row>
    <row r="188" spans="1:10" ht="15" x14ac:dyDescent="0.2">
      <c r="A188" s="16">
        <v>46997</v>
      </c>
      <c r="B188" s="10">
        <f>22.8645 * CHOOSE(CONTROL!$C$15, $E$9, 100%, $G$9) + CHOOSE(CONTROL!$C$38, 0.0278, 0)</f>
        <v>22.892299999999999</v>
      </c>
      <c r="C188" s="10">
        <f>20.9031 * CHOOSE(CONTROL!$C$15, $E$9, 100%, $G$9) + CHOOSE(CONTROL!$C$38, 0.0369, 0)</f>
        <v>20.939999999999998</v>
      </c>
      <c r="D188" s="10">
        <f>20.8953 * CHOOSE(CONTROL!$C$15, $E$9, 100%, $G$9) + CHOOSE(CONTROL!$C$38, 0.0369, 0)</f>
        <v>20.932199999999998</v>
      </c>
      <c r="E188" s="28">
        <f>22.7082 * CHOOSE(CONTROL!$C$15, $E$9, 100%, $G$9) + CHOOSE(CONTROL!$C$38, 0.0369, 0)</f>
        <v>22.745100000000001</v>
      </c>
      <c r="F188" s="27">
        <f>22.7082 * CHOOSE(CONTROL!$C$15, $E$9, 100%, $G$9) + CHOOSE(CONTROL!$C$38, 0.0278, 0)</f>
        <v>22.736000000000001</v>
      </c>
      <c r="G188" s="10">
        <f>20.9016 * CHOOSE(CONTROL!$C$15, $E$9, 100%, $G$9) + CHOOSE(CONTROL!$C$38, 0.0369, 0)</f>
        <v>20.938499999999998</v>
      </c>
      <c r="H188" s="10">
        <f>20.9016 * CHOOSE(CONTROL!$C$15, $E$9, 100%, $G$9) + CHOOSE(CONTROL!$C$38, 0.0369, 0)</f>
        <v>20.938499999999998</v>
      </c>
      <c r="I188" s="10">
        <f>20.9031 * CHOOSE(CONTROL!$C$15, $E$9, 100%, $G$9) + CHOOSE(CONTROL!$C$38, 0.0369, 0)</f>
        <v>20.939999999999998</v>
      </c>
      <c r="J188" s="26">
        <f>147.6637</f>
        <v>147.66370000000001</v>
      </c>
    </row>
    <row r="189" spans="1:10" ht="15" x14ac:dyDescent="0.2">
      <c r="A189" s="16">
        <v>47027</v>
      </c>
      <c r="B189" s="10">
        <f>23.0963 * CHOOSE(CONTROL!$C$15, $E$9, 100%, $G$9) + CHOOSE(CONTROL!$C$38, 0.0256, 0)</f>
        <v>23.1219</v>
      </c>
      <c r="C189" s="10">
        <f>21.1349 * CHOOSE(CONTROL!$C$15, $E$9, 100%, $G$9) + CHOOSE(CONTROL!$C$38, 0.0347, 0)</f>
        <v>21.169599999999999</v>
      </c>
      <c r="D189" s="10">
        <f>21.1271 * CHOOSE(CONTROL!$C$15, $E$9, 100%, $G$9) + CHOOSE(CONTROL!$C$38, 0.0347, 0)</f>
        <v>21.161799999999999</v>
      </c>
      <c r="E189" s="28">
        <f>22.9401 * CHOOSE(CONTROL!$C$15, $E$9, 100%, $G$9) + CHOOSE(CONTROL!$C$38, 0.0347, 0)</f>
        <v>22.974800000000002</v>
      </c>
      <c r="F189" s="27">
        <f>22.9401 * CHOOSE(CONTROL!$C$15, $E$9, 100%, $G$9) + CHOOSE(CONTROL!$C$38, 0.0256, 0)</f>
        <v>22.965700000000002</v>
      </c>
      <c r="G189" s="10">
        <f>21.1334 * CHOOSE(CONTROL!$C$15, $E$9, 100%, $G$9) + CHOOSE(CONTROL!$C$38, 0.0347, 0)</f>
        <v>21.168100000000003</v>
      </c>
      <c r="H189" s="10">
        <f>21.1334 * CHOOSE(CONTROL!$C$15, $E$9, 100%, $G$9) + CHOOSE(CONTROL!$C$38, 0.0347, 0)</f>
        <v>21.168100000000003</v>
      </c>
      <c r="I189" s="10">
        <f>21.1349 * CHOOSE(CONTROL!$C$15, $E$9, 100%, $G$9) + CHOOSE(CONTROL!$C$38, 0.0347, 0)</f>
        <v>21.169599999999999</v>
      </c>
      <c r="J189" s="26">
        <f>142.5574</f>
        <v>142.5574</v>
      </c>
    </row>
    <row r="190" spans="1:10" ht="15" x14ac:dyDescent="0.2">
      <c r="A190" s="16">
        <v>47058</v>
      </c>
      <c r="B190" s="10">
        <f>23.2897 * CHOOSE(CONTROL!$C$15, $E$9, 100%, $G$9) + CHOOSE(CONTROL!$C$38, 0.0256, 0)</f>
        <v>23.315300000000001</v>
      </c>
      <c r="C190" s="10">
        <f>21.3284 * CHOOSE(CONTROL!$C$15, $E$9, 100%, $G$9) + CHOOSE(CONTROL!$C$38, 0.0347, 0)</f>
        <v>21.363099999999999</v>
      </c>
      <c r="D190" s="10">
        <f>21.3206 * CHOOSE(CONTROL!$C$15, $E$9, 100%, $G$9) + CHOOSE(CONTROL!$C$38, 0.0347, 0)</f>
        <v>21.3553</v>
      </c>
      <c r="E190" s="28">
        <f>23.1335 * CHOOSE(CONTROL!$C$15, $E$9, 100%, $G$9) + CHOOSE(CONTROL!$C$38, 0.0347, 0)</f>
        <v>23.168200000000002</v>
      </c>
      <c r="F190" s="27">
        <f>23.1335 * CHOOSE(CONTROL!$C$15, $E$9, 100%, $G$9) + CHOOSE(CONTROL!$C$38, 0.0256, 0)</f>
        <v>23.159100000000002</v>
      </c>
      <c r="G190" s="10">
        <f>21.3268 * CHOOSE(CONTROL!$C$15, $E$9, 100%, $G$9) + CHOOSE(CONTROL!$C$38, 0.0347, 0)</f>
        <v>21.361499999999999</v>
      </c>
      <c r="H190" s="10">
        <f>21.3268 * CHOOSE(CONTROL!$C$15, $E$9, 100%, $G$9) + CHOOSE(CONTROL!$C$38, 0.0347, 0)</f>
        <v>21.361499999999999</v>
      </c>
      <c r="I190" s="10">
        <f>21.3284 * CHOOSE(CONTROL!$C$15, $E$9, 100%, $G$9) + CHOOSE(CONTROL!$C$38, 0.0347, 0)</f>
        <v>21.363099999999999</v>
      </c>
      <c r="J190" s="26">
        <f>141.5416</f>
        <v>141.54159999999999</v>
      </c>
    </row>
    <row r="191" spans="1:10" ht="15" x14ac:dyDescent="0.2">
      <c r="A191" s="16">
        <v>47088</v>
      </c>
      <c r="B191" s="10">
        <f>23.8858 * CHOOSE(CONTROL!$C$15, $E$9, 100%, $G$9) + CHOOSE(CONTROL!$C$38, 0.0256, 0)</f>
        <v>23.9114</v>
      </c>
      <c r="C191" s="10">
        <f>21.9245 * CHOOSE(CONTROL!$C$15, $E$9, 100%, $G$9) + CHOOSE(CONTROL!$C$38, 0.0347, 0)</f>
        <v>21.959199999999999</v>
      </c>
      <c r="D191" s="10">
        <f>21.9166 * CHOOSE(CONTROL!$C$15, $E$9, 100%, $G$9) + CHOOSE(CONTROL!$C$38, 0.0347, 0)</f>
        <v>21.9513</v>
      </c>
      <c r="E191" s="28">
        <f>23.7296 * CHOOSE(CONTROL!$C$15, $E$9, 100%, $G$9) + CHOOSE(CONTROL!$C$38, 0.0347, 0)</f>
        <v>23.764300000000002</v>
      </c>
      <c r="F191" s="27">
        <f>23.7296 * CHOOSE(CONTROL!$C$15, $E$9, 100%, $G$9) + CHOOSE(CONTROL!$C$38, 0.0256, 0)</f>
        <v>23.755200000000002</v>
      </c>
      <c r="G191" s="10">
        <f>21.9229 * CHOOSE(CONTROL!$C$15, $E$9, 100%, $G$9) + CHOOSE(CONTROL!$C$38, 0.0347, 0)</f>
        <v>21.957599999999999</v>
      </c>
      <c r="H191" s="10">
        <f>21.9229 * CHOOSE(CONTROL!$C$15, $E$9, 100%, $G$9) + CHOOSE(CONTROL!$C$38, 0.0347, 0)</f>
        <v>21.957599999999999</v>
      </c>
      <c r="I191" s="10">
        <f>21.9245 * CHOOSE(CONTROL!$C$15, $E$9, 100%, $G$9) + CHOOSE(CONTROL!$C$38, 0.0347, 0)</f>
        <v>21.959199999999999</v>
      </c>
      <c r="J191" s="26">
        <f>137.3414</f>
        <v>137.34139999999999</v>
      </c>
    </row>
    <row r="192" spans="1:10" ht="15" x14ac:dyDescent="0.2">
      <c r="A192" s="16">
        <v>47119</v>
      </c>
      <c r="B192" s="10">
        <f>25.2958 * CHOOSE(CONTROL!$C$15, $E$9, 100%, $G$9) + CHOOSE(CONTROL!$C$38, 0.0256, 0)</f>
        <v>25.321400000000001</v>
      </c>
      <c r="C192" s="10">
        <f>23.3115 * CHOOSE(CONTROL!$C$15, $E$9, 100%, $G$9) + CHOOSE(CONTROL!$C$38, 0.0347, 0)</f>
        <v>23.3462</v>
      </c>
      <c r="D192" s="10">
        <f>23.3037 * CHOOSE(CONTROL!$C$15, $E$9, 100%, $G$9) + CHOOSE(CONTROL!$C$38, 0.0347, 0)</f>
        <v>23.3384</v>
      </c>
      <c r="E192" s="28">
        <f>25.1395 * CHOOSE(CONTROL!$C$15, $E$9, 100%, $G$9) + CHOOSE(CONTROL!$C$38, 0.0347, 0)</f>
        <v>25.174200000000003</v>
      </c>
      <c r="F192" s="27">
        <f>25.1395 * CHOOSE(CONTROL!$C$15, $E$9, 100%, $G$9) + CHOOSE(CONTROL!$C$38, 0.0256, 0)</f>
        <v>25.165100000000002</v>
      </c>
      <c r="G192" s="10">
        <f>23.3099 * CHOOSE(CONTROL!$C$15, $E$9, 100%, $G$9) + CHOOSE(CONTROL!$C$38, 0.0347, 0)</f>
        <v>23.3446</v>
      </c>
      <c r="H192" s="10">
        <f>23.3099 * CHOOSE(CONTROL!$C$15, $E$9, 100%, $G$9) + CHOOSE(CONTROL!$C$38, 0.0347, 0)</f>
        <v>23.3446</v>
      </c>
      <c r="I192" s="10">
        <f>23.3115 * CHOOSE(CONTROL!$C$15, $E$9, 100%, $G$9) + CHOOSE(CONTROL!$C$38, 0.0347, 0)</f>
        <v>23.3462</v>
      </c>
      <c r="J192" s="26">
        <f>139.5568</f>
        <v>139.55680000000001</v>
      </c>
    </row>
    <row r="193" spans="1:10" ht="15" x14ac:dyDescent="0.2">
      <c r="A193" s="16">
        <v>47150</v>
      </c>
      <c r="B193" s="10">
        <f>25.5165 * CHOOSE(CONTROL!$C$15, $E$9, 100%, $G$9) + CHOOSE(CONTROL!$C$38, 0.0256, 0)</f>
        <v>25.542100000000001</v>
      </c>
      <c r="C193" s="10">
        <f>23.5322 * CHOOSE(CONTROL!$C$15, $E$9, 100%, $G$9) + CHOOSE(CONTROL!$C$38, 0.0347, 0)</f>
        <v>23.5669</v>
      </c>
      <c r="D193" s="10">
        <f>23.5244 * CHOOSE(CONTROL!$C$15, $E$9, 100%, $G$9) + CHOOSE(CONTROL!$C$38, 0.0347, 0)</f>
        <v>23.559100000000001</v>
      </c>
      <c r="E193" s="28">
        <f>25.3603 * CHOOSE(CONTROL!$C$15, $E$9, 100%, $G$9) + CHOOSE(CONTROL!$C$38, 0.0347, 0)</f>
        <v>25.395</v>
      </c>
      <c r="F193" s="27">
        <f>25.3603 * CHOOSE(CONTROL!$C$15, $E$9, 100%, $G$9) + CHOOSE(CONTROL!$C$38, 0.0256, 0)</f>
        <v>25.385899999999999</v>
      </c>
      <c r="G193" s="10">
        <f>23.5307 * CHOOSE(CONTROL!$C$15, $E$9, 100%, $G$9) + CHOOSE(CONTROL!$C$38, 0.0347, 0)</f>
        <v>23.5654</v>
      </c>
      <c r="H193" s="10">
        <f>23.5307 * CHOOSE(CONTROL!$C$15, $E$9, 100%, $G$9) + CHOOSE(CONTROL!$C$38, 0.0347, 0)</f>
        <v>23.5654</v>
      </c>
      <c r="I193" s="10">
        <f>23.5322 * CHOOSE(CONTROL!$C$15, $E$9, 100%, $G$9) + CHOOSE(CONTROL!$C$38, 0.0347, 0)</f>
        <v>23.5669</v>
      </c>
      <c r="J193" s="26">
        <f>139.1689</f>
        <v>139.16890000000001</v>
      </c>
    </row>
    <row r="194" spans="1:10" ht="15" x14ac:dyDescent="0.2">
      <c r="A194" s="16">
        <v>47178</v>
      </c>
      <c r="B194" s="10">
        <f>25.0055 * CHOOSE(CONTROL!$C$15, $E$9, 100%, $G$9) + CHOOSE(CONTROL!$C$38, 0.0256, 0)</f>
        <v>25.031100000000002</v>
      </c>
      <c r="C194" s="10">
        <f>23.0212 * CHOOSE(CONTROL!$C$15, $E$9, 100%, $G$9) + CHOOSE(CONTROL!$C$38, 0.0347, 0)</f>
        <v>23.055900000000001</v>
      </c>
      <c r="D194" s="10">
        <f>23.0134 * CHOOSE(CONTROL!$C$15, $E$9, 100%, $G$9) + CHOOSE(CONTROL!$C$38, 0.0347, 0)</f>
        <v>23.048100000000002</v>
      </c>
      <c r="E194" s="28">
        <f>24.8493 * CHOOSE(CONTROL!$C$15, $E$9, 100%, $G$9) + CHOOSE(CONTROL!$C$38, 0.0347, 0)</f>
        <v>24.884</v>
      </c>
      <c r="F194" s="27">
        <f>24.8493 * CHOOSE(CONTROL!$C$15, $E$9, 100%, $G$9) + CHOOSE(CONTROL!$C$38, 0.0256, 0)</f>
        <v>24.8749</v>
      </c>
      <c r="G194" s="10">
        <f>23.0197 * CHOOSE(CONTROL!$C$15, $E$9, 100%, $G$9) + CHOOSE(CONTROL!$C$38, 0.0347, 0)</f>
        <v>23.054400000000001</v>
      </c>
      <c r="H194" s="10">
        <f>23.0197 * CHOOSE(CONTROL!$C$15, $E$9, 100%, $G$9) + CHOOSE(CONTROL!$C$38, 0.0347, 0)</f>
        <v>23.054400000000001</v>
      </c>
      <c r="I194" s="10">
        <f>23.0212 * CHOOSE(CONTROL!$C$15, $E$9, 100%, $G$9) + CHOOSE(CONTROL!$C$38, 0.0347, 0)</f>
        <v>23.055900000000001</v>
      </c>
      <c r="J194" s="26">
        <f>146.5039</f>
        <v>146.50389999999999</v>
      </c>
    </row>
    <row r="195" spans="1:10" ht="15" x14ac:dyDescent="0.2">
      <c r="A195" s="16">
        <v>47209</v>
      </c>
      <c r="B195" s="10">
        <f>24.5103 * CHOOSE(CONTROL!$C$15, $E$9, 100%, $G$9) + CHOOSE(CONTROL!$C$38, 0.0256, 0)</f>
        <v>24.535900000000002</v>
      </c>
      <c r="C195" s="10">
        <f>22.526 * CHOOSE(CONTROL!$C$15, $E$9, 100%, $G$9) + CHOOSE(CONTROL!$C$38, 0.0347, 0)</f>
        <v>22.560700000000001</v>
      </c>
      <c r="D195" s="10">
        <f>22.5182 * CHOOSE(CONTROL!$C$15, $E$9, 100%, $G$9) + CHOOSE(CONTROL!$C$38, 0.0347, 0)</f>
        <v>22.552900000000001</v>
      </c>
      <c r="E195" s="28">
        <f>24.3541 * CHOOSE(CONTROL!$C$15, $E$9, 100%, $G$9) + CHOOSE(CONTROL!$C$38, 0.0347, 0)</f>
        <v>24.3888</v>
      </c>
      <c r="F195" s="27">
        <f>24.3541 * CHOOSE(CONTROL!$C$15, $E$9, 100%, $G$9) + CHOOSE(CONTROL!$C$38, 0.0256, 0)</f>
        <v>24.3797</v>
      </c>
      <c r="G195" s="10">
        <f>22.5245 * CHOOSE(CONTROL!$C$15, $E$9, 100%, $G$9) + CHOOSE(CONTROL!$C$38, 0.0347, 0)</f>
        <v>22.559200000000001</v>
      </c>
      <c r="H195" s="10">
        <f>22.5245 * CHOOSE(CONTROL!$C$15, $E$9, 100%, $G$9) + CHOOSE(CONTROL!$C$38, 0.0347, 0)</f>
        <v>22.559200000000001</v>
      </c>
      <c r="I195" s="10">
        <f>22.526 * CHOOSE(CONTROL!$C$15, $E$9, 100%, $G$9) + CHOOSE(CONTROL!$C$38, 0.0347, 0)</f>
        <v>22.560700000000001</v>
      </c>
      <c r="J195" s="26">
        <f>156.0157</f>
        <v>156.01570000000001</v>
      </c>
    </row>
    <row r="196" spans="1:10" ht="15" x14ac:dyDescent="0.2">
      <c r="A196" s="16">
        <v>47239</v>
      </c>
      <c r="B196" s="10">
        <f>23.9942 * CHOOSE(CONTROL!$C$15, $E$9, 100%, $G$9) + CHOOSE(CONTROL!$C$38, 0.0278, 0)</f>
        <v>24.021999999999998</v>
      </c>
      <c r="C196" s="10">
        <f>22.0099 * CHOOSE(CONTROL!$C$15, $E$9, 100%, $G$9) + CHOOSE(CONTROL!$C$38, 0.0369, 0)</f>
        <v>22.046799999999998</v>
      </c>
      <c r="D196" s="10">
        <f>22.0021 * CHOOSE(CONTROL!$C$15, $E$9, 100%, $G$9) + CHOOSE(CONTROL!$C$38, 0.0369, 0)</f>
        <v>22.038999999999998</v>
      </c>
      <c r="E196" s="28">
        <f>23.838 * CHOOSE(CONTROL!$C$15, $E$9, 100%, $G$9) + CHOOSE(CONTROL!$C$38, 0.0369, 0)</f>
        <v>23.8749</v>
      </c>
      <c r="F196" s="27">
        <f>23.838 * CHOOSE(CONTROL!$C$15, $E$9, 100%, $G$9) + CHOOSE(CONTROL!$C$38, 0.0278, 0)</f>
        <v>23.8658</v>
      </c>
      <c r="G196" s="10">
        <f>22.0084 * CHOOSE(CONTROL!$C$15, $E$9, 100%, $G$9) + CHOOSE(CONTROL!$C$38, 0.0369, 0)</f>
        <v>22.045300000000001</v>
      </c>
      <c r="H196" s="10">
        <f>22.0084 * CHOOSE(CONTROL!$C$15, $E$9, 100%, $G$9) + CHOOSE(CONTROL!$C$38, 0.0369, 0)</f>
        <v>22.045300000000001</v>
      </c>
      <c r="I196" s="10">
        <f>22.0099 * CHOOSE(CONTROL!$C$15, $E$9, 100%, $G$9) + CHOOSE(CONTROL!$C$38, 0.0369, 0)</f>
        <v>22.046799999999998</v>
      </c>
      <c r="J196" s="26">
        <f>161.2513</f>
        <v>161.25129999999999</v>
      </c>
    </row>
    <row r="197" spans="1:10" ht="15" x14ac:dyDescent="0.2">
      <c r="A197" s="16">
        <v>47270</v>
      </c>
      <c r="B197" s="10">
        <f>23.6324 * CHOOSE(CONTROL!$C$15, $E$9, 100%, $G$9) + CHOOSE(CONTROL!$C$38, 0.0278, 0)</f>
        <v>23.6602</v>
      </c>
      <c r="C197" s="10">
        <f>21.6481 * CHOOSE(CONTROL!$C$15, $E$9, 100%, $G$9) + CHOOSE(CONTROL!$C$38, 0.0369, 0)</f>
        <v>21.684999999999999</v>
      </c>
      <c r="D197" s="10">
        <f>21.6403 * CHOOSE(CONTROL!$C$15, $E$9, 100%, $G$9) + CHOOSE(CONTROL!$C$38, 0.0369, 0)</f>
        <v>21.677199999999999</v>
      </c>
      <c r="E197" s="28">
        <f>23.4761 * CHOOSE(CONTROL!$C$15, $E$9, 100%, $G$9) + CHOOSE(CONTROL!$C$38, 0.0369, 0)</f>
        <v>23.512999999999998</v>
      </c>
      <c r="F197" s="27">
        <f>23.4761 * CHOOSE(CONTROL!$C$15, $E$9, 100%, $G$9) + CHOOSE(CONTROL!$C$38, 0.0278, 0)</f>
        <v>23.503899999999998</v>
      </c>
      <c r="G197" s="10">
        <f>21.6465 * CHOOSE(CONTROL!$C$15, $E$9, 100%, $G$9) + CHOOSE(CONTROL!$C$38, 0.0369, 0)</f>
        <v>21.683399999999999</v>
      </c>
      <c r="H197" s="10">
        <f>21.6465 * CHOOSE(CONTROL!$C$15, $E$9, 100%, $G$9) + CHOOSE(CONTROL!$C$38, 0.0369, 0)</f>
        <v>21.683399999999999</v>
      </c>
      <c r="I197" s="10">
        <f>21.6481 * CHOOSE(CONTROL!$C$15, $E$9, 100%, $G$9) + CHOOSE(CONTROL!$C$38, 0.0369, 0)</f>
        <v>21.684999999999999</v>
      </c>
      <c r="J197" s="26">
        <f>163.5747</f>
        <v>163.57470000000001</v>
      </c>
    </row>
    <row r="198" spans="1:10" ht="15" x14ac:dyDescent="0.2">
      <c r="A198" s="16">
        <v>47300</v>
      </c>
      <c r="B198" s="10">
        <f>23.4259 * CHOOSE(CONTROL!$C$15, $E$9, 100%, $G$9) + CHOOSE(CONTROL!$C$38, 0.0278, 0)</f>
        <v>23.453699999999998</v>
      </c>
      <c r="C198" s="10">
        <f>21.4416 * CHOOSE(CONTROL!$C$15, $E$9, 100%, $G$9) + CHOOSE(CONTROL!$C$38, 0.0369, 0)</f>
        <v>21.4785</v>
      </c>
      <c r="D198" s="10">
        <f>21.4338 * CHOOSE(CONTROL!$C$15, $E$9, 100%, $G$9) + CHOOSE(CONTROL!$C$38, 0.0369, 0)</f>
        <v>21.470700000000001</v>
      </c>
      <c r="E198" s="28">
        <f>23.2696 * CHOOSE(CONTROL!$C$15, $E$9, 100%, $G$9) + CHOOSE(CONTROL!$C$38, 0.0369, 0)</f>
        <v>23.3065</v>
      </c>
      <c r="F198" s="27">
        <f>23.2696 * CHOOSE(CONTROL!$C$15, $E$9, 100%, $G$9) + CHOOSE(CONTROL!$C$38, 0.0278, 0)</f>
        <v>23.2974</v>
      </c>
      <c r="G198" s="10">
        <f>21.44 * CHOOSE(CONTROL!$C$15, $E$9, 100%, $G$9) + CHOOSE(CONTROL!$C$38, 0.0369, 0)</f>
        <v>21.476900000000001</v>
      </c>
      <c r="H198" s="10">
        <f>21.44 * CHOOSE(CONTROL!$C$15, $E$9, 100%, $G$9) + CHOOSE(CONTROL!$C$38, 0.0369, 0)</f>
        <v>21.476900000000001</v>
      </c>
      <c r="I198" s="10">
        <f>21.4416 * CHOOSE(CONTROL!$C$15, $E$9, 100%, $G$9) + CHOOSE(CONTROL!$C$38, 0.0369, 0)</f>
        <v>21.4785</v>
      </c>
      <c r="J198" s="26">
        <f>162.8097</f>
        <v>162.80969999999999</v>
      </c>
    </row>
    <row r="199" spans="1:10" ht="15" x14ac:dyDescent="0.2">
      <c r="A199" s="16">
        <v>47331</v>
      </c>
      <c r="B199" s="10">
        <f>23.5278 * CHOOSE(CONTROL!$C$15, $E$9, 100%, $G$9) + CHOOSE(CONTROL!$C$38, 0.0278, 0)</f>
        <v>23.555599999999998</v>
      </c>
      <c r="C199" s="10">
        <f>21.5435 * CHOOSE(CONTROL!$C$15, $E$9, 100%, $G$9) + CHOOSE(CONTROL!$C$38, 0.0369, 0)</f>
        <v>21.580400000000001</v>
      </c>
      <c r="D199" s="10">
        <f>21.5357 * CHOOSE(CONTROL!$C$15, $E$9, 100%, $G$9) + CHOOSE(CONTROL!$C$38, 0.0369, 0)</f>
        <v>21.572599999999998</v>
      </c>
      <c r="E199" s="28">
        <f>23.3716 * CHOOSE(CONTROL!$C$15, $E$9, 100%, $G$9) + CHOOSE(CONTROL!$C$38, 0.0369, 0)</f>
        <v>23.4085</v>
      </c>
      <c r="F199" s="27">
        <f>23.3716 * CHOOSE(CONTROL!$C$15, $E$9, 100%, $G$9) + CHOOSE(CONTROL!$C$38, 0.0278, 0)</f>
        <v>23.3994</v>
      </c>
      <c r="G199" s="10">
        <f>21.5419 * CHOOSE(CONTROL!$C$15, $E$9, 100%, $G$9) + CHOOSE(CONTROL!$C$38, 0.0369, 0)</f>
        <v>21.578799999999998</v>
      </c>
      <c r="H199" s="10">
        <f>21.5419 * CHOOSE(CONTROL!$C$15, $E$9, 100%, $G$9) + CHOOSE(CONTROL!$C$38, 0.0369, 0)</f>
        <v>21.578799999999998</v>
      </c>
      <c r="I199" s="10">
        <f>21.5435 * CHOOSE(CONTROL!$C$15, $E$9, 100%, $G$9) + CHOOSE(CONTROL!$C$38, 0.0369, 0)</f>
        <v>21.580400000000001</v>
      </c>
      <c r="J199" s="26">
        <f>159.0196</f>
        <v>159.0196</v>
      </c>
    </row>
    <row r="200" spans="1:10" ht="15" x14ac:dyDescent="0.2">
      <c r="A200" s="16">
        <v>47362</v>
      </c>
      <c r="B200" s="10">
        <f>23.8046 * CHOOSE(CONTROL!$C$15, $E$9, 100%, $G$9) + CHOOSE(CONTROL!$C$38, 0.0278, 0)</f>
        <v>23.8324</v>
      </c>
      <c r="C200" s="10">
        <f>21.8203 * CHOOSE(CONTROL!$C$15, $E$9, 100%, $G$9) + CHOOSE(CONTROL!$C$38, 0.0369, 0)</f>
        <v>21.857199999999999</v>
      </c>
      <c r="D200" s="10">
        <f>21.8125 * CHOOSE(CONTROL!$C$15, $E$9, 100%, $G$9) + CHOOSE(CONTROL!$C$38, 0.0369, 0)</f>
        <v>21.849399999999999</v>
      </c>
      <c r="E200" s="28">
        <f>23.6484 * CHOOSE(CONTROL!$C$15, $E$9, 100%, $G$9) + CHOOSE(CONTROL!$C$38, 0.0369, 0)</f>
        <v>23.685299999999998</v>
      </c>
      <c r="F200" s="27">
        <f>23.6484 * CHOOSE(CONTROL!$C$15, $E$9, 100%, $G$9) + CHOOSE(CONTROL!$C$38, 0.0278, 0)</f>
        <v>23.676199999999998</v>
      </c>
      <c r="G200" s="10">
        <f>21.8187 * CHOOSE(CONTROL!$C$15, $E$9, 100%, $G$9) + CHOOSE(CONTROL!$C$38, 0.0369, 0)</f>
        <v>21.855599999999999</v>
      </c>
      <c r="H200" s="10">
        <f>21.8187 * CHOOSE(CONTROL!$C$15, $E$9, 100%, $G$9) + CHOOSE(CONTROL!$C$38, 0.0369, 0)</f>
        <v>21.855599999999999</v>
      </c>
      <c r="I200" s="10">
        <f>21.8203 * CHOOSE(CONTROL!$C$15, $E$9, 100%, $G$9) + CHOOSE(CONTROL!$C$38, 0.0369, 0)</f>
        <v>21.857199999999999</v>
      </c>
      <c r="J200" s="26">
        <f>153.734</f>
        <v>153.73400000000001</v>
      </c>
    </row>
    <row r="201" spans="1:10" ht="15" x14ac:dyDescent="0.2">
      <c r="A201" s="16">
        <v>47392</v>
      </c>
      <c r="B201" s="10">
        <f>24.0364 * CHOOSE(CONTROL!$C$15, $E$9, 100%, $G$9) + CHOOSE(CONTROL!$C$38, 0.0256, 0)</f>
        <v>24.062000000000001</v>
      </c>
      <c r="C201" s="10">
        <f>22.0521 * CHOOSE(CONTROL!$C$15, $E$9, 100%, $G$9) + CHOOSE(CONTROL!$C$38, 0.0347, 0)</f>
        <v>22.0868</v>
      </c>
      <c r="D201" s="10">
        <f>22.0443 * CHOOSE(CONTROL!$C$15, $E$9, 100%, $G$9) + CHOOSE(CONTROL!$C$38, 0.0347, 0)</f>
        <v>22.079000000000001</v>
      </c>
      <c r="E201" s="28">
        <f>23.8802 * CHOOSE(CONTROL!$C$15, $E$9, 100%, $G$9) + CHOOSE(CONTROL!$C$38, 0.0347, 0)</f>
        <v>23.914899999999999</v>
      </c>
      <c r="F201" s="27">
        <f>23.8802 * CHOOSE(CONTROL!$C$15, $E$9, 100%, $G$9) + CHOOSE(CONTROL!$C$38, 0.0256, 0)</f>
        <v>23.905799999999999</v>
      </c>
      <c r="G201" s="10">
        <f>22.0506 * CHOOSE(CONTROL!$C$15, $E$9, 100%, $G$9) + CHOOSE(CONTROL!$C$38, 0.0347, 0)</f>
        <v>22.0853</v>
      </c>
      <c r="H201" s="10">
        <f>22.0506 * CHOOSE(CONTROL!$C$15, $E$9, 100%, $G$9) + CHOOSE(CONTROL!$C$38, 0.0347, 0)</f>
        <v>22.0853</v>
      </c>
      <c r="I201" s="10">
        <f>22.0521 * CHOOSE(CONTROL!$C$15, $E$9, 100%, $G$9) + CHOOSE(CONTROL!$C$38, 0.0347, 0)</f>
        <v>22.0868</v>
      </c>
      <c r="J201" s="26">
        <f>148.4178</f>
        <v>148.4178</v>
      </c>
    </row>
    <row r="202" spans="1:10" ht="15" x14ac:dyDescent="0.2">
      <c r="A202" s="16">
        <v>47423</v>
      </c>
      <c r="B202" s="10">
        <f>24.2299 * CHOOSE(CONTROL!$C$15, $E$9, 100%, $G$9) + CHOOSE(CONTROL!$C$38, 0.0256, 0)</f>
        <v>24.255500000000001</v>
      </c>
      <c r="C202" s="10">
        <f>22.2456 * CHOOSE(CONTROL!$C$15, $E$9, 100%, $G$9) + CHOOSE(CONTROL!$C$38, 0.0347, 0)</f>
        <v>22.2803</v>
      </c>
      <c r="D202" s="10">
        <f>22.2378 * CHOOSE(CONTROL!$C$15, $E$9, 100%, $G$9) + CHOOSE(CONTROL!$C$38, 0.0347, 0)</f>
        <v>22.272500000000001</v>
      </c>
      <c r="E202" s="28">
        <f>24.0736 * CHOOSE(CONTROL!$C$15, $E$9, 100%, $G$9) + CHOOSE(CONTROL!$C$38, 0.0347, 0)</f>
        <v>24.1083</v>
      </c>
      <c r="F202" s="27">
        <f>24.0736 * CHOOSE(CONTROL!$C$15, $E$9, 100%, $G$9) + CHOOSE(CONTROL!$C$38, 0.0256, 0)</f>
        <v>24.0992</v>
      </c>
      <c r="G202" s="10">
        <f>22.244 * CHOOSE(CONTROL!$C$15, $E$9, 100%, $G$9) + CHOOSE(CONTROL!$C$38, 0.0347, 0)</f>
        <v>22.278700000000001</v>
      </c>
      <c r="H202" s="10">
        <f>22.244 * CHOOSE(CONTROL!$C$15, $E$9, 100%, $G$9) + CHOOSE(CONTROL!$C$38, 0.0347, 0)</f>
        <v>22.278700000000001</v>
      </c>
      <c r="I202" s="10">
        <f>22.2456 * CHOOSE(CONTROL!$C$15, $E$9, 100%, $G$9) + CHOOSE(CONTROL!$C$38, 0.0347, 0)</f>
        <v>22.2803</v>
      </c>
      <c r="J202" s="26">
        <f>147.3602</f>
        <v>147.36019999999999</v>
      </c>
    </row>
    <row r="203" spans="1:10" ht="15" x14ac:dyDescent="0.2">
      <c r="A203" s="16">
        <v>47453</v>
      </c>
      <c r="B203" s="10">
        <f>24.8259 * CHOOSE(CONTROL!$C$15, $E$9, 100%, $G$9) + CHOOSE(CONTROL!$C$38, 0.0256, 0)</f>
        <v>24.851500000000001</v>
      </c>
      <c r="C203" s="10">
        <f>22.8416 * CHOOSE(CONTROL!$C$15, $E$9, 100%, $G$9) + CHOOSE(CONTROL!$C$38, 0.0347, 0)</f>
        <v>22.876300000000001</v>
      </c>
      <c r="D203" s="10">
        <f>22.8338 * CHOOSE(CONTROL!$C$15, $E$9, 100%, $G$9) + CHOOSE(CONTROL!$C$38, 0.0347, 0)</f>
        <v>22.868500000000001</v>
      </c>
      <c r="E203" s="28">
        <f>24.6697 * CHOOSE(CONTROL!$C$15, $E$9, 100%, $G$9) + CHOOSE(CONTROL!$C$38, 0.0347, 0)</f>
        <v>24.7044</v>
      </c>
      <c r="F203" s="27">
        <f>24.6697 * CHOOSE(CONTROL!$C$15, $E$9, 100%, $G$9) + CHOOSE(CONTROL!$C$38, 0.0256, 0)</f>
        <v>24.6953</v>
      </c>
      <c r="G203" s="10">
        <f>22.8401 * CHOOSE(CONTROL!$C$15, $E$9, 100%, $G$9) + CHOOSE(CONTROL!$C$38, 0.0347, 0)</f>
        <v>22.8748</v>
      </c>
      <c r="H203" s="10">
        <f>22.8401 * CHOOSE(CONTROL!$C$15, $E$9, 100%, $G$9) + CHOOSE(CONTROL!$C$38, 0.0347, 0)</f>
        <v>22.8748</v>
      </c>
      <c r="I203" s="10">
        <f>22.8416 * CHOOSE(CONTROL!$C$15, $E$9, 100%, $G$9) + CHOOSE(CONTROL!$C$38, 0.0347, 0)</f>
        <v>22.876300000000001</v>
      </c>
      <c r="J203" s="26">
        <f>142.9873</f>
        <v>142.9873</v>
      </c>
    </row>
    <row r="204" spans="1:10" ht="15" x14ac:dyDescent="0.2">
      <c r="A204" s="16">
        <v>47484</v>
      </c>
      <c r="B204" s="10">
        <f>26.2743 * CHOOSE(CONTROL!$C$15, $E$9, 100%, $G$9) + CHOOSE(CONTROL!$C$38, 0.0256, 0)</f>
        <v>26.299900000000001</v>
      </c>
      <c r="C204" s="10">
        <f>24.2662 * CHOOSE(CONTROL!$C$15, $E$9, 100%, $G$9) + CHOOSE(CONTROL!$C$38, 0.0347, 0)</f>
        <v>24.300900000000002</v>
      </c>
      <c r="D204" s="10">
        <f>24.2584 * CHOOSE(CONTROL!$C$15, $E$9, 100%, $G$9) + CHOOSE(CONTROL!$C$38, 0.0347, 0)</f>
        <v>24.293100000000003</v>
      </c>
      <c r="E204" s="28">
        <f>26.1181 * CHOOSE(CONTROL!$C$15, $E$9, 100%, $G$9) + CHOOSE(CONTROL!$C$38, 0.0347, 0)</f>
        <v>26.152799999999999</v>
      </c>
      <c r="F204" s="27">
        <f>26.1181 * CHOOSE(CONTROL!$C$15, $E$9, 100%, $G$9) + CHOOSE(CONTROL!$C$38, 0.0256, 0)</f>
        <v>26.143699999999999</v>
      </c>
      <c r="G204" s="10">
        <f>24.2646 * CHOOSE(CONTROL!$C$15, $E$9, 100%, $G$9) + CHOOSE(CONTROL!$C$38, 0.0347, 0)</f>
        <v>24.299300000000002</v>
      </c>
      <c r="H204" s="10">
        <f>24.2646 * CHOOSE(CONTROL!$C$15, $E$9, 100%, $G$9) + CHOOSE(CONTROL!$C$38, 0.0347, 0)</f>
        <v>24.299300000000002</v>
      </c>
      <c r="I204" s="10">
        <f>24.2662 * CHOOSE(CONTROL!$C$15, $E$9, 100%, $G$9) + CHOOSE(CONTROL!$C$38, 0.0347, 0)</f>
        <v>24.300900000000002</v>
      </c>
      <c r="J204" s="26">
        <f>145.2881</f>
        <v>145.28809999999999</v>
      </c>
    </row>
    <row r="205" spans="1:10" ht="15" x14ac:dyDescent="0.2">
      <c r="A205" s="16">
        <v>47515</v>
      </c>
      <c r="B205" s="10">
        <f>26.4951 * CHOOSE(CONTROL!$C$15, $E$9, 100%, $G$9) + CHOOSE(CONTROL!$C$38, 0.0256, 0)</f>
        <v>26.520700000000001</v>
      </c>
      <c r="C205" s="10">
        <f>24.4869 * CHOOSE(CONTROL!$C$15, $E$9, 100%, $G$9) + CHOOSE(CONTROL!$C$38, 0.0347, 0)</f>
        <v>24.521599999999999</v>
      </c>
      <c r="D205" s="10">
        <f>24.4791 * CHOOSE(CONTROL!$C$15, $E$9, 100%, $G$9) + CHOOSE(CONTROL!$C$38, 0.0347, 0)</f>
        <v>24.5138</v>
      </c>
      <c r="E205" s="28">
        <f>26.3388 * CHOOSE(CONTROL!$C$15, $E$9, 100%, $G$9) + CHOOSE(CONTROL!$C$38, 0.0347, 0)</f>
        <v>26.3735</v>
      </c>
      <c r="F205" s="27">
        <f>26.3388 * CHOOSE(CONTROL!$C$15, $E$9, 100%, $G$9) + CHOOSE(CONTROL!$C$38, 0.0256, 0)</f>
        <v>26.3644</v>
      </c>
      <c r="G205" s="10">
        <f>24.4854 * CHOOSE(CONTROL!$C$15, $E$9, 100%, $G$9) + CHOOSE(CONTROL!$C$38, 0.0347, 0)</f>
        <v>24.520099999999999</v>
      </c>
      <c r="H205" s="10">
        <f>24.4854 * CHOOSE(CONTROL!$C$15, $E$9, 100%, $G$9) + CHOOSE(CONTROL!$C$38, 0.0347, 0)</f>
        <v>24.520099999999999</v>
      </c>
      <c r="I205" s="10">
        <f>24.4869 * CHOOSE(CONTROL!$C$15, $E$9, 100%, $G$9) + CHOOSE(CONTROL!$C$38, 0.0347, 0)</f>
        <v>24.521599999999999</v>
      </c>
      <c r="J205" s="26">
        <f>144.8843</f>
        <v>144.8843</v>
      </c>
    </row>
    <row r="206" spans="1:10" ht="15" x14ac:dyDescent="0.2">
      <c r="A206" s="16">
        <v>47543</v>
      </c>
      <c r="B206" s="10">
        <f>25.9841 * CHOOSE(CONTROL!$C$15, $E$9, 100%, $G$9) + CHOOSE(CONTROL!$C$38, 0.0256, 0)</f>
        <v>26.009700000000002</v>
      </c>
      <c r="C206" s="10">
        <f>23.9759 * CHOOSE(CONTROL!$C$15, $E$9, 100%, $G$9) + CHOOSE(CONTROL!$C$38, 0.0347, 0)</f>
        <v>24.0106</v>
      </c>
      <c r="D206" s="10">
        <f>23.9681 * CHOOSE(CONTROL!$C$15, $E$9, 100%, $G$9) + CHOOSE(CONTROL!$C$38, 0.0347, 0)</f>
        <v>24.002800000000001</v>
      </c>
      <c r="E206" s="28">
        <f>25.8278 * CHOOSE(CONTROL!$C$15, $E$9, 100%, $G$9) + CHOOSE(CONTROL!$C$38, 0.0347, 0)</f>
        <v>25.862500000000001</v>
      </c>
      <c r="F206" s="27">
        <f>25.8278 * CHOOSE(CONTROL!$C$15, $E$9, 100%, $G$9) + CHOOSE(CONTROL!$C$38, 0.0256, 0)</f>
        <v>25.853400000000001</v>
      </c>
      <c r="G206" s="10">
        <f>23.9743 * CHOOSE(CONTROL!$C$15, $E$9, 100%, $G$9) + CHOOSE(CONTROL!$C$38, 0.0347, 0)</f>
        <v>24.009</v>
      </c>
      <c r="H206" s="10">
        <f>23.9743 * CHOOSE(CONTROL!$C$15, $E$9, 100%, $G$9) + CHOOSE(CONTROL!$C$38, 0.0347, 0)</f>
        <v>24.009</v>
      </c>
      <c r="I206" s="10">
        <f>23.9759 * CHOOSE(CONTROL!$C$15, $E$9, 100%, $G$9) + CHOOSE(CONTROL!$C$38, 0.0347, 0)</f>
        <v>24.0106</v>
      </c>
      <c r="J206" s="26">
        <f>152.5205</f>
        <v>152.5205</v>
      </c>
    </row>
    <row r="207" spans="1:10" ht="15" x14ac:dyDescent="0.2">
      <c r="A207" s="16">
        <v>47574</v>
      </c>
      <c r="B207" s="10">
        <f>25.4889 * CHOOSE(CONTROL!$C$15, $E$9, 100%, $G$9) + CHOOSE(CONTROL!$C$38, 0.0256, 0)</f>
        <v>25.514500000000002</v>
      </c>
      <c r="C207" s="10">
        <f>23.4807 * CHOOSE(CONTROL!$C$15, $E$9, 100%, $G$9) + CHOOSE(CONTROL!$C$38, 0.0347, 0)</f>
        <v>23.5154</v>
      </c>
      <c r="D207" s="10">
        <f>23.4729 * CHOOSE(CONTROL!$C$15, $E$9, 100%, $G$9) + CHOOSE(CONTROL!$C$38, 0.0347, 0)</f>
        <v>23.5076</v>
      </c>
      <c r="E207" s="28">
        <f>25.3326 * CHOOSE(CONTROL!$C$15, $E$9, 100%, $G$9) + CHOOSE(CONTROL!$C$38, 0.0347, 0)</f>
        <v>25.3673</v>
      </c>
      <c r="F207" s="27">
        <f>25.3326 * CHOOSE(CONTROL!$C$15, $E$9, 100%, $G$9) + CHOOSE(CONTROL!$C$38, 0.0256, 0)</f>
        <v>25.3582</v>
      </c>
      <c r="G207" s="10">
        <f>23.4792 * CHOOSE(CONTROL!$C$15, $E$9, 100%, $G$9) + CHOOSE(CONTROL!$C$38, 0.0347, 0)</f>
        <v>23.5139</v>
      </c>
      <c r="H207" s="10">
        <f>23.4792 * CHOOSE(CONTROL!$C$15, $E$9, 100%, $G$9) + CHOOSE(CONTROL!$C$38, 0.0347, 0)</f>
        <v>23.5139</v>
      </c>
      <c r="I207" s="10">
        <f>23.4807 * CHOOSE(CONTROL!$C$15, $E$9, 100%, $G$9) + CHOOSE(CONTROL!$C$38, 0.0347, 0)</f>
        <v>23.5154</v>
      </c>
      <c r="J207" s="26">
        <f>162.4229</f>
        <v>162.4229</v>
      </c>
    </row>
    <row r="208" spans="1:10" ht="15" x14ac:dyDescent="0.2">
      <c r="A208" s="16">
        <v>47604</v>
      </c>
      <c r="B208" s="10">
        <f>24.9728 * CHOOSE(CONTROL!$C$15, $E$9, 100%, $G$9) + CHOOSE(CONTROL!$C$38, 0.0278, 0)</f>
        <v>25.000599999999999</v>
      </c>
      <c r="C208" s="10">
        <f>22.9646 * CHOOSE(CONTROL!$C$15, $E$9, 100%, $G$9) + CHOOSE(CONTROL!$C$38, 0.0369, 0)</f>
        <v>23.0015</v>
      </c>
      <c r="D208" s="10">
        <f>22.9568 * CHOOSE(CONTROL!$C$15, $E$9, 100%, $G$9) + CHOOSE(CONTROL!$C$38, 0.0369, 0)</f>
        <v>22.9937</v>
      </c>
      <c r="E208" s="28">
        <f>24.8165 * CHOOSE(CONTROL!$C$15, $E$9, 100%, $G$9) + CHOOSE(CONTROL!$C$38, 0.0369, 0)</f>
        <v>24.853400000000001</v>
      </c>
      <c r="F208" s="27">
        <f>24.8165 * CHOOSE(CONTROL!$C$15, $E$9, 100%, $G$9) + CHOOSE(CONTROL!$C$38, 0.0278, 0)</f>
        <v>24.8443</v>
      </c>
      <c r="G208" s="10">
        <f>22.963 * CHOOSE(CONTROL!$C$15, $E$9, 100%, $G$9) + CHOOSE(CONTROL!$C$38, 0.0369, 0)</f>
        <v>22.9999</v>
      </c>
      <c r="H208" s="10">
        <f>22.963 * CHOOSE(CONTROL!$C$15, $E$9, 100%, $G$9) + CHOOSE(CONTROL!$C$38, 0.0369, 0)</f>
        <v>22.9999</v>
      </c>
      <c r="I208" s="10">
        <f>22.9646 * CHOOSE(CONTROL!$C$15, $E$9, 100%, $G$9) + CHOOSE(CONTROL!$C$38, 0.0369, 0)</f>
        <v>23.0015</v>
      </c>
      <c r="J208" s="26">
        <f>167.8735</f>
        <v>167.87350000000001</v>
      </c>
    </row>
    <row r="209" spans="1:10" ht="15" x14ac:dyDescent="0.2">
      <c r="A209" s="16">
        <v>47635</v>
      </c>
      <c r="B209" s="10">
        <f>24.6109 * CHOOSE(CONTROL!$C$15, $E$9, 100%, $G$9) + CHOOSE(CONTROL!$C$38, 0.0278, 0)</f>
        <v>24.6387</v>
      </c>
      <c r="C209" s="10">
        <f>22.6028 * CHOOSE(CONTROL!$C$15, $E$9, 100%, $G$9) + CHOOSE(CONTROL!$C$38, 0.0369, 0)</f>
        <v>22.639699999999998</v>
      </c>
      <c r="D209" s="10">
        <f>22.595 * CHOOSE(CONTROL!$C$15, $E$9, 100%, $G$9) + CHOOSE(CONTROL!$C$38, 0.0369, 0)</f>
        <v>22.631899999999998</v>
      </c>
      <c r="E209" s="28">
        <f>24.4547 * CHOOSE(CONTROL!$C$15, $E$9, 100%, $G$9) + CHOOSE(CONTROL!$C$38, 0.0369, 0)</f>
        <v>24.491599999999998</v>
      </c>
      <c r="F209" s="27">
        <f>24.4547 * CHOOSE(CONTROL!$C$15, $E$9, 100%, $G$9) + CHOOSE(CONTROL!$C$38, 0.0278, 0)</f>
        <v>24.482499999999998</v>
      </c>
      <c r="G209" s="10">
        <f>22.6012 * CHOOSE(CONTROL!$C$15, $E$9, 100%, $G$9) + CHOOSE(CONTROL!$C$38, 0.0369, 0)</f>
        <v>22.638099999999998</v>
      </c>
      <c r="H209" s="10">
        <f>22.6012 * CHOOSE(CONTROL!$C$15, $E$9, 100%, $G$9) + CHOOSE(CONTROL!$C$38, 0.0369, 0)</f>
        <v>22.638099999999998</v>
      </c>
      <c r="I209" s="10">
        <f>22.6028 * CHOOSE(CONTROL!$C$15, $E$9, 100%, $G$9) + CHOOSE(CONTROL!$C$38, 0.0369, 0)</f>
        <v>22.639699999999998</v>
      </c>
      <c r="J209" s="26">
        <f>170.2924</f>
        <v>170.29239999999999</v>
      </c>
    </row>
    <row r="210" spans="1:10" ht="15" x14ac:dyDescent="0.2">
      <c r="A210" s="16">
        <v>47665</v>
      </c>
      <c r="B210" s="10">
        <f>24.4045 * CHOOSE(CONTROL!$C$15, $E$9, 100%, $G$9) + CHOOSE(CONTROL!$C$38, 0.0278, 0)</f>
        <v>24.432299999999998</v>
      </c>
      <c r="C210" s="10">
        <f>22.3963 * CHOOSE(CONTROL!$C$15, $E$9, 100%, $G$9) + CHOOSE(CONTROL!$C$38, 0.0369, 0)</f>
        <v>22.433199999999999</v>
      </c>
      <c r="D210" s="10">
        <f>22.3885 * CHOOSE(CONTROL!$C$15, $E$9, 100%, $G$9) + CHOOSE(CONTROL!$C$38, 0.0369, 0)</f>
        <v>22.4254</v>
      </c>
      <c r="E210" s="28">
        <f>24.2482 * CHOOSE(CONTROL!$C$15, $E$9, 100%, $G$9) + CHOOSE(CONTROL!$C$38, 0.0369, 0)</f>
        <v>24.2851</v>
      </c>
      <c r="F210" s="27">
        <f>24.2482 * CHOOSE(CONTROL!$C$15, $E$9, 100%, $G$9) + CHOOSE(CONTROL!$C$38, 0.0278, 0)</f>
        <v>24.276</v>
      </c>
      <c r="G210" s="10">
        <f>22.3947 * CHOOSE(CONTROL!$C$15, $E$9, 100%, $G$9) + CHOOSE(CONTROL!$C$38, 0.0369, 0)</f>
        <v>22.4316</v>
      </c>
      <c r="H210" s="10">
        <f>22.3947 * CHOOSE(CONTROL!$C$15, $E$9, 100%, $G$9) + CHOOSE(CONTROL!$C$38, 0.0369, 0)</f>
        <v>22.4316</v>
      </c>
      <c r="I210" s="10">
        <f>22.3963 * CHOOSE(CONTROL!$C$15, $E$9, 100%, $G$9) + CHOOSE(CONTROL!$C$38, 0.0369, 0)</f>
        <v>22.433199999999999</v>
      </c>
      <c r="J210" s="26">
        <f>169.496</f>
        <v>169.49600000000001</v>
      </c>
    </row>
    <row r="211" spans="1:10" ht="15" x14ac:dyDescent="0.2">
      <c r="A211" s="16">
        <v>47696</v>
      </c>
      <c r="B211" s="10">
        <f>24.5064 * CHOOSE(CONTROL!$C$15, $E$9, 100%, $G$9) + CHOOSE(CONTROL!$C$38, 0.0278, 0)</f>
        <v>24.534199999999998</v>
      </c>
      <c r="C211" s="10">
        <f>22.4982 * CHOOSE(CONTROL!$C$15, $E$9, 100%, $G$9) + CHOOSE(CONTROL!$C$38, 0.0369, 0)</f>
        <v>22.5351</v>
      </c>
      <c r="D211" s="10">
        <f>22.4904 * CHOOSE(CONTROL!$C$15, $E$9, 100%, $G$9) + CHOOSE(CONTROL!$C$38, 0.0369, 0)</f>
        <v>22.5273</v>
      </c>
      <c r="E211" s="28">
        <f>24.3501 * CHOOSE(CONTROL!$C$15, $E$9, 100%, $G$9) + CHOOSE(CONTROL!$C$38, 0.0369, 0)</f>
        <v>24.387</v>
      </c>
      <c r="F211" s="27">
        <f>24.3501 * CHOOSE(CONTROL!$C$15, $E$9, 100%, $G$9) + CHOOSE(CONTROL!$C$38, 0.0278, 0)</f>
        <v>24.3779</v>
      </c>
      <c r="G211" s="10">
        <f>22.4966 * CHOOSE(CONTROL!$C$15, $E$9, 100%, $G$9) + CHOOSE(CONTROL!$C$38, 0.0369, 0)</f>
        <v>22.5335</v>
      </c>
      <c r="H211" s="10">
        <f>22.4966 * CHOOSE(CONTROL!$C$15, $E$9, 100%, $G$9) + CHOOSE(CONTROL!$C$38, 0.0369, 0)</f>
        <v>22.5335</v>
      </c>
      <c r="I211" s="10">
        <f>22.4982 * CHOOSE(CONTROL!$C$15, $E$9, 100%, $G$9) + CHOOSE(CONTROL!$C$38, 0.0369, 0)</f>
        <v>22.5351</v>
      </c>
      <c r="J211" s="26">
        <f>165.5502</f>
        <v>165.55019999999999</v>
      </c>
    </row>
    <row r="212" spans="1:10" ht="15" x14ac:dyDescent="0.2">
      <c r="A212" s="16">
        <v>47727</v>
      </c>
      <c r="B212" s="10">
        <f>24.7832 * CHOOSE(CONTROL!$C$15, $E$9, 100%, $G$9) + CHOOSE(CONTROL!$C$38, 0.0278, 0)</f>
        <v>24.811</v>
      </c>
      <c r="C212" s="10">
        <f>22.775 * CHOOSE(CONTROL!$C$15, $E$9, 100%, $G$9) + CHOOSE(CONTROL!$C$38, 0.0369, 0)</f>
        <v>22.811899999999998</v>
      </c>
      <c r="D212" s="10">
        <f>22.7672 * CHOOSE(CONTROL!$C$15, $E$9, 100%, $G$9) + CHOOSE(CONTROL!$C$38, 0.0369, 0)</f>
        <v>22.804099999999998</v>
      </c>
      <c r="E212" s="28">
        <f>24.6269 * CHOOSE(CONTROL!$C$15, $E$9, 100%, $G$9) + CHOOSE(CONTROL!$C$38, 0.0369, 0)</f>
        <v>24.663799999999998</v>
      </c>
      <c r="F212" s="27">
        <f>24.6269 * CHOOSE(CONTROL!$C$15, $E$9, 100%, $G$9) + CHOOSE(CONTROL!$C$38, 0.0278, 0)</f>
        <v>24.654699999999998</v>
      </c>
      <c r="G212" s="10">
        <f>22.7734 * CHOOSE(CONTROL!$C$15, $E$9, 100%, $G$9) + CHOOSE(CONTROL!$C$38, 0.0369, 0)</f>
        <v>22.810299999999998</v>
      </c>
      <c r="H212" s="10">
        <f>22.7734 * CHOOSE(CONTROL!$C$15, $E$9, 100%, $G$9) + CHOOSE(CONTROL!$C$38, 0.0369, 0)</f>
        <v>22.810299999999998</v>
      </c>
      <c r="I212" s="10">
        <f>22.775 * CHOOSE(CONTROL!$C$15, $E$9, 100%, $G$9) + CHOOSE(CONTROL!$C$38, 0.0369, 0)</f>
        <v>22.811899999999998</v>
      </c>
      <c r="J212" s="26">
        <f>160.0476</f>
        <v>160.04759999999999</v>
      </c>
    </row>
    <row r="213" spans="1:10" ht="15" x14ac:dyDescent="0.2">
      <c r="A213" s="16">
        <v>47757</v>
      </c>
      <c r="B213" s="10">
        <f>25.015 * CHOOSE(CONTROL!$C$15, $E$9, 100%, $G$9) + CHOOSE(CONTROL!$C$38, 0.0256, 0)</f>
        <v>25.040600000000001</v>
      </c>
      <c r="C213" s="10">
        <f>23.0068 * CHOOSE(CONTROL!$C$15, $E$9, 100%, $G$9) + CHOOSE(CONTROL!$C$38, 0.0347, 0)</f>
        <v>23.041499999999999</v>
      </c>
      <c r="D213" s="10">
        <f>22.999 * CHOOSE(CONTROL!$C$15, $E$9, 100%, $G$9) + CHOOSE(CONTROL!$C$38, 0.0347, 0)</f>
        <v>23.0337</v>
      </c>
      <c r="E213" s="28">
        <f>24.8587 * CHOOSE(CONTROL!$C$15, $E$9, 100%, $G$9) + CHOOSE(CONTROL!$C$38, 0.0347, 0)</f>
        <v>24.8934</v>
      </c>
      <c r="F213" s="27">
        <f>24.8587 * CHOOSE(CONTROL!$C$15, $E$9, 100%, $G$9) + CHOOSE(CONTROL!$C$38, 0.0256, 0)</f>
        <v>24.8843</v>
      </c>
      <c r="G213" s="10">
        <f>23.0053 * CHOOSE(CONTROL!$C$15, $E$9, 100%, $G$9) + CHOOSE(CONTROL!$C$38, 0.0347, 0)</f>
        <v>23.04</v>
      </c>
      <c r="H213" s="10">
        <f>23.0053 * CHOOSE(CONTROL!$C$15, $E$9, 100%, $G$9) + CHOOSE(CONTROL!$C$38, 0.0347, 0)</f>
        <v>23.04</v>
      </c>
      <c r="I213" s="10">
        <f>23.0068 * CHOOSE(CONTROL!$C$15, $E$9, 100%, $G$9) + CHOOSE(CONTROL!$C$38, 0.0347, 0)</f>
        <v>23.041499999999999</v>
      </c>
      <c r="J213" s="26">
        <f>154.513</f>
        <v>154.51300000000001</v>
      </c>
    </row>
    <row r="214" spans="1:10" ht="15" x14ac:dyDescent="0.2">
      <c r="A214" s="16">
        <v>47788</v>
      </c>
      <c r="B214" s="10">
        <f>25.2084 * CHOOSE(CONTROL!$C$15, $E$9, 100%, $G$9) + CHOOSE(CONTROL!$C$38, 0.0256, 0)</f>
        <v>25.234000000000002</v>
      </c>
      <c r="C214" s="10">
        <f>23.2003 * CHOOSE(CONTROL!$C$15, $E$9, 100%, $G$9) + CHOOSE(CONTROL!$C$38, 0.0347, 0)</f>
        <v>23.234999999999999</v>
      </c>
      <c r="D214" s="10">
        <f>23.1924 * CHOOSE(CONTROL!$C$15, $E$9, 100%, $G$9) + CHOOSE(CONTROL!$C$38, 0.0347, 0)</f>
        <v>23.2271</v>
      </c>
      <c r="E214" s="28">
        <f>25.0522 * CHOOSE(CONTROL!$C$15, $E$9, 100%, $G$9) + CHOOSE(CONTROL!$C$38, 0.0347, 0)</f>
        <v>25.0869</v>
      </c>
      <c r="F214" s="27">
        <f>25.0522 * CHOOSE(CONTROL!$C$15, $E$9, 100%, $G$9) + CHOOSE(CONTROL!$C$38, 0.0256, 0)</f>
        <v>25.0778</v>
      </c>
      <c r="G214" s="10">
        <f>23.1987 * CHOOSE(CONTROL!$C$15, $E$9, 100%, $G$9) + CHOOSE(CONTROL!$C$38, 0.0347, 0)</f>
        <v>23.2334</v>
      </c>
      <c r="H214" s="10">
        <f>23.1987 * CHOOSE(CONTROL!$C$15, $E$9, 100%, $G$9) + CHOOSE(CONTROL!$C$38, 0.0347, 0)</f>
        <v>23.2334</v>
      </c>
      <c r="I214" s="10">
        <f>23.2003 * CHOOSE(CONTROL!$C$15, $E$9, 100%, $G$9) + CHOOSE(CONTROL!$C$38, 0.0347, 0)</f>
        <v>23.234999999999999</v>
      </c>
      <c r="J214" s="26">
        <f>153.412</f>
        <v>153.41200000000001</v>
      </c>
    </row>
    <row r="215" spans="1:10" ht="15" x14ac:dyDescent="0.2">
      <c r="A215" s="16">
        <v>47818</v>
      </c>
      <c r="B215" s="10">
        <f>25.8045 * CHOOSE(CONTROL!$C$15, $E$9, 100%, $G$9) + CHOOSE(CONTROL!$C$38, 0.0256, 0)</f>
        <v>25.830100000000002</v>
      </c>
      <c r="C215" s="10">
        <f>23.7963 * CHOOSE(CONTROL!$C$15, $E$9, 100%, $G$9) + CHOOSE(CONTROL!$C$38, 0.0347, 0)</f>
        <v>23.831</v>
      </c>
      <c r="D215" s="10">
        <f>23.7885 * CHOOSE(CONTROL!$C$15, $E$9, 100%, $G$9) + CHOOSE(CONTROL!$C$38, 0.0347, 0)</f>
        <v>23.8232</v>
      </c>
      <c r="E215" s="28">
        <f>25.6482 * CHOOSE(CONTROL!$C$15, $E$9, 100%, $G$9) + CHOOSE(CONTROL!$C$38, 0.0347, 0)</f>
        <v>25.6829</v>
      </c>
      <c r="F215" s="27">
        <f>25.6482 * CHOOSE(CONTROL!$C$15, $E$9, 100%, $G$9) + CHOOSE(CONTROL!$C$38, 0.0256, 0)</f>
        <v>25.6738</v>
      </c>
      <c r="G215" s="10">
        <f>23.7948 * CHOOSE(CONTROL!$C$15, $E$9, 100%, $G$9) + CHOOSE(CONTROL!$C$38, 0.0347, 0)</f>
        <v>23.829499999999999</v>
      </c>
      <c r="H215" s="10">
        <f>23.7948 * CHOOSE(CONTROL!$C$15, $E$9, 100%, $G$9) + CHOOSE(CONTROL!$C$38, 0.0347, 0)</f>
        <v>23.829499999999999</v>
      </c>
      <c r="I215" s="10">
        <f>23.7963 * CHOOSE(CONTROL!$C$15, $E$9, 100%, $G$9) + CHOOSE(CONTROL!$C$38, 0.0347, 0)</f>
        <v>23.831</v>
      </c>
      <c r="J215" s="26">
        <f>148.8595</f>
        <v>148.8595</v>
      </c>
    </row>
    <row r="216" spans="1:10" ht="15" x14ac:dyDescent="0.2">
      <c r="A216" s="16">
        <v>47849</v>
      </c>
      <c r="B216" s="10">
        <f>26.7104 * CHOOSE(CONTROL!$C$15, $E$9, 100%, $G$9) + CHOOSE(CONTROL!$C$38, 0.0256, 0)</f>
        <v>26.736000000000001</v>
      </c>
      <c r="C216" s="10">
        <f>24.6695 * CHOOSE(CONTROL!$C$15, $E$9, 100%, $G$9) + CHOOSE(CONTROL!$C$38, 0.0347, 0)</f>
        <v>24.7042</v>
      </c>
      <c r="D216" s="10">
        <f>24.6617 * CHOOSE(CONTROL!$C$15, $E$9, 100%, $G$9) + CHOOSE(CONTROL!$C$38, 0.0347, 0)</f>
        <v>24.696400000000001</v>
      </c>
      <c r="E216" s="28">
        <f>26.5541 * CHOOSE(CONTROL!$C$15, $E$9, 100%, $G$9) + CHOOSE(CONTROL!$C$38, 0.0347, 0)</f>
        <v>26.588799999999999</v>
      </c>
      <c r="F216" s="27">
        <f>26.5541 * CHOOSE(CONTROL!$C$15, $E$9, 100%, $G$9) + CHOOSE(CONTROL!$C$38, 0.0256, 0)</f>
        <v>26.579699999999999</v>
      </c>
      <c r="G216" s="10">
        <f>24.6679 * CHOOSE(CONTROL!$C$15, $E$9, 100%, $G$9) + CHOOSE(CONTROL!$C$38, 0.0347, 0)</f>
        <v>24.7026</v>
      </c>
      <c r="H216" s="10">
        <f>24.6679 * CHOOSE(CONTROL!$C$15, $E$9, 100%, $G$9) + CHOOSE(CONTROL!$C$38, 0.0347, 0)</f>
        <v>24.7026</v>
      </c>
      <c r="I216" s="10">
        <f>24.6695 * CHOOSE(CONTROL!$C$15, $E$9, 100%, $G$9) + CHOOSE(CONTROL!$C$38, 0.0347, 0)</f>
        <v>24.7042</v>
      </c>
      <c r="J216" s="26">
        <f>147.8624</f>
        <v>147.86240000000001</v>
      </c>
    </row>
    <row r="217" spans="1:10" ht="15" x14ac:dyDescent="0.2">
      <c r="A217" s="16">
        <v>47880</v>
      </c>
      <c r="B217" s="10">
        <f>26.9311 * CHOOSE(CONTROL!$C$15, $E$9, 100%, $G$9) + CHOOSE(CONTROL!$C$38, 0.0256, 0)</f>
        <v>26.956700000000001</v>
      </c>
      <c r="C217" s="10">
        <f>24.8902 * CHOOSE(CONTROL!$C$15, $E$9, 100%, $G$9) + CHOOSE(CONTROL!$C$38, 0.0347, 0)</f>
        <v>24.924900000000001</v>
      </c>
      <c r="D217" s="10">
        <f>24.8824 * CHOOSE(CONTROL!$C$15, $E$9, 100%, $G$9) + CHOOSE(CONTROL!$C$38, 0.0347, 0)</f>
        <v>24.917100000000001</v>
      </c>
      <c r="E217" s="28">
        <f>26.7749 * CHOOSE(CONTROL!$C$15, $E$9, 100%, $G$9) + CHOOSE(CONTROL!$C$38, 0.0347, 0)</f>
        <v>26.8096</v>
      </c>
      <c r="F217" s="27">
        <f>26.7749 * CHOOSE(CONTROL!$C$15, $E$9, 100%, $G$9) + CHOOSE(CONTROL!$C$38, 0.0256, 0)</f>
        <v>26.8005</v>
      </c>
      <c r="G217" s="10">
        <f>24.8887 * CHOOSE(CONTROL!$C$15, $E$9, 100%, $G$9) + CHOOSE(CONTROL!$C$38, 0.0347, 0)</f>
        <v>24.923400000000001</v>
      </c>
      <c r="H217" s="10">
        <f>24.8887 * CHOOSE(CONTROL!$C$15, $E$9, 100%, $G$9) + CHOOSE(CONTROL!$C$38, 0.0347, 0)</f>
        <v>24.923400000000001</v>
      </c>
      <c r="I217" s="10">
        <f>24.8902 * CHOOSE(CONTROL!$C$15, $E$9, 100%, $G$9) + CHOOSE(CONTROL!$C$38, 0.0347, 0)</f>
        <v>24.924900000000001</v>
      </c>
      <c r="J217" s="26">
        <f>147.4514</f>
        <v>147.45140000000001</v>
      </c>
    </row>
    <row r="218" spans="1:10" ht="15" x14ac:dyDescent="0.2">
      <c r="A218" s="16">
        <v>47908</v>
      </c>
      <c r="B218" s="10">
        <f>26.4201 * CHOOSE(CONTROL!$C$15, $E$9, 100%, $G$9) + CHOOSE(CONTROL!$C$38, 0.0256, 0)</f>
        <v>26.445700000000002</v>
      </c>
      <c r="C218" s="10">
        <f>24.3792 * CHOOSE(CONTROL!$C$15, $E$9, 100%, $G$9) + CHOOSE(CONTROL!$C$38, 0.0347, 0)</f>
        <v>24.413900000000002</v>
      </c>
      <c r="D218" s="10">
        <f>24.3714 * CHOOSE(CONTROL!$C$15, $E$9, 100%, $G$9) + CHOOSE(CONTROL!$C$38, 0.0347, 0)</f>
        <v>24.406100000000002</v>
      </c>
      <c r="E218" s="28">
        <f>26.2638 * CHOOSE(CONTROL!$C$15, $E$9, 100%, $G$9) + CHOOSE(CONTROL!$C$38, 0.0347, 0)</f>
        <v>26.298500000000001</v>
      </c>
      <c r="F218" s="27">
        <f>26.2638 * CHOOSE(CONTROL!$C$15, $E$9, 100%, $G$9) + CHOOSE(CONTROL!$C$38, 0.0256, 0)</f>
        <v>26.289400000000001</v>
      </c>
      <c r="G218" s="10">
        <f>24.3776 * CHOOSE(CONTROL!$C$15, $E$9, 100%, $G$9) + CHOOSE(CONTROL!$C$38, 0.0347, 0)</f>
        <v>24.412300000000002</v>
      </c>
      <c r="H218" s="10">
        <f>24.3776 * CHOOSE(CONTROL!$C$15, $E$9, 100%, $G$9) + CHOOSE(CONTROL!$C$38, 0.0347, 0)</f>
        <v>24.412300000000002</v>
      </c>
      <c r="I218" s="10">
        <f>24.3792 * CHOOSE(CONTROL!$C$15, $E$9, 100%, $G$9) + CHOOSE(CONTROL!$C$38, 0.0347, 0)</f>
        <v>24.413900000000002</v>
      </c>
      <c r="J218" s="26">
        <f>155.2229</f>
        <v>155.22290000000001</v>
      </c>
    </row>
    <row r="219" spans="1:10" ht="15" x14ac:dyDescent="0.2">
      <c r="A219" s="16">
        <v>47939</v>
      </c>
      <c r="B219" s="10">
        <f>25.9249 * CHOOSE(CONTROL!$C$15, $E$9, 100%, $G$9) + CHOOSE(CONTROL!$C$38, 0.0256, 0)</f>
        <v>25.950500000000002</v>
      </c>
      <c r="C219" s="10">
        <f>23.884 * CHOOSE(CONTROL!$C$15, $E$9, 100%, $G$9) + CHOOSE(CONTROL!$C$38, 0.0347, 0)</f>
        <v>23.918700000000001</v>
      </c>
      <c r="D219" s="10">
        <f>23.8762 * CHOOSE(CONTROL!$C$15, $E$9, 100%, $G$9) + CHOOSE(CONTROL!$C$38, 0.0347, 0)</f>
        <v>23.910900000000002</v>
      </c>
      <c r="E219" s="28">
        <f>25.7687 * CHOOSE(CONTROL!$C$15, $E$9, 100%, $G$9) + CHOOSE(CONTROL!$C$38, 0.0347, 0)</f>
        <v>25.8034</v>
      </c>
      <c r="F219" s="27">
        <f>25.7687 * CHOOSE(CONTROL!$C$15, $E$9, 100%, $G$9) + CHOOSE(CONTROL!$C$38, 0.0256, 0)</f>
        <v>25.7943</v>
      </c>
      <c r="G219" s="10">
        <f>23.8825 * CHOOSE(CONTROL!$C$15, $E$9, 100%, $G$9) + CHOOSE(CONTROL!$C$38, 0.0347, 0)</f>
        <v>23.917200000000001</v>
      </c>
      <c r="H219" s="10">
        <f>23.8825 * CHOOSE(CONTROL!$C$15, $E$9, 100%, $G$9) + CHOOSE(CONTROL!$C$38, 0.0347, 0)</f>
        <v>23.917200000000001</v>
      </c>
      <c r="I219" s="10">
        <f>23.884 * CHOOSE(CONTROL!$C$15, $E$9, 100%, $G$9) + CHOOSE(CONTROL!$C$38, 0.0347, 0)</f>
        <v>23.918700000000001</v>
      </c>
      <c r="J219" s="26">
        <f>165.3007</f>
        <v>165.30070000000001</v>
      </c>
    </row>
    <row r="220" spans="1:10" ht="15" x14ac:dyDescent="0.2">
      <c r="A220" s="16">
        <v>47969</v>
      </c>
      <c r="B220" s="10">
        <f>25.4088 * CHOOSE(CONTROL!$C$15, $E$9, 100%, $G$9) + CHOOSE(CONTROL!$C$38, 0.0278, 0)</f>
        <v>25.436599999999999</v>
      </c>
      <c r="C220" s="10">
        <f>23.3679 * CHOOSE(CONTROL!$C$15, $E$9, 100%, $G$9) + CHOOSE(CONTROL!$C$38, 0.0369, 0)</f>
        <v>23.404799999999998</v>
      </c>
      <c r="D220" s="10">
        <f>23.3601 * CHOOSE(CONTROL!$C$15, $E$9, 100%, $G$9) + CHOOSE(CONTROL!$C$38, 0.0369, 0)</f>
        <v>23.396999999999998</v>
      </c>
      <c r="E220" s="28">
        <f>25.2526 * CHOOSE(CONTROL!$C$15, $E$9, 100%, $G$9) + CHOOSE(CONTROL!$C$38, 0.0369, 0)</f>
        <v>25.2895</v>
      </c>
      <c r="F220" s="27">
        <f>25.2526 * CHOOSE(CONTROL!$C$15, $E$9, 100%, $G$9) + CHOOSE(CONTROL!$C$38, 0.0278, 0)</f>
        <v>25.2804</v>
      </c>
      <c r="G220" s="10">
        <f>23.3664 * CHOOSE(CONTROL!$C$15, $E$9, 100%, $G$9) + CHOOSE(CONTROL!$C$38, 0.0369, 0)</f>
        <v>23.403299999999998</v>
      </c>
      <c r="H220" s="10">
        <f>23.3664 * CHOOSE(CONTROL!$C$15, $E$9, 100%, $G$9) + CHOOSE(CONTROL!$C$38, 0.0369, 0)</f>
        <v>23.403299999999998</v>
      </c>
      <c r="I220" s="10">
        <f>23.3679 * CHOOSE(CONTROL!$C$15, $E$9, 100%, $G$9) + CHOOSE(CONTROL!$C$38, 0.0369, 0)</f>
        <v>23.404799999999998</v>
      </c>
      <c r="J220" s="26">
        <f>170.8479</f>
        <v>170.84790000000001</v>
      </c>
    </row>
    <row r="221" spans="1:10" ht="15" x14ac:dyDescent="0.2">
      <c r="A221" s="16">
        <v>48000</v>
      </c>
      <c r="B221" s="10">
        <f>25.047 * CHOOSE(CONTROL!$C$15, $E$9, 100%, $G$9) + CHOOSE(CONTROL!$C$38, 0.0278, 0)</f>
        <v>25.0748</v>
      </c>
      <c r="C221" s="10">
        <f>23.0061 * CHOOSE(CONTROL!$C$15, $E$9, 100%, $G$9) + CHOOSE(CONTROL!$C$38, 0.0369, 0)</f>
        <v>23.042999999999999</v>
      </c>
      <c r="D221" s="10">
        <f>22.9983 * CHOOSE(CONTROL!$C$15, $E$9, 100%, $G$9) + CHOOSE(CONTROL!$C$38, 0.0369, 0)</f>
        <v>23.0352</v>
      </c>
      <c r="E221" s="28">
        <f>24.8907 * CHOOSE(CONTROL!$C$15, $E$9, 100%, $G$9) + CHOOSE(CONTROL!$C$38, 0.0369, 0)</f>
        <v>24.927599999999998</v>
      </c>
      <c r="F221" s="27">
        <f>24.8907 * CHOOSE(CONTROL!$C$15, $E$9, 100%, $G$9) + CHOOSE(CONTROL!$C$38, 0.0278, 0)</f>
        <v>24.918499999999998</v>
      </c>
      <c r="G221" s="10">
        <f>23.0045 * CHOOSE(CONTROL!$C$15, $E$9, 100%, $G$9) + CHOOSE(CONTROL!$C$38, 0.0369, 0)</f>
        <v>23.041399999999999</v>
      </c>
      <c r="H221" s="10">
        <f>23.0045 * CHOOSE(CONTROL!$C$15, $E$9, 100%, $G$9) + CHOOSE(CONTROL!$C$38, 0.0369, 0)</f>
        <v>23.041399999999999</v>
      </c>
      <c r="I221" s="10">
        <f>23.0061 * CHOOSE(CONTROL!$C$15, $E$9, 100%, $G$9) + CHOOSE(CONTROL!$C$38, 0.0369, 0)</f>
        <v>23.042999999999999</v>
      </c>
      <c r="J221" s="26">
        <f>173.3096</f>
        <v>173.30959999999999</v>
      </c>
    </row>
    <row r="222" spans="1:10" ht="15" x14ac:dyDescent="0.2">
      <c r="A222" s="16">
        <v>48030</v>
      </c>
      <c r="B222" s="10">
        <f>24.8405 * CHOOSE(CONTROL!$C$15, $E$9, 100%, $G$9) + CHOOSE(CONTROL!$C$38, 0.0278, 0)</f>
        <v>24.868299999999998</v>
      </c>
      <c r="C222" s="10">
        <f>22.7996 * CHOOSE(CONTROL!$C$15, $E$9, 100%, $G$9) + CHOOSE(CONTROL!$C$38, 0.0369, 0)</f>
        <v>22.836500000000001</v>
      </c>
      <c r="D222" s="10">
        <f>22.7918 * CHOOSE(CONTROL!$C$15, $E$9, 100%, $G$9) + CHOOSE(CONTROL!$C$38, 0.0369, 0)</f>
        <v>22.828699999999998</v>
      </c>
      <c r="E222" s="28">
        <f>24.6842 * CHOOSE(CONTROL!$C$15, $E$9, 100%, $G$9) + CHOOSE(CONTROL!$C$38, 0.0369, 0)</f>
        <v>24.7211</v>
      </c>
      <c r="F222" s="27">
        <f>24.6842 * CHOOSE(CONTROL!$C$15, $E$9, 100%, $G$9) + CHOOSE(CONTROL!$C$38, 0.0278, 0)</f>
        <v>24.712</v>
      </c>
      <c r="G222" s="10">
        <f>22.798 * CHOOSE(CONTROL!$C$15, $E$9, 100%, $G$9) + CHOOSE(CONTROL!$C$38, 0.0369, 0)</f>
        <v>22.834899999999998</v>
      </c>
      <c r="H222" s="10">
        <f>22.798 * CHOOSE(CONTROL!$C$15, $E$9, 100%, $G$9) + CHOOSE(CONTROL!$C$38, 0.0369, 0)</f>
        <v>22.834899999999998</v>
      </c>
      <c r="I222" s="10">
        <f>22.7996 * CHOOSE(CONTROL!$C$15, $E$9, 100%, $G$9) + CHOOSE(CONTROL!$C$38, 0.0369, 0)</f>
        <v>22.836500000000001</v>
      </c>
      <c r="J222" s="26">
        <f>172.4991</f>
        <v>172.4991</v>
      </c>
    </row>
    <row r="223" spans="1:10" ht="15" x14ac:dyDescent="0.2">
      <c r="A223" s="16">
        <v>48061</v>
      </c>
      <c r="B223" s="10">
        <f>24.9424 * CHOOSE(CONTROL!$C$15, $E$9, 100%, $G$9) + CHOOSE(CONTROL!$C$38, 0.0278, 0)</f>
        <v>24.970199999999998</v>
      </c>
      <c r="C223" s="10">
        <f>22.9015 * CHOOSE(CONTROL!$C$15, $E$9, 100%, $G$9) + CHOOSE(CONTROL!$C$38, 0.0369, 0)</f>
        <v>22.938399999999998</v>
      </c>
      <c r="D223" s="10">
        <f>22.8937 * CHOOSE(CONTROL!$C$15, $E$9, 100%, $G$9) + CHOOSE(CONTROL!$C$38, 0.0369, 0)</f>
        <v>22.930599999999998</v>
      </c>
      <c r="E223" s="28">
        <f>24.7861 * CHOOSE(CONTROL!$C$15, $E$9, 100%, $G$9) + CHOOSE(CONTROL!$C$38, 0.0369, 0)</f>
        <v>24.823</v>
      </c>
      <c r="F223" s="27">
        <f>24.7861 * CHOOSE(CONTROL!$C$15, $E$9, 100%, $G$9) + CHOOSE(CONTROL!$C$38, 0.0278, 0)</f>
        <v>24.8139</v>
      </c>
      <c r="G223" s="10">
        <f>22.8999 * CHOOSE(CONTROL!$C$15, $E$9, 100%, $G$9) + CHOOSE(CONTROL!$C$38, 0.0369, 0)</f>
        <v>22.936799999999998</v>
      </c>
      <c r="H223" s="10">
        <f>22.8999 * CHOOSE(CONTROL!$C$15, $E$9, 100%, $G$9) + CHOOSE(CONTROL!$C$38, 0.0369, 0)</f>
        <v>22.936799999999998</v>
      </c>
      <c r="I223" s="10">
        <f>22.9015 * CHOOSE(CONTROL!$C$15, $E$9, 100%, $G$9) + CHOOSE(CONTROL!$C$38, 0.0369, 0)</f>
        <v>22.938399999999998</v>
      </c>
      <c r="J223" s="26">
        <f>168.4834</f>
        <v>168.48339999999999</v>
      </c>
    </row>
    <row r="224" spans="1:10" ht="15" x14ac:dyDescent="0.2">
      <c r="A224" s="16">
        <v>48092</v>
      </c>
      <c r="B224" s="10">
        <f>25.2192 * CHOOSE(CONTROL!$C$15, $E$9, 100%, $G$9) + CHOOSE(CONTROL!$C$38, 0.0278, 0)</f>
        <v>25.247</v>
      </c>
      <c r="C224" s="10">
        <f>23.1783 * CHOOSE(CONTROL!$C$15, $E$9, 100%, $G$9) + CHOOSE(CONTROL!$C$38, 0.0369, 0)</f>
        <v>23.215199999999999</v>
      </c>
      <c r="D224" s="10">
        <f>23.1705 * CHOOSE(CONTROL!$C$15, $E$9, 100%, $G$9) + CHOOSE(CONTROL!$C$38, 0.0369, 0)</f>
        <v>23.2074</v>
      </c>
      <c r="E224" s="28">
        <f>25.0629 * CHOOSE(CONTROL!$C$15, $E$9, 100%, $G$9) + CHOOSE(CONTROL!$C$38, 0.0369, 0)</f>
        <v>25.099799999999998</v>
      </c>
      <c r="F224" s="27">
        <f>25.0629 * CHOOSE(CONTROL!$C$15, $E$9, 100%, $G$9) + CHOOSE(CONTROL!$C$38, 0.0278, 0)</f>
        <v>25.090699999999998</v>
      </c>
      <c r="G224" s="10">
        <f>23.1767 * CHOOSE(CONTROL!$C$15, $E$9, 100%, $G$9) + CHOOSE(CONTROL!$C$38, 0.0369, 0)</f>
        <v>23.2136</v>
      </c>
      <c r="H224" s="10">
        <f>23.1767 * CHOOSE(CONTROL!$C$15, $E$9, 100%, $G$9) + CHOOSE(CONTROL!$C$38, 0.0369, 0)</f>
        <v>23.2136</v>
      </c>
      <c r="I224" s="10">
        <f>23.1783 * CHOOSE(CONTROL!$C$15, $E$9, 100%, $G$9) + CHOOSE(CONTROL!$C$38, 0.0369, 0)</f>
        <v>23.215199999999999</v>
      </c>
      <c r="J224" s="26">
        <f>162.8833</f>
        <v>162.88329999999999</v>
      </c>
    </row>
    <row r="225" spans="1:10" ht="15" x14ac:dyDescent="0.2">
      <c r="A225" s="16">
        <v>48122</v>
      </c>
      <c r="B225" s="10">
        <f>25.451 * CHOOSE(CONTROL!$C$15, $E$9, 100%, $G$9) + CHOOSE(CONTROL!$C$38, 0.0256, 0)</f>
        <v>25.476600000000001</v>
      </c>
      <c r="C225" s="10">
        <f>23.4101 * CHOOSE(CONTROL!$C$15, $E$9, 100%, $G$9) + CHOOSE(CONTROL!$C$38, 0.0347, 0)</f>
        <v>23.444800000000001</v>
      </c>
      <c r="D225" s="10">
        <f>23.4023 * CHOOSE(CONTROL!$C$15, $E$9, 100%, $G$9) + CHOOSE(CONTROL!$C$38, 0.0347, 0)</f>
        <v>23.437000000000001</v>
      </c>
      <c r="E225" s="28">
        <f>25.2948 * CHOOSE(CONTROL!$C$15, $E$9, 100%, $G$9) + CHOOSE(CONTROL!$C$38, 0.0347, 0)</f>
        <v>25.329499999999999</v>
      </c>
      <c r="F225" s="27">
        <f>25.2948 * CHOOSE(CONTROL!$C$15, $E$9, 100%, $G$9) + CHOOSE(CONTROL!$C$38, 0.0256, 0)</f>
        <v>25.320399999999999</v>
      </c>
      <c r="G225" s="10">
        <f>23.4086 * CHOOSE(CONTROL!$C$15, $E$9, 100%, $G$9) + CHOOSE(CONTROL!$C$38, 0.0347, 0)</f>
        <v>23.443300000000001</v>
      </c>
      <c r="H225" s="10">
        <f>23.4086 * CHOOSE(CONTROL!$C$15, $E$9, 100%, $G$9) + CHOOSE(CONTROL!$C$38, 0.0347, 0)</f>
        <v>23.443300000000001</v>
      </c>
      <c r="I225" s="10">
        <f>23.4101 * CHOOSE(CONTROL!$C$15, $E$9, 100%, $G$9) + CHOOSE(CONTROL!$C$38, 0.0347, 0)</f>
        <v>23.444800000000001</v>
      </c>
      <c r="J225" s="26">
        <f>157.2506</f>
        <v>157.25059999999999</v>
      </c>
    </row>
    <row r="226" spans="1:10" ht="15" x14ac:dyDescent="0.2">
      <c r="A226" s="16">
        <v>48153</v>
      </c>
      <c r="B226" s="10">
        <f>25.6444 * CHOOSE(CONTROL!$C$15, $E$9, 100%, $G$9) + CHOOSE(CONTROL!$C$38, 0.0256, 0)</f>
        <v>25.67</v>
      </c>
      <c r="C226" s="10">
        <f>23.6036 * CHOOSE(CONTROL!$C$15, $E$9, 100%, $G$9) + CHOOSE(CONTROL!$C$38, 0.0347, 0)</f>
        <v>23.638300000000001</v>
      </c>
      <c r="D226" s="10">
        <f>23.5958 * CHOOSE(CONTROL!$C$15, $E$9, 100%, $G$9) + CHOOSE(CONTROL!$C$38, 0.0347, 0)</f>
        <v>23.630500000000001</v>
      </c>
      <c r="E226" s="28">
        <f>25.4882 * CHOOSE(CONTROL!$C$15, $E$9, 100%, $G$9) + CHOOSE(CONTROL!$C$38, 0.0347, 0)</f>
        <v>25.5229</v>
      </c>
      <c r="F226" s="27">
        <f>25.4882 * CHOOSE(CONTROL!$C$15, $E$9, 100%, $G$9) + CHOOSE(CONTROL!$C$38, 0.0256, 0)</f>
        <v>25.5138</v>
      </c>
      <c r="G226" s="10">
        <f>23.602 * CHOOSE(CONTROL!$C$15, $E$9, 100%, $G$9) + CHOOSE(CONTROL!$C$38, 0.0347, 0)</f>
        <v>23.636700000000001</v>
      </c>
      <c r="H226" s="10">
        <f>23.602 * CHOOSE(CONTROL!$C$15, $E$9, 100%, $G$9) + CHOOSE(CONTROL!$C$38, 0.0347, 0)</f>
        <v>23.636700000000001</v>
      </c>
      <c r="I226" s="10">
        <f>23.6036 * CHOOSE(CONTROL!$C$15, $E$9, 100%, $G$9) + CHOOSE(CONTROL!$C$38, 0.0347, 0)</f>
        <v>23.638300000000001</v>
      </c>
      <c r="J226" s="26">
        <f>156.1302</f>
        <v>156.1302</v>
      </c>
    </row>
    <row r="227" spans="1:10" ht="15" x14ac:dyDescent="0.2">
      <c r="A227" s="16">
        <v>48183</v>
      </c>
      <c r="B227" s="10">
        <f>26.2405 * CHOOSE(CONTROL!$C$15, $E$9, 100%, $G$9) + CHOOSE(CONTROL!$C$38, 0.0256, 0)</f>
        <v>26.266100000000002</v>
      </c>
      <c r="C227" s="10">
        <f>24.1996 * CHOOSE(CONTROL!$C$15, $E$9, 100%, $G$9) + CHOOSE(CONTROL!$C$38, 0.0347, 0)</f>
        <v>24.234300000000001</v>
      </c>
      <c r="D227" s="10">
        <f>24.1918 * CHOOSE(CONTROL!$C$15, $E$9, 100%, $G$9) + CHOOSE(CONTROL!$C$38, 0.0347, 0)</f>
        <v>24.226500000000001</v>
      </c>
      <c r="E227" s="28">
        <f>26.0843 * CHOOSE(CONTROL!$C$15, $E$9, 100%, $G$9) + CHOOSE(CONTROL!$C$38, 0.0347, 0)</f>
        <v>26.119</v>
      </c>
      <c r="F227" s="27">
        <f>26.0843 * CHOOSE(CONTROL!$C$15, $E$9, 100%, $G$9) + CHOOSE(CONTROL!$C$38, 0.0256, 0)</f>
        <v>26.1099</v>
      </c>
      <c r="G227" s="10">
        <f>24.1981 * CHOOSE(CONTROL!$C$15, $E$9, 100%, $G$9) + CHOOSE(CONTROL!$C$38, 0.0347, 0)</f>
        <v>24.232800000000001</v>
      </c>
      <c r="H227" s="10">
        <f>24.1981 * CHOOSE(CONTROL!$C$15, $E$9, 100%, $G$9) + CHOOSE(CONTROL!$C$38, 0.0347, 0)</f>
        <v>24.232800000000001</v>
      </c>
      <c r="I227" s="10">
        <f>24.1996 * CHOOSE(CONTROL!$C$15, $E$9, 100%, $G$9) + CHOOSE(CONTROL!$C$38, 0.0347, 0)</f>
        <v>24.234300000000001</v>
      </c>
      <c r="J227" s="26">
        <f>151.497</f>
        <v>151.49700000000001</v>
      </c>
    </row>
    <row r="228" spans="1:10" ht="15" x14ac:dyDescent="0.2">
      <c r="A228" s="16">
        <v>48214</v>
      </c>
      <c r="B228" s="10">
        <f>27.1541 * CHOOSE(CONTROL!$C$15, $E$9, 100%, $G$9) + CHOOSE(CONTROL!$C$38, 0.0256, 0)</f>
        <v>27.1797</v>
      </c>
      <c r="C228" s="10">
        <f>25.0799 * CHOOSE(CONTROL!$C$15, $E$9, 100%, $G$9) + CHOOSE(CONTROL!$C$38, 0.0347, 0)</f>
        <v>25.114599999999999</v>
      </c>
      <c r="D228" s="10">
        <f>25.0721 * CHOOSE(CONTROL!$C$15, $E$9, 100%, $G$9) + CHOOSE(CONTROL!$C$38, 0.0347, 0)</f>
        <v>25.1068</v>
      </c>
      <c r="E228" s="28">
        <f>26.9978 * CHOOSE(CONTROL!$C$15, $E$9, 100%, $G$9) + CHOOSE(CONTROL!$C$38, 0.0347, 0)</f>
        <v>27.032500000000002</v>
      </c>
      <c r="F228" s="27">
        <f>26.9978 * CHOOSE(CONTROL!$C$15, $E$9, 100%, $G$9) + CHOOSE(CONTROL!$C$38, 0.0256, 0)</f>
        <v>27.023400000000002</v>
      </c>
      <c r="G228" s="10">
        <f>25.0783 * CHOOSE(CONTROL!$C$15, $E$9, 100%, $G$9) + CHOOSE(CONTROL!$C$38, 0.0347, 0)</f>
        <v>25.113</v>
      </c>
      <c r="H228" s="10">
        <f>25.0783 * CHOOSE(CONTROL!$C$15, $E$9, 100%, $G$9) + CHOOSE(CONTROL!$C$38, 0.0347, 0)</f>
        <v>25.113</v>
      </c>
      <c r="I228" s="10">
        <f>25.0799 * CHOOSE(CONTROL!$C$15, $E$9, 100%, $G$9) + CHOOSE(CONTROL!$C$38, 0.0347, 0)</f>
        <v>25.114599999999999</v>
      </c>
      <c r="J228" s="26">
        <f>150.4822</f>
        <v>150.48220000000001</v>
      </c>
    </row>
    <row r="229" spans="1:10" ht="15" x14ac:dyDescent="0.2">
      <c r="A229" s="16">
        <v>48245</v>
      </c>
      <c r="B229" s="10">
        <f>27.3749 * CHOOSE(CONTROL!$C$15, $E$9, 100%, $G$9) + CHOOSE(CONTROL!$C$38, 0.0256, 0)</f>
        <v>27.400500000000001</v>
      </c>
      <c r="C229" s="10">
        <f>25.3007 * CHOOSE(CONTROL!$C$15, $E$9, 100%, $G$9) + CHOOSE(CONTROL!$C$38, 0.0347, 0)</f>
        <v>25.3354</v>
      </c>
      <c r="D229" s="10">
        <f>25.2929 * CHOOSE(CONTROL!$C$15, $E$9, 100%, $G$9) + CHOOSE(CONTROL!$C$38, 0.0347, 0)</f>
        <v>25.3276</v>
      </c>
      <c r="E229" s="28">
        <f>27.2186 * CHOOSE(CONTROL!$C$15, $E$9, 100%, $G$9) + CHOOSE(CONTROL!$C$38, 0.0347, 0)</f>
        <v>27.253299999999999</v>
      </c>
      <c r="F229" s="27">
        <f>27.2186 * CHOOSE(CONTROL!$C$15, $E$9, 100%, $G$9) + CHOOSE(CONTROL!$C$38, 0.0256, 0)</f>
        <v>27.244199999999999</v>
      </c>
      <c r="G229" s="10">
        <f>25.2991 * CHOOSE(CONTROL!$C$15, $E$9, 100%, $G$9) + CHOOSE(CONTROL!$C$38, 0.0347, 0)</f>
        <v>25.3338</v>
      </c>
      <c r="H229" s="10">
        <f>25.2991 * CHOOSE(CONTROL!$C$15, $E$9, 100%, $G$9) + CHOOSE(CONTROL!$C$38, 0.0347, 0)</f>
        <v>25.3338</v>
      </c>
      <c r="I229" s="10">
        <f>25.3007 * CHOOSE(CONTROL!$C$15, $E$9, 100%, $G$9) + CHOOSE(CONTROL!$C$38, 0.0347, 0)</f>
        <v>25.3354</v>
      </c>
      <c r="J229" s="26">
        <f>150.0639</f>
        <v>150.06389999999999</v>
      </c>
    </row>
    <row r="230" spans="1:10" ht="15" x14ac:dyDescent="0.2">
      <c r="A230" s="16">
        <v>48274</v>
      </c>
      <c r="B230" s="10">
        <f>26.8638 * CHOOSE(CONTROL!$C$15, $E$9, 100%, $G$9) + CHOOSE(CONTROL!$C$38, 0.0256, 0)</f>
        <v>26.889400000000002</v>
      </c>
      <c r="C230" s="10">
        <f>24.7896 * CHOOSE(CONTROL!$C$15, $E$9, 100%, $G$9) + CHOOSE(CONTROL!$C$38, 0.0347, 0)</f>
        <v>24.824300000000001</v>
      </c>
      <c r="D230" s="10">
        <f>24.7818 * CHOOSE(CONTROL!$C$15, $E$9, 100%, $G$9) + CHOOSE(CONTROL!$C$38, 0.0347, 0)</f>
        <v>24.816500000000001</v>
      </c>
      <c r="E230" s="28">
        <f>26.7076 * CHOOSE(CONTROL!$C$15, $E$9, 100%, $G$9) + CHOOSE(CONTROL!$C$38, 0.0347, 0)</f>
        <v>26.7423</v>
      </c>
      <c r="F230" s="27">
        <f>26.7076 * CHOOSE(CONTROL!$C$15, $E$9, 100%, $G$9) + CHOOSE(CONTROL!$C$38, 0.0256, 0)</f>
        <v>26.7332</v>
      </c>
      <c r="G230" s="10">
        <f>24.7881 * CHOOSE(CONTROL!$C$15, $E$9, 100%, $G$9) + CHOOSE(CONTROL!$C$38, 0.0347, 0)</f>
        <v>24.822800000000001</v>
      </c>
      <c r="H230" s="10">
        <f>24.7881 * CHOOSE(CONTROL!$C$15, $E$9, 100%, $G$9) + CHOOSE(CONTROL!$C$38, 0.0347, 0)</f>
        <v>24.822800000000001</v>
      </c>
      <c r="I230" s="10">
        <f>24.7896 * CHOOSE(CONTROL!$C$15, $E$9, 100%, $G$9) + CHOOSE(CONTROL!$C$38, 0.0347, 0)</f>
        <v>24.824300000000001</v>
      </c>
      <c r="J230" s="26">
        <f>157.9732</f>
        <v>157.97319999999999</v>
      </c>
    </row>
    <row r="231" spans="1:10" ht="15" x14ac:dyDescent="0.2">
      <c r="A231" s="16">
        <v>48305</v>
      </c>
      <c r="B231" s="10">
        <f>26.3686 * CHOOSE(CONTROL!$C$15, $E$9, 100%, $G$9) + CHOOSE(CONTROL!$C$38, 0.0256, 0)</f>
        <v>26.394200000000001</v>
      </c>
      <c r="C231" s="10">
        <f>24.2945 * CHOOSE(CONTROL!$C$15, $E$9, 100%, $G$9) + CHOOSE(CONTROL!$C$38, 0.0347, 0)</f>
        <v>24.3292</v>
      </c>
      <c r="D231" s="10">
        <f>24.2866 * CHOOSE(CONTROL!$C$15, $E$9, 100%, $G$9) + CHOOSE(CONTROL!$C$38, 0.0347, 0)</f>
        <v>24.321300000000001</v>
      </c>
      <c r="E231" s="28">
        <f>26.2124 * CHOOSE(CONTROL!$C$15, $E$9, 100%, $G$9) + CHOOSE(CONTROL!$C$38, 0.0347, 0)</f>
        <v>26.2471</v>
      </c>
      <c r="F231" s="27">
        <f>26.2124 * CHOOSE(CONTROL!$C$15, $E$9, 100%, $G$9) + CHOOSE(CONTROL!$C$38, 0.0256, 0)</f>
        <v>26.238</v>
      </c>
      <c r="G231" s="10">
        <f>24.2929 * CHOOSE(CONTROL!$C$15, $E$9, 100%, $G$9) + CHOOSE(CONTROL!$C$38, 0.0347, 0)</f>
        <v>24.3276</v>
      </c>
      <c r="H231" s="10">
        <f>24.2929 * CHOOSE(CONTROL!$C$15, $E$9, 100%, $G$9) + CHOOSE(CONTROL!$C$38, 0.0347, 0)</f>
        <v>24.3276</v>
      </c>
      <c r="I231" s="10">
        <f>24.2945 * CHOOSE(CONTROL!$C$15, $E$9, 100%, $G$9) + CHOOSE(CONTROL!$C$38, 0.0347, 0)</f>
        <v>24.3292</v>
      </c>
      <c r="J231" s="26">
        <f>168.2295</f>
        <v>168.2295</v>
      </c>
    </row>
    <row r="232" spans="1:10" ht="15" x14ac:dyDescent="0.2">
      <c r="A232" s="16">
        <v>48335</v>
      </c>
      <c r="B232" s="10">
        <f>25.8525 * CHOOSE(CONTROL!$C$15, $E$9, 100%, $G$9) + CHOOSE(CONTROL!$C$38, 0.0278, 0)</f>
        <v>25.880299999999998</v>
      </c>
      <c r="C232" s="10">
        <f>23.7783 * CHOOSE(CONTROL!$C$15, $E$9, 100%, $G$9) + CHOOSE(CONTROL!$C$38, 0.0369, 0)</f>
        <v>23.815200000000001</v>
      </c>
      <c r="D232" s="10">
        <f>23.7705 * CHOOSE(CONTROL!$C$15, $E$9, 100%, $G$9) + CHOOSE(CONTROL!$C$38, 0.0369, 0)</f>
        <v>23.807399999999998</v>
      </c>
      <c r="E232" s="28">
        <f>25.6963 * CHOOSE(CONTROL!$C$15, $E$9, 100%, $G$9) + CHOOSE(CONTROL!$C$38, 0.0369, 0)</f>
        <v>25.7332</v>
      </c>
      <c r="F232" s="27">
        <f>25.6963 * CHOOSE(CONTROL!$C$15, $E$9, 100%, $G$9) + CHOOSE(CONTROL!$C$38, 0.0278, 0)</f>
        <v>25.7241</v>
      </c>
      <c r="G232" s="10">
        <f>23.7768 * CHOOSE(CONTROL!$C$15, $E$9, 100%, $G$9) + CHOOSE(CONTROL!$C$38, 0.0369, 0)</f>
        <v>23.813700000000001</v>
      </c>
      <c r="H232" s="10">
        <f>23.7768 * CHOOSE(CONTROL!$C$15, $E$9, 100%, $G$9) + CHOOSE(CONTROL!$C$38, 0.0369, 0)</f>
        <v>23.813700000000001</v>
      </c>
      <c r="I232" s="10">
        <f>23.7783 * CHOOSE(CONTROL!$C$15, $E$9, 100%, $G$9) + CHOOSE(CONTROL!$C$38, 0.0369, 0)</f>
        <v>23.815200000000001</v>
      </c>
      <c r="J232" s="26">
        <f>173.875</f>
        <v>173.875</v>
      </c>
    </row>
    <row r="233" spans="1:10" ht="15" x14ac:dyDescent="0.2">
      <c r="A233" s="16">
        <v>48366</v>
      </c>
      <c r="B233" s="10">
        <f>25.4907 * CHOOSE(CONTROL!$C$15, $E$9, 100%, $G$9) + CHOOSE(CONTROL!$C$38, 0.0278, 0)</f>
        <v>25.5185</v>
      </c>
      <c r="C233" s="10">
        <f>23.4165 * CHOOSE(CONTROL!$C$15, $E$9, 100%, $G$9) + CHOOSE(CONTROL!$C$38, 0.0369, 0)</f>
        <v>23.453399999999998</v>
      </c>
      <c r="D233" s="10">
        <f>23.4087 * CHOOSE(CONTROL!$C$15, $E$9, 100%, $G$9) + CHOOSE(CONTROL!$C$38, 0.0369, 0)</f>
        <v>23.445599999999999</v>
      </c>
      <c r="E233" s="28">
        <f>25.3344 * CHOOSE(CONTROL!$C$15, $E$9, 100%, $G$9) + CHOOSE(CONTROL!$C$38, 0.0369, 0)</f>
        <v>25.371299999999998</v>
      </c>
      <c r="F233" s="27">
        <f>25.3344 * CHOOSE(CONTROL!$C$15, $E$9, 100%, $G$9) + CHOOSE(CONTROL!$C$38, 0.0278, 0)</f>
        <v>25.362199999999998</v>
      </c>
      <c r="G233" s="10">
        <f>23.415 * CHOOSE(CONTROL!$C$15, $E$9, 100%, $G$9) + CHOOSE(CONTROL!$C$38, 0.0369, 0)</f>
        <v>23.451899999999998</v>
      </c>
      <c r="H233" s="10">
        <f>23.415 * CHOOSE(CONTROL!$C$15, $E$9, 100%, $G$9) + CHOOSE(CONTROL!$C$38, 0.0369, 0)</f>
        <v>23.451899999999998</v>
      </c>
      <c r="I233" s="10">
        <f>23.4165 * CHOOSE(CONTROL!$C$15, $E$9, 100%, $G$9) + CHOOSE(CONTROL!$C$38, 0.0369, 0)</f>
        <v>23.453399999999998</v>
      </c>
      <c r="J233" s="26">
        <f>176.3804</f>
        <v>176.38040000000001</v>
      </c>
    </row>
    <row r="234" spans="1:10" ht="15" x14ac:dyDescent="0.2">
      <c r="A234" s="16">
        <v>48396</v>
      </c>
      <c r="B234" s="10">
        <f>25.2842 * CHOOSE(CONTROL!$C$15, $E$9, 100%, $G$9) + CHOOSE(CONTROL!$C$38, 0.0278, 0)</f>
        <v>25.311999999999998</v>
      </c>
      <c r="C234" s="10">
        <f>23.21 * CHOOSE(CONTROL!$C$15, $E$9, 100%, $G$9) + CHOOSE(CONTROL!$C$38, 0.0369, 0)</f>
        <v>23.2469</v>
      </c>
      <c r="D234" s="10">
        <f>23.2022 * CHOOSE(CONTROL!$C$15, $E$9, 100%, $G$9) + CHOOSE(CONTROL!$C$38, 0.0369, 0)</f>
        <v>23.239100000000001</v>
      </c>
      <c r="E234" s="28">
        <f>25.128 * CHOOSE(CONTROL!$C$15, $E$9, 100%, $G$9) + CHOOSE(CONTROL!$C$38, 0.0369, 0)</f>
        <v>25.164899999999999</v>
      </c>
      <c r="F234" s="27">
        <f>25.128 * CHOOSE(CONTROL!$C$15, $E$9, 100%, $G$9) + CHOOSE(CONTROL!$C$38, 0.0278, 0)</f>
        <v>25.155799999999999</v>
      </c>
      <c r="G234" s="10">
        <f>23.2085 * CHOOSE(CONTROL!$C$15, $E$9, 100%, $G$9) + CHOOSE(CONTROL!$C$38, 0.0369, 0)</f>
        <v>23.2454</v>
      </c>
      <c r="H234" s="10">
        <f>23.2085 * CHOOSE(CONTROL!$C$15, $E$9, 100%, $G$9) + CHOOSE(CONTROL!$C$38, 0.0369, 0)</f>
        <v>23.2454</v>
      </c>
      <c r="I234" s="10">
        <f>23.21 * CHOOSE(CONTROL!$C$15, $E$9, 100%, $G$9) + CHOOSE(CONTROL!$C$38, 0.0369, 0)</f>
        <v>23.2469</v>
      </c>
      <c r="J234" s="26">
        <f>175.5555</f>
        <v>175.55549999999999</v>
      </c>
    </row>
    <row r="235" spans="1:10" ht="15" x14ac:dyDescent="0.2">
      <c r="A235" s="16">
        <v>48427</v>
      </c>
      <c r="B235" s="10">
        <f>25.3861 * CHOOSE(CONTROL!$C$15, $E$9, 100%, $G$9) + CHOOSE(CONTROL!$C$38, 0.0278, 0)</f>
        <v>25.413899999999998</v>
      </c>
      <c r="C235" s="10">
        <f>23.3119 * CHOOSE(CONTROL!$C$15, $E$9, 100%, $G$9) + CHOOSE(CONTROL!$C$38, 0.0369, 0)</f>
        <v>23.348800000000001</v>
      </c>
      <c r="D235" s="10">
        <f>23.3041 * CHOOSE(CONTROL!$C$15, $E$9, 100%, $G$9) + CHOOSE(CONTROL!$C$38, 0.0369, 0)</f>
        <v>23.340999999999998</v>
      </c>
      <c r="E235" s="28">
        <f>25.2299 * CHOOSE(CONTROL!$C$15, $E$9, 100%, $G$9) + CHOOSE(CONTROL!$C$38, 0.0369, 0)</f>
        <v>25.2668</v>
      </c>
      <c r="F235" s="27">
        <f>25.2299 * CHOOSE(CONTROL!$C$15, $E$9, 100%, $G$9) + CHOOSE(CONTROL!$C$38, 0.0278, 0)</f>
        <v>25.2577</v>
      </c>
      <c r="G235" s="10">
        <f>23.3104 * CHOOSE(CONTROL!$C$15, $E$9, 100%, $G$9) + CHOOSE(CONTROL!$C$38, 0.0369, 0)</f>
        <v>23.347300000000001</v>
      </c>
      <c r="H235" s="10">
        <f>23.3104 * CHOOSE(CONTROL!$C$15, $E$9, 100%, $G$9) + CHOOSE(CONTROL!$C$38, 0.0369, 0)</f>
        <v>23.347300000000001</v>
      </c>
      <c r="I235" s="10">
        <f>23.3119 * CHOOSE(CONTROL!$C$15, $E$9, 100%, $G$9) + CHOOSE(CONTROL!$C$38, 0.0369, 0)</f>
        <v>23.348800000000001</v>
      </c>
      <c r="J235" s="26">
        <f>171.4686</f>
        <v>171.46860000000001</v>
      </c>
    </row>
    <row r="236" spans="1:10" ht="15" x14ac:dyDescent="0.2">
      <c r="A236" s="16">
        <v>48458</v>
      </c>
      <c r="B236" s="10">
        <f>25.6629 * CHOOSE(CONTROL!$C$15, $E$9, 100%, $G$9) + CHOOSE(CONTROL!$C$38, 0.0278, 0)</f>
        <v>25.6907</v>
      </c>
      <c r="C236" s="10">
        <f>23.5887 * CHOOSE(CONTROL!$C$15, $E$9, 100%, $G$9) + CHOOSE(CONTROL!$C$38, 0.0369, 0)</f>
        <v>23.625599999999999</v>
      </c>
      <c r="D236" s="10">
        <f>23.5809 * CHOOSE(CONTROL!$C$15, $E$9, 100%, $G$9) + CHOOSE(CONTROL!$C$38, 0.0369, 0)</f>
        <v>23.617799999999999</v>
      </c>
      <c r="E236" s="28">
        <f>25.5067 * CHOOSE(CONTROL!$C$15, $E$9, 100%, $G$9) + CHOOSE(CONTROL!$C$38, 0.0369, 0)</f>
        <v>25.543599999999998</v>
      </c>
      <c r="F236" s="27">
        <f>25.5067 * CHOOSE(CONTROL!$C$15, $E$9, 100%, $G$9) + CHOOSE(CONTROL!$C$38, 0.0278, 0)</f>
        <v>25.534499999999998</v>
      </c>
      <c r="G236" s="10">
        <f>23.5872 * CHOOSE(CONTROL!$C$15, $E$9, 100%, $G$9) + CHOOSE(CONTROL!$C$38, 0.0369, 0)</f>
        <v>23.624099999999999</v>
      </c>
      <c r="H236" s="10">
        <f>23.5872 * CHOOSE(CONTROL!$C$15, $E$9, 100%, $G$9) + CHOOSE(CONTROL!$C$38, 0.0369, 0)</f>
        <v>23.624099999999999</v>
      </c>
      <c r="I236" s="10">
        <f>23.5887 * CHOOSE(CONTROL!$C$15, $E$9, 100%, $G$9) + CHOOSE(CONTROL!$C$38, 0.0369, 0)</f>
        <v>23.625599999999999</v>
      </c>
      <c r="J236" s="26">
        <f>165.7693</f>
        <v>165.76929999999999</v>
      </c>
    </row>
    <row r="237" spans="1:10" ht="15" x14ac:dyDescent="0.2">
      <c r="A237" s="16">
        <v>48488</v>
      </c>
      <c r="B237" s="10">
        <f>25.8947 * CHOOSE(CONTROL!$C$15, $E$9, 100%, $G$9) + CHOOSE(CONTROL!$C$38, 0.0256, 0)</f>
        <v>25.920300000000001</v>
      </c>
      <c r="C237" s="10">
        <f>23.8206 * CHOOSE(CONTROL!$C$15, $E$9, 100%, $G$9) + CHOOSE(CONTROL!$C$38, 0.0347, 0)</f>
        <v>23.8553</v>
      </c>
      <c r="D237" s="10">
        <f>23.8127 * CHOOSE(CONTROL!$C$15, $E$9, 100%, $G$9) + CHOOSE(CONTROL!$C$38, 0.0347, 0)</f>
        <v>23.8474</v>
      </c>
      <c r="E237" s="28">
        <f>25.7385 * CHOOSE(CONTROL!$C$15, $E$9, 100%, $G$9) + CHOOSE(CONTROL!$C$38, 0.0347, 0)</f>
        <v>25.773199999999999</v>
      </c>
      <c r="F237" s="27">
        <f>25.7385 * CHOOSE(CONTROL!$C$15, $E$9, 100%, $G$9) + CHOOSE(CONTROL!$C$38, 0.0256, 0)</f>
        <v>25.764099999999999</v>
      </c>
      <c r="G237" s="10">
        <f>23.819 * CHOOSE(CONTROL!$C$15, $E$9, 100%, $G$9) + CHOOSE(CONTROL!$C$38, 0.0347, 0)</f>
        <v>23.8537</v>
      </c>
      <c r="H237" s="10">
        <f>23.819 * CHOOSE(CONTROL!$C$15, $E$9, 100%, $G$9) + CHOOSE(CONTROL!$C$38, 0.0347, 0)</f>
        <v>23.8537</v>
      </c>
      <c r="I237" s="10">
        <f>23.8206 * CHOOSE(CONTROL!$C$15, $E$9, 100%, $G$9) + CHOOSE(CONTROL!$C$38, 0.0347, 0)</f>
        <v>23.8553</v>
      </c>
      <c r="J237" s="26">
        <f>160.0368</f>
        <v>160.0368</v>
      </c>
    </row>
    <row r="238" spans="1:10" ht="15" x14ac:dyDescent="0.2">
      <c r="A238" s="16">
        <v>48519</v>
      </c>
      <c r="B238" s="10">
        <f>26.0882 * CHOOSE(CONTROL!$C$15, $E$9, 100%, $G$9) + CHOOSE(CONTROL!$C$38, 0.0256, 0)</f>
        <v>26.113800000000001</v>
      </c>
      <c r="C238" s="10">
        <f>24.014 * CHOOSE(CONTROL!$C$15, $E$9, 100%, $G$9) + CHOOSE(CONTROL!$C$38, 0.0347, 0)</f>
        <v>24.0487</v>
      </c>
      <c r="D238" s="10">
        <f>24.0062 * CHOOSE(CONTROL!$C$15, $E$9, 100%, $G$9) + CHOOSE(CONTROL!$C$38, 0.0347, 0)</f>
        <v>24.040900000000001</v>
      </c>
      <c r="E238" s="28">
        <f>25.9319 * CHOOSE(CONTROL!$C$15, $E$9, 100%, $G$9) + CHOOSE(CONTROL!$C$38, 0.0347, 0)</f>
        <v>25.9666</v>
      </c>
      <c r="F238" s="27">
        <f>25.9319 * CHOOSE(CONTROL!$C$15, $E$9, 100%, $G$9) + CHOOSE(CONTROL!$C$38, 0.0256, 0)</f>
        <v>25.9575</v>
      </c>
      <c r="G238" s="10">
        <f>24.0124 * CHOOSE(CONTROL!$C$15, $E$9, 100%, $G$9) + CHOOSE(CONTROL!$C$38, 0.0347, 0)</f>
        <v>24.0471</v>
      </c>
      <c r="H238" s="10">
        <f>24.0124 * CHOOSE(CONTROL!$C$15, $E$9, 100%, $G$9) + CHOOSE(CONTROL!$C$38, 0.0347, 0)</f>
        <v>24.0471</v>
      </c>
      <c r="I238" s="10">
        <f>24.014 * CHOOSE(CONTROL!$C$15, $E$9, 100%, $G$9) + CHOOSE(CONTROL!$C$38, 0.0347, 0)</f>
        <v>24.0487</v>
      </c>
      <c r="J238" s="26">
        <f>158.8965</f>
        <v>158.8965</v>
      </c>
    </row>
    <row r="239" spans="1:10" ht="15" x14ac:dyDescent="0.2">
      <c r="A239" s="16">
        <v>48549</v>
      </c>
      <c r="B239" s="10">
        <f>26.6842 * CHOOSE(CONTROL!$C$15, $E$9, 100%, $G$9) + CHOOSE(CONTROL!$C$38, 0.0256, 0)</f>
        <v>26.709800000000001</v>
      </c>
      <c r="C239" s="10">
        <f>24.6101 * CHOOSE(CONTROL!$C$15, $E$9, 100%, $G$9) + CHOOSE(CONTROL!$C$38, 0.0347, 0)</f>
        <v>24.6448</v>
      </c>
      <c r="D239" s="10">
        <f>24.6023 * CHOOSE(CONTROL!$C$15, $E$9, 100%, $G$9) + CHOOSE(CONTROL!$C$38, 0.0347, 0)</f>
        <v>24.637</v>
      </c>
      <c r="E239" s="28">
        <f>26.528 * CHOOSE(CONTROL!$C$15, $E$9, 100%, $G$9) + CHOOSE(CONTROL!$C$38, 0.0347, 0)</f>
        <v>26.5627</v>
      </c>
      <c r="F239" s="27">
        <f>26.528 * CHOOSE(CONTROL!$C$15, $E$9, 100%, $G$9) + CHOOSE(CONTROL!$C$38, 0.0256, 0)</f>
        <v>26.553599999999999</v>
      </c>
      <c r="G239" s="10">
        <f>24.6085 * CHOOSE(CONTROL!$C$15, $E$9, 100%, $G$9) + CHOOSE(CONTROL!$C$38, 0.0347, 0)</f>
        <v>24.6432</v>
      </c>
      <c r="H239" s="10">
        <f>24.6085 * CHOOSE(CONTROL!$C$15, $E$9, 100%, $G$9) + CHOOSE(CONTROL!$C$38, 0.0347, 0)</f>
        <v>24.6432</v>
      </c>
      <c r="I239" s="10">
        <f>24.6101 * CHOOSE(CONTROL!$C$15, $E$9, 100%, $G$9) + CHOOSE(CONTROL!$C$38, 0.0347, 0)</f>
        <v>24.6448</v>
      </c>
      <c r="J239" s="26">
        <f>154.1813</f>
        <v>154.18129999999999</v>
      </c>
    </row>
    <row r="240" spans="1:10" ht="15" x14ac:dyDescent="0.2">
      <c r="A240" s="16">
        <v>48580</v>
      </c>
      <c r="B240" s="10">
        <f>27.6057 * CHOOSE(CONTROL!$C$15, $E$9, 100%, $G$9) + CHOOSE(CONTROL!$C$38, 0.0256, 0)</f>
        <v>27.6313</v>
      </c>
      <c r="C240" s="10">
        <f>25.4976 * CHOOSE(CONTROL!$C$15, $E$9, 100%, $G$9) + CHOOSE(CONTROL!$C$38, 0.0347, 0)</f>
        <v>25.532299999999999</v>
      </c>
      <c r="D240" s="10">
        <f>25.4898 * CHOOSE(CONTROL!$C$15, $E$9, 100%, $G$9) + CHOOSE(CONTROL!$C$38, 0.0347, 0)</f>
        <v>25.5245</v>
      </c>
      <c r="E240" s="28">
        <f>27.4494 * CHOOSE(CONTROL!$C$15, $E$9, 100%, $G$9) + CHOOSE(CONTROL!$C$38, 0.0347, 0)</f>
        <v>27.484100000000002</v>
      </c>
      <c r="F240" s="27">
        <f>27.4494 * CHOOSE(CONTROL!$C$15, $E$9, 100%, $G$9) + CHOOSE(CONTROL!$C$38, 0.0256, 0)</f>
        <v>27.475000000000001</v>
      </c>
      <c r="G240" s="10">
        <f>25.496 * CHOOSE(CONTROL!$C$15, $E$9, 100%, $G$9) + CHOOSE(CONTROL!$C$38, 0.0347, 0)</f>
        <v>25.5307</v>
      </c>
      <c r="H240" s="10">
        <f>25.496 * CHOOSE(CONTROL!$C$15, $E$9, 100%, $G$9) + CHOOSE(CONTROL!$C$38, 0.0347, 0)</f>
        <v>25.5307</v>
      </c>
      <c r="I240" s="10">
        <f>25.4976 * CHOOSE(CONTROL!$C$15, $E$9, 100%, $G$9) + CHOOSE(CONTROL!$C$38, 0.0347, 0)</f>
        <v>25.532299999999999</v>
      </c>
      <c r="J240" s="26">
        <f>153.1485</f>
        <v>153.14850000000001</v>
      </c>
    </row>
    <row r="241" spans="1:10" ht="15" x14ac:dyDescent="0.2">
      <c r="A241" s="16">
        <v>48611</v>
      </c>
      <c r="B241" s="10">
        <f>27.8264 * CHOOSE(CONTROL!$C$15, $E$9, 100%, $G$9) + CHOOSE(CONTROL!$C$38, 0.0256, 0)</f>
        <v>27.852</v>
      </c>
      <c r="C241" s="10">
        <f>25.7184 * CHOOSE(CONTROL!$C$15, $E$9, 100%, $G$9) + CHOOSE(CONTROL!$C$38, 0.0347, 0)</f>
        <v>25.7531</v>
      </c>
      <c r="D241" s="10">
        <f>25.7105 * CHOOSE(CONTROL!$C$15, $E$9, 100%, $G$9) + CHOOSE(CONTROL!$C$38, 0.0347, 0)</f>
        <v>25.745200000000001</v>
      </c>
      <c r="E241" s="28">
        <f>27.6702 * CHOOSE(CONTROL!$C$15, $E$9, 100%, $G$9) + CHOOSE(CONTROL!$C$38, 0.0347, 0)</f>
        <v>27.704900000000002</v>
      </c>
      <c r="F241" s="27">
        <f>27.6702 * CHOOSE(CONTROL!$C$15, $E$9, 100%, $G$9) + CHOOSE(CONTROL!$C$38, 0.0256, 0)</f>
        <v>27.695800000000002</v>
      </c>
      <c r="G241" s="10">
        <f>25.7168 * CHOOSE(CONTROL!$C$15, $E$9, 100%, $G$9) + CHOOSE(CONTROL!$C$38, 0.0347, 0)</f>
        <v>25.7515</v>
      </c>
      <c r="H241" s="10">
        <f>25.7168 * CHOOSE(CONTROL!$C$15, $E$9, 100%, $G$9) + CHOOSE(CONTROL!$C$38, 0.0347, 0)</f>
        <v>25.7515</v>
      </c>
      <c r="I241" s="10">
        <f>25.7184 * CHOOSE(CONTROL!$C$15, $E$9, 100%, $G$9) + CHOOSE(CONTROL!$C$38, 0.0347, 0)</f>
        <v>25.7531</v>
      </c>
      <c r="J241" s="26">
        <f>152.7228</f>
        <v>152.72280000000001</v>
      </c>
    </row>
    <row r="242" spans="1:10" ht="15" x14ac:dyDescent="0.2">
      <c r="A242" s="16">
        <v>48639</v>
      </c>
      <c r="B242" s="10">
        <f>27.3154 * CHOOSE(CONTROL!$C$15, $E$9, 100%, $G$9) + CHOOSE(CONTROL!$C$38, 0.0256, 0)</f>
        <v>27.341000000000001</v>
      </c>
      <c r="C242" s="10">
        <f>25.2073 * CHOOSE(CONTROL!$C$15, $E$9, 100%, $G$9) + CHOOSE(CONTROL!$C$38, 0.0347, 0)</f>
        <v>25.242000000000001</v>
      </c>
      <c r="D242" s="10">
        <f>25.1995 * CHOOSE(CONTROL!$C$15, $E$9, 100%, $G$9) + CHOOSE(CONTROL!$C$38, 0.0347, 0)</f>
        <v>25.234200000000001</v>
      </c>
      <c r="E242" s="28">
        <f>27.1591 * CHOOSE(CONTROL!$C$15, $E$9, 100%, $G$9) + CHOOSE(CONTROL!$C$38, 0.0347, 0)</f>
        <v>27.1938</v>
      </c>
      <c r="F242" s="27">
        <f>27.1591 * CHOOSE(CONTROL!$C$15, $E$9, 100%, $G$9) + CHOOSE(CONTROL!$C$38, 0.0256, 0)</f>
        <v>27.184699999999999</v>
      </c>
      <c r="G242" s="10">
        <f>25.2058 * CHOOSE(CONTROL!$C$15, $E$9, 100%, $G$9) + CHOOSE(CONTROL!$C$38, 0.0347, 0)</f>
        <v>25.240500000000001</v>
      </c>
      <c r="H242" s="10">
        <f>25.2058 * CHOOSE(CONTROL!$C$15, $E$9, 100%, $G$9) + CHOOSE(CONTROL!$C$38, 0.0347, 0)</f>
        <v>25.240500000000001</v>
      </c>
      <c r="I242" s="10">
        <f>25.2073 * CHOOSE(CONTROL!$C$15, $E$9, 100%, $G$9) + CHOOSE(CONTROL!$C$38, 0.0347, 0)</f>
        <v>25.242000000000001</v>
      </c>
      <c r="J242" s="26">
        <f>160.7721</f>
        <v>160.77209999999999</v>
      </c>
    </row>
    <row r="243" spans="1:10" ht="15" x14ac:dyDescent="0.2">
      <c r="A243" s="16">
        <v>48670</v>
      </c>
      <c r="B243" s="10">
        <f>26.8202 * CHOOSE(CONTROL!$C$15, $E$9, 100%, $G$9) + CHOOSE(CONTROL!$C$38, 0.0256, 0)</f>
        <v>26.845800000000001</v>
      </c>
      <c r="C243" s="10">
        <f>24.7121 * CHOOSE(CONTROL!$C$15, $E$9, 100%, $G$9) + CHOOSE(CONTROL!$C$38, 0.0347, 0)</f>
        <v>24.7468</v>
      </c>
      <c r="D243" s="10">
        <f>24.7043 * CHOOSE(CONTROL!$C$15, $E$9, 100%, $G$9) + CHOOSE(CONTROL!$C$38, 0.0347, 0)</f>
        <v>24.739000000000001</v>
      </c>
      <c r="E243" s="28">
        <f>26.664 * CHOOSE(CONTROL!$C$15, $E$9, 100%, $G$9) + CHOOSE(CONTROL!$C$38, 0.0347, 0)</f>
        <v>26.698700000000002</v>
      </c>
      <c r="F243" s="27">
        <f>26.664 * CHOOSE(CONTROL!$C$15, $E$9, 100%, $G$9) + CHOOSE(CONTROL!$C$38, 0.0256, 0)</f>
        <v>26.689600000000002</v>
      </c>
      <c r="G243" s="10">
        <f>24.7106 * CHOOSE(CONTROL!$C$15, $E$9, 100%, $G$9) + CHOOSE(CONTROL!$C$38, 0.0347, 0)</f>
        <v>24.7453</v>
      </c>
      <c r="H243" s="10">
        <f>24.7106 * CHOOSE(CONTROL!$C$15, $E$9, 100%, $G$9) + CHOOSE(CONTROL!$C$38, 0.0347, 0)</f>
        <v>24.7453</v>
      </c>
      <c r="I243" s="10">
        <f>24.7121 * CHOOSE(CONTROL!$C$15, $E$9, 100%, $G$9) + CHOOSE(CONTROL!$C$38, 0.0347, 0)</f>
        <v>24.7468</v>
      </c>
      <c r="J243" s="26">
        <f>171.2103</f>
        <v>171.21029999999999</v>
      </c>
    </row>
    <row r="244" spans="1:10" ht="15" x14ac:dyDescent="0.2">
      <c r="A244" s="16">
        <v>48700</v>
      </c>
      <c r="B244" s="10">
        <f>26.3041 * CHOOSE(CONTROL!$C$15, $E$9, 100%, $G$9) + CHOOSE(CONTROL!$C$38, 0.0278, 0)</f>
        <v>26.331899999999997</v>
      </c>
      <c r="C244" s="10">
        <f>24.196 * CHOOSE(CONTROL!$C$15, $E$9, 100%, $G$9) + CHOOSE(CONTROL!$C$38, 0.0369, 0)</f>
        <v>24.232900000000001</v>
      </c>
      <c r="D244" s="10">
        <f>24.1882 * CHOOSE(CONTROL!$C$15, $E$9, 100%, $G$9) + CHOOSE(CONTROL!$C$38, 0.0369, 0)</f>
        <v>24.225099999999998</v>
      </c>
      <c r="E244" s="28">
        <f>26.1479 * CHOOSE(CONTROL!$C$15, $E$9, 100%, $G$9) + CHOOSE(CONTROL!$C$38, 0.0369, 0)</f>
        <v>26.184799999999999</v>
      </c>
      <c r="F244" s="27">
        <f>26.1479 * CHOOSE(CONTROL!$C$15, $E$9, 100%, $G$9) + CHOOSE(CONTROL!$C$38, 0.0278, 0)</f>
        <v>26.175699999999999</v>
      </c>
      <c r="G244" s="10">
        <f>24.1945 * CHOOSE(CONTROL!$C$15, $E$9, 100%, $G$9) + CHOOSE(CONTROL!$C$38, 0.0369, 0)</f>
        <v>24.231400000000001</v>
      </c>
      <c r="H244" s="10">
        <f>24.1945 * CHOOSE(CONTROL!$C$15, $E$9, 100%, $G$9) + CHOOSE(CONTROL!$C$38, 0.0369, 0)</f>
        <v>24.231400000000001</v>
      </c>
      <c r="I244" s="10">
        <f>24.196 * CHOOSE(CONTROL!$C$15, $E$9, 100%, $G$9) + CHOOSE(CONTROL!$C$38, 0.0369, 0)</f>
        <v>24.232900000000001</v>
      </c>
      <c r="J244" s="26">
        <f>176.9557</f>
        <v>176.95570000000001</v>
      </c>
    </row>
    <row r="245" spans="1:10" ht="15" x14ac:dyDescent="0.2">
      <c r="A245" s="16">
        <v>48731</v>
      </c>
      <c r="B245" s="10">
        <f>25.9423 * CHOOSE(CONTROL!$C$15, $E$9, 100%, $G$9) + CHOOSE(CONTROL!$C$38, 0.0278, 0)</f>
        <v>25.970099999999999</v>
      </c>
      <c r="C245" s="10">
        <f>23.8342 * CHOOSE(CONTROL!$C$15, $E$9, 100%, $G$9) + CHOOSE(CONTROL!$C$38, 0.0369, 0)</f>
        <v>23.871099999999998</v>
      </c>
      <c r="D245" s="10">
        <f>23.8264 * CHOOSE(CONTROL!$C$15, $E$9, 100%, $G$9) + CHOOSE(CONTROL!$C$38, 0.0369, 0)</f>
        <v>23.863299999999999</v>
      </c>
      <c r="E245" s="28">
        <f>25.786 * CHOOSE(CONTROL!$C$15, $E$9, 100%, $G$9) + CHOOSE(CONTROL!$C$38, 0.0369, 0)</f>
        <v>25.822900000000001</v>
      </c>
      <c r="F245" s="27">
        <f>25.786 * CHOOSE(CONTROL!$C$15, $E$9, 100%, $G$9) + CHOOSE(CONTROL!$C$38, 0.0278, 0)</f>
        <v>25.813800000000001</v>
      </c>
      <c r="G245" s="10">
        <f>23.8326 * CHOOSE(CONTROL!$C$15, $E$9, 100%, $G$9) + CHOOSE(CONTROL!$C$38, 0.0369, 0)</f>
        <v>23.869499999999999</v>
      </c>
      <c r="H245" s="10">
        <f>23.8326 * CHOOSE(CONTROL!$C$15, $E$9, 100%, $G$9) + CHOOSE(CONTROL!$C$38, 0.0369, 0)</f>
        <v>23.869499999999999</v>
      </c>
      <c r="I245" s="10">
        <f>23.8342 * CHOOSE(CONTROL!$C$15, $E$9, 100%, $G$9) + CHOOSE(CONTROL!$C$38, 0.0369, 0)</f>
        <v>23.871099999999998</v>
      </c>
      <c r="J245" s="26">
        <f>179.5055</f>
        <v>179.50550000000001</v>
      </c>
    </row>
    <row r="246" spans="1:10" ht="15" x14ac:dyDescent="0.2">
      <c r="A246" s="16">
        <v>48761</v>
      </c>
      <c r="B246" s="10">
        <f>25.7358 * CHOOSE(CONTROL!$C$15, $E$9, 100%, $G$9) + CHOOSE(CONTROL!$C$38, 0.0278, 0)</f>
        <v>25.7636</v>
      </c>
      <c r="C246" s="10">
        <f>23.6277 * CHOOSE(CONTROL!$C$15, $E$9, 100%, $G$9) + CHOOSE(CONTROL!$C$38, 0.0369, 0)</f>
        <v>23.6646</v>
      </c>
      <c r="D246" s="10">
        <f>23.6199 * CHOOSE(CONTROL!$C$15, $E$9, 100%, $G$9) + CHOOSE(CONTROL!$C$38, 0.0369, 0)</f>
        <v>23.6568</v>
      </c>
      <c r="E246" s="28">
        <f>25.5795 * CHOOSE(CONTROL!$C$15, $E$9, 100%, $G$9) + CHOOSE(CONTROL!$C$38, 0.0369, 0)</f>
        <v>25.616399999999999</v>
      </c>
      <c r="F246" s="27">
        <f>25.5795 * CHOOSE(CONTROL!$C$15, $E$9, 100%, $G$9) + CHOOSE(CONTROL!$C$38, 0.0278, 0)</f>
        <v>25.607299999999999</v>
      </c>
      <c r="G246" s="10">
        <f>23.6261 * CHOOSE(CONTROL!$C$15, $E$9, 100%, $G$9) + CHOOSE(CONTROL!$C$38, 0.0369, 0)</f>
        <v>23.663</v>
      </c>
      <c r="H246" s="10">
        <f>23.6261 * CHOOSE(CONTROL!$C$15, $E$9, 100%, $G$9) + CHOOSE(CONTROL!$C$38, 0.0369, 0)</f>
        <v>23.663</v>
      </c>
      <c r="I246" s="10">
        <f>23.6277 * CHOOSE(CONTROL!$C$15, $E$9, 100%, $G$9) + CHOOSE(CONTROL!$C$38, 0.0369, 0)</f>
        <v>23.6646</v>
      </c>
      <c r="J246" s="26">
        <f>178.666</f>
        <v>178.666</v>
      </c>
    </row>
    <row r="247" spans="1:10" ht="15" x14ac:dyDescent="0.2">
      <c r="A247" s="16">
        <v>48792</v>
      </c>
      <c r="B247" s="10">
        <f>25.8377 * CHOOSE(CONTROL!$C$15, $E$9, 100%, $G$9) + CHOOSE(CONTROL!$C$38, 0.0278, 0)</f>
        <v>25.865500000000001</v>
      </c>
      <c r="C247" s="10">
        <f>23.7296 * CHOOSE(CONTROL!$C$15, $E$9, 100%, $G$9) + CHOOSE(CONTROL!$C$38, 0.0369, 0)</f>
        <v>23.766500000000001</v>
      </c>
      <c r="D247" s="10">
        <f>23.7218 * CHOOSE(CONTROL!$C$15, $E$9, 100%, $G$9) + CHOOSE(CONTROL!$C$38, 0.0369, 0)</f>
        <v>23.758700000000001</v>
      </c>
      <c r="E247" s="28">
        <f>25.6814 * CHOOSE(CONTROL!$C$15, $E$9, 100%, $G$9) + CHOOSE(CONTROL!$C$38, 0.0369, 0)</f>
        <v>25.718299999999999</v>
      </c>
      <c r="F247" s="27">
        <f>25.6814 * CHOOSE(CONTROL!$C$15, $E$9, 100%, $G$9) + CHOOSE(CONTROL!$C$38, 0.0278, 0)</f>
        <v>25.709199999999999</v>
      </c>
      <c r="G247" s="10">
        <f>23.7281 * CHOOSE(CONTROL!$C$15, $E$9, 100%, $G$9) + CHOOSE(CONTROL!$C$38, 0.0369, 0)</f>
        <v>23.765000000000001</v>
      </c>
      <c r="H247" s="10">
        <f>23.7281 * CHOOSE(CONTROL!$C$15, $E$9, 100%, $G$9) + CHOOSE(CONTROL!$C$38, 0.0369, 0)</f>
        <v>23.765000000000001</v>
      </c>
      <c r="I247" s="10">
        <f>23.7296 * CHOOSE(CONTROL!$C$15, $E$9, 100%, $G$9) + CHOOSE(CONTROL!$C$38, 0.0369, 0)</f>
        <v>23.766500000000001</v>
      </c>
      <c r="J247" s="26">
        <f>174.5067</f>
        <v>174.5067</v>
      </c>
    </row>
    <row r="248" spans="1:10" ht="15" x14ac:dyDescent="0.2">
      <c r="A248" s="16">
        <v>48823</v>
      </c>
      <c r="B248" s="10">
        <f>26.1145 * CHOOSE(CONTROL!$C$15, $E$9, 100%, $G$9) + CHOOSE(CONTROL!$C$38, 0.0278, 0)</f>
        <v>26.142299999999999</v>
      </c>
      <c r="C248" s="10">
        <f>24.0064 * CHOOSE(CONTROL!$C$15, $E$9, 100%, $G$9) + CHOOSE(CONTROL!$C$38, 0.0369, 0)</f>
        <v>24.043299999999999</v>
      </c>
      <c r="D248" s="10">
        <f>23.9986 * CHOOSE(CONTROL!$C$15, $E$9, 100%, $G$9) + CHOOSE(CONTROL!$C$38, 0.0369, 0)</f>
        <v>24.035499999999999</v>
      </c>
      <c r="E248" s="28">
        <f>25.9582 * CHOOSE(CONTROL!$C$15, $E$9, 100%, $G$9) + CHOOSE(CONTROL!$C$38, 0.0369, 0)</f>
        <v>25.995100000000001</v>
      </c>
      <c r="F248" s="27">
        <f>25.9582 * CHOOSE(CONTROL!$C$15, $E$9, 100%, $G$9) + CHOOSE(CONTROL!$C$38, 0.0278, 0)</f>
        <v>25.986000000000001</v>
      </c>
      <c r="G248" s="10">
        <f>24.0049 * CHOOSE(CONTROL!$C$15, $E$9, 100%, $G$9) + CHOOSE(CONTROL!$C$38, 0.0369, 0)</f>
        <v>24.041799999999999</v>
      </c>
      <c r="H248" s="10">
        <f>24.0049 * CHOOSE(CONTROL!$C$15, $E$9, 100%, $G$9) + CHOOSE(CONTROL!$C$38, 0.0369, 0)</f>
        <v>24.041799999999999</v>
      </c>
      <c r="I248" s="10">
        <f>24.0064 * CHOOSE(CONTROL!$C$15, $E$9, 100%, $G$9) + CHOOSE(CONTROL!$C$38, 0.0369, 0)</f>
        <v>24.043299999999999</v>
      </c>
      <c r="J248" s="26">
        <f>168.7064</f>
        <v>168.7064</v>
      </c>
    </row>
    <row r="249" spans="1:10" ht="15" x14ac:dyDescent="0.2">
      <c r="A249" s="16">
        <v>48853</v>
      </c>
      <c r="B249" s="10">
        <f>26.3463 * CHOOSE(CONTROL!$C$15, $E$9, 100%, $G$9) + CHOOSE(CONTROL!$C$38, 0.0256, 0)</f>
        <v>26.3719</v>
      </c>
      <c r="C249" s="10">
        <f>24.2382 * CHOOSE(CONTROL!$C$15, $E$9, 100%, $G$9) + CHOOSE(CONTROL!$C$38, 0.0347, 0)</f>
        <v>24.2729</v>
      </c>
      <c r="D249" s="10">
        <f>24.2304 * CHOOSE(CONTROL!$C$15, $E$9, 100%, $G$9) + CHOOSE(CONTROL!$C$38, 0.0347, 0)</f>
        <v>24.2651</v>
      </c>
      <c r="E249" s="28">
        <f>26.1901 * CHOOSE(CONTROL!$C$15, $E$9, 100%, $G$9) + CHOOSE(CONTROL!$C$38, 0.0347, 0)</f>
        <v>26.224800000000002</v>
      </c>
      <c r="F249" s="27">
        <f>26.1901 * CHOOSE(CONTROL!$C$15, $E$9, 100%, $G$9) + CHOOSE(CONTROL!$C$38, 0.0256, 0)</f>
        <v>26.215700000000002</v>
      </c>
      <c r="G249" s="10">
        <f>24.2367 * CHOOSE(CONTROL!$C$15, $E$9, 100%, $G$9) + CHOOSE(CONTROL!$C$38, 0.0347, 0)</f>
        <v>24.2714</v>
      </c>
      <c r="H249" s="10">
        <f>24.2367 * CHOOSE(CONTROL!$C$15, $E$9, 100%, $G$9) + CHOOSE(CONTROL!$C$38, 0.0347, 0)</f>
        <v>24.2714</v>
      </c>
      <c r="I249" s="10">
        <f>24.2382 * CHOOSE(CONTROL!$C$15, $E$9, 100%, $G$9) + CHOOSE(CONTROL!$C$38, 0.0347, 0)</f>
        <v>24.2729</v>
      </c>
      <c r="J249" s="26">
        <f>162.8724</f>
        <v>162.8724</v>
      </c>
    </row>
    <row r="250" spans="1:10" ht="15" x14ac:dyDescent="0.2">
      <c r="A250" s="16">
        <v>48884</v>
      </c>
      <c r="B250" s="10">
        <f>26.5397 * CHOOSE(CONTROL!$C$15, $E$9, 100%, $G$9) + CHOOSE(CONTROL!$C$38, 0.0256, 0)</f>
        <v>26.565300000000001</v>
      </c>
      <c r="C250" s="10">
        <f>24.4317 * CHOOSE(CONTROL!$C$15, $E$9, 100%, $G$9) + CHOOSE(CONTROL!$C$38, 0.0347, 0)</f>
        <v>24.4664</v>
      </c>
      <c r="D250" s="10">
        <f>24.4239 * CHOOSE(CONTROL!$C$15, $E$9, 100%, $G$9) + CHOOSE(CONTROL!$C$38, 0.0347, 0)</f>
        <v>24.458600000000001</v>
      </c>
      <c r="E250" s="28">
        <f>26.3835 * CHOOSE(CONTROL!$C$15, $E$9, 100%, $G$9) + CHOOSE(CONTROL!$C$38, 0.0347, 0)</f>
        <v>26.418200000000002</v>
      </c>
      <c r="F250" s="27">
        <f>26.3835 * CHOOSE(CONTROL!$C$15, $E$9, 100%, $G$9) + CHOOSE(CONTROL!$C$38, 0.0256, 0)</f>
        <v>26.409100000000002</v>
      </c>
      <c r="G250" s="10">
        <f>24.4301 * CHOOSE(CONTROL!$C$15, $E$9, 100%, $G$9) + CHOOSE(CONTROL!$C$38, 0.0347, 0)</f>
        <v>24.4648</v>
      </c>
      <c r="H250" s="10">
        <f>24.4301 * CHOOSE(CONTROL!$C$15, $E$9, 100%, $G$9) + CHOOSE(CONTROL!$C$38, 0.0347, 0)</f>
        <v>24.4648</v>
      </c>
      <c r="I250" s="10">
        <f>24.4317 * CHOOSE(CONTROL!$C$15, $E$9, 100%, $G$9) + CHOOSE(CONTROL!$C$38, 0.0347, 0)</f>
        <v>24.4664</v>
      </c>
      <c r="J250" s="26">
        <f>161.7119</f>
        <v>161.71190000000001</v>
      </c>
    </row>
    <row r="251" spans="1:10" ht="15" x14ac:dyDescent="0.2">
      <c r="A251" s="16">
        <v>48914</v>
      </c>
      <c r="B251" s="10">
        <f>27.1358 * CHOOSE(CONTROL!$C$15, $E$9, 100%, $G$9) + CHOOSE(CONTROL!$C$38, 0.0256, 0)</f>
        <v>27.1614</v>
      </c>
      <c r="C251" s="10">
        <f>25.0277 * CHOOSE(CONTROL!$C$15, $E$9, 100%, $G$9) + CHOOSE(CONTROL!$C$38, 0.0347, 0)</f>
        <v>25.0624</v>
      </c>
      <c r="D251" s="10">
        <f>25.0199 * CHOOSE(CONTROL!$C$15, $E$9, 100%, $G$9) + CHOOSE(CONTROL!$C$38, 0.0347, 0)</f>
        <v>25.054600000000001</v>
      </c>
      <c r="E251" s="28">
        <f>26.9796 * CHOOSE(CONTROL!$C$15, $E$9, 100%, $G$9) + CHOOSE(CONTROL!$C$38, 0.0347, 0)</f>
        <v>27.014300000000002</v>
      </c>
      <c r="F251" s="27">
        <f>26.9796 * CHOOSE(CONTROL!$C$15, $E$9, 100%, $G$9) + CHOOSE(CONTROL!$C$38, 0.0256, 0)</f>
        <v>27.005200000000002</v>
      </c>
      <c r="G251" s="10">
        <f>25.0262 * CHOOSE(CONTROL!$C$15, $E$9, 100%, $G$9) + CHOOSE(CONTROL!$C$38, 0.0347, 0)</f>
        <v>25.0609</v>
      </c>
      <c r="H251" s="10">
        <f>25.0262 * CHOOSE(CONTROL!$C$15, $E$9, 100%, $G$9) + CHOOSE(CONTROL!$C$38, 0.0347, 0)</f>
        <v>25.0609</v>
      </c>
      <c r="I251" s="10">
        <f>25.0277 * CHOOSE(CONTROL!$C$15, $E$9, 100%, $G$9) + CHOOSE(CONTROL!$C$38, 0.0347, 0)</f>
        <v>25.0624</v>
      </c>
      <c r="J251" s="26">
        <f>156.9131</f>
        <v>156.91309999999999</v>
      </c>
    </row>
    <row r="252" spans="1:10" ht="15" x14ac:dyDescent="0.2">
      <c r="A252" s="16">
        <v>48945</v>
      </c>
      <c r="B252" s="10">
        <f>28.0652 * CHOOSE(CONTROL!$C$15, $E$9, 100%, $G$9) + CHOOSE(CONTROL!$C$38, 0.0256, 0)</f>
        <v>28.090800000000002</v>
      </c>
      <c r="C252" s="10">
        <f>25.9227 * CHOOSE(CONTROL!$C$15, $E$9, 100%, $G$9) + CHOOSE(CONTROL!$C$38, 0.0347, 0)</f>
        <v>25.9574</v>
      </c>
      <c r="D252" s="10">
        <f>25.9148 * CHOOSE(CONTROL!$C$15, $E$9, 100%, $G$9) + CHOOSE(CONTROL!$C$38, 0.0347, 0)</f>
        <v>25.9495</v>
      </c>
      <c r="E252" s="28">
        <f>27.909 * CHOOSE(CONTROL!$C$15, $E$9, 100%, $G$9) + CHOOSE(CONTROL!$C$38, 0.0347, 0)</f>
        <v>27.9437</v>
      </c>
      <c r="F252" s="27">
        <f>27.909 * CHOOSE(CONTROL!$C$15, $E$9, 100%, $G$9) + CHOOSE(CONTROL!$C$38, 0.0256, 0)</f>
        <v>27.9346</v>
      </c>
      <c r="G252" s="10">
        <f>25.9211 * CHOOSE(CONTROL!$C$15, $E$9, 100%, $G$9) + CHOOSE(CONTROL!$C$38, 0.0347, 0)</f>
        <v>25.9558</v>
      </c>
      <c r="H252" s="10">
        <f>25.9211 * CHOOSE(CONTROL!$C$15, $E$9, 100%, $G$9) + CHOOSE(CONTROL!$C$38, 0.0347, 0)</f>
        <v>25.9558</v>
      </c>
      <c r="I252" s="10">
        <f>25.9227 * CHOOSE(CONTROL!$C$15, $E$9, 100%, $G$9) + CHOOSE(CONTROL!$C$38, 0.0347, 0)</f>
        <v>25.9574</v>
      </c>
      <c r="J252" s="26">
        <f>155.862</f>
        <v>155.86199999999999</v>
      </c>
    </row>
    <row r="253" spans="1:10" ht="15" x14ac:dyDescent="0.2">
      <c r="A253" s="16">
        <v>48976</v>
      </c>
      <c r="B253" s="10">
        <f>28.286 * CHOOSE(CONTROL!$C$15, $E$9, 100%, $G$9) + CHOOSE(CONTROL!$C$38, 0.0256, 0)</f>
        <v>28.311600000000002</v>
      </c>
      <c r="C253" s="10">
        <f>26.1434 * CHOOSE(CONTROL!$C$15, $E$9, 100%, $G$9) + CHOOSE(CONTROL!$C$38, 0.0347, 0)</f>
        <v>26.178100000000001</v>
      </c>
      <c r="D253" s="10">
        <f>26.1356 * CHOOSE(CONTROL!$C$15, $E$9, 100%, $G$9) + CHOOSE(CONTROL!$C$38, 0.0347, 0)</f>
        <v>26.170300000000001</v>
      </c>
      <c r="E253" s="28">
        <f>28.1297 * CHOOSE(CONTROL!$C$15, $E$9, 100%, $G$9) + CHOOSE(CONTROL!$C$38, 0.0347, 0)</f>
        <v>28.164400000000001</v>
      </c>
      <c r="F253" s="27">
        <f>28.1297 * CHOOSE(CONTROL!$C$15, $E$9, 100%, $G$9) + CHOOSE(CONTROL!$C$38, 0.0256, 0)</f>
        <v>28.1553</v>
      </c>
      <c r="G253" s="10">
        <f>26.1419 * CHOOSE(CONTROL!$C$15, $E$9, 100%, $G$9) + CHOOSE(CONTROL!$C$38, 0.0347, 0)</f>
        <v>26.176600000000001</v>
      </c>
      <c r="H253" s="10">
        <f>26.1419 * CHOOSE(CONTROL!$C$15, $E$9, 100%, $G$9) + CHOOSE(CONTROL!$C$38, 0.0347, 0)</f>
        <v>26.176600000000001</v>
      </c>
      <c r="I253" s="10">
        <f>26.1434 * CHOOSE(CONTROL!$C$15, $E$9, 100%, $G$9) + CHOOSE(CONTROL!$C$38, 0.0347, 0)</f>
        <v>26.178100000000001</v>
      </c>
      <c r="J253" s="26">
        <f>155.4287</f>
        <v>155.42869999999999</v>
      </c>
    </row>
    <row r="254" spans="1:10" ht="15" x14ac:dyDescent="0.2">
      <c r="A254" s="16">
        <v>49004</v>
      </c>
      <c r="B254" s="10">
        <f>27.7749 * CHOOSE(CONTROL!$C$15, $E$9, 100%, $G$9) + CHOOSE(CONTROL!$C$38, 0.0256, 0)</f>
        <v>27.8005</v>
      </c>
      <c r="C254" s="10">
        <f>25.6324 * CHOOSE(CONTROL!$C$15, $E$9, 100%, $G$9) + CHOOSE(CONTROL!$C$38, 0.0347, 0)</f>
        <v>25.667100000000001</v>
      </c>
      <c r="D254" s="10">
        <f>25.6246 * CHOOSE(CONTROL!$C$15, $E$9, 100%, $G$9) + CHOOSE(CONTROL!$C$38, 0.0347, 0)</f>
        <v>25.659300000000002</v>
      </c>
      <c r="E254" s="28">
        <f>27.6187 * CHOOSE(CONTROL!$C$15, $E$9, 100%, $G$9) + CHOOSE(CONTROL!$C$38, 0.0347, 0)</f>
        <v>27.653400000000001</v>
      </c>
      <c r="F254" s="27">
        <f>27.6187 * CHOOSE(CONTROL!$C$15, $E$9, 100%, $G$9) + CHOOSE(CONTROL!$C$38, 0.0256, 0)</f>
        <v>27.644300000000001</v>
      </c>
      <c r="G254" s="10">
        <f>25.6308 * CHOOSE(CONTROL!$C$15, $E$9, 100%, $G$9) + CHOOSE(CONTROL!$C$38, 0.0347, 0)</f>
        <v>25.665500000000002</v>
      </c>
      <c r="H254" s="10">
        <f>25.6308 * CHOOSE(CONTROL!$C$15, $E$9, 100%, $G$9) + CHOOSE(CONTROL!$C$38, 0.0347, 0)</f>
        <v>25.665500000000002</v>
      </c>
      <c r="I254" s="10">
        <f>25.6324 * CHOOSE(CONTROL!$C$15, $E$9, 100%, $G$9) + CHOOSE(CONTROL!$C$38, 0.0347, 0)</f>
        <v>25.667100000000001</v>
      </c>
      <c r="J254" s="26">
        <f>163.6207</f>
        <v>163.6207</v>
      </c>
    </row>
    <row r="255" spans="1:10" ht="15" x14ac:dyDescent="0.2">
      <c r="A255" s="16">
        <v>49035</v>
      </c>
      <c r="B255" s="10">
        <f>27.2798 * CHOOSE(CONTROL!$C$15, $E$9, 100%, $G$9) + CHOOSE(CONTROL!$C$38, 0.0256, 0)</f>
        <v>27.305400000000002</v>
      </c>
      <c r="C255" s="10">
        <f>25.1372 * CHOOSE(CONTROL!$C$15, $E$9, 100%, $G$9) + CHOOSE(CONTROL!$C$38, 0.0347, 0)</f>
        <v>25.171900000000001</v>
      </c>
      <c r="D255" s="10">
        <f>25.1294 * CHOOSE(CONTROL!$C$15, $E$9, 100%, $G$9) + CHOOSE(CONTROL!$C$38, 0.0347, 0)</f>
        <v>25.164100000000001</v>
      </c>
      <c r="E255" s="28">
        <f>27.1235 * CHOOSE(CONTROL!$C$15, $E$9, 100%, $G$9) + CHOOSE(CONTROL!$C$38, 0.0347, 0)</f>
        <v>27.158200000000001</v>
      </c>
      <c r="F255" s="27">
        <f>27.1235 * CHOOSE(CONTROL!$C$15, $E$9, 100%, $G$9) + CHOOSE(CONTROL!$C$38, 0.0256, 0)</f>
        <v>27.149100000000001</v>
      </c>
      <c r="G255" s="10">
        <f>25.1356 * CHOOSE(CONTROL!$C$15, $E$9, 100%, $G$9) + CHOOSE(CONTROL!$C$38, 0.0347, 0)</f>
        <v>25.170300000000001</v>
      </c>
      <c r="H255" s="10">
        <f>25.1356 * CHOOSE(CONTROL!$C$15, $E$9, 100%, $G$9) + CHOOSE(CONTROL!$C$38, 0.0347, 0)</f>
        <v>25.170300000000001</v>
      </c>
      <c r="I255" s="10">
        <f>25.1372 * CHOOSE(CONTROL!$C$15, $E$9, 100%, $G$9) + CHOOSE(CONTROL!$C$38, 0.0347, 0)</f>
        <v>25.171900000000001</v>
      </c>
      <c r="J255" s="26">
        <f>174.2438</f>
        <v>174.24379999999999</v>
      </c>
    </row>
    <row r="256" spans="1:10" ht="15" x14ac:dyDescent="0.2">
      <c r="A256" s="16">
        <v>49065</v>
      </c>
      <c r="B256" s="10">
        <f>26.7636 * CHOOSE(CONTROL!$C$15, $E$9, 100%, $G$9) + CHOOSE(CONTROL!$C$38, 0.0278, 0)</f>
        <v>26.791399999999999</v>
      </c>
      <c r="C256" s="10">
        <f>24.6211 * CHOOSE(CONTROL!$C$15, $E$9, 100%, $G$9) + CHOOSE(CONTROL!$C$38, 0.0369, 0)</f>
        <v>24.657999999999998</v>
      </c>
      <c r="D256" s="10">
        <f>24.6133 * CHOOSE(CONTROL!$C$15, $E$9, 100%, $G$9) + CHOOSE(CONTROL!$C$38, 0.0369, 0)</f>
        <v>24.650199999999998</v>
      </c>
      <c r="E256" s="28">
        <f>26.6074 * CHOOSE(CONTROL!$C$15, $E$9, 100%, $G$9) + CHOOSE(CONTROL!$C$38, 0.0369, 0)</f>
        <v>26.644299999999998</v>
      </c>
      <c r="F256" s="27">
        <f>26.6074 * CHOOSE(CONTROL!$C$15, $E$9, 100%, $G$9) + CHOOSE(CONTROL!$C$38, 0.0278, 0)</f>
        <v>26.635199999999998</v>
      </c>
      <c r="G256" s="10">
        <f>24.6195 * CHOOSE(CONTROL!$C$15, $E$9, 100%, $G$9) + CHOOSE(CONTROL!$C$38, 0.0369, 0)</f>
        <v>24.656399999999998</v>
      </c>
      <c r="H256" s="10">
        <f>24.6195 * CHOOSE(CONTROL!$C$15, $E$9, 100%, $G$9) + CHOOSE(CONTROL!$C$38, 0.0369, 0)</f>
        <v>24.656399999999998</v>
      </c>
      <c r="I256" s="10">
        <f>24.6211 * CHOOSE(CONTROL!$C$15, $E$9, 100%, $G$9) + CHOOSE(CONTROL!$C$38, 0.0369, 0)</f>
        <v>24.657999999999998</v>
      </c>
      <c r="J256" s="26">
        <f>180.0911</f>
        <v>180.09110000000001</v>
      </c>
    </row>
    <row r="257" spans="1:10" ht="15" x14ac:dyDescent="0.2">
      <c r="A257" s="16">
        <v>49096</v>
      </c>
      <c r="B257" s="10">
        <f>26.4018 * CHOOSE(CONTROL!$C$15, $E$9, 100%, $G$9) + CHOOSE(CONTROL!$C$38, 0.0278, 0)</f>
        <v>26.429600000000001</v>
      </c>
      <c r="C257" s="10">
        <f>24.2593 * CHOOSE(CONTROL!$C$15, $E$9, 100%, $G$9) + CHOOSE(CONTROL!$C$38, 0.0369, 0)</f>
        <v>24.296199999999999</v>
      </c>
      <c r="D257" s="10">
        <f>24.2514 * CHOOSE(CONTROL!$C$15, $E$9, 100%, $G$9) + CHOOSE(CONTROL!$C$38, 0.0369, 0)</f>
        <v>24.2883</v>
      </c>
      <c r="E257" s="28">
        <f>26.2456 * CHOOSE(CONTROL!$C$15, $E$9, 100%, $G$9) + CHOOSE(CONTROL!$C$38, 0.0369, 0)</f>
        <v>26.282499999999999</v>
      </c>
      <c r="F257" s="27">
        <f>26.2456 * CHOOSE(CONTROL!$C$15, $E$9, 100%, $G$9) + CHOOSE(CONTROL!$C$38, 0.0278, 0)</f>
        <v>26.273399999999999</v>
      </c>
      <c r="G257" s="10">
        <f>24.2577 * CHOOSE(CONTROL!$C$15, $E$9, 100%, $G$9) + CHOOSE(CONTROL!$C$38, 0.0369, 0)</f>
        <v>24.294599999999999</v>
      </c>
      <c r="H257" s="10">
        <f>24.2577 * CHOOSE(CONTROL!$C$15, $E$9, 100%, $G$9) + CHOOSE(CONTROL!$C$38, 0.0369, 0)</f>
        <v>24.294599999999999</v>
      </c>
      <c r="I257" s="10">
        <f>24.2593 * CHOOSE(CONTROL!$C$15, $E$9, 100%, $G$9) + CHOOSE(CONTROL!$C$38, 0.0369, 0)</f>
        <v>24.296199999999999</v>
      </c>
      <c r="J257" s="26">
        <f>182.686</f>
        <v>182.68600000000001</v>
      </c>
    </row>
    <row r="258" spans="1:10" ht="15" x14ac:dyDescent="0.2">
      <c r="A258" s="16">
        <v>49126</v>
      </c>
      <c r="B258" s="10">
        <f>26.1953 * CHOOSE(CONTROL!$C$15, $E$9, 100%, $G$9) + CHOOSE(CONTROL!$C$38, 0.0278, 0)</f>
        <v>26.223099999999999</v>
      </c>
      <c r="C258" s="10">
        <f>24.0528 * CHOOSE(CONTROL!$C$15, $E$9, 100%, $G$9) + CHOOSE(CONTROL!$C$38, 0.0369, 0)</f>
        <v>24.089700000000001</v>
      </c>
      <c r="D258" s="10">
        <f>24.045 * CHOOSE(CONTROL!$C$15, $E$9, 100%, $G$9) + CHOOSE(CONTROL!$C$38, 0.0369, 0)</f>
        <v>24.081900000000001</v>
      </c>
      <c r="E258" s="28">
        <f>26.0391 * CHOOSE(CONTROL!$C$15, $E$9, 100%, $G$9) + CHOOSE(CONTROL!$C$38, 0.0369, 0)</f>
        <v>26.076000000000001</v>
      </c>
      <c r="F258" s="27">
        <f>26.0391 * CHOOSE(CONTROL!$C$15, $E$9, 100%, $G$9) + CHOOSE(CONTROL!$C$38, 0.0278, 0)</f>
        <v>26.0669</v>
      </c>
      <c r="G258" s="10">
        <f>24.0512 * CHOOSE(CONTROL!$C$15, $E$9, 100%, $G$9) + CHOOSE(CONTROL!$C$38, 0.0369, 0)</f>
        <v>24.088100000000001</v>
      </c>
      <c r="H258" s="10">
        <f>24.0512 * CHOOSE(CONTROL!$C$15, $E$9, 100%, $G$9) + CHOOSE(CONTROL!$C$38, 0.0369, 0)</f>
        <v>24.088100000000001</v>
      </c>
      <c r="I258" s="10">
        <f>24.0528 * CHOOSE(CONTROL!$C$15, $E$9, 100%, $G$9) + CHOOSE(CONTROL!$C$38, 0.0369, 0)</f>
        <v>24.089700000000001</v>
      </c>
      <c r="J258" s="26">
        <f>181.8316</f>
        <v>181.83160000000001</v>
      </c>
    </row>
    <row r="259" spans="1:10" ht="15" x14ac:dyDescent="0.2">
      <c r="A259" s="16">
        <v>49157</v>
      </c>
      <c r="B259" s="10">
        <f>26.2972 * CHOOSE(CONTROL!$C$15, $E$9, 100%, $G$9) + CHOOSE(CONTROL!$C$38, 0.0278, 0)</f>
        <v>26.324999999999999</v>
      </c>
      <c r="C259" s="10">
        <f>24.1547 * CHOOSE(CONTROL!$C$15, $E$9, 100%, $G$9) + CHOOSE(CONTROL!$C$38, 0.0369, 0)</f>
        <v>24.191599999999998</v>
      </c>
      <c r="D259" s="10">
        <f>24.1469 * CHOOSE(CONTROL!$C$15, $E$9, 100%, $G$9) + CHOOSE(CONTROL!$C$38, 0.0369, 0)</f>
        <v>24.183799999999998</v>
      </c>
      <c r="E259" s="28">
        <f>26.141 * CHOOSE(CONTROL!$C$15, $E$9, 100%, $G$9) + CHOOSE(CONTROL!$C$38, 0.0369, 0)</f>
        <v>26.177899999999998</v>
      </c>
      <c r="F259" s="27">
        <f>26.141 * CHOOSE(CONTROL!$C$15, $E$9, 100%, $G$9) + CHOOSE(CONTROL!$C$38, 0.0278, 0)</f>
        <v>26.168799999999997</v>
      </c>
      <c r="G259" s="10">
        <f>24.1531 * CHOOSE(CONTROL!$C$15, $E$9, 100%, $G$9) + CHOOSE(CONTROL!$C$38, 0.0369, 0)</f>
        <v>24.189999999999998</v>
      </c>
      <c r="H259" s="10">
        <f>24.1531 * CHOOSE(CONTROL!$C$15, $E$9, 100%, $G$9) + CHOOSE(CONTROL!$C$38, 0.0369, 0)</f>
        <v>24.189999999999998</v>
      </c>
      <c r="I259" s="10">
        <f>24.1547 * CHOOSE(CONTROL!$C$15, $E$9, 100%, $G$9) + CHOOSE(CONTROL!$C$38, 0.0369, 0)</f>
        <v>24.191599999999998</v>
      </c>
      <c r="J259" s="26">
        <f>177.5986</f>
        <v>177.5986</v>
      </c>
    </row>
    <row r="260" spans="1:10" ht="15" x14ac:dyDescent="0.2">
      <c r="A260" s="16">
        <v>49188</v>
      </c>
      <c r="B260" s="10">
        <f>26.574 * CHOOSE(CONTROL!$C$15, $E$9, 100%, $G$9) + CHOOSE(CONTROL!$C$38, 0.0278, 0)</f>
        <v>26.601800000000001</v>
      </c>
      <c r="C260" s="10">
        <f>24.4315 * CHOOSE(CONTROL!$C$15, $E$9, 100%, $G$9) + CHOOSE(CONTROL!$C$38, 0.0369, 0)</f>
        <v>24.468399999999999</v>
      </c>
      <c r="D260" s="10">
        <f>24.4237 * CHOOSE(CONTROL!$C$15, $E$9, 100%, $G$9) + CHOOSE(CONTROL!$C$38, 0.0369, 0)</f>
        <v>24.460599999999999</v>
      </c>
      <c r="E260" s="28">
        <f>26.4178 * CHOOSE(CONTROL!$C$15, $E$9, 100%, $G$9) + CHOOSE(CONTROL!$C$38, 0.0369, 0)</f>
        <v>26.454699999999999</v>
      </c>
      <c r="F260" s="27">
        <f>26.4178 * CHOOSE(CONTROL!$C$15, $E$9, 100%, $G$9) + CHOOSE(CONTROL!$C$38, 0.0278, 0)</f>
        <v>26.445599999999999</v>
      </c>
      <c r="G260" s="10">
        <f>24.4299 * CHOOSE(CONTROL!$C$15, $E$9, 100%, $G$9) + CHOOSE(CONTROL!$C$38, 0.0369, 0)</f>
        <v>24.466799999999999</v>
      </c>
      <c r="H260" s="10">
        <f>24.4299 * CHOOSE(CONTROL!$C$15, $E$9, 100%, $G$9) + CHOOSE(CONTROL!$C$38, 0.0369, 0)</f>
        <v>24.466799999999999</v>
      </c>
      <c r="I260" s="10">
        <f>24.4315 * CHOOSE(CONTROL!$C$15, $E$9, 100%, $G$9) + CHOOSE(CONTROL!$C$38, 0.0369, 0)</f>
        <v>24.468399999999999</v>
      </c>
      <c r="J260" s="26">
        <f>171.6956</f>
        <v>171.69560000000001</v>
      </c>
    </row>
    <row r="261" spans="1:10" ht="15" x14ac:dyDescent="0.2">
      <c r="A261" s="16">
        <v>49218</v>
      </c>
      <c r="B261" s="10">
        <f>26.8059 * CHOOSE(CONTROL!$C$15, $E$9, 100%, $G$9) + CHOOSE(CONTROL!$C$38, 0.0256, 0)</f>
        <v>26.831500000000002</v>
      </c>
      <c r="C261" s="10">
        <f>24.6633 * CHOOSE(CONTROL!$C$15, $E$9, 100%, $G$9) + CHOOSE(CONTROL!$C$38, 0.0347, 0)</f>
        <v>24.698</v>
      </c>
      <c r="D261" s="10">
        <f>24.6555 * CHOOSE(CONTROL!$C$15, $E$9, 100%, $G$9) + CHOOSE(CONTROL!$C$38, 0.0347, 0)</f>
        <v>24.690200000000001</v>
      </c>
      <c r="E261" s="28">
        <f>26.6496 * CHOOSE(CONTROL!$C$15, $E$9, 100%, $G$9) + CHOOSE(CONTROL!$C$38, 0.0347, 0)</f>
        <v>26.6843</v>
      </c>
      <c r="F261" s="27">
        <f>26.6496 * CHOOSE(CONTROL!$C$15, $E$9, 100%, $G$9) + CHOOSE(CONTROL!$C$38, 0.0256, 0)</f>
        <v>26.6752</v>
      </c>
      <c r="G261" s="10">
        <f>24.6617 * CHOOSE(CONTROL!$C$15, $E$9, 100%, $G$9) + CHOOSE(CONTROL!$C$38, 0.0347, 0)</f>
        <v>24.696400000000001</v>
      </c>
      <c r="H261" s="10">
        <f>24.6617 * CHOOSE(CONTROL!$C$15, $E$9, 100%, $G$9) + CHOOSE(CONTROL!$C$38, 0.0347, 0)</f>
        <v>24.696400000000001</v>
      </c>
      <c r="I261" s="10">
        <f>24.6633 * CHOOSE(CONTROL!$C$15, $E$9, 100%, $G$9) + CHOOSE(CONTROL!$C$38, 0.0347, 0)</f>
        <v>24.698</v>
      </c>
      <c r="J261" s="26">
        <f>165.7582</f>
        <v>165.75819999999999</v>
      </c>
    </row>
    <row r="262" spans="1:10" ht="15" x14ac:dyDescent="0.2">
      <c r="A262" s="16">
        <v>49249</v>
      </c>
      <c r="B262" s="10">
        <f>26.9993 * CHOOSE(CONTROL!$C$15, $E$9, 100%, $G$9) + CHOOSE(CONTROL!$C$38, 0.0256, 0)</f>
        <v>27.024900000000002</v>
      </c>
      <c r="C262" s="10">
        <f>24.8567 * CHOOSE(CONTROL!$C$15, $E$9, 100%, $G$9) + CHOOSE(CONTROL!$C$38, 0.0347, 0)</f>
        <v>24.891400000000001</v>
      </c>
      <c r="D262" s="10">
        <f>24.8489 * CHOOSE(CONTROL!$C$15, $E$9, 100%, $G$9) + CHOOSE(CONTROL!$C$38, 0.0347, 0)</f>
        <v>24.883600000000001</v>
      </c>
      <c r="E262" s="28">
        <f>26.843 * CHOOSE(CONTROL!$C$15, $E$9, 100%, $G$9) + CHOOSE(CONTROL!$C$38, 0.0347, 0)</f>
        <v>26.877700000000001</v>
      </c>
      <c r="F262" s="27">
        <f>26.843 * CHOOSE(CONTROL!$C$15, $E$9, 100%, $G$9) + CHOOSE(CONTROL!$C$38, 0.0256, 0)</f>
        <v>26.868600000000001</v>
      </c>
      <c r="G262" s="10">
        <f>24.8552 * CHOOSE(CONTROL!$C$15, $E$9, 100%, $G$9) + CHOOSE(CONTROL!$C$38, 0.0347, 0)</f>
        <v>24.889900000000001</v>
      </c>
      <c r="H262" s="10">
        <f>24.8552 * CHOOSE(CONTROL!$C$15, $E$9, 100%, $G$9) + CHOOSE(CONTROL!$C$38, 0.0347, 0)</f>
        <v>24.889900000000001</v>
      </c>
      <c r="I262" s="10">
        <f>24.8567 * CHOOSE(CONTROL!$C$15, $E$9, 100%, $G$9) + CHOOSE(CONTROL!$C$38, 0.0347, 0)</f>
        <v>24.891400000000001</v>
      </c>
      <c r="J262" s="26">
        <f>164.5771</f>
        <v>164.5771</v>
      </c>
    </row>
    <row r="263" spans="1:10" ht="15" x14ac:dyDescent="0.2">
      <c r="A263" s="16">
        <v>49279</v>
      </c>
      <c r="B263" s="10">
        <f>27.5954 * CHOOSE(CONTROL!$C$15, $E$9, 100%, $G$9) + CHOOSE(CONTROL!$C$38, 0.0256, 0)</f>
        <v>27.621000000000002</v>
      </c>
      <c r="C263" s="10">
        <f>25.4528 * CHOOSE(CONTROL!$C$15, $E$9, 100%, $G$9) + CHOOSE(CONTROL!$C$38, 0.0347, 0)</f>
        <v>25.487500000000001</v>
      </c>
      <c r="D263" s="10">
        <f>25.445 * CHOOSE(CONTROL!$C$15, $E$9, 100%, $G$9) + CHOOSE(CONTROL!$C$38, 0.0347, 0)</f>
        <v>25.479700000000001</v>
      </c>
      <c r="E263" s="28">
        <f>27.4391 * CHOOSE(CONTROL!$C$15, $E$9, 100%, $G$9) + CHOOSE(CONTROL!$C$38, 0.0347, 0)</f>
        <v>27.473800000000001</v>
      </c>
      <c r="F263" s="27">
        <f>27.4391 * CHOOSE(CONTROL!$C$15, $E$9, 100%, $G$9) + CHOOSE(CONTROL!$C$38, 0.0256, 0)</f>
        <v>27.464700000000001</v>
      </c>
      <c r="G263" s="10">
        <f>25.4512 * CHOOSE(CONTROL!$C$15, $E$9, 100%, $G$9) + CHOOSE(CONTROL!$C$38, 0.0347, 0)</f>
        <v>25.485900000000001</v>
      </c>
      <c r="H263" s="10">
        <f>25.4512 * CHOOSE(CONTROL!$C$15, $E$9, 100%, $G$9) + CHOOSE(CONTROL!$C$38, 0.0347, 0)</f>
        <v>25.485900000000001</v>
      </c>
      <c r="I263" s="10">
        <f>25.4528 * CHOOSE(CONTROL!$C$15, $E$9, 100%, $G$9) + CHOOSE(CONTROL!$C$38, 0.0347, 0)</f>
        <v>25.487500000000001</v>
      </c>
      <c r="J263" s="26">
        <f>159.6933</f>
        <v>159.69329999999999</v>
      </c>
    </row>
    <row r="264" spans="1:10" ht="15" x14ac:dyDescent="0.2">
      <c r="A264" s="16">
        <v>49310</v>
      </c>
      <c r="B264" s="10">
        <f>28.5329 * CHOOSE(CONTROL!$C$15, $E$9, 100%, $G$9) + CHOOSE(CONTROL!$C$38, 0.0256, 0)</f>
        <v>28.558500000000002</v>
      </c>
      <c r="C264" s="10">
        <f>26.3552 * CHOOSE(CONTROL!$C$15, $E$9, 100%, $G$9) + CHOOSE(CONTROL!$C$38, 0.0347, 0)</f>
        <v>26.389900000000001</v>
      </c>
      <c r="D264" s="10">
        <f>26.3474 * CHOOSE(CONTROL!$C$15, $E$9, 100%, $G$9) + CHOOSE(CONTROL!$C$38, 0.0347, 0)</f>
        <v>26.382100000000001</v>
      </c>
      <c r="E264" s="28">
        <f>28.3766 * CHOOSE(CONTROL!$C$15, $E$9, 100%, $G$9) + CHOOSE(CONTROL!$C$38, 0.0347, 0)</f>
        <v>28.411300000000001</v>
      </c>
      <c r="F264" s="27">
        <f>28.3766 * CHOOSE(CONTROL!$C$15, $E$9, 100%, $G$9) + CHOOSE(CONTROL!$C$38, 0.0256, 0)</f>
        <v>28.402200000000001</v>
      </c>
      <c r="G264" s="10">
        <f>26.3537 * CHOOSE(CONTROL!$C$15, $E$9, 100%, $G$9) + CHOOSE(CONTROL!$C$38, 0.0347, 0)</f>
        <v>26.388400000000001</v>
      </c>
      <c r="H264" s="10">
        <f>26.3537 * CHOOSE(CONTROL!$C$15, $E$9, 100%, $G$9) + CHOOSE(CONTROL!$C$38, 0.0347, 0)</f>
        <v>26.388400000000001</v>
      </c>
      <c r="I264" s="10">
        <f>26.3552 * CHOOSE(CONTROL!$C$15, $E$9, 100%, $G$9) + CHOOSE(CONTROL!$C$38, 0.0347, 0)</f>
        <v>26.389900000000001</v>
      </c>
      <c r="J264" s="26">
        <f>158.6236</f>
        <v>158.62360000000001</v>
      </c>
    </row>
    <row r="265" spans="1:10" ht="15" x14ac:dyDescent="0.2">
      <c r="A265" s="16">
        <v>49341</v>
      </c>
      <c r="B265" s="10">
        <f>28.7536 * CHOOSE(CONTROL!$C$15, $E$9, 100%, $G$9) + CHOOSE(CONTROL!$C$38, 0.0256, 0)</f>
        <v>28.779199999999999</v>
      </c>
      <c r="C265" s="10">
        <f>26.576 * CHOOSE(CONTROL!$C$15, $E$9, 100%, $G$9) + CHOOSE(CONTROL!$C$38, 0.0347, 0)</f>
        <v>26.610700000000001</v>
      </c>
      <c r="D265" s="10">
        <f>26.5682 * CHOOSE(CONTROL!$C$15, $E$9, 100%, $G$9) + CHOOSE(CONTROL!$C$38, 0.0347, 0)</f>
        <v>26.602900000000002</v>
      </c>
      <c r="E265" s="28">
        <f>28.5974 * CHOOSE(CONTROL!$C$15, $E$9, 100%, $G$9) + CHOOSE(CONTROL!$C$38, 0.0347, 0)</f>
        <v>28.632100000000001</v>
      </c>
      <c r="F265" s="27">
        <f>28.5974 * CHOOSE(CONTROL!$C$15, $E$9, 100%, $G$9) + CHOOSE(CONTROL!$C$38, 0.0256, 0)</f>
        <v>28.623000000000001</v>
      </c>
      <c r="G265" s="10">
        <f>26.5744 * CHOOSE(CONTROL!$C$15, $E$9, 100%, $G$9) + CHOOSE(CONTROL!$C$38, 0.0347, 0)</f>
        <v>26.609100000000002</v>
      </c>
      <c r="H265" s="10">
        <f>26.5744 * CHOOSE(CONTROL!$C$15, $E$9, 100%, $G$9) + CHOOSE(CONTROL!$C$38, 0.0347, 0)</f>
        <v>26.609100000000002</v>
      </c>
      <c r="I265" s="10">
        <f>26.576 * CHOOSE(CONTROL!$C$15, $E$9, 100%, $G$9) + CHOOSE(CONTROL!$C$38, 0.0347, 0)</f>
        <v>26.610700000000001</v>
      </c>
      <c r="J265" s="26">
        <f>158.1826</f>
        <v>158.18260000000001</v>
      </c>
    </row>
    <row r="266" spans="1:10" ht="15" x14ac:dyDescent="0.2">
      <c r="A266" s="16">
        <v>49369</v>
      </c>
      <c r="B266" s="10">
        <f>28.2426 * CHOOSE(CONTROL!$C$15, $E$9, 100%, $G$9) + CHOOSE(CONTROL!$C$38, 0.0256, 0)</f>
        <v>28.2682</v>
      </c>
      <c r="C266" s="10">
        <f>26.065 * CHOOSE(CONTROL!$C$15, $E$9, 100%, $G$9) + CHOOSE(CONTROL!$C$38, 0.0347, 0)</f>
        <v>26.099700000000002</v>
      </c>
      <c r="D266" s="10">
        <f>26.0571 * CHOOSE(CONTROL!$C$15, $E$9, 100%, $G$9) + CHOOSE(CONTROL!$C$38, 0.0347, 0)</f>
        <v>26.091799999999999</v>
      </c>
      <c r="E266" s="28">
        <f>28.0864 * CHOOSE(CONTROL!$C$15, $E$9, 100%, $G$9) + CHOOSE(CONTROL!$C$38, 0.0347, 0)</f>
        <v>28.121100000000002</v>
      </c>
      <c r="F266" s="27">
        <f>28.0864 * CHOOSE(CONTROL!$C$15, $E$9, 100%, $G$9) + CHOOSE(CONTROL!$C$38, 0.0256, 0)</f>
        <v>28.112000000000002</v>
      </c>
      <c r="G266" s="10">
        <f>26.0634 * CHOOSE(CONTROL!$C$15, $E$9, 100%, $G$9) + CHOOSE(CONTROL!$C$38, 0.0347, 0)</f>
        <v>26.098100000000002</v>
      </c>
      <c r="H266" s="10">
        <f>26.0634 * CHOOSE(CONTROL!$C$15, $E$9, 100%, $G$9) + CHOOSE(CONTROL!$C$38, 0.0347, 0)</f>
        <v>26.098100000000002</v>
      </c>
      <c r="I266" s="10">
        <f>26.065 * CHOOSE(CONTROL!$C$15, $E$9, 100%, $G$9) + CHOOSE(CONTROL!$C$38, 0.0347, 0)</f>
        <v>26.099700000000002</v>
      </c>
      <c r="J266" s="26">
        <f>166.5198</f>
        <v>166.5198</v>
      </c>
    </row>
    <row r="267" spans="1:10" ht="15" x14ac:dyDescent="0.2">
      <c r="A267" s="16">
        <v>49400</v>
      </c>
      <c r="B267" s="10">
        <f>27.7474 * CHOOSE(CONTROL!$C$15, $E$9, 100%, $G$9) + CHOOSE(CONTROL!$C$38, 0.0256, 0)</f>
        <v>27.773</v>
      </c>
      <c r="C267" s="10">
        <f>25.5698 * CHOOSE(CONTROL!$C$15, $E$9, 100%, $G$9) + CHOOSE(CONTROL!$C$38, 0.0347, 0)</f>
        <v>25.604500000000002</v>
      </c>
      <c r="D267" s="10">
        <f>25.562 * CHOOSE(CONTROL!$C$15, $E$9, 100%, $G$9) + CHOOSE(CONTROL!$C$38, 0.0347, 0)</f>
        <v>25.596700000000002</v>
      </c>
      <c r="E267" s="28">
        <f>27.5912 * CHOOSE(CONTROL!$C$15, $E$9, 100%, $G$9) + CHOOSE(CONTROL!$C$38, 0.0347, 0)</f>
        <v>27.625900000000001</v>
      </c>
      <c r="F267" s="27">
        <f>27.5912 * CHOOSE(CONTROL!$C$15, $E$9, 100%, $G$9) + CHOOSE(CONTROL!$C$38, 0.0256, 0)</f>
        <v>27.616800000000001</v>
      </c>
      <c r="G267" s="10">
        <f>25.5682 * CHOOSE(CONTROL!$C$15, $E$9, 100%, $G$9) + CHOOSE(CONTROL!$C$38, 0.0347, 0)</f>
        <v>25.602900000000002</v>
      </c>
      <c r="H267" s="10">
        <f>25.5682 * CHOOSE(CONTROL!$C$15, $E$9, 100%, $G$9) + CHOOSE(CONTROL!$C$38, 0.0347, 0)</f>
        <v>25.602900000000002</v>
      </c>
      <c r="I267" s="10">
        <f>25.5698 * CHOOSE(CONTROL!$C$15, $E$9, 100%, $G$9) + CHOOSE(CONTROL!$C$38, 0.0347, 0)</f>
        <v>25.604500000000002</v>
      </c>
      <c r="J267" s="26">
        <f>177.3311</f>
        <v>177.33109999999999</v>
      </c>
    </row>
    <row r="268" spans="1:10" ht="15" x14ac:dyDescent="0.2">
      <c r="A268" s="16">
        <v>49430</v>
      </c>
      <c r="B268" s="10">
        <f>27.2313 * CHOOSE(CONTROL!$C$15, $E$9, 100%, $G$9) + CHOOSE(CONTROL!$C$38, 0.0278, 0)</f>
        <v>27.2591</v>
      </c>
      <c r="C268" s="10">
        <f>25.0537 * CHOOSE(CONTROL!$C$15, $E$9, 100%, $G$9) + CHOOSE(CONTROL!$C$38, 0.0369, 0)</f>
        <v>25.090599999999998</v>
      </c>
      <c r="D268" s="10">
        <f>25.0459 * CHOOSE(CONTROL!$C$15, $E$9, 100%, $G$9) + CHOOSE(CONTROL!$C$38, 0.0369, 0)</f>
        <v>25.082799999999999</v>
      </c>
      <c r="E268" s="28">
        <f>27.0751 * CHOOSE(CONTROL!$C$15, $E$9, 100%, $G$9) + CHOOSE(CONTROL!$C$38, 0.0369, 0)</f>
        <v>27.111999999999998</v>
      </c>
      <c r="F268" s="27">
        <f>27.0751 * CHOOSE(CONTROL!$C$15, $E$9, 100%, $G$9) + CHOOSE(CONTROL!$C$38, 0.0278, 0)</f>
        <v>27.102899999999998</v>
      </c>
      <c r="G268" s="10">
        <f>25.0521 * CHOOSE(CONTROL!$C$15, $E$9, 100%, $G$9) + CHOOSE(CONTROL!$C$38, 0.0369, 0)</f>
        <v>25.088999999999999</v>
      </c>
      <c r="H268" s="10">
        <f>25.0521 * CHOOSE(CONTROL!$C$15, $E$9, 100%, $G$9) + CHOOSE(CONTROL!$C$38, 0.0369, 0)</f>
        <v>25.088999999999999</v>
      </c>
      <c r="I268" s="10">
        <f>25.0537 * CHOOSE(CONTROL!$C$15, $E$9, 100%, $G$9) + CHOOSE(CONTROL!$C$38, 0.0369, 0)</f>
        <v>25.090599999999998</v>
      </c>
      <c r="J268" s="26">
        <f>183.2819</f>
        <v>183.28190000000001</v>
      </c>
    </row>
    <row r="269" spans="1:10" ht="15" x14ac:dyDescent="0.2">
      <c r="A269" s="15">
        <v>49461</v>
      </c>
      <c r="B269" s="10">
        <f>26.8695 * CHOOSE(CONTROL!$C$15, $E$9, 100%, $G$9) + CHOOSE(CONTROL!$C$38, 0.0278, 0)</f>
        <v>26.897299999999998</v>
      </c>
      <c r="C269" s="10">
        <f>24.6918 * CHOOSE(CONTROL!$C$15, $E$9, 100%, $G$9) + CHOOSE(CONTROL!$C$38, 0.0369, 0)</f>
        <v>24.7287</v>
      </c>
      <c r="D269" s="10">
        <f>24.684 * CHOOSE(CONTROL!$C$15, $E$9, 100%, $G$9) + CHOOSE(CONTROL!$C$38, 0.0369, 0)</f>
        <v>24.7209</v>
      </c>
      <c r="E269" s="28">
        <f>26.7132 * CHOOSE(CONTROL!$C$15, $E$9, 100%, $G$9) + CHOOSE(CONTROL!$C$38, 0.0369, 0)</f>
        <v>26.7501</v>
      </c>
      <c r="F269" s="27">
        <f>26.7132 * CHOOSE(CONTROL!$C$15, $E$9, 100%, $G$9) + CHOOSE(CONTROL!$C$38, 0.0278, 0)</f>
        <v>26.741</v>
      </c>
      <c r="G269" s="10">
        <f>24.6903 * CHOOSE(CONTROL!$C$15, $E$9, 100%, $G$9) + CHOOSE(CONTROL!$C$38, 0.0369, 0)</f>
        <v>24.7272</v>
      </c>
      <c r="H269" s="10">
        <f>24.6903 * CHOOSE(CONTROL!$C$15, $E$9, 100%, $G$9) + CHOOSE(CONTROL!$C$38, 0.0369, 0)</f>
        <v>24.7272</v>
      </c>
      <c r="I269" s="10">
        <f>24.6918 * CHOOSE(CONTROL!$C$15, $E$9, 100%, $G$9) + CHOOSE(CONTROL!$C$38, 0.0369, 0)</f>
        <v>24.7287</v>
      </c>
      <c r="J269" s="26">
        <f>185.9228</f>
        <v>185.9228</v>
      </c>
    </row>
    <row r="270" spans="1:10" ht="15" x14ac:dyDescent="0.2">
      <c r="A270" s="15">
        <v>49491</v>
      </c>
      <c r="B270" s="10">
        <f>26.663 * CHOOSE(CONTROL!$C$15, $E$9, 100%, $G$9) + CHOOSE(CONTROL!$C$38, 0.0278, 0)</f>
        <v>26.690799999999999</v>
      </c>
      <c r="C270" s="10">
        <f>24.4853 * CHOOSE(CONTROL!$C$15, $E$9, 100%, $G$9) + CHOOSE(CONTROL!$C$38, 0.0369, 0)</f>
        <v>24.522199999999998</v>
      </c>
      <c r="D270" s="10">
        <f>24.4775 * CHOOSE(CONTROL!$C$15, $E$9, 100%, $G$9) + CHOOSE(CONTROL!$C$38, 0.0369, 0)</f>
        <v>24.514399999999998</v>
      </c>
      <c r="E270" s="28">
        <f>26.5067 * CHOOSE(CONTROL!$C$15, $E$9, 100%, $G$9) + CHOOSE(CONTROL!$C$38, 0.0369, 0)</f>
        <v>26.543599999999998</v>
      </c>
      <c r="F270" s="27">
        <f>26.5067 * CHOOSE(CONTROL!$C$15, $E$9, 100%, $G$9) + CHOOSE(CONTROL!$C$38, 0.0278, 0)</f>
        <v>26.534499999999998</v>
      </c>
      <c r="G270" s="10">
        <f>24.4838 * CHOOSE(CONTROL!$C$15, $E$9, 100%, $G$9) + CHOOSE(CONTROL!$C$38, 0.0369, 0)</f>
        <v>24.520699999999998</v>
      </c>
      <c r="H270" s="10">
        <f>24.4838 * CHOOSE(CONTROL!$C$15, $E$9, 100%, $G$9) + CHOOSE(CONTROL!$C$38, 0.0369, 0)</f>
        <v>24.520699999999998</v>
      </c>
      <c r="I270" s="10">
        <f>24.4853 * CHOOSE(CONTROL!$C$15, $E$9, 100%, $G$9) + CHOOSE(CONTROL!$C$38, 0.0369, 0)</f>
        <v>24.522199999999998</v>
      </c>
      <c r="J270" s="26">
        <f>185.0533</f>
        <v>185.05330000000001</v>
      </c>
    </row>
    <row r="271" spans="1:10" ht="15" x14ac:dyDescent="0.2">
      <c r="A271" s="15">
        <v>49522</v>
      </c>
      <c r="B271" s="10">
        <f>26.7649 * CHOOSE(CONTROL!$C$15, $E$9, 100%, $G$9) + CHOOSE(CONTROL!$C$38, 0.0278, 0)</f>
        <v>26.7927</v>
      </c>
      <c r="C271" s="10">
        <f>24.5873 * CHOOSE(CONTROL!$C$15, $E$9, 100%, $G$9) + CHOOSE(CONTROL!$C$38, 0.0369, 0)</f>
        <v>24.624199999999998</v>
      </c>
      <c r="D271" s="10">
        <f>24.5794 * CHOOSE(CONTROL!$C$15, $E$9, 100%, $G$9) + CHOOSE(CONTROL!$C$38, 0.0369, 0)</f>
        <v>24.616299999999999</v>
      </c>
      <c r="E271" s="28">
        <f>26.6087 * CHOOSE(CONTROL!$C$15, $E$9, 100%, $G$9) + CHOOSE(CONTROL!$C$38, 0.0369, 0)</f>
        <v>26.645599999999998</v>
      </c>
      <c r="F271" s="27">
        <f>26.6087 * CHOOSE(CONTROL!$C$15, $E$9, 100%, $G$9) + CHOOSE(CONTROL!$C$38, 0.0278, 0)</f>
        <v>26.636499999999998</v>
      </c>
      <c r="G271" s="10">
        <f>24.5857 * CHOOSE(CONTROL!$C$15, $E$9, 100%, $G$9) + CHOOSE(CONTROL!$C$38, 0.0369, 0)</f>
        <v>24.622599999999998</v>
      </c>
      <c r="H271" s="10">
        <f>24.5857 * CHOOSE(CONTROL!$C$15, $E$9, 100%, $G$9) + CHOOSE(CONTROL!$C$38, 0.0369, 0)</f>
        <v>24.622599999999998</v>
      </c>
      <c r="I271" s="10">
        <f>24.5873 * CHOOSE(CONTROL!$C$15, $E$9, 100%, $G$9) + CHOOSE(CONTROL!$C$38, 0.0369, 0)</f>
        <v>24.624199999999998</v>
      </c>
      <c r="J271" s="26">
        <f>180.7454</f>
        <v>180.74539999999999</v>
      </c>
    </row>
    <row r="272" spans="1:10" ht="15" x14ac:dyDescent="0.2">
      <c r="A272" s="15">
        <v>49553</v>
      </c>
      <c r="B272" s="10">
        <f>27.0417 * CHOOSE(CONTROL!$C$15, $E$9, 100%, $G$9) + CHOOSE(CONTROL!$C$38, 0.0278, 0)</f>
        <v>27.069499999999998</v>
      </c>
      <c r="C272" s="10">
        <f>24.8641 * CHOOSE(CONTROL!$C$15, $E$9, 100%, $G$9) + CHOOSE(CONTROL!$C$38, 0.0369, 0)</f>
        <v>24.901</v>
      </c>
      <c r="D272" s="10">
        <f>24.8562 * CHOOSE(CONTROL!$C$15, $E$9, 100%, $G$9) + CHOOSE(CONTROL!$C$38, 0.0369, 0)</f>
        <v>24.8931</v>
      </c>
      <c r="E272" s="28">
        <f>26.8854 * CHOOSE(CONTROL!$C$15, $E$9, 100%, $G$9) + CHOOSE(CONTROL!$C$38, 0.0369, 0)</f>
        <v>26.9223</v>
      </c>
      <c r="F272" s="27">
        <f>26.8854 * CHOOSE(CONTROL!$C$15, $E$9, 100%, $G$9) + CHOOSE(CONTROL!$C$38, 0.0278, 0)</f>
        <v>26.9132</v>
      </c>
      <c r="G272" s="10">
        <f>24.8625 * CHOOSE(CONTROL!$C$15, $E$9, 100%, $G$9) + CHOOSE(CONTROL!$C$38, 0.0369, 0)</f>
        <v>24.8994</v>
      </c>
      <c r="H272" s="10">
        <f>24.8625 * CHOOSE(CONTROL!$C$15, $E$9, 100%, $G$9) + CHOOSE(CONTROL!$C$38, 0.0369, 0)</f>
        <v>24.8994</v>
      </c>
      <c r="I272" s="10">
        <f>24.8641 * CHOOSE(CONTROL!$C$15, $E$9, 100%, $G$9) + CHOOSE(CONTROL!$C$38, 0.0369, 0)</f>
        <v>24.901</v>
      </c>
      <c r="J272" s="26">
        <f>174.7377</f>
        <v>174.73769999999999</v>
      </c>
    </row>
    <row r="273" spans="1:10" ht="15" x14ac:dyDescent="0.2">
      <c r="A273" s="15">
        <v>49583</v>
      </c>
      <c r="B273" s="10">
        <f>27.2735 * CHOOSE(CONTROL!$C$15, $E$9, 100%, $G$9) + CHOOSE(CONTROL!$C$38, 0.0256, 0)</f>
        <v>27.299099999999999</v>
      </c>
      <c r="C273" s="10">
        <f>25.0959 * CHOOSE(CONTROL!$C$15, $E$9, 100%, $G$9) + CHOOSE(CONTROL!$C$38, 0.0347, 0)</f>
        <v>25.130600000000001</v>
      </c>
      <c r="D273" s="10">
        <f>25.0881 * CHOOSE(CONTROL!$C$15, $E$9, 100%, $G$9) + CHOOSE(CONTROL!$C$38, 0.0347, 0)</f>
        <v>25.122800000000002</v>
      </c>
      <c r="E273" s="28">
        <f>27.1173 * CHOOSE(CONTROL!$C$15, $E$9, 100%, $G$9) + CHOOSE(CONTROL!$C$38, 0.0347, 0)</f>
        <v>27.152000000000001</v>
      </c>
      <c r="F273" s="27">
        <f>27.1173 * CHOOSE(CONTROL!$C$15, $E$9, 100%, $G$9) + CHOOSE(CONTROL!$C$38, 0.0256, 0)</f>
        <v>27.142900000000001</v>
      </c>
      <c r="G273" s="10">
        <f>25.0943 * CHOOSE(CONTROL!$C$15, $E$9, 100%, $G$9) + CHOOSE(CONTROL!$C$38, 0.0347, 0)</f>
        <v>25.129000000000001</v>
      </c>
      <c r="H273" s="10">
        <f>25.0943 * CHOOSE(CONTROL!$C$15, $E$9, 100%, $G$9) + CHOOSE(CONTROL!$C$38, 0.0347, 0)</f>
        <v>25.129000000000001</v>
      </c>
      <c r="I273" s="10">
        <f>25.0959 * CHOOSE(CONTROL!$C$15, $E$9, 100%, $G$9) + CHOOSE(CONTROL!$C$38, 0.0347, 0)</f>
        <v>25.130600000000001</v>
      </c>
      <c r="J273" s="26">
        <f>168.6951</f>
        <v>168.6951</v>
      </c>
    </row>
    <row r="274" spans="1:10" ht="15" x14ac:dyDescent="0.2">
      <c r="A274" s="15">
        <v>49614</v>
      </c>
      <c r="B274" s="10">
        <f>27.467 * CHOOSE(CONTROL!$C$15, $E$9, 100%, $G$9) + CHOOSE(CONTROL!$C$38, 0.0256, 0)</f>
        <v>27.492599999999999</v>
      </c>
      <c r="C274" s="10">
        <f>25.2893 * CHOOSE(CONTROL!$C$15, $E$9, 100%, $G$9) + CHOOSE(CONTROL!$C$38, 0.0347, 0)</f>
        <v>25.324000000000002</v>
      </c>
      <c r="D274" s="10">
        <f>25.2815 * CHOOSE(CONTROL!$C$15, $E$9, 100%, $G$9) + CHOOSE(CONTROL!$C$38, 0.0347, 0)</f>
        <v>25.316200000000002</v>
      </c>
      <c r="E274" s="28">
        <f>27.3107 * CHOOSE(CONTROL!$C$15, $E$9, 100%, $G$9) + CHOOSE(CONTROL!$C$38, 0.0347, 0)</f>
        <v>27.345400000000001</v>
      </c>
      <c r="F274" s="27">
        <f>27.3107 * CHOOSE(CONTROL!$C$15, $E$9, 100%, $G$9) + CHOOSE(CONTROL!$C$38, 0.0256, 0)</f>
        <v>27.336300000000001</v>
      </c>
      <c r="G274" s="10">
        <f>25.2878 * CHOOSE(CONTROL!$C$15, $E$9, 100%, $G$9) + CHOOSE(CONTROL!$C$38, 0.0347, 0)</f>
        <v>25.322500000000002</v>
      </c>
      <c r="H274" s="10">
        <f>25.2878 * CHOOSE(CONTROL!$C$15, $E$9, 100%, $G$9) + CHOOSE(CONTROL!$C$38, 0.0347, 0)</f>
        <v>25.322500000000002</v>
      </c>
      <c r="I274" s="10">
        <f>25.2893 * CHOOSE(CONTROL!$C$15, $E$9, 100%, $G$9) + CHOOSE(CONTROL!$C$38, 0.0347, 0)</f>
        <v>25.324000000000002</v>
      </c>
      <c r="J274" s="26">
        <f>167.4931</f>
        <v>167.4931</v>
      </c>
    </row>
    <row r="275" spans="1:10" ht="15" x14ac:dyDescent="0.2">
      <c r="A275" s="15">
        <v>49644</v>
      </c>
      <c r="B275" s="10">
        <f>28.063 * CHOOSE(CONTROL!$C$15, $E$9, 100%, $G$9) + CHOOSE(CONTROL!$C$38, 0.0256, 0)</f>
        <v>28.0886</v>
      </c>
      <c r="C275" s="10">
        <f>25.8854 * CHOOSE(CONTROL!$C$15, $E$9, 100%, $G$9) + CHOOSE(CONTROL!$C$38, 0.0347, 0)</f>
        <v>25.920100000000001</v>
      </c>
      <c r="D275" s="10">
        <f>25.8776 * CHOOSE(CONTROL!$C$15, $E$9, 100%, $G$9) + CHOOSE(CONTROL!$C$38, 0.0347, 0)</f>
        <v>25.912300000000002</v>
      </c>
      <c r="E275" s="28">
        <f>27.9068 * CHOOSE(CONTROL!$C$15, $E$9, 100%, $G$9) + CHOOSE(CONTROL!$C$38, 0.0347, 0)</f>
        <v>27.941500000000001</v>
      </c>
      <c r="F275" s="27">
        <f>27.9068 * CHOOSE(CONTROL!$C$15, $E$9, 100%, $G$9) + CHOOSE(CONTROL!$C$38, 0.0256, 0)</f>
        <v>27.932400000000001</v>
      </c>
      <c r="G275" s="10">
        <f>25.8838 * CHOOSE(CONTROL!$C$15, $E$9, 100%, $G$9) + CHOOSE(CONTROL!$C$38, 0.0347, 0)</f>
        <v>25.918500000000002</v>
      </c>
      <c r="H275" s="10">
        <f>25.8838 * CHOOSE(CONTROL!$C$15, $E$9, 100%, $G$9) + CHOOSE(CONTROL!$C$38, 0.0347, 0)</f>
        <v>25.918500000000002</v>
      </c>
      <c r="I275" s="10">
        <f>25.8854 * CHOOSE(CONTROL!$C$15, $E$9, 100%, $G$9) + CHOOSE(CONTROL!$C$38, 0.0347, 0)</f>
        <v>25.920100000000001</v>
      </c>
      <c r="J275" s="26">
        <f>162.5227</f>
        <v>162.52269999999999</v>
      </c>
    </row>
    <row r="276" spans="1:10" ht="15" x14ac:dyDescent="0.2">
      <c r="A276" s="15">
        <v>49675</v>
      </c>
      <c r="B276" s="10">
        <f>29.0088 * CHOOSE(CONTROL!$C$15, $E$9, 100%, $G$9) + CHOOSE(CONTROL!$C$38, 0.0256, 0)</f>
        <v>29.034400000000002</v>
      </c>
      <c r="C276" s="10">
        <f>26.7954 * CHOOSE(CONTROL!$C$15, $E$9, 100%, $G$9) + CHOOSE(CONTROL!$C$38, 0.0347, 0)</f>
        <v>26.830100000000002</v>
      </c>
      <c r="D276" s="10">
        <f>26.7876 * CHOOSE(CONTROL!$C$15, $E$9, 100%, $G$9) + CHOOSE(CONTROL!$C$38, 0.0347, 0)</f>
        <v>26.822300000000002</v>
      </c>
      <c r="E276" s="28">
        <f>28.8526 * CHOOSE(CONTROL!$C$15, $E$9, 100%, $G$9) + CHOOSE(CONTROL!$C$38, 0.0347, 0)</f>
        <v>28.8873</v>
      </c>
      <c r="F276" s="27">
        <f>28.8526 * CHOOSE(CONTROL!$C$15, $E$9, 100%, $G$9) + CHOOSE(CONTROL!$C$38, 0.0256, 0)</f>
        <v>28.8782</v>
      </c>
      <c r="G276" s="10">
        <f>26.7939 * CHOOSE(CONTROL!$C$15, $E$9, 100%, $G$9) + CHOOSE(CONTROL!$C$38, 0.0347, 0)</f>
        <v>26.828600000000002</v>
      </c>
      <c r="H276" s="10">
        <f>26.7939 * CHOOSE(CONTROL!$C$15, $E$9, 100%, $G$9) + CHOOSE(CONTROL!$C$38, 0.0347, 0)</f>
        <v>26.828600000000002</v>
      </c>
      <c r="I276" s="10">
        <f>26.7954 * CHOOSE(CONTROL!$C$15, $E$9, 100%, $G$9) + CHOOSE(CONTROL!$C$38, 0.0347, 0)</f>
        <v>26.830100000000002</v>
      </c>
      <c r="J276" s="26">
        <f>161.4341</f>
        <v>161.4341</v>
      </c>
    </row>
    <row r="277" spans="1:10" ht="15" x14ac:dyDescent="0.2">
      <c r="A277" s="15">
        <v>49706</v>
      </c>
      <c r="B277" s="10">
        <f>29.2296 * CHOOSE(CONTROL!$C$15, $E$9, 100%, $G$9) + CHOOSE(CONTROL!$C$38, 0.0256, 0)</f>
        <v>29.255200000000002</v>
      </c>
      <c r="C277" s="10">
        <f>27.0162 * CHOOSE(CONTROL!$C$15, $E$9, 100%, $G$9) + CHOOSE(CONTROL!$C$38, 0.0347, 0)</f>
        <v>27.050900000000002</v>
      </c>
      <c r="D277" s="10">
        <f>27.0084 * CHOOSE(CONTROL!$C$15, $E$9, 100%, $G$9) + CHOOSE(CONTROL!$C$38, 0.0347, 0)</f>
        <v>27.043100000000003</v>
      </c>
      <c r="E277" s="28">
        <f>29.0733 * CHOOSE(CONTROL!$C$15, $E$9, 100%, $G$9) + CHOOSE(CONTROL!$C$38, 0.0347, 0)</f>
        <v>29.108000000000001</v>
      </c>
      <c r="F277" s="27">
        <f>29.0733 * CHOOSE(CONTROL!$C$15, $E$9, 100%, $G$9) + CHOOSE(CONTROL!$C$38, 0.0256, 0)</f>
        <v>29.0989</v>
      </c>
      <c r="G277" s="10">
        <f>27.0146 * CHOOSE(CONTROL!$C$15, $E$9, 100%, $G$9) + CHOOSE(CONTROL!$C$38, 0.0347, 0)</f>
        <v>27.049300000000002</v>
      </c>
      <c r="H277" s="10">
        <f>27.0146 * CHOOSE(CONTROL!$C$15, $E$9, 100%, $G$9) + CHOOSE(CONTROL!$C$38, 0.0347, 0)</f>
        <v>27.049300000000002</v>
      </c>
      <c r="I277" s="10">
        <f>27.0162 * CHOOSE(CONTROL!$C$15, $E$9, 100%, $G$9) + CHOOSE(CONTROL!$C$38, 0.0347, 0)</f>
        <v>27.050900000000002</v>
      </c>
      <c r="J277" s="26">
        <f>160.9853</f>
        <v>160.9853</v>
      </c>
    </row>
    <row r="278" spans="1:10" ht="15" x14ac:dyDescent="0.2">
      <c r="A278" s="15">
        <v>49735</v>
      </c>
      <c r="B278" s="10">
        <f>28.7185 * CHOOSE(CONTROL!$C$15, $E$9, 100%, $G$9) + CHOOSE(CONTROL!$C$38, 0.0256, 0)</f>
        <v>28.7441</v>
      </c>
      <c r="C278" s="10">
        <f>26.5052 * CHOOSE(CONTROL!$C$15, $E$9, 100%, $G$9) + CHOOSE(CONTROL!$C$38, 0.0347, 0)</f>
        <v>26.539899999999999</v>
      </c>
      <c r="D278" s="10">
        <f>26.4974 * CHOOSE(CONTROL!$C$15, $E$9, 100%, $G$9) + CHOOSE(CONTROL!$C$38, 0.0347, 0)</f>
        <v>26.5321</v>
      </c>
      <c r="E278" s="28">
        <f>28.5623 * CHOOSE(CONTROL!$C$15, $E$9, 100%, $G$9) + CHOOSE(CONTROL!$C$38, 0.0347, 0)</f>
        <v>28.597000000000001</v>
      </c>
      <c r="F278" s="27">
        <f>28.5623 * CHOOSE(CONTROL!$C$15, $E$9, 100%, $G$9) + CHOOSE(CONTROL!$C$38, 0.0256, 0)</f>
        <v>28.587900000000001</v>
      </c>
      <c r="G278" s="10">
        <f>26.5036 * CHOOSE(CONTROL!$C$15, $E$9, 100%, $G$9) + CHOOSE(CONTROL!$C$38, 0.0347, 0)</f>
        <v>26.5383</v>
      </c>
      <c r="H278" s="10">
        <f>26.5036 * CHOOSE(CONTROL!$C$15, $E$9, 100%, $G$9) + CHOOSE(CONTROL!$C$38, 0.0347, 0)</f>
        <v>26.5383</v>
      </c>
      <c r="I278" s="10">
        <f>26.5052 * CHOOSE(CONTROL!$C$15, $E$9, 100%, $G$9) + CHOOSE(CONTROL!$C$38, 0.0347, 0)</f>
        <v>26.539899999999999</v>
      </c>
      <c r="J278" s="26">
        <f>169.4702</f>
        <v>169.47020000000001</v>
      </c>
    </row>
    <row r="279" spans="1:10" ht="15" x14ac:dyDescent="0.2">
      <c r="A279" s="15">
        <v>49766</v>
      </c>
      <c r="B279" s="10">
        <f>28.2234 * CHOOSE(CONTROL!$C$15, $E$9, 100%, $G$9) + CHOOSE(CONTROL!$C$38, 0.0256, 0)</f>
        <v>28.249000000000002</v>
      </c>
      <c r="C279" s="10">
        <f>26.01 * CHOOSE(CONTROL!$C$15, $E$9, 100%, $G$9) + CHOOSE(CONTROL!$C$38, 0.0347, 0)</f>
        <v>26.044700000000002</v>
      </c>
      <c r="D279" s="10">
        <f>26.0022 * CHOOSE(CONTROL!$C$15, $E$9, 100%, $G$9) + CHOOSE(CONTROL!$C$38, 0.0347, 0)</f>
        <v>26.036899999999999</v>
      </c>
      <c r="E279" s="28">
        <f>28.0671 * CHOOSE(CONTROL!$C$15, $E$9, 100%, $G$9) + CHOOSE(CONTROL!$C$38, 0.0347, 0)</f>
        <v>28.101800000000001</v>
      </c>
      <c r="F279" s="27">
        <f>28.0671 * CHOOSE(CONTROL!$C$15, $E$9, 100%, $G$9) + CHOOSE(CONTROL!$C$38, 0.0256, 0)</f>
        <v>28.092700000000001</v>
      </c>
      <c r="G279" s="10">
        <f>26.0084 * CHOOSE(CONTROL!$C$15, $E$9, 100%, $G$9) + CHOOSE(CONTROL!$C$38, 0.0347, 0)</f>
        <v>26.043100000000003</v>
      </c>
      <c r="H279" s="10">
        <f>26.0084 * CHOOSE(CONTROL!$C$15, $E$9, 100%, $G$9) + CHOOSE(CONTROL!$C$38, 0.0347, 0)</f>
        <v>26.043100000000003</v>
      </c>
      <c r="I279" s="10">
        <f>26.01 * CHOOSE(CONTROL!$C$15, $E$9, 100%, $G$9) + CHOOSE(CONTROL!$C$38, 0.0347, 0)</f>
        <v>26.044700000000002</v>
      </c>
      <c r="J279" s="26">
        <f>180.473</f>
        <v>180.47300000000001</v>
      </c>
    </row>
    <row r="280" spans="1:10" ht="15" x14ac:dyDescent="0.2">
      <c r="A280" s="15">
        <v>49796</v>
      </c>
      <c r="B280" s="10">
        <f>27.7072 * CHOOSE(CONTROL!$C$15, $E$9, 100%, $G$9) + CHOOSE(CONTROL!$C$38, 0.0278, 0)</f>
        <v>27.734999999999999</v>
      </c>
      <c r="C280" s="10">
        <f>25.4939 * CHOOSE(CONTROL!$C$15, $E$9, 100%, $G$9) + CHOOSE(CONTROL!$C$38, 0.0369, 0)</f>
        <v>25.530799999999999</v>
      </c>
      <c r="D280" s="10">
        <f>25.4861 * CHOOSE(CONTROL!$C$15, $E$9, 100%, $G$9) + CHOOSE(CONTROL!$C$38, 0.0369, 0)</f>
        <v>25.523</v>
      </c>
      <c r="E280" s="28">
        <f>27.551 * CHOOSE(CONTROL!$C$15, $E$9, 100%, $G$9) + CHOOSE(CONTROL!$C$38, 0.0369, 0)</f>
        <v>27.587899999999998</v>
      </c>
      <c r="F280" s="27">
        <f>27.551 * CHOOSE(CONTROL!$C$15, $E$9, 100%, $G$9) + CHOOSE(CONTROL!$C$38, 0.0278, 0)</f>
        <v>27.578799999999998</v>
      </c>
      <c r="G280" s="10">
        <f>25.4923 * CHOOSE(CONTROL!$C$15, $E$9, 100%, $G$9) + CHOOSE(CONTROL!$C$38, 0.0369, 0)</f>
        <v>25.529199999999999</v>
      </c>
      <c r="H280" s="10">
        <f>25.4923 * CHOOSE(CONTROL!$C$15, $E$9, 100%, $G$9) + CHOOSE(CONTROL!$C$38, 0.0369, 0)</f>
        <v>25.529199999999999</v>
      </c>
      <c r="I280" s="10">
        <f>25.4939 * CHOOSE(CONTROL!$C$15, $E$9, 100%, $G$9) + CHOOSE(CONTROL!$C$38, 0.0369, 0)</f>
        <v>25.530799999999999</v>
      </c>
      <c r="J280" s="26">
        <f>186.5293</f>
        <v>186.52930000000001</v>
      </c>
    </row>
    <row r="281" spans="1:10" ht="15" x14ac:dyDescent="0.2">
      <c r="A281" s="15">
        <v>49827</v>
      </c>
      <c r="B281" s="10">
        <f>27.3454 * CHOOSE(CONTROL!$C$15, $E$9, 100%, $G$9) + CHOOSE(CONTROL!$C$38, 0.0278, 0)</f>
        <v>27.373200000000001</v>
      </c>
      <c r="C281" s="10">
        <f>25.1321 * CHOOSE(CONTROL!$C$15, $E$9, 100%, $G$9) + CHOOSE(CONTROL!$C$38, 0.0369, 0)</f>
        <v>25.169</v>
      </c>
      <c r="D281" s="10">
        <f>25.1242 * CHOOSE(CONTROL!$C$15, $E$9, 100%, $G$9) + CHOOSE(CONTROL!$C$38, 0.0369, 0)</f>
        <v>25.161099999999998</v>
      </c>
      <c r="E281" s="28">
        <f>27.1892 * CHOOSE(CONTROL!$C$15, $E$9, 100%, $G$9) + CHOOSE(CONTROL!$C$38, 0.0369, 0)</f>
        <v>27.226099999999999</v>
      </c>
      <c r="F281" s="27">
        <f>27.1892 * CHOOSE(CONTROL!$C$15, $E$9, 100%, $G$9) + CHOOSE(CONTROL!$C$38, 0.0278, 0)</f>
        <v>27.216999999999999</v>
      </c>
      <c r="G281" s="10">
        <f>25.1305 * CHOOSE(CONTROL!$C$15, $E$9, 100%, $G$9) + CHOOSE(CONTROL!$C$38, 0.0369, 0)</f>
        <v>25.167400000000001</v>
      </c>
      <c r="H281" s="10">
        <f>25.1305 * CHOOSE(CONTROL!$C$15, $E$9, 100%, $G$9) + CHOOSE(CONTROL!$C$38, 0.0369, 0)</f>
        <v>25.167400000000001</v>
      </c>
      <c r="I281" s="10">
        <f>25.1321 * CHOOSE(CONTROL!$C$15, $E$9, 100%, $G$9) + CHOOSE(CONTROL!$C$38, 0.0369, 0)</f>
        <v>25.169</v>
      </c>
      <c r="J281" s="26">
        <f>189.217</f>
        <v>189.21700000000001</v>
      </c>
    </row>
    <row r="282" spans="1:10" ht="15" x14ac:dyDescent="0.2">
      <c r="A282" s="15">
        <v>49857</v>
      </c>
      <c r="B282" s="10">
        <f>27.1389 * CHOOSE(CONTROL!$C$15, $E$9, 100%, $G$9) + CHOOSE(CONTROL!$C$38, 0.0278, 0)</f>
        <v>27.166699999999999</v>
      </c>
      <c r="C282" s="10">
        <f>24.9256 * CHOOSE(CONTROL!$C$15, $E$9, 100%, $G$9) + CHOOSE(CONTROL!$C$38, 0.0369, 0)</f>
        <v>24.962499999999999</v>
      </c>
      <c r="D282" s="10">
        <f>24.9177 * CHOOSE(CONTROL!$C$15, $E$9, 100%, $G$9) + CHOOSE(CONTROL!$C$38, 0.0369, 0)</f>
        <v>24.954599999999999</v>
      </c>
      <c r="E282" s="28">
        <f>26.9827 * CHOOSE(CONTROL!$C$15, $E$9, 100%, $G$9) + CHOOSE(CONTROL!$C$38, 0.0369, 0)</f>
        <v>27.019600000000001</v>
      </c>
      <c r="F282" s="27">
        <f>26.9827 * CHOOSE(CONTROL!$C$15, $E$9, 100%, $G$9) + CHOOSE(CONTROL!$C$38, 0.0278, 0)</f>
        <v>27.0105</v>
      </c>
      <c r="G282" s="10">
        <f>24.924 * CHOOSE(CONTROL!$C$15, $E$9, 100%, $G$9) + CHOOSE(CONTROL!$C$38, 0.0369, 0)</f>
        <v>24.960899999999999</v>
      </c>
      <c r="H282" s="10">
        <f>24.924 * CHOOSE(CONTROL!$C$15, $E$9, 100%, $G$9) + CHOOSE(CONTROL!$C$38, 0.0369, 0)</f>
        <v>24.960899999999999</v>
      </c>
      <c r="I282" s="10">
        <f>24.9256 * CHOOSE(CONTROL!$C$15, $E$9, 100%, $G$9) + CHOOSE(CONTROL!$C$38, 0.0369, 0)</f>
        <v>24.962499999999999</v>
      </c>
      <c r="J282" s="26">
        <f>188.3321</f>
        <v>188.3321</v>
      </c>
    </row>
    <row r="283" spans="1:10" ht="15" x14ac:dyDescent="0.2">
      <c r="A283" s="15">
        <v>49888</v>
      </c>
      <c r="B283" s="10">
        <f>27.2408 * CHOOSE(CONTROL!$C$15, $E$9, 100%, $G$9) + CHOOSE(CONTROL!$C$38, 0.0278, 0)</f>
        <v>27.268599999999999</v>
      </c>
      <c r="C283" s="10">
        <f>25.0275 * CHOOSE(CONTROL!$C$15, $E$9, 100%, $G$9) + CHOOSE(CONTROL!$C$38, 0.0369, 0)</f>
        <v>25.064399999999999</v>
      </c>
      <c r="D283" s="10">
        <f>25.0197 * CHOOSE(CONTROL!$C$15, $E$9, 100%, $G$9) + CHOOSE(CONTROL!$C$38, 0.0369, 0)</f>
        <v>25.0566</v>
      </c>
      <c r="E283" s="28">
        <f>27.0846 * CHOOSE(CONTROL!$C$15, $E$9, 100%, $G$9) + CHOOSE(CONTROL!$C$38, 0.0369, 0)</f>
        <v>27.121499999999997</v>
      </c>
      <c r="F283" s="27">
        <f>27.0846 * CHOOSE(CONTROL!$C$15, $E$9, 100%, $G$9) + CHOOSE(CONTROL!$C$38, 0.0278, 0)</f>
        <v>27.112399999999997</v>
      </c>
      <c r="G283" s="10">
        <f>25.0259 * CHOOSE(CONTROL!$C$15, $E$9, 100%, $G$9) + CHOOSE(CONTROL!$C$38, 0.0369, 0)</f>
        <v>25.062799999999999</v>
      </c>
      <c r="H283" s="10">
        <f>25.0259 * CHOOSE(CONTROL!$C$15, $E$9, 100%, $G$9) + CHOOSE(CONTROL!$C$38, 0.0369, 0)</f>
        <v>25.062799999999999</v>
      </c>
      <c r="I283" s="10">
        <f>25.0275 * CHOOSE(CONTROL!$C$15, $E$9, 100%, $G$9) + CHOOSE(CONTROL!$C$38, 0.0369, 0)</f>
        <v>25.064399999999999</v>
      </c>
      <c r="J283" s="26">
        <f>183.9478</f>
        <v>183.9478</v>
      </c>
    </row>
    <row r="284" spans="1:10" ht="15" x14ac:dyDescent="0.2">
      <c r="A284" s="15">
        <v>49919</v>
      </c>
      <c r="B284" s="10">
        <f>27.5176 * CHOOSE(CONTROL!$C$15, $E$9, 100%, $G$9) + CHOOSE(CONTROL!$C$38, 0.0278, 0)</f>
        <v>27.545400000000001</v>
      </c>
      <c r="C284" s="10">
        <f>25.3043 * CHOOSE(CONTROL!$C$15, $E$9, 100%, $G$9) + CHOOSE(CONTROL!$C$38, 0.0369, 0)</f>
        <v>25.341200000000001</v>
      </c>
      <c r="D284" s="10">
        <f>25.2965 * CHOOSE(CONTROL!$C$15, $E$9, 100%, $G$9) + CHOOSE(CONTROL!$C$38, 0.0369, 0)</f>
        <v>25.333400000000001</v>
      </c>
      <c r="E284" s="28">
        <f>27.3614 * CHOOSE(CONTROL!$C$15, $E$9, 100%, $G$9) + CHOOSE(CONTROL!$C$38, 0.0369, 0)</f>
        <v>27.398299999999999</v>
      </c>
      <c r="F284" s="27">
        <f>27.3614 * CHOOSE(CONTROL!$C$15, $E$9, 100%, $G$9) + CHOOSE(CONTROL!$C$38, 0.0278, 0)</f>
        <v>27.389199999999999</v>
      </c>
      <c r="G284" s="10">
        <f>25.3027 * CHOOSE(CONTROL!$C$15, $E$9, 100%, $G$9) + CHOOSE(CONTROL!$C$38, 0.0369, 0)</f>
        <v>25.339600000000001</v>
      </c>
      <c r="H284" s="10">
        <f>25.3027 * CHOOSE(CONTROL!$C$15, $E$9, 100%, $G$9) + CHOOSE(CONTROL!$C$38, 0.0369, 0)</f>
        <v>25.339600000000001</v>
      </c>
      <c r="I284" s="10">
        <f>25.3043 * CHOOSE(CONTROL!$C$15, $E$9, 100%, $G$9) + CHOOSE(CONTROL!$C$38, 0.0369, 0)</f>
        <v>25.341200000000001</v>
      </c>
      <c r="J284" s="26">
        <f>177.8337</f>
        <v>177.83369999999999</v>
      </c>
    </row>
    <row r="285" spans="1:10" ht="15" x14ac:dyDescent="0.2">
      <c r="A285" s="15">
        <v>49949</v>
      </c>
      <c r="B285" s="10">
        <f>27.7495 * CHOOSE(CONTROL!$C$15, $E$9, 100%, $G$9) + CHOOSE(CONTROL!$C$38, 0.0256, 0)</f>
        <v>27.775100000000002</v>
      </c>
      <c r="C285" s="10">
        <f>25.5361 * CHOOSE(CONTROL!$C$15, $E$9, 100%, $G$9) + CHOOSE(CONTROL!$C$38, 0.0347, 0)</f>
        <v>25.570800000000002</v>
      </c>
      <c r="D285" s="10">
        <f>25.5283 * CHOOSE(CONTROL!$C$15, $E$9, 100%, $G$9) + CHOOSE(CONTROL!$C$38, 0.0347, 0)</f>
        <v>25.563000000000002</v>
      </c>
      <c r="E285" s="28">
        <f>27.5932 * CHOOSE(CONTROL!$C$15, $E$9, 100%, $G$9) + CHOOSE(CONTROL!$C$38, 0.0347, 0)</f>
        <v>27.6279</v>
      </c>
      <c r="F285" s="27">
        <f>27.5932 * CHOOSE(CONTROL!$C$15, $E$9, 100%, $G$9) + CHOOSE(CONTROL!$C$38, 0.0256, 0)</f>
        <v>27.6188</v>
      </c>
      <c r="G285" s="10">
        <f>25.5345 * CHOOSE(CONTROL!$C$15, $E$9, 100%, $G$9) + CHOOSE(CONTROL!$C$38, 0.0347, 0)</f>
        <v>25.569200000000002</v>
      </c>
      <c r="H285" s="10">
        <f>25.5345 * CHOOSE(CONTROL!$C$15, $E$9, 100%, $G$9) + CHOOSE(CONTROL!$C$38, 0.0347, 0)</f>
        <v>25.569200000000002</v>
      </c>
      <c r="I285" s="10">
        <f>25.5361 * CHOOSE(CONTROL!$C$15, $E$9, 100%, $G$9) + CHOOSE(CONTROL!$C$38, 0.0347, 0)</f>
        <v>25.570800000000002</v>
      </c>
      <c r="J285" s="26">
        <f>171.684</f>
        <v>171.684</v>
      </c>
    </row>
    <row r="286" spans="1:10" ht="15" x14ac:dyDescent="0.2">
      <c r="A286" s="15">
        <v>49980</v>
      </c>
      <c r="B286" s="10">
        <f>27.9429 * CHOOSE(CONTROL!$C$15, $E$9, 100%, $G$9) + CHOOSE(CONTROL!$C$38, 0.0256, 0)</f>
        <v>27.968500000000002</v>
      </c>
      <c r="C286" s="10">
        <f>25.7295 * CHOOSE(CONTROL!$C$15, $E$9, 100%, $G$9) + CHOOSE(CONTROL!$C$38, 0.0347, 0)</f>
        <v>25.764200000000002</v>
      </c>
      <c r="D286" s="10">
        <f>25.7217 * CHOOSE(CONTROL!$C$15, $E$9, 100%, $G$9) + CHOOSE(CONTROL!$C$38, 0.0347, 0)</f>
        <v>25.756399999999999</v>
      </c>
      <c r="E286" s="28">
        <f>27.7866 * CHOOSE(CONTROL!$C$15, $E$9, 100%, $G$9) + CHOOSE(CONTROL!$C$38, 0.0347, 0)</f>
        <v>27.821300000000001</v>
      </c>
      <c r="F286" s="27">
        <f>27.7866 * CHOOSE(CONTROL!$C$15, $E$9, 100%, $G$9) + CHOOSE(CONTROL!$C$38, 0.0256, 0)</f>
        <v>27.812200000000001</v>
      </c>
      <c r="G286" s="10">
        <f>25.728 * CHOOSE(CONTROL!$C$15, $E$9, 100%, $G$9) + CHOOSE(CONTROL!$C$38, 0.0347, 0)</f>
        <v>25.762700000000002</v>
      </c>
      <c r="H286" s="10">
        <f>25.728 * CHOOSE(CONTROL!$C$15, $E$9, 100%, $G$9) + CHOOSE(CONTROL!$C$38, 0.0347, 0)</f>
        <v>25.762700000000002</v>
      </c>
      <c r="I286" s="10">
        <f>25.7295 * CHOOSE(CONTROL!$C$15, $E$9, 100%, $G$9) + CHOOSE(CONTROL!$C$38, 0.0347, 0)</f>
        <v>25.764200000000002</v>
      </c>
      <c r="J286" s="26">
        <f>170.4607</f>
        <v>170.4607</v>
      </c>
    </row>
    <row r="287" spans="1:10" ht="15" x14ac:dyDescent="0.2">
      <c r="A287" s="15">
        <v>50010</v>
      </c>
      <c r="B287" s="10">
        <f>28.539 * CHOOSE(CONTROL!$C$15, $E$9, 100%, $G$9) + CHOOSE(CONTROL!$C$38, 0.0256, 0)</f>
        <v>28.564600000000002</v>
      </c>
      <c r="C287" s="10">
        <f>26.3256 * CHOOSE(CONTROL!$C$15, $E$9, 100%, $G$9) + CHOOSE(CONTROL!$C$38, 0.0347, 0)</f>
        <v>26.360300000000002</v>
      </c>
      <c r="D287" s="10">
        <f>26.3178 * CHOOSE(CONTROL!$C$15, $E$9, 100%, $G$9) + CHOOSE(CONTROL!$C$38, 0.0347, 0)</f>
        <v>26.352499999999999</v>
      </c>
      <c r="E287" s="28">
        <f>28.3827 * CHOOSE(CONTROL!$C$15, $E$9, 100%, $G$9) + CHOOSE(CONTROL!$C$38, 0.0347, 0)</f>
        <v>28.417400000000001</v>
      </c>
      <c r="F287" s="27">
        <f>28.3827 * CHOOSE(CONTROL!$C$15, $E$9, 100%, $G$9) + CHOOSE(CONTROL!$C$38, 0.0256, 0)</f>
        <v>28.408300000000001</v>
      </c>
      <c r="G287" s="10">
        <f>26.324 * CHOOSE(CONTROL!$C$15, $E$9, 100%, $G$9) + CHOOSE(CONTROL!$C$38, 0.0347, 0)</f>
        <v>26.358700000000002</v>
      </c>
      <c r="H287" s="10">
        <f>26.324 * CHOOSE(CONTROL!$C$15, $E$9, 100%, $G$9) + CHOOSE(CONTROL!$C$38, 0.0347, 0)</f>
        <v>26.358700000000002</v>
      </c>
      <c r="I287" s="10">
        <f>26.3256 * CHOOSE(CONTROL!$C$15, $E$9, 100%, $G$9) + CHOOSE(CONTROL!$C$38, 0.0347, 0)</f>
        <v>26.360300000000002</v>
      </c>
      <c r="J287" s="26">
        <f>165.4023</f>
        <v>165.4023</v>
      </c>
    </row>
    <row r="288" spans="1:10" ht="15" x14ac:dyDescent="0.2">
      <c r="A288" s="15">
        <v>50041</v>
      </c>
      <c r="B288" s="10">
        <f>29.4932 * CHOOSE(CONTROL!$C$15, $E$9, 100%, $G$9) + CHOOSE(CONTROL!$C$38, 0.0256, 0)</f>
        <v>29.518800000000002</v>
      </c>
      <c r="C288" s="10">
        <f>27.2434 * CHOOSE(CONTROL!$C$15, $E$9, 100%, $G$9) + CHOOSE(CONTROL!$C$38, 0.0347, 0)</f>
        <v>27.278100000000002</v>
      </c>
      <c r="D288" s="10">
        <f>27.2356 * CHOOSE(CONTROL!$C$15, $E$9, 100%, $G$9) + CHOOSE(CONTROL!$C$38, 0.0347, 0)</f>
        <v>27.270300000000002</v>
      </c>
      <c r="E288" s="28">
        <f>29.3369 * CHOOSE(CONTROL!$C$15, $E$9, 100%, $G$9) + CHOOSE(CONTROL!$C$38, 0.0347, 0)</f>
        <v>29.371600000000001</v>
      </c>
      <c r="F288" s="27">
        <f>29.3369 * CHOOSE(CONTROL!$C$15, $E$9, 100%, $G$9) + CHOOSE(CONTROL!$C$38, 0.0256, 0)</f>
        <v>29.362500000000001</v>
      </c>
      <c r="G288" s="10">
        <f>27.2419 * CHOOSE(CONTROL!$C$15, $E$9, 100%, $G$9) + CHOOSE(CONTROL!$C$38, 0.0347, 0)</f>
        <v>27.276600000000002</v>
      </c>
      <c r="H288" s="10">
        <f>27.2419 * CHOOSE(CONTROL!$C$15, $E$9, 100%, $G$9) + CHOOSE(CONTROL!$C$38, 0.0347, 0)</f>
        <v>27.276600000000002</v>
      </c>
      <c r="I288" s="10">
        <f>27.2434 * CHOOSE(CONTROL!$C$15, $E$9, 100%, $G$9) + CHOOSE(CONTROL!$C$38, 0.0347, 0)</f>
        <v>27.278100000000002</v>
      </c>
      <c r="J288" s="26">
        <f>164.2944</f>
        <v>164.2944</v>
      </c>
    </row>
    <row r="289" spans="1:10" ht="15" x14ac:dyDescent="0.2">
      <c r="A289" s="15">
        <v>50072</v>
      </c>
      <c r="B289" s="10">
        <f>29.7139 * CHOOSE(CONTROL!$C$15, $E$9, 100%, $G$9) + CHOOSE(CONTROL!$C$38, 0.0256, 0)</f>
        <v>29.7395</v>
      </c>
      <c r="C289" s="10">
        <f>27.4642 * CHOOSE(CONTROL!$C$15, $E$9, 100%, $G$9) + CHOOSE(CONTROL!$C$38, 0.0347, 0)</f>
        <v>27.498900000000003</v>
      </c>
      <c r="D289" s="10">
        <f>27.4564 * CHOOSE(CONTROL!$C$15, $E$9, 100%, $G$9) + CHOOSE(CONTROL!$C$38, 0.0347, 0)</f>
        <v>27.491099999999999</v>
      </c>
      <c r="E289" s="28">
        <f>29.5577 * CHOOSE(CONTROL!$C$15, $E$9, 100%, $G$9) + CHOOSE(CONTROL!$C$38, 0.0347, 0)</f>
        <v>29.592400000000001</v>
      </c>
      <c r="F289" s="27">
        <f>29.5577 * CHOOSE(CONTROL!$C$15, $E$9, 100%, $G$9) + CHOOSE(CONTROL!$C$38, 0.0256, 0)</f>
        <v>29.583300000000001</v>
      </c>
      <c r="G289" s="10">
        <f>27.4626 * CHOOSE(CONTROL!$C$15, $E$9, 100%, $G$9) + CHOOSE(CONTROL!$C$38, 0.0347, 0)</f>
        <v>27.497299999999999</v>
      </c>
      <c r="H289" s="10">
        <f>27.4626 * CHOOSE(CONTROL!$C$15, $E$9, 100%, $G$9) + CHOOSE(CONTROL!$C$38, 0.0347, 0)</f>
        <v>27.497299999999999</v>
      </c>
      <c r="I289" s="10">
        <f>27.4642 * CHOOSE(CONTROL!$C$15, $E$9, 100%, $G$9) + CHOOSE(CONTROL!$C$38, 0.0347, 0)</f>
        <v>27.498900000000003</v>
      </c>
      <c r="J289" s="26">
        <f>163.8377</f>
        <v>163.83770000000001</v>
      </c>
    </row>
    <row r="290" spans="1:10" ht="15" x14ac:dyDescent="0.2">
      <c r="A290" s="15">
        <v>50100</v>
      </c>
      <c r="B290" s="10">
        <f>29.2029 * CHOOSE(CONTROL!$C$15, $E$9, 100%, $G$9) + CHOOSE(CONTROL!$C$38, 0.0256, 0)</f>
        <v>29.2285</v>
      </c>
      <c r="C290" s="10">
        <f>26.9532 * CHOOSE(CONTROL!$C$15, $E$9, 100%, $G$9) + CHOOSE(CONTROL!$C$38, 0.0347, 0)</f>
        <v>26.9879</v>
      </c>
      <c r="D290" s="10">
        <f>26.9454 * CHOOSE(CONTROL!$C$15, $E$9, 100%, $G$9) + CHOOSE(CONTROL!$C$38, 0.0347, 0)</f>
        <v>26.9801</v>
      </c>
      <c r="E290" s="28">
        <f>29.0466 * CHOOSE(CONTROL!$C$15, $E$9, 100%, $G$9) + CHOOSE(CONTROL!$C$38, 0.0347, 0)</f>
        <v>29.081300000000002</v>
      </c>
      <c r="F290" s="27">
        <f>29.0466 * CHOOSE(CONTROL!$C$15, $E$9, 100%, $G$9) + CHOOSE(CONTROL!$C$38, 0.0256, 0)</f>
        <v>29.072200000000002</v>
      </c>
      <c r="G290" s="10">
        <f>26.9516 * CHOOSE(CONTROL!$C$15, $E$9, 100%, $G$9) + CHOOSE(CONTROL!$C$38, 0.0347, 0)</f>
        <v>26.9863</v>
      </c>
      <c r="H290" s="10">
        <f>26.9516 * CHOOSE(CONTROL!$C$15, $E$9, 100%, $G$9) + CHOOSE(CONTROL!$C$38, 0.0347, 0)</f>
        <v>26.9863</v>
      </c>
      <c r="I290" s="10">
        <f>26.9532 * CHOOSE(CONTROL!$C$15, $E$9, 100%, $G$9) + CHOOSE(CONTROL!$C$38, 0.0347, 0)</f>
        <v>26.9879</v>
      </c>
      <c r="J290" s="26">
        <f>172.4729</f>
        <v>172.47290000000001</v>
      </c>
    </row>
    <row r="291" spans="1:10" ht="15" x14ac:dyDescent="0.2">
      <c r="A291" s="15">
        <v>50131</v>
      </c>
      <c r="B291" s="10">
        <f>28.7077 * CHOOSE(CONTROL!$C$15, $E$9, 100%, $G$9) + CHOOSE(CONTROL!$C$38, 0.0256, 0)</f>
        <v>28.7333</v>
      </c>
      <c r="C291" s="10">
        <f>26.458 * CHOOSE(CONTROL!$C$15, $E$9, 100%, $G$9) + CHOOSE(CONTROL!$C$38, 0.0347, 0)</f>
        <v>26.492699999999999</v>
      </c>
      <c r="D291" s="10">
        <f>26.4502 * CHOOSE(CONTROL!$C$15, $E$9, 100%, $G$9) + CHOOSE(CONTROL!$C$38, 0.0347, 0)</f>
        <v>26.4849</v>
      </c>
      <c r="E291" s="28">
        <f>28.5515 * CHOOSE(CONTROL!$C$15, $E$9, 100%, $G$9) + CHOOSE(CONTROL!$C$38, 0.0347, 0)</f>
        <v>28.586200000000002</v>
      </c>
      <c r="F291" s="27">
        <f>28.5515 * CHOOSE(CONTROL!$C$15, $E$9, 100%, $G$9) + CHOOSE(CONTROL!$C$38, 0.0256, 0)</f>
        <v>28.577100000000002</v>
      </c>
      <c r="G291" s="10">
        <f>26.4564 * CHOOSE(CONTROL!$C$15, $E$9, 100%, $G$9) + CHOOSE(CONTROL!$C$38, 0.0347, 0)</f>
        <v>26.491099999999999</v>
      </c>
      <c r="H291" s="10">
        <f>26.4564 * CHOOSE(CONTROL!$C$15, $E$9, 100%, $G$9) + CHOOSE(CONTROL!$C$38, 0.0347, 0)</f>
        <v>26.491099999999999</v>
      </c>
      <c r="I291" s="10">
        <f>26.458 * CHOOSE(CONTROL!$C$15, $E$9, 100%, $G$9) + CHOOSE(CONTROL!$C$38, 0.0347, 0)</f>
        <v>26.492699999999999</v>
      </c>
      <c r="J291" s="26">
        <f>183.6707</f>
        <v>183.67070000000001</v>
      </c>
    </row>
    <row r="292" spans="1:10" ht="15" x14ac:dyDescent="0.2">
      <c r="A292" s="15">
        <v>50161</v>
      </c>
      <c r="B292" s="10">
        <f>28.1916 * CHOOSE(CONTROL!$C$15, $E$9, 100%, $G$9) + CHOOSE(CONTROL!$C$38, 0.0278, 0)</f>
        <v>28.2194</v>
      </c>
      <c r="C292" s="10">
        <f>25.9419 * CHOOSE(CONTROL!$C$15, $E$9, 100%, $G$9) + CHOOSE(CONTROL!$C$38, 0.0369, 0)</f>
        <v>25.9788</v>
      </c>
      <c r="D292" s="10">
        <f>25.9341 * CHOOSE(CONTROL!$C$15, $E$9, 100%, $G$9) + CHOOSE(CONTROL!$C$38, 0.0369, 0)</f>
        <v>25.971</v>
      </c>
      <c r="E292" s="28">
        <f>28.0353 * CHOOSE(CONTROL!$C$15, $E$9, 100%, $G$9) + CHOOSE(CONTROL!$C$38, 0.0369, 0)</f>
        <v>28.072199999999999</v>
      </c>
      <c r="F292" s="27">
        <f>28.0353 * CHOOSE(CONTROL!$C$15, $E$9, 100%, $G$9) + CHOOSE(CONTROL!$C$38, 0.0278, 0)</f>
        <v>28.063099999999999</v>
      </c>
      <c r="G292" s="10">
        <f>25.9403 * CHOOSE(CONTROL!$C$15, $E$9, 100%, $G$9) + CHOOSE(CONTROL!$C$38, 0.0369, 0)</f>
        <v>25.9772</v>
      </c>
      <c r="H292" s="10">
        <f>25.9403 * CHOOSE(CONTROL!$C$15, $E$9, 100%, $G$9) + CHOOSE(CONTROL!$C$38, 0.0369, 0)</f>
        <v>25.9772</v>
      </c>
      <c r="I292" s="10">
        <f>25.9419 * CHOOSE(CONTROL!$C$15, $E$9, 100%, $G$9) + CHOOSE(CONTROL!$C$38, 0.0369, 0)</f>
        <v>25.9788</v>
      </c>
      <c r="J292" s="26">
        <f>189.8343</f>
        <v>189.83430000000001</v>
      </c>
    </row>
    <row r="293" spans="1:10" ht="15" x14ac:dyDescent="0.2">
      <c r="A293" s="15">
        <v>50192</v>
      </c>
      <c r="B293" s="10">
        <f>27.8298 * CHOOSE(CONTROL!$C$15, $E$9, 100%, $G$9) + CHOOSE(CONTROL!$C$38, 0.0278, 0)</f>
        <v>27.857599999999998</v>
      </c>
      <c r="C293" s="10">
        <f>25.58 * CHOOSE(CONTROL!$C$15, $E$9, 100%, $G$9) + CHOOSE(CONTROL!$C$38, 0.0369, 0)</f>
        <v>25.616899999999998</v>
      </c>
      <c r="D293" s="10">
        <f>25.5722 * CHOOSE(CONTROL!$C$15, $E$9, 100%, $G$9) + CHOOSE(CONTROL!$C$38, 0.0369, 0)</f>
        <v>25.609099999999998</v>
      </c>
      <c r="E293" s="28">
        <f>27.6735 * CHOOSE(CONTROL!$C$15, $E$9, 100%, $G$9) + CHOOSE(CONTROL!$C$38, 0.0369, 0)</f>
        <v>27.7104</v>
      </c>
      <c r="F293" s="27">
        <f>27.6735 * CHOOSE(CONTROL!$C$15, $E$9, 100%, $G$9) + CHOOSE(CONTROL!$C$38, 0.0278, 0)</f>
        <v>27.7013</v>
      </c>
      <c r="G293" s="10">
        <f>25.5785 * CHOOSE(CONTROL!$C$15, $E$9, 100%, $G$9) + CHOOSE(CONTROL!$C$38, 0.0369, 0)</f>
        <v>25.615399999999998</v>
      </c>
      <c r="H293" s="10">
        <f>25.5785 * CHOOSE(CONTROL!$C$15, $E$9, 100%, $G$9) + CHOOSE(CONTROL!$C$38, 0.0369, 0)</f>
        <v>25.615399999999998</v>
      </c>
      <c r="I293" s="10">
        <f>25.58 * CHOOSE(CONTROL!$C$15, $E$9, 100%, $G$9) + CHOOSE(CONTROL!$C$38, 0.0369, 0)</f>
        <v>25.616899999999998</v>
      </c>
      <c r="J293" s="26">
        <f>192.5696</f>
        <v>192.56960000000001</v>
      </c>
    </row>
    <row r="294" spans="1:10" ht="15" x14ac:dyDescent="0.2">
      <c r="A294" s="15">
        <v>50222</v>
      </c>
      <c r="B294" s="10">
        <f>27.6233 * CHOOSE(CONTROL!$C$15, $E$9, 100%, $G$9) + CHOOSE(CONTROL!$C$38, 0.0278, 0)</f>
        <v>27.6511</v>
      </c>
      <c r="C294" s="10">
        <f>25.3736 * CHOOSE(CONTROL!$C$15, $E$9, 100%, $G$9) + CHOOSE(CONTROL!$C$38, 0.0369, 0)</f>
        <v>25.410499999999999</v>
      </c>
      <c r="D294" s="10">
        <f>25.3657 * CHOOSE(CONTROL!$C$15, $E$9, 100%, $G$9) + CHOOSE(CONTROL!$C$38, 0.0369, 0)</f>
        <v>25.4026</v>
      </c>
      <c r="E294" s="28">
        <f>27.467 * CHOOSE(CONTROL!$C$15, $E$9, 100%, $G$9) + CHOOSE(CONTROL!$C$38, 0.0369, 0)</f>
        <v>27.503899999999998</v>
      </c>
      <c r="F294" s="27">
        <f>27.467 * CHOOSE(CONTROL!$C$15, $E$9, 100%, $G$9) + CHOOSE(CONTROL!$C$38, 0.0278, 0)</f>
        <v>27.494799999999998</v>
      </c>
      <c r="G294" s="10">
        <f>25.372 * CHOOSE(CONTROL!$C$15, $E$9, 100%, $G$9) + CHOOSE(CONTROL!$C$38, 0.0369, 0)</f>
        <v>25.408899999999999</v>
      </c>
      <c r="H294" s="10">
        <f>25.372 * CHOOSE(CONTROL!$C$15, $E$9, 100%, $G$9) + CHOOSE(CONTROL!$C$38, 0.0369, 0)</f>
        <v>25.408899999999999</v>
      </c>
      <c r="I294" s="10">
        <f>25.3736 * CHOOSE(CONTROL!$C$15, $E$9, 100%, $G$9) + CHOOSE(CONTROL!$C$38, 0.0369, 0)</f>
        <v>25.410499999999999</v>
      </c>
      <c r="J294" s="26">
        <f>191.669</f>
        <v>191.66900000000001</v>
      </c>
    </row>
    <row r="295" spans="1:10" ht="15" x14ac:dyDescent="0.2">
      <c r="A295" s="15">
        <v>50253</v>
      </c>
      <c r="B295" s="10">
        <f>27.7252 * CHOOSE(CONTROL!$C$15, $E$9, 100%, $G$9) + CHOOSE(CONTROL!$C$38, 0.0278, 0)</f>
        <v>27.753</v>
      </c>
      <c r="C295" s="10">
        <f>25.4755 * CHOOSE(CONTROL!$C$15, $E$9, 100%, $G$9) + CHOOSE(CONTROL!$C$38, 0.0369, 0)</f>
        <v>25.5124</v>
      </c>
      <c r="D295" s="10">
        <f>25.4677 * CHOOSE(CONTROL!$C$15, $E$9, 100%, $G$9) + CHOOSE(CONTROL!$C$38, 0.0369, 0)</f>
        <v>25.5046</v>
      </c>
      <c r="E295" s="28">
        <f>27.5689 * CHOOSE(CONTROL!$C$15, $E$9, 100%, $G$9) + CHOOSE(CONTROL!$C$38, 0.0369, 0)</f>
        <v>27.605799999999999</v>
      </c>
      <c r="F295" s="27">
        <f>27.5689 * CHOOSE(CONTROL!$C$15, $E$9, 100%, $G$9) + CHOOSE(CONTROL!$C$38, 0.0278, 0)</f>
        <v>27.596699999999998</v>
      </c>
      <c r="G295" s="10">
        <f>25.4739 * CHOOSE(CONTROL!$C$15, $E$9, 100%, $G$9) + CHOOSE(CONTROL!$C$38, 0.0369, 0)</f>
        <v>25.5108</v>
      </c>
      <c r="H295" s="10">
        <f>25.4739 * CHOOSE(CONTROL!$C$15, $E$9, 100%, $G$9) + CHOOSE(CONTROL!$C$38, 0.0369, 0)</f>
        <v>25.5108</v>
      </c>
      <c r="I295" s="10">
        <f>25.4755 * CHOOSE(CONTROL!$C$15, $E$9, 100%, $G$9) + CHOOSE(CONTROL!$C$38, 0.0369, 0)</f>
        <v>25.5124</v>
      </c>
      <c r="J295" s="26">
        <f>187.207</f>
        <v>187.20699999999999</v>
      </c>
    </row>
    <row r="296" spans="1:10" ht="15" x14ac:dyDescent="0.2">
      <c r="A296" s="15">
        <v>50284</v>
      </c>
      <c r="B296" s="10">
        <f>28.002 * CHOOSE(CONTROL!$C$15, $E$9, 100%, $G$9) + CHOOSE(CONTROL!$C$38, 0.0278, 0)</f>
        <v>28.029799999999998</v>
      </c>
      <c r="C296" s="10">
        <f>25.7523 * CHOOSE(CONTROL!$C$15, $E$9, 100%, $G$9) + CHOOSE(CONTROL!$C$38, 0.0369, 0)</f>
        <v>25.789200000000001</v>
      </c>
      <c r="D296" s="10">
        <f>25.7444 * CHOOSE(CONTROL!$C$15, $E$9, 100%, $G$9) + CHOOSE(CONTROL!$C$38, 0.0369, 0)</f>
        <v>25.781299999999998</v>
      </c>
      <c r="E296" s="28">
        <f>27.8457 * CHOOSE(CONTROL!$C$15, $E$9, 100%, $G$9) + CHOOSE(CONTROL!$C$38, 0.0369, 0)</f>
        <v>27.8826</v>
      </c>
      <c r="F296" s="27">
        <f>27.8457 * CHOOSE(CONTROL!$C$15, $E$9, 100%, $G$9) + CHOOSE(CONTROL!$C$38, 0.0278, 0)</f>
        <v>27.8735</v>
      </c>
      <c r="G296" s="10">
        <f>25.7507 * CHOOSE(CONTROL!$C$15, $E$9, 100%, $G$9) + CHOOSE(CONTROL!$C$38, 0.0369, 0)</f>
        <v>25.787599999999998</v>
      </c>
      <c r="H296" s="10">
        <f>25.7507 * CHOOSE(CONTROL!$C$15, $E$9, 100%, $G$9) + CHOOSE(CONTROL!$C$38, 0.0369, 0)</f>
        <v>25.787599999999998</v>
      </c>
      <c r="I296" s="10">
        <f>25.7523 * CHOOSE(CONTROL!$C$15, $E$9, 100%, $G$9) + CHOOSE(CONTROL!$C$38, 0.0369, 0)</f>
        <v>25.789200000000001</v>
      </c>
      <c r="J296" s="26">
        <f>180.9846</f>
        <v>180.9846</v>
      </c>
    </row>
    <row r="297" spans="1:10" ht="15" x14ac:dyDescent="0.2">
      <c r="A297" s="15">
        <v>50314</v>
      </c>
      <c r="B297" s="10">
        <f>28.2338 * CHOOSE(CONTROL!$C$15, $E$9, 100%, $G$9) + CHOOSE(CONTROL!$C$38, 0.0256, 0)</f>
        <v>28.259399999999999</v>
      </c>
      <c r="C297" s="10">
        <f>25.9841 * CHOOSE(CONTROL!$C$15, $E$9, 100%, $G$9) + CHOOSE(CONTROL!$C$38, 0.0347, 0)</f>
        <v>26.018800000000002</v>
      </c>
      <c r="D297" s="10">
        <f>25.9763 * CHOOSE(CONTROL!$C$15, $E$9, 100%, $G$9) + CHOOSE(CONTROL!$C$38, 0.0347, 0)</f>
        <v>26.010999999999999</v>
      </c>
      <c r="E297" s="28">
        <f>28.0775 * CHOOSE(CONTROL!$C$15, $E$9, 100%, $G$9) + CHOOSE(CONTROL!$C$38, 0.0347, 0)</f>
        <v>28.112200000000001</v>
      </c>
      <c r="F297" s="27">
        <f>28.0775 * CHOOSE(CONTROL!$C$15, $E$9, 100%, $G$9) + CHOOSE(CONTROL!$C$38, 0.0256, 0)</f>
        <v>28.103100000000001</v>
      </c>
      <c r="G297" s="10">
        <f>25.9825 * CHOOSE(CONTROL!$C$15, $E$9, 100%, $G$9) + CHOOSE(CONTROL!$C$38, 0.0347, 0)</f>
        <v>26.017200000000003</v>
      </c>
      <c r="H297" s="10">
        <f>25.9825 * CHOOSE(CONTROL!$C$15, $E$9, 100%, $G$9) + CHOOSE(CONTROL!$C$38, 0.0347, 0)</f>
        <v>26.017200000000003</v>
      </c>
      <c r="I297" s="10">
        <f>25.9841 * CHOOSE(CONTROL!$C$15, $E$9, 100%, $G$9) + CHOOSE(CONTROL!$C$38, 0.0347, 0)</f>
        <v>26.018800000000002</v>
      </c>
      <c r="J297" s="26">
        <f>174.726</f>
        <v>174.726</v>
      </c>
    </row>
    <row r="298" spans="1:10" ht="15" x14ac:dyDescent="0.2">
      <c r="A298" s="15">
        <v>50345</v>
      </c>
      <c r="B298" s="10">
        <f>28.4272 * CHOOSE(CONTROL!$C$15, $E$9, 100%, $G$9) + CHOOSE(CONTROL!$C$38, 0.0256, 0)</f>
        <v>28.4528</v>
      </c>
      <c r="C298" s="10">
        <f>26.1775 * CHOOSE(CONTROL!$C$15, $E$9, 100%, $G$9) + CHOOSE(CONTROL!$C$38, 0.0347, 0)</f>
        <v>26.212199999999999</v>
      </c>
      <c r="D298" s="10">
        <f>26.1697 * CHOOSE(CONTROL!$C$15, $E$9, 100%, $G$9) + CHOOSE(CONTROL!$C$38, 0.0347, 0)</f>
        <v>26.2044</v>
      </c>
      <c r="E298" s="28">
        <f>28.271 * CHOOSE(CONTROL!$C$15, $E$9, 100%, $G$9) + CHOOSE(CONTROL!$C$38, 0.0347, 0)</f>
        <v>28.305700000000002</v>
      </c>
      <c r="F298" s="27">
        <f>28.271 * CHOOSE(CONTROL!$C$15, $E$9, 100%, $G$9) + CHOOSE(CONTROL!$C$38, 0.0256, 0)</f>
        <v>28.296600000000002</v>
      </c>
      <c r="G298" s="10">
        <f>26.176 * CHOOSE(CONTROL!$C$15, $E$9, 100%, $G$9) + CHOOSE(CONTROL!$C$38, 0.0347, 0)</f>
        <v>26.210699999999999</v>
      </c>
      <c r="H298" s="10">
        <f>26.176 * CHOOSE(CONTROL!$C$15, $E$9, 100%, $G$9) + CHOOSE(CONTROL!$C$38, 0.0347, 0)</f>
        <v>26.210699999999999</v>
      </c>
      <c r="I298" s="10">
        <f>26.1775 * CHOOSE(CONTROL!$C$15, $E$9, 100%, $G$9) + CHOOSE(CONTROL!$C$38, 0.0347, 0)</f>
        <v>26.212199999999999</v>
      </c>
      <c r="J298" s="26">
        <f>173.481</f>
        <v>173.48099999999999</v>
      </c>
    </row>
    <row r="299" spans="1:10" ht="15" x14ac:dyDescent="0.2">
      <c r="A299" s="15">
        <v>50375</v>
      </c>
      <c r="B299" s="10">
        <f>29.0233 * CHOOSE(CONTROL!$C$15, $E$9, 100%, $G$9) + CHOOSE(CONTROL!$C$38, 0.0256, 0)</f>
        <v>29.0489</v>
      </c>
      <c r="C299" s="10">
        <f>26.7736 * CHOOSE(CONTROL!$C$15, $E$9, 100%, $G$9) + CHOOSE(CONTROL!$C$38, 0.0347, 0)</f>
        <v>26.808299999999999</v>
      </c>
      <c r="D299" s="10">
        <f>26.7658 * CHOOSE(CONTROL!$C$15, $E$9, 100%, $G$9) + CHOOSE(CONTROL!$C$38, 0.0347, 0)</f>
        <v>26.8005</v>
      </c>
      <c r="E299" s="28">
        <f>28.8671 * CHOOSE(CONTROL!$C$15, $E$9, 100%, $G$9) + CHOOSE(CONTROL!$C$38, 0.0347, 0)</f>
        <v>28.901800000000001</v>
      </c>
      <c r="F299" s="27">
        <f>28.8671 * CHOOSE(CONTROL!$C$15, $E$9, 100%, $G$9) + CHOOSE(CONTROL!$C$38, 0.0256, 0)</f>
        <v>28.892700000000001</v>
      </c>
      <c r="G299" s="10">
        <f>26.772 * CHOOSE(CONTROL!$C$15, $E$9, 100%, $G$9) + CHOOSE(CONTROL!$C$38, 0.0347, 0)</f>
        <v>26.806699999999999</v>
      </c>
      <c r="H299" s="10">
        <f>26.772 * CHOOSE(CONTROL!$C$15, $E$9, 100%, $G$9) + CHOOSE(CONTROL!$C$38, 0.0347, 0)</f>
        <v>26.806699999999999</v>
      </c>
      <c r="I299" s="10">
        <f>26.7736 * CHOOSE(CONTROL!$C$15, $E$9, 100%, $G$9) + CHOOSE(CONTROL!$C$38, 0.0347, 0)</f>
        <v>26.808299999999999</v>
      </c>
      <c r="J299" s="26">
        <f>168.3329</f>
        <v>168.3329</v>
      </c>
    </row>
    <row r="300" spans="1:10" ht="15.75" x14ac:dyDescent="0.25">
      <c r="A300" s="14">
        <v>50436</v>
      </c>
      <c r="B300" s="10">
        <f>29.986 * CHOOSE(CONTROL!$C$15, $E$9, 100%, $G$9) + CHOOSE(CONTROL!$C$38, 0.0256, 0)</f>
        <v>30.011600000000001</v>
      </c>
      <c r="C300" s="10">
        <f>27.6994 * CHOOSE(CONTROL!$C$15, $E$9, 100%, $G$9) + CHOOSE(CONTROL!$C$38, 0.0347, 0)</f>
        <v>27.734100000000002</v>
      </c>
      <c r="D300" s="10">
        <f>27.6915 * CHOOSE(CONTROL!$C$15, $E$9, 100%, $G$9) + CHOOSE(CONTROL!$C$38, 0.0347, 0)</f>
        <v>27.726200000000002</v>
      </c>
      <c r="E300" s="28">
        <f>29.8298 * CHOOSE(CONTROL!$C$15, $E$9, 100%, $G$9) + CHOOSE(CONTROL!$C$38, 0.0347, 0)</f>
        <v>29.8645</v>
      </c>
      <c r="F300" s="27">
        <f>29.8298 * CHOOSE(CONTROL!$C$15, $E$9, 100%, $G$9) + CHOOSE(CONTROL!$C$38, 0.0256, 0)</f>
        <v>29.855399999999999</v>
      </c>
      <c r="G300" s="10">
        <f>27.6978 * CHOOSE(CONTROL!$C$15, $E$9, 100%, $G$9) + CHOOSE(CONTROL!$C$38, 0.0347, 0)</f>
        <v>27.732500000000002</v>
      </c>
      <c r="H300" s="10">
        <f>27.6978 * CHOOSE(CONTROL!$C$15, $E$9, 100%, $G$9) + CHOOSE(CONTROL!$C$38, 0.0347, 0)</f>
        <v>27.732500000000002</v>
      </c>
      <c r="I300" s="10">
        <f>27.6994 * CHOOSE(CONTROL!$C$15, $E$9, 100%, $G$9) + CHOOSE(CONTROL!$C$38, 0.0347, 0)</f>
        <v>27.734100000000002</v>
      </c>
      <c r="J300" s="26">
        <f>167.2054</f>
        <v>167.2054</v>
      </c>
    </row>
    <row r="301" spans="1:10" ht="15.75" x14ac:dyDescent="0.25">
      <c r="A301" s="14">
        <v>50464</v>
      </c>
      <c r="B301" s="10">
        <f>30.2068 * CHOOSE(CONTROL!$C$15, $E$9, 100%, $G$9) + CHOOSE(CONTROL!$C$38, 0.0256, 0)</f>
        <v>30.232400000000002</v>
      </c>
      <c r="C301" s="10">
        <f>27.9201 * CHOOSE(CONTROL!$C$15, $E$9, 100%, $G$9) + CHOOSE(CONTROL!$C$38, 0.0347, 0)</f>
        <v>27.954800000000002</v>
      </c>
      <c r="D301" s="10">
        <f>27.9123 * CHOOSE(CONTROL!$C$15, $E$9, 100%, $G$9) + CHOOSE(CONTROL!$C$38, 0.0347, 0)</f>
        <v>27.946999999999999</v>
      </c>
      <c r="E301" s="28">
        <f>30.0506 * CHOOSE(CONTROL!$C$15, $E$9, 100%, $G$9) + CHOOSE(CONTROL!$C$38, 0.0347, 0)</f>
        <v>30.0853</v>
      </c>
      <c r="F301" s="27">
        <f>30.0506 * CHOOSE(CONTROL!$C$15, $E$9, 100%, $G$9) + CHOOSE(CONTROL!$C$38, 0.0256, 0)</f>
        <v>30.0762</v>
      </c>
      <c r="G301" s="10">
        <f>27.9186 * CHOOSE(CONTROL!$C$15, $E$9, 100%, $G$9) + CHOOSE(CONTROL!$C$38, 0.0347, 0)</f>
        <v>27.953300000000002</v>
      </c>
      <c r="H301" s="10">
        <f>27.9186 * CHOOSE(CONTROL!$C$15, $E$9, 100%, $G$9) + CHOOSE(CONTROL!$C$38, 0.0347, 0)</f>
        <v>27.953300000000002</v>
      </c>
      <c r="I301" s="10">
        <f>27.9201 * CHOOSE(CONTROL!$C$15, $E$9, 100%, $G$9) + CHOOSE(CONTROL!$C$38, 0.0347, 0)</f>
        <v>27.954800000000002</v>
      </c>
      <c r="J301" s="26">
        <f>166.7406</f>
        <v>166.7406</v>
      </c>
    </row>
    <row r="302" spans="1:10" ht="15.75" x14ac:dyDescent="0.25">
      <c r="A302" s="14">
        <v>50495</v>
      </c>
      <c r="B302" s="10">
        <f>29.6958 * CHOOSE(CONTROL!$C$15, $E$9, 100%, $G$9) + CHOOSE(CONTROL!$C$38, 0.0256, 0)</f>
        <v>29.721399999999999</v>
      </c>
      <c r="C302" s="10">
        <f>27.4091 * CHOOSE(CONTROL!$C$15, $E$9, 100%, $G$9) + CHOOSE(CONTROL!$C$38, 0.0347, 0)</f>
        <v>27.4438</v>
      </c>
      <c r="D302" s="10">
        <f>27.4013 * CHOOSE(CONTROL!$C$15, $E$9, 100%, $G$9) + CHOOSE(CONTROL!$C$38, 0.0347, 0)</f>
        <v>27.436</v>
      </c>
      <c r="E302" s="28">
        <f>29.5395 * CHOOSE(CONTROL!$C$15, $E$9, 100%, $G$9) + CHOOSE(CONTROL!$C$38, 0.0347, 0)</f>
        <v>29.574200000000001</v>
      </c>
      <c r="F302" s="27">
        <f>29.5395 * CHOOSE(CONTROL!$C$15, $E$9, 100%, $G$9) + CHOOSE(CONTROL!$C$38, 0.0256, 0)</f>
        <v>29.565100000000001</v>
      </c>
      <c r="G302" s="10">
        <f>27.4075 * CHOOSE(CONTROL!$C$15, $E$9, 100%, $G$9) + CHOOSE(CONTROL!$C$38, 0.0347, 0)</f>
        <v>27.4422</v>
      </c>
      <c r="H302" s="10">
        <f>27.4075 * CHOOSE(CONTROL!$C$15, $E$9, 100%, $G$9) + CHOOSE(CONTROL!$C$38, 0.0347, 0)</f>
        <v>27.4422</v>
      </c>
      <c r="I302" s="10">
        <f>27.4091 * CHOOSE(CONTROL!$C$15, $E$9, 100%, $G$9) + CHOOSE(CONTROL!$C$38, 0.0347, 0)</f>
        <v>27.4438</v>
      </c>
      <c r="J302" s="26">
        <f>175.5288</f>
        <v>175.52879999999999</v>
      </c>
    </row>
    <row r="303" spans="1:10" ht="15.75" x14ac:dyDescent="0.25">
      <c r="A303" s="14">
        <v>50525</v>
      </c>
      <c r="B303" s="10">
        <f>29.2006 * CHOOSE(CONTROL!$C$15, $E$9, 100%, $G$9) + CHOOSE(CONTROL!$C$38, 0.0256, 0)</f>
        <v>29.226200000000002</v>
      </c>
      <c r="C303" s="10">
        <f>26.9139 * CHOOSE(CONTROL!$C$15, $E$9, 100%, $G$9) + CHOOSE(CONTROL!$C$38, 0.0347, 0)</f>
        <v>26.948600000000003</v>
      </c>
      <c r="D303" s="10">
        <f>26.9061 * CHOOSE(CONTROL!$C$15, $E$9, 100%, $G$9) + CHOOSE(CONTROL!$C$38, 0.0347, 0)</f>
        <v>26.940799999999999</v>
      </c>
      <c r="E303" s="28">
        <f>29.0443 * CHOOSE(CONTROL!$C$15, $E$9, 100%, $G$9) + CHOOSE(CONTROL!$C$38, 0.0347, 0)</f>
        <v>29.079000000000001</v>
      </c>
      <c r="F303" s="27">
        <f>29.0443 * CHOOSE(CONTROL!$C$15, $E$9, 100%, $G$9) + CHOOSE(CONTROL!$C$38, 0.0256, 0)</f>
        <v>29.069900000000001</v>
      </c>
      <c r="G303" s="10">
        <f>26.9123 * CHOOSE(CONTROL!$C$15, $E$9, 100%, $G$9) + CHOOSE(CONTROL!$C$38, 0.0347, 0)</f>
        <v>26.946999999999999</v>
      </c>
      <c r="H303" s="10">
        <f>26.9123 * CHOOSE(CONTROL!$C$15, $E$9, 100%, $G$9) + CHOOSE(CONTROL!$C$38, 0.0347, 0)</f>
        <v>26.946999999999999</v>
      </c>
      <c r="I303" s="10">
        <f>26.9139 * CHOOSE(CONTROL!$C$15, $E$9, 100%, $G$9) + CHOOSE(CONTROL!$C$38, 0.0347, 0)</f>
        <v>26.948600000000003</v>
      </c>
      <c r="J303" s="26">
        <f>186.925</f>
        <v>186.92500000000001</v>
      </c>
    </row>
    <row r="304" spans="1:10" ht="15.75" x14ac:dyDescent="0.25">
      <c r="A304" s="14">
        <v>50556</v>
      </c>
      <c r="B304" s="10">
        <f>28.6845 * CHOOSE(CONTROL!$C$15, $E$9, 100%, $G$9) + CHOOSE(CONTROL!$C$38, 0.0278, 0)</f>
        <v>28.712299999999999</v>
      </c>
      <c r="C304" s="10">
        <f>26.3978 * CHOOSE(CONTROL!$C$15, $E$9, 100%, $G$9) + CHOOSE(CONTROL!$C$38, 0.0369, 0)</f>
        <v>26.434699999999999</v>
      </c>
      <c r="D304" s="10">
        <f>26.39 * CHOOSE(CONTROL!$C$15, $E$9, 100%, $G$9) + CHOOSE(CONTROL!$C$38, 0.0369, 0)</f>
        <v>26.4269</v>
      </c>
      <c r="E304" s="28">
        <f>28.5282 * CHOOSE(CONTROL!$C$15, $E$9, 100%, $G$9) + CHOOSE(CONTROL!$C$38, 0.0369, 0)</f>
        <v>28.565099999999997</v>
      </c>
      <c r="F304" s="27">
        <f>28.5282 * CHOOSE(CONTROL!$C$15, $E$9, 100%, $G$9) + CHOOSE(CONTROL!$C$38, 0.0278, 0)</f>
        <v>28.555999999999997</v>
      </c>
      <c r="G304" s="10">
        <f>26.3962 * CHOOSE(CONTROL!$C$15, $E$9, 100%, $G$9) + CHOOSE(CONTROL!$C$38, 0.0369, 0)</f>
        <v>26.4331</v>
      </c>
      <c r="H304" s="10">
        <f>26.3962 * CHOOSE(CONTROL!$C$15, $E$9, 100%, $G$9) + CHOOSE(CONTROL!$C$38, 0.0369, 0)</f>
        <v>26.4331</v>
      </c>
      <c r="I304" s="10">
        <f>26.3978 * CHOOSE(CONTROL!$C$15, $E$9, 100%, $G$9) + CHOOSE(CONTROL!$C$38, 0.0369, 0)</f>
        <v>26.434699999999999</v>
      </c>
      <c r="J304" s="26">
        <f>193.1978</f>
        <v>193.1978</v>
      </c>
    </row>
    <row r="305" spans="1:10" ht="15.75" x14ac:dyDescent="0.25">
      <c r="A305" s="14">
        <v>50586</v>
      </c>
      <c r="B305" s="10">
        <f>28.3227 * CHOOSE(CONTROL!$C$15, $E$9, 100%, $G$9) + CHOOSE(CONTROL!$C$38, 0.0278, 0)</f>
        <v>28.3505</v>
      </c>
      <c r="C305" s="10">
        <f>26.036 * CHOOSE(CONTROL!$C$15, $E$9, 100%, $G$9) + CHOOSE(CONTROL!$C$38, 0.0369, 0)</f>
        <v>26.072900000000001</v>
      </c>
      <c r="D305" s="10">
        <f>26.0281 * CHOOSE(CONTROL!$C$15, $E$9, 100%, $G$9) + CHOOSE(CONTROL!$C$38, 0.0369, 0)</f>
        <v>26.064999999999998</v>
      </c>
      <c r="E305" s="28">
        <f>28.1664 * CHOOSE(CONTROL!$C$15, $E$9, 100%, $G$9) + CHOOSE(CONTROL!$C$38, 0.0369, 0)</f>
        <v>28.203299999999999</v>
      </c>
      <c r="F305" s="27">
        <f>28.1664 * CHOOSE(CONTROL!$C$15, $E$9, 100%, $G$9) + CHOOSE(CONTROL!$C$38, 0.0278, 0)</f>
        <v>28.194199999999999</v>
      </c>
      <c r="G305" s="10">
        <f>26.0344 * CHOOSE(CONTROL!$C$15, $E$9, 100%, $G$9) + CHOOSE(CONTROL!$C$38, 0.0369, 0)</f>
        <v>26.071300000000001</v>
      </c>
      <c r="H305" s="10">
        <f>26.0344 * CHOOSE(CONTROL!$C$15, $E$9, 100%, $G$9) + CHOOSE(CONTROL!$C$38, 0.0369, 0)</f>
        <v>26.071300000000001</v>
      </c>
      <c r="I305" s="10">
        <f>26.036 * CHOOSE(CONTROL!$C$15, $E$9, 100%, $G$9) + CHOOSE(CONTROL!$C$38, 0.0369, 0)</f>
        <v>26.072900000000001</v>
      </c>
      <c r="J305" s="26">
        <f>195.9816</f>
        <v>195.98159999999999</v>
      </c>
    </row>
    <row r="306" spans="1:10" ht="15.75" x14ac:dyDescent="0.25">
      <c r="A306" s="14">
        <v>50617</v>
      </c>
      <c r="B306" s="10">
        <f>28.1162 * CHOOSE(CONTROL!$C$15, $E$9, 100%, $G$9) + CHOOSE(CONTROL!$C$38, 0.0278, 0)</f>
        <v>28.143999999999998</v>
      </c>
      <c r="C306" s="10">
        <f>25.8295 * CHOOSE(CONTROL!$C$15, $E$9, 100%, $G$9) + CHOOSE(CONTROL!$C$38, 0.0369, 0)</f>
        <v>25.866399999999999</v>
      </c>
      <c r="D306" s="10">
        <f>25.8217 * CHOOSE(CONTROL!$C$15, $E$9, 100%, $G$9) + CHOOSE(CONTROL!$C$38, 0.0369, 0)</f>
        <v>25.858599999999999</v>
      </c>
      <c r="E306" s="28">
        <f>27.9599 * CHOOSE(CONTROL!$C$15, $E$9, 100%, $G$9) + CHOOSE(CONTROL!$C$38, 0.0369, 0)</f>
        <v>27.9968</v>
      </c>
      <c r="F306" s="27">
        <f>27.9599 * CHOOSE(CONTROL!$C$15, $E$9, 100%, $G$9) + CHOOSE(CONTROL!$C$38, 0.0278, 0)</f>
        <v>27.9877</v>
      </c>
      <c r="G306" s="10">
        <f>25.8279 * CHOOSE(CONTROL!$C$15, $E$9, 100%, $G$9) + CHOOSE(CONTROL!$C$38, 0.0369, 0)</f>
        <v>25.864799999999999</v>
      </c>
      <c r="H306" s="10">
        <f>25.8279 * CHOOSE(CONTROL!$C$15, $E$9, 100%, $G$9) + CHOOSE(CONTROL!$C$38, 0.0369, 0)</f>
        <v>25.864799999999999</v>
      </c>
      <c r="I306" s="10">
        <f>25.8295 * CHOOSE(CONTROL!$C$15, $E$9, 100%, $G$9) + CHOOSE(CONTROL!$C$38, 0.0369, 0)</f>
        <v>25.866399999999999</v>
      </c>
      <c r="J306" s="26">
        <f>195.065</f>
        <v>195.065</v>
      </c>
    </row>
    <row r="307" spans="1:10" ht="15.75" x14ac:dyDescent="0.25">
      <c r="A307" s="14">
        <v>50648</v>
      </c>
      <c r="B307" s="10">
        <f>28.2181 * CHOOSE(CONTROL!$C$15, $E$9, 100%, $G$9) + CHOOSE(CONTROL!$C$38, 0.0278, 0)</f>
        <v>28.245899999999999</v>
      </c>
      <c r="C307" s="10">
        <f>25.9314 * CHOOSE(CONTROL!$C$15, $E$9, 100%, $G$9) + CHOOSE(CONTROL!$C$38, 0.0369, 0)</f>
        <v>25.968299999999999</v>
      </c>
      <c r="D307" s="10">
        <f>25.9236 * CHOOSE(CONTROL!$C$15, $E$9, 100%, $G$9) + CHOOSE(CONTROL!$C$38, 0.0369, 0)</f>
        <v>25.9605</v>
      </c>
      <c r="E307" s="28">
        <f>28.0618 * CHOOSE(CONTROL!$C$15, $E$9, 100%, $G$9) + CHOOSE(CONTROL!$C$38, 0.0369, 0)</f>
        <v>28.098700000000001</v>
      </c>
      <c r="F307" s="27">
        <f>28.0618 * CHOOSE(CONTROL!$C$15, $E$9, 100%, $G$9) + CHOOSE(CONTROL!$C$38, 0.0278, 0)</f>
        <v>28.089600000000001</v>
      </c>
      <c r="G307" s="10">
        <f>25.9298 * CHOOSE(CONTROL!$C$15, $E$9, 100%, $G$9) + CHOOSE(CONTROL!$C$38, 0.0369, 0)</f>
        <v>25.966699999999999</v>
      </c>
      <c r="H307" s="10">
        <f>25.9298 * CHOOSE(CONTROL!$C$15, $E$9, 100%, $G$9) + CHOOSE(CONTROL!$C$38, 0.0369, 0)</f>
        <v>25.966699999999999</v>
      </c>
      <c r="I307" s="10">
        <f>25.9314 * CHOOSE(CONTROL!$C$15, $E$9, 100%, $G$9) + CHOOSE(CONTROL!$C$38, 0.0369, 0)</f>
        <v>25.968299999999999</v>
      </c>
      <c r="J307" s="26">
        <f>190.524</f>
        <v>190.524</v>
      </c>
    </row>
    <row r="308" spans="1:10" ht="15.75" x14ac:dyDescent="0.25">
      <c r="A308" s="14">
        <v>50678</v>
      </c>
      <c r="B308" s="10">
        <f>28.4949 * CHOOSE(CONTROL!$C$15, $E$9, 100%, $G$9) + CHOOSE(CONTROL!$C$38, 0.0278, 0)</f>
        <v>28.5227</v>
      </c>
      <c r="C308" s="10">
        <f>26.2082 * CHOOSE(CONTROL!$C$15, $E$9, 100%, $G$9) + CHOOSE(CONTROL!$C$38, 0.0369, 0)</f>
        <v>26.245100000000001</v>
      </c>
      <c r="D308" s="10">
        <f>26.2004 * CHOOSE(CONTROL!$C$15, $E$9, 100%, $G$9) + CHOOSE(CONTROL!$C$38, 0.0369, 0)</f>
        <v>26.237299999999998</v>
      </c>
      <c r="E308" s="28">
        <f>28.3386 * CHOOSE(CONTROL!$C$15, $E$9, 100%, $G$9) + CHOOSE(CONTROL!$C$38, 0.0369, 0)</f>
        <v>28.375499999999999</v>
      </c>
      <c r="F308" s="27">
        <f>28.3386 * CHOOSE(CONTROL!$C$15, $E$9, 100%, $G$9) + CHOOSE(CONTROL!$C$38, 0.0278, 0)</f>
        <v>28.366399999999999</v>
      </c>
      <c r="G308" s="10">
        <f>26.2066 * CHOOSE(CONTROL!$C$15, $E$9, 100%, $G$9) + CHOOSE(CONTROL!$C$38, 0.0369, 0)</f>
        <v>26.243500000000001</v>
      </c>
      <c r="H308" s="10">
        <f>26.2066 * CHOOSE(CONTROL!$C$15, $E$9, 100%, $G$9) + CHOOSE(CONTROL!$C$38, 0.0369, 0)</f>
        <v>26.243500000000001</v>
      </c>
      <c r="I308" s="10">
        <f>26.2082 * CHOOSE(CONTROL!$C$15, $E$9, 100%, $G$9) + CHOOSE(CONTROL!$C$38, 0.0369, 0)</f>
        <v>26.245100000000001</v>
      </c>
      <c r="J308" s="26">
        <f>184.1913</f>
        <v>184.19130000000001</v>
      </c>
    </row>
    <row r="309" spans="1:10" ht="15.75" x14ac:dyDescent="0.25">
      <c r="A309" s="14">
        <v>50709</v>
      </c>
      <c r="B309" s="10">
        <f>28.7267 * CHOOSE(CONTROL!$C$15, $E$9, 100%, $G$9) + CHOOSE(CONTROL!$C$38, 0.0256, 0)</f>
        <v>28.752300000000002</v>
      </c>
      <c r="C309" s="10">
        <f>26.44 * CHOOSE(CONTROL!$C$15, $E$9, 100%, $G$9) + CHOOSE(CONTROL!$C$38, 0.0347, 0)</f>
        <v>26.474700000000002</v>
      </c>
      <c r="D309" s="10">
        <f>26.4322 * CHOOSE(CONTROL!$C$15, $E$9, 100%, $G$9) + CHOOSE(CONTROL!$C$38, 0.0347, 0)</f>
        <v>26.466900000000003</v>
      </c>
      <c r="E309" s="28">
        <f>28.5704 * CHOOSE(CONTROL!$C$15, $E$9, 100%, $G$9) + CHOOSE(CONTROL!$C$38, 0.0347, 0)</f>
        <v>28.6051</v>
      </c>
      <c r="F309" s="27">
        <f>28.5704 * CHOOSE(CONTROL!$C$15, $E$9, 100%, $G$9) + CHOOSE(CONTROL!$C$38, 0.0256, 0)</f>
        <v>28.596</v>
      </c>
      <c r="G309" s="10">
        <f>26.4384 * CHOOSE(CONTROL!$C$15, $E$9, 100%, $G$9) + CHOOSE(CONTROL!$C$38, 0.0347, 0)</f>
        <v>26.473100000000002</v>
      </c>
      <c r="H309" s="10">
        <f>26.4384 * CHOOSE(CONTROL!$C$15, $E$9, 100%, $G$9) + CHOOSE(CONTROL!$C$38, 0.0347, 0)</f>
        <v>26.473100000000002</v>
      </c>
      <c r="I309" s="10">
        <f>26.44 * CHOOSE(CONTROL!$C$15, $E$9, 100%, $G$9) + CHOOSE(CONTROL!$C$38, 0.0347, 0)</f>
        <v>26.474700000000002</v>
      </c>
      <c r="J309" s="26">
        <f>177.8218</f>
        <v>177.8218</v>
      </c>
    </row>
    <row r="310" spans="1:10" ht="15.75" x14ac:dyDescent="0.25">
      <c r="A310" s="14">
        <v>50739</v>
      </c>
      <c r="B310" s="10">
        <f>28.9201 * CHOOSE(CONTROL!$C$15, $E$9, 100%, $G$9) + CHOOSE(CONTROL!$C$38, 0.0256, 0)</f>
        <v>28.945700000000002</v>
      </c>
      <c r="C310" s="10">
        <f>26.6334 * CHOOSE(CONTROL!$C$15, $E$9, 100%, $G$9) + CHOOSE(CONTROL!$C$38, 0.0347, 0)</f>
        <v>26.668100000000003</v>
      </c>
      <c r="D310" s="10">
        <f>26.6256 * CHOOSE(CONTROL!$C$15, $E$9, 100%, $G$9) + CHOOSE(CONTROL!$C$38, 0.0347, 0)</f>
        <v>26.660299999999999</v>
      </c>
      <c r="E310" s="28">
        <f>28.7639 * CHOOSE(CONTROL!$C$15, $E$9, 100%, $G$9) + CHOOSE(CONTROL!$C$38, 0.0347, 0)</f>
        <v>28.7986</v>
      </c>
      <c r="F310" s="27">
        <f>28.7639 * CHOOSE(CONTROL!$C$15, $E$9, 100%, $G$9) + CHOOSE(CONTROL!$C$38, 0.0256, 0)</f>
        <v>28.7895</v>
      </c>
      <c r="G310" s="10">
        <f>26.6319 * CHOOSE(CONTROL!$C$15, $E$9, 100%, $G$9) + CHOOSE(CONTROL!$C$38, 0.0347, 0)</f>
        <v>26.666600000000003</v>
      </c>
      <c r="H310" s="10">
        <f>26.6319 * CHOOSE(CONTROL!$C$15, $E$9, 100%, $G$9) + CHOOSE(CONTROL!$C$38, 0.0347, 0)</f>
        <v>26.666600000000003</v>
      </c>
      <c r="I310" s="10">
        <f>26.6334 * CHOOSE(CONTROL!$C$15, $E$9, 100%, $G$9) + CHOOSE(CONTROL!$C$38, 0.0347, 0)</f>
        <v>26.668100000000003</v>
      </c>
      <c r="J310" s="26">
        <f>176.5547</f>
        <v>176.5547</v>
      </c>
    </row>
    <row r="311" spans="1:10" ht="15.75" x14ac:dyDescent="0.25">
      <c r="A311" s="14">
        <v>50770</v>
      </c>
      <c r="B311" s="10">
        <f>29.5162 * CHOOSE(CONTROL!$C$15, $E$9, 100%, $G$9) + CHOOSE(CONTROL!$C$38, 0.0256, 0)</f>
        <v>29.541800000000002</v>
      </c>
      <c r="C311" s="10">
        <f>27.2295 * CHOOSE(CONTROL!$C$15, $E$9, 100%, $G$9) + CHOOSE(CONTROL!$C$38, 0.0347, 0)</f>
        <v>27.264200000000002</v>
      </c>
      <c r="D311" s="10">
        <f>27.2217 * CHOOSE(CONTROL!$C$15, $E$9, 100%, $G$9) + CHOOSE(CONTROL!$C$38, 0.0347, 0)</f>
        <v>27.256399999999999</v>
      </c>
      <c r="E311" s="28">
        <f>29.36 * CHOOSE(CONTROL!$C$15, $E$9, 100%, $G$9) + CHOOSE(CONTROL!$C$38, 0.0347, 0)</f>
        <v>29.3947</v>
      </c>
      <c r="F311" s="27">
        <f>29.36 * CHOOSE(CONTROL!$C$15, $E$9, 100%, $G$9) + CHOOSE(CONTROL!$C$38, 0.0256, 0)</f>
        <v>29.3856</v>
      </c>
      <c r="G311" s="10">
        <f>27.2279 * CHOOSE(CONTROL!$C$15, $E$9, 100%, $G$9) + CHOOSE(CONTROL!$C$38, 0.0347, 0)</f>
        <v>27.262600000000003</v>
      </c>
      <c r="H311" s="10">
        <f>27.2279 * CHOOSE(CONTROL!$C$15, $E$9, 100%, $G$9) + CHOOSE(CONTROL!$C$38, 0.0347, 0)</f>
        <v>27.262600000000003</v>
      </c>
      <c r="I311" s="10">
        <f>27.2295 * CHOOSE(CONTROL!$C$15, $E$9, 100%, $G$9) + CHOOSE(CONTROL!$C$38, 0.0347, 0)</f>
        <v>27.264200000000002</v>
      </c>
      <c r="J311" s="26">
        <f>171.3155</f>
        <v>171.31549999999999</v>
      </c>
    </row>
    <row r="312" spans="1:10" ht="15.75" x14ac:dyDescent="0.25">
      <c r="A312" s="14">
        <v>50801</v>
      </c>
      <c r="B312" s="10">
        <f>30.4877 * CHOOSE(CONTROL!$C$15, $E$9, 100%, $G$9) + CHOOSE(CONTROL!$C$38, 0.0256, 0)</f>
        <v>30.513300000000001</v>
      </c>
      <c r="C312" s="10">
        <f>28.1633 * CHOOSE(CONTROL!$C$15, $E$9, 100%, $G$9) + CHOOSE(CONTROL!$C$38, 0.0347, 0)</f>
        <v>28.198</v>
      </c>
      <c r="D312" s="10">
        <f>28.1555 * CHOOSE(CONTROL!$C$15, $E$9, 100%, $G$9) + CHOOSE(CONTROL!$C$38, 0.0347, 0)</f>
        <v>28.190200000000001</v>
      </c>
      <c r="E312" s="28">
        <f>30.3314 * CHOOSE(CONTROL!$C$15, $E$9, 100%, $G$9) + CHOOSE(CONTROL!$C$38, 0.0347, 0)</f>
        <v>30.366099999999999</v>
      </c>
      <c r="F312" s="27">
        <f>30.3314 * CHOOSE(CONTROL!$C$15, $E$9, 100%, $G$9) + CHOOSE(CONTROL!$C$38, 0.0256, 0)</f>
        <v>30.356999999999999</v>
      </c>
      <c r="G312" s="10">
        <f>28.1618 * CHOOSE(CONTROL!$C$15, $E$9, 100%, $G$9) + CHOOSE(CONTROL!$C$38, 0.0347, 0)</f>
        <v>28.1965</v>
      </c>
      <c r="H312" s="10">
        <f>28.1618 * CHOOSE(CONTROL!$C$15, $E$9, 100%, $G$9) + CHOOSE(CONTROL!$C$38, 0.0347, 0)</f>
        <v>28.1965</v>
      </c>
      <c r="I312" s="10">
        <f>28.1633 * CHOOSE(CONTROL!$C$15, $E$9, 100%, $G$9) + CHOOSE(CONTROL!$C$38, 0.0347, 0)</f>
        <v>28.198</v>
      </c>
      <c r="J312" s="26">
        <f>170.1679</f>
        <v>170.1679</v>
      </c>
    </row>
    <row r="313" spans="1:10" ht="15.75" x14ac:dyDescent="0.25">
      <c r="A313" s="14">
        <v>50829</v>
      </c>
      <c r="B313" s="10">
        <f>30.7084 * CHOOSE(CONTROL!$C$15, $E$9, 100%, $G$9) + CHOOSE(CONTROL!$C$38, 0.0256, 0)</f>
        <v>30.734000000000002</v>
      </c>
      <c r="C313" s="10">
        <f>28.3841 * CHOOSE(CONTROL!$C$15, $E$9, 100%, $G$9) + CHOOSE(CONTROL!$C$38, 0.0347, 0)</f>
        <v>28.418800000000001</v>
      </c>
      <c r="D313" s="10">
        <f>28.3763 * CHOOSE(CONTROL!$C$15, $E$9, 100%, $G$9) + CHOOSE(CONTROL!$C$38, 0.0347, 0)</f>
        <v>28.411000000000001</v>
      </c>
      <c r="E313" s="28">
        <f>30.5522 * CHOOSE(CONTROL!$C$15, $E$9, 100%, $G$9) + CHOOSE(CONTROL!$C$38, 0.0347, 0)</f>
        <v>30.5869</v>
      </c>
      <c r="F313" s="27">
        <f>30.5522 * CHOOSE(CONTROL!$C$15, $E$9, 100%, $G$9) + CHOOSE(CONTROL!$C$38, 0.0256, 0)</f>
        <v>30.5778</v>
      </c>
      <c r="G313" s="10">
        <f>28.3825 * CHOOSE(CONTROL!$C$15, $E$9, 100%, $G$9) + CHOOSE(CONTROL!$C$38, 0.0347, 0)</f>
        <v>28.417200000000001</v>
      </c>
      <c r="H313" s="10">
        <f>28.3825 * CHOOSE(CONTROL!$C$15, $E$9, 100%, $G$9) + CHOOSE(CONTROL!$C$38, 0.0347, 0)</f>
        <v>28.417200000000001</v>
      </c>
      <c r="I313" s="10">
        <f>28.3841 * CHOOSE(CONTROL!$C$15, $E$9, 100%, $G$9) + CHOOSE(CONTROL!$C$38, 0.0347, 0)</f>
        <v>28.418800000000001</v>
      </c>
      <c r="J313" s="26">
        <f>169.6949</f>
        <v>169.69489999999999</v>
      </c>
    </row>
    <row r="314" spans="1:10" ht="15.75" x14ac:dyDescent="0.25">
      <c r="A314" s="14">
        <v>50860</v>
      </c>
      <c r="B314" s="10">
        <f>30.1974 * CHOOSE(CONTROL!$C$15, $E$9, 100%, $G$9) + CHOOSE(CONTROL!$C$38, 0.0256, 0)</f>
        <v>30.222999999999999</v>
      </c>
      <c r="C314" s="10">
        <f>27.873 * CHOOSE(CONTROL!$C$15, $E$9, 100%, $G$9) + CHOOSE(CONTROL!$C$38, 0.0347, 0)</f>
        <v>27.907700000000002</v>
      </c>
      <c r="D314" s="10">
        <f>27.8652 * CHOOSE(CONTROL!$C$15, $E$9, 100%, $G$9) + CHOOSE(CONTROL!$C$38, 0.0347, 0)</f>
        <v>27.899900000000002</v>
      </c>
      <c r="E314" s="28">
        <f>30.0411 * CHOOSE(CONTROL!$C$15, $E$9, 100%, $G$9) + CHOOSE(CONTROL!$C$38, 0.0347, 0)</f>
        <v>30.075800000000001</v>
      </c>
      <c r="F314" s="27">
        <f>30.0411 * CHOOSE(CONTROL!$C$15, $E$9, 100%, $G$9) + CHOOSE(CONTROL!$C$38, 0.0256, 0)</f>
        <v>30.066700000000001</v>
      </c>
      <c r="G314" s="10">
        <f>27.8715 * CHOOSE(CONTROL!$C$15, $E$9, 100%, $G$9) + CHOOSE(CONTROL!$C$38, 0.0347, 0)</f>
        <v>27.906200000000002</v>
      </c>
      <c r="H314" s="10">
        <f>27.8715 * CHOOSE(CONTROL!$C$15, $E$9, 100%, $G$9) + CHOOSE(CONTROL!$C$38, 0.0347, 0)</f>
        <v>27.906200000000002</v>
      </c>
      <c r="I314" s="10">
        <f>27.873 * CHOOSE(CONTROL!$C$15, $E$9, 100%, $G$9) + CHOOSE(CONTROL!$C$38, 0.0347, 0)</f>
        <v>27.907700000000002</v>
      </c>
      <c r="J314" s="26">
        <f>178.6388</f>
        <v>178.6388</v>
      </c>
    </row>
    <row r="315" spans="1:10" ht="15.75" x14ac:dyDescent="0.25">
      <c r="A315" s="14">
        <v>50890</v>
      </c>
      <c r="B315" s="10">
        <f>29.7022 * CHOOSE(CONTROL!$C$15, $E$9, 100%, $G$9) + CHOOSE(CONTROL!$C$38, 0.0256, 0)</f>
        <v>29.727800000000002</v>
      </c>
      <c r="C315" s="10">
        <f>27.3779 * CHOOSE(CONTROL!$C$15, $E$9, 100%, $G$9) + CHOOSE(CONTROL!$C$38, 0.0347, 0)</f>
        <v>27.412600000000001</v>
      </c>
      <c r="D315" s="10">
        <f>27.3701 * CHOOSE(CONTROL!$C$15, $E$9, 100%, $G$9) + CHOOSE(CONTROL!$C$38, 0.0347, 0)</f>
        <v>27.404800000000002</v>
      </c>
      <c r="E315" s="28">
        <f>29.546 * CHOOSE(CONTROL!$C$15, $E$9, 100%, $G$9) + CHOOSE(CONTROL!$C$38, 0.0347, 0)</f>
        <v>29.5807</v>
      </c>
      <c r="F315" s="27">
        <f>29.546 * CHOOSE(CONTROL!$C$15, $E$9, 100%, $G$9) + CHOOSE(CONTROL!$C$38, 0.0256, 0)</f>
        <v>29.5716</v>
      </c>
      <c r="G315" s="10">
        <f>27.3763 * CHOOSE(CONTROL!$C$15, $E$9, 100%, $G$9) + CHOOSE(CONTROL!$C$38, 0.0347, 0)</f>
        <v>27.411000000000001</v>
      </c>
      <c r="H315" s="10">
        <f>27.3763 * CHOOSE(CONTROL!$C$15, $E$9, 100%, $G$9) + CHOOSE(CONTROL!$C$38, 0.0347, 0)</f>
        <v>27.411000000000001</v>
      </c>
      <c r="I315" s="10">
        <f>27.3779 * CHOOSE(CONTROL!$C$15, $E$9, 100%, $G$9) + CHOOSE(CONTROL!$C$38, 0.0347, 0)</f>
        <v>27.412600000000001</v>
      </c>
      <c r="J315" s="26">
        <f>190.2369</f>
        <v>190.23689999999999</v>
      </c>
    </row>
    <row r="316" spans="1:10" ht="15.75" x14ac:dyDescent="0.25">
      <c r="A316" s="14">
        <v>50921</v>
      </c>
      <c r="B316" s="10">
        <f>29.1861 * CHOOSE(CONTROL!$C$15, $E$9, 100%, $G$9) + CHOOSE(CONTROL!$C$38, 0.0278, 0)</f>
        <v>29.213899999999999</v>
      </c>
      <c r="C316" s="10">
        <f>26.8618 * CHOOSE(CONTROL!$C$15, $E$9, 100%, $G$9) + CHOOSE(CONTROL!$C$38, 0.0369, 0)</f>
        <v>26.898699999999998</v>
      </c>
      <c r="D316" s="10">
        <f>26.8539 * CHOOSE(CONTROL!$C$15, $E$9, 100%, $G$9) + CHOOSE(CONTROL!$C$38, 0.0369, 0)</f>
        <v>26.890799999999999</v>
      </c>
      <c r="E316" s="28">
        <f>29.0298 * CHOOSE(CONTROL!$C$15, $E$9, 100%, $G$9) + CHOOSE(CONTROL!$C$38, 0.0369, 0)</f>
        <v>29.066700000000001</v>
      </c>
      <c r="F316" s="27">
        <f>29.0298 * CHOOSE(CONTROL!$C$15, $E$9, 100%, $G$9) + CHOOSE(CONTROL!$C$38, 0.0278, 0)</f>
        <v>29.057600000000001</v>
      </c>
      <c r="G316" s="10">
        <f>26.8602 * CHOOSE(CONTROL!$C$15, $E$9, 100%, $G$9) + CHOOSE(CONTROL!$C$38, 0.0369, 0)</f>
        <v>26.897099999999998</v>
      </c>
      <c r="H316" s="10">
        <f>26.8602 * CHOOSE(CONTROL!$C$15, $E$9, 100%, $G$9) + CHOOSE(CONTROL!$C$38, 0.0369, 0)</f>
        <v>26.897099999999998</v>
      </c>
      <c r="I316" s="10">
        <f>26.8618 * CHOOSE(CONTROL!$C$15, $E$9, 100%, $G$9) + CHOOSE(CONTROL!$C$38, 0.0369, 0)</f>
        <v>26.898699999999998</v>
      </c>
      <c r="J316" s="26">
        <f>196.6209</f>
        <v>196.62090000000001</v>
      </c>
    </row>
    <row r="317" spans="1:10" ht="15.75" x14ac:dyDescent="0.25">
      <c r="A317" s="14">
        <v>50951</v>
      </c>
      <c r="B317" s="10">
        <f>28.8243 * CHOOSE(CONTROL!$C$15, $E$9, 100%, $G$9) + CHOOSE(CONTROL!$C$38, 0.0278, 0)</f>
        <v>28.8521</v>
      </c>
      <c r="C317" s="10">
        <f>26.4999 * CHOOSE(CONTROL!$C$15, $E$9, 100%, $G$9) + CHOOSE(CONTROL!$C$38, 0.0369, 0)</f>
        <v>26.536799999999999</v>
      </c>
      <c r="D317" s="10">
        <f>26.4921 * CHOOSE(CONTROL!$C$15, $E$9, 100%, $G$9) + CHOOSE(CONTROL!$C$38, 0.0369, 0)</f>
        <v>26.529</v>
      </c>
      <c r="E317" s="28">
        <f>28.668 * CHOOSE(CONTROL!$C$15, $E$9, 100%, $G$9) + CHOOSE(CONTROL!$C$38, 0.0369, 0)</f>
        <v>28.704899999999999</v>
      </c>
      <c r="F317" s="27">
        <f>28.668 * CHOOSE(CONTROL!$C$15, $E$9, 100%, $G$9) + CHOOSE(CONTROL!$C$38, 0.0278, 0)</f>
        <v>28.695799999999998</v>
      </c>
      <c r="G317" s="10">
        <f>26.4984 * CHOOSE(CONTROL!$C$15, $E$9, 100%, $G$9) + CHOOSE(CONTROL!$C$38, 0.0369, 0)</f>
        <v>26.535299999999999</v>
      </c>
      <c r="H317" s="10">
        <f>26.4984 * CHOOSE(CONTROL!$C$15, $E$9, 100%, $G$9) + CHOOSE(CONTROL!$C$38, 0.0369, 0)</f>
        <v>26.535299999999999</v>
      </c>
      <c r="I317" s="10">
        <f>26.4999 * CHOOSE(CONTROL!$C$15, $E$9, 100%, $G$9) + CHOOSE(CONTROL!$C$38, 0.0369, 0)</f>
        <v>26.536799999999999</v>
      </c>
      <c r="J317" s="26">
        <f>199.454</f>
        <v>199.45400000000001</v>
      </c>
    </row>
    <row r="318" spans="1:10" ht="15.75" x14ac:dyDescent="0.25">
      <c r="A318" s="14">
        <v>50982</v>
      </c>
      <c r="B318" s="10">
        <f>28.6178 * CHOOSE(CONTROL!$C$15, $E$9, 100%, $G$9) + CHOOSE(CONTROL!$C$38, 0.0278, 0)</f>
        <v>28.645599999999998</v>
      </c>
      <c r="C318" s="10">
        <f>26.2934 * CHOOSE(CONTROL!$C$15, $E$9, 100%, $G$9) + CHOOSE(CONTROL!$C$38, 0.0369, 0)</f>
        <v>26.330299999999998</v>
      </c>
      <c r="D318" s="10">
        <f>26.2856 * CHOOSE(CONTROL!$C$15, $E$9, 100%, $G$9) + CHOOSE(CONTROL!$C$38, 0.0369, 0)</f>
        <v>26.322499999999998</v>
      </c>
      <c r="E318" s="28">
        <f>28.4615 * CHOOSE(CONTROL!$C$15, $E$9, 100%, $G$9) + CHOOSE(CONTROL!$C$38, 0.0369, 0)</f>
        <v>28.4984</v>
      </c>
      <c r="F318" s="27">
        <f>28.4615 * CHOOSE(CONTROL!$C$15, $E$9, 100%, $G$9) + CHOOSE(CONTROL!$C$38, 0.0278, 0)</f>
        <v>28.4893</v>
      </c>
      <c r="G318" s="10">
        <f>26.2919 * CHOOSE(CONTROL!$C$15, $E$9, 100%, $G$9) + CHOOSE(CONTROL!$C$38, 0.0369, 0)</f>
        <v>26.328799999999998</v>
      </c>
      <c r="H318" s="10">
        <f>26.2919 * CHOOSE(CONTROL!$C$15, $E$9, 100%, $G$9) + CHOOSE(CONTROL!$C$38, 0.0369, 0)</f>
        <v>26.328799999999998</v>
      </c>
      <c r="I318" s="10">
        <f>26.2934 * CHOOSE(CONTROL!$C$15, $E$9, 100%, $G$9) + CHOOSE(CONTROL!$C$38, 0.0369, 0)</f>
        <v>26.330299999999998</v>
      </c>
      <c r="J318" s="26">
        <f>198.5212</f>
        <v>198.52119999999999</v>
      </c>
    </row>
    <row r="319" spans="1:10" ht="15.75" x14ac:dyDescent="0.25">
      <c r="A319" s="14">
        <v>51013</v>
      </c>
      <c r="B319" s="10">
        <f>28.7197 * CHOOSE(CONTROL!$C$15, $E$9, 100%, $G$9) + CHOOSE(CONTROL!$C$38, 0.0278, 0)</f>
        <v>28.747499999999999</v>
      </c>
      <c r="C319" s="10">
        <f>26.3953 * CHOOSE(CONTROL!$C$15, $E$9, 100%, $G$9) + CHOOSE(CONTROL!$C$38, 0.0369, 0)</f>
        <v>26.432199999999998</v>
      </c>
      <c r="D319" s="10">
        <f>26.3875 * CHOOSE(CONTROL!$C$15, $E$9, 100%, $G$9) + CHOOSE(CONTROL!$C$38, 0.0369, 0)</f>
        <v>26.424399999999999</v>
      </c>
      <c r="E319" s="28">
        <f>28.5634 * CHOOSE(CONTROL!$C$15, $E$9, 100%, $G$9) + CHOOSE(CONTROL!$C$38, 0.0369, 0)</f>
        <v>28.600300000000001</v>
      </c>
      <c r="F319" s="27">
        <f>28.5634 * CHOOSE(CONTROL!$C$15, $E$9, 100%, $G$9) + CHOOSE(CONTROL!$C$38, 0.0278, 0)</f>
        <v>28.591200000000001</v>
      </c>
      <c r="G319" s="10">
        <f>26.3938 * CHOOSE(CONTROL!$C$15, $E$9, 100%, $G$9) + CHOOSE(CONTROL!$C$38, 0.0369, 0)</f>
        <v>26.430699999999998</v>
      </c>
      <c r="H319" s="10">
        <f>26.3938 * CHOOSE(CONTROL!$C$15, $E$9, 100%, $G$9) + CHOOSE(CONTROL!$C$38, 0.0369, 0)</f>
        <v>26.430699999999998</v>
      </c>
      <c r="I319" s="10">
        <f>26.3953 * CHOOSE(CONTROL!$C$15, $E$9, 100%, $G$9) + CHOOSE(CONTROL!$C$38, 0.0369, 0)</f>
        <v>26.432199999999998</v>
      </c>
      <c r="J319" s="26">
        <f>193.8997</f>
        <v>193.8997</v>
      </c>
    </row>
    <row r="320" spans="1:10" ht="15.75" x14ac:dyDescent="0.25">
      <c r="A320" s="14">
        <v>51043</v>
      </c>
      <c r="B320" s="10">
        <f>28.9965 * CHOOSE(CONTROL!$C$15, $E$9, 100%, $G$9) + CHOOSE(CONTROL!$C$38, 0.0278, 0)</f>
        <v>29.0243</v>
      </c>
      <c r="C320" s="10">
        <f>26.6721 * CHOOSE(CONTROL!$C$15, $E$9, 100%, $G$9) + CHOOSE(CONTROL!$C$38, 0.0369, 0)</f>
        <v>26.709</v>
      </c>
      <c r="D320" s="10">
        <f>26.6643 * CHOOSE(CONTROL!$C$15, $E$9, 100%, $G$9) + CHOOSE(CONTROL!$C$38, 0.0369, 0)</f>
        <v>26.7012</v>
      </c>
      <c r="E320" s="28">
        <f>28.8402 * CHOOSE(CONTROL!$C$15, $E$9, 100%, $G$9) + CHOOSE(CONTROL!$C$38, 0.0369, 0)</f>
        <v>28.877099999999999</v>
      </c>
      <c r="F320" s="27">
        <f>28.8402 * CHOOSE(CONTROL!$C$15, $E$9, 100%, $G$9) + CHOOSE(CONTROL!$C$38, 0.0278, 0)</f>
        <v>28.867999999999999</v>
      </c>
      <c r="G320" s="10">
        <f>26.6706 * CHOOSE(CONTROL!$C$15, $E$9, 100%, $G$9) + CHOOSE(CONTROL!$C$38, 0.0369, 0)</f>
        <v>26.7075</v>
      </c>
      <c r="H320" s="10">
        <f>26.6706 * CHOOSE(CONTROL!$C$15, $E$9, 100%, $G$9) + CHOOSE(CONTROL!$C$38, 0.0369, 0)</f>
        <v>26.7075</v>
      </c>
      <c r="I320" s="10">
        <f>26.6721 * CHOOSE(CONTROL!$C$15, $E$9, 100%, $G$9) + CHOOSE(CONTROL!$C$38, 0.0369, 0)</f>
        <v>26.709</v>
      </c>
      <c r="J320" s="26">
        <f>187.4548</f>
        <v>187.45480000000001</v>
      </c>
    </row>
    <row r="321" spans="1:10" ht="15.75" x14ac:dyDescent="0.25">
      <c r="A321" s="14">
        <v>51074</v>
      </c>
      <c r="B321" s="10">
        <f>29.2283 * CHOOSE(CONTROL!$C$15, $E$9, 100%, $G$9) + CHOOSE(CONTROL!$C$38, 0.0256, 0)</f>
        <v>29.253900000000002</v>
      </c>
      <c r="C321" s="10">
        <f>26.904 * CHOOSE(CONTROL!$C$15, $E$9, 100%, $G$9) + CHOOSE(CONTROL!$C$38, 0.0347, 0)</f>
        <v>26.938700000000001</v>
      </c>
      <c r="D321" s="10">
        <f>26.8961 * CHOOSE(CONTROL!$C$15, $E$9, 100%, $G$9) + CHOOSE(CONTROL!$C$38, 0.0347, 0)</f>
        <v>26.930800000000001</v>
      </c>
      <c r="E321" s="28">
        <f>29.072 * CHOOSE(CONTROL!$C$15, $E$9, 100%, $G$9) + CHOOSE(CONTROL!$C$38, 0.0347, 0)</f>
        <v>29.1067</v>
      </c>
      <c r="F321" s="27">
        <f>29.072 * CHOOSE(CONTROL!$C$15, $E$9, 100%, $G$9) + CHOOSE(CONTROL!$C$38, 0.0256, 0)</f>
        <v>29.0976</v>
      </c>
      <c r="G321" s="10">
        <f>26.9024 * CHOOSE(CONTROL!$C$15, $E$9, 100%, $G$9) + CHOOSE(CONTROL!$C$38, 0.0347, 0)</f>
        <v>26.937100000000001</v>
      </c>
      <c r="H321" s="10">
        <f>26.9024 * CHOOSE(CONTROL!$C$15, $E$9, 100%, $G$9) + CHOOSE(CONTROL!$C$38, 0.0347, 0)</f>
        <v>26.937100000000001</v>
      </c>
      <c r="I321" s="10">
        <f>26.904 * CHOOSE(CONTROL!$C$15, $E$9, 100%, $G$9) + CHOOSE(CONTROL!$C$38, 0.0347, 0)</f>
        <v>26.938700000000001</v>
      </c>
      <c r="J321" s="26">
        <f>180.9724</f>
        <v>180.97239999999999</v>
      </c>
    </row>
    <row r="322" spans="1:10" ht="15.75" x14ac:dyDescent="0.25">
      <c r="A322" s="14">
        <v>51104</v>
      </c>
      <c r="B322" s="10">
        <f>29.4217 * CHOOSE(CONTROL!$C$15, $E$9, 100%, $G$9) + CHOOSE(CONTROL!$C$38, 0.0256, 0)</f>
        <v>29.447300000000002</v>
      </c>
      <c r="C322" s="10">
        <f>27.0974 * CHOOSE(CONTROL!$C$15, $E$9, 100%, $G$9) + CHOOSE(CONTROL!$C$38, 0.0347, 0)</f>
        <v>27.132100000000001</v>
      </c>
      <c r="D322" s="10">
        <f>27.0896 * CHOOSE(CONTROL!$C$15, $E$9, 100%, $G$9) + CHOOSE(CONTROL!$C$38, 0.0347, 0)</f>
        <v>27.124300000000002</v>
      </c>
      <c r="E322" s="28">
        <f>29.2655 * CHOOSE(CONTROL!$C$15, $E$9, 100%, $G$9) + CHOOSE(CONTROL!$C$38, 0.0347, 0)</f>
        <v>29.3002</v>
      </c>
      <c r="F322" s="27">
        <f>29.2655 * CHOOSE(CONTROL!$C$15, $E$9, 100%, $G$9) + CHOOSE(CONTROL!$C$38, 0.0256, 0)</f>
        <v>29.2911</v>
      </c>
      <c r="G322" s="10">
        <f>27.0958 * CHOOSE(CONTROL!$C$15, $E$9, 100%, $G$9) + CHOOSE(CONTROL!$C$38, 0.0347, 0)</f>
        <v>27.130500000000001</v>
      </c>
      <c r="H322" s="10">
        <f>27.0958 * CHOOSE(CONTROL!$C$15, $E$9, 100%, $G$9) + CHOOSE(CONTROL!$C$38, 0.0347, 0)</f>
        <v>27.130500000000001</v>
      </c>
      <c r="I322" s="10">
        <f>27.0974 * CHOOSE(CONTROL!$C$15, $E$9, 100%, $G$9) + CHOOSE(CONTROL!$C$38, 0.0347, 0)</f>
        <v>27.132100000000001</v>
      </c>
      <c r="J322" s="26">
        <f>179.683</f>
        <v>179.68299999999999</v>
      </c>
    </row>
    <row r="323" spans="1:10" ht="15.75" x14ac:dyDescent="0.25">
      <c r="A323" s="14">
        <v>51135</v>
      </c>
      <c r="B323" s="10">
        <f>30.0178 * CHOOSE(CONTROL!$C$15, $E$9, 100%, $G$9) + CHOOSE(CONTROL!$C$38, 0.0256, 0)</f>
        <v>30.043400000000002</v>
      </c>
      <c r="C323" s="10">
        <f>27.6935 * CHOOSE(CONTROL!$C$15, $E$9, 100%, $G$9) + CHOOSE(CONTROL!$C$38, 0.0347, 0)</f>
        <v>27.728200000000001</v>
      </c>
      <c r="D323" s="10">
        <f>27.6857 * CHOOSE(CONTROL!$C$15, $E$9, 100%, $G$9) + CHOOSE(CONTROL!$C$38, 0.0347, 0)</f>
        <v>27.720400000000001</v>
      </c>
      <c r="E323" s="28">
        <f>29.8616 * CHOOSE(CONTROL!$C$15, $E$9, 100%, $G$9) + CHOOSE(CONTROL!$C$38, 0.0347, 0)</f>
        <v>29.8963</v>
      </c>
      <c r="F323" s="27">
        <f>29.8616 * CHOOSE(CONTROL!$C$15, $E$9, 100%, $G$9) + CHOOSE(CONTROL!$C$38, 0.0256, 0)</f>
        <v>29.8872</v>
      </c>
      <c r="G323" s="10">
        <f>27.6919 * CHOOSE(CONTROL!$C$15, $E$9, 100%, $G$9) + CHOOSE(CONTROL!$C$38, 0.0347, 0)</f>
        <v>27.726600000000001</v>
      </c>
      <c r="H323" s="10">
        <f>27.6919 * CHOOSE(CONTROL!$C$15, $E$9, 100%, $G$9) + CHOOSE(CONTROL!$C$38, 0.0347, 0)</f>
        <v>27.726600000000001</v>
      </c>
      <c r="I323" s="10">
        <f>27.6935 * CHOOSE(CONTROL!$C$15, $E$9, 100%, $G$9) + CHOOSE(CONTROL!$C$38, 0.0347, 0)</f>
        <v>27.728200000000001</v>
      </c>
      <c r="J323" s="26">
        <f>174.3509</f>
        <v>174.3509</v>
      </c>
    </row>
    <row r="324" spans="1:10" ht="15.75" x14ac:dyDescent="0.25">
      <c r="A324" s="14">
        <v>51166</v>
      </c>
      <c r="B324" s="10">
        <f>30.9981 * CHOOSE(CONTROL!$C$15, $E$9, 100%, $G$9) + CHOOSE(CONTROL!$C$38, 0.0256, 0)</f>
        <v>31.023700000000002</v>
      </c>
      <c r="C324" s="10">
        <f>28.6355 * CHOOSE(CONTROL!$C$15, $E$9, 100%, $G$9) + CHOOSE(CONTROL!$C$38, 0.0347, 0)</f>
        <v>28.670200000000001</v>
      </c>
      <c r="D324" s="10">
        <f>28.6277 * CHOOSE(CONTROL!$C$15, $E$9, 100%, $G$9) + CHOOSE(CONTROL!$C$38, 0.0347, 0)</f>
        <v>28.662400000000002</v>
      </c>
      <c r="E324" s="28">
        <f>30.8419 * CHOOSE(CONTROL!$C$15, $E$9, 100%, $G$9) + CHOOSE(CONTROL!$C$38, 0.0347, 0)</f>
        <v>30.8766</v>
      </c>
      <c r="F324" s="27">
        <f>30.8419 * CHOOSE(CONTROL!$C$15, $E$9, 100%, $G$9) + CHOOSE(CONTROL!$C$38, 0.0256, 0)</f>
        <v>30.8675</v>
      </c>
      <c r="G324" s="10">
        <f>28.6339 * CHOOSE(CONTROL!$C$15, $E$9, 100%, $G$9) + CHOOSE(CONTROL!$C$38, 0.0347, 0)</f>
        <v>28.668600000000001</v>
      </c>
      <c r="H324" s="10">
        <f>28.6339 * CHOOSE(CONTROL!$C$15, $E$9, 100%, $G$9) + CHOOSE(CONTROL!$C$38, 0.0347, 0)</f>
        <v>28.668600000000001</v>
      </c>
      <c r="I324" s="10">
        <f>28.6355 * CHOOSE(CONTROL!$C$15, $E$9, 100%, $G$9) + CHOOSE(CONTROL!$C$38, 0.0347, 0)</f>
        <v>28.670200000000001</v>
      </c>
      <c r="J324" s="26">
        <f>173.183</f>
        <v>173.18299999999999</v>
      </c>
    </row>
    <row r="325" spans="1:10" ht="15.75" x14ac:dyDescent="0.25">
      <c r="A325" s="14">
        <v>51194</v>
      </c>
      <c r="B325" s="10">
        <f>31.2189 * CHOOSE(CONTROL!$C$15, $E$9, 100%, $G$9) + CHOOSE(CONTROL!$C$38, 0.0256, 0)</f>
        <v>31.244500000000002</v>
      </c>
      <c r="C325" s="10">
        <f>28.8562 * CHOOSE(CONTROL!$C$15, $E$9, 100%, $G$9) + CHOOSE(CONTROL!$C$38, 0.0347, 0)</f>
        <v>28.890900000000002</v>
      </c>
      <c r="D325" s="10">
        <f>28.8484 * CHOOSE(CONTROL!$C$15, $E$9, 100%, $G$9) + CHOOSE(CONTROL!$C$38, 0.0347, 0)</f>
        <v>28.883100000000002</v>
      </c>
      <c r="E325" s="28">
        <f>31.0626 * CHOOSE(CONTROL!$C$15, $E$9, 100%, $G$9) + CHOOSE(CONTROL!$C$38, 0.0347, 0)</f>
        <v>31.097300000000001</v>
      </c>
      <c r="F325" s="27">
        <f>31.0626 * CHOOSE(CONTROL!$C$15, $E$9, 100%, $G$9) + CHOOSE(CONTROL!$C$38, 0.0256, 0)</f>
        <v>31.088200000000001</v>
      </c>
      <c r="G325" s="10">
        <f>28.8547 * CHOOSE(CONTROL!$C$15, $E$9, 100%, $G$9) + CHOOSE(CONTROL!$C$38, 0.0347, 0)</f>
        <v>28.889400000000002</v>
      </c>
      <c r="H325" s="10">
        <f>28.8547 * CHOOSE(CONTROL!$C$15, $E$9, 100%, $G$9) + CHOOSE(CONTROL!$C$38, 0.0347, 0)</f>
        <v>28.889400000000002</v>
      </c>
      <c r="I325" s="10">
        <f>28.8562 * CHOOSE(CONTROL!$C$15, $E$9, 100%, $G$9) + CHOOSE(CONTROL!$C$38, 0.0347, 0)</f>
        <v>28.890900000000002</v>
      </c>
      <c r="J325" s="26">
        <f>172.7016</f>
        <v>172.70160000000001</v>
      </c>
    </row>
    <row r="326" spans="1:10" ht="15.75" x14ac:dyDescent="0.25">
      <c r="A326" s="14">
        <v>51226</v>
      </c>
      <c r="B326" s="10">
        <f>30.7079 * CHOOSE(CONTROL!$C$15, $E$9, 100%, $G$9) + CHOOSE(CONTROL!$C$38, 0.0256, 0)</f>
        <v>30.733499999999999</v>
      </c>
      <c r="C326" s="10">
        <f>28.3452 * CHOOSE(CONTROL!$C$15, $E$9, 100%, $G$9) + CHOOSE(CONTROL!$C$38, 0.0347, 0)</f>
        <v>28.379899999999999</v>
      </c>
      <c r="D326" s="10">
        <f>28.3374 * CHOOSE(CONTROL!$C$15, $E$9, 100%, $G$9) + CHOOSE(CONTROL!$C$38, 0.0347, 0)</f>
        <v>28.3721</v>
      </c>
      <c r="E326" s="28">
        <f>30.5516 * CHOOSE(CONTROL!$C$15, $E$9, 100%, $G$9) + CHOOSE(CONTROL!$C$38, 0.0347, 0)</f>
        <v>30.586300000000001</v>
      </c>
      <c r="F326" s="27">
        <f>30.5516 * CHOOSE(CONTROL!$C$15, $E$9, 100%, $G$9) + CHOOSE(CONTROL!$C$38, 0.0256, 0)</f>
        <v>30.577200000000001</v>
      </c>
      <c r="G326" s="10">
        <f>28.3436 * CHOOSE(CONTROL!$C$15, $E$9, 100%, $G$9) + CHOOSE(CONTROL!$C$38, 0.0347, 0)</f>
        <v>28.378299999999999</v>
      </c>
      <c r="H326" s="10">
        <f>28.3436 * CHOOSE(CONTROL!$C$15, $E$9, 100%, $G$9) + CHOOSE(CONTROL!$C$38, 0.0347, 0)</f>
        <v>28.378299999999999</v>
      </c>
      <c r="I326" s="10">
        <f>28.3452 * CHOOSE(CONTROL!$C$15, $E$9, 100%, $G$9) + CHOOSE(CONTROL!$C$38, 0.0347, 0)</f>
        <v>28.379899999999999</v>
      </c>
      <c r="J326" s="26">
        <f>181.804</f>
        <v>181.804</v>
      </c>
    </row>
    <row r="327" spans="1:10" ht="15.75" x14ac:dyDescent="0.25">
      <c r="A327" s="14">
        <v>51256</v>
      </c>
      <c r="B327" s="10">
        <f>30.2127 * CHOOSE(CONTROL!$C$15, $E$9, 100%, $G$9) + CHOOSE(CONTROL!$C$38, 0.0256, 0)</f>
        <v>30.238300000000002</v>
      </c>
      <c r="C327" s="10">
        <f>27.85 * CHOOSE(CONTROL!$C$15, $E$9, 100%, $G$9) + CHOOSE(CONTROL!$C$38, 0.0347, 0)</f>
        <v>27.884700000000002</v>
      </c>
      <c r="D327" s="10">
        <f>27.8422 * CHOOSE(CONTROL!$C$15, $E$9, 100%, $G$9) + CHOOSE(CONTROL!$C$38, 0.0347, 0)</f>
        <v>27.876899999999999</v>
      </c>
      <c r="E327" s="28">
        <f>30.0564 * CHOOSE(CONTROL!$C$15, $E$9, 100%, $G$9) + CHOOSE(CONTROL!$C$38, 0.0347, 0)</f>
        <v>30.091100000000001</v>
      </c>
      <c r="F327" s="27">
        <f>30.0564 * CHOOSE(CONTROL!$C$15, $E$9, 100%, $G$9) + CHOOSE(CONTROL!$C$38, 0.0256, 0)</f>
        <v>30.082000000000001</v>
      </c>
      <c r="G327" s="10">
        <f>27.8485 * CHOOSE(CONTROL!$C$15, $E$9, 100%, $G$9) + CHOOSE(CONTROL!$C$38, 0.0347, 0)</f>
        <v>27.883200000000002</v>
      </c>
      <c r="H327" s="10">
        <f>27.8485 * CHOOSE(CONTROL!$C$15, $E$9, 100%, $G$9) + CHOOSE(CONTROL!$C$38, 0.0347, 0)</f>
        <v>27.883200000000002</v>
      </c>
      <c r="I327" s="10">
        <f>27.85 * CHOOSE(CONTROL!$C$15, $E$9, 100%, $G$9) + CHOOSE(CONTROL!$C$38, 0.0347, 0)</f>
        <v>27.884700000000002</v>
      </c>
      <c r="J327" s="26">
        <f>193.6076</f>
        <v>193.60759999999999</v>
      </c>
    </row>
    <row r="328" spans="1:10" ht="15.75" x14ac:dyDescent="0.25">
      <c r="A328" s="14">
        <v>51287</v>
      </c>
      <c r="B328" s="10">
        <f>29.6966 * CHOOSE(CONTROL!$C$15, $E$9, 100%, $G$9) + CHOOSE(CONTROL!$C$38, 0.0278, 0)</f>
        <v>29.724399999999999</v>
      </c>
      <c r="C328" s="10">
        <f>27.3339 * CHOOSE(CONTROL!$C$15, $E$9, 100%, $G$9) + CHOOSE(CONTROL!$C$38, 0.0369, 0)</f>
        <v>27.370799999999999</v>
      </c>
      <c r="D328" s="10">
        <f>27.3261 * CHOOSE(CONTROL!$C$15, $E$9, 100%, $G$9) + CHOOSE(CONTROL!$C$38, 0.0369, 0)</f>
        <v>27.363</v>
      </c>
      <c r="E328" s="28">
        <f>29.5403 * CHOOSE(CONTROL!$C$15, $E$9, 100%, $G$9) + CHOOSE(CONTROL!$C$38, 0.0369, 0)</f>
        <v>29.577199999999998</v>
      </c>
      <c r="F328" s="27">
        <f>29.5403 * CHOOSE(CONTROL!$C$15, $E$9, 100%, $G$9) + CHOOSE(CONTROL!$C$38, 0.0278, 0)</f>
        <v>29.568099999999998</v>
      </c>
      <c r="G328" s="10">
        <f>27.3324 * CHOOSE(CONTROL!$C$15, $E$9, 100%, $G$9) + CHOOSE(CONTROL!$C$38, 0.0369, 0)</f>
        <v>27.369299999999999</v>
      </c>
      <c r="H328" s="10">
        <f>27.3324 * CHOOSE(CONTROL!$C$15, $E$9, 100%, $G$9) + CHOOSE(CONTROL!$C$38, 0.0369, 0)</f>
        <v>27.369299999999999</v>
      </c>
      <c r="I328" s="10">
        <f>27.3339 * CHOOSE(CONTROL!$C$15, $E$9, 100%, $G$9) + CHOOSE(CONTROL!$C$38, 0.0369, 0)</f>
        <v>27.370799999999999</v>
      </c>
      <c r="J328" s="26">
        <f>200.1046</f>
        <v>200.1046</v>
      </c>
    </row>
    <row r="329" spans="1:10" ht="15.75" x14ac:dyDescent="0.25">
      <c r="A329" s="14">
        <v>51317</v>
      </c>
      <c r="B329" s="10">
        <f>29.3347 * CHOOSE(CONTROL!$C$15, $E$9, 100%, $G$9) + CHOOSE(CONTROL!$C$38, 0.0278, 0)</f>
        <v>29.362500000000001</v>
      </c>
      <c r="C329" s="10">
        <f>26.9721 * CHOOSE(CONTROL!$C$15, $E$9, 100%, $G$9) + CHOOSE(CONTROL!$C$38, 0.0369, 0)</f>
        <v>27.009</v>
      </c>
      <c r="D329" s="10">
        <f>26.9643 * CHOOSE(CONTROL!$C$15, $E$9, 100%, $G$9) + CHOOSE(CONTROL!$C$38, 0.0369, 0)</f>
        <v>27.001200000000001</v>
      </c>
      <c r="E329" s="28">
        <f>29.1785 * CHOOSE(CONTROL!$C$15, $E$9, 100%, $G$9) + CHOOSE(CONTROL!$C$38, 0.0369, 0)</f>
        <v>29.215399999999999</v>
      </c>
      <c r="F329" s="27">
        <f>29.1785 * CHOOSE(CONTROL!$C$15, $E$9, 100%, $G$9) + CHOOSE(CONTROL!$C$38, 0.0278, 0)</f>
        <v>29.206299999999999</v>
      </c>
      <c r="G329" s="10">
        <f>26.9705 * CHOOSE(CONTROL!$C$15, $E$9, 100%, $G$9) + CHOOSE(CONTROL!$C$38, 0.0369, 0)</f>
        <v>27.007400000000001</v>
      </c>
      <c r="H329" s="10">
        <f>26.9705 * CHOOSE(CONTROL!$C$15, $E$9, 100%, $G$9) + CHOOSE(CONTROL!$C$38, 0.0369, 0)</f>
        <v>27.007400000000001</v>
      </c>
      <c r="I329" s="10">
        <f>26.9721 * CHOOSE(CONTROL!$C$15, $E$9, 100%, $G$9) + CHOOSE(CONTROL!$C$38, 0.0369, 0)</f>
        <v>27.009</v>
      </c>
      <c r="J329" s="26">
        <f>202.9879</f>
        <v>202.9879</v>
      </c>
    </row>
    <row r="330" spans="1:10" ht="15.75" x14ac:dyDescent="0.25">
      <c r="A330" s="14">
        <v>51348</v>
      </c>
      <c r="B330" s="10">
        <f>29.1282 * CHOOSE(CONTROL!$C$15, $E$9, 100%, $G$9) + CHOOSE(CONTROL!$C$38, 0.0278, 0)</f>
        <v>29.155999999999999</v>
      </c>
      <c r="C330" s="10">
        <f>26.7656 * CHOOSE(CONTROL!$C$15, $E$9, 100%, $G$9) + CHOOSE(CONTROL!$C$38, 0.0369, 0)</f>
        <v>26.802499999999998</v>
      </c>
      <c r="D330" s="10">
        <f>26.7578 * CHOOSE(CONTROL!$C$15, $E$9, 100%, $G$9) + CHOOSE(CONTROL!$C$38, 0.0369, 0)</f>
        <v>26.794699999999999</v>
      </c>
      <c r="E330" s="28">
        <f>28.972 * CHOOSE(CONTROL!$C$15, $E$9, 100%, $G$9) + CHOOSE(CONTROL!$C$38, 0.0369, 0)</f>
        <v>29.008900000000001</v>
      </c>
      <c r="F330" s="27">
        <f>28.972 * CHOOSE(CONTROL!$C$15, $E$9, 100%, $G$9) + CHOOSE(CONTROL!$C$38, 0.0278, 0)</f>
        <v>28.9998</v>
      </c>
      <c r="G330" s="10">
        <f>26.764 * CHOOSE(CONTROL!$C$15, $E$9, 100%, $G$9) + CHOOSE(CONTROL!$C$38, 0.0369, 0)</f>
        <v>26.800899999999999</v>
      </c>
      <c r="H330" s="10">
        <f>26.764 * CHOOSE(CONTROL!$C$15, $E$9, 100%, $G$9) + CHOOSE(CONTROL!$C$38, 0.0369, 0)</f>
        <v>26.800899999999999</v>
      </c>
      <c r="I330" s="10">
        <f>26.7656 * CHOOSE(CONTROL!$C$15, $E$9, 100%, $G$9) + CHOOSE(CONTROL!$C$38, 0.0369, 0)</f>
        <v>26.802499999999998</v>
      </c>
      <c r="J330" s="26">
        <f>202.0386</f>
        <v>202.0386</v>
      </c>
    </row>
    <row r="331" spans="1:10" ht="15.75" x14ac:dyDescent="0.25">
      <c r="A331" s="14">
        <v>51379</v>
      </c>
      <c r="B331" s="10">
        <f>29.2301 * CHOOSE(CONTROL!$C$15, $E$9, 100%, $G$9) + CHOOSE(CONTROL!$C$38, 0.0278, 0)</f>
        <v>29.257899999999999</v>
      </c>
      <c r="C331" s="10">
        <f>26.8675 * CHOOSE(CONTROL!$C$15, $E$9, 100%, $G$9) + CHOOSE(CONTROL!$C$38, 0.0369, 0)</f>
        <v>26.904399999999999</v>
      </c>
      <c r="D331" s="10">
        <f>26.8597 * CHOOSE(CONTROL!$C$15, $E$9, 100%, $G$9) + CHOOSE(CONTROL!$C$38, 0.0369, 0)</f>
        <v>26.896599999999999</v>
      </c>
      <c r="E331" s="28">
        <f>29.0739 * CHOOSE(CONTROL!$C$15, $E$9, 100%, $G$9) + CHOOSE(CONTROL!$C$38, 0.0369, 0)</f>
        <v>29.110799999999998</v>
      </c>
      <c r="F331" s="27">
        <f>29.0739 * CHOOSE(CONTROL!$C$15, $E$9, 100%, $G$9) + CHOOSE(CONTROL!$C$38, 0.0278, 0)</f>
        <v>29.101699999999997</v>
      </c>
      <c r="G331" s="10">
        <f>26.8659 * CHOOSE(CONTROL!$C$15, $E$9, 100%, $G$9) + CHOOSE(CONTROL!$C$38, 0.0369, 0)</f>
        <v>26.902799999999999</v>
      </c>
      <c r="H331" s="10">
        <f>26.8659 * CHOOSE(CONTROL!$C$15, $E$9, 100%, $G$9) + CHOOSE(CONTROL!$C$38, 0.0369, 0)</f>
        <v>26.902799999999999</v>
      </c>
      <c r="I331" s="10">
        <f>26.8675 * CHOOSE(CONTROL!$C$15, $E$9, 100%, $G$9) + CHOOSE(CONTROL!$C$38, 0.0369, 0)</f>
        <v>26.904399999999999</v>
      </c>
      <c r="J331" s="26">
        <f>197.3352</f>
        <v>197.33519999999999</v>
      </c>
    </row>
    <row r="332" spans="1:10" ht="15.75" x14ac:dyDescent="0.25">
      <c r="A332" s="14">
        <v>51409</v>
      </c>
      <c r="B332" s="10">
        <f>29.5069 * CHOOSE(CONTROL!$C$15, $E$9, 100%, $G$9) + CHOOSE(CONTROL!$C$38, 0.0278, 0)</f>
        <v>29.534700000000001</v>
      </c>
      <c r="C332" s="10">
        <f>27.1443 * CHOOSE(CONTROL!$C$15, $E$9, 100%, $G$9) + CHOOSE(CONTROL!$C$38, 0.0369, 0)</f>
        <v>27.1812</v>
      </c>
      <c r="D332" s="10">
        <f>27.1365 * CHOOSE(CONTROL!$C$15, $E$9, 100%, $G$9) + CHOOSE(CONTROL!$C$38, 0.0369, 0)</f>
        <v>27.173400000000001</v>
      </c>
      <c r="E332" s="28">
        <f>29.3507 * CHOOSE(CONTROL!$C$15, $E$9, 100%, $G$9) + CHOOSE(CONTROL!$C$38, 0.0369, 0)</f>
        <v>29.387599999999999</v>
      </c>
      <c r="F332" s="27">
        <f>29.3507 * CHOOSE(CONTROL!$C$15, $E$9, 100%, $G$9) + CHOOSE(CONTROL!$C$38, 0.0278, 0)</f>
        <v>29.378499999999999</v>
      </c>
      <c r="G332" s="10">
        <f>27.1427 * CHOOSE(CONTROL!$C$15, $E$9, 100%, $G$9) + CHOOSE(CONTROL!$C$38, 0.0369, 0)</f>
        <v>27.179600000000001</v>
      </c>
      <c r="H332" s="10">
        <f>27.1427 * CHOOSE(CONTROL!$C$15, $E$9, 100%, $G$9) + CHOOSE(CONTROL!$C$38, 0.0369, 0)</f>
        <v>27.179600000000001</v>
      </c>
      <c r="I332" s="10">
        <f>27.1443 * CHOOSE(CONTROL!$C$15, $E$9, 100%, $G$9) + CHOOSE(CONTROL!$C$38, 0.0369, 0)</f>
        <v>27.1812</v>
      </c>
      <c r="J332" s="26">
        <f>190.7762</f>
        <v>190.77619999999999</v>
      </c>
    </row>
    <row r="333" spans="1:10" ht="15.75" x14ac:dyDescent="0.25">
      <c r="A333" s="14">
        <v>51440</v>
      </c>
      <c r="B333" s="10">
        <f>29.7388 * CHOOSE(CONTROL!$C$15, $E$9, 100%, $G$9) + CHOOSE(CONTROL!$C$38, 0.0256, 0)</f>
        <v>29.764400000000002</v>
      </c>
      <c r="C333" s="10">
        <f>27.3761 * CHOOSE(CONTROL!$C$15, $E$9, 100%, $G$9) + CHOOSE(CONTROL!$C$38, 0.0347, 0)</f>
        <v>27.410800000000002</v>
      </c>
      <c r="D333" s="10">
        <f>27.3683 * CHOOSE(CONTROL!$C$15, $E$9, 100%, $G$9) + CHOOSE(CONTROL!$C$38, 0.0347, 0)</f>
        <v>27.403000000000002</v>
      </c>
      <c r="E333" s="28">
        <f>29.5825 * CHOOSE(CONTROL!$C$15, $E$9, 100%, $G$9) + CHOOSE(CONTROL!$C$38, 0.0347, 0)</f>
        <v>29.6172</v>
      </c>
      <c r="F333" s="27">
        <f>29.5825 * CHOOSE(CONTROL!$C$15, $E$9, 100%, $G$9) + CHOOSE(CONTROL!$C$38, 0.0256, 0)</f>
        <v>29.6081</v>
      </c>
      <c r="G333" s="10">
        <f>27.3746 * CHOOSE(CONTROL!$C$15, $E$9, 100%, $G$9) + CHOOSE(CONTROL!$C$38, 0.0347, 0)</f>
        <v>27.409300000000002</v>
      </c>
      <c r="H333" s="10">
        <f>27.3746 * CHOOSE(CONTROL!$C$15, $E$9, 100%, $G$9) + CHOOSE(CONTROL!$C$38, 0.0347, 0)</f>
        <v>27.409300000000002</v>
      </c>
      <c r="I333" s="10">
        <f>27.3761 * CHOOSE(CONTROL!$C$15, $E$9, 100%, $G$9) + CHOOSE(CONTROL!$C$38, 0.0347, 0)</f>
        <v>27.410800000000002</v>
      </c>
      <c r="J333" s="26">
        <f>184.1789</f>
        <v>184.1789</v>
      </c>
    </row>
    <row r="334" spans="1:10" ht="15.75" x14ac:dyDescent="0.25">
      <c r="A334" s="14">
        <v>51470</v>
      </c>
      <c r="B334" s="10">
        <f>29.9322 * CHOOSE(CONTROL!$C$15, $E$9, 100%, $G$9) + CHOOSE(CONTROL!$C$38, 0.0256, 0)</f>
        <v>29.957800000000002</v>
      </c>
      <c r="C334" s="10">
        <f>27.5696 * CHOOSE(CONTROL!$C$15, $E$9, 100%, $G$9) + CHOOSE(CONTROL!$C$38, 0.0347, 0)</f>
        <v>27.604300000000002</v>
      </c>
      <c r="D334" s="10">
        <f>27.5617 * CHOOSE(CONTROL!$C$15, $E$9, 100%, $G$9) + CHOOSE(CONTROL!$C$38, 0.0347, 0)</f>
        <v>27.596399999999999</v>
      </c>
      <c r="E334" s="28">
        <f>29.776 * CHOOSE(CONTROL!$C$15, $E$9, 100%, $G$9) + CHOOSE(CONTROL!$C$38, 0.0347, 0)</f>
        <v>29.810700000000001</v>
      </c>
      <c r="F334" s="27">
        <f>29.776 * CHOOSE(CONTROL!$C$15, $E$9, 100%, $G$9) + CHOOSE(CONTROL!$C$38, 0.0256, 0)</f>
        <v>29.801600000000001</v>
      </c>
      <c r="G334" s="10">
        <f>27.568 * CHOOSE(CONTROL!$C$15, $E$9, 100%, $G$9) + CHOOSE(CONTROL!$C$38, 0.0347, 0)</f>
        <v>27.602700000000002</v>
      </c>
      <c r="H334" s="10">
        <f>27.568 * CHOOSE(CONTROL!$C$15, $E$9, 100%, $G$9) + CHOOSE(CONTROL!$C$38, 0.0347, 0)</f>
        <v>27.602700000000002</v>
      </c>
      <c r="I334" s="10">
        <f>27.5696 * CHOOSE(CONTROL!$C$15, $E$9, 100%, $G$9) + CHOOSE(CONTROL!$C$38, 0.0347, 0)</f>
        <v>27.604300000000002</v>
      </c>
      <c r="J334" s="26">
        <f>182.8666</f>
        <v>182.86660000000001</v>
      </c>
    </row>
    <row r="335" spans="1:10" ht="15.75" x14ac:dyDescent="0.25">
      <c r="A335" s="14">
        <v>51501</v>
      </c>
      <c r="B335" s="10">
        <f>30.5283 * CHOOSE(CONTROL!$C$15, $E$9, 100%, $G$9) + CHOOSE(CONTROL!$C$38, 0.0256, 0)</f>
        <v>30.553900000000002</v>
      </c>
      <c r="C335" s="10">
        <f>28.1656 * CHOOSE(CONTROL!$C$15, $E$9, 100%, $G$9) + CHOOSE(CONTROL!$C$38, 0.0347, 0)</f>
        <v>28.200300000000002</v>
      </c>
      <c r="D335" s="10">
        <f>28.1578 * CHOOSE(CONTROL!$C$15, $E$9, 100%, $G$9) + CHOOSE(CONTROL!$C$38, 0.0347, 0)</f>
        <v>28.192500000000003</v>
      </c>
      <c r="E335" s="28">
        <f>30.372 * CHOOSE(CONTROL!$C$15, $E$9, 100%, $G$9) + CHOOSE(CONTROL!$C$38, 0.0347, 0)</f>
        <v>30.406700000000001</v>
      </c>
      <c r="F335" s="27">
        <f>30.372 * CHOOSE(CONTROL!$C$15, $E$9, 100%, $G$9) + CHOOSE(CONTROL!$C$38, 0.0256, 0)</f>
        <v>30.397600000000001</v>
      </c>
      <c r="G335" s="10">
        <f>28.1641 * CHOOSE(CONTROL!$C$15, $E$9, 100%, $G$9) + CHOOSE(CONTROL!$C$38, 0.0347, 0)</f>
        <v>28.198800000000002</v>
      </c>
      <c r="H335" s="10">
        <f>28.1641 * CHOOSE(CONTROL!$C$15, $E$9, 100%, $G$9) + CHOOSE(CONTROL!$C$38, 0.0347, 0)</f>
        <v>28.198800000000002</v>
      </c>
      <c r="I335" s="10">
        <f>28.1656 * CHOOSE(CONTROL!$C$15, $E$9, 100%, $G$9) + CHOOSE(CONTROL!$C$38, 0.0347, 0)</f>
        <v>28.200300000000002</v>
      </c>
      <c r="J335" s="26">
        <f>177.44</f>
        <v>177.44</v>
      </c>
    </row>
    <row r="336" spans="1:10" ht="15.75" x14ac:dyDescent="0.25">
      <c r="A336" s="14">
        <v>51532</v>
      </c>
      <c r="B336" s="10">
        <f>31.5176 * CHOOSE(CONTROL!$C$15, $E$9, 100%, $G$9) + CHOOSE(CONTROL!$C$38, 0.0256, 0)</f>
        <v>31.543200000000002</v>
      </c>
      <c r="C336" s="10">
        <f>29.116 * CHOOSE(CONTROL!$C$15, $E$9, 100%, $G$9) + CHOOSE(CONTROL!$C$38, 0.0347, 0)</f>
        <v>29.150700000000001</v>
      </c>
      <c r="D336" s="10">
        <f>29.1082 * CHOOSE(CONTROL!$C$15, $E$9, 100%, $G$9) + CHOOSE(CONTROL!$C$38, 0.0347, 0)</f>
        <v>29.142900000000001</v>
      </c>
      <c r="E336" s="28">
        <f>31.3614 * CHOOSE(CONTROL!$C$15, $E$9, 100%, $G$9) + CHOOSE(CONTROL!$C$38, 0.0347, 0)</f>
        <v>31.396100000000001</v>
      </c>
      <c r="F336" s="27">
        <f>31.3614 * CHOOSE(CONTROL!$C$15, $E$9, 100%, $G$9) + CHOOSE(CONTROL!$C$38, 0.0256, 0)</f>
        <v>31.387</v>
      </c>
      <c r="G336" s="10">
        <f>29.1144 * CHOOSE(CONTROL!$C$15, $E$9, 100%, $G$9) + CHOOSE(CONTROL!$C$38, 0.0347, 0)</f>
        <v>29.149100000000001</v>
      </c>
      <c r="H336" s="10">
        <f>29.1144 * CHOOSE(CONTROL!$C$15, $E$9, 100%, $G$9) + CHOOSE(CONTROL!$C$38, 0.0347, 0)</f>
        <v>29.149100000000001</v>
      </c>
      <c r="I336" s="10">
        <f>29.116 * CHOOSE(CONTROL!$C$15, $E$9, 100%, $G$9) + CHOOSE(CONTROL!$C$38, 0.0347, 0)</f>
        <v>29.150700000000001</v>
      </c>
      <c r="J336" s="26">
        <f>176.2514</f>
        <v>176.25139999999999</v>
      </c>
    </row>
    <row r="337" spans="1:10" ht="15.75" x14ac:dyDescent="0.25">
      <c r="A337" s="14">
        <v>51560</v>
      </c>
      <c r="B337" s="10">
        <f>31.7384 * CHOOSE(CONTROL!$C$15, $E$9, 100%, $G$9) + CHOOSE(CONTROL!$C$38, 0.0256, 0)</f>
        <v>31.763999999999999</v>
      </c>
      <c r="C337" s="10">
        <f>29.3367 * CHOOSE(CONTROL!$C$15, $E$9, 100%, $G$9) + CHOOSE(CONTROL!$C$38, 0.0347, 0)</f>
        <v>29.371400000000001</v>
      </c>
      <c r="D337" s="10">
        <f>29.3289 * CHOOSE(CONTROL!$C$15, $E$9, 100%, $G$9) + CHOOSE(CONTROL!$C$38, 0.0347, 0)</f>
        <v>29.363600000000002</v>
      </c>
      <c r="E337" s="28">
        <f>31.5821 * CHOOSE(CONTROL!$C$15, $E$9, 100%, $G$9) + CHOOSE(CONTROL!$C$38, 0.0347, 0)</f>
        <v>31.616800000000001</v>
      </c>
      <c r="F337" s="27">
        <f>31.5821 * CHOOSE(CONTROL!$C$15, $E$9, 100%, $G$9) + CHOOSE(CONTROL!$C$38, 0.0256, 0)</f>
        <v>31.607700000000001</v>
      </c>
      <c r="G337" s="10">
        <f>29.3352 * CHOOSE(CONTROL!$C$15, $E$9, 100%, $G$9) + CHOOSE(CONTROL!$C$38, 0.0347, 0)</f>
        <v>29.369900000000001</v>
      </c>
      <c r="H337" s="10">
        <f>29.3352 * CHOOSE(CONTROL!$C$15, $E$9, 100%, $G$9) + CHOOSE(CONTROL!$C$38, 0.0347, 0)</f>
        <v>29.369900000000001</v>
      </c>
      <c r="I337" s="10">
        <f>29.3367 * CHOOSE(CONTROL!$C$15, $E$9, 100%, $G$9) + CHOOSE(CONTROL!$C$38, 0.0347, 0)</f>
        <v>29.371400000000001</v>
      </c>
      <c r="J337" s="26">
        <f>175.7615</f>
        <v>175.76150000000001</v>
      </c>
    </row>
    <row r="338" spans="1:10" ht="15.75" x14ac:dyDescent="0.25">
      <c r="A338" s="14">
        <v>51591</v>
      </c>
      <c r="B338" s="10">
        <f>31.2273 * CHOOSE(CONTROL!$C$15, $E$9, 100%, $G$9) + CHOOSE(CONTROL!$C$38, 0.0256, 0)</f>
        <v>31.2529</v>
      </c>
      <c r="C338" s="10">
        <f>28.8257 * CHOOSE(CONTROL!$C$15, $E$9, 100%, $G$9) + CHOOSE(CONTROL!$C$38, 0.0347, 0)</f>
        <v>28.860400000000002</v>
      </c>
      <c r="D338" s="10">
        <f>28.8179 * CHOOSE(CONTROL!$C$15, $E$9, 100%, $G$9) + CHOOSE(CONTROL!$C$38, 0.0347, 0)</f>
        <v>28.852600000000002</v>
      </c>
      <c r="E338" s="28">
        <f>31.0711 * CHOOSE(CONTROL!$C$15, $E$9, 100%, $G$9) + CHOOSE(CONTROL!$C$38, 0.0347, 0)</f>
        <v>31.105800000000002</v>
      </c>
      <c r="F338" s="27">
        <f>31.0711 * CHOOSE(CONTROL!$C$15, $E$9, 100%, $G$9) + CHOOSE(CONTROL!$C$38, 0.0256, 0)</f>
        <v>31.096700000000002</v>
      </c>
      <c r="G338" s="10">
        <f>28.8241 * CHOOSE(CONTROL!$C$15, $E$9, 100%, $G$9) + CHOOSE(CONTROL!$C$38, 0.0347, 0)</f>
        <v>28.858800000000002</v>
      </c>
      <c r="H338" s="10">
        <f>28.8241 * CHOOSE(CONTROL!$C$15, $E$9, 100%, $G$9) + CHOOSE(CONTROL!$C$38, 0.0347, 0)</f>
        <v>28.858800000000002</v>
      </c>
      <c r="I338" s="10">
        <f>28.8257 * CHOOSE(CONTROL!$C$15, $E$9, 100%, $G$9) + CHOOSE(CONTROL!$C$38, 0.0347, 0)</f>
        <v>28.860400000000002</v>
      </c>
      <c r="J338" s="26">
        <f>185.0252</f>
        <v>185.02520000000001</v>
      </c>
    </row>
    <row r="339" spans="1:10" ht="15.75" x14ac:dyDescent="0.25">
      <c r="A339" s="14">
        <v>51621</v>
      </c>
      <c r="B339" s="10">
        <f>30.7322 * CHOOSE(CONTROL!$C$15, $E$9, 100%, $G$9) + CHOOSE(CONTROL!$C$38, 0.0256, 0)</f>
        <v>30.7578</v>
      </c>
      <c r="C339" s="10">
        <f>28.3305 * CHOOSE(CONTROL!$C$15, $E$9, 100%, $G$9) + CHOOSE(CONTROL!$C$38, 0.0347, 0)</f>
        <v>28.365200000000002</v>
      </c>
      <c r="D339" s="10">
        <f>28.3227 * CHOOSE(CONTROL!$C$15, $E$9, 100%, $G$9) + CHOOSE(CONTROL!$C$38, 0.0347, 0)</f>
        <v>28.357400000000002</v>
      </c>
      <c r="E339" s="28">
        <f>30.5759 * CHOOSE(CONTROL!$C$15, $E$9, 100%, $G$9) + CHOOSE(CONTROL!$C$38, 0.0347, 0)</f>
        <v>30.610600000000002</v>
      </c>
      <c r="F339" s="27">
        <f>30.5759 * CHOOSE(CONTROL!$C$15, $E$9, 100%, $G$9) + CHOOSE(CONTROL!$C$38, 0.0256, 0)</f>
        <v>30.601500000000001</v>
      </c>
      <c r="G339" s="10">
        <f>28.329 * CHOOSE(CONTROL!$C$15, $E$9, 100%, $G$9) + CHOOSE(CONTROL!$C$38, 0.0347, 0)</f>
        <v>28.363700000000001</v>
      </c>
      <c r="H339" s="10">
        <f>28.329 * CHOOSE(CONTROL!$C$15, $E$9, 100%, $G$9) + CHOOSE(CONTROL!$C$38, 0.0347, 0)</f>
        <v>28.363700000000001</v>
      </c>
      <c r="I339" s="10">
        <f>28.3305 * CHOOSE(CONTROL!$C$15, $E$9, 100%, $G$9) + CHOOSE(CONTROL!$C$38, 0.0347, 0)</f>
        <v>28.365200000000002</v>
      </c>
      <c r="J339" s="26">
        <f>197.0379</f>
        <v>197.03790000000001</v>
      </c>
    </row>
    <row r="340" spans="1:10" ht="15.75" x14ac:dyDescent="0.25">
      <c r="A340" s="14">
        <v>51652</v>
      </c>
      <c r="B340" s="10">
        <f>30.216 * CHOOSE(CONTROL!$C$15, $E$9, 100%, $G$9) + CHOOSE(CONTROL!$C$38, 0.0278, 0)</f>
        <v>30.2438</v>
      </c>
      <c r="C340" s="10">
        <f>27.8144 * CHOOSE(CONTROL!$C$15, $E$9, 100%, $G$9) + CHOOSE(CONTROL!$C$38, 0.0369, 0)</f>
        <v>27.851299999999998</v>
      </c>
      <c r="D340" s="10">
        <f>27.8066 * CHOOSE(CONTROL!$C$15, $E$9, 100%, $G$9) + CHOOSE(CONTROL!$C$38, 0.0369, 0)</f>
        <v>27.843499999999999</v>
      </c>
      <c r="E340" s="28">
        <f>30.0598 * CHOOSE(CONTROL!$C$15, $E$9, 100%, $G$9) + CHOOSE(CONTROL!$C$38, 0.0369, 0)</f>
        <v>30.096699999999998</v>
      </c>
      <c r="F340" s="27">
        <f>30.0598 * CHOOSE(CONTROL!$C$15, $E$9, 100%, $G$9) + CHOOSE(CONTROL!$C$38, 0.0278, 0)</f>
        <v>30.087599999999998</v>
      </c>
      <c r="G340" s="10">
        <f>27.8129 * CHOOSE(CONTROL!$C$15, $E$9, 100%, $G$9) + CHOOSE(CONTROL!$C$38, 0.0369, 0)</f>
        <v>27.849799999999998</v>
      </c>
      <c r="H340" s="10">
        <f>27.8129 * CHOOSE(CONTROL!$C$15, $E$9, 100%, $G$9) + CHOOSE(CONTROL!$C$38, 0.0369, 0)</f>
        <v>27.849799999999998</v>
      </c>
      <c r="I340" s="10">
        <f>27.8144 * CHOOSE(CONTROL!$C$15, $E$9, 100%, $G$9) + CHOOSE(CONTROL!$C$38, 0.0369, 0)</f>
        <v>27.851299999999998</v>
      </c>
      <c r="J340" s="26">
        <f>203.6501</f>
        <v>203.65010000000001</v>
      </c>
    </row>
    <row r="341" spans="1:10" ht="15.75" x14ac:dyDescent="0.25">
      <c r="A341" s="14">
        <v>51682</v>
      </c>
      <c r="B341" s="10">
        <f>29.8542 * CHOOSE(CONTROL!$C$15, $E$9, 100%, $G$9) + CHOOSE(CONTROL!$C$38, 0.0278, 0)</f>
        <v>29.881999999999998</v>
      </c>
      <c r="C341" s="10">
        <f>27.4526 * CHOOSE(CONTROL!$C$15, $E$9, 100%, $G$9) + CHOOSE(CONTROL!$C$38, 0.0369, 0)</f>
        <v>27.4895</v>
      </c>
      <c r="D341" s="10">
        <f>27.4448 * CHOOSE(CONTROL!$C$15, $E$9, 100%, $G$9) + CHOOSE(CONTROL!$C$38, 0.0369, 0)</f>
        <v>27.4817</v>
      </c>
      <c r="E341" s="28">
        <f>29.698 * CHOOSE(CONTROL!$C$15, $E$9, 100%, $G$9) + CHOOSE(CONTROL!$C$38, 0.0369, 0)</f>
        <v>29.7349</v>
      </c>
      <c r="F341" s="27">
        <f>29.698 * CHOOSE(CONTROL!$C$15, $E$9, 100%, $G$9) + CHOOSE(CONTROL!$C$38, 0.0278, 0)</f>
        <v>29.7258</v>
      </c>
      <c r="G341" s="10">
        <f>27.451 * CHOOSE(CONTROL!$C$15, $E$9, 100%, $G$9) + CHOOSE(CONTROL!$C$38, 0.0369, 0)</f>
        <v>27.4879</v>
      </c>
      <c r="H341" s="10">
        <f>27.451 * CHOOSE(CONTROL!$C$15, $E$9, 100%, $G$9) + CHOOSE(CONTROL!$C$38, 0.0369, 0)</f>
        <v>27.4879</v>
      </c>
      <c r="I341" s="10">
        <f>27.4526 * CHOOSE(CONTROL!$C$15, $E$9, 100%, $G$9) + CHOOSE(CONTROL!$C$38, 0.0369, 0)</f>
        <v>27.4895</v>
      </c>
      <c r="J341" s="26">
        <f>206.5845</f>
        <v>206.58449999999999</v>
      </c>
    </row>
    <row r="342" spans="1:10" ht="15.75" x14ac:dyDescent="0.25">
      <c r="A342" s="14">
        <v>51713</v>
      </c>
      <c r="B342" s="10">
        <f>29.6477 * CHOOSE(CONTROL!$C$15, $E$9, 100%, $G$9) + CHOOSE(CONTROL!$C$38, 0.0278, 0)</f>
        <v>29.6755</v>
      </c>
      <c r="C342" s="10">
        <f>27.2461 * CHOOSE(CONTROL!$C$15, $E$9, 100%, $G$9) + CHOOSE(CONTROL!$C$38, 0.0369, 0)</f>
        <v>27.282999999999998</v>
      </c>
      <c r="D342" s="10">
        <f>27.2383 * CHOOSE(CONTROL!$C$15, $E$9, 100%, $G$9) + CHOOSE(CONTROL!$C$38, 0.0369, 0)</f>
        <v>27.275199999999998</v>
      </c>
      <c r="E342" s="28">
        <f>29.4915 * CHOOSE(CONTROL!$C$15, $E$9, 100%, $G$9) + CHOOSE(CONTROL!$C$38, 0.0369, 0)</f>
        <v>29.528399999999998</v>
      </c>
      <c r="F342" s="27">
        <f>29.4915 * CHOOSE(CONTROL!$C$15, $E$9, 100%, $G$9) + CHOOSE(CONTROL!$C$38, 0.0278, 0)</f>
        <v>29.519299999999998</v>
      </c>
      <c r="G342" s="10">
        <f>27.2445 * CHOOSE(CONTROL!$C$15, $E$9, 100%, $G$9) + CHOOSE(CONTROL!$C$38, 0.0369, 0)</f>
        <v>27.281399999999998</v>
      </c>
      <c r="H342" s="10">
        <f>27.2445 * CHOOSE(CONTROL!$C$15, $E$9, 100%, $G$9) + CHOOSE(CONTROL!$C$38, 0.0369, 0)</f>
        <v>27.281399999999998</v>
      </c>
      <c r="I342" s="10">
        <f>27.2461 * CHOOSE(CONTROL!$C$15, $E$9, 100%, $G$9) + CHOOSE(CONTROL!$C$38, 0.0369, 0)</f>
        <v>27.282999999999998</v>
      </c>
      <c r="J342" s="26">
        <f>205.6184</f>
        <v>205.61840000000001</v>
      </c>
    </row>
    <row r="343" spans="1:10" ht="15.75" x14ac:dyDescent="0.25">
      <c r="A343" s="14">
        <v>51744</v>
      </c>
      <c r="B343" s="10">
        <f>29.7496 * CHOOSE(CONTROL!$C$15, $E$9, 100%, $G$9) + CHOOSE(CONTROL!$C$38, 0.0278, 0)</f>
        <v>29.7774</v>
      </c>
      <c r="C343" s="10">
        <f>27.348 * CHOOSE(CONTROL!$C$15, $E$9, 100%, $G$9) + CHOOSE(CONTROL!$C$38, 0.0369, 0)</f>
        <v>27.384899999999998</v>
      </c>
      <c r="D343" s="10">
        <f>27.3402 * CHOOSE(CONTROL!$C$15, $E$9, 100%, $G$9) + CHOOSE(CONTROL!$C$38, 0.0369, 0)</f>
        <v>27.377099999999999</v>
      </c>
      <c r="E343" s="28">
        <f>29.5934 * CHOOSE(CONTROL!$C$15, $E$9, 100%, $G$9) + CHOOSE(CONTROL!$C$38, 0.0369, 0)</f>
        <v>29.630299999999998</v>
      </c>
      <c r="F343" s="27">
        <f>29.5934 * CHOOSE(CONTROL!$C$15, $E$9, 100%, $G$9) + CHOOSE(CONTROL!$C$38, 0.0278, 0)</f>
        <v>29.621199999999998</v>
      </c>
      <c r="G343" s="10">
        <f>27.3464 * CHOOSE(CONTROL!$C$15, $E$9, 100%, $G$9) + CHOOSE(CONTROL!$C$38, 0.0369, 0)</f>
        <v>27.383299999999998</v>
      </c>
      <c r="H343" s="10">
        <f>27.3464 * CHOOSE(CONTROL!$C$15, $E$9, 100%, $G$9) + CHOOSE(CONTROL!$C$38, 0.0369, 0)</f>
        <v>27.383299999999998</v>
      </c>
      <c r="I343" s="10">
        <f>27.348 * CHOOSE(CONTROL!$C$15, $E$9, 100%, $G$9) + CHOOSE(CONTROL!$C$38, 0.0369, 0)</f>
        <v>27.384899999999998</v>
      </c>
      <c r="J343" s="26">
        <f>200.8317</f>
        <v>200.83170000000001</v>
      </c>
    </row>
    <row r="344" spans="1:10" ht="15.75" x14ac:dyDescent="0.25">
      <c r="A344" s="14">
        <v>51774</v>
      </c>
      <c r="B344" s="10">
        <f>30.0264 * CHOOSE(CONTROL!$C$15, $E$9, 100%, $G$9) + CHOOSE(CONTROL!$C$38, 0.0278, 0)</f>
        <v>30.054199999999998</v>
      </c>
      <c r="C344" s="10">
        <f>27.6248 * CHOOSE(CONTROL!$C$15, $E$9, 100%, $G$9) + CHOOSE(CONTROL!$C$38, 0.0369, 0)</f>
        <v>27.6617</v>
      </c>
      <c r="D344" s="10">
        <f>27.617 * CHOOSE(CONTROL!$C$15, $E$9, 100%, $G$9) + CHOOSE(CONTROL!$C$38, 0.0369, 0)</f>
        <v>27.6539</v>
      </c>
      <c r="E344" s="28">
        <f>29.8702 * CHOOSE(CONTROL!$C$15, $E$9, 100%, $G$9) + CHOOSE(CONTROL!$C$38, 0.0369, 0)</f>
        <v>29.9071</v>
      </c>
      <c r="F344" s="27">
        <f>29.8702 * CHOOSE(CONTROL!$C$15, $E$9, 100%, $G$9) + CHOOSE(CONTROL!$C$38, 0.0278, 0)</f>
        <v>29.898</v>
      </c>
      <c r="G344" s="10">
        <f>27.6232 * CHOOSE(CONTROL!$C$15, $E$9, 100%, $G$9) + CHOOSE(CONTROL!$C$38, 0.0369, 0)</f>
        <v>27.6601</v>
      </c>
      <c r="H344" s="10">
        <f>27.6232 * CHOOSE(CONTROL!$C$15, $E$9, 100%, $G$9) + CHOOSE(CONTROL!$C$38, 0.0369, 0)</f>
        <v>27.6601</v>
      </c>
      <c r="I344" s="10">
        <f>27.6248 * CHOOSE(CONTROL!$C$15, $E$9, 100%, $G$9) + CHOOSE(CONTROL!$C$38, 0.0369, 0)</f>
        <v>27.6617</v>
      </c>
      <c r="J344" s="26">
        <f>194.1564</f>
        <v>194.15639999999999</v>
      </c>
    </row>
    <row r="345" spans="1:10" ht="15.75" x14ac:dyDescent="0.25">
      <c r="A345" s="14">
        <v>51805</v>
      </c>
      <c r="B345" s="10">
        <f>30.2583 * CHOOSE(CONTROL!$C$15, $E$9, 100%, $G$9) + CHOOSE(CONTROL!$C$38, 0.0256, 0)</f>
        <v>30.283899999999999</v>
      </c>
      <c r="C345" s="10">
        <f>27.8566 * CHOOSE(CONTROL!$C$15, $E$9, 100%, $G$9) + CHOOSE(CONTROL!$C$38, 0.0347, 0)</f>
        <v>27.891300000000001</v>
      </c>
      <c r="D345" s="10">
        <f>27.8488 * CHOOSE(CONTROL!$C$15, $E$9, 100%, $G$9) + CHOOSE(CONTROL!$C$38, 0.0347, 0)</f>
        <v>27.883500000000002</v>
      </c>
      <c r="E345" s="28">
        <f>30.102 * CHOOSE(CONTROL!$C$15, $E$9, 100%, $G$9) + CHOOSE(CONTROL!$C$38, 0.0347, 0)</f>
        <v>30.136700000000001</v>
      </c>
      <c r="F345" s="27">
        <f>30.102 * CHOOSE(CONTROL!$C$15, $E$9, 100%, $G$9) + CHOOSE(CONTROL!$C$38, 0.0256, 0)</f>
        <v>30.127600000000001</v>
      </c>
      <c r="G345" s="10">
        <f>27.8551 * CHOOSE(CONTROL!$C$15, $E$9, 100%, $G$9) + CHOOSE(CONTROL!$C$38, 0.0347, 0)</f>
        <v>27.889800000000001</v>
      </c>
      <c r="H345" s="10">
        <f>27.8551 * CHOOSE(CONTROL!$C$15, $E$9, 100%, $G$9) + CHOOSE(CONTROL!$C$38, 0.0347, 0)</f>
        <v>27.889800000000001</v>
      </c>
      <c r="I345" s="10">
        <f>27.8566 * CHOOSE(CONTROL!$C$15, $E$9, 100%, $G$9) + CHOOSE(CONTROL!$C$38, 0.0347, 0)</f>
        <v>27.891300000000001</v>
      </c>
      <c r="J345" s="26">
        <f>187.4422</f>
        <v>187.44220000000001</v>
      </c>
    </row>
    <row r="346" spans="1:10" ht="15.75" x14ac:dyDescent="0.25">
      <c r="A346" s="14">
        <v>51835</v>
      </c>
      <c r="B346" s="10">
        <f>30.4517 * CHOOSE(CONTROL!$C$15, $E$9, 100%, $G$9) + CHOOSE(CONTROL!$C$38, 0.0256, 0)</f>
        <v>30.4773</v>
      </c>
      <c r="C346" s="10">
        <f>28.0501 * CHOOSE(CONTROL!$C$15, $E$9, 100%, $G$9) + CHOOSE(CONTROL!$C$38, 0.0347, 0)</f>
        <v>28.084800000000001</v>
      </c>
      <c r="D346" s="10">
        <f>28.0423 * CHOOSE(CONTROL!$C$15, $E$9, 100%, $G$9) + CHOOSE(CONTROL!$C$38, 0.0347, 0)</f>
        <v>28.077000000000002</v>
      </c>
      <c r="E346" s="28">
        <f>30.2954 * CHOOSE(CONTROL!$C$15, $E$9, 100%, $G$9) + CHOOSE(CONTROL!$C$38, 0.0347, 0)</f>
        <v>30.330100000000002</v>
      </c>
      <c r="F346" s="27">
        <f>30.2954 * CHOOSE(CONTROL!$C$15, $E$9, 100%, $G$9) + CHOOSE(CONTROL!$C$38, 0.0256, 0)</f>
        <v>30.321000000000002</v>
      </c>
      <c r="G346" s="10">
        <f>28.0485 * CHOOSE(CONTROL!$C$15, $E$9, 100%, $G$9) + CHOOSE(CONTROL!$C$38, 0.0347, 0)</f>
        <v>28.083200000000001</v>
      </c>
      <c r="H346" s="10">
        <f>28.0485 * CHOOSE(CONTROL!$C$15, $E$9, 100%, $G$9) + CHOOSE(CONTROL!$C$38, 0.0347, 0)</f>
        <v>28.083200000000001</v>
      </c>
      <c r="I346" s="10">
        <f>28.0501 * CHOOSE(CONTROL!$C$15, $E$9, 100%, $G$9) + CHOOSE(CONTROL!$C$38, 0.0347, 0)</f>
        <v>28.084800000000001</v>
      </c>
      <c r="J346" s="26">
        <f>186.1067</f>
        <v>186.10669999999999</v>
      </c>
    </row>
    <row r="347" spans="1:10" ht="15.75" x14ac:dyDescent="0.25">
      <c r="A347" s="14">
        <v>51866</v>
      </c>
      <c r="B347" s="10">
        <f>31.0478 * CHOOSE(CONTROL!$C$15, $E$9, 100%, $G$9) + CHOOSE(CONTROL!$C$38, 0.0256, 0)</f>
        <v>31.073399999999999</v>
      </c>
      <c r="C347" s="10">
        <f>28.6461 * CHOOSE(CONTROL!$C$15, $E$9, 100%, $G$9) + CHOOSE(CONTROL!$C$38, 0.0347, 0)</f>
        <v>28.680800000000001</v>
      </c>
      <c r="D347" s="10">
        <f>28.6383 * CHOOSE(CONTROL!$C$15, $E$9, 100%, $G$9) + CHOOSE(CONTROL!$C$38, 0.0347, 0)</f>
        <v>28.673000000000002</v>
      </c>
      <c r="E347" s="28">
        <f>30.8915 * CHOOSE(CONTROL!$C$15, $E$9, 100%, $G$9) + CHOOSE(CONTROL!$C$38, 0.0347, 0)</f>
        <v>30.926200000000001</v>
      </c>
      <c r="F347" s="27">
        <f>30.8915 * CHOOSE(CONTROL!$C$15, $E$9, 100%, $G$9) + CHOOSE(CONTROL!$C$38, 0.0256, 0)</f>
        <v>30.917100000000001</v>
      </c>
      <c r="G347" s="10">
        <f>28.6446 * CHOOSE(CONTROL!$C$15, $E$9, 100%, $G$9) + CHOOSE(CONTROL!$C$38, 0.0347, 0)</f>
        <v>28.679300000000001</v>
      </c>
      <c r="H347" s="10">
        <f>28.6446 * CHOOSE(CONTROL!$C$15, $E$9, 100%, $G$9) + CHOOSE(CONTROL!$C$38, 0.0347, 0)</f>
        <v>28.679300000000001</v>
      </c>
      <c r="I347" s="10">
        <f>28.6461 * CHOOSE(CONTROL!$C$15, $E$9, 100%, $G$9) + CHOOSE(CONTROL!$C$38, 0.0347, 0)</f>
        <v>28.680800000000001</v>
      </c>
      <c r="J347" s="26">
        <f>180.5839</f>
        <v>180.5839</v>
      </c>
    </row>
    <row r="348" spans="1:10" ht="15.75" x14ac:dyDescent="0.25">
      <c r="A348" s="14">
        <v>51897</v>
      </c>
      <c r="B348" s="10">
        <f>32.0463 * CHOOSE(CONTROL!$C$15, $E$9, 100%, $G$9) + CHOOSE(CONTROL!$C$38, 0.0256, 0)</f>
        <v>32.071899999999999</v>
      </c>
      <c r="C348" s="10">
        <f>29.605 * CHOOSE(CONTROL!$C$15, $E$9, 100%, $G$9) + CHOOSE(CONTROL!$C$38, 0.0347, 0)</f>
        <v>29.639700000000001</v>
      </c>
      <c r="D348" s="10">
        <f>29.5972 * CHOOSE(CONTROL!$C$15, $E$9, 100%, $G$9) + CHOOSE(CONTROL!$C$38, 0.0347, 0)</f>
        <v>29.631900000000002</v>
      </c>
      <c r="E348" s="28">
        <f>31.89 * CHOOSE(CONTROL!$C$15, $E$9, 100%, $G$9) + CHOOSE(CONTROL!$C$38, 0.0347, 0)</f>
        <v>31.924700000000001</v>
      </c>
      <c r="F348" s="27">
        <f>31.89 * CHOOSE(CONTROL!$C$15, $E$9, 100%, $G$9) + CHOOSE(CONTROL!$C$38, 0.0256, 0)</f>
        <v>31.915600000000001</v>
      </c>
      <c r="G348" s="10">
        <f>29.6034 * CHOOSE(CONTROL!$C$15, $E$9, 100%, $G$9) + CHOOSE(CONTROL!$C$38, 0.0347, 0)</f>
        <v>29.638100000000001</v>
      </c>
      <c r="H348" s="10">
        <f>29.6034 * CHOOSE(CONTROL!$C$15, $E$9, 100%, $G$9) + CHOOSE(CONTROL!$C$38, 0.0347, 0)</f>
        <v>29.638100000000001</v>
      </c>
      <c r="I348" s="10">
        <f>29.605 * CHOOSE(CONTROL!$C$15, $E$9, 100%, $G$9) + CHOOSE(CONTROL!$C$38, 0.0347, 0)</f>
        <v>29.639700000000001</v>
      </c>
      <c r="J348" s="26">
        <f>179.3743</f>
        <v>179.37430000000001</v>
      </c>
    </row>
    <row r="349" spans="1:10" ht="15.75" x14ac:dyDescent="0.25">
      <c r="A349" s="14">
        <v>51925</v>
      </c>
      <c r="B349" s="10">
        <f>32.267 * CHOOSE(CONTROL!$C$15, $E$9, 100%, $G$9) + CHOOSE(CONTROL!$C$38, 0.0256, 0)</f>
        <v>32.2926</v>
      </c>
      <c r="C349" s="10">
        <f>29.8257 * CHOOSE(CONTROL!$C$15, $E$9, 100%, $G$9) + CHOOSE(CONTROL!$C$38, 0.0347, 0)</f>
        <v>29.860400000000002</v>
      </c>
      <c r="D349" s="10">
        <f>29.8179 * CHOOSE(CONTROL!$C$15, $E$9, 100%, $G$9) + CHOOSE(CONTROL!$C$38, 0.0347, 0)</f>
        <v>29.852600000000002</v>
      </c>
      <c r="E349" s="28">
        <f>32.1108 * CHOOSE(CONTROL!$C$15, $E$9, 100%, $G$9) + CHOOSE(CONTROL!$C$38, 0.0347, 0)</f>
        <v>32.145499999999998</v>
      </c>
      <c r="F349" s="27">
        <f>32.1108 * CHOOSE(CONTROL!$C$15, $E$9, 100%, $G$9) + CHOOSE(CONTROL!$C$38, 0.0256, 0)</f>
        <v>32.136399999999995</v>
      </c>
      <c r="G349" s="10">
        <f>29.8242 * CHOOSE(CONTROL!$C$15, $E$9, 100%, $G$9) + CHOOSE(CONTROL!$C$38, 0.0347, 0)</f>
        <v>29.858900000000002</v>
      </c>
      <c r="H349" s="10">
        <f>29.8242 * CHOOSE(CONTROL!$C$15, $E$9, 100%, $G$9) + CHOOSE(CONTROL!$C$38, 0.0347, 0)</f>
        <v>29.858900000000002</v>
      </c>
      <c r="I349" s="10">
        <f>29.8257 * CHOOSE(CONTROL!$C$15, $E$9, 100%, $G$9) + CHOOSE(CONTROL!$C$38, 0.0347, 0)</f>
        <v>29.860400000000002</v>
      </c>
      <c r="J349" s="26">
        <f>178.8757</f>
        <v>178.87569999999999</v>
      </c>
    </row>
    <row r="350" spans="1:10" ht="15.75" x14ac:dyDescent="0.25">
      <c r="A350" s="14">
        <v>51956</v>
      </c>
      <c r="B350" s="10">
        <f>31.756 * CHOOSE(CONTROL!$C$15, $E$9, 100%, $G$9) + CHOOSE(CONTROL!$C$38, 0.0256, 0)</f>
        <v>31.781600000000001</v>
      </c>
      <c r="C350" s="10">
        <f>29.3147 * CHOOSE(CONTROL!$C$15, $E$9, 100%, $G$9) + CHOOSE(CONTROL!$C$38, 0.0347, 0)</f>
        <v>29.349399999999999</v>
      </c>
      <c r="D350" s="10">
        <f>29.3069 * CHOOSE(CONTROL!$C$15, $E$9, 100%, $G$9) + CHOOSE(CONTROL!$C$38, 0.0347, 0)</f>
        <v>29.3416</v>
      </c>
      <c r="E350" s="28">
        <f>31.5998 * CHOOSE(CONTROL!$C$15, $E$9, 100%, $G$9) + CHOOSE(CONTROL!$C$38, 0.0347, 0)</f>
        <v>31.634499999999999</v>
      </c>
      <c r="F350" s="27">
        <f>31.5998 * CHOOSE(CONTROL!$C$15, $E$9, 100%, $G$9) + CHOOSE(CONTROL!$C$38, 0.0256, 0)</f>
        <v>31.625399999999999</v>
      </c>
      <c r="G350" s="10">
        <f>29.3131 * CHOOSE(CONTROL!$C$15, $E$9, 100%, $G$9) + CHOOSE(CONTROL!$C$38, 0.0347, 0)</f>
        <v>29.347799999999999</v>
      </c>
      <c r="H350" s="10">
        <f>29.3131 * CHOOSE(CONTROL!$C$15, $E$9, 100%, $G$9) + CHOOSE(CONTROL!$C$38, 0.0347, 0)</f>
        <v>29.347799999999999</v>
      </c>
      <c r="I350" s="10">
        <f>29.3147 * CHOOSE(CONTROL!$C$15, $E$9, 100%, $G$9) + CHOOSE(CONTROL!$C$38, 0.0347, 0)</f>
        <v>29.349399999999999</v>
      </c>
      <c r="J350" s="26">
        <f>188.3035</f>
        <v>188.30350000000001</v>
      </c>
    </row>
    <row r="351" spans="1:10" ht="15.75" x14ac:dyDescent="0.25">
      <c r="A351" s="14">
        <v>51986</v>
      </c>
      <c r="B351" s="10">
        <f>31.2608 * CHOOSE(CONTROL!$C$15, $E$9, 100%, $G$9) + CHOOSE(CONTROL!$C$38, 0.0256, 0)</f>
        <v>31.2864</v>
      </c>
      <c r="C351" s="10">
        <f>28.8195 * CHOOSE(CONTROL!$C$15, $E$9, 100%, $G$9) + CHOOSE(CONTROL!$C$38, 0.0347, 0)</f>
        <v>28.854200000000002</v>
      </c>
      <c r="D351" s="10">
        <f>28.8117 * CHOOSE(CONTROL!$C$15, $E$9, 100%, $G$9) + CHOOSE(CONTROL!$C$38, 0.0347, 0)</f>
        <v>28.846399999999999</v>
      </c>
      <c r="E351" s="28">
        <f>31.1046 * CHOOSE(CONTROL!$C$15, $E$9, 100%, $G$9) + CHOOSE(CONTROL!$C$38, 0.0347, 0)</f>
        <v>31.139300000000002</v>
      </c>
      <c r="F351" s="27">
        <f>31.1046 * CHOOSE(CONTROL!$C$15, $E$9, 100%, $G$9) + CHOOSE(CONTROL!$C$38, 0.0256, 0)</f>
        <v>31.130200000000002</v>
      </c>
      <c r="G351" s="10">
        <f>28.818 * CHOOSE(CONTROL!$C$15, $E$9, 100%, $G$9) + CHOOSE(CONTROL!$C$38, 0.0347, 0)</f>
        <v>28.852700000000002</v>
      </c>
      <c r="H351" s="10">
        <f>28.818 * CHOOSE(CONTROL!$C$15, $E$9, 100%, $G$9) + CHOOSE(CONTROL!$C$38, 0.0347, 0)</f>
        <v>28.852700000000002</v>
      </c>
      <c r="I351" s="10">
        <f>28.8195 * CHOOSE(CONTROL!$C$15, $E$9, 100%, $G$9) + CHOOSE(CONTROL!$C$38, 0.0347, 0)</f>
        <v>28.854200000000002</v>
      </c>
      <c r="J351" s="26">
        <f>200.5291</f>
        <v>200.5291</v>
      </c>
    </row>
    <row r="352" spans="1:10" ht="15.75" x14ac:dyDescent="0.25">
      <c r="A352" s="14">
        <v>52017</v>
      </c>
      <c r="B352" s="10">
        <f>30.7447 * CHOOSE(CONTROL!$C$15, $E$9, 100%, $G$9) + CHOOSE(CONTROL!$C$38, 0.0278, 0)</f>
        <v>30.772500000000001</v>
      </c>
      <c r="C352" s="10">
        <f>28.3034 * CHOOSE(CONTROL!$C$15, $E$9, 100%, $G$9) + CHOOSE(CONTROL!$C$38, 0.0369, 0)</f>
        <v>28.340299999999999</v>
      </c>
      <c r="D352" s="10">
        <f>28.2956 * CHOOSE(CONTROL!$C$15, $E$9, 100%, $G$9) + CHOOSE(CONTROL!$C$38, 0.0369, 0)</f>
        <v>28.3325</v>
      </c>
      <c r="E352" s="28">
        <f>30.5885 * CHOOSE(CONTROL!$C$15, $E$9, 100%, $G$9) + CHOOSE(CONTROL!$C$38, 0.0369, 0)</f>
        <v>30.625399999999999</v>
      </c>
      <c r="F352" s="27">
        <f>30.5885 * CHOOSE(CONTROL!$C$15, $E$9, 100%, $G$9) + CHOOSE(CONTROL!$C$38, 0.0278, 0)</f>
        <v>30.616299999999999</v>
      </c>
      <c r="G352" s="10">
        <f>28.3018 * CHOOSE(CONTROL!$C$15, $E$9, 100%, $G$9) + CHOOSE(CONTROL!$C$38, 0.0369, 0)</f>
        <v>28.338699999999999</v>
      </c>
      <c r="H352" s="10">
        <f>28.3018 * CHOOSE(CONTROL!$C$15, $E$9, 100%, $G$9) + CHOOSE(CONTROL!$C$38, 0.0369, 0)</f>
        <v>28.338699999999999</v>
      </c>
      <c r="I352" s="10">
        <f>28.3034 * CHOOSE(CONTROL!$C$15, $E$9, 100%, $G$9) + CHOOSE(CONTROL!$C$38, 0.0369, 0)</f>
        <v>28.340299999999999</v>
      </c>
      <c r="J352" s="26">
        <f>207.2584</f>
        <v>207.25839999999999</v>
      </c>
    </row>
    <row r="353" spans="1:10" ht="15.75" x14ac:dyDescent="0.25">
      <c r="A353" s="14">
        <v>52047</v>
      </c>
      <c r="B353" s="10">
        <f>30.3829 * CHOOSE(CONTROL!$C$15, $E$9, 100%, $G$9) + CHOOSE(CONTROL!$C$38, 0.0278, 0)</f>
        <v>30.410699999999999</v>
      </c>
      <c r="C353" s="10">
        <f>27.9416 * CHOOSE(CONTROL!$C$15, $E$9, 100%, $G$9) + CHOOSE(CONTROL!$C$38, 0.0369, 0)</f>
        <v>27.9785</v>
      </c>
      <c r="D353" s="10">
        <f>27.9338 * CHOOSE(CONTROL!$C$15, $E$9, 100%, $G$9) + CHOOSE(CONTROL!$C$38, 0.0369, 0)</f>
        <v>27.970700000000001</v>
      </c>
      <c r="E353" s="28">
        <f>30.2266 * CHOOSE(CONTROL!$C$15, $E$9, 100%, $G$9) + CHOOSE(CONTROL!$C$38, 0.0369, 0)</f>
        <v>30.263500000000001</v>
      </c>
      <c r="F353" s="27">
        <f>30.2266 * CHOOSE(CONTROL!$C$15, $E$9, 100%, $G$9) + CHOOSE(CONTROL!$C$38, 0.0278, 0)</f>
        <v>30.2544</v>
      </c>
      <c r="G353" s="10">
        <f>27.94 * CHOOSE(CONTROL!$C$15, $E$9, 100%, $G$9) + CHOOSE(CONTROL!$C$38, 0.0369, 0)</f>
        <v>27.976900000000001</v>
      </c>
      <c r="H353" s="10">
        <f>27.94 * CHOOSE(CONTROL!$C$15, $E$9, 100%, $G$9) + CHOOSE(CONTROL!$C$38, 0.0369, 0)</f>
        <v>27.976900000000001</v>
      </c>
      <c r="I353" s="10">
        <f>27.9416 * CHOOSE(CONTROL!$C$15, $E$9, 100%, $G$9) + CHOOSE(CONTROL!$C$38, 0.0369, 0)</f>
        <v>27.9785</v>
      </c>
      <c r="J353" s="26">
        <f>210.2448</f>
        <v>210.2448</v>
      </c>
    </row>
    <row r="354" spans="1:10" ht="15.75" x14ac:dyDescent="0.25">
      <c r="A354" s="14">
        <v>52078</v>
      </c>
      <c r="B354" s="10">
        <f>30.1764 * CHOOSE(CONTROL!$C$15, $E$9, 100%, $G$9) + CHOOSE(CONTROL!$C$38, 0.0278, 0)</f>
        <v>30.2042</v>
      </c>
      <c r="C354" s="10">
        <f>27.7351 * CHOOSE(CONTROL!$C$15, $E$9, 100%, $G$9) + CHOOSE(CONTROL!$C$38, 0.0369, 0)</f>
        <v>27.771999999999998</v>
      </c>
      <c r="D354" s="10">
        <f>27.7273 * CHOOSE(CONTROL!$C$15, $E$9, 100%, $G$9) + CHOOSE(CONTROL!$C$38, 0.0369, 0)</f>
        <v>27.764199999999999</v>
      </c>
      <c r="E354" s="28">
        <f>30.0201 * CHOOSE(CONTROL!$C$15, $E$9, 100%, $G$9) + CHOOSE(CONTROL!$C$38, 0.0369, 0)</f>
        <v>30.056999999999999</v>
      </c>
      <c r="F354" s="27">
        <f>30.0201 * CHOOSE(CONTROL!$C$15, $E$9, 100%, $G$9) + CHOOSE(CONTROL!$C$38, 0.0278, 0)</f>
        <v>30.047899999999998</v>
      </c>
      <c r="G354" s="10">
        <f>27.7335 * CHOOSE(CONTROL!$C$15, $E$9, 100%, $G$9) + CHOOSE(CONTROL!$C$38, 0.0369, 0)</f>
        <v>27.770399999999999</v>
      </c>
      <c r="H354" s="10">
        <f>27.7335 * CHOOSE(CONTROL!$C$15, $E$9, 100%, $G$9) + CHOOSE(CONTROL!$C$38, 0.0369, 0)</f>
        <v>27.770399999999999</v>
      </c>
      <c r="I354" s="10">
        <f>27.7351 * CHOOSE(CONTROL!$C$15, $E$9, 100%, $G$9) + CHOOSE(CONTROL!$C$38, 0.0369, 0)</f>
        <v>27.771999999999998</v>
      </c>
      <c r="J354" s="26">
        <f>209.2615</f>
        <v>209.26150000000001</v>
      </c>
    </row>
    <row r="355" spans="1:10" ht="15.75" x14ac:dyDescent="0.25">
      <c r="A355" s="14">
        <v>52109</v>
      </c>
      <c r="B355" s="10">
        <f>30.2783 * CHOOSE(CONTROL!$C$15, $E$9, 100%, $G$9) + CHOOSE(CONTROL!$C$38, 0.0278, 0)</f>
        <v>30.306100000000001</v>
      </c>
      <c r="C355" s="10">
        <f>27.837 * CHOOSE(CONTROL!$C$15, $E$9, 100%, $G$9) + CHOOSE(CONTROL!$C$38, 0.0369, 0)</f>
        <v>27.873899999999999</v>
      </c>
      <c r="D355" s="10">
        <f>27.8292 * CHOOSE(CONTROL!$C$15, $E$9, 100%, $G$9) + CHOOSE(CONTROL!$C$38, 0.0369, 0)</f>
        <v>27.866099999999999</v>
      </c>
      <c r="E355" s="28">
        <f>30.122 * CHOOSE(CONTROL!$C$15, $E$9, 100%, $G$9) + CHOOSE(CONTROL!$C$38, 0.0369, 0)</f>
        <v>30.158899999999999</v>
      </c>
      <c r="F355" s="27">
        <f>30.122 * CHOOSE(CONTROL!$C$15, $E$9, 100%, $G$9) + CHOOSE(CONTROL!$C$38, 0.0278, 0)</f>
        <v>30.149799999999999</v>
      </c>
      <c r="G355" s="10">
        <f>27.8354 * CHOOSE(CONTROL!$C$15, $E$9, 100%, $G$9) + CHOOSE(CONTROL!$C$38, 0.0369, 0)</f>
        <v>27.872299999999999</v>
      </c>
      <c r="H355" s="10">
        <f>27.8354 * CHOOSE(CONTROL!$C$15, $E$9, 100%, $G$9) + CHOOSE(CONTROL!$C$38, 0.0369, 0)</f>
        <v>27.872299999999999</v>
      </c>
      <c r="I355" s="10">
        <f>27.837 * CHOOSE(CONTROL!$C$15, $E$9, 100%, $G$9) + CHOOSE(CONTROL!$C$38, 0.0369, 0)</f>
        <v>27.873899999999999</v>
      </c>
      <c r="J355" s="26">
        <f>204.39</f>
        <v>204.39</v>
      </c>
    </row>
    <row r="356" spans="1:10" ht="15.75" x14ac:dyDescent="0.25">
      <c r="A356" s="14">
        <v>52139</v>
      </c>
      <c r="B356" s="10">
        <f>30.5551 * CHOOSE(CONTROL!$C$15, $E$9, 100%, $G$9) + CHOOSE(CONTROL!$C$38, 0.0278, 0)</f>
        <v>30.582899999999999</v>
      </c>
      <c r="C356" s="10">
        <f>28.1138 * CHOOSE(CONTROL!$C$15, $E$9, 100%, $G$9) + CHOOSE(CONTROL!$C$38, 0.0369, 0)</f>
        <v>28.150700000000001</v>
      </c>
      <c r="D356" s="10">
        <f>28.106 * CHOOSE(CONTROL!$C$15, $E$9, 100%, $G$9) + CHOOSE(CONTROL!$C$38, 0.0369, 0)</f>
        <v>28.142900000000001</v>
      </c>
      <c r="E356" s="28">
        <f>30.3988 * CHOOSE(CONTROL!$C$15, $E$9, 100%, $G$9) + CHOOSE(CONTROL!$C$38, 0.0369, 0)</f>
        <v>30.435700000000001</v>
      </c>
      <c r="F356" s="27">
        <f>30.3988 * CHOOSE(CONTROL!$C$15, $E$9, 100%, $G$9) + CHOOSE(CONTROL!$C$38, 0.0278, 0)</f>
        <v>30.426600000000001</v>
      </c>
      <c r="G356" s="10">
        <f>28.1122 * CHOOSE(CONTROL!$C$15, $E$9, 100%, $G$9) + CHOOSE(CONTROL!$C$38, 0.0369, 0)</f>
        <v>28.149100000000001</v>
      </c>
      <c r="H356" s="10">
        <f>28.1122 * CHOOSE(CONTROL!$C$15, $E$9, 100%, $G$9) + CHOOSE(CONTROL!$C$38, 0.0369, 0)</f>
        <v>28.149100000000001</v>
      </c>
      <c r="I356" s="10">
        <f>28.1138 * CHOOSE(CONTROL!$C$15, $E$9, 100%, $G$9) + CHOOSE(CONTROL!$C$38, 0.0369, 0)</f>
        <v>28.150700000000001</v>
      </c>
      <c r="J356" s="26">
        <f>197.5964</f>
        <v>197.59639999999999</v>
      </c>
    </row>
    <row r="357" spans="1:10" ht="15.75" x14ac:dyDescent="0.25">
      <c r="A357" s="14">
        <v>52170</v>
      </c>
      <c r="B357" s="10">
        <f>30.7869 * CHOOSE(CONTROL!$C$15, $E$9, 100%, $G$9) + CHOOSE(CONTROL!$C$38, 0.0256, 0)</f>
        <v>30.8125</v>
      </c>
      <c r="C357" s="10">
        <f>28.3456 * CHOOSE(CONTROL!$C$15, $E$9, 100%, $G$9) + CHOOSE(CONTROL!$C$38, 0.0347, 0)</f>
        <v>28.380300000000002</v>
      </c>
      <c r="D357" s="10">
        <f>28.3378 * CHOOSE(CONTROL!$C$15, $E$9, 100%, $G$9) + CHOOSE(CONTROL!$C$38, 0.0347, 0)</f>
        <v>28.372500000000002</v>
      </c>
      <c r="E357" s="28">
        <f>30.6307 * CHOOSE(CONTROL!$C$15, $E$9, 100%, $G$9) + CHOOSE(CONTROL!$C$38, 0.0347, 0)</f>
        <v>30.665400000000002</v>
      </c>
      <c r="F357" s="27">
        <f>30.6307 * CHOOSE(CONTROL!$C$15, $E$9, 100%, $G$9) + CHOOSE(CONTROL!$C$38, 0.0256, 0)</f>
        <v>30.656300000000002</v>
      </c>
      <c r="G357" s="10">
        <f>28.3441 * CHOOSE(CONTROL!$C$15, $E$9, 100%, $G$9) + CHOOSE(CONTROL!$C$38, 0.0347, 0)</f>
        <v>28.378800000000002</v>
      </c>
      <c r="H357" s="10">
        <f>28.3441 * CHOOSE(CONTROL!$C$15, $E$9, 100%, $G$9) + CHOOSE(CONTROL!$C$38, 0.0347, 0)</f>
        <v>28.378800000000002</v>
      </c>
      <c r="I357" s="10">
        <f>28.3456 * CHOOSE(CONTROL!$C$15, $E$9, 100%, $G$9) + CHOOSE(CONTROL!$C$38, 0.0347, 0)</f>
        <v>28.380300000000002</v>
      </c>
      <c r="J357" s="26">
        <f>190.7634</f>
        <v>190.76339999999999</v>
      </c>
    </row>
    <row r="358" spans="1:10" ht="15.75" x14ac:dyDescent="0.25">
      <c r="A358" s="14">
        <v>52200</v>
      </c>
      <c r="B358" s="10">
        <f>30.9804 * CHOOSE(CONTROL!$C$15, $E$9, 100%, $G$9) + CHOOSE(CONTROL!$C$38, 0.0256, 0)</f>
        <v>31.006</v>
      </c>
      <c r="C358" s="10">
        <f>28.5391 * CHOOSE(CONTROL!$C$15, $E$9, 100%, $G$9) + CHOOSE(CONTROL!$C$38, 0.0347, 0)</f>
        <v>28.573800000000002</v>
      </c>
      <c r="D358" s="10">
        <f>28.5312 * CHOOSE(CONTROL!$C$15, $E$9, 100%, $G$9) + CHOOSE(CONTROL!$C$38, 0.0347, 0)</f>
        <v>28.565899999999999</v>
      </c>
      <c r="E358" s="28">
        <f>30.8241 * CHOOSE(CONTROL!$C$15, $E$9, 100%, $G$9) + CHOOSE(CONTROL!$C$38, 0.0347, 0)</f>
        <v>30.858800000000002</v>
      </c>
      <c r="F358" s="27">
        <f>30.8241 * CHOOSE(CONTROL!$C$15, $E$9, 100%, $G$9) + CHOOSE(CONTROL!$C$38, 0.0256, 0)</f>
        <v>30.849700000000002</v>
      </c>
      <c r="G358" s="10">
        <f>28.5375 * CHOOSE(CONTROL!$C$15, $E$9, 100%, $G$9) + CHOOSE(CONTROL!$C$38, 0.0347, 0)</f>
        <v>28.572200000000002</v>
      </c>
      <c r="H358" s="10">
        <f>28.5375 * CHOOSE(CONTROL!$C$15, $E$9, 100%, $G$9) + CHOOSE(CONTROL!$C$38, 0.0347, 0)</f>
        <v>28.572200000000002</v>
      </c>
      <c r="I358" s="10">
        <f>28.5391 * CHOOSE(CONTROL!$C$15, $E$9, 100%, $G$9) + CHOOSE(CONTROL!$C$38, 0.0347, 0)</f>
        <v>28.573800000000002</v>
      </c>
      <c r="J358" s="26">
        <f>189.4041</f>
        <v>189.4041</v>
      </c>
    </row>
    <row r="359" spans="1:10" ht="15.75" x14ac:dyDescent="0.25">
      <c r="A359" s="14">
        <v>52231</v>
      </c>
      <c r="B359" s="10">
        <f>31.5764 * CHOOSE(CONTROL!$C$15, $E$9, 100%, $G$9) + CHOOSE(CONTROL!$C$38, 0.0256, 0)</f>
        <v>31.602</v>
      </c>
      <c r="C359" s="10">
        <f>29.1351 * CHOOSE(CONTROL!$C$15, $E$9, 100%, $G$9) + CHOOSE(CONTROL!$C$38, 0.0347, 0)</f>
        <v>29.169800000000002</v>
      </c>
      <c r="D359" s="10">
        <f>29.1273 * CHOOSE(CONTROL!$C$15, $E$9, 100%, $G$9) + CHOOSE(CONTROL!$C$38, 0.0347, 0)</f>
        <v>29.162000000000003</v>
      </c>
      <c r="E359" s="28">
        <f>31.4202 * CHOOSE(CONTROL!$C$15, $E$9, 100%, $G$9) + CHOOSE(CONTROL!$C$38, 0.0347, 0)</f>
        <v>31.454900000000002</v>
      </c>
      <c r="F359" s="27">
        <f>31.4202 * CHOOSE(CONTROL!$C$15, $E$9, 100%, $G$9) + CHOOSE(CONTROL!$C$38, 0.0256, 0)</f>
        <v>31.445800000000002</v>
      </c>
      <c r="G359" s="10">
        <f>29.1336 * CHOOSE(CONTROL!$C$15, $E$9, 100%, $G$9) + CHOOSE(CONTROL!$C$38, 0.0347, 0)</f>
        <v>29.168300000000002</v>
      </c>
      <c r="H359" s="10">
        <f>29.1336 * CHOOSE(CONTROL!$C$15, $E$9, 100%, $G$9) + CHOOSE(CONTROL!$C$38, 0.0347, 0)</f>
        <v>29.168300000000002</v>
      </c>
      <c r="I359" s="10">
        <f>29.1351 * CHOOSE(CONTROL!$C$15, $E$9, 100%, $G$9) + CHOOSE(CONTROL!$C$38, 0.0347, 0)</f>
        <v>29.169800000000002</v>
      </c>
      <c r="J359" s="26">
        <f>183.7835</f>
        <v>183.7835</v>
      </c>
    </row>
    <row r="360" spans="1:10" ht="15.75" x14ac:dyDescent="0.25">
      <c r="A360" s="14">
        <v>52262</v>
      </c>
      <c r="B360" s="10">
        <f>32.5843 * CHOOSE(CONTROL!$C$15, $E$9, 100%, $G$9) + CHOOSE(CONTROL!$C$38, 0.0256, 0)</f>
        <v>32.609899999999996</v>
      </c>
      <c r="C360" s="10">
        <f>30.1026 * CHOOSE(CONTROL!$C$15, $E$9, 100%, $G$9) + CHOOSE(CONTROL!$C$38, 0.0347, 0)</f>
        <v>30.1373</v>
      </c>
      <c r="D360" s="10">
        <f>30.0948 * CHOOSE(CONTROL!$C$15, $E$9, 100%, $G$9) + CHOOSE(CONTROL!$C$38, 0.0347, 0)</f>
        <v>30.1295</v>
      </c>
      <c r="E360" s="28">
        <f>32.428 * CHOOSE(CONTROL!$C$15, $E$9, 100%, $G$9) + CHOOSE(CONTROL!$C$38, 0.0347, 0)</f>
        <v>32.462699999999998</v>
      </c>
      <c r="F360" s="27">
        <f>32.428 * CHOOSE(CONTROL!$C$15, $E$9, 100%, $G$9) + CHOOSE(CONTROL!$C$38, 0.0256, 0)</f>
        <v>32.453599999999994</v>
      </c>
      <c r="G360" s="10">
        <f>30.101 * CHOOSE(CONTROL!$C$15, $E$9, 100%, $G$9) + CHOOSE(CONTROL!$C$38, 0.0347, 0)</f>
        <v>30.1357</v>
      </c>
      <c r="H360" s="10">
        <f>30.101 * CHOOSE(CONTROL!$C$15, $E$9, 100%, $G$9) + CHOOSE(CONTROL!$C$38, 0.0347, 0)</f>
        <v>30.1357</v>
      </c>
      <c r="I360" s="10">
        <f>30.1026 * CHOOSE(CONTROL!$C$15, $E$9, 100%, $G$9) + CHOOSE(CONTROL!$C$38, 0.0347, 0)</f>
        <v>30.1373</v>
      </c>
      <c r="J360" s="26">
        <f>182.5525</f>
        <v>182.55250000000001</v>
      </c>
    </row>
    <row r="361" spans="1:10" ht="15.75" x14ac:dyDescent="0.25">
      <c r="A361" s="14">
        <v>52290</v>
      </c>
      <c r="B361" s="10">
        <f>32.805 * CHOOSE(CONTROL!$C$15, $E$9, 100%, $G$9) + CHOOSE(CONTROL!$C$38, 0.0256, 0)</f>
        <v>32.830599999999997</v>
      </c>
      <c r="C361" s="10">
        <f>30.3234 * CHOOSE(CONTROL!$C$15, $E$9, 100%, $G$9) + CHOOSE(CONTROL!$C$38, 0.0347, 0)</f>
        <v>30.3581</v>
      </c>
      <c r="D361" s="10">
        <f>30.3156 * CHOOSE(CONTROL!$C$15, $E$9, 100%, $G$9) + CHOOSE(CONTROL!$C$38, 0.0347, 0)</f>
        <v>30.350300000000001</v>
      </c>
      <c r="E361" s="28">
        <f>32.6488 * CHOOSE(CONTROL!$C$15, $E$9, 100%, $G$9) + CHOOSE(CONTROL!$C$38, 0.0347, 0)</f>
        <v>32.683500000000002</v>
      </c>
      <c r="F361" s="27">
        <f>32.6488 * CHOOSE(CONTROL!$C$15, $E$9, 100%, $G$9) + CHOOSE(CONTROL!$C$38, 0.0256, 0)</f>
        <v>32.674399999999999</v>
      </c>
      <c r="G361" s="10">
        <f>30.3218 * CHOOSE(CONTROL!$C$15, $E$9, 100%, $G$9) + CHOOSE(CONTROL!$C$38, 0.0347, 0)</f>
        <v>30.3565</v>
      </c>
      <c r="H361" s="10">
        <f>30.3218 * CHOOSE(CONTROL!$C$15, $E$9, 100%, $G$9) + CHOOSE(CONTROL!$C$38, 0.0347, 0)</f>
        <v>30.3565</v>
      </c>
      <c r="I361" s="10">
        <f>30.3234 * CHOOSE(CONTROL!$C$15, $E$9, 100%, $G$9) + CHOOSE(CONTROL!$C$38, 0.0347, 0)</f>
        <v>30.3581</v>
      </c>
      <c r="J361" s="26">
        <f>182.045</f>
        <v>182.04499999999999</v>
      </c>
    </row>
    <row r="362" spans="1:10" ht="15.75" x14ac:dyDescent="0.25">
      <c r="A362" s="14">
        <v>52321</v>
      </c>
      <c r="B362" s="10">
        <f>32.294 * CHOOSE(CONTROL!$C$15, $E$9, 100%, $G$9) + CHOOSE(CONTROL!$C$38, 0.0256, 0)</f>
        <v>32.319599999999994</v>
      </c>
      <c r="C362" s="10">
        <f>29.8123 * CHOOSE(CONTROL!$C$15, $E$9, 100%, $G$9) + CHOOSE(CONTROL!$C$38, 0.0347, 0)</f>
        <v>29.847000000000001</v>
      </c>
      <c r="D362" s="10">
        <f>29.8045 * CHOOSE(CONTROL!$C$15, $E$9, 100%, $G$9) + CHOOSE(CONTROL!$C$38, 0.0347, 0)</f>
        <v>29.839200000000002</v>
      </c>
      <c r="E362" s="28">
        <f>32.1378 * CHOOSE(CONTROL!$C$15, $E$9, 100%, $G$9) + CHOOSE(CONTROL!$C$38, 0.0347, 0)</f>
        <v>32.172499999999999</v>
      </c>
      <c r="F362" s="27">
        <f>32.1378 * CHOOSE(CONTROL!$C$15, $E$9, 100%, $G$9) + CHOOSE(CONTROL!$C$38, 0.0256, 0)</f>
        <v>32.163399999999996</v>
      </c>
      <c r="G362" s="10">
        <f>29.8108 * CHOOSE(CONTROL!$C$15, $E$9, 100%, $G$9) + CHOOSE(CONTROL!$C$38, 0.0347, 0)</f>
        <v>29.845500000000001</v>
      </c>
      <c r="H362" s="10">
        <f>29.8108 * CHOOSE(CONTROL!$C$15, $E$9, 100%, $G$9) + CHOOSE(CONTROL!$C$38, 0.0347, 0)</f>
        <v>29.845500000000001</v>
      </c>
      <c r="I362" s="10">
        <f>29.8123 * CHOOSE(CONTROL!$C$15, $E$9, 100%, $G$9) + CHOOSE(CONTROL!$C$38, 0.0347, 0)</f>
        <v>29.847000000000001</v>
      </c>
      <c r="J362" s="26">
        <f>191.6399</f>
        <v>191.63990000000001</v>
      </c>
    </row>
    <row r="363" spans="1:10" ht="15.75" x14ac:dyDescent="0.25">
      <c r="A363" s="14">
        <v>52351</v>
      </c>
      <c r="B363" s="10">
        <f>31.7988 * CHOOSE(CONTROL!$C$15, $E$9, 100%, $G$9) + CHOOSE(CONTROL!$C$38, 0.0256, 0)</f>
        <v>31.824400000000001</v>
      </c>
      <c r="C363" s="10">
        <f>29.3172 * CHOOSE(CONTROL!$C$15, $E$9, 100%, $G$9) + CHOOSE(CONTROL!$C$38, 0.0347, 0)</f>
        <v>29.351900000000001</v>
      </c>
      <c r="D363" s="10">
        <f>29.3093 * CHOOSE(CONTROL!$C$15, $E$9, 100%, $G$9) + CHOOSE(CONTROL!$C$38, 0.0347, 0)</f>
        <v>29.344000000000001</v>
      </c>
      <c r="E363" s="28">
        <f>31.6426 * CHOOSE(CONTROL!$C$15, $E$9, 100%, $G$9) + CHOOSE(CONTROL!$C$38, 0.0347, 0)</f>
        <v>31.677300000000002</v>
      </c>
      <c r="F363" s="27">
        <f>31.6426 * CHOOSE(CONTROL!$C$15, $E$9, 100%, $G$9) + CHOOSE(CONTROL!$C$38, 0.0256, 0)</f>
        <v>31.668200000000002</v>
      </c>
      <c r="G363" s="10">
        <f>29.3156 * CHOOSE(CONTROL!$C$15, $E$9, 100%, $G$9) + CHOOSE(CONTROL!$C$38, 0.0347, 0)</f>
        <v>29.350300000000001</v>
      </c>
      <c r="H363" s="10">
        <f>29.3156 * CHOOSE(CONTROL!$C$15, $E$9, 100%, $G$9) + CHOOSE(CONTROL!$C$38, 0.0347, 0)</f>
        <v>29.350300000000001</v>
      </c>
      <c r="I363" s="10">
        <f>29.3172 * CHOOSE(CONTROL!$C$15, $E$9, 100%, $G$9) + CHOOSE(CONTROL!$C$38, 0.0347, 0)</f>
        <v>29.351900000000001</v>
      </c>
      <c r="J363" s="26">
        <f>204.0821</f>
        <v>204.0821</v>
      </c>
    </row>
    <row r="364" spans="1:10" ht="15.75" x14ac:dyDescent="0.25">
      <c r="A364" s="14">
        <v>52382</v>
      </c>
      <c r="B364" s="10">
        <f>31.2827 * CHOOSE(CONTROL!$C$15, $E$9, 100%, $G$9) + CHOOSE(CONTROL!$C$38, 0.0278, 0)</f>
        <v>31.310499999999998</v>
      </c>
      <c r="C364" s="10">
        <f>28.801 * CHOOSE(CONTROL!$C$15, $E$9, 100%, $G$9) + CHOOSE(CONTROL!$C$38, 0.0369, 0)</f>
        <v>28.837899999999998</v>
      </c>
      <c r="D364" s="10">
        <f>28.7932 * CHOOSE(CONTROL!$C$15, $E$9, 100%, $G$9) + CHOOSE(CONTROL!$C$38, 0.0369, 0)</f>
        <v>28.830099999999998</v>
      </c>
      <c r="E364" s="28">
        <f>31.1265 * CHOOSE(CONTROL!$C$15, $E$9, 100%, $G$9) + CHOOSE(CONTROL!$C$38, 0.0369, 0)</f>
        <v>31.163399999999999</v>
      </c>
      <c r="F364" s="27">
        <f>31.1265 * CHOOSE(CONTROL!$C$15, $E$9, 100%, $G$9) + CHOOSE(CONTROL!$C$38, 0.0278, 0)</f>
        <v>31.154299999999999</v>
      </c>
      <c r="G364" s="10">
        <f>28.7995 * CHOOSE(CONTROL!$C$15, $E$9, 100%, $G$9) + CHOOSE(CONTROL!$C$38, 0.0369, 0)</f>
        <v>28.836399999999998</v>
      </c>
      <c r="H364" s="10">
        <f>28.7995 * CHOOSE(CONTROL!$C$15, $E$9, 100%, $G$9) + CHOOSE(CONTROL!$C$38, 0.0369, 0)</f>
        <v>28.836399999999998</v>
      </c>
      <c r="I364" s="10">
        <f>28.801 * CHOOSE(CONTROL!$C$15, $E$9, 100%, $G$9) + CHOOSE(CONTROL!$C$38, 0.0369, 0)</f>
        <v>28.837899999999998</v>
      </c>
      <c r="J364" s="26">
        <f>210.9306</f>
        <v>210.9306</v>
      </c>
    </row>
    <row r="365" spans="1:10" ht="15.75" x14ac:dyDescent="0.25">
      <c r="A365" s="14">
        <v>52412</v>
      </c>
      <c r="B365" s="10">
        <f>30.9209 * CHOOSE(CONTROL!$C$15, $E$9, 100%, $G$9) + CHOOSE(CONTROL!$C$38, 0.0278, 0)</f>
        <v>30.948699999999999</v>
      </c>
      <c r="C365" s="10">
        <f>28.4392 * CHOOSE(CONTROL!$C$15, $E$9, 100%, $G$9) + CHOOSE(CONTROL!$C$38, 0.0369, 0)</f>
        <v>28.476099999999999</v>
      </c>
      <c r="D365" s="10">
        <f>28.4314 * CHOOSE(CONTROL!$C$15, $E$9, 100%, $G$9) + CHOOSE(CONTROL!$C$38, 0.0369, 0)</f>
        <v>28.468299999999999</v>
      </c>
      <c r="E365" s="28">
        <f>30.7646 * CHOOSE(CONTROL!$C$15, $E$9, 100%, $G$9) + CHOOSE(CONTROL!$C$38, 0.0369, 0)</f>
        <v>30.801500000000001</v>
      </c>
      <c r="F365" s="27">
        <f>30.7646 * CHOOSE(CONTROL!$C$15, $E$9, 100%, $G$9) + CHOOSE(CONTROL!$C$38, 0.0278, 0)</f>
        <v>30.792400000000001</v>
      </c>
      <c r="G365" s="10">
        <f>28.4376 * CHOOSE(CONTROL!$C$15, $E$9, 100%, $G$9) + CHOOSE(CONTROL!$C$38, 0.0369, 0)</f>
        <v>28.474499999999999</v>
      </c>
      <c r="H365" s="10">
        <f>28.4376 * CHOOSE(CONTROL!$C$15, $E$9, 100%, $G$9) + CHOOSE(CONTROL!$C$38, 0.0369, 0)</f>
        <v>28.474499999999999</v>
      </c>
      <c r="I365" s="10">
        <f>28.4392 * CHOOSE(CONTROL!$C$15, $E$9, 100%, $G$9) + CHOOSE(CONTROL!$C$38, 0.0369, 0)</f>
        <v>28.476099999999999</v>
      </c>
      <c r="J365" s="26">
        <f>213.9699</f>
        <v>213.9699</v>
      </c>
    </row>
    <row r="366" spans="1:10" ht="15.75" x14ac:dyDescent="0.25">
      <c r="A366" s="14">
        <v>52443</v>
      </c>
      <c r="B366" s="10">
        <f>30.7144 * CHOOSE(CONTROL!$C$15, $E$9, 100%, $G$9) + CHOOSE(CONTROL!$C$38, 0.0278, 0)</f>
        <v>30.7422</v>
      </c>
      <c r="C366" s="10">
        <f>28.2327 * CHOOSE(CONTROL!$C$15, $E$9, 100%, $G$9) + CHOOSE(CONTROL!$C$38, 0.0369, 0)</f>
        <v>28.269600000000001</v>
      </c>
      <c r="D366" s="10">
        <f>28.2249 * CHOOSE(CONTROL!$C$15, $E$9, 100%, $G$9) + CHOOSE(CONTROL!$C$38, 0.0369, 0)</f>
        <v>28.261800000000001</v>
      </c>
      <c r="E366" s="28">
        <f>30.5581 * CHOOSE(CONTROL!$C$15, $E$9, 100%, $G$9) + CHOOSE(CONTROL!$C$38, 0.0369, 0)</f>
        <v>30.594999999999999</v>
      </c>
      <c r="F366" s="27">
        <f>30.5581 * CHOOSE(CONTROL!$C$15, $E$9, 100%, $G$9) + CHOOSE(CONTROL!$C$38, 0.0278, 0)</f>
        <v>30.585899999999999</v>
      </c>
      <c r="G366" s="10">
        <f>28.2312 * CHOOSE(CONTROL!$C$15, $E$9, 100%, $G$9) + CHOOSE(CONTROL!$C$38, 0.0369, 0)</f>
        <v>28.2681</v>
      </c>
      <c r="H366" s="10">
        <f>28.2312 * CHOOSE(CONTROL!$C$15, $E$9, 100%, $G$9) + CHOOSE(CONTROL!$C$38, 0.0369, 0)</f>
        <v>28.2681</v>
      </c>
      <c r="I366" s="10">
        <f>28.2327 * CHOOSE(CONTROL!$C$15, $E$9, 100%, $G$9) + CHOOSE(CONTROL!$C$38, 0.0369, 0)</f>
        <v>28.269600000000001</v>
      </c>
      <c r="J366" s="26">
        <f>212.9693</f>
        <v>212.9693</v>
      </c>
    </row>
    <row r="367" spans="1:10" ht="15.75" x14ac:dyDescent="0.25">
      <c r="A367" s="14">
        <v>52474</v>
      </c>
      <c r="B367" s="10">
        <f>30.8163 * CHOOSE(CONTROL!$C$15, $E$9, 100%, $G$9) + CHOOSE(CONTROL!$C$38, 0.0278, 0)</f>
        <v>30.844099999999997</v>
      </c>
      <c r="C367" s="10">
        <f>28.3346 * CHOOSE(CONTROL!$C$15, $E$9, 100%, $G$9) + CHOOSE(CONTROL!$C$38, 0.0369, 0)</f>
        <v>28.371499999999997</v>
      </c>
      <c r="D367" s="10">
        <f>28.3268 * CHOOSE(CONTROL!$C$15, $E$9, 100%, $G$9) + CHOOSE(CONTROL!$C$38, 0.0369, 0)</f>
        <v>28.363699999999998</v>
      </c>
      <c r="E367" s="28">
        <f>30.6601 * CHOOSE(CONTROL!$C$15, $E$9, 100%, $G$9) + CHOOSE(CONTROL!$C$38, 0.0369, 0)</f>
        <v>30.696999999999999</v>
      </c>
      <c r="F367" s="27">
        <f>30.6601 * CHOOSE(CONTROL!$C$15, $E$9, 100%, $G$9) + CHOOSE(CONTROL!$C$38, 0.0278, 0)</f>
        <v>30.687899999999999</v>
      </c>
      <c r="G367" s="10">
        <f>28.3331 * CHOOSE(CONTROL!$C$15, $E$9, 100%, $G$9) + CHOOSE(CONTROL!$C$38, 0.0369, 0)</f>
        <v>28.37</v>
      </c>
      <c r="H367" s="10">
        <f>28.3331 * CHOOSE(CONTROL!$C$15, $E$9, 100%, $G$9) + CHOOSE(CONTROL!$C$38, 0.0369, 0)</f>
        <v>28.37</v>
      </c>
      <c r="I367" s="10">
        <f>28.3346 * CHOOSE(CONTROL!$C$15, $E$9, 100%, $G$9) + CHOOSE(CONTROL!$C$38, 0.0369, 0)</f>
        <v>28.371499999999997</v>
      </c>
      <c r="J367" s="26">
        <f>208.0114</f>
        <v>208.01140000000001</v>
      </c>
    </row>
    <row r="368" spans="1:10" ht="15.75" x14ac:dyDescent="0.25">
      <c r="A368" s="14">
        <v>52504</v>
      </c>
      <c r="B368" s="10">
        <f>31.0931 * CHOOSE(CONTROL!$C$15, $E$9, 100%, $G$9) + CHOOSE(CONTROL!$C$38, 0.0278, 0)</f>
        <v>31.120899999999999</v>
      </c>
      <c r="C368" s="10">
        <f>28.6114 * CHOOSE(CONTROL!$C$15, $E$9, 100%, $G$9) + CHOOSE(CONTROL!$C$38, 0.0369, 0)</f>
        <v>28.648299999999999</v>
      </c>
      <c r="D368" s="10">
        <f>28.6036 * CHOOSE(CONTROL!$C$15, $E$9, 100%, $G$9) + CHOOSE(CONTROL!$C$38, 0.0369, 0)</f>
        <v>28.640499999999999</v>
      </c>
      <c r="E368" s="28">
        <f>30.9369 * CHOOSE(CONTROL!$C$15, $E$9, 100%, $G$9) + CHOOSE(CONTROL!$C$38, 0.0369, 0)</f>
        <v>30.973800000000001</v>
      </c>
      <c r="F368" s="27">
        <f>30.9369 * CHOOSE(CONTROL!$C$15, $E$9, 100%, $G$9) + CHOOSE(CONTROL!$C$38, 0.0278, 0)</f>
        <v>30.964700000000001</v>
      </c>
      <c r="G368" s="10">
        <f>28.6099 * CHOOSE(CONTROL!$C$15, $E$9, 100%, $G$9) + CHOOSE(CONTROL!$C$38, 0.0369, 0)</f>
        <v>28.646799999999999</v>
      </c>
      <c r="H368" s="10">
        <f>28.6099 * CHOOSE(CONTROL!$C$15, $E$9, 100%, $G$9) + CHOOSE(CONTROL!$C$38, 0.0369, 0)</f>
        <v>28.646799999999999</v>
      </c>
      <c r="I368" s="10">
        <f>28.6114 * CHOOSE(CONTROL!$C$15, $E$9, 100%, $G$9) + CHOOSE(CONTROL!$C$38, 0.0369, 0)</f>
        <v>28.648299999999999</v>
      </c>
      <c r="J368" s="26">
        <f>201.0975</f>
        <v>201.0975</v>
      </c>
    </row>
    <row r="369" spans="1:10" ht="15.75" x14ac:dyDescent="0.25">
      <c r="A369" s="14">
        <v>52535</v>
      </c>
      <c r="B369" s="10">
        <f>31.3249 * CHOOSE(CONTROL!$C$15, $E$9, 100%, $G$9) + CHOOSE(CONTROL!$C$38, 0.0256, 0)</f>
        <v>31.3505</v>
      </c>
      <c r="C369" s="10">
        <f>28.8433 * CHOOSE(CONTROL!$C$15, $E$9, 100%, $G$9) + CHOOSE(CONTROL!$C$38, 0.0347, 0)</f>
        <v>28.878</v>
      </c>
      <c r="D369" s="10">
        <f>28.8354 * CHOOSE(CONTROL!$C$15, $E$9, 100%, $G$9) + CHOOSE(CONTROL!$C$38, 0.0347, 0)</f>
        <v>28.870100000000001</v>
      </c>
      <c r="E369" s="28">
        <f>31.1687 * CHOOSE(CONTROL!$C$15, $E$9, 100%, $G$9) + CHOOSE(CONTROL!$C$38, 0.0347, 0)</f>
        <v>31.203400000000002</v>
      </c>
      <c r="F369" s="27">
        <f>31.1687 * CHOOSE(CONTROL!$C$15, $E$9, 100%, $G$9) + CHOOSE(CONTROL!$C$38, 0.0256, 0)</f>
        <v>31.194300000000002</v>
      </c>
      <c r="G369" s="10">
        <f>28.8417 * CHOOSE(CONTROL!$C$15, $E$9, 100%, $G$9) + CHOOSE(CONTROL!$C$38, 0.0347, 0)</f>
        <v>28.8764</v>
      </c>
      <c r="H369" s="10">
        <f>28.8417 * CHOOSE(CONTROL!$C$15, $E$9, 100%, $G$9) + CHOOSE(CONTROL!$C$38, 0.0347, 0)</f>
        <v>28.8764</v>
      </c>
      <c r="I369" s="10">
        <f>28.8433 * CHOOSE(CONTROL!$C$15, $E$9, 100%, $G$9) + CHOOSE(CONTROL!$C$38, 0.0347, 0)</f>
        <v>28.878</v>
      </c>
      <c r="J369" s="26">
        <f>194.1433</f>
        <v>194.14330000000001</v>
      </c>
    </row>
    <row r="370" spans="1:10" ht="15.75" x14ac:dyDescent="0.25">
      <c r="A370" s="14">
        <v>52565</v>
      </c>
      <c r="B370" s="10">
        <f>31.5184 * CHOOSE(CONTROL!$C$15, $E$9, 100%, $G$9) + CHOOSE(CONTROL!$C$38, 0.0256, 0)</f>
        <v>31.544</v>
      </c>
      <c r="C370" s="10">
        <f>29.0367 * CHOOSE(CONTROL!$C$15, $E$9, 100%, $G$9) + CHOOSE(CONTROL!$C$38, 0.0347, 0)</f>
        <v>29.071400000000001</v>
      </c>
      <c r="D370" s="10">
        <f>29.0289 * CHOOSE(CONTROL!$C$15, $E$9, 100%, $G$9) + CHOOSE(CONTROL!$C$38, 0.0347, 0)</f>
        <v>29.063600000000001</v>
      </c>
      <c r="E370" s="28">
        <f>31.3621 * CHOOSE(CONTROL!$C$15, $E$9, 100%, $G$9) + CHOOSE(CONTROL!$C$38, 0.0347, 0)</f>
        <v>31.396800000000002</v>
      </c>
      <c r="F370" s="27">
        <f>31.3621 * CHOOSE(CONTROL!$C$15, $E$9, 100%, $G$9) + CHOOSE(CONTROL!$C$38, 0.0256, 0)</f>
        <v>31.387700000000002</v>
      </c>
      <c r="G370" s="10">
        <f>29.0351 * CHOOSE(CONTROL!$C$15, $E$9, 100%, $G$9) + CHOOSE(CONTROL!$C$38, 0.0347, 0)</f>
        <v>29.069800000000001</v>
      </c>
      <c r="H370" s="10">
        <f>29.0351 * CHOOSE(CONTROL!$C$15, $E$9, 100%, $G$9) + CHOOSE(CONTROL!$C$38, 0.0347, 0)</f>
        <v>29.069800000000001</v>
      </c>
      <c r="I370" s="10">
        <f>29.0367 * CHOOSE(CONTROL!$C$15, $E$9, 100%, $G$9) + CHOOSE(CONTROL!$C$38, 0.0347, 0)</f>
        <v>29.071400000000001</v>
      </c>
      <c r="J370" s="26">
        <f>192.76</f>
        <v>192.76</v>
      </c>
    </row>
    <row r="371" spans="1:10" ht="15.75" x14ac:dyDescent="0.25">
      <c r="A371" s="14">
        <v>52596</v>
      </c>
      <c r="B371" s="10">
        <f>32.1144 * CHOOSE(CONTROL!$C$15, $E$9, 100%, $G$9) + CHOOSE(CONTROL!$C$38, 0.0256, 0)</f>
        <v>32.14</v>
      </c>
      <c r="C371" s="10">
        <f>29.6328 * CHOOSE(CONTROL!$C$15, $E$9, 100%, $G$9) + CHOOSE(CONTROL!$C$38, 0.0347, 0)</f>
        <v>29.6675</v>
      </c>
      <c r="D371" s="10">
        <f>29.6249 * CHOOSE(CONTROL!$C$15, $E$9, 100%, $G$9) + CHOOSE(CONTROL!$C$38, 0.0347, 0)</f>
        <v>29.659600000000001</v>
      </c>
      <c r="E371" s="28">
        <f>31.9582 * CHOOSE(CONTROL!$C$15, $E$9, 100%, $G$9) + CHOOSE(CONTROL!$C$38, 0.0347, 0)</f>
        <v>31.992900000000002</v>
      </c>
      <c r="F371" s="27">
        <f>31.9582 * CHOOSE(CONTROL!$C$15, $E$9, 100%, $G$9) + CHOOSE(CONTROL!$C$38, 0.0256, 0)</f>
        <v>31.983800000000002</v>
      </c>
      <c r="G371" s="10">
        <f>29.6312 * CHOOSE(CONTROL!$C$15, $E$9, 100%, $G$9) + CHOOSE(CONTROL!$C$38, 0.0347, 0)</f>
        <v>29.665900000000001</v>
      </c>
      <c r="H371" s="10">
        <f>29.6312 * CHOOSE(CONTROL!$C$15, $E$9, 100%, $G$9) + CHOOSE(CONTROL!$C$38, 0.0347, 0)</f>
        <v>29.665900000000001</v>
      </c>
      <c r="I371" s="10">
        <f>29.6328 * CHOOSE(CONTROL!$C$15, $E$9, 100%, $G$9) + CHOOSE(CONTROL!$C$38, 0.0347, 0)</f>
        <v>29.6675</v>
      </c>
      <c r="J371" s="26">
        <f>187.0398</f>
        <v>187.03980000000001</v>
      </c>
    </row>
    <row r="372" spans="1:10" ht="15.75" x14ac:dyDescent="0.25">
      <c r="A372" s="14">
        <v>52627</v>
      </c>
      <c r="B372" s="10">
        <f>33.1318 * CHOOSE(CONTROL!$C$15, $E$9, 100%, $G$9) + CHOOSE(CONTROL!$C$38, 0.0256, 0)</f>
        <v>33.157399999999996</v>
      </c>
      <c r="C372" s="10">
        <f>30.609 * CHOOSE(CONTROL!$C$15, $E$9, 100%, $G$9) + CHOOSE(CONTROL!$C$38, 0.0347, 0)</f>
        <v>30.643700000000003</v>
      </c>
      <c r="D372" s="10">
        <f>30.6012 * CHOOSE(CONTROL!$C$15, $E$9, 100%, $G$9) + CHOOSE(CONTROL!$C$38, 0.0347, 0)</f>
        <v>30.635899999999999</v>
      </c>
      <c r="E372" s="28">
        <f>32.9755 * CHOOSE(CONTROL!$C$15, $E$9, 100%, $G$9) + CHOOSE(CONTROL!$C$38, 0.0347, 0)</f>
        <v>33.010199999999998</v>
      </c>
      <c r="F372" s="27">
        <f>32.9755 * CHOOSE(CONTROL!$C$15, $E$9, 100%, $G$9) + CHOOSE(CONTROL!$C$38, 0.0256, 0)</f>
        <v>33.001099999999994</v>
      </c>
      <c r="G372" s="10">
        <f>30.6075 * CHOOSE(CONTROL!$C$15, $E$9, 100%, $G$9) + CHOOSE(CONTROL!$C$38, 0.0347, 0)</f>
        <v>30.642200000000003</v>
      </c>
      <c r="H372" s="10">
        <f>30.6075 * CHOOSE(CONTROL!$C$15, $E$9, 100%, $G$9) + CHOOSE(CONTROL!$C$38, 0.0347, 0)</f>
        <v>30.642200000000003</v>
      </c>
      <c r="I372" s="10">
        <f>30.609 * CHOOSE(CONTROL!$C$15, $E$9, 100%, $G$9) + CHOOSE(CONTROL!$C$38, 0.0347, 0)</f>
        <v>30.643700000000003</v>
      </c>
      <c r="J372" s="26">
        <f>185.787</f>
        <v>185.78700000000001</v>
      </c>
    </row>
    <row r="373" spans="1:10" ht="15.75" x14ac:dyDescent="0.25">
      <c r="A373" s="14">
        <v>52655</v>
      </c>
      <c r="B373" s="10">
        <f>33.3526 * CHOOSE(CONTROL!$C$15, $E$9, 100%, $G$9) + CHOOSE(CONTROL!$C$38, 0.0256, 0)</f>
        <v>33.3782</v>
      </c>
      <c r="C373" s="10">
        <f>30.8298 * CHOOSE(CONTROL!$C$15, $E$9, 100%, $G$9) + CHOOSE(CONTROL!$C$38, 0.0347, 0)</f>
        <v>30.8645</v>
      </c>
      <c r="D373" s="10">
        <f>30.822 * CHOOSE(CONTROL!$C$15, $E$9, 100%, $G$9) + CHOOSE(CONTROL!$C$38, 0.0347, 0)</f>
        <v>30.8567</v>
      </c>
      <c r="E373" s="28">
        <f>33.1963 * CHOOSE(CONTROL!$C$15, $E$9, 100%, $G$9) + CHOOSE(CONTROL!$C$38, 0.0347, 0)</f>
        <v>33.231000000000002</v>
      </c>
      <c r="F373" s="27">
        <f>33.1963 * CHOOSE(CONTROL!$C$15, $E$9, 100%, $G$9) + CHOOSE(CONTROL!$C$38, 0.0256, 0)</f>
        <v>33.221899999999998</v>
      </c>
      <c r="G373" s="10">
        <f>30.8282 * CHOOSE(CONTROL!$C$15, $E$9, 100%, $G$9) + CHOOSE(CONTROL!$C$38, 0.0347, 0)</f>
        <v>30.8629</v>
      </c>
      <c r="H373" s="10">
        <f>30.8282 * CHOOSE(CONTROL!$C$15, $E$9, 100%, $G$9) + CHOOSE(CONTROL!$C$38, 0.0347, 0)</f>
        <v>30.8629</v>
      </c>
      <c r="I373" s="10">
        <f>30.8298 * CHOOSE(CONTROL!$C$15, $E$9, 100%, $G$9) + CHOOSE(CONTROL!$C$38, 0.0347, 0)</f>
        <v>30.8645</v>
      </c>
      <c r="J373" s="26">
        <f>185.2705</f>
        <v>185.2705</v>
      </c>
    </row>
    <row r="374" spans="1:10" ht="15.75" x14ac:dyDescent="0.25">
      <c r="A374" s="14">
        <v>52687</v>
      </c>
      <c r="B374" s="10">
        <f>32.8415 * CHOOSE(CONTROL!$C$15, $E$9, 100%, $G$9) + CHOOSE(CONTROL!$C$38, 0.0256, 0)</f>
        <v>32.867100000000001</v>
      </c>
      <c r="C374" s="10">
        <f>30.3188 * CHOOSE(CONTROL!$C$15, $E$9, 100%, $G$9) + CHOOSE(CONTROL!$C$38, 0.0347, 0)</f>
        <v>30.3535</v>
      </c>
      <c r="D374" s="10">
        <f>30.311 * CHOOSE(CONTROL!$C$15, $E$9, 100%, $G$9) + CHOOSE(CONTROL!$C$38, 0.0347, 0)</f>
        <v>30.345700000000001</v>
      </c>
      <c r="E374" s="28">
        <f>32.6853 * CHOOSE(CONTROL!$C$15, $E$9, 100%, $G$9) + CHOOSE(CONTROL!$C$38, 0.0347, 0)</f>
        <v>32.72</v>
      </c>
      <c r="F374" s="27">
        <f>32.6853 * CHOOSE(CONTROL!$C$15, $E$9, 100%, $G$9) + CHOOSE(CONTROL!$C$38, 0.0256, 0)</f>
        <v>32.710899999999995</v>
      </c>
      <c r="G374" s="10">
        <f>30.3172 * CHOOSE(CONTROL!$C$15, $E$9, 100%, $G$9) + CHOOSE(CONTROL!$C$38, 0.0347, 0)</f>
        <v>30.351900000000001</v>
      </c>
      <c r="H374" s="10">
        <f>30.3172 * CHOOSE(CONTROL!$C$15, $E$9, 100%, $G$9) + CHOOSE(CONTROL!$C$38, 0.0347, 0)</f>
        <v>30.351900000000001</v>
      </c>
      <c r="I374" s="10">
        <f>30.3188 * CHOOSE(CONTROL!$C$15, $E$9, 100%, $G$9) + CHOOSE(CONTROL!$C$38, 0.0347, 0)</f>
        <v>30.3535</v>
      </c>
      <c r="J374" s="26">
        <f>195.0354</f>
        <v>195.03540000000001</v>
      </c>
    </row>
    <row r="375" spans="1:10" ht="15.75" x14ac:dyDescent="0.25">
      <c r="A375" s="14">
        <v>52717</v>
      </c>
      <c r="B375" s="10">
        <f>32.3463 * CHOOSE(CONTROL!$C$15, $E$9, 100%, $G$9) + CHOOSE(CONTROL!$C$38, 0.0256, 0)</f>
        <v>32.371899999999997</v>
      </c>
      <c r="C375" s="10">
        <f>29.8236 * CHOOSE(CONTROL!$C$15, $E$9, 100%, $G$9) + CHOOSE(CONTROL!$C$38, 0.0347, 0)</f>
        <v>29.8583</v>
      </c>
      <c r="D375" s="10">
        <f>29.8158 * CHOOSE(CONTROL!$C$15, $E$9, 100%, $G$9) + CHOOSE(CONTROL!$C$38, 0.0347, 0)</f>
        <v>29.8505</v>
      </c>
      <c r="E375" s="28">
        <f>32.1901 * CHOOSE(CONTROL!$C$15, $E$9, 100%, $G$9) + CHOOSE(CONTROL!$C$38, 0.0347, 0)</f>
        <v>32.224800000000002</v>
      </c>
      <c r="F375" s="27">
        <f>32.1901 * CHOOSE(CONTROL!$C$15, $E$9, 100%, $G$9) + CHOOSE(CONTROL!$C$38, 0.0256, 0)</f>
        <v>32.215699999999998</v>
      </c>
      <c r="G375" s="10">
        <f>29.822 * CHOOSE(CONTROL!$C$15, $E$9, 100%, $G$9) + CHOOSE(CONTROL!$C$38, 0.0347, 0)</f>
        <v>29.8567</v>
      </c>
      <c r="H375" s="10">
        <f>29.822 * CHOOSE(CONTROL!$C$15, $E$9, 100%, $G$9) + CHOOSE(CONTROL!$C$38, 0.0347, 0)</f>
        <v>29.8567</v>
      </c>
      <c r="I375" s="10">
        <f>29.8236 * CHOOSE(CONTROL!$C$15, $E$9, 100%, $G$9) + CHOOSE(CONTROL!$C$38, 0.0347, 0)</f>
        <v>29.8583</v>
      </c>
      <c r="J375" s="26">
        <f>207.698</f>
        <v>207.69800000000001</v>
      </c>
    </row>
    <row r="376" spans="1:10" ht="15.75" x14ac:dyDescent="0.25">
      <c r="A376" s="14">
        <v>52748</v>
      </c>
      <c r="B376" s="10">
        <f>31.8302 * CHOOSE(CONTROL!$C$15, $E$9, 100%, $G$9) + CHOOSE(CONTROL!$C$38, 0.0278, 0)</f>
        <v>31.858000000000001</v>
      </c>
      <c r="C376" s="10">
        <f>29.3075 * CHOOSE(CONTROL!$C$15, $E$9, 100%, $G$9) + CHOOSE(CONTROL!$C$38, 0.0369, 0)</f>
        <v>29.3444</v>
      </c>
      <c r="D376" s="10">
        <f>29.2997 * CHOOSE(CONTROL!$C$15, $E$9, 100%, $G$9) + CHOOSE(CONTROL!$C$38, 0.0369, 0)</f>
        <v>29.336600000000001</v>
      </c>
      <c r="E376" s="28">
        <f>31.674 * CHOOSE(CONTROL!$C$15, $E$9, 100%, $G$9) + CHOOSE(CONTROL!$C$38, 0.0369, 0)</f>
        <v>31.710899999999999</v>
      </c>
      <c r="F376" s="27">
        <f>31.674 * CHOOSE(CONTROL!$C$15, $E$9, 100%, $G$9) + CHOOSE(CONTROL!$C$38, 0.0278, 0)</f>
        <v>31.701799999999999</v>
      </c>
      <c r="G376" s="10">
        <f>29.3059 * CHOOSE(CONTROL!$C$15, $E$9, 100%, $G$9) + CHOOSE(CONTROL!$C$38, 0.0369, 0)</f>
        <v>29.3428</v>
      </c>
      <c r="H376" s="10">
        <f>29.3059 * CHOOSE(CONTROL!$C$15, $E$9, 100%, $G$9) + CHOOSE(CONTROL!$C$38, 0.0369, 0)</f>
        <v>29.3428</v>
      </c>
      <c r="I376" s="10">
        <f>29.3075 * CHOOSE(CONTROL!$C$15, $E$9, 100%, $G$9) + CHOOSE(CONTROL!$C$38, 0.0369, 0)</f>
        <v>29.3444</v>
      </c>
      <c r="J376" s="26">
        <f>214.6679</f>
        <v>214.6679</v>
      </c>
    </row>
    <row r="377" spans="1:10" ht="15.75" x14ac:dyDescent="0.25">
      <c r="A377" s="14">
        <v>52778</v>
      </c>
      <c r="B377" s="10">
        <f>31.4684 * CHOOSE(CONTROL!$C$15, $E$9, 100%, $G$9) + CHOOSE(CONTROL!$C$38, 0.0278, 0)</f>
        <v>31.496199999999998</v>
      </c>
      <c r="C377" s="10">
        <f>28.9456 * CHOOSE(CONTROL!$C$15, $E$9, 100%, $G$9) + CHOOSE(CONTROL!$C$38, 0.0369, 0)</f>
        <v>28.982499999999998</v>
      </c>
      <c r="D377" s="10">
        <f>28.9378 * CHOOSE(CONTROL!$C$15, $E$9, 100%, $G$9) + CHOOSE(CONTROL!$C$38, 0.0369, 0)</f>
        <v>28.974699999999999</v>
      </c>
      <c r="E377" s="28">
        <f>31.3121 * CHOOSE(CONTROL!$C$15, $E$9, 100%, $G$9) + CHOOSE(CONTROL!$C$38, 0.0369, 0)</f>
        <v>31.349</v>
      </c>
      <c r="F377" s="27">
        <f>31.3121 * CHOOSE(CONTROL!$C$15, $E$9, 100%, $G$9) + CHOOSE(CONTROL!$C$38, 0.0278, 0)</f>
        <v>31.3399</v>
      </c>
      <c r="G377" s="10">
        <f>28.9441 * CHOOSE(CONTROL!$C$15, $E$9, 100%, $G$9) + CHOOSE(CONTROL!$C$38, 0.0369, 0)</f>
        <v>28.980999999999998</v>
      </c>
      <c r="H377" s="10">
        <f>28.9441 * CHOOSE(CONTROL!$C$15, $E$9, 100%, $G$9) + CHOOSE(CONTROL!$C$38, 0.0369, 0)</f>
        <v>28.980999999999998</v>
      </c>
      <c r="I377" s="10">
        <f>28.9456 * CHOOSE(CONTROL!$C$15, $E$9, 100%, $G$9) + CHOOSE(CONTROL!$C$38, 0.0369, 0)</f>
        <v>28.982499999999998</v>
      </c>
      <c r="J377" s="26">
        <f>217.7611</f>
        <v>217.7611</v>
      </c>
    </row>
    <row r="378" spans="1:10" ht="15.75" x14ac:dyDescent="0.25">
      <c r="A378" s="14">
        <v>52809</v>
      </c>
      <c r="B378" s="10">
        <f>31.2619 * CHOOSE(CONTROL!$C$15, $E$9, 100%, $G$9) + CHOOSE(CONTROL!$C$38, 0.0278, 0)</f>
        <v>31.2897</v>
      </c>
      <c r="C378" s="10">
        <f>28.7391 * CHOOSE(CONTROL!$C$15, $E$9, 100%, $G$9) + CHOOSE(CONTROL!$C$38, 0.0369, 0)</f>
        <v>28.776</v>
      </c>
      <c r="D378" s="10">
        <f>28.7313 * CHOOSE(CONTROL!$C$15, $E$9, 100%, $G$9) + CHOOSE(CONTROL!$C$38, 0.0369, 0)</f>
        <v>28.7682</v>
      </c>
      <c r="E378" s="28">
        <f>31.1057 * CHOOSE(CONTROL!$C$15, $E$9, 100%, $G$9) + CHOOSE(CONTROL!$C$38, 0.0369, 0)</f>
        <v>31.142599999999998</v>
      </c>
      <c r="F378" s="27">
        <f>31.1057 * CHOOSE(CONTROL!$C$15, $E$9, 100%, $G$9) + CHOOSE(CONTROL!$C$38, 0.0278, 0)</f>
        <v>31.133499999999998</v>
      </c>
      <c r="G378" s="10">
        <f>28.7376 * CHOOSE(CONTROL!$C$15, $E$9, 100%, $G$9) + CHOOSE(CONTROL!$C$38, 0.0369, 0)</f>
        <v>28.7745</v>
      </c>
      <c r="H378" s="10">
        <f>28.7376 * CHOOSE(CONTROL!$C$15, $E$9, 100%, $G$9) + CHOOSE(CONTROL!$C$38, 0.0369, 0)</f>
        <v>28.7745</v>
      </c>
      <c r="I378" s="10">
        <f>28.7391 * CHOOSE(CONTROL!$C$15, $E$9, 100%, $G$9) + CHOOSE(CONTROL!$C$38, 0.0369, 0)</f>
        <v>28.776</v>
      </c>
      <c r="J378" s="26">
        <f>216.7427</f>
        <v>216.74270000000001</v>
      </c>
    </row>
    <row r="379" spans="1:10" ht="15.75" x14ac:dyDescent="0.25">
      <c r="A379" s="14">
        <v>52840</v>
      </c>
      <c r="B379" s="10">
        <f>31.3638 * CHOOSE(CONTROL!$C$15, $E$9, 100%, $G$9) + CHOOSE(CONTROL!$C$38, 0.0278, 0)</f>
        <v>31.3916</v>
      </c>
      <c r="C379" s="10">
        <f>28.8411 * CHOOSE(CONTROL!$C$15, $E$9, 100%, $G$9) + CHOOSE(CONTROL!$C$38, 0.0369, 0)</f>
        <v>28.878</v>
      </c>
      <c r="D379" s="10">
        <f>28.8332 * CHOOSE(CONTROL!$C$15, $E$9, 100%, $G$9) + CHOOSE(CONTROL!$C$38, 0.0369, 0)</f>
        <v>28.870100000000001</v>
      </c>
      <c r="E379" s="28">
        <f>31.2076 * CHOOSE(CONTROL!$C$15, $E$9, 100%, $G$9) + CHOOSE(CONTROL!$C$38, 0.0369, 0)</f>
        <v>31.244499999999999</v>
      </c>
      <c r="F379" s="27">
        <f>31.2076 * CHOOSE(CONTROL!$C$15, $E$9, 100%, $G$9) + CHOOSE(CONTROL!$C$38, 0.0278, 0)</f>
        <v>31.235399999999998</v>
      </c>
      <c r="G379" s="10">
        <f>28.8395 * CHOOSE(CONTROL!$C$15, $E$9, 100%, $G$9) + CHOOSE(CONTROL!$C$38, 0.0369, 0)</f>
        <v>28.8764</v>
      </c>
      <c r="H379" s="10">
        <f>28.8395 * CHOOSE(CONTROL!$C$15, $E$9, 100%, $G$9) + CHOOSE(CONTROL!$C$38, 0.0369, 0)</f>
        <v>28.8764</v>
      </c>
      <c r="I379" s="10">
        <f>28.8411 * CHOOSE(CONTROL!$C$15, $E$9, 100%, $G$9) + CHOOSE(CONTROL!$C$38, 0.0369, 0)</f>
        <v>28.878</v>
      </c>
      <c r="J379" s="26">
        <f>211.697</f>
        <v>211.697</v>
      </c>
    </row>
    <row r="380" spans="1:10" ht="15.75" x14ac:dyDescent="0.25">
      <c r="A380" s="14">
        <v>52870</v>
      </c>
      <c r="B380" s="10">
        <f>31.6406 * CHOOSE(CONTROL!$C$15, $E$9, 100%, $G$9) + CHOOSE(CONTROL!$C$38, 0.0278, 0)</f>
        <v>31.668399999999998</v>
      </c>
      <c r="C380" s="10">
        <f>29.1179 * CHOOSE(CONTROL!$C$15, $E$9, 100%, $G$9) + CHOOSE(CONTROL!$C$38, 0.0369, 0)</f>
        <v>29.154799999999998</v>
      </c>
      <c r="D380" s="10">
        <f>29.11 * CHOOSE(CONTROL!$C$15, $E$9, 100%, $G$9) + CHOOSE(CONTROL!$C$38, 0.0369, 0)</f>
        <v>29.146899999999999</v>
      </c>
      <c r="E380" s="28">
        <f>31.4844 * CHOOSE(CONTROL!$C$15, $E$9, 100%, $G$9) + CHOOSE(CONTROL!$C$38, 0.0369, 0)</f>
        <v>31.5213</v>
      </c>
      <c r="F380" s="27">
        <f>31.4844 * CHOOSE(CONTROL!$C$15, $E$9, 100%, $G$9) + CHOOSE(CONTROL!$C$38, 0.0278, 0)</f>
        <v>31.5122</v>
      </c>
      <c r="G380" s="10">
        <f>29.1163 * CHOOSE(CONTROL!$C$15, $E$9, 100%, $G$9) + CHOOSE(CONTROL!$C$38, 0.0369, 0)</f>
        <v>29.153199999999998</v>
      </c>
      <c r="H380" s="10">
        <f>29.1163 * CHOOSE(CONTROL!$C$15, $E$9, 100%, $G$9) + CHOOSE(CONTROL!$C$38, 0.0369, 0)</f>
        <v>29.153199999999998</v>
      </c>
      <c r="I380" s="10">
        <f>29.1179 * CHOOSE(CONTROL!$C$15, $E$9, 100%, $G$9) + CHOOSE(CONTROL!$C$38, 0.0369, 0)</f>
        <v>29.154799999999998</v>
      </c>
      <c r="J380" s="26">
        <f>204.6605</f>
        <v>204.66050000000001</v>
      </c>
    </row>
    <row r="381" spans="1:10" ht="15.75" x14ac:dyDescent="0.25">
      <c r="A381" s="14">
        <v>52901</v>
      </c>
      <c r="B381" s="10">
        <f>31.8724 * CHOOSE(CONTROL!$C$15, $E$9, 100%, $G$9) + CHOOSE(CONTROL!$C$38, 0.0256, 0)</f>
        <v>31.898</v>
      </c>
      <c r="C381" s="10">
        <f>29.3497 * CHOOSE(CONTROL!$C$15, $E$9, 100%, $G$9) + CHOOSE(CONTROL!$C$38, 0.0347, 0)</f>
        <v>29.384399999999999</v>
      </c>
      <c r="D381" s="10">
        <f>29.3419 * CHOOSE(CONTROL!$C$15, $E$9, 100%, $G$9) + CHOOSE(CONTROL!$C$38, 0.0347, 0)</f>
        <v>29.3766</v>
      </c>
      <c r="E381" s="28">
        <f>31.7162 * CHOOSE(CONTROL!$C$15, $E$9, 100%, $G$9) + CHOOSE(CONTROL!$C$38, 0.0347, 0)</f>
        <v>31.750900000000001</v>
      </c>
      <c r="F381" s="27">
        <f>31.7162 * CHOOSE(CONTROL!$C$15, $E$9, 100%, $G$9) + CHOOSE(CONTROL!$C$38, 0.0256, 0)</f>
        <v>31.741800000000001</v>
      </c>
      <c r="G381" s="10">
        <f>29.3481 * CHOOSE(CONTROL!$C$15, $E$9, 100%, $G$9) + CHOOSE(CONTROL!$C$38, 0.0347, 0)</f>
        <v>29.3828</v>
      </c>
      <c r="H381" s="10">
        <f>29.3481 * CHOOSE(CONTROL!$C$15, $E$9, 100%, $G$9) + CHOOSE(CONTROL!$C$38, 0.0347, 0)</f>
        <v>29.3828</v>
      </c>
      <c r="I381" s="10">
        <f>29.3497 * CHOOSE(CONTROL!$C$15, $E$9, 100%, $G$9) + CHOOSE(CONTROL!$C$38, 0.0347, 0)</f>
        <v>29.384399999999999</v>
      </c>
      <c r="J381" s="26">
        <f>197.5832</f>
        <v>197.58320000000001</v>
      </c>
    </row>
    <row r="382" spans="1:10" ht="15.75" x14ac:dyDescent="0.25">
      <c r="A382" s="14">
        <v>52931</v>
      </c>
      <c r="B382" s="10">
        <f>32.0659 * CHOOSE(CONTROL!$C$15, $E$9, 100%, $G$9) + CHOOSE(CONTROL!$C$38, 0.0256, 0)</f>
        <v>32.091499999999996</v>
      </c>
      <c r="C382" s="10">
        <f>29.5431 * CHOOSE(CONTROL!$C$15, $E$9, 100%, $G$9) + CHOOSE(CONTROL!$C$38, 0.0347, 0)</f>
        <v>29.5778</v>
      </c>
      <c r="D382" s="10">
        <f>29.5353 * CHOOSE(CONTROL!$C$15, $E$9, 100%, $G$9) + CHOOSE(CONTROL!$C$38, 0.0347, 0)</f>
        <v>29.57</v>
      </c>
      <c r="E382" s="28">
        <f>31.9096 * CHOOSE(CONTROL!$C$15, $E$9, 100%, $G$9) + CHOOSE(CONTROL!$C$38, 0.0347, 0)</f>
        <v>31.944300000000002</v>
      </c>
      <c r="F382" s="27">
        <f>31.9096 * CHOOSE(CONTROL!$C$15, $E$9, 100%, $G$9) + CHOOSE(CONTROL!$C$38, 0.0256, 0)</f>
        <v>31.935200000000002</v>
      </c>
      <c r="G382" s="10">
        <f>29.5416 * CHOOSE(CONTROL!$C$15, $E$9, 100%, $G$9) + CHOOSE(CONTROL!$C$38, 0.0347, 0)</f>
        <v>29.5763</v>
      </c>
      <c r="H382" s="10">
        <f>29.5416 * CHOOSE(CONTROL!$C$15, $E$9, 100%, $G$9) + CHOOSE(CONTROL!$C$38, 0.0347, 0)</f>
        <v>29.5763</v>
      </c>
      <c r="I382" s="10">
        <f>29.5431 * CHOOSE(CONTROL!$C$15, $E$9, 100%, $G$9) + CHOOSE(CONTROL!$C$38, 0.0347, 0)</f>
        <v>29.5778</v>
      </c>
      <c r="J382" s="26">
        <f>196.1753</f>
        <v>196.17529999999999</v>
      </c>
    </row>
    <row r="383" spans="1:10" ht="15.75" x14ac:dyDescent="0.25">
      <c r="A383" s="14">
        <v>52962</v>
      </c>
      <c r="B383" s="10">
        <f>32.6619 * CHOOSE(CONTROL!$C$15, $E$9, 100%, $G$9) + CHOOSE(CONTROL!$C$38, 0.0256, 0)</f>
        <v>32.6875</v>
      </c>
      <c r="C383" s="10">
        <f>30.1392 * CHOOSE(CONTROL!$C$15, $E$9, 100%, $G$9) + CHOOSE(CONTROL!$C$38, 0.0347, 0)</f>
        <v>30.1739</v>
      </c>
      <c r="D383" s="10">
        <f>30.1314 * CHOOSE(CONTROL!$C$15, $E$9, 100%, $G$9) + CHOOSE(CONTROL!$C$38, 0.0347, 0)</f>
        <v>30.1661</v>
      </c>
      <c r="E383" s="28">
        <f>32.5057 * CHOOSE(CONTROL!$C$15, $E$9, 100%, $G$9) + CHOOSE(CONTROL!$C$38, 0.0347, 0)</f>
        <v>32.540399999999998</v>
      </c>
      <c r="F383" s="27">
        <f>32.5057 * CHOOSE(CONTROL!$C$15, $E$9, 100%, $G$9) + CHOOSE(CONTROL!$C$38, 0.0256, 0)</f>
        <v>32.531299999999995</v>
      </c>
      <c r="G383" s="10">
        <f>30.1376 * CHOOSE(CONTROL!$C$15, $E$9, 100%, $G$9) + CHOOSE(CONTROL!$C$38, 0.0347, 0)</f>
        <v>30.1723</v>
      </c>
      <c r="H383" s="10">
        <f>30.1376 * CHOOSE(CONTROL!$C$15, $E$9, 100%, $G$9) + CHOOSE(CONTROL!$C$38, 0.0347, 0)</f>
        <v>30.1723</v>
      </c>
      <c r="I383" s="10">
        <f>30.1392 * CHOOSE(CONTROL!$C$15, $E$9, 100%, $G$9) + CHOOSE(CONTROL!$C$38, 0.0347, 0)</f>
        <v>30.1739</v>
      </c>
      <c r="J383" s="26">
        <f>190.3538</f>
        <v>190.35380000000001</v>
      </c>
    </row>
    <row r="384" spans="1:10" ht="15.75" x14ac:dyDescent="0.25">
      <c r="A384" s="14">
        <v>52993</v>
      </c>
      <c r="B384" s="10">
        <f>33.689 * CHOOSE(CONTROL!$C$15, $E$9, 100%, $G$9) + CHOOSE(CONTROL!$C$38, 0.0256, 0)</f>
        <v>33.714599999999997</v>
      </c>
      <c r="C384" s="10">
        <f>31.1244 * CHOOSE(CONTROL!$C$15, $E$9, 100%, $G$9) + CHOOSE(CONTROL!$C$38, 0.0347, 0)</f>
        <v>31.159100000000002</v>
      </c>
      <c r="D384" s="10">
        <f>31.1166 * CHOOSE(CONTROL!$C$15, $E$9, 100%, $G$9) + CHOOSE(CONTROL!$C$38, 0.0347, 0)</f>
        <v>31.151299999999999</v>
      </c>
      <c r="E384" s="28">
        <f>33.5327 * CHOOSE(CONTROL!$C$15, $E$9, 100%, $G$9) + CHOOSE(CONTROL!$C$38, 0.0347, 0)</f>
        <v>33.567399999999999</v>
      </c>
      <c r="F384" s="27">
        <f>33.5327 * CHOOSE(CONTROL!$C$15, $E$9, 100%, $G$9) + CHOOSE(CONTROL!$C$38, 0.0256, 0)</f>
        <v>33.558299999999996</v>
      </c>
      <c r="G384" s="10">
        <f>31.1228 * CHOOSE(CONTROL!$C$15, $E$9, 100%, $G$9) + CHOOSE(CONTROL!$C$38, 0.0347, 0)</f>
        <v>31.157500000000002</v>
      </c>
      <c r="H384" s="10">
        <f>31.1228 * CHOOSE(CONTROL!$C$15, $E$9, 100%, $G$9) + CHOOSE(CONTROL!$C$38, 0.0347, 0)</f>
        <v>31.157500000000002</v>
      </c>
      <c r="I384" s="10">
        <f>31.1244 * CHOOSE(CONTROL!$C$15, $E$9, 100%, $G$9) + CHOOSE(CONTROL!$C$38, 0.0347, 0)</f>
        <v>31.159100000000002</v>
      </c>
      <c r="J384" s="26">
        <f>189.0787</f>
        <v>189.0787</v>
      </c>
    </row>
    <row r="385" spans="1:10" ht="15.75" x14ac:dyDescent="0.25">
      <c r="A385" s="14">
        <v>53021</v>
      </c>
      <c r="B385" s="10">
        <f>33.9097 * CHOOSE(CONTROL!$C$15, $E$9, 100%, $G$9) + CHOOSE(CONTROL!$C$38, 0.0256, 0)</f>
        <v>33.935299999999998</v>
      </c>
      <c r="C385" s="10">
        <f>31.3452 * CHOOSE(CONTROL!$C$15, $E$9, 100%, $G$9) + CHOOSE(CONTROL!$C$38, 0.0347, 0)</f>
        <v>31.379899999999999</v>
      </c>
      <c r="D385" s="10">
        <f>31.3374 * CHOOSE(CONTROL!$C$15, $E$9, 100%, $G$9) + CHOOSE(CONTROL!$C$38, 0.0347, 0)</f>
        <v>31.3721</v>
      </c>
      <c r="E385" s="28">
        <f>33.7535 * CHOOSE(CONTROL!$C$15, $E$9, 100%, $G$9) + CHOOSE(CONTROL!$C$38, 0.0347, 0)</f>
        <v>33.788200000000003</v>
      </c>
      <c r="F385" s="27">
        <f>33.7535 * CHOOSE(CONTROL!$C$15, $E$9, 100%, $G$9) + CHOOSE(CONTROL!$C$38, 0.0256, 0)</f>
        <v>33.7791</v>
      </c>
      <c r="G385" s="10">
        <f>31.3436 * CHOOSE(CONTROL!$C$15, $E$9, 100%, $G$9) + CHOOSE(CONTROL!$C$38, 0.0347, 0)</f>
        <v>31.378299999999999</v>
      </c>
      <c r="H385" s="10">
        <f>31.3436 * CHOOSE(CONTROL!$C$15, $E$9, 100%, $G$9) + CHOOSE(CONTROL!$C$38, 0.0347, 0)</f>
        <v>31.378299999999999</v>
      </c>
      <c r="I385" s="10">
        <f>31.3452 * CHOOSE(CONTROL!$C$15, $E$9, 100%, $G$9) + CHOOSE(CONTROL!$C$38, 0.0347, 0)</f>
        <v>31.379899999999999</v>
      </c>
      <c r="J385" s="26">
        <f>188.5532</f>
        <v>188.5532</v>
      </c>
    </row>
    <row r="386" spans="1:10" ht="15.75" x14ac:dyDescent="0.25">
      <c r="A386" s="14">
        <v>53052</v>
      </c>
      <c r="B386" s="10">
        <f>33.3987 * CHOOSE(CONTROL!$C$15, $E$9, 100%, $G$9) + CHOOSE(CONTROL!$C$38, 0.0256, 0)</f>
        <v>33.424299999999995</v>
      </c>
      <c r="C386" s="10">
        <f>30.8341 * CHOOSE(CONTROL!$C$15, $E$9, 100%, $G$9) + CHOOSE(CONTROL!$C$38, 0.0347, 0)</f>
        <v>30.8688</v>
      </c>
      <c r="D386" s="10">
        <f>30.8263 * CHOOSE(CONTROL!$C$15, $E$9, 100%, $G$9) + CHOOSE(CONTROL!$C$38, 0.0347, 0)</f>
        <v>30.861000000000001</v>
      </c>
      <c r="E386" s="28">
        <f>33.2425 * CHOOSE(CONTROL!$C$15, $E$9, 100%, $G$9) + CHOOSE(CONTROL!$C$38, 0.0347, 0)</f>
        <v>33.277200000000001</v>
      </c>
      <c r="F386" s="27">
        <f>33.2425 * CHOOSE(CONTROL!$C$15, $E$9, 100%, $G$9) + CHOOSE(CONTROL!$C$38, 0.0256, 0)</f>
        <v>33.268099999999997</v>
      </c>
      <c r="G386" s="10">
        <f>30.8326 * CHOOSE(CONTROL!$C$15, $E$9, 100%, $G$9) + CHOOSE(CONTROL!$C$38, 0.0347, 0)</f>
        <v>30.8673</v>
      </c>
      <c r="H386" s="10">
        <f>30.8326 * CHOOSE(CONTROL!$C$15, $E$9, 100%, $G$9) + CHOOSE(CONTROL!$C$38, 0.0347, 0)</f>
        <v>30.8673</v>
      </c>
      <c r="I386" s="10">
        <f>30.8341 * CHOOSE(CONTROL!$C$15, $E$9, 100%, $G$9) + CHOOSE(CONTROL!$C$38, 0.0347, 0)</f>
        <v>30.8688</v>
      </c>
      <c r="J386" s="26">
        <f>198.491</f>
        <v>198.49100000000001</v>
      </c>
    </row>
    <row r="387" spans="1:10" ht="15.75" x14ac:dyDescent="0.25">
      <c r="A387" s="14">
        <v>53082</v>
      </c>
      <c r="B387" s="10">
        <f>32.9035 * CHOOSE(CONTROL!$C$15, $E$9, 100%, $G$9) + CHOOSE(CONTROL!$C$38, 0.0256, 0)</f>
        <v>32.929099999999998</v>
      </c>
      <c r="C387" s="10">
        <f>30.339 * CHOOSE(CONTROL!$C$15, $E$9, 100%, $G$9) + CHOOSE(CONTROL!$C$38, 0.0347, 0)</f>
        <v>30.373699999999999</v>
      </c>
      <c r="D387" s="10">
        <f>30.3311 * CHOOSE(CONTROL!$C$15, $E$9, 100%, $G$9) + CHOOSE(CONTROL!$C$38, 0.0347, 0)</f>
        <v>30.3658</v>
      </c>
      <c r="E387" s="28">
        <f>32.7473 * CHOOSE(CONTROL!$C$15, $E$9, 100%, $G$9) + CHOOSE(CONTROL!$C$38, 0.0347, 0)</f>
        <v>32.782000000000004</v>
      </c>
      <c r="F387" s="27">
        <f>32.7473 * CHOOSE(CONTROL!$C$15, $E$9, 100%, $G$9) + CHOOSE(CONTROL!$C$38, 0.0256, 0)</f>
        <v>32.7729</v>
      </c>
      <c r="G387" s="10">
        <f>30.3374 * CHOOSE(CONTROL!$C$15, $E$9, 100%, $G$9) + CHOOSE(CONTROL!$C$38, 0.0347, 0)</f>
        <v>30.3721</v>
      </c>
      <c r="H387" s="10">
        <f>30.3374 * CHOOSE(CONTROL!$C$15, $E$9, 100%, $G$9) + CHOOSE(CONTROL!$C$38, 0.0347, 0)</f>
        <v>30.3721</v>
      </c>
      <c r="I387" s="10">
        <f>30.339 * CHOOSE(CONTROL!$C$15, $E$9, 100%, $G$9) + CHOOSE(CONTROL!$C$38, 0.0347, 0)</f>
        <v>30.373699999999999</v>
      </c>
      <c r="J387" s="26">
        <f>211.378</f>
        <v>211.37799999999999</v>
      </c>
    </row>
    <row r="388" spans="1:10" ht="15.75" x14ac:dyDescent="0.25">
      <c r="A388" s="14">
        <v>53113</v>
      </c>
      <c r="B388" s="10">
        <f>32.3874 * CHOOSE(CONTROL!$C$15, $E$9, 100%, $G$9) + CHOOSE(CONTROL!$C$38, 0.0278, 0)</f>
        <v>32.415199999999999</v>
      </c>
      <c r="C388" s="10">
        <f>29.8228 * CHOOSE(CONTROL!$C$15, $E$9, 100%, $G$9) + CHOOSE(CONTROL!$C$38, 0.0369, 0)</f>
        <v>29.8597</v>
      </c>
      <c r="D388" s="10">
        <f>29.815 * CHOOSE(CONTROL!$C$15, $E$9, 100%, $G$9) + CHOOSE(CONTROL!$C$38, 0.0369, 0)</f>
        <v>29.851900000000001</v>
      </c>
      <c r="E388" s="28">
        <f>32.2312 * CHOOSE(CONTROL!$C$15, $E$9, 100%, $G$9) + CHOOSE(CONTROL!$C$38, 0.0369, 0)</f>
        <v>32.268100000000004</v>
      </c>
      <c r="F388" s="27">
        <f>32.2312 * CHOOSE(CONTROL!$C$15, $E$9, 100%, $G$9) + CHOOSE(CONTROL!$C$38, 0.0278, 0)</f>
        <v>32.259</v>
      </c>
      <c r="G388" s="10">
        <f>29.8213 * CHOOSE(CONTROL!$C$15, $E$9, 100%, $G$9) + CHOOSE(CONTROL!$C$38, 0.0369, 0)</f>
        <v>29.8582</v>
      </c>
      <c r="H388" s="10">
        <f>29.8213 * CHOOSE(CONTROL!$C$15, $E$9, 100%, $G$9) + CHOOSE(CONTROL!$C$38, 0.0369, 0)</f>
        <v>29.8582</v>
      </c>
      <c r="I388" s="10">
        <f>29.8228 * CHOOSE(CONTROL!$C$15, $E$9, 100%, $G$9) + CHOOSE(CONTROL!$C$38, 0.0369, 0)</f>
        <v>29.8597</v>
      </c>
      <c r="J388" s="26">
        <f>218.4714</f>
        <v>218.47139999999999</v>
      </c>
    </row>
    <row r="389" spans="1:10" ht="15.75" x14ac:dyDescent="0.25">
      <c r="A389" s="14">
        <v>53143</v>
      </c>
      <c r="B389" s="10">
        <f>32.0256 * CHOOSE(CONTROL!$C$15, $E$9, 100%, $G$9) + CHOOSE(CONTROL!$C$38, 0.0278, 0)</f>
        <v>32.053399999999996</v>
      </c>
      <c r="C389" s="10">
        <f>29.461 * CHOOSE(CONTROL!$C$15, $E$9, 100%, $G$9) + CHOOSE(CONTROL!$C$38, 0.0369, 0)</f>
        <v>29.497899999999998</v>
      </c>
      <c r="D389" s="10">
        <f>29.4532 * CHOOSE(CONTROL!$C$15, $E$9, 100%, $G$9) + CHOOSE(CONTROL!$C$38, 0.0369, 0)</f>
        <v>29.490099999999998</v>
      </c>
      <c r="E389" s="28">
        <f>31.8693 * CHOOSE(CONTROL!$C$15, $E$9, 100%, $G$9) + CHOOSE(CONTROL!$C$38, 0.0369, 0)</f>
        <v>31.906199999999998</v>
      </c>
      <c r="F389" s="27">
        <f>31.8693 * CHOOSE(CONTROL!$C$15, $E$9, 100%, $G$9) + CHOOSE(CONTROL!$C$38, 0.0278, 0)</f>
        <v>31.897099999999998</v>
      </c>
      <c r="G389" s="10">
        <f>29.4594 * CHOOSE(CONTROL!$C$15, $E$9, 100%, $G$9) + CHOOSE(CONTROL!$C$38, 0.0369, 0)</f>
        <v>29.496299999999998</v>
      </c>
      <c r="H389" s="10">
        <f>29.4594 * CHOOSE(CONTROL!$C$15, $E$9, 100%, $G$9) + CHOOSE(CONTROL!$C$38, 0.0369, 0)</f>
        <v>29.496299999999998</v>
      </c>
      <c r="I389" s="10">
        <f>29.461 * CHOOSE(CONTROL!$C$15, $E$9, 100%, $G$9) + CHOOSE(CONTROL!$C$38, 0.0369, 0)</f>
        <v>29.497899999999998</v>
      </c>
      <c r="J389" s="26">
        <f>221.6194</f>
        <v>221.61940000000001</v>
      </c>
    </row>
    <row r="390" spans="1:10" ht="15.75" x14ac:dyDescent="0.25">
      <c r="A390" s="14">
        <v>53174</v>
      </c>
      <c r="B390" s="10">
        <f>31.8191 * CHOOSE(CONTROL!$C$15, $E$9, 100%, $G$9) + CHOOSE(CONTROL!$C$38, 0.0278, 0)</f>
        <v>31.846899999999998</v>
      </c>
      <c r="C390" s="10">
        <f>29.2545 * CHOOSE(CONTROL!$C$15, $E$9, 100%, $G$9) + CHOOSE(CONTROL!$C$38, 0.0369, 0)</f>
        <v>29.291399999999999</v>
      </c>
      <c r="D390" s="10">
        <f>29.2467 * CHOOSE(CONTROL!$C$15, $E$9, 100%, $G$9) + CHOOSE(CONTROL!$C$38, 0.0369, 0)</f>
        <v>29.2836</v>
      </c>
      <c r="E390" s="28">
        <f>31.6628 * CHOOSE(CONTROL!$C$15, $E$9, 100%, $G$9) + CHOOSE(CONTROL!$C$38, 0.0369, 0)</f>
        <v>31.6997</v>
      </c>
      <c r="F390" s="27">
        <f>31.6628 * CHOOSE(CONTROL!$C$15, $E$9, 100%, $G$9) + CHOOSE(CONTROL!$C$38, 0.0278, 0)</f>
        <v>31.6906</v>
      </c>
      <c r="G390" s="10">
        <f>29.253 * CHOOSE(CONTROL!$C$15, $E$9, 100%, $G$9) + CHOOSE(CONTROL!$C$38, 0.0369, 0)</f>
        <v>29.289899999999999</v>
      </c>
      <c r="H390" s="10">
        <f>29.253 * CHOOSE(CONTROL!$C$15, $E$9, 100%, $G$9) + CHOOSE(CONTROL!$C$38, 0.0369, 0)</f>
        <v>29.289899999999999</v>
      </c>
      <c r="I390" s="10">
        <f>29.2545 * CHOOSE(CONTROL!$C$15, $E$9, 100%, $G$9) + CHOOSE(CONTROL!$C$38, 0.0369, 0)</f>
        <v>29.291399999999999</v>
      </c>
      <c r="J390" s="26">
        <f>220.5829</f>
        <v>220.5829</v>
      </c>
    </row>
    <row r="391" spans="1:10" ht="15.75" x14ac:dyDescent="0.25">
      <c r="A391" s="14">
        <v>53205</v>
      </c>
      <c r="B391" s="10">
        <f>31.921 * CHOOSE(CONTROL!$C$15, $E$9, 100%, $G$9) + CHOOSE(CONTROL!$C$38, 0.0278, 0)</f>
        <v>31.948799999999999</v>
      </c>
      <c r="C391" s="10">
        <f>29.3564 * CHOOSE(CONTROL!$C$15, $E$9, 100%, $G$9) + CHOOSE(CONTROL!$C$38, 0.0369, 0)</f>
        <v>29.3933</v>
      </c>
      <c r="D391" s="10">
        <f>29.3486 * CHOOSE(CONTROL!$C$15, $E$9, 100%, $G$9) + CHOOSE(CONTROL!$C$38, 0.0369, 0)</f>
        <v>29.3855</v>
      </c>
      <c r="E391" s="28">
        <f>31.7648 * CHOOSE(CONTROL!$C$15, $E$9, 100%, $G$9) + CHOOSE(CONTROL!$C$38, 0.0369, 0)</f>
        <v>31.8017</v>
      </c>
      <c r="F391" s="27">
        <f>31.7648 * CHOOSE(CONTROL!$C$15, $E$9, 100%, $G$9) + CHOOSE(CONTROL!$C$38, 0.0278, 0)</f>
        <v>31.7926</v>
      </c>
      <c r="G391" s="10">
        <f>29.3549 * CHOOSE(CONTROL!$C$15, $E$9, 100%, $G$9) + CHOOSE(CONTROL!$C$38, 0.0369, 0)</f>
        <v>29.3918</v>
      </c>
      <c r="H391" s="10">
        <f>29.3549 * CHOOSE(CONTROL!$C$15, $E$9, 100%, $G$9) + CHOOSE(CONTROL!$C$38, 0.0369, 0)</f>
        <v>29.3918</v>
      </c>
      <c r="I391" s="10">
        <f>29.3564 * CHOOSE(CONTROL!$C$15, $E$9, 100%, $G$9) + CHOOSE(CONTROL!$C$38, 0.0369, 0)</f>
        <v>29.3933</v>
      </c>
      <c r="J391" s="26">
        <f>215.4479</f>
        <v>215.4479</v>
      </c>
    </row>
    <row r="392" spans="1:10" ht="15.75" x14ac:dyDescent="0.25">
      <c r="A392" s="14">
        <v>53235</v>
      </c>
      <c r="B392" s="10">
        <f>32.1978 * CHOOSE(CONTROL!$C$15, $E$9, 100%, $G$9) + CHOOSE(CONTROL!$C$38, 0.0278, 0)</f>
        <v>32.2256</v>
      </c>
      <c r="C392" s="10">
        <f>29.6332 * CHOOSE(CONTROL!$C$15, $E$9, 100%, $G$9) + CHOOSE(CONTROL!$C$38, 0.0369, 0)</f>
        <v>29.670099999999998</v>
      </c>
      <c r="D392" s="10">
        <f>29.6254 * CHOOSE(CONTROL!$C$15, $E$9, 100%, $G$9) + CHOOSE(CONTROL!$C$38, 0.0369, 0)</f>
        <v>29.662299999999998</v>
      </c>
      <c r="E392" s="28">
        <f>32.0415 * CHOOSE(CONTROL!$C$15, $E$9, 100%, $G$9) + CHOOSE(CONTROL!$C$38, 0.0369, 0)</f>
        <v>32.078400000000002</v>
      </c>
      <c r="F392" s="27">
        <f>32.0415 * CHOOSE(CONTROL!$C$15, $E$9, 100%, $G$9) + CHOOSE(CONTROL!$C$38, 0.0278, 0)</f>
        <v>32.069299999999998</v>
      </c>
      <c r="G392" s="10">
        <f>29.6317 * CHOOSE(CONTROL!$C$15, $E$9, 100%, $G$9) + CHOOSE(CONTROL!$C$38, 0.0369, 0)</f>
        <v>29.668599999999998</v>
      </c>
      <c r="H392" s="10">
        <f>29.6317 * CHOOSE(CONTROL!$C$15, $E$9, 100%, $G$9) + CHOOSE(CONTROL!$C$38, 0.0369, 0)</f>
        <v>29.668599999999998</v>
      </c>
      <c r="I392" s="10">
        <f>29.6332 * CHOOSE(CONTROL!$C$15, $E$9, 100%, $G$9) + CHOOSE(CONTROL!$C$38, 0.0369, 0)</f>
        <v>29.670099999999998</v>
      </c>
      <c r="J392" s="26">
        <f>208.2867</f>
        <v>208.2867</v>
      </c>
    </row>
    <row r="393" spans="1:10" ht="15.75" x14ac:dyDescent="0.25">
      <c r="A393" s="14">
        <v>53266</v>
      </c>
      <c r="B393" s="10">
        <f>32.4296 * CHOOSE(CONTROL!$C$15, $E$9, 100%, $G$9) + CHOOSE(CONTROL!$C$38, 0.0256, 0)</f>
        <v>32.455199999999998</v>
      </c>
      <c r="C393" s="10">
        <f>29.8651 * CHOOSE(CONTROL!$C$15, $E$9, 100%, $G$9) + CHOOSE(CONTROL!$C$38, 0.0347, 0)</f>
        <v>29.899800000000003</v>
      </c>
      <c r="D393" s="10">
        <f>29.8572 * CHOOSE(CONTROL!$C$15, $E$9, 100%, $G$9) + CHOOSE(CONTROL!$C$38, 0.0347, 0)</f>
        <v>29.8919</v>
      </c>
      <c r="E393" s="28">
        <f>32.2734 * CHOOSE(CONTROL!$C$15, $E$9, 100%, $G$9) + CHOOSE(CONTROL!$C$38, 0.0347, 0)</f>
        <v>32.308100000000003</v>
      </c>
      <c r="F393" s="27">
        <f>32.2734 * CHOOSE(CONTROL!$C$15, $E$9, 100%, $G$9) + CHOOSE(CONTROL!$C$38, 0.0256, 0)</f>
        <v>32.298999999999999</v>
      </c>
      <c r="G393" s="10">
        <f>29.8635 * CHOOSE(CONTROL!$C$15, $E$9, 100%, $G$9) + CHOOSE(CONTROL!$C$38, 0.0347, 0)</f>
        <v>29.898199999999999</v>
      </c>
      <c r="H393" s="10">
        <f>29.8635 * CHOOSE(CONTROL!$C$15, $E$9, 100%, $G$9) + CHOOSE(CONTROL!$C$38, 0.0347, 0)</f>
        <v>29.898199999999999</v>
      </c>
      <c r="I393" s="10">
        <f>29.8651 * CHOOSE(CONTROL!$C$15, $E$9, 100%, $G$9) + CHOOSE(CONTROL!$C$38, 0.0347, 0)</f>
        <v>29.899800000000003</v>
      </c>
      <c r="J393" s="26">
        <f>201.084</f>
        <v>201.084</v>
      </c>
    </row>
    <row r="394" spans="1:10" ht="15.75" x14ac:dyDescent="0.25">
      <c r="A394" s="14">
        <v>53296</v>
      </c>
      <c r="B394" s="10">
        <f>32.6231 * CHOOSE(CONTROL!$C$15, $E$9, 100%, $G$9) + CHOOSE(CONTROL!$C$38, 0.0256, 0)</f>
        <v>32.648699999999998</v>
      </c>
      <c r="C394" s="10">
        <f>30.0585 * CHOOSE(CONTROL!$C$15, $E$9, 100%, $G$9) + CHOOSE(CONTROL!$C$38, 0.0347, 0)</f>
        <v>30.0932</v>
      </c>
      <c r="D394" s="10">
        <f>30.0507 * CHOOSE(CONTROL!$C$15, $E$9, 100%, $G$9) + CHOOSE(CONTROL!$C$38, 0.0347, 0)</f>
        <v>30.0854</v>
      </c>
      <c r="E394" s="28">
        <f>32.4668 * CHOOSE(CONTROL!$C$15, $E$9, 100%, $G$9) + CHOOSE(CONTROL!$C$38, 0.0347, 0)</f>
        <v>32.5015</v>
      </c>
      <c r="F394" s="27">
        <f>32.4668 * CHOOSE(CONTROL!$C$15, $E$9, 100%, $G$9) + CHOOSE(CONTROL!$C$38, 0.0256, 0)</f>
        <v>32.492399999999996</v>
      </c>
      <c r="G394" s="10">
        <f>30.0569 * CHOOSE(CONTROL!$C$15, $E$9, 100%, $G$9) + CHOOSE(CONTROL!$C$38, 0.0347, 0)</f>
        <v>30.0916</v>
      </c>
      <c r="H394" s="10">
        <f>30.0569 * CHOOSE(CONTROL!$C$15, $E$9, 100%, $G$9) + CHOOSE(CONTROL!$C$38, 0.0347, 0)</f>
        <v>30.0916</v>
      </c>
      <c r="I394" s="10">
        <f>30.0585 * CHOOSE(CONTROL!$C$15, $E$9, 100%, $G$9) + CHOOSE(CONTROL!$C$38, 0.0347, 0)</f>
        <v>30.0932</v>
      </c>
      <c r="J394" s="26">
        <f>199.6512</f>
        <v>199.65119999999999</v>
      </c>
    </row>
    <row r="395" spans="1:10" ht="15.75" x14ac:dyDescent="0.25">
      <c r="A395" s="14">
        <v>53327</v>
      </c>
      <c r="B395" s="10">
        <f>33.2191 * CHOOSE(CONTROL!$C$15, $E$9, 100%, $G$9) + CHOOSE(CONTROL!$C$38, 0.0256, 0)</f>
        <v>33.244699999999995</v>
      </c>
      <c r="C395" s="10">
        <f>30.6546 * CHOOSE(CONTROL!$C$15, $E$9, 100%, $G$9) + CHOOSE(CONTROL!$C$38, 0.0347, 0)</f>
        <v>30.689299999999999</v>
      </c>
      <c r="D395" s="10">
        <f>30.6467 * CHOOSE(CONTROL!$C$15, $E$9, 100%, $G$9) + CHOOSE(CONTROL!$C$38, 0.0347, 0)</f>
        <v>30.6814</v>
      </c>
      <c r="E395" s="28">
        <f>33.0629 * CHOOSE(CONTROL!$C$15, $E$9, 100%, $G$9) + CHOOSE(CONTROL!$C$38, 0.0347, 0)</f>
        <v>33.0976</v>
      </c>
      <c r="F395" s="27">
        <f>33.0629 * CHOOSE(CONTROL!$C$15, $E$9, 100%, $G$9) + CHOOSE(CONTROL!$C$38, 0.0256, 0)</f>
        <v>33.088499999999996</v>
      </c>
      <c r="G395" s="10">
        <f>30.653 * CHOOSE(CONTROL!$C$15, $E$9, 100%, $G$9) + CHOOSE(CONTROL!$C$38, 0.0347, 0)</f>
        <v>30.6877</v>
      </c>
      <c r="H395" s="10">
        <f>30.653 * CHOOSE(CONTROL!$C$15, $E$9, 100%, $G$9) + CHOOSE(CONTROL!$C$38, 0.0347, 0)</f>
        <v>30.6877</v>
      </c>
      <c r="I395" s="10">
        <f>30.6546 * CHOOSE(CONTROL!$C$15, $E$9, 100%, $G$9) + CHOOSE(CONTROL!$C$38, 0.0347, 0)</f>
        <v>30.689299999999999</v>
      </c>
      <c r="J395" s="26">
        <f>193.7265</f>
        <v>193.72649999999999</v>
      </c>
    </row>
    <row r="396" spans="1:10" ht="15.75" x14ac:dyDescent="0.25">
      <c r="A396" s="14">
        <v>53358</v>
      </c>
      <c r="B396" s="10">
        <f>34.256 * CHOOSE(CONTROL!$C$15, $E$9, 100%, $G$9) + CHOOSE(CONTROL!$C$38, 0.0256, 0)</f>
        <v>34.281599999999997</v>
      </c>
      <c r="C396" s="10">
        <f>31.6489 * CHOOSE(CONTROL!$C$15, $E$9, 100%, $G$9) + CHOOSE(CONTROL!$C$38, 0.0347, 0)</f>
        <v>31.683600000000002</v>
      </c>
      <c r="D396" s="10">
        <f>31.6411 * CHOOSE(CONTROL!$C$15, $E$9, 100%, $G$9) + CHOOSE(CONTROL!$C$38, 0.0347, 0)</f>
        <v>31.675800000000002</v>
      </c>
      <c r="E396" s="28">
        <f>34.0998 * CHOOSE(CONTROL!$C$15, $E$9, 100%, $G$9) + CHOOSE(CONTROL!$C$38, 0.0347, 0)</f>
        <v>34.134500000000003</v>
      </c>
      <c r="F396" s="27">
        <f>34.0998 * CHOOSE(CONTROL!$C$15, $E$9, 100%, $G$9) + CHOOSE(CONTROL!$C$38, 0.0256, 0)</f>
        <v>34.125399999999999</v>
      </c>
      <c r="G396" s="10">
        <f>31.6473 * CHOOSE(CONTROL!$C$15, $E$9, 100%, $G$9) + CHOOSE(CONTROL!$C$38, 0.0347, 0)</f>
        <v>31.682000000000002</v>
      </c>
      <c r="H396" s="10">
        <f>31.6473 * CHOOSE(CONTROL!$C$15, $E$9, 100%, $G$9) + CHOOSE(CONTROL!$C$38, 0.0347, 0)</f>
        <v>31.682000000000002</v>
      </c>
      <c r="I396" s="10">
        <f>31.6489 * CHOOSE(CONTROL!$C$15, $E$9, 100%, $G$9) + CHOOSE(CONTROL!$C$38, 0.0347, 0)</f>
        <v>31.683600000000002</v>
      </c>
      <c r="J396" s="26">
        <f>192.4289</f>
        <v>192.4289</v>
      </c>
    </row>
    <row r="397" spans="1:10" ht="15.75" x14ac:dyDescent="0.25">
      <c r="A397" s="14">
        <v>53386</v>
      </c>
      <c r="B397" s="10">
        <f>34.4768 * CHOOSE(CONTROL!$C$15, $E$9, 100%, $G$9) + CHOOSE(CONTROL!$C$38, 0.0256, 0)</f>
        <v>34.502399999999994</v>
      </c>
      <c r="C397" s="10">
        <f>31.8696 * CHOOSE(CONTROL!$C$15, $E$9, 100%, $G$9) + CHOOSE(CONTROL!$C$38, 0.0347, 0)</f>
        <v>31.904299999999999</v>
      </c>
      <c r="D397" s="10">
        <f>31.8618 * CHOOSE(CONTROL!$C$15, $E$9, 100%, $G$9) + CHOOSE(CONTROL!$C$38, 0.0347, 0)</f>
        <v>31.8965</v>
      </c>
      <c r="E397" s="28">
        <f>34.3205 * CHOOSE(CONTROL!$C$15, $E$9, 100%, $G$9) + CHOOSE(CONTROL!$C$38, 0.0347, 0)</f>
        <v>34.355200000000004</v>
      </c>
      <c r="F397" s="27">
        <f>34.3205 * CHOOSE(CONTROL!$C$15, $E$9, 100%, $G$9) + CHOOSE(CONTROL!$C$38, 0.0256, 0)</f>
        <v>34.3461</v>
      </c>
      <c r="G397" s="10">
        <f>31.8681 * CHOOSE(CONTROL!$C$15, $E$9, 100%, $G$9) + CHOOSE(CONTROL!$C$38, 0.0347, 0)</f>
        <v>31.902799999999999</v>
      </c>
      <c r="H397" s="10">
        <f>31.8681 * CHOOSE(CONTROL!$C$15, $E$9, 100%, $G$9) + CHOOSE(CONTROL!$C$38, 0.0347, 0)</f>
        <v>31.902799999999999</v>
      </c>
      <c r="I397" s="10">
        <f>31.8696 * CHOOSE(CONTROL!$C$15, $E$9, 100%, $G$9) + CHOOSE(CONTROL!$C$38, 0.0347, 0)</f>
        <v>31.904299999999999</v>
      </c>
      <c r="J397" s="26">
        <f>191.894</f>
        <v>191.89400000000001</v>
      </c>
    </row>
    <row r="398" spans="1:10" ht="15.75" x14ac:dyDescent="0.25">
      <c r="A398" s="14">
        <v>53417</v>
      </c>
      <c r="B398" s="10">
        <f>33.9657 * CHOOSE(CONTROL!$C$15, $E$9, 100%, $G$9) + CHOOSE(CONTROL!$C$38, 0.0256, 0)</f>
        <v>33.991299999999995</v>
      </c>
      <c r="C398" s="10">
        <f>31.3586 * CHOOSE(CONTROL!$C$15, $E$9, 100%, $G$9) + CHOOSE(CONTROL!$C$38, 0.0347, 0)</f>
        <v>31.3933</v>
      </c>
      <c r="D398" s="10">
        <f>31.3508 * CHOOSE(CONTROL!$C$15, $E$9, 100%, $G$9) + CHOOSE(CONTROL!$C$38, 0.0347, 0)</f>
        <v>31.3855</v>
      </c>
      <c r="E398" s="28">
        <f>33.8095 * CHOOSE(CONTROL!$C$15, $E$9, 100%, $G$9) + CHOOSE(CONTROL!$C$38, 0.0347, 0)</f>
        <v>33.844200000000001</v>
      </c>
      <c r="F398" s="27">
        <f>33.8095 * CHOOSE(CONTROL!$C$15, $E$9, 100%, $G$9) + CHOOSE(CONTROL!$C$38, 0.0256, 0)</f>
        <v>33.835099999999997</v>
      </c>
      <c r="G398" s="10">
        <f>31.3571 * CHOOSE(CONTROL!$C$15, $E$9, 100%, $G$9) + CHOOSE(CONTROL!$C$38, 0.0347, 0)</f>
        <v>31.3918</v>
      </c>
      <c r="H398" s="10">
        <f>31.3571 * CHOOSE(CONTROL!$C$15, $E$9, 100%, $G$9) + CHOOSE(CONTROL!$C$38, 0.0347, 0)</f>
        <v>31.3918</v>
      </c>
      <c r="I398" s="10">
        <f>31.3586 * CHOOSE(CONTROL!$C$15, $E$9, 100%, $G$9) + CHOOSE(CONTROL!$C$38, 0.0347, 0)</f>
        <v>31.3933</v>
      </c>
      <c r="J398" s="26">
        <f>202.0079</f>
        <v>202.00790000000001</v>
      </c>
    </row>
    <row r="399" spans="1:10" ht="15.75" x14ac:dyDescent="0.25">
      <c r="A399" s="14">
        <v>53447</v>
      </c>
      <c r="B399" s="10">
        <f>33.4706 * CHOOSE(CONTROL!$C$15, $E$9, 100%, $G$9) + CHOOSE(CONTROL!$C$38, 0.0256, 0)</f>
        <v>33.496199999999995</v>
      </c>
      <c r="C399" s="10">
        <f>30.8634 * CHOOSE(CONTROL!$C$15, $E$9, 100%, $G$9) + CHOOSE(CONTROL!$C$38, 0.0347, 0)</f>
        <v>30.898099999999999</v>
      </c>
      <c r="D399" s="10">
        <f>30.8556 * CHOOSE(CONTROL!$C$15, $E$9, 100%, $G$9) + CHOOSE(CONTROL!$C$38, 0.0347, 0)</f>
        <v>30.8903</v>
      </c>
      <c r="E399" s="28">
        <f>33.3143 * CHOOSE(CONTROL!$C$15, $E$9, 100%, $G$9) + CHOOSE(CONTROL!$C$38, 0.0347, 0)</f>
        <v>33.349000000000004</v>
      </c>
      <c r="F399" s="27">
        <f>33.3143 * CHOOSE(CONTROL!$C$15, $E$9, 100%, $G$9) + CHOOSE(CONTROL!$C$38, 0.0256, 0)</f>
        <v>33.3399</v>
      </c>
      <c r="G399" s="10">
        <f>30.8619 * CHOOSE(CONTROL!$C$15, $E$9, 100%, $G$9) + CHOOSE(CONTROL!$C$38, 0.0347, 0)</f>
        <v>30.896599999999999</v>
      </c>
      <c r="H399" s="10">
        <f>30.8619 * CHOOSE(CONTROL!$C$15, $E$9, 100%, $G$9) + CHOOSE(CONTROL!$C$38, 0.0347, 0)</f>
        <v>30.896599999999999</v>
      </c>
      <c r="I399" s="10">
        <f>30.8634 * CHOOSE(CONTROL!$C$15, $E$9, 100%, $G$9) + CHOOSE(CONTROL!$C$38, 0.0347, 0)</f>
        <v>30.898099999999999</v>
      </c>
      <c r="J399" s="26">
        <f>215.1232</f>
        <v>215.1232</v>
      </c>
    </row>
    <row r="400" spans="1:10" ht="15.75" x14ac:dyDescent="0.25">
      <c r="A400" s="14">
        <v>53478</v>
      </c>
      <c r="B400" s="10">
        <f>32.9544 * CHOOSE(CONTROL!$C$15, $E$9, 100%, $G$9) + CHOOSE(CONTROL!$C$38, 0.0278, 0)</f>
        <v>32.982199999999999</v>
      </c>
      <c r="C400" s="10">
        <f>30.3473 * CHOOSE(CONTROL!$C$15, $E$9, 100%, $G$9) + CHOOSE(CONTROL!$C$38, 0.0369, 0)</f>
        <v>30.3842</v>
      </c>
      <c r="D400" s="10">
        <f>30.3395 * CHOOSE(CONTROL!$C$15, $E$9, 100%, $G$9) + CHOOSE(CONTROL!$C$38, 0.0369, 0)</f>
        <v>30.3764</v>
      </c>
      <c r="E400" s="28">
        <f>32.7982 * CHOOSE(CONTROL!$C$15, $E$9, 100%, $G$9) + CHOOSE(CONTROL!$C$38, 0.0369, 0)</f>
        <v>32.835100000000004</v>
      </c>
      <c r="F400" s="27">
        <f>32.7982 * CHOOSE(CONTROL!$C$15, $E$9, 100%, $G$9) + CHOOSE(CONTROL!$C$38, 0.0278, 0)</f>
        <v>32.826000000000001</v>
      </c>
      <c r="G400" s="10">
        <f>30.3458 * CHOOSE(CONTROL!$C$15, $E$9, 100%, $G$9) + CHOOSE(CONTROL!$C$38, 0.0369, 0)</f>
        <v>30.3827</v>
      </c>
      <c r="H400" s="10">
        <f>30.3458 * CHOOSE(CONTROL!$C$15, $E$9, 100%, $G$9) + CHOOSE(CONTROL!$C$38, 0.0369, 0)</f>
        <v>30.3827</v>
      </c>
      <c r="I400" s="10">
        <f>30.3473 * CHOOSE(CONTROL!$C$15, $E$9, 100%, $G$9) + CHOOSE(CONTROL!$C$38, 0.0369, 0)</f>
        <v>30.3842</v>
      </c>
      <c r="J400" s="26">
        <f>222.3423</f>
        <v>222.34229999999999</v>
      </c>
    </row>
    <row r="401" spans="1:10" ht="15.75" x14ac:dyDescent="0.25">
      <c r="A401" s="14">
        <v>53508</v>
      </c>
      <c r="B401" s="10">
        <f>32.5926 * CHOOSE(CONTROL!$C$15, $E$9, 100%, $G$9) + CHOOSE(CONTROL!$C$38, 0.0278, 0)</f>
        <v>32.620399999999997</v>
      </c>
      <c r="C401" s="10">
        <f>29.9855 * CHOOSE(CONTROL!$C$15, $E$9, 100%, $G$9) + CHOOSE(CONTROL!$C$38, 0.0369, 0)</f>
        <v>30.022399999999998</v>
      </c>
      <c r="D401" s="10">
        <f>29.9777 * CHOOSE(CONTROL!$C$15, $E$9, 100%, $G$9) + CHOOSE(CONTROL!$C$38, 0.0369, 0)</f>
        <v>30.014599999999998</v>
      </c>
      <c r="E401" s="28">
        <f>32.4364 * CHOOSE(CONTROL!$C$15, $E$9, 100%, $G$9) + CHOOSE(CONTROL!$C$38, 0.0369, 0)</f>
        <v>32.473300000000002</v>
      </c>
      <c r="F401" s="27">
        <f>32.4364 * CHOOSE(CONTROL!$C$15, $E$9, 100%, $G$9) + CHOOSE(CONTROL!$C$38, 0.0278, 0)</f>
        <v>32.464199999999998</v>
      </c>
      <c r="G401" s="10">
        <f>29.9839 * CHOOSE(CONTROL!$C$15, $E$9, 100%, $G$9) + CHOOSE(CONTROL!$C$38, 0.0369, 0)</f>
        <v>30.020799999999998</v>
      </c>
      <c r="H401" s="10">
        <f>29.9839 * CHOOSE(CONTROL!$C$15, $E$9, 100%, $G$9) + CHOOSE(CONTROL!$C$38, 0.0369, 0)</f>
        <v>30.020799999999998</v>
      </c>
      <c r="I401" s="10">
        <f>29.9855 * CHOOSE(CONTROL!$C$15, $E$9, 100%, $G$9) + CHOOSE(CONTROL!$C$38, 0.0369, 0)</f>
        <v>30.022399999999998</v>
      </c>
      <c r="J401" s="26">
        <f>225.5461</f>
        <v>225.5461</v>
      </c>
    </row>
    <row r="402" spans="1:10" ht="15.75" x14ac:dyDescent="0.25">
      <c r="A402" s="14">
        <v>53539</v>
      </c>
      <c r="B402" s="10">
        <f>32.3861 * CHOOSE(CONTROL!$C$15, $E$9, 100%, $G$9) + CHOOSE(CONTROL!$C$38, 0.0278, 0)</f>
        <v>32.413899999999998</v>
      </c>
      <c r="C402" s="10">
        <f>29.779 * CHOOSE(CONTROL!$C$15, $E$9, 100%, $G$9) + CHOOSE(CONTROL!$C$38, 0.0369, 0)</f>
        <v>29.815899999999999</v>
      </c>
      <c r="D402" s="10">
        <f>29.7712 * CHOOSE(CONTROL!$C$15, $E$9, 100%, $G$9) + CHOOSE(CONTROL!$C$38, 0.0369, 0)</f>
        <v>29.8081</v>
      </c>
      <c r="E402" s="28">
        <f>32.2299 * CHOOSE(CONTROL!$C$15, $E$9, 100%, $G$9) + CHOOSE(CONTROL!$C$38, 0.0369, 0)</f>
        <v>32.266800000000003</v>
      </c>
      <c r="F402" s="27">
        <f>32.2299 * CHOOSE(CONTROL!$C$15, $E$9, 100%, $G$9) + CHOOSE(CONTROL!$C$38, 0.0278, 0)</f>
        <v>32.2577</v>
      </c>
      <c r="G402" s="10">
        <f>29.7774 * CHOOSE(CONTROL!$C$15, $E$9, 100%, $G$9) + CHOOSE(CONTROL!$C$38, 0.0369, 0)</f>
        <v>29.814299999999999</v>
      </c>
      <c r="H402" s="10">
        <f>29.7774 * CHOOSE(CONTROL!$C$15, $E$9, 100%, $G$9) + CHOOSE(CONTROL!$C$38, 0.0369, 0)</f>
        <v>29.814299999999999</v>
      </c>
      <c r="I402" s="10">
        <f>29.779 * CHOOSE(CONTROL!$C$15, $E$9, 100%, $G$9) + CHOOSE(CONTROL!$C$38, 0.0369, 0)</f>
        <v>29.815899999999999</v>
      </c>
      <c r="J402" s="26">
        <f>224.4912</f>
        <v>224.49119999999999</v>
      </c>
    </row>
    <row r="403" spans="1:10" ht="15.75" x14ac:dyDescent="0.25">
      <c r="A403" s="14">
        <v>53570</v>
      </c>
      <c r="B403" s="10">
        <f>32.488 * CHOOSE(CONTROL!$C$15, $E$9, 100%, $G$9) + CHOOSE(CONTROL!$C$38, 0.0278, 0)</f>
        <v>32.515799999999999</v>
      </c>
      <c r="C403" s="10">
        <f>29.8809 * CHOOSE(CONTROL!$C$15, $E$9, 100%, $G$9) + CHOOSE(CONTROL!$C$38, 0.0369, 0)</f>
        <v>29.9178</v>
      </c>
      <c r="D403" s="10">
        <f>29.8731 * CHOOSE(CONTROL!$C$15, $E$9, 100%, $G$9) + CHOOSE(CONTROL!$C$38, 0.0369, 0)</f>
        <v>29.91</v>
      </c>
      <c r="E403" s="28">
        <f>32.3318 * CHOOSE(CONTROL!$C$15, $E$9, 100%, $G$9) + CHOOSE(CONTROL!$C$38, 0.0369, 0)</f>
        <v>32.368700000000004</v>
      </c>
      <c r="F403" s="27">
        <f>32.3318 * CHOOSE(CONTROL!$C$15, $E$9, 100%, $G$9) + CHOOSE(CONTROL!$C$38, 0.0278, 0)</f>
        <v>32.3596</v>
      </c>
      <c r="G403" s="10">
        <f>29.8793 * CHOOSE(CONTROL!$C$15, $E$9, 100%, $G$9) + CHOOSE(CONTROL!$C$38, 0.0369, 0)</f>
        <v>29.9162</v>
      </c>
      <c r="H403" s="10">
        <f>29.8793 * CHOOSE(CONTROL!$C$15, $E$9, 100%, $G$9) + CHOOSE(CONTROL!$C$38, 0.0369, 0)</f>
        <v>29.9162</v>
      </c>
      <c r="I403" s="10">
        <f>29.8809 * CHOOSE(CONTROL!$C$15, $E$9, 100%, $G$9) + CHOOSE(CONTROL!$C$38, 0.0369, 0)</f>
        <v>29.9178</v>
      </c>
      <c r="J403" s="26">
        <f>219.2652</f>
        <v>219.26519999999999</v>
      </c>
    </row>
    <row r="404" spans="1:10" ht="15.75" x14ac:dyDescent="0.25">
      <c r="A404" s="14">
        <v>53600</v>
      </c>
      <c r="B404" s="10">
        <f>32.7648 * CHOOSE(CONTROL!$C$15, $E$9, 100%, $G$9) + CHOOSE(CONTROL!$C$38, 0.0278, 0)</f>
        <v>32.7926</v>
      </c>
      <c r="C404" s="10">
        <f>30.1577 * CHOOSE(CONTROL!$C$15, $E$9, 100%, $G$9) + CHOOSE(CONTROL!$C$38, 0.0369, 0)</f>
        <v>30.194599999999998</v>
      </c>
      <c r="D404" s="10">
        <f>30.1499 * CHOOSE(CONTROL!$C$15, $E$9, 100%, $G$9) + CHOOSE(CONTROL!$C$38, 0.0369, 0)</f>
        <v>30.186799999999998</v>
      </c>
      <c r="E404" s="28">
        <f>32.6086 * CHOOSE(CONTROL!$C$15, $E$9, 100%, $G$9) + CHOOSE(CONTROL!$C$38, 0.0369, 0)</f>
        <v>32.645500000000006</v>
      </c>
      <c r="F404" s="27">
        <f>32.6086 * CHOOSE(CONTROL!$C$15, $E$9, 100%, $G$9) + CHOOSE(CONTROL!$C$38, 0.0278, 0)</f>
        <v>32.636400000000002</v>
      </c>
      <c r="G404" s="10">
        <f>30.1561 * CHOOSE(CONTROL!$C$15, $E$9, 100%, $G$9) + CHOOSE(CONTROL!$C$38, 0.0369, 0)</f>
        <v>30.192999999999998</v>
      </c>
      <c r="H404" s="10">
        <f>30.1561 * CHOOSE(CONTROL!$C$15, $E$9, 100%, $G$9) + CHOOSE(CONTROL!$C$38, 0.0369, 0)</f>
        <v>30.192999999999998</v>
      </c>
      <c r="I404" s="10">
        <f>30.1577 * CHOOSE(CONTROL!$C$15, $E$9, 100%, $G$9) + CHOOSE(CONTROL!$C$38, 0.0369, 0)</f>
        <v>30.194599999999998</v>
      </c>
      <c r="J404" s="26">
        <f>211.9772</f>
        <v>211.97720000000001</v>
      </c>
    </row>
    <row r="405" spans="1:10" ht="15.75" x14ac:dyDescent="0.25">
      <c r="A405" s="14">
        <v>53631</v>
      </c>
      <c r="B405" s="10">
        <f>32.9967 * CHOOSE(CONTROL!$C$15, $E$9, 100%, $G$9) + CHOOSE(CONTROL!$C$38, 0.0256, 0)</f>
        <v>33.022299999999994</v>
      </c>
      <c r="C405" s="10">
        <f>30.3895 * CHOOSE(CONTROL!$C$15, $E$9, 100%, $G$9) + CHOOSE(CONTROL!$C$38, 0.0347, 0)</f>
        <v>30.424200000000003</v>
      </c>
      <c r="D405" s="10">
        <f>30.3817 * CHOOSE(CONTROL!$C$15, $E$9, 100%, $G$9) + CHOOSE(CONTROL!$C$38, 0.0347, 0)</f>
        <v>30.416399999999999</v>
      </c>
      <c r="E405" s="28">
        <f>32.8404 * CHOOSE(CONTROL!$C$15, $E$9, 100%, $G$9) + CHOOSE(CONTROL!$C$38, 0.0347, 0)</f>
        <v>32.875100000000003</v>
      </c>
      <c r="F405" s="27">
        <f>32.8404 * CHOOSE(CONTROL!$C$15, $E$9, 100%, $G$9) + CHOOSE(CONTROL!$C$38, 0.0256, 0)</f>
        <v>32.866</v>
      </c>
      <c r="G405" s="10">
        <f>30.388 * CHOOSE(CONTROL!$C$15, $E$9, 100%, $G$9) + CHOOSE(CONTROL!$C$38, 0.0347, 0)</f>
        <v>30.422700000000003</v>
      </c>
      <c r="H405" s="10">
        <f>30.388 * CHOOSE(CONTROL!$C$15, $E$9, 100%, $G$9) + CHOOSE(CONTROL!$C$38, 0.0347, 0)</f>
        <v>30.422700000000003</v>
      </c>
      <c r="I405" s="10">
        <f>30.3895 * CHOOSE(CONTROL!$C$15, $E$9, 100%, $G$9) + CHOOSE(CONTROL!$C$38, 0.0347, 0)</f>
        <v>30.424200000000003</v>
      </c>
      <c r="J405" s="26">
        <f>204.6468</f>
        <v>204.64680000000001</v>
      </c>
    </row>
    <row r="406" spans="1:10" ht="15.75" x14ac:dyDescent="0.25">
      <c r="A406" s="14">
        <v>53661</v>
      </c>
      <c r="B406" s="10">
        <f>33.1901 * CHOOSE(CONTROL!$C$15, $E$9, 100%, $G$9) + CHOOSE(CONTROL!$C$38, 0.0256, 0)</f>
        <v>33.215699999999998</v>
      </c>
      <c r="C406" s="10">
        <f>30.583 * CHOOSE(CONTROL!$C$15, $E$9, 100%, $G$9) + CHOOSE(CONTROL!$C$38, 0.0347, 0)</f>
        <v>30.617699999999999</v>
      </c>
      <c r="D406" s="10">
        <f>30.5752 * CHOOSE(CONTROL!$C$15, $E$9, 100%, $G$9) + CHOOSE(CONTROL!$C$38, 0.0347, 0)</f>
        <v>30.6099</v>
      </c>
      <c r="E406" s="28">
        <f>33.0338 * CHOOSE(CONTROL!$C$15, $E$9, 100%, $G$9) + CHOOSE(CONTROL!$C$38, 0.0347, 0)</f>
        <v>33.0685</v>
      </c>
      <c r="F406" s="27">
        <f>33.0338 * CHOOSE(CONTROL!$C$15, $E$9, 100%, $G$9) + CHOOSE(CONTROL!$C$38, 0.0256, 0)</f>
        <v>33.059399999999997</v>
      </c>
      <c r="G406" s="10">
        <f>30.5814 * CHOOSE(CONTROL!$C$15, $E$9, 100%, $G$9) + CHOOSE(CONTROL!$C$38, 0.0347, 0)</f>
        <v>30.616099999999999</v>
      </c>
      <c r="H406" s="10">
        <f>30.5814 * CHOOSE(CONTROL!$C$15, $E$9, 100%, $G$9) + CHOOSE(CONTROL!$C$38, 0.0347, 0)</f>
        <v>30.616099999999999</v>
      </c>
      <c r="I406" s="10">
        <f>30.583 * CHOOSE(CONTROL!$C$15, $E$9, 100%, $G$9) + CHOOSE(CONTROL!$C$38, 0.0347, 0)</f>
        <v>30.617699999999999</v>
      </c>
      <c r="J406" s="26">
        <f>203.1886</f>
        <v>203.18860000000001</v>
      </c>
    </row>
    <row r="407" spans="1:10" ht="15.75" x14ac:dyDescent="0.25">
      <c r="A407" s="14">
        <v>53692</v>
      </c>
      <c r="B407" s="10">
        <f>33.7862 * CHOOSE(CONTROL!$C$15, $E$9, 100%, $G$9) + CHOOSE(CONTROL!$C$38, 0.0256, 0)</f>
        <v>33.811799999999998</v>
      </c>
      <c r="C407" s="10">
        <f>31.179 * CHOOSE(CONTROL!$C$15, $E$9, 100%, $G$9) + CHOOSE(CONTROL!$C$38, 0.0347, 0)</f>
        <v>31.213699999999999</v>
      </c>
      <c r="D407" s="10">
        <f>31.1712 * CHOOSE(CONTROL!$C$15, $E$9, 100%, $G$9) + CHOOSE(CONTROL!$C$38, 0.0347, 0)</f>
        <v>31.2059</v>
      </c>
      <c r="E407" s="28">
        <f>33.6299 * CHOOSE(CONTROL!$C$15, $E$9, 100%, $G$9) + CHOOSE(CONTROL!$C$38, 0.0347, 0)</f>
        <v>33.6646</v>
      </c>
      <c r="F407" s="27">
        <f>33.6299 * CHOOSE(CONTROL!$C$15, $E$9, 100%, $G$9) + CHOOSE(CONTROL!$C$38, 0.0256, 0)</f>
        <v>33.655499999999996</v>
      </c>
      <c r="G407" s="10">
        <f>31.1775 * CHOOSE(CONTROL!$C$15, $E$9, 100%, $G$9) + CHOOSE(CONTROL!$C$38, 0.0347, 0)</f>
        <v>31.212199999999999</v>
      </c>
      <c r="H407" s="10">
        <f>31.1775 * CHOOSE(CONTROL!$C$15, $E$9, 100%, $G$9) + CHOOSE(CONTROL!$C$38, 0.0347, 0)</f>
        <v>31.212199999999999</v>
      </c>
      <c r="I407" s="10">
        <f>31.179 * CHOOSE(CONTROL!$C$15, $E$9, 100%, $G$9) + CHOOSE(CONTROL!$C$38, 0.0347, 0)</f>
        <v>31.213699999999999</v>
      </c>
      <c r="J407" s="26">
        <f>197.159</f>
        <v>197.15899999999999</v>
      </c>
    </row>
    <row r="408" spans="1:10" ht="15.75" x14ac:dyDescent="0.25">
      <c r="A408" s="14">
        <v>53723</v>
      </c>
      <c r="B408" s="10">
        <f>34.8331 * CHOOSE(CONTROL!$C$15, $E$9, 100%, $G$9) + CHOOSE(CONTROL!$C$38, 0.0256, 0)</f>
        <v>34.858699999999999</v>
      </c>
      <c r="C408" s="10">
        <f>32.1826 * CHOOSE(CONTROL!$C$15, $E$9, 100%, $G$9) + CHOOSE(CONTROL!$C$38, 0.0347, 0)</f>
        <v>32.217300000000002</v>
      </c>
      <c r="D408" s="10">
        <f>32.1748 * CHOOSE(CONTROL!$C$15, $E$9, 100%, $G$9) + CHOOSE(CONTROL!$C$38, 0.0347, 0)</f>
        <v>32.209499999999998</v>
      </c>
      <c r="E408" s="28">
        <f>34.6768 * CHOOSE(CONTROL!$C$15, $E$9, 100%, $G$9) + CHOOSE(CONTROL!$C$38, 0.0347, 0)</f>
        <v>34.711500000000001</v>
      </c>
      <c r="F408" s="27">
        <f>34.6768 * CHOOSE(CONTROL!$C$15, $E$9, 100%, $G$9) + CHOOSE(CONTROL!$C$38, 0.0256, 0)</f>
        <v>34.702399999999997</v>
      </c>
      <c r="G408" s="10">
        <f>32.1811 * CHOOSE(CONTROL!$C$15, $E$9, 100%, $G$9) + CHOOSE(CONTROL!$C$38, 0.0347, 0)</f>
        <v>32.215800000000002</v>
      </c>
      <c r="H408" s="10">
        <f>32.1811 * CHOOSE(CONTROL!$C$15, $E$9, 100%, $G$9) + CHOOSE(CONTROL!$C$38, 0.0347, 0)</f>
        <v>32.215800000000002</v>
      </c>
      <c r="I408" s="10">
        <f>32.1826 * CHOOSE(CONTROL!$C$15, $E$9, 100%, $G$9) + CHOOSE(CONTROL!$C$38, 0.0347, 0)</f>
        <v>32.217300000000002</v>
      </c>
      <c r="J408" s="26">
        <f>195.8383</f>
        <v>195.8383</v>
      </c>
    </row>
    <row r="409" spans="1:10" ht="15.75" x14ac:dyDescent="0.25">
      <c r="A409" s="14">
        <v>53751</v>
      </c>
      <c r="B409" s="10">
        <f>35.0538 * CHOOSE(CONTROL!$C$15, $E$9, 100%, $G$9) + CHOOSE(CONTROL!$C$38, 0.0256, 0)</f>
        <v>35.0794</v>
      </c>
      <c r="C409" s="10">
        <f>32.4034 * CHOOSE(CONTROL!$C$15, $E$9, 100%, $G$9) + CHOOSE(CONTROL!$C$38, 0.0347, 0)</f>
        <v>32.438099999999999</v>
      </c>
      <c r="D409" s="10">
        <f>32.3956 * CHOOSE(CONTROL!$C$15, $E$9, 100%, $G$9) + CHOOSE(CONTROL!$C$38, 0.0347, 0)</f>
        <v>32.430300000000003</v>
      </c>
      <c r="E409" s="28">
        <f>34.8976 * CHOOSE(CONTROL!$C$15, $E$9, 100%, $G$9) + CHOOSE(CONTROL!$C$38, 0.0347, 0)</f>
        <v>34.932299999999998</v>
      </c>
      <c r="F409" s="27">
        <f>34.8976 * CHOOSE(CONTROL!$C$15, $E$9, 100%, $G$9) + CHOOSE(CONTROL!$C$38, 0.0256, 0)</f>
        <v>34.923199999999994</v>
      </c>
      <c r="G409" s="10">
        <f>32.4018 * CHOOSE(CONTROL!$C$15, $E$9, 100%, $G$9) + CHOOSE(CONTROL!$C$38, 0.0347, 0)</f>
        <v>32.436500000000002</v>
      </c>
      <c r="H409" s="10">
        <f>32.4018 * CHOOSE(CONTROL!$C$15, $E$9, 100%, $G$9) + CHOOSE(CONTROL!$C$38, 0.0347, 0)</f>
        <v>32.436500000000002</v>
      </c>
      <c r="I409" s="10">
        <f>32.4034 * CHOOSE(CONTROL!$C$15, $E$9, 100%, $G$9) + CHOOSE(CONTROL!$C$38, 0.0347, 0)</f>
        <v>32.438099999999999</v>
      </c>
      <c r="J409" s="26">
        <f>195.294</f>
        <v>195.29400000000001</v>
      </c>
    </row>
    <row r="410" spans="1:10" ht="15.75" x14ac:dyDescent="0.25">
      <c r="A410" s="14">
        <v>53782</v>
      </c>
      <c r="B410" s="10">
        <f>34.5428 * CHOOSE(CONTROL!$C$15, $E$9, 100%, $G$9) + CHOOSE(CONTROL!$C$38, 0.0256, 0)</f>
        <v>34.568399999999997</v>
      </c>
      <c r="C410" s="10">
        <f>31.8924 * CHOOSE(CONTROL!$C$15, $E$9, 100%, $G$9) + CHOOSE(CONTROL!$C$38, 0.0347, 0)</f>
        <v>31.927099999999999</v>
      </c>
      <c r="D410" s="10">
        <f>31.8846 * CHOOSE(CONTROL!$C$15, $E$9, 100%, $G$9) + CHOOSE(CONTROL!$C$38, 0.0347, 0)</f>
        <v>31.9193</v>
      </c>
      <c r="E410" s="28">
        <f>34.3865 * CHOOSE(CONTROL!$C$15, $E$9, 100%, $G$9) + CHOOSE(CONTROL!$C$38, 0.0347, 0)</f>
        <v>34.421199999999999</v>
      </c>
      <c r="F410" s="27">
        <f>34.3865 * CHOOSE(CONTROL!$C$15, $E$9, 100%, $G$9) + CHOOSE(CONTROL!$C$38, 0.0256, 0)</f>
        <v>34.412099999999995</v>
      </c>
      <c r="G410" s="10">
        <f>31.8908 * CHOOSE(CONTROL!$C$15, $E$9, 100%, $G$9) + CHOOSE(CONTROL!$C$38, 0.0347, 0)</f>
        <v>31.9255</v>
      </c>
      <c r="H410" s="10">
        <f>31.8908 * CHOOSE(CONTROL!$C$15, $E$9, 100%, $G$9) + CHOOSE(CONTROL!$C$38, 0.0347, 0)</f>
        <v>31.9255</v>
      </c>
      <c r="I410" s="10">
        <f>31.8924 * CHOOSE(CONTROL!$C$15, $E$9, 100%, $G$9) + CHOOSE(CONTROL!$C$38, 0.0347, 0)</f>
        <v>31.927099999999999</v>
      </c>
      <c r="J410" s="26">
        <f>205.5871</f>
        <v>205.58709999999999</v>
      </c>
    </row>
    <row r="411" spans="1:10" ht="15.75" x14ac:dyDescent="0.25">
      <c r="A411" s="14">
        <v>53812</v>
      </c>
      <c r="B411" s="10">
        <f>34.0476 * CHOOSE(CONTROL!$C$15, $E$9, 100%, $G$9) + CHOOSE(CONTROL!$C$38, 0.0256, 0)</f>
        <v>34.0732</v>
      </c>
      <c r="C411" s="10">
        <f>31.3972 * CHOOSE(CONTROL!$C$15, $E$9, 100%, $G$9) + CHOOSE(CONTROL!$C$38, 0.0347, 0)</f>
        <v>31.431900000000002</v>
      </c>
      <c r="D411" s="10">
        <f>31.3894 * CHOOSE(CONTROL!$C$15, $E$9, 100%, $G$9) + CHOOSE(CONTROL!$C$38, 0.0347, 0)</f>
        <v>31.424099999999999</v>
      </c>
      <c r="E411" s="28">
        <f>33.8914 * CHOOSE(CONTROL!$C$15, $E$9, 100%, $G$9) + CHOOSE(CONTROL!$C$38, 0.0347, 0)</f>
        <v>33.926099999999998</v>
      </c>
      <c r="F411" s="27">
        <f>33.8914 * CHOOSE(CONTROL!$C$15, $E$9, 100%, $G$9) + CHOOSE(CONTROL!$C$38, 0.0256, 0)</f>
        <v>33.916999999999994</v>
      </c>
      <c r="G411" s="10">
        <f>31.3956 * CHOOSE(CONTROL!$C$15, $E$9, 100%, $G$9) + CHOOSE(CONTROL!$C$38, 0.0347, 0)</f>
        <v>31.430300000000003</v>
      </c>
      <c r="H411" s="10">
        <f>31.3956 * CHOOSE(CONTROL!$C$15, $E$9, 100%, $G$9) + CHOOSE(CONTROL!$C$38, 0.0347, 0)</f>
        <v>31.430300000000003</v>
      </c>
      <c r="I411" s="10">
        <f>31.3972 * CHOOSE(CONTROL!$C$15, $E$9, 100%, $G$9) + CHOOSE(CONTROL!$C$38, 0.0347, 0)</f>
        <v>31.431900000000002</v>
      </c>
      <c r="J411" s="26">
        <f>218.9348</f>
        <v>218.9348</v>
      </c>
    </row>
    <row r="412" spans="1:10" ht="15.75" x14ac:dyDescent="0.25">
      <c r="A412" s="14">
        <v>53843</v>
      </c>
      <c r="B412" s="10">
        <f>33.5315 * CHOOSE(CONTROL!$C$15, $E$9, 100%, $G$9) + CHOOSE(CONTROL!$C$38, 0.0278, 0)</f>
        <v>33.5593</v>
      </c>
      <c r="C412" s="10">
        <f>30.8811 * CHOOSE(CONTROL!$C$15, $E$9, 100%, $G$9) + CHOOSE(CONTROL!$C$38, 0.0369, 0)</f>
        <v>30.917999999999999</v>
      </c>
      <c r="D412" s="10">
        <f>30.8733 * CHOOSE(CONTROL!$C$15, $E$9, 100%, $G$9) + CHOOSE(CONTROL!$C$38, 0.0369, 0)</f>
        <v>30.9102</v>
      </c>
      <c r="E412" s="28">
        <f>33.3752 * CHOOSE(CONTROL!$C$15, $E$9, 100%, $G$9) + CHOOSE(CONTROL!$C$38, 0.0369, 0)</f>
        <v>33.412100000000002</v>
      </c>
      <c r="F412" s="27">
        <f>33.3752 * CHOOSE(CONTROL!$C$15, $E$9, 100%, $G$9) + CHOOSE(CONTROL!$C$38, 0.0278, 0)</f>
        <v>33.402999999999999</v>
      </c>
      <c r="G412" s="10">
        <f>30.8795 * CHOOSE(CONTROL!$C$15, $E$9, 100%, $G$9) + CHOOSE(CONTROL!$C$38, 0.0369, 0)</f>
        <v>30.916399999999999</v>
      </c>
      <c r="H412" s="10">
        <f>30.8795 * CHOOSE(CONTROL!$C$15, $E$9, 100%, $G$9) + CHOOSE(CONTROL!$C$38, 0.0369, 0)</f>
        <v>30.916399999999999</v>
      </c>
      <c r="I412" s="10">
        <f>30.8811 * CHOOSE(CONTROL!$C$15, $E$9, 100%, $G$9) + CHOOSE(CONTROL!$C$38, 0.0369, 0)</f>
        <v>30.917999999999999</v>
      </c>
      <c r="J412" s="26">
        <f>226.2818</f>
        <v>226.2818</v>
      </c>
    </row>
    <row r="413" spans="1:10" ht="15.75" x14ac:dyDescent="0.25">
      <c r="A413" s="14">
        <v>53873</v>
      </c>
      <c r="B413" s="10">
        <f>33.1697 * CHOOSE(CONTROL!$C$15, $E$9, 100%, $G$9) + CHOOSE(CONTROL!$C$38, 0.0278, 0)</f>
        <v>33.197499999999998</v>
      </c>
      <c r="C413" s="10">
        <f>30.5192 * CHOOSE(CONTROL!$C$15, $E$9, 100%, $G$9) + CHOOSE(CONTROL!$C$38, 0.0369, 0)</f>
        <v>30.556100000000001</v>
      </c>
      <c r="D413" s="10">
        <f>30.5114 * CHOOSE(CONTROL!$C$15, $E$9, 100%, $G$9) + CHOOSE(CONTROL!$C$38, 0.0369, 0)</f>
        <v>30.548299999999998</v>
      </c>
      <c r="E413" s="28">
        <f>33.0134 * CHOOSE(CONTROL!$C$15, $E$9, 100%, $G$9) + CHOOSE(CONTROL!$C$38, 0.0369, 0)</f>
        <v>33.0503</v>
      </c>
      <c r="F413" s="27">
        <f>33.0134 * CHOOSE(CONTROL!$C$15, $E$9, 100%, $G$9) + CHOOSE(CONTROL!$C$38, 0.0278, 0)</f>
        <v>33.041199999999996</v>
      </c>
      <c r="G413" s="10">
        <f>30.5177 * CHOOSE(CONTROL!$C$15, $E$9, 100%, $G$9) + CHOOSE(CONTROL!$C$38, 0.0369, 0)</f>
        <v>30.554600000000001</v>
      </c>
      <c r="H413" s="10">
        <f>30.5177 * CHOOSE(CONTROL!$C$15, $E$9, 100%, $G$9) + CHOOSE(CONTROL!$C$38, 0.0369, 0)</f>
        <v>30.554600000000001</v>
      </c>
      <c r="I413" s="10">
        <f>30.5192 * CHOOSE(CONTROL!$C$15, $E$9, 100%, $G$9) + CHOOSE(CONTROL!$C$38, 0.0369, 0)</f>
        <v>30.556100000000001</v>
      </c>
      <c r="J413" s="26">
        <f>229.5423</f>
        <v>229.54230000000001</v>
      </c>
    </row>
    <row r="414" spans="1:10" ht="15.75" x14ac:dyDescent="0.25">
      <c r="A414" s="14">
        <v>53904</v>
      </c>
      <c r="B414" s="10">
        <f>32.9632 * CHOOSE(CONTROL!$C$15, $E$9, 100%, $G$9) + CHOOSE(CONTROL!$C$38, 0.0278, 0)</f>
        <v>32.991</v>
      </c>
      <c r="C414" s="10">
        <f>30.3127 * CHOOSE(CONTROL!$C$15, $E$9, 100%, $G$9) + CHOOSE(CONTROL!$C$38, 0.0369, 0)</f>
        <v>30.349599999999999</v>
      </c>
      <c r="D414" s="10">
        <f>30.3049 * CHOOSE(CONTROL!$C$15, $E$9, 100%, $G$9) + CHOOSE(CONTROL!$C$38, 0.0369, 0)</f>
        <v>30.341799999999999</v>
      </c>
      <c r="E414" s="28">
        <f>32.8069 * CHOOSE(CONTROL!$C$15, $E$9, 100%, $G$9) + CHOOSE(CONTROL!$C$38, 0.0369, 0)</f>
        <v>32.843800000000002</v>
      </c>
      <c r="F414" s="27">
        <f>32.8069 * CHOOSE(CONTROL!$C$15, $E$9, 100%, $G$9) + CHOOSE(CONTROL!$C$38, 0.0278, 0)</f>
        <v>32.834699999999998</v>
      </c>
      <c r="G414" s="10">
        <f>30.3112 * CHOOSE(CONTROL!$C$15, $E$9, 100%, $G$9) + CHOOSE(CONTROL!$C$38, 0.0369, 0)</f>
        <v>30.348099999999999</v>
      </c>
      <c r="H414" s="10">
        <f>30.3112 * CHOOSE(CONTROL!$C$15, $E$9, 100%, $G$9) + CHOOSE(CONTROL!$C$38, 0.0369, 0)</f>
        <v>30.348099999999999</v>
      </c>
      <c r="I414" s="10">
        <f>30.3127 * CHOOSE(CONTROL!$C$15, $E$9, 100%, $G$9) + CHOOSE(CONTROL!$C$38, 0.0369, 0)</f>
        <v>30.349599999999999</v>
      </c>
      <c r="J414" s="26">
        <f>228.4688</f>
        <v>228.46879999999999</v>
      </c>
    </row>
    <row r="415" spans="1:10" ht="15.75" x14ac:dyDescent="0.25">
      <c r="A415" s="14">
        <v>53935</v>
      </c>
      <c r="B415" s="10">
        <f>33.0651 * CHOOSE(CONTROL!$C$15, $E$9, 100%, $G$9) + CHOOSE(CONTROL!$C$38, 0.0278, 0)</f>
        <v>33.0929</v>
      </c>
      <c r="C415" s="10">
        <f>30.4147 * CHOOSE(CONTROL!$C$15, $E$9, 100%, $G$9) + CHOOSE(CONTROL!$C$38, 0.0369, 0)</f>
        <v>30.451599999999999</v>
      </c>
      <c r="D415" s="10">
        <f>30.4068 * CHOOSE(CONTROL!$C$15, $E$9, 100%, $G$9) + CHOOSE(CONTROL!$C$38, 0.0369, 0)</f>
        <v>30.4437</v>
      </c>
      <c r="E415" s="28">
        <f>32.9088 * CHOOSE(CONTROL!$C$15, $E$9, 100%, $G$9) + CHOOSE(CONTROL!$C$38, 0.0369, 0)</f>
        <v>32.945700000000002</v>
      </c>
      <c r="F415" s="27">
        <f>32.9088 * CHOOSE(CONTROL!$C$15, $E$9, 100%, $G$9) + CHOOSE(CONTROL!$C$38, 0.0278, 0)</f>
        <v>32.936599999999999</v>
      </c>
      <c r="G415" s="10">
        <f>30.4131 * CHOOSE(CONTROL!$C$15, $E$9, 100%, $G$9) + CHOOSE(CONTROL!$C$38, 0.0369, 0)</f>
        <v>30.45</v>
      </c>
      <c r="H415" s="10">
        <f>30.4131 * CHOOSE(CONTROL!$C$15, $E$9, 100%, $G$9) + CHOOSE(CONTROL!$C$38, 0.0369, 0)</f>
        <v>30.45</v>
      </c>
      <c r="I415" s="10">
        <f>30.4147 * CHOOSE(CONTROL!$C$15, $E$9, 100%, $G$9) + CHOOSE(CONTROL!$C$38, 0.0369, 0)</f>
        <v>30.451599999999999</v>
      </c>
      <c r="J415" s="26">
        <f>223.1502</f>
        <v>223.15020000000001</v>
      </c>
    </row>
    <row r="416" spans="1:10" ht="15.75" x14ac:dyDescent="0.25">
      <c r="A416" s="14">
        <v>53965</v>
      </c>
      <c r="B416" s="10">
        <f>33.3419 * CHOOSE(CONTROL!$C$15, $E$9, 100%, $G$9) + CHOOSE(CONTROL!$C$38, 0.0278, 0)</f>
        <v>33.369700000000002</v>
      </c>
      <c r="C416" s="10">
        <f>30.6915 * CHOOSE(CONTROL!$C$15, $E$9, 100%, $G$9) + CHOOSE(CONTROL!$C$38, 0.0369, 0)</f>
        <v>30.728400000000001</v>
      </c>
      <c r="D416" s="10">
        <f>30.6836 * CHOOSE(CONTROL!$C$15, $E$9, 100%, $G$9) + CHOOSE(CONTROL!$C$38, 0.0369, 0)</f>
        <v>30.720499999999998</v>
      </c>
      <c r="E416" s="28">
        <f>33.1856 * CHOOSE(CONTROL!$C$15, $E$9, 100%, $G$9) + CHOOSE(CONTROL!$C$38, 0.0369, 0)</f>
        <v>33.222500000000004</v>
      </c>
      <c r="F416" s="27">
        <f>33.1856 * CHOOSE(CONTROL!$C$15, $E$9, 100%, $G$9) + CHOOSE(CONTROL!$C$38, 0.0278, 0)</f>
        <v>33.2134</v>
      </c>
      <c r="G416" s="10">
        <f>30.6899 * CHOOSE(CONTROL!$C$15, $E$9, 100%, $G$9) + CHOOSE(CONTROL!$C$38, 0.0369, 0)</f>
        <v>30.726800000000001</v>
      </c>
      <c r="H416" s="10">
        <f>30.6899 * CHOOSE(CONTROL!$C$15, $E$9, 100%, $G$9) + CHOOSE(CONTROL!$C$38, 0.0369, 0)</f>
        <v>30.726800000000001</v>
      </c>
      <c r="I416" s="10">
        <f>30.6915 * CHOOSE(CONTROL!$C$15, $E$9, 100%, $G$9) + CHOOSE(CONTROL!$C$38, 0.0369, 0)</f>
        <v>30.728400000000001</v>
      </c>
      <c r="J416" s="26">
        <f>215.733</f>
        <v>215.733</v>
      </c>
    </row>
    <row r="417" spans="1:10" ht="15.75" x14ac:dyDescent="0.25">
      <c r="A417" s="14">
        <v>53996</v>
      </c>
      <c r="B417" s="10">
        <f>33.5737 * CHOOSE(CONTROL!$C$15, $E$9, 100%, $G$9) + CHOOSE(CONTROL!$C$38, 0.0256, 0)</f>
        <v>33.599299999999999</v>
      </c>
      <c r="C417" s="10">
        <f>30.9233 * CHOOSE(CONTROL!$C$15, $E$9, 100%, $G$9) + CHOOSE(CONTROL!$C$38, 0.0347, 0)</f>
        <v>30.958000000000002</v>
      </c>
      <c r="D417" s="10">
        <f>30.9155 * CHOOSE(CONTROL!$C$15, $E$9, 100%, $G$9) + CHOOSE(CONTROL!$C$38, 0.0347, 0)</f>
        <v>30.950200000000002</v>
      </c>
      <c r="E417" s="28">
        <f>33.4175 * CHOOSE(CONTROL!$C$15, $E$9, 100%, $G$9) + CHOOSE(CONTROL!$C$38, 0.0347, 0)</f>
        <v>33.452199999999998</v>
      </c>
      <c r="F417" s="27">
        <f>33.4175 * CHOOSE(CONTROL!$C$15, $E$9, 100%, $G$9) + CHOOSE(CONTROL!$C$38, 0.0256, 0)</f>
        <v>33.443099999999994</v>
      </c>
      <c r="G417" s="10">
        <f>30.9217 * CHOOSE(CONTROL!$C$15, $E$9, 100%, $G$9) + CHOOSE(CONTROL!$C$38, 0.0347, 0)</f>
        <v>30.956400000000002</v>
      </c>
      <c r="H417" s="10">
        <f>30.9217 * CHOOSE(CONTROL!$C$15, $E$9, 100%, $G$9) + CHOOSE(CONTROL!$C$38, 0.0347, 0)</f>
        <v>30.956400000000002</v>
      </c>
      <c r="I417" s="10">
        <f>30.9233 * CHOOSE(CONTROL!$C$15, $E$9, 100%, $G$9) + CHOOSE(CONTROL!$C$38, 0.0347, 0)</f>
        <v>30.958000000000002</v>
      </c>
      <c r="J417" s="26">
        <f>208.2728</f>
        <v>208.27279999999999</v>
      </c>
    </row>
    <row r="418" spans="1:10" ht="15.75" x14ac:dyDescent="0.25">
      <c r="A418" s="14">
        <v>54026</v>
      </c>
      <c r="B418" s="10">
        <f>33.7671 * CHOOSE(CONTROL!$C$15, $E$9, 100%, $G$9) + CHOOSE(CONTROL!$C$38, 0.0256, 0)</f>
        <v>33.792699999999996</v>
      </c>
      <c r="C418" s="10">
        <f>31.1167 * CHOOSE(CONTROL!$C$15, $E$9, 100%, $G$9) + CHOOSE(CONTROL!$C$38, 0.0347, 0)</f>
        <v>31.151400000000002</v>
      </c>
      <c r="D418" s="10">
        <f>31.1089 * CHOOSE(CONTROL!$C$15, $E$9, 100%, $G$9) + CHOOSE(CONTROL!$C$38, 0.0347, 0)</f>
        <v>31.143599999999999</v>
      </c>
      <c r="E418" s="28">
        <f>33.6109 * CHOOSE(CONTROL!$C$15, $E$9, 100%, $G$9) + CHOOSE(CONTROL!$C$38, 0.0347, 0)</f>
        <v>33.645600000000002</v>
      </c>
      <c r="F418" s="27">
        <f>33.6109 * CHOOSE(CONTROL!$C$15, $E$9, 100%, $G$9) + CHOOSE(CONTROL!$C$38, 0.0256, 0)</f>
        <v>33.636499999999998</v>
      </c>
      <c r="G418" s="10">
        <f>31.1152 * CHOOSE(CONTROL!$C$15, $E$9, 100%, $G$9) + CHOOSE(CONTROL!$C$38, 0.0347, 0)</f>
        <v>31.149900000000002</v>
      </c>
      <c r="H418" s="10">
        <f>31.1152 * CHOOSE(CONTROL!$C$15, $E$9, 100%, $G$9) + CHOOSE(CONTROL!$C$38, 0.0347, 0)</f>
        <v>31.149900000000002</v>
      </c>
      <c r="I418" s="10">
        <f>31.1167 * CHOOSE(CONTROL!$C$15, $E$9, 100%, $G$9) + CHOOSE(CONTROL!$C$38, 0.0347, 0)</f>
        <v>31.151400000000002</v>
      </c>
      <c r="J418" s="26">
        <f>206.7888</f>
        <v>206.78880000000001</v>
      </c>
    </row>
    <row r="419" spans="1:10" ht="15.75" x14ac:dyDescent="0.25">
      <c r="A419" s="14">
        <v>54057</v>
      </c>
      <c r="B419" s="10">
        <f>34.3632 * CHOOSE(CONTROL!$C$15, $E$9, 100%, $G$9) + CHOOSE(CONTROL!$C$38, 0.0256, 0)</f>
        <v>34.388799999999996</v>
      </c>
      <c r="C419" s="10">
        <f>31.7128 * CHOOSE(CONTROL!$C$15, $E$9, 100%, $G$9) + CHOOSE(CONTROL!$C$38, 0.0347, 0)</f>
        <v>31.747500000000002</v>
      </c>
      <c r="D419" s="10">
        <f>31.705 * CHOOSE(CONTROL!$C$15, $E$9, 100%, $G$9) + CHOOSE(CONTROL!$C$38, 0.0347, 0)</f>
        <v>31.739699999999999</v>
      </c>
      <c r="E419" s="28">
        <f>34.207 * CHOOSE(CONTROL!$C$15, $E$9, 100%, $G$9) + CHOOSE(CONTROL!$C$38, 0.0347, 0)</f>
        <v>34.241700000000002</v>
      </c>
      <c r="F419" s="27">
        <f>34.207 * CHOOSE(CONTROL!$C$15, $E$9, 100%, $G$9) + CHOOSE(CONTROL!$C$38, 0.0256, 0)</f>
        <v>34.232599999999998</v>
      </c>
      <c r="G419" s="10">
        <f>31.7112 * CHOOSE(CONTROL!$C$15, $E$9, 100%, $G$9) + CHOOSE(CONTROL!$C$38, 0.0347, 0)</f>
        <v>31.745900000000002</v>
      </c>
      <c r="H419" s="10">
        <f>31.7112 * CHOOSE(CONTROL!$C$15, $E$9, 100%, $G$9) + CHOOSE(CONTROL!$C$38, 0.0347, 0)</f>
        <v>31.745900000000002</v>
      </c>
      <c r="I419" s="10">
        <f>31.7128 * CHOOSE(CONTROL!$C$15, $E$9, 100%, $G$9) + CHOOSE(CONTROL!$C$38, 0.0347, 0)</f>
        <v>31.747500000000002</v>
      </c>
      <c r="J419" s="26">
        <f>200.6523</f>
        <v>200.6523</v>
      </c>
    </row>
    <row r="420" spans="1:10" ht="15.75" x14ac:dyDescent="0.25">
      <c r="A420" s="14">
        <v>54088</v>
      </c>
      <c r="B420" s="10">
        <f>35.4203 * CHOOSE(CONTROL!$C$15, $E$9, 100%, $G$9) + CHOOSE(CONTROL!$C$38, 0.0256, 0)</f>
        <v>35.445899999999995</v>
      </c>
      <c r="C420" s="10">
        <f>32.7258 * CHOOSE(CONTROL!$C$15, $E$9, 100%, $G$9) + CHOOSE(CONTROL!$C$38, 0.0347, 0)</f>
        <v>32.7605</v>
      </c>
      <c r="D420" s="10">
        <f>32.718 * CHOOSE(CONTROL!$C$15, $E$9, 100%, $G$9) + CHOOSE(CONTROL!$C$38, 0.0347, 0)</f>
        <v>32.752700000000004</v>
      </c>
      <c r="E420" s="28">
        <f>35.2641 * CHOOSE(CONTROL!$C$15, $E$9, 100%, $G$9) + CHOOSE(CONTROL!$C$38, 0.0347, 0)</f>
        <v>35.2988</v>
      </c>
      <c r="F420" s="27">
        <f>35.2641 * CHOOSE(CONTROL!$C$15, $E$9, 100%, $G$9) + CHOOSE(CONTROL!$C$38, 0.0256, 0)</f>
        <v>35.289699999999996</v>
      </c>
      <c r="G420" s="10">
        <f>32.7242 * CHOOSE(CONTROL!$C$15, $E$9, 100%, $G$9) + CHOOSE(CONTROL!$C$38, 0.0347, 0)</f>
        <v>32.758900000000004</v>
      </c>
      <c r="H420" s="10">
        <f>32.7242 * CHOOSE(CONTROL!$C$15, $E$9, 100%, $G$9) + CHOOSE(CONTROL!$C$38, 0.0347, 0)</f>
        <v>32.758900000000004</v>
      </c>
      <c r="I420" s="10">
        <f>32.7258 * CHOOSE(CONTROL!$C$15, $E$9, 100%, $G$9) + CHOOSE(CONTROL!$C$38, 0.0347, 0)</f>
        <v>32.7605</v>
      </c>
      <c r="J420" s="26">
        <f>199.3082</f>
        <v>199.3082</v>
      </c>
    </row>
    <row r="421" spans="1:10" ht="15.75" x14ac:dyDescent="0.25">
      <c r="A421" s="14">
        <v>54116</v>
      </c>
      <c r="B421" s="10">
        <f>35.6411 * CHOOSE(CONTROL!$C$15, $E$9, 100%, $G$9) + CHOOSE(CONTROL!$C$38, 0.0256, 0)</f>
        <v>35.666699999999999</v>
      </c>
      <c r="C421" s="10">
        <f>32.9466 * CHOOSE(CONTROL!$C$15, $E$9, 100%, $G$9) + CHOOSE(CONTROL!$C$38, 0.0347, 0)</f>
        <v>32.981299999999997</v>
      </c>
      <c r="D421" s="10">
        <f>32.9388 * CHOOSE(CONTROL!$C$15, $E$9, 100%, $G$9) + CHOOSE(CONTROL!$C$38, 0.0347, 0)</f>
        <v>32.973500000000001</v>
      </c>
      <c r="E421" s="28">
        <f>35.4848 * CHOOSE(CONTROL!$C$15, $E$9, 100%, $G$9) + CHOOSE(CONTROL!$C$38, 0.0347, 0)</f>
        <v>35.519500000000001</v>
      </c>
      <c r="F421" s="27">
        <f>35.4848 * CHOOSE(CONTROL!$C$15, $E$9, 100%, $G$9) + CHOOSE(CONTROL!$C$38, 0.0256, 0)</f>
        <v>35.510399999999997</v>
      </c>
      <c r="G421" s="10">
        <f>32.945 * CHOOSE(CONTROL!$C$15, $E$9, 100%, $G$9) + CHOOSE(CONTROL!$C$38, 0.0347, 0)</f>
        <v>32.979700000000001</v>
      </c>
      <c r="H421" s="10">
        <f>32.945 * CHOOSE(CONTROL!$C$15, $E$9, 100%, $G$9) + CHOOSE(CONTROL!$C$38, 0.0347, 0)</f>
        <v>32.979700000000001</v>
      </c>
      <c r="I421" s="10">
        <f>32.9466 * CHOOSE(CONTROL!$C$15, $E$9, 100%, $G$9) + CHOOSE(CONTROL!$C$38, 0.0347, 0)</f>
        <v>32.981299999999997</v>
      </c>
      <c r="J421" s="26">
        <f>198.7542</f>
        <v>198.7542</v>
      </c>
    </row>
    <row r="422" spans="1:10" ht="15.75" x14ac:dyDescent="0.25">
      <c r="A422" s="14">
        <v>54148</v>
      </c>
      <c r="B422" s="10">
        <f>35.13 * CHOOSE(CONTROL!$C$15, $E$9, 100%, $G$9) + CHOOSE(CONTROL!$C$38, 0.0256, 0)</f>
        <v>35.1556</v>
      </c>
      <c r="C422" s="10">
        <f>32.4355 * CHOOSE(CONTROL!$C$15, $E$9, 100%, $G$9) + CHOOSE(CONTROL!$C$38, 0.0347, 0)</f>
        <v>32.470199999999998</v>
      </c>
      <c r="D422" s="10">
        <f>32.4277 * CHOOSE(CONTROL!$C$15, $E$9, 100%, $G$9) + CHOOSE(CONTROL!$C$38, 0.0347, 0)</f>
        <v>32.462400000000002</v>
      </c>
      <c r="E422" s="28">
        <f>34.9738 * CHOOSE(CONTROL!$C$15, $E$9, 100%, $G$9) + CHOOSE(CONTROL!$C$38, 0.0347, 0)</f>
        <v>35.008499999999998</v>
      </c>
      <c r="F422" s="27">
        <f>34.9738 * CHOOSE(CONTROL!$C$15, $E$9, 100%, $G$9) + CHOOSE(CONTROL!$C$38, 0.0256, 0)</f>
        <v>34.999399999999994</v>
      </c>
      <c r="G422" s="10">
        <f>32.434 * CHOOSE(CONTROL!$C$15, $E$9, 100%, $G$9) + CHOOSE(CONTROL!$C$38, 0.0347, 0)</f>
        <v>32.468699999999998</v>
      </c>
      <c r="H422" s="10">
        <f>32.434 * CHOOSE(CONTROL!$C$15, $E$9, 100%, $G$9) + CHOOSE(CONTROL!$C$38, 0.0347, 0)</f>
        <v>32.468699999999998</v>
      </c>
      <c r="I422" s="10">
        <f>32.4355 * CHOOSE(CONTROL!$C$15, $E$9, 100%, $G$9) + CHOOSE(CONTROL!$C$38, 0.0347, 0)</f>
        <v>32.470199999999998</v>
      </c>
      <c r="J422" s="26">
        <f>209.2297</f>
        <v>209.22970000000001</v>
      </c>
    </row>
    <row r="423" spans="1:10" ht="15.75" x14ac:dyDescent="0.25">
      <c r="A423" s="14">
        <v>54178</v>
      </c>
      <c r="B423" s="10">
        <f>34.6349 * CHOOSE(CONTROL!$C$15, $E$9, 100%, $G$9) + CHOOSE(CONTROL!$C$38, 0.0256, 0)</f>
        <v>34.660499999999999</v>
      </c>
      <c r="C423" s="10">
        <f>31.9404 * CHOOSE(CONTROL!$C$15, $E$9, 100%, $G$9) + CHOOSE(CONTROL!$C$38, 0.0347, 0)</f>
        <v>31.975100000000001</v>
      </c>
      <c r="D423" s="10">
        <f>31.9325 * CHOOSE(CONTROL!$C$15, $E$9, 100%, $G$9) + CHOOSE(CONTROL!$C$38, 0.0347, 0)</f>
        <v>31.967200000000002</v>
      </c>
      <c r="E423" s="28">
        <f>34.4786 * CHOOSE(CONTROL!$C$15, $E$9, 100%, $G$9) + CHOOSE(CONTROL!$C$38, 0.0347, 0)</f>
        <v>34.513300000000001</v>
      </c>
      <c r="F423" s="27">
        <f>34.4786 * CHOOSE(CONTROL!$C$15, $E$9, 100%, $G$9) + CHOOSE(CONTROL!$C$38, 0.0256, 0)</f>
        <v>34.504199999999997</v>
      </c>
      <c r="G423" s="10">
        <f>31.9388 * CHOOSE(CONTROL!$C$15, $E$9, 100%, $G$9) + CHOOSE(CONTROL!$C$38, 0.0347, 0)</f>
        <v>31.973500000000001</v>
      </c>
      <c r="H423" s="10">
        <f>31.9388 * CHOOSE(CONTROL!$C$15, $E$9, 100%, $G$9) + CHOOSE(CONTROL!$C$38, 0.0347, 0)</f>
        <v>31.973500000000001</v>
      </c>
      <c r="I423" s="10">
        <f>31.9404 * CHOOSE(CONTROL!$C$15, $E$9, 100%, $G$9) + CHOOSE(CONTROL!$C$38, 0.0347, 0)</f>
        <v>31.975100000000001</v>
      </c>
      <c r="J423" s="26">
        <f>222.8139</f>
        <v>222.81389999999999</v>
      </c>
    </row>
    <row r="424" spans="1:10" ht="15.75" x14ac:dyDescent="0.25">
      <c r="A424" s="14">
        <v>54209</v>
      </c>
      <c r="B424" s="10">
        <f>34.1187 * CHOOSE(CONTROL!$C$15, $E$9, 100%, $G$9) + CHOOSE(CONTROL!$C$38, 0.0278, 0)</f>
        <v>34.146499999999996</v>
      </c>
      <c r="C424" s="10">
        <f>31.4242 * CHOOSE(CONTROL!$C$15, $E$9, 100%, $G$9) + CHOOSE(CONTROL!$C$38, 0.0369, 0)</f>
        <v>31.461099999999998</v>
      </c>
      <c r="D424" s="10">
        <f>31.4164 * CHOOSE(CONTROL!$C$15, $E$9, 100%, $G$9) + CHOOSE(CONTROL!$C$38, 0.0369, 0)</f>
        <v>31.453299999999999</v>
      </c>
      <c r="E424" s="28">
        <f>33.9625 * CHOOSE(CONTROL!$C$15, $E$9, 100%, $G$9) + CHOOSE(CONTROL!$C$38, 0.0369, 0)</f>
        <v>33.999400000000001</v>
      </c>
      <c r="F424" s="27">
        <f>33.9625 * CHOOSE(CONTROL!$C$15, $E$9, 100%, $G$9) + CHOOSE(CONTROL!$C$38, 0.0278, 0)</f>
        <v>33.990299999999998</v>
      </c>
      <c r="G424" s="10">
        <f>31.4227 * CHOOSE(CONTROL!$C$15, $E$9, 100%, $G$9) + CHOOSE(CONTROL!$C$38, 0.0369, 0)</f>
        <v>31.459599999999998</v>
      </c>
      <c r="H424" s="10">
        <f>31.4227 * CHOOSE(CONTROL!$C$15, $E$9, 100%, $G$9) + CHOOSE(CONTROL!$C$38, 0.0369, 0)</f>
        <v>31.459599999999998</v>
      </c>
      <c r="I424" s="10">
        <f>31.4242 * CHOOSE(CONTROL!$C$15, $E$9, 100%, $G$9) + CHOOSE(CONTROL!$C$38, 0.0369, 0)</f>
        <v>31.461099999999998</v>
      </c>
      <c r="J424" s="26">
        <f>230.2911</f>
        <v>230.2911</v>
      </c>
    </row>
    <row r="425" spans="1:10" ht="15.75" x14ac:dyDescent="0.25">
      <c r="A425" s="14">
        <v>54239</v>
      </c>
      <c r="B425" s="10">
        <f>33.7569 * CHOOSE(CONTROL!$C$15, $E$9, 100%, $G$9) + CHOOSE(CONTROL!$C$38, 0.0278, 0)</f>
        <v>33.784700000000001</v>
      </c>
      <c r="C425" s="10">
        <f>31.0624 * CHOOSE(CONTROL!$C$15, $E$9, 100%, $G$9) + CHOOSE(CONTROL!$C$38, 0.0369, 0)</f>
        <v>31.099299999999999</v>
      </c>
      <c r="D425" s="10">
        <f>31.0546 * CHOOSE(CONTROL!$C$15, $E$9, 100%, $G$9) + CHOOSE(CONTROL!$C$38, 0.0369, 0)</f>
        <v>31.0915</v>
      </c>
      <c r="E425" s="28">
        <f>33.6007 * CHOOSE(CONTROL!$C$15, $E$9, 100%, $G$9) + CHOOSE(CONTROL!$C$38, 0.0369, 0)</f>
        <v>33.637600000000006</v>
      </c>
      <c r="F425" s="27">
        <f>33.6007 * CHOOSE(CONTROL!$C$15, $E$9, 100%, $G$9) + CHOOSE(CONTROL!$C$38, 0.0278, 0)</f>
        <v>33.628500000000003</v>
      </c>
      <c r="G425" s="10">
        <f>31.0609 * CHOOSE(CONTROL!$C$15, $E$9, 100%, $G$9) + CHOOSE(CONTROL!$C$38, 0.0369, 0)</f>
        <v>31.097799999999999</v>
      </c>
      <c r="H425" s="10">
        <f>31.0609 * CHOOSE(CONTROL!$C$15, $E$9, 100%, $G$9) + CHOOSE(CONTROL!$C$38, 0.0369, 0)</f>
        <v>31.097799999999999</v>
      </c>
      <c r="I425" s="10">
        <f>31.0624 * CHOOSE(CONTROL!$C$15, $E$9, 100%, $G$9) + CHOOSE(CONTROL!$C$38, 0.0369, 0)</f>
        <v>31.099299999999999</v>
      </c>
      <c r="J425" s="26">
        <f>233.6094</f>
        <v>233.60939999999999</v>
      </c>
    </row>
    <row r="426" spans="1:10" ht="15.75" x14ac:dyDescent="0.25">
      <c r="A426" s="14">
        <v>54270</v>
      </c>
      <c r="B426" s="10">
        <f>33.5504 * CHOOSE(CONTROL!$C$15, $E$9, 100%, $G$9) + CHOOSE(CONTROL!$C$38, 0.0278, 0)</f>
        <v>33.578200000000002</v>
      </c>
      <c r="C426" s="10">
        <f>30.8559 * CHOOSE(CONTROL!$C$15, $E$9, 100%, $G$9) + CHOOSE(CONTROL!$C$38, 0.0369, 0)</f>
        <v>30.892799999999998</v>
      </c>
      <c r="D426" s="10">
        <f>30.8481 * CHOOSE(CONTROL!$C$15, $E$9, 100%, $G$9) + CHOOSE(CONTROL!$C$38, 0.0369, 0)</f>
        <v>30.884999999999998</v>
      </c>
      <c r="E426" s="28">
        <f>33.3942 * CHOOSE(CONTROL!$C$15, $E$9, 100%, $G$9) + CHOOSE(CONTROL!$C$38, 0.0369, 0)</f>
        <v>33.431100000000001</v>
      </c>
      <c r="F426" s="27">
        <f>33.3942 * CHOOSE(CONTROL!$C$15, $E$9, 100%, $G$9) + CHOOSE(CONTROL!$C$38, 0.0278, 0)</f>
        <v>33.421999999999997</v>
      </c>
      <c r="G426" s="10">
        <f>30.8544 * CHOOSE(CONTROL!$C$15, $E$9, 100%, $G$9) + CHOOSE(CONTROL!$C$38, 0.0369, 0)</f>
        <v>30.891299999999998</v>
      </c>
      <c r="H426" s="10">
        <f>30.8544 * CHOOSE(CONTROL!$C$15, $E$9, 100%, $G$9) + CHOOSE(CONTROL!$C$38, 0.0369, 0)</f>
        <v>30.891299999999998</v>
      </c>
      <c r="I426" s="10">
        <f>30.8559 * CHOOSE(CONTROL!$C$15, $E$9, 100%, $G$9) + CHOOSE(CONTROL!$C$38, 0.0369, 0)</f>
        <v>30.892799999999998</v>
      </c>
      <c r="J426" s="26">
        <f>232.5168</f>
        <v>232.51679999999999</v>
      </c>
    </row>
    <row r="427" spans="1:10" ht="15.75" x14ac:dyDescent="0.25">
      <c r="A427" s="14">
        <v>54301</v>
      </c>
      <c r="B427" s="10">
        <f>33.6523 * CHOOSE(CONTROL!$C$15, $E$9, 100%, $G$9) + CHOOSE(CONTROL!$C$38, 0.0278, 0)</f>
        <v>33.680099999999996</v>
      </c>
      <c r="C427" s="10">
        <f>30.9578 * CHOOSE(CONTROL!$C$15, $E$9, 100%, $G$9) + CHOOSE(CONTROL!$C$38, 0.0369, 0)</f>
        <v>30.994699999999998</v>
      </c>
      <c r="D427" s="10">
        <f>30.95 * CHOOSE(CONTROL!$C$15, $E$9, 100%, $G$9) + CHOOSE(CONTROL!$C$38, 0.0369, 0)</f>
        <v>30.986899999999999</v>
      </c>
      <c r="E427" s="28">
        <f>33.4961 * CHOOSE(CONTROL!$C$15, $E$9, 100%, $G$9) + CHOOSE(CONTROL!$C$38, 0.0369, 0)</f>
        <v>33.533000000000001</v>
      </c>
      <c r="F427" s="27">
        <f>33.4961 * CHOOSE(CONTROL!$C$15, $E$9, 100%, $G$9) + CHOOSE(CONTROL!$C$38, 0.0278, 0)</f>
        <v>33.523899999999998</v>
      </c>
      <c r="G427" s="10">
        <f>30.9563 * CHOOSE(CONTROL!$C$15, $E$9, 100%, $G$9) + CHOOSE(CONTROL!$C$38, 0.0369, 0)</f>
        <v>30.993199999999998</v>
      </c>
      <c r="H427" s="10">
        <f>30.9563 * CHOOSE(CONTROL!$C$15, $E$9, 100%, $G$9) + CHOOSE(CONTROL!$C$38, 0.0369, 0)</f>
        <v>30.993199999999998</v>
      </c>
      <c r="I427" s="10">
        <f>30.9578 * CHOOSE(CONTROL!$C$15, $E$9, 100%, $G$9) + CHOOSE(CONTROL!$C$38, 0.0369, 0)</f>
        <v>30.994699999999998</v>
      </c>
      <c r="J427" s="26">
        <f>227.104</f>
        <v>227.10400000000001</v>
      </c>
    </row>
    <row r="428" spans="1:10" ht="15.75" x14ac:dyDescent="0.25">
      <c r="A428" s="14">
        <v>54331</v>
      </c>
      <c r="B428" s="10">
        <f>33.9291 * CHOOSE(CONTROL!$C$15, $E$9, 100%, $G$9) + CHOOSE(CONTROL!$C$38, 0.0278, 0)</f>
        <v>33.956899999999997</v>
      </c>
      <c r="C428" s="10">
        <f>31.2346 * CHOOSE(CONTROL!$C$15, $E$9, 100%, $G$9) + CHOOSE(CONTROL!$C$38, 0.0369, 0)</f>
        <v>31.2715</v>
      </c>
      <c r="D428" s="10">
        <f>31.2268 * CHOOSE(CONTROL!$C$15, $E$9, 100%, $G$9) + CHOOSE(CONTROL!$C$38, 0.0369, 0)</f>
        <v>31.2637</v>
      </c>
      <c r="E428" s="28">
        <f>33.7729 * CHOOSE(CONTROL!$C$15, $E$9, 100%, $G$9) + CHOOSE(CONTROL!$C$38, 0.0369, 0)</f>
        <v>33.809800000000003</v>
      </c>
      <c r="F428" s="27">
        <f>33.7729 * CHOOSE(CONTROL!$C$15, $E$9, 100%, $G$9) + CHOOSE(CONTROL!$C$38, 0.0278, 0)</f>
        <v>33.800699999999999</v>
      </c>
      <c r="G428" s="10">
        <f>31.2331 * CHOOSE(CONTROL!$C$15, $E$9, 100%, $G$9) + CHOOSE(CONTROL!$C$38, 0.0369, 0)</f>
        <v>31.27</v>
      </c>
      <c r="H428" s="10">
        <f>31.2331 * CHOOSE(CONTROL!$C$15, $E$9, 100%, $G$9) + CHOOSE(CONTROL!$C$38, 0.0369, 0)</f>
        <v>31.27</v>
      </c>
      <c r="I428" s="10">
        <f>31.2346 * CHOOSE(CONTROL!$C$15, $E$9, 100%, $G$9) + CHOOSE(CONTROL!$C$38, 0.0369, 0)</f>
        <v>31.2715</v>
      </c>
      <c r="J428" s="26">
        <f>219.5554</f>
        <v>219.55539999999999</v>
      </c>
    </row>
    <row r="429" spans="1:10" ht="15.75" x14ac:dyDescent="0.25">
      <c r="A429" s="14">
        <v>54362</v>
      </c>
      <c r="B429" s="10">
        <f>34.1609 * CHOOSE(CONTROL!$C$15, $E$9, 100%, $G$9) + CHOOSE(CONTROL!$C$38, 0.0256, 0)</f>
        <v>34.186499999999995</v>
      </c>
      <c r="C429" s="10">
        <f>31.4665 * CHOOSE(CONTROL!$C$15, $E$9, 100%, $G$9) + CHOOSE(CONTROL!$C$38, 0.0347, 0)</f>
        <v>31.501200000000001</v>
      </c>
      <c r="D429" s="10">
        <f>31.4586 * CHOOSE(CONTROL!$C$15, $E$9, 100%, $G$9) + CHOOSE(CONTROL!$C$38, 0.0347, 0)</f>
        <v>31.493300000000001</v>
      </c>
      <c r="E429" s="28">
        <f>34.0047 * CHOOSE(CONTROL!$C$15, $E$9, 100%, $G$9) + CHOOSE(CONTROL!$C$38, 0.0347, 0)</f>
        <v>34.039400000000001</v>
      </c>
      <c r="F429" s="27">
        <f>34.0047 * CHOOSE(CONTROL!$C$15, $E$9, 100%, $G$9) + CHOOSE(CONTROL!$C$38, 0.0256, 0)</f>
        <v>34.030299999999997</v>
      </c>
      <c r="G429" s="10">
        <f>31.4649 * CHOOSE(CONTROL!$C$15, $E$9, 100%, $G$9) + CHOOSE(CONTROL!$C$38, 0.0347, 0)</f>
        <v>31.499600000000001</v>
      </c>
      <c r="H429" s="10">
        <f>31.4649 * CHOOSE(CONTROL!$C$15, $E$9, 100%, $G$9) + CHOOSE(CONTROL!$C$38, 0.0347, 0)</f>
        <v>31.499600000000001</v>
      </c>
      <c r="I429" s="10">
        <f>31.4665 * CHOOSE(CONTROL!$C$15, $E$9, 100%, $G$9) + CHOOSE(CONTROL!$C$38, 0.0347, 0)</f>
        <v>31.501200000000001</v>
      </c>
      <c r="J429" s="26">
        <f>211.963</f>
        <v>211.96299999999999</v>
      </c>
    </row>
    <row r="430" spans="1:10" ht="15.75" x14ac:dyDescent="0.25">
      <c r="A430" s="14">
        <v>54392</v>
      </c>
      <c r="B430" s="10">
        <f>34.3544 * CHOOSE(CONTROL!$C$15, $E$9, 100%, $G$9) + CHOOSE(CONTROL!$C$38, 0.0256, 0)</f>
        <v>34.379999999999995</v>
      </c>
      <c r="C430" s="10">
        <f>31.6599 * CHOOSE(CONTROL!$C$15, $E$9, 100%, $G$9) + CHOOSE(CONTROL!$C$38, 0.0347, 0)</f>
        <v>31.694600000000001</v>
      </c>
      <c r="D430" s="10">
        <f>31.6521 * CHOOSE(CONTROL!$C$15, $E$9, 100%, $G$9) + CHOOSE(CONTROL!$C$38, 0.0347, 0)</f>
        <v>31.686800000000002</v>
      </c>
      <c r="E430" s="28">
        <f>34.1981 * CHOOSE(CONTROL!$C$15, $E$9, 100%, $G$9) + CHOOSE(CONTROL!$C$38, 0.0347, 0)</f>
        <v>34.232799999999997</v>
      </c>
      <c r="F430" s="27">
        <f>34.1981 * CHOOSE(CONTROL!$C$15, $E$9, 100%, $G$9) + CHOOSE(CONTROL!$C$38, 0.0256, 0)</f>
        <v>34.223699999999994</v>
      </c>
      <c r="G430" s="10">
        <f>31.6583 * CHOOSE(CONTROL!$C$15, $E$9, 100%, $G$9) + CHOOSE(CONTROL!$C$38, 0.0347, 0)</f>
        <v>31.693000000000001</v>
      </c>
      <c r="H430" s="10">
        <f>31.6583 * CHOOSE(CONTROL!$C$15, $E$9, 100%, $G$9) + CHOOSE(CONTROL!$C$38, 0.0347, 0)</f>
        <v>31.693000000000001</v>
      </c>
      <c r="I430" s="10">
        <f>31.6599 * CHOOSE(CONTROL!$C$15, $E$9, 100%, $G$9) + CHOOSE(CONTROL!$C$38, 0.0347, 0)</f>
        <v>31.694600000000001</v>
      </c>
      <c r="J430" s="26">
        <f>210.4527</f>
        <v>210.45269999999999</v>
      </c>
    </row>
    <row r="431" spans="1:10" ht="15.75" x14ac:dyDescent="0.25">
      <c r="A431" s="14">
        <v>54423</v>
      </c>
      <c r="B431" s="10">
        <f>34.9505 * CHOOSE(CONTROL!$C$15, $E$9, 100%, $G$9) + CHOOSE(CONTROL!$C$38, 0.0256, 0)</f>
        <v>34.976099999999995</v>
      </c>
      <c r="C431" s="10">
        <f>32.256 * CHOOSE(CONTROL!$C$15, $E$9, 100%, $G$9) + CHOOSE(CONTROL!$C$38, 0.0347, 0)</f>
        <v>32.290700000000001</v>
      </c>
      <c r="D431" s="10">
        <f>32.2482 * CHOOSE(CONTROL!$C$15, $E$9, 100%, $G$9) + CHOOSE(CONTROL!$C$38, 0.0347, 0)</f>
        <v>32.282899999999998</v>
      </c>
      <c r="E431" s="28">
        <f>34.7942 * CHOOSE(CONTROL!$C$15, $E$9, 100%, $G$9) + CHOOSE(CONTROL!$C$38, 0.0347, 0)</f>
        <v>34.828899999999997</v>
      </c>
      <c r="F431" s="27">
        <f>34.7942 * CHOOSE(CONTROL!$C$15, $E$9, 100%, $G$9) + CHOOSE(CONTROL!$C$38, 0.0256, 0)</f>
        <v>34.819799999999994</v>
      </c>
      <c r="G431" s="10">
        <f>32.2544 * CHOOSE(CONTROL!$C$15, $E$9, 100%, $G$9) + CHOOSE(CONTROL!$C$38, 0.0347, 0)</f>
        <v>32.289099999999998</v>
      </c>
      <c r="H431" s="10">
        <f>32.2544 * CHOOSE(CONTROL!$C$15, $E$9, 100%, $G$9) + CHOOSE(CONTROL!$C$38, 0.0347, 0)</f>
        <v>32.289099999999998</v>
      </c>
      <c r="I431" s="10">
        <f>32.256 * CHOOSE(CONTROL!$C$15, $E$9, 100%, $G$9) + CHOOSE(CONTROL!$C$38, 0.0347, 0)</f>
        <v>32.290700000000001</v>
      </c>
      <c r="J431" s="26">
        <f>204.2075</f>
        <v>204.20750000000001</v>
      </c>
    </row>
    <row r="432" spans="1:10" ht="15.75" x14ac:dyDescent="0.25">
      <c r="A432" s="14">
        <v>54454</v>
      </c>
      <c r="B432" s="10">
        <f>36.0179 * CHOOSE(CONTROL!$C$15, $E$9, 100%, $G$9) + CHOOSE(CONTROL!$C$38, 0.0256, 0)</f>
        <v>36.043499999999995</v>
      </c>
      <c r="C432" s="10">
        <f>33.2786 * CHOOSE(CONTROL!$C$15, $E$9, 100%, $G$9) + CHOOSE(CONTROL!$C$38, 0.0347, 0)</f>
        <v>33.313299999999998</v>
      </c>
      <c r="D432" s="10">
        <f>33.2708 * CHOOSE(CONTROL!$C$15, $E$9, 100%, $G$9) + CHOOSE(CONTROL!$C$38, 0.0347, 0)</f>
        <v>33.305500000000002</v>
      </c>
      <c r="E432" s="28">
        <f>35.8617 * CHOOSE(CONTROL!$C$15, $E$9, 100%, $G$9) + CHOOSE(CONTROL!$C$38, 0.0347, 0)</f>
        <v>35.8964</v>
      </c>
      <c r="F432" s="27">
        <f>35.8617 * CHOOSE(CONTROL!$C$15, $E$9, 100%, $G$9) + CHOOSE(CONTROL!$C$38, 0.0256, 0)</f>
        <v>35.887299999999996</v>
      </c>
      <c r="G432" s="10">
        <f>33.277 * CHOOSE(CONTROL!$C$15, $E$9, 100%, $G$9) + CHOOSE(CONTROL!$C$38, 0.0347, 0)</f>
        <v>33.311700000000002</v>
      </c>
      <c r="H432" s="10">
        <f>33.277 * CHOOSE(CONTROL!$C$15, $E$9, 100%, $G$9) + CHOOSE(CONTROL!$C$38, 0.0347, 0)</f>
        <v>33.311700000000002</v>
      </c>
      <c r="I432" s="10">
        <f>33.2786 * CHOOSE(CONTROL!$C$15, $E$9, 100%, $G$9) + CHOOSE(CONTROL!$C$38, 0.0347, 0)</f>
        <v>33.313299999999998</v>
      </c>
      <c r="J432" s="26">
        <f>202.8396</f>
        <v>202.83959999999999</v>
      </c>
    </row>
    <row r="433" spans="1:10" ht="15.75" x14ac:dyDescent="0.25">
      <c r="A433" s="14">
        <v>54482</v>
      </c>
      <c r="B433" s="10">
        <f>36.2387 * CHOOSE(CONTROL!$C$15, $E$9, 100%, $G$9) + CHOOSE(CONTROL!$C$38, 0.0256, 0)</f>
        <v>36.264299999999999</v>
      </c>
      <c r="C433" s="10">
        <f>33.4993 * CHOOSE(CONTROL!$C$15, $E$9, 100%, $G$9) + CHOOSE(CONTROL!$C$38, 0.0347, 0)</f>
        <v>33.533999999999999</v>
      </c>
      <c r="D433" s="10">
        <f>33.4915 * CHOOSE(CONTROL!$C$15, $E$9, 100%, $G$9) + CHOOSE(CONTROL!$C$38, 0.0347, 0)</f>
        <v>33.526200000000003</v>
      </c>
      <c r="E433" s="28">
        <f>36.0824 * CHOOSE(CONTROL!$C$15, $E$9, 100%, $G$9) + CHOOSE(CONTROL!$C$38, 0.0347, 0)</f>
        <v>36.117100000000001</v>
      </c>
      <c r="F433" s="27">
        <f>36.0824 * CHOOSE(CONTROL!$C$15, $E$9, 100%, $G$9) + CHOOSE(CONTROL!$C$38, 0.0256, 0)</f>
        <v>36.107999999999997</v>
      </c>
      <c r="G433" s="10">
        <f>33.4978 * CHOOSE(CONTROL!$C$15, $E$9, 100%, $G$9) + CHOOSE(CONTROL!$C$38, 0.0347, 0)</f>
        <v>33.532499999999999</v>
      </c>
      <c r="H433" s="10">
        <f>33.4978 * CHOOSE(CONTROL!$C$15, $E$9, 100%, $G$9) + CHOOSE(CONTROL!$C$38, 0.0347, 0)</f>
        <v>33.532499999999999</v>
      </c>
      <c r="I433" s="10">
        <f>33.4993 * CHOOSE(CONTROL!$C$15, $E$9, 100%, $G$9) + CHOOSE(CONTROL!$C$38, 0.0347, 0)</f>
        <v>33.533999999999999</v>
      </c>
      <c r="J433" s="26">
        <f>202.2758</f>
        <v>202.2758</v>
      </c>
    </row>
    <row r="434" spans="1:10" ht="15.75" x14ac:dyDescent="0.25">
      <c r="A434" s="14">
        <v>54513</v>
      </c>
      <c r="B434" s="10">
        <f>35.7277 * CHOOSE(CONTROL!$C$15, $E$9, 100%, $G$9) + CHOOSE(CONTROL!$C$38, 0.0256, 0)</f>
        <v>35.753299999999996</v>
      </c>
      <c r="C434" s="10">
        <f>32.9883 * CHOOSE(CONTROL!$C$15, $E$9, 100%, $G$9) + CHOOSE(CONTROL!$C$38, 0.0347, 0)</f>
        <v>33.023000000000003</v>
      </c>
      <c r="D434" s="10">
        <f>32.9805 * CHOOSE(CONTROL!$C$15, $E$9, 100%, $G$9) + CHOOSE(CONTROL!$C$38, 0.0347, 0)</f>
        <v>33.0152</v>
      </c>
      <c r="E434" s="28">
        <f>35.5714 * CHOOSE(CONTROL!$C$15, $E$9, 100%, $G$9) + CHOOSE(CONTROL!$C$38, 0.0347, 0)</f>
        <v>35.606099999999998</v>
      </c>
      <c r="F434" s="27">
        <f>35.5714 * CHOOSE(CONTROL!$C$15, $E$9, 100%, $G$9) + CHOOSE(CONTROL!$C$38, 0.0256, 0)</f>
        <v>35.596999999999994</v>
      </c>
      <c r="G434" s="10">
        <f>32.9868 * CHOOSE(CONTROL!$C$15, $E$9, 100%, $G$9) + CHOOSE(CONTROL!$C$38, 0.0347, 0)</f>
        <v>33.021500000000003</v>
      </c>
      <c r="H434" s="10">
        <f>32.9868 * CHOOSE(CONTROL!$C$15, $E$9, 100%, $G$9) + CHOOSE(CONTROL!$C$38, 0.0347, 0)</f>
        <v>33.021500000000003</v>
      </c>
      <c r="I434" s="10">
        <f>32.9883 * CHOOSE(CONTROL!$C$15, $E$9, 100%, $G$9) + CHOOSE(CONTROL!$C$38, 0.0347, 0)</f>
        <v>33.023000000000003</v>
      </c>
      <c r="J434" s="26">
        <f>212.9369</f>
        <v>212.93690000000001</v>
      </c>
    </row>
    <row r="435" spans="1:10" ht="15.75" x14ac:dyDescent="0.25">
      <c r="A435" s="14">
        <v>54543</v>
      </c>
      <c r="B435" s="10">
        <f>35.2325 * CHOOSE(CONTROL!$C$15, $E$9, 100%, $G$9) + CHOOSE(CONTROL!$C$38, 0.0256, 0)</f>
        <v>35.258099999999999</v>
      </c>
      <c r="C435" s="10">
        <f>32.4931 * CHOOSE(CONTROL!$C$15, $E$9, 100%, $G$9) + CHOOSE(CONTROL!$C$38, 0.0347, 0)</f>
        <v>32.527799999999999</v>
      </c>
      <c r="D435" s="10">
        <f>32.4853 * CHOOSE(CONTROL!$C$15, $E$9, 100%, $G$9) + CHOOSE(CONTROL!$C$38, 0.0347, 0)</f>
        <v>32.520000000000003</v>
      </c>
      <c r="E435" s="28">
        <f>35.0762 * CHOOSE(CONTROL!$C$15, $E$9, 100%, $G$9) + CHOOSE(CONTROL!$C$38, 0.0347, 0)</f>
        <v>35.110900000000001</v>
      </c>
      <c r="F435" s="27">
        <f>35.0762 * CHOOSE(CONTROL!$C$15, $E$9, 100%, $G$9) + CHOOSE(CONTROL!$C$38, 0.0256, 0)</f>
        <v>35.101799999999997</v>
      </c>
      <c r="G435" s="10">
        <f>32.4916 * CHOOSE(CONTROL!$C$15, $E$9, 100%, $G$9) + CHOOSE(CONTROL!$C$38, 0.0347, 0)</f>
        <v>32.526299999999999</v>
      </c>
      <c r="H435" s="10">
        <f>32.4916 * CHOOSE(CONTROL!$C$15, $E$9, 100%, $G$9) + CHOOSE(CONTROL!$C$38, 0.0347, 0)</f>
        <v>32.526299999999999</v>
      </c>
      <c r="I435" s="10">
        <f>32.4931 * CHOOSE(CONTROL!$C$15, $E$9, 100%, $G$9) + CHOOSE(CONTROL!$C$38, 0.0347, 0)</f>
        <v>32.527799999999999</v>
      </c>
      <c r="J435" s="26">
        <f>226.7618</f>
        <v>226.76179999999999</v>
      </c>
    </row>
    <row r="436" spans="1:10" ht="15.75" x14ac:dyDescent="0.25">
      <c r="A436" s="14">
        <v>54574</v>
      </c>
      <c r="B436" s="10">
        <f>34.7164 * CHOOSE(CONTROL!$C$15, $E$9, 100%, $G$9) + CHOOSE(CONTROL!$C$38, 0.0278, 0)</f>
        <v>34.744199999999999</v>
      </c>
      <c r="C436" s="10">
        <f>31.977 * CHOOSE(CONTROL!$C$15, $E$9, 100%, $G$9) + CHOOSE(CONTROL!$C$38, 0.0369, 0)</f>
        <v>32.0139</v>
      </c>
      <c r="D436" s="10">
        <f>31.9692 * CHOOSE(CONTROL!$C$15, $E$9, 100%, $G$9) + CHOOSE(CONTROL!$C$38, 0.0369, 0)</f>
        <v>32.006100000000004</v>
      </c>
      <c r="E436" s="28">
        <f>34.5601 * CHOOSE(CONTROL!$C$15, $E$9, 100%, $G$9) + CHOOSE(CONTROL!$C$38, 0.0369, 0)</f>
        <v>34.597000000000001</v>
      </c>
      <c r="F436" s="27">
        <f>34.5601 * CHOOSE(CONTROL!$C$15, $E$9, 100%, $G$9) + CHOOSE(CONTROL!$C$38, 0.0278, 0)</f>
        <v>34.587899999999998</v>
      </c>
      <c r="G436" s="10">
        <f>31.9755 * CHOOSE(CONTROL!$C$15, $E$9, 100%, $G$9) + CHOOSE(CONTROL!$C$38, 0.0369, 0)</f>
        <v>32.0124</v>
      </c>
      <c r="H436" s="10">
        <f>31.9755 * CHOOSE(CONTROL!$C$15, $E$9, 100%, $G$9) + CHOOSE(CONTROL!$C$38, 0.0369, 0)</f>
        <v>32.0124</v>
      </c>
      <c r="I436" s="10">
        <f>31.977 * CHOOSE(CONTROL!$C$15, $E$9, 100%, $G$9) + CHOOSE(CONTROL!$C$38, 0.0369, 0)</f>
        <v>32.0139</v>
      </c>
      <c r="J436" s="26">
        <f>234.3714</f>
        <v>234.37139999999999</v>
      </c>
    </row>
    <row r="437" spans="1:10" ht="15.75" x14ac:dyDescent="0.25">
      <c r="A437" s="14">
        <v>54604</v>
      </c>
      <c r="B437" s="10">
        <f>34.3545 * CHOOSE(CONTROL!$C$15, $E$9, 100%, $G$9) + CHOOSE(CONTROL!$C$38, 0.0278, 0)</f>
        <v>34.382300000000001</v>
      </c>
      <c r="C437" s="10">
        <f>31.6152 * CHOOSE(CONTROL!$C$15, $E$9, 100%, $G$9) + CHOOSE(CONTROL!$C$38, 0.0369, 0)</f>
        <v>31.652100000000001</v>
      </c>
      <c r="D437" s="10">
        <f>31.6074 * CHOOSE(CONTROL!$C$15, $E$9, 100%, $G$9) + CHOOSE(CONTROL!$C$38, 0.0369, 0)</f>
        <v>31.644299999999998</v>
      </c>
      <c r="E437" s="28">
        <f>34.1983 * CHOOSE(CONTROL!$C$15, $E$9, 100%, $G$9) + CHOOSE(CONTROL!$C$38, 0.0369, 0)</f>
        <v>34.235200000000006</v>
      </c>
      <c r="F437" s="27">
        <f>34.1983 * CHOOSE(CONTROL!$C$15, $E$9, 100%, $G$9) + CHOOSE(CONTROL!$C$38, 0.0278, 0)</f>
        <v>34.226100000000002</v>
      </c>
      <c r="G437" s="10">
        <f>31.6136 * CHOOSE(CONTROL!$C$15, $E$9, 100%, $G$9) + CHOOSE(CONTROL!$C$38, 0.0369, 0)</f>
        <v>31.650500000000001</v>
      </c>
      <c r="H437" s="10">
        <f>31.6136 * CHOOSE(CONTROL!$C$15, $E$9, 100%, $G$9) + CHOOSE(CONTROL!$C$38, 0.0369, 0)</f>
        <v>31.650500000000001</v>
      </c>
      <c r="I437" s="10">
        <f>31.6152 * CHOOSE(CONTROL!$C$15, $E$9, 100%, $G$9) + CHOOSE(CONTROL!$C$38, 0.0369, 0)</f>
        <v>31.652100000000001</v>
      </c>
      <c r="J437" s="26">
        <f>237.7485</f>
        <v>237.74850000000001</v>
      </c>
    </row>
    <row r="438" spans="1:10" ht="15.75" x14ac:dyDescent="0.25">
      <c r="A438" s="14">
        <v>54635</v>
      </c>
      <c r="B438" s="10">
        <f>34.148 * CHOOSE(CONTROL!$C$15, $E$9, 100%, $G$9) + CHOOSE(CONTROL!$C$38, 0.0278, 0)</f>
        <v>34.175800000000002</v>
      </c>
      <c r="C438" s="10">
        <f>31.4087 * CHOOSE(CONTROL!$C$15, $E$9, 100%, $G$9) + CHOOSE(CONTROL!$C$38, 0.0369, 0)</f>
        <v>31.445599999999999</v>
      </c>
      <c r="D438" s="10">
        <f>31.4009 * CHOOSE(CONTROL!$C$15, $E$9, 100%, $G$9) + CHOOSE(CONTROL!$C$38, 0.0369, 0)</f>
        <v>31.437799999999999</v>
      </c>
      <c r="E438" s="28">
        <f>33.9918 * CHOOSE(CONTROL!$C$15, $E$9, 100%, $G$9) + CHOOSE(CONTROL!$C$38, 0.0369, 0)</f>
        <v>34.028700000000001</v>
      </c>
      <c r="F438" s="27">
        <f>33.9918 * CHOOSE(CONTROL!$C$15, $E$9, 100%, $G$9) + CHOOSE(CONTROL!$C$38, 0.0278, 0)</f>
        <v>34.019599999999997</v>
      </c>
      <c r="G438" s="10">
        <f>31.4071 * CHOOSE(CONTROL!$C$15, $E$9, 100%, $G$9) + CHOOSE(CONTROL!$C$38, 0.0369, 0)</f>
        <v>31.443999999999999</v>
      </c>
      <c r="H438" s="10">
        <f>31.4071 * CHOOSE(CONTROL!$C$15, $E$9, 100%, $G$9) + CHOOSE(CONTROL!$C$38, 0.0369, 0)</f>
        <v>31.443999999999999</v>
      </c>
      <c r="I438" s="10">
        <f>31.4087 * CHOOSE(CONTROL!$C$15, $E$9, 100%, $G$9) + CHOOSE(CONTROL!$C$38, 0.0369, 0)</f>
        <v>31.445599999999999</v>
      </c>
      <c r="J438" s="26">
        <f>236.6366</f>
        <v>236.63659999999999</v>
      </c>
    </row>
    <row r="439" spans="1:10" ht="15.75" x14ac:dyDescent="0.25">
      <c r="A439" s="14">
        <v>54666</v>
      </c>
      <c r="B439" s="10">
        <f>34.2499 * CHOOSE(CONTROL!$C$15, $E$9, 100%, $G$9) + CHOOSE(CONTROL!$C$38, 0.0278, 0)</f>
        <v>34.277699999999996</v>
      </c>
      <c r="C439" s="10">
        <f>31.5106 * CHOOSE(CONTROL!$C$15, $E$9, 100%, $G$9) + CHOOSE(CONTROL!$C$38, 0.0369, 0)</f>
        <v>31.547499999999999</v>
      </c>
      <c r="D439" s="10">
        <f>31.5028 * CHOOSE(CONTROL!$C$15, $E$9, 100%, $G$9) + CHOOSE(CONTROL!$C$38, 0.0369, 0)</f>
        <v>31.5397</v>
      </c>
      <c r="E439" s="28">
        <f>34.0937 * CHOOSE(CONTROL!$C$15, $E$9, 100%, $G$9) + CHOOSE(CONTROL!$C$38, 0.0369, 0)</f>
        <v>34.130600000000001</v>
      </c>
      <c r="F439" s="27">
        <f>34.0937 * CHOOSE(CONTROL!$C$15, $E$9, 100%, $G$9) + CHOOSE(CONTROL!$C$38, 0.0278, 0)</f>
        <v>34.121499999999997</v>
      </c>
      <c r="G439" s="10">
        <f>31.509 * CHOOSE(CONTROL!$C$15, $E$9, 100%, $G$9) + CHOOSE(CONTROL!$C$38, 0.0369, 0)</f>
        <v>31.5459</v>
      </c>
      <c r="H439" s="10">
        <f>31.509 * CHOOSE(CONTROL!$C$15, $E$9, 100%, $G$9) + CHOOSE(CONTROL!$C$38, 0.0369, 0)</f>
        <v>31.5459</v>
      </c>
      <c r="I439" s="10">
        <f>31.5106 * CHOOSE(CONTROL!$C$15, $E$9, 100%, $G$9) + CHOOSE(CONTROL!$C$38, 0.0369, 0)</f>
        <v>31.547499999999999</v>
      </c>
      <c r="J439" s="26">
        <f>231.1278</f>
        <v>231.12780000000001</v>
      </c>
    </row>
    <row r="440" spans="1:10" ht="15.75" x14ac:dyDescent="0.25">
      <c r="A440" s="14">
        <v>54696</v>
      </c>
      <c r="B440" s="10">
        <f>34.5267 * CHOOSE(CONTROL!$C$15, $E$9, 100%, $G$9) + CHOOSE(CONTROL!$C$38, 0.0278, 0)</f>
        <v>34.554499999999997</v>
      </c>
      <c r="C440" s="10">
        <f>31.7874 * CHOOSE(CONTROL!$C$15, $E$9, 100%, $G$9) + CHOOSE(CONTROL!$C$38, 0.0369, 0)</f>
        <v>31.824300000000001</v>
      </c>
      <c r="D440" s="10">
        <f>31.7796 * CHOOSE(CONTROL!$C$15, $E$9, 100%, $G$9) + CHOOSE(CONTROL!$C$38, 0.0369, 0)</f>
        <v>31.816499999999998</v>
      </c>
      <c r="E440" s="28">
        <f>34.3705 * CHOOSE(CONTROL!$C$15, $E$9, 100%, $G$9) + CHOOSE(CONTROL!$C$38, 0.0369, 0)</f>
        <v>34.407400000000003</v>
      </c>
      <c r="F440" s="27">
        <f>34.3705 * CHOOSE(CONTROL!$C$15, $E$9, 100%, $G$9) + CHOOSE(CONTROL!$C$38, 0.0278, 0)</f>
        <v>34.398299999999999</v>
      </c>
      <c r="G440" s="10">
        <f>31.7858 * CHOOSE(CONTROL!$C$15, $E$9, 100%, $G$9) + CHOOSE(CONTROL!$C$38, 0.0369, 0)</f>
        <v>31.822699999999998</v>
      </c>
      <c r="H440" s="10">
        <f>31.7858 * CHOOSE(CONTROL!$C$15, $E$9, 100%, $G$9) + CHOOSE(CONTROL!$C$38, 0.0369, 0)</f>
        <v>31.822699999999998</v>
      </c>
      <c r="I440" s="10">
        <f>31.7874 * CHOOSE(CONTROL!$C$15, $E$9, 100%, $G$9) + CHOOSE(CONTROL!$C$38, 0.0369, 0)</f>
        <v>31.824300000000001</v>
      </c>
      <c r="J440" s="26">
        <f>223.4455</f>
        <v>223.44550000000001</v>
      </c>
    </row>
    <row r="441" spans="1:10" ht="15.75" x14ac:dyDescent="0.25">
      <c r="A441" s="14">
        <v>54727</v>
      </c>
      <c r="B441" s="10">
        <f>34.7586 * CHOOSE(CONTROL!$C$15, $E$9, 100%, $G$9) + CHOOSE(CONTROL!$C$38, 0.0256, 0)</f>
        <v>34.784199999999998</v>
      </c>
      <c r="C441" s="10">
        <f>32.0192 * CHOOSE(CONTROL!$C$15, $E$9, 100%, $G$9) + CHOOSE(CONTROL!$C$38, 0.0347, 0)</f>
        <v>32.053899999999999</v>
      </c>
      <c r="D441" s="10">
        <f>32.0114 * CHOOSE(CONTROL!$C$15, $E$9, 100%, $G$9) + CHOOSE(CONTROL!$C$38, 0.0347, 0)</f>
        <v>32.046100000000003</v>
      </c>
      <c r="E441" s="28">
        <f>34.6023 * CHOOSE(CONTROL!$C$15, $E$9, 100%, $G$9) + CHOOSE(CONTROL!$C$38, 0.0347, 0)</f>
        <v>34.637</v>
      </c>
      <c r="F441" s="27">
        <f>34.6023 * CHOOSE(CONTROL!$C$15, $E$9, 100%, $G$9) + CHOOSE(CONTROL!$C$38, 0.0256, 0)</f>
        <v>34.627899999999997</v>
      </c>
      <c r="G441" s="10">
        <f>32.0177 * CHOOSE(CONTROL!$C$15, $E$9, 100%, $G$9) + CHOOSE(CONTROL!$C$38, 0.0347, 0)</f>
        <v>32.052399999999999</v>
      </c>
      <c r="H441" s="10">
        <f>32.0177 * CHOOSE(CONTROL!$C$15, $E$9, 100%, $G$9) + CHOOSE(CONTROL!$C$38, 0.0347, 0)</f>
        <v>32.052399999999999</v>
      </c>
      <c r="I441" s="10">
        <f>32.0192 * CHOOSE(CONTROL!$C$15, $E$9, 100%, $G$9) + CHOOSE(CONTROL!$C$38, 0.0347, 0)</f>
        <v>32.053899999999999</v>
      </c>
      <c r="J441" s="26">
        <f>215.7185</f>
        <v>215.71850000000001</v>
      </c>
    </row>
    <row r="442" spans="1:10" ht="15.75" x14ac:dyDescent="0.25">
      <c r="A442" s="14">
        <v>54757</v>
      </c>
      <c r="B442" s="10">
        <f>34.952 * CHOOSE(CONTROL!$C$15, $E$9, 100%, $G$9) + CHOOSE(CONTROL!$C$38, 0.0256, 0)</f>
        <v>34.977599999999995</v>
      </c>
      <c r="C442" s="10">
        <f>32.2127 * CHOOSE(CONTROL!$C$15, $E$9, 100%, $G$9) + CHOOSE(CONTROL!$C$38, 0.0347, 0)</f>
        <v>32.247399999999999</v>
      </c>
      <c r="D442" s="10">
        <f>32.2049 * CHOOSE(CONTROL!$C$15, $E$9, 100%, $G$9) + CHOOSE(CONTROL!$C$38, 0.0347, 0)</f>
        <v>32.239600000000003</v>
      </c>
      <c r="E442" s="28">
        <f>34.7958 * CHOOSE(CONTROL!$C$15, $E$9, 100%, $G$9) + CHOOSE(CONTROL!$C$38, 0.0347, 0)</f>
        <v>34.830500000000001</v>
      </c>
      <c r="F442" s="27">
        <f>34.7958 * CHOOSE(CONTROL!$C$15, $E$9, 100%, $G$9) + CHOOSE(CONTROL!$C$38, 0.0256, 0)</f>
        <v>34.821399999999997</v>
      </c>
      <c r="G442" s="10">
        <f>32.2111 * CHOOSE(CONTROL!$C$15, $E$9, 100%, $G$9) + CHOOSE(CONTROL!$C$38, 0.0347, 0)</f>
        <v>32.245800000000003</v>
      </c>
      <c r="H442" s="10">
        <f>32.2111 * CHOOSE(CONTROL!$C$15, $E$9, 100%, $G$9) + CHOOSE(CONTROL!$C$38, 0.0347, 0)</f>
        <v>32.245800000000003</v>
      </c>
      <c r="I442" s="10">
        <f>32.2127 * CHOOSE(CONTROL!$C$15, $E$9, 100%, $G$9) + CHOOSE(CONTROL!$C$38, 0.0347, 0)</f>
        <v>32.247399999999999</v>
      </c>
      <c r="J442" s="26">
        <f>214.1815</f>
        <v>214.1815</v>
      </c>
    </row>
    <row r="443" spans="1:10" ht="15.75" x14ac:dyDescent="0.25">
      <c r="A443" s="14">
        <v>54788</v>
      </c>
      <c r="B443" s="10">
        <f>35.5481 * CHOOSE(CONTROL!$C$15, $E$9, 100%, $G$9) + CHOOSE(CONTROL!$C$38, 0.0256, 0)</f>
        <v>35.573699999999995</v>
      </c>
      <c r="C443" s="10">
        <f>32.8087 * CHOOSE(CONTROL!$C$15, $E$9, 100%, $G$9) + CHOOSE(CONTROL!$C$38, 0.0347, 0)</f>
        <v>32.843400000000003</v>
      </c>
      <c r="D443" s="10">
        <f>32.8009 * CHOOSE(CONTROL!$C$15, $E$9, 100%, $G$9) + CHOOSE(CONTROL!$C$38, 0.0347, 0)</f>
        <v>32.835599999999999</v>
      </c>
      <c r="E443" s="28">
        <f>35.3918 * CHOOSE(CONTROL!$C$15, $E$9, 100%, $G$9) + CHOOSE(CONTROL!$C$38, 0.0347, 0)</f>
        <v>35.426500000000004</v>
      </c>
      <c r="F443" s="27">
        <f>35.3918 * CHOOSE(CONTROL!$C$15, $E$9, 100%, $G$9) + CHOOSE(CONTROL!$C$38, 0.0256, 0)</f>
        <v>35.417400000000001</v>
      </c>
      <c r="G443" s="10">
        <f>32.8072 * CHOOSE(CONTROL!$C$15, $E$9, 100%, $G$9) + CHOOSE(CONTROL!$C$38, 0.0347, 0)</f>
        <v>32.841900000000003</v>
      </c>
      <c r="H443" s="10">
        <f>32.8072 * CHOOSE(CONTROL!$C$15, $E$9, 100%, $G$9) + CHOOSE(CONTROL!$C$38, 0.0347, 0)</f>
        <v>32.841900000000003</v>
      </c>
      <c r="I443" s="10">
        <f>32.8087 * CHOOSE(CONTROL!$C$15, $E$9, 100%, $G$9) + CHOOSE(CONTROL!$C$38, 0.0347, 0)</f>
        <v>32.843400000000003</v>
      </c>
      <c r="J443" s="26">
        <f>207.8256</f>
        <v>207.82560000000001</v>
      </c>
    </row>
    <row r="444" spans="1:10" ht="15.75" x14ac:dyDescent="0.25">
      <c r="A444" s="14">
        <v>54819</v>
      </c>
      <c r="B444" s="10">
        <f>36.6261 * CHOOSE(CONTROL!$C$15, $E$9, 100%, $G$9) + CHOOSE(CONTROL!$C$38, 0.0256, 0)</f>
        <v>36.651699999999998</v>
      </c>
      <c r="C444" s="10">
        <f>33.8411 * CHOOSE(CONTROL!$C$15, $E$9, 100%, $G$9) + CHOOSE(CONTROL!$C$38, 0.0347, 0)</f>
        <v>33.875799999999998</v>
      </c>
      <c r="D444" s="10">
        <f>33.8333 * CHOOSE(CONTROL!$C$15, $E$9, 100%, $G$9) + CHOOSE(CONTROL!$C$38, 0.0347, 0)</f>
        <v>33.868000000000002</v>
      </c>
      <c r="E444" s="28">
        <f>36.4699 * CHOOSE(CONTROL!$C$15, $E$9, 100%, $G$9) + CHOOSE(CONTROL!$C$38, 0.0347, 0)</f>
        <v>36.504600000000003</v>
      </c>
      <c r="F444" s="27">
        <f>36.4699 * CHOOSE(CONTROL!$C$15, $E$9, 100%, $G$9) + CHOOSE(CONTROL!$C$38, 0.0256, 0)</f>
        <v>36.4955</v>
      </c>
      <c r="G444" s="10">
        <f>33.8396 * CHOOSE(CONTROL!$C$15, $E$9, 100%, $G$9) + CHOOSE(CONTROL!$C$38, 0.0347, 0)</f>
        <v>33.874299999999998</v>
      </c>
      <c r="H444" s="10">
        <f>33.8396 * CHOOSE(CONTROL!$C$15, $E$9, 100%, $G$9) + CHOOSE(CONTROL!$C$38, 0.0347, 0)</f>
        <v>33.874299999999998</v>
      </c>
      <c r="I444" s="10">
        <f>33.8411 * CHOOSE(CONTROL!$C$15, $E$9, 100%, $G$9) + CHOOSE(CONTROL!$C$38, 0.0347, 0)</f>
        <v>33.875799999999998</v>
      </c>
      <c r="J444" s="26">
        <f>206.4335</f>
        <v>206.43350000000001</v>
      </c>
    </row>
    <row r="445" spans="1:10" ht="15.75" x14ac:dyDescent="0.25">
      <c r="A445" s="14">
        <v>54847</v>
      </c>
      <c r="B445" s="10">
        <f>36.8469 * CHOOSE(CONTROL!$C$15, $E$9, 100%, $G$9) + CHOOSE(CONTROL!$C$38, 0.0256, 0)</f>
        <v>36.872499999999995</v>
      </c>
      <c r="C445" s="10">
        <f>34.0619 * CHOOSE(CONTROL!$C$15, $E$9, 100%, $G$9) + CHOOSE(CONTROL!$C$38, 0.0347, 0)</f>
        <v>34.096600000000002</v>
      </c>
      <c r="D445" s="10">
        <f>34.0541 * CHOOSE(CONTROL!$C$15, $E$9, 100%, $G$9) + CHOOSE(CONTROL!$C$38, 0.0347, 0)</f>
        <v>34.088799999999999</v>
      </c>
      <c r="E445" s="28">
        <f>36.6906 * CHOOSE(CONTROL!$C$15, $E$9, 100%, $G$9) + CHOOSE(CONTROL!$C$38, 0.0347, 0)</f>
        <v>36.725300000000004</v>
      </c>
      <c r="F445" s="27">
        <f>36.6906 * CHOOSE(CONTROL!$C$15, $E$9, 100%, $G$9) + CHOOSE(CONTROL!$C$38, 0.0256, 0)</f>
        <v>36.716200000000001</v>
      </c>
      <c r="G445" s="10">
        <f>34.0603 * CHOOSE(CONTROL!$C$15, $E$9, 100%, $G$9) + CHOOSE(CONTROL!$C$38, 0.0347, 0)</f>
        <v>34.094999999999999</v>
      </c>
      <c r="H445" s="10">
        <f>34.0603 * CHOOSE(CONTROL!$C$15, $E$9, 100%, $G$9) + CHOOSE(CONTROL!$C$38, 0.0347, 0)</f>
        <v>34.094999999999999</v>
      </c>
      <c r="I445" s="10">
        <f>34.0619 * CHOOSE(CONTROL!$C$15, $E$9, 100%, $G$9) + CHOOSE(CONTROL!$C$38, 0.0347, 0)</f>
        <v>34.096600000000002</v>
      </c>
      <c r="J445" s="26">
        <f>205.8597</f>
        <v>205.8597</v>
      </c>
    </row>
    <row r="446" spans="1:10" ht="15.75" x14ac:dyDescent="0.25">
      <c r="A446" s="14">
        <v>54878</v>
      </c>
      <c r="B446" s="10">
        <f>36.3358 * CHOOSE(CONTROL!$C$15, $E$9, 100%, $G$9) + CHOOSE(CONTROL!$C$38, 0.0256, 0)</f>
        <v>36.361399999999996</v>
      </c>
      <c r="C446" s="10">
        <f>33.5509 * CHOOSE(CONTROL!$C$15, $E$9, 100%, $G$9) + CHOOSE(CONTROL!$C$38, 0.0347, 0)</f>
        <v>33.585599999999999</v>
      </c>
      <c r="D446" s="10">
        <f>33.543 * CHOOSE(CONTROL!$C$15, $E$9, 100%, $G$9) + CHOOSE(CONTROL!$C$38, 0.0347, 0)</f>
        <v>33.5777</v>
      </c>
      <c r="E446" s="28">
        <f>36.1796 * CHOOSE(CONTROL!$C$15, $E$9, 100%, $G$9) + CHOOSE(CONTROL!$C$38, 0.0347, 0)</f>
        <v>36.214300000000001</v>
      </c>
      <c r="F446" s="27">
        <f>36.1796 * CHOOSE(CONTROL!$C$15, $E$9, 100%, $G$9) + CHOOSE(CONTROL!$C$38, 0.0256, 0)</f>
        <v>36.205199999999998</v>
      </c>
      <c r="G446" s="10">
        <f>33.5493 * CHOOSE(CONTROL!$C$15, $E$9, 100%, $G$9) + CHOOSE(CONTROL!$C$38, 0.0347, 0)</f>
        <v>33.584000000000003</v>
      </c>
      <c r="H446" s="10">
        <f>33.5493 * CHOOSE(CONTROL!$C$15, $E$9, 100%, $G$9) + CHOOSE(CONTROL!$C$38, 0.0347, 0)</f>
        <v>33.584000000000003</v>
      </c>
      <c r="I446" s="10">
        <f>33.5509 * CHOOSE(CONTROL!$C$15, $E$9, 100%, $G$9) + CHOOSE(CONTROL!$C$38, 0.0347, 0)</f>
        <v>33.585599999999999</v>
      </c>
      <c r="J446" s="26">
        <f>216.7097</f>
        <v>216.7097</v>
      </c>
    </row>
    <row r="447" spans="1:10" ht="15.75" x14ac:dyDescent="0.25">
      <c r="A447" s="14">
        <v>54908</v>
      </c>
      <c r="B447" s="10">
        <f>35.8407 * CHOOSE(CONTROL!$C$15, $E$9, 100%, $G$9) + CHOOSE(CONTROL!$C$38, 0.0256, 0)</f>
        <v>35.866299999999995</v>
      </c>
      <c r="C447" s="10">
        <f>33.0557 * CHOOSE(CONTROL!$C$15, $E$9, 100%, $G$9) + CHOOSE(CONTROL!$C$38, 0.0347, 0)</f>
        <v>33.090400000000002</v>
      </c>
      <c r="D447" s="10">
        <f>33.0479 * CHOOSE(CONTROL!$C$15, $E$9, 100%, $G$9) + CHOOSE(CONTROL!$C$38, 0.0347, 0)</f>
        <v>33.082599999999999</v>
      </c>
      <c r="E447" s="28">
        <f>35.6844 * CHOOSE(CONTROL!$C$15, $E$9, 100%, $G$9) + CHOOSE(CONTROL!$C$38, 0.0347, 0)</f>
        <v>35.719099999999997</v>
      </c>
      <c r="F447" s="27">
        <f>35.6844 * CHOOSE(CONTROL!$C$15, $E$9, 100%, $G$9) + CHOOSE(CONTROL!$C$38, 0.0256, 0)</f>
        <v>35.709999999999994</v>
      </c>
      <c r="G447" s="10">
        <f>33.0541 * CHOOSE(CONTROL!$C$15, $E$9, 100%, $G$9) + CHOOSE(CONTROL!$C$38, 0.0347, 0)</f>
        <v>33.088799999999999</v>
      </c>
      <c r="H447" s="10">
        <f>33.0541 * CHOOSE(CONTROL!$C$15, $E$9, 100%, $G$9) + CHOOSE(CONTROL!$C$38, 0.0347, 0)</f>
        <v>33.088799999999999</v>
      </c>
      <c r="I447" s="10">
        <f>33.0557 * CHOOSE(CONTROL!$C$15, $E$9, 100%, $G$9) + CHOOSE(CONTROL!$C$38, 0.0347, 0)</f>
        <v>33.090400000000002</v>
      </c>
      <c r="J447" s="26">
        <f>230.7796</f>
        <v>230.77959999999999</v>
      </c>
    </row>
    <row r="448" spans="1:10" ht="15.75" x14ac:dyDescent="0.25">
      <c r="A448" s="14">
        <v>54939</v>
      </c>
      <c r="B448" s="10">
        <f>35.3245 * CHOOSE(CONTROL!$C$15, $E$9, 100%, $G$9) + CHOOSE(CONTROL!$C$38, 0.0278, 0)</f>
        <v>35.3523</v>
      </c>
      <c r="C448" s="10">
        <f>32.5396 * CHOOSE(CONTROL!$C$15, $E$9, 100%, $G$9) + CHOOSE(CONTROL!$C$38, 0.0369, 0)</f>
        <v>32.576500000000003</v>
      </c>
      <c r="D448" s="10">
        <f>32.5317 * CHOOSE(CONTROL!$C$15, $E$9, 100%, $G$9) + CHOOSE(CONTROL!$C$38, 0.0369, 0)</f>
        <v>32.568600000000004</v>
      </c>
      <c r="E448" s="28">
        <f>35.1683 * CHOOSE(CONTROL!$C$15, $E$9, 100%, $G$9) + CHOOSE(CONTROL!$C$38, 0.0369, 0)</f>
        <v>35.205200000000005</v>
      </c>
      <c r="F448" s="27">
        <f>35.1683 * CHOOSE(CONTROL!$C$15, $E$9, 100%, $G$9) + CHOOSE(CONTROL!$C$38, 0.0278, 0)</f>
        <v>35.196100000000001</v>
      </c>
      <c r="G448" s="10">
        <f>32.538 * CHOOSE(CONTROL!$C$15, $E$9, 100%, $G$9) + CHOOSE(CONTROL!$C$38, 0.0369, 0)</f>
        <v>32.5749</v>
      </c>
      <c r="H448" s="10">
        <f>32.538 * CHOOSE(CONTROL!$C$15, $E$9, 100%, $G$9) + CHOOSE(CONTROL!$C$38, 0.0369, 0)</f>
        <v>32.5749</v>
      </c>
      <c r="I448" s="10">
        <f>32.5396 * CHOOSE(CONTROL!$C$15, $E$9, 100%, $G$9) + CHOOSE(CONTROL!$C$38, 0.0369, 0)</f>
        <v>32.576500000000003</v>
      </c>
      <c r="J448" s="26">
        <f>238.5241</f>
        <v>238.5241</v>
      </c>
    </row>
    <row r="449" spans="1:10" ht="15.75" x14ac:dyDescent="0.25">
      <c r="A449" s="14">
        <v>54969</v>
      </c>
      <c r="B449" s="10">
        <f>34.9627 * CHOOSE(CONTROL!$C$15, $E$9, 100%, $G$9) + CHOOSE(CONTROL!$C$38, 0.0278, 0)</f>
        <v>34.990499999999997</v>
      </c>
      <c r="C449" s="10">
        <f>32.1777 * CHOOSE(CONTROL!$C$15, $E$9, 100%, $G$9) + CHOOSE(CONTROL!$C$38, 0.0369, 0)</f>
        <v>32.214600000000004</v>
      </c>
      <c r="D449" s="10">
        <f>32.1699 * CHOOSE(CONTROL!$C$15, $E$9, 100%, $G$9) + CHOOSE(CONTROL!$C$38, 0.0369, 0)</f>
        <v>32.206800000000001</v>
      </c>
      <c r="E449" s="28">
        <f>34.8065 * CHOOSE(CONTROL!$C$15, $E$9, 100%, $G$9) + CHOOSE(CONTROL!$C$38, 0.0369, 0)</f>
        <v>34.843400000000003</v>
      </c>
      <c r="F449" s="27">
        <f>34.8065 * CHOOSE(CONTROL!$C$15, $E$9, 100%, $G$9) + CHOOSE(CONTROL!$C$38, 0.0278, 0)</f>
        <v>34.834299999999999</v>
      </c>
      <c r="G449" s="10">
        <f>32.1762 * CHOOSE(CONTROL!$C$15, $E$9, 100%, $G$9) + CHOOSE(CONTROL!$C$38, 0.0369, 0)</f>
        <v>32.213100000000004</v>
      </c>
      <c r="H449" s="10">
        <f>32.1762 * CHOOSE(CONTROL!$C$15, $E$9, 100%, $G$9) + CHOOSE(CONTROL!$C$38, 0.0369, 0)</f>
        <v>32.213100000000004</v>
      </c>
      <c r="I449" s="10">
        <f>32.1777 * CHOOSE(CONTROL!$C$15, $E$9, 100%, $G$9) + CHOOSE(CONTROL!$C$38, 0.0369, 0)</f>
        <v>32.214600000000004</v>
      </c>
      <c r="J449" s="26">
        <f>241.9609</f>
        <v>241.96090000000001</v>
      </c>
    </row>
    <row r="450" spans="1:10" ht="15.75" x14ac:dyDescent="0.25">
      <c r="A450" s="14">
        <v>55000</v>
      </c>
      <c r="B450" s="10">
        <f>34.7562 * CHOOSE(CONTROL!$C$15, $E$9, 100%, $G$9) + CHOOSE(CONTROL!$C$38, 0.0278, 0)</f>
        <v>34.783999999999999</v>
      </c>
      <c r="C450" s="10">
        <f>31.9712 * CHOOSE(CONTROL!$C$15, $E$9, 100%, $G$9) + CHOOSE(CONTROL!$C$38, 0.0369, 0)</f>
        <v>32.008099999999999</v>
      </c>
      <c r="D450" s="10">
        <f>31.9634 * CHOOSE(CONTROL!$C$15, $E$9, 100%, $G$9) + CHOOSE(CONTROL!$C$38, 0.0369, 0)</f>
        <v>32.000300000000003</v>
      </c>
      <c r="E450" s="28">
        <f>34.6 * CHOOSE(CONTROL!$C$15, $E$9, 100%, $G$9) + CHOOSE(CONTROL!$C$38, 0.0369, 0)</f>
        <v>34.636900000000004</v>
      </c>
      <c r="F450" s="27">
        <f>34.6 * CHOOSE(CONTROL!$C$15, $E$9, 100%, $G$9) + CHOOSE(CONTROL!$C$38, 0.0278, 0)</f>
        <v>34.627800000000001</v>
      </c>
      <c r="G450" s="10">
        <f>31.9697 * CHOOSE(CONTROL!$C$15, $E$9, 100%, $G$9) + CHOOSE(CONTROL!$C$38, 0.0369, 0)</f>
        <v>32.006599999999999</v>
      </c>
      <c r="H450" s="10">
        <f>31.9697 * CHOOSE(CONTROL!$C$15, $E$9, 100%, $G$9) + CHOOSE(CONTROL!$C$38, 0.0369, 0)</f>
        <v>32.006599999999999</v>
      </c>
      <c r="I450" s="10">
        <f>31.9712 * CHOOSE(CONTROL!$C$15, $E$9, 100%, $G$9) + CHOOSE(CONTROL!$C$38, 0.0369, 0)</f>
        <v>32.008099999999999</v>
      </c>
      <c r="J450" s="26">
        <f>240.8294</f>
        <v>240.82939999999999</v>
      </c>
    </row>
    <row r="451" spans="1:10" ht="15.75" x14ac:dyDescent="0.25">
      <c r="A451" s="14">
        <v>55031</v>
      </c>
      <c r="B451" s="10">
        <f>34.8581 * CHOOSE(CONTROL!$C$15, $E$9, 100%, $G$9) + CHOOSE(CONTROL!$C$38, 0.0278, 0)</f>
        <v>34.885899999999999</v>
      </c>
      <c r="C451" s="10">
        <f>32.0731 * CHOOSE(CONTROL!$C$15, $E$9, 100%, $G$9) + CHOOSE(CONTROL!$C$38, 0.0369, 0)</f>
        <v>32.11</v>
      </c>
      <c r="D451" s="10">
        <f>32.0653 * CHOOSE(CONTROL!$C$15, $E$9, 100%, $G$9) + CHOOSE(CONTROL!$C$38, 0.0369, 0)</f>
        <v>32.102200000000003</v>
      </c>
      <c r="E451" s="28">
        <f>34.7019 * CHOOSE(CONTROL!$C$15, $E$9, 100%, $G$9) + CHOOSE(CONTROL!$C$38, 0.0369, 0)</f>
        <v>34.738800000000005</v>
      </c>
      <c r="F451" s="27">
        <f>34.7019 * CHOOSE(CONTROL!$C$15, $E$9, 100%, $G$9) + CHOOSE(CONTROL!$C$38, 0.0278, 0)</f>
        <v>34.729700000000001</v>
      </c>
      <c r="G451" s="10">
        <f>32.0716 * CHOOSE(CONTROL!$C$15, $E$9, 100%, $G$9) + CHOOSE(CONTROL!$C$38, 0.0369, 0)</f>
        <v>32.108499999999999</v>
      </c>
      <c r="H451" s="10">
        <f>32.0716 * CHOOSE(CONTROL!$C$15, $E$9, 100%, $G$9) + CHOOSE(CONTROL!$C$38, 0.0369, 0)</f>
        <v>32.108499999999999</v>
      </c>
      <c r="I451" s="10">
        <f>32.0731 * CHOOSE(CONTROL!$C$15, $E$9, 100%, $G$9) + CHOOSE(CONTROL!$C$38, 0.0369, 0)</f>
        <v>32.11</v>
      </c>
      <c r="J451" s="26">
        <f>235.223</f>
        <v>235.22300000000001</v>
      </c>
    </row>
    <row r="452" spans="1:10" ht="15.75" x14ac:dyDescent="0.25">
      <c r="A452" s="14">
        <v>55061</v>
      </c>
      <c r="B452" s="10">
        <f>35.1349 * CHOOSE(CONTROL!$C$15, $E$9, 100%, $G$9) + CHOOSE(CONTROL!$C$38, 0.0278, 0)</f>
        <v>35.162700000000001</v>
      </c>
      <c r="C452" s="10">
        <f>32.3499 * CHOOSE(CONTROL!$C$15, $E$9, 100%, $G$9) + CHOOSE(CONTROL!$C$38, 0.0369, 0)</f>
        <v>32.386800000000001</v>
      </c>
      <c r="D452" s="10">
        <f>32.3421 * CHOOSE(CONTROL!$C$15, $E$9, 100%, $G$9) + CHOOSE(CONTROL!$C$38, 0.0369, 0)</f>
        <v>32.379000000000005</v>
      </c>
      <c r="E452" s="28">
        <f>34.9787 * CHOOSE(CONTROL!$C$15, $E$9, 100%, $G$9) + CHOOSE(CONTROL!$C$38, 0.0369, 0)</f>
        <v>35.015600000000006</v>
      </c>
      <c r="F452" s="27">
        <f>34.9787 * CHOOSE(CONTROL!$C$15, $E$9, 100%, $G$9) + CHOOSE(CONTROL!$C$38, 0.0278, 0)</f>
        <v>35.006500000000003</v>
      </c>
      <c r="G452" s="10">
        <f>32.3484 * CHOOSE(CONTROL!$C$15, $E$9, 100%, $G$9) + CHOOSE(CONTROL!$C$38, 0.0369, 0)</f>
        <v>32.385300000000001</v>
      </c>
      <c r="H452" s="10">
        <f>32.3484 * CHOOSE(CONTROL!$C$15, $E$9, 100%, $G$9) + CHOOSE(CONTROL!$C$38, 0.0369, 0)</f>
        <v>32.385300000000001</v>
      </c>
      <c r="I452" s="10">
        <f>32.3499 * CHOOSE(CONTROL!$C$15, $E$9, 100%, $G$9) + CHOOSE(CONTROL!$C$38, 0.0369, 0)</f>
        <v>32.386800000000001</v>
      </c>
      <c r="J452" s="26">
        <f>227.4045</f>
        <v>227.40450000000001</v>
      </c>
    </row>
    <row r="453" spans="1:10" ht="15.75" x14ac:dyDescent="0.25">
      <c r="A453" s="14">
        <v>55092</v>
      </c>
      <c r="B453" s="10">
        <f>35.3667 * CHOOSE(CONTROL!$C$15, $E$9, 100%, $G$9) + CHOOSE(CONTROL!$C$38, 0.0256, 0)</f>
        <v>35.392299999999999</v>
      </c>
      <c r="C453" s="10">
        <f>32.5818 * CHOOSE(CONTROL!$C$15, $E$9, 100%, $G$9) + CHOOSE(CONTROL!$C$38, 0.0347, 0)</f>
        <v>32.616500000000002</v>
      </c>
      <c r="D453" s="10">
        <f>32.574 * CHOOSE(CONTROL!$C$15, $E$9, 100%, $G$9) + CHOOSE(CONTROL!$C$38, 0.0347, 0)</f>
        <v>32.608699999999999</v>
      </c>
      <c r="E453" s="28">
        <f>35.2105 * CHOOSE(CONTROL!$C$15, $E$9, 100%, $G$9) + CHOOSE(CONTROL!$C$38, 0.0347, 0)</f>
        <v>35.245200000000004</v>
      </c>
      <c r="F453" s="27">
        <f>35.2105 * CHOOSE(CONTROL!$C$15, $E$9, 100%, $G$9) + CHOOSE(CONTROL!$C$38, 0.0256, 0)</f>
        <v>35.2361</v>
      </c>
      <c r="G453" s="10">
        <f>32.5802 * CHOOSE(CONTROL!$C$15, $E$9, 100%, $G$9) + CHOOSE(CONTROL!$C$38, 0.0347, 0)</f>
        <v>32.614899999999999</v>
      </c>
      <c r="H453" s="10">
        <f>32.5802 * CHOOSE(CONTROL!$C$15, $E$9, 100%, $G$9) + CHOOSE(CONTROL!$C$38, 0.0347, 0)</f>
        <v>32.614899999999999</v>
      </c>
      <c r="I453" s="10">
        <f>32.5818 * CHOOSE(CONTROL!$C$15, $E$9, 100%, $G$9) + CHOOSE(CONTROL!$C$38, 0.0347, 0)</f>
        <v>32.616500000000002</v>
      </c>
      <c r="J453" s="26">
        <f>219.5407</f>
        <v>219.54069999999999</v>
      </c>
    </row>
    <row r="454" spans="1:10" ht="15.75" x14ac:dyDescent="0.25">
      <c r="A454" s="14">
        <v>55122</v>
      </c>
      <c r="B454" s="10">
        <f>35.5602 * CHOOSE(CONTROL!$C$15, $E$9, 100%, $G$9) + CHOOSE(CONTROL!$C$38, 0.0256, 0)</f>
        <v>35.585799999999999</v>
      </c>
      <c r="C454" s="10">
        <f>32.7752 * CHOOSE(CONTROL!$C$15, $E$9, 100%, $G$9) + CHOOSE(CONTROL!$C$38, 0.0347, 0)</f>
        <v>32.809899999999999</v>
      </c>
      <c r="D454" s="10">
        <f>32.7674 * CHOOSE(CONTROL!$C$15, $E$9, 100%, $G$9) + CHOOSE(CONTROL!$C$38, 0.0347, 0)</f>
        <v>32.802100000000003</v>
      </c>
      <c r="E454" s="28">
        <f>35.4039 * CHOOSE(CONTROL!$C$15, $E$9, 100%, $G$9) + CHOOSE(CONTROL!$C$38, 0.0347, 0)</f>
        <v>35.438600000000001</v>
      </c>
      <c r="F454" s="27">
        <f>35.4039 * CHOOSE(CONTROL!$C$15, $E$9, 100%, $G$9) + CHOOSE(CONTROL!$C$38, 0.0256, 0)</f>
        <v>35.429499999999997</v>
      </c>
      <c r="G454" s="10">
        <f>32.7736 * CHOOSE(CONTROL!$C$15, $E$9, 100%, $G$9) + CHOOSE(CONTROL!$C$38, 0.0347, 0)</f>
        <v>32.808300000000003</v>
      </c>
      <c r="H454" s="10">
        <f>32.7736 * CHOOSE(CONTROL!$C$15, $E$9, 100%, $G$9) + CHOOSE(CONTROL!$C$38, 0.0347, 0)</f>
        <v>32.808300000000003</v>
      </c>
      <c r="I454" s="10">
        <f>32.7752 * CHOOSE(CONTROL!$C$15, $E$9, 100%, $G$9) + CHOOSE(CONTROL!$C$38, 0.0347, 0)</f>
        <v>32.809899999999999</v>
      </c>
      <c r="J454" s="26">
        <f>217.9764</f>
        <v>217.97640000000001</v>
      </c>
    </row>
    <row r="455" spans="1:10" ht="15.75" x14ac:dyDescent="0.25">
      <c r="A455" s="14">
        <v>55153</v>
      </c>
      <c r="B455" s="10">
        <f>36.1563 * CHOOSE(CONTROL!$C$15, $E$9, 100%, $G$9) + CHOOSE(CONTROL!$C$38, 0.0256, 0)</f>
        <v>36.181899999999999</v>
      </c>
      <c r="C455" s="10">
        <f>33.3713 * CHOOSE(CONTROL!$C$15, $E$9, 100%, $G$9) + CHOOSE(CONTROL!$C$38, 0.0347, 0)</f>
        <v>33.405999999999999</v>
      </c>
      <c r="D455" s="10">
        <f>33.3635 * CHOOSE(CONTROL!$C$15, $E$9, 100%, $G$9) + CHOOSE(CONTROL!$C$38, 0.0347, 0)</f>
        <v>33.398200000000003</v>
      </c>
      <c r="E455" s="28">
        <f>36 * CHOOSE(CONTROL!$C$15, $E$9, 100%, $G$9) + CHOOSE(CONTROL!$C$38, 0.0347, 0)</f>
        <v>36.034700000000001</v>
      </c>
      <c r="F455" s="27">
        <f>36 * CHOOSE(CONTROL!$C$15, $E$9, 100%, $G$9) + CHOOSE(CONTROL!$C$38, 0.0256, 0)</f>
        <v>36.025599999999997</v>
      </c>
      <c r="G455" s="10">
        <f>33.3697 * CHOOSE(CONTROL!$C$15, $E$9, 100%, $G$9) + CHOOSE(CONTROL!$C$38, 0.0347, 0)</f>
        <v>33.404400000000003</v>
      </c>
      <c r="H455" s="10">
        <f>33.3697 * CHOOSE(CONTROL!$C$15, $E$9, 100%, $G$9) + CHOOSE(CONTROL!$C$38, 0.0347, 0)</f>
        <v>33.404400000000003</v>
      </c>
      <c r="I455" s="10">
        <f>33.3713 * CHOOSE(CONTROL!$C$15, $E$9, 100%, $G$9) + CHOOSE(CONTROL!$C$38, 0.0347, 0)</f>
        <v>33.405999999999999</v>
      </c>
      <c r="J455" s="26">
        <f>211.5079</f>
        <v>211.50790000000001</v>
      </c>
    </row>
    <row r="456" spans="1:10" ht="15.75" x14ac:dyDescent="0.25">
      <c r="A456" s="14">
        <v>55184</v>
      </c>
      <c r="B456" s="10">
        <f>37.245 * CHOOSE(CONTROL!$C$15, $E$9, 100%, $G$9) + CHOOSE(CONTROL!$C$38, 0.0256, 0)</f>
        <v>37.270599999999995</v>
      </c>
      <c r="C456" s="10">
        <f>34.4136 * CHOOSE(CONTROL!$C$15, $E$9, 100%, $G$9) + CHOOSE(CONTROL!$C$38, 0.0347, 0)</f>
        <v>34.448300000000003</v>
      </c>
      <c r="D456" s="10">
        <f>34.4058 * CHOOSE(CONTROL!$C$15, $E$9, 100%, $G$9) + CHOOSE(CONTROL!$C$38, 0.0347, 0)</f>
        <v>34.4405</v>
      </c>
      <c r="E456" s="28">
        <f>37.0888 * CHOOSE(CONTROL!$C$15, $E$9, 100%, $G$9) + CHOOSE(CONTROL!$C$38, 0.0347, 0)</f>
        <v>37.1235</v>
      </c>
      <c r="F456" s="27">
        <f>37.0888 * CHOOSE(CONTROL!$C$15, $E$9, 100%, $G$9) + CHOOSE(CONTROL!$C$38, 0.0256, 0)</f>
        <v>37.114399999999996</v>
      </c>
      <c r="G456" s="10">
        <f>34.412 * CHOOSE(CONTROL!$C$15, $E$9, 100%, $G$9) + CHOOSE(CONTROL!$C$38, 0.0347, 0)</f>
        <v>34.4467</v>
      </c>
      <c r="H456" s="10">
        <f>34.412 * CHOOSE(CONTROL!$C$15, $E$9, 100%, $G$9) + CHOOSE(CONTROL!$C$38, 0.0347, 0)</f>
        <v>34.4467</v>
      </c>
      <c r="I456" s="10">
        <f>34.4136 * CHOOSE(CONTROL!$C$15, $E$9, 100%, $G$9) + CHOOSE(CONTROL!$C$38, 0.0347, 0)</f>
        <v>34.448300000000003</v>
      </c>
      <c r="J456" s="26">
        <f>210.0911</f>
        <v>210.09110000000001</v>
      </c>
    </row>
    <row r="457" spans="1:10" ht="15.75" x14ac:dyDescent="0.25">
      <c r="A457" s="14">
        <v>55212</v>
      </c>
      <c r="B457" s="10">
        <f>37.4658 * CHOOSE(CONTROL!$C$15, $E$9, 100%, $G$9) + CHOOSE(CONTROL!$C$38, 0.0256, 0)</f>
        <v>37.491399999999999</v>
      </c>
      <c r="C457" s="10">
        <f>34.6344 * CHOOSE(CONTROL!$C$15, $E$9, 100%, $G$9) + CHOOSE(CONTROL!$C$38, 0.0347, 0)</f>
        <v>34.6691</v>
      </c>
      <c r="D457" s="10">
        <f>34.6266 * CHOOSE(CONTROL!$C$15, $E$9, 100%, $G$9) + CHOOSE(CONTROL!$C$38, 0.0347, 0)</f>
        <v>34.661300000000004</v>
      </c>
      <c r="E457" s="28">
        <f>37.3095 * CHOOSE(CONTROL!$C$15, $E$9, 100%, $G$9) + CHOOSE(CONTROL!$C$38, 0.0347, 0)</f>
        <v>37.344200000000001</v>
      </c>
      <c r="F457" s="27">
        <f>37.3095 * CHOOSE(CONTROL!$C$15, $E$9, 100%, $G$9) + CHOOSE(CONTROL!$C$38, 0.0256, 0)</f>
        <v>37.335099999999997</v>
      </c>
      <c r="G457" s="10">
        <f>34.6328 * CHOOSE(CONTROL!$C$15, $E$9, 100%, $G$9) + CHOOSE(CONTROL!$C$38, 0.0347, 0)</f>
        <v>34.667500000000004</v>
      </c>
      <c r="H457" s="10">
        <f>34.6328 * CHOOSE(CONTROL!$C$15, $E$9, 100%, $G$9) + CHOOSE(CONTROL!$C$38, 0.0347, 0)</f>
        <v>34.667500000000004</v>
      </c>
      <c r="I457" s="10">
        <f>34.6344 * CHOOSE(CONTROL!$C$15, $E$9, 100%, $G$9) + CHOOSE(CONTROL!$C$38, 0.0347, 0)</f>
        <v>34.6691</v>
      </c>
      <c r="J457" s="26">
        <f>209.5072</f>
        <v>209.50720000000001</v>
      </c>
    </row>
    <row r="458" spans="1:10" ht="15.75" x14ac:dyDescent="0.25">
      <c r="A458" s="14">
        <v>55243</v>
      </c>
      <c r="B458" s="10">
        <f>36.9548 * CHOOSE(CONTROL!$C$15, $E$9, 100%, $G$9) + CHOOSE(CONTROL!$C$38, 0.0256, 0)</f>
        <v>36.980399999999996</v>
      </c>
      <c r="C458" s="10">
        <f>34.1233 * CHOOSE(CONTROL!$C$15, $E$9, 100%, $G$9) + CHOOSE(CONTROL!$C$38, 0.0347, 0)</f>
        <v>34.158000000000001</v>
      </c>
      <c r="D458" s="10">
        <f>34.1155 * CHOOSE(CONTROL!$C$15, $E$9, 100%, $G$9) + CHOOSE(CONTROL!$C$38, 0.0347, 0)</f>
        <v>34.150199999999998</v>
      </c>
      <c r="E458" s="28">
        <f>36.7985 * CHOOSE(CONTROL!$C$15, $E$9, 100%, $G$9) + CHOOSE(CONTROL!$C$38, 0.0347, 0)</f>
        <v>36.833199999999998</v>
      </c>
      <c r="F458" s="27">
        <f>36.7985 * CHOOSE(CONTROL!$C$15, $E$9, 100%, $G$9) + CHOOSE(CONTROL!$C$38, 0.0256, 0)</f>
        <v>36.824099999999994</v>
      </c>
      <c r="G458" s="10">
        <f>34.1218 * CHOOSE(CONTROL!$C$15, $E$9, 100%, $G$9) + CHOOSE(CONTROL!$C$38, 0.0347, 0)</f>
        <v>34.156500000000001</v>
      </c>
      <c r="H458" s="10">
        <f>34.1218 * CHOOSE(CONTROL!$C$15, $E$9, 100%, $G$9) + CHOOSE(CONTROL!$C$38, 0.0347, 0)</f>
        <v>34.156500000000001</v>
      </c>
      <c r="I458" s="10">
        <f>34.1233 * CHOOSE(CONTROL!$C$15, $E$9, 100%, $G$9) + CHOOSE(CONTROL!$C$38, 0.0347, 0)</f>
        <v>34.158000000000001</v>
      </c>
      <c r="J458" s="26">
        <f>220.5494</f>
        <v>220.54939999999999</v>
      </c>
    </row>
    <row r="459" spans="1:10" ht="15.75" x14ac:dyDescent="0.25">
      <c r="A459" s="14">
        <v>55273</v>
      </c>
      <c r="B459" s="10">
        <f>36.4596 * CHOOSE(CONTROL!$C$15, $E$9, 100%, $G$9) + CHOOSE(CONTROL!$C$38, 0.0256, 0)</f>
        <v>36.485199999999999</v>
      </c>
      <c r="C459" s="10">
        <f>33.6282 * CHOOSE(CONTROL!$C$15, $E$9, 100%, $G$9) + CHOOSE(CONTROL!$C$38, 0.0347, 0)</f>
        <v>33.6629</v>
      </c>
      <c r="D459" s="10">
        <f>33.6203 * CHOOSE(CONTROL!$C$15, $E$9, 100%, $G$9) + CHOOSE(CONTROL!$C$38, 0.0347, 0)</f>
        <v>33.655000000000001</v>
      </c>
      <c r="E459" s="28">
        <f>36.3033 * CHOOSE(CONTROL!$C$15, $E$9, 100%, $G$9) + CHOOSE(CONTROL!$C$38, 0.0347, 0)</f>
        <v>36.338000000000001</v>
      </c>
      <c r="F459" s="27">
        <f>36.3033 * CHOOSE(CONTROL!$C$15, $E$9, 100%, $G$9) + CHOOSE(CONTROL!$C$38, 0.0256, 0)</f>
        <v>36.328899999999997</v>
      </c>
      <c r="G459" s="10">
        <f>33.6266 * CHOOSE(CONTROL!$C$15, $E$9, 100%, $G$9) + CHOOSE(CONTROL!$C$38, 0.0347, 0)</f>
        <v>33.661300000000004</v>
      </c>
      <c r="H459" s="10">
        <f>33.6266 * CHOOSE(CONTROL!$C$15, $E$9, 100%, $G$9) + CHOOSE(CONTROL!$C$38, 0.0347, 0)</f>
        <v>33.661300000000004</v>
      </c>
      <c r="I459" s="10">
        <f>33.6282 * CHOOSE(CONTROL!$C$15, $E$9, 100%, $G$9) + CHOOSE(CONTROL!$C$38, 0.0347, 0)</f>
        <v>33.6629</v>
      </c>
      <c r="J459" s="26">
        <f>234.8685</f>
        <v>234.86850000000001</v>
      </c>
    </row>
    <row r="460" spans="1:10" ht="15.75" x14ac:dyDescent="0.25">
      <c r="A460" s="14">
        <v>55304</v>
      </c>
      <c r="B460" s="10">
        <f>35.9435 * CHOOSE(CONTROL!$C$15, $E$9, 100%, $G$9) + CHOOSE(CONTROL!$C$38, 0.0278, 0)</f>
        <v>35.971299999999999</v>
      </c>
      <c r="C460" s="10">
        <f>33.112 * CHOOSE(CONTROL!$C$15, $E$9, 100%, $G$9) + CHOOSE(CONTROL!$C$38, 0.0369, 0)</f>
        <v>33.148900000000005</v>
      </c>
      <c r="D460" s="10">
        <f>33.1042 * CHOOSE(CONTROL!$C$15, $E$9, 100%, $G$9) + CHOOSE(CONTROL!$C$38, 0.0369, 0)</f>
        <v>33.141100000000002</v>
      </c>
      <c r="E460" s="28">
        <f>35.7872 * CHOOSE(CONTROL!$C$15, $E$9, 100%, $G$9) + CHOOSE(CONTROL!$C$38, 0.0369, 0)</f>
        <v>35.824100000000001</v>
      </c>
      <c r="F460" s="27">
        <f>35.7872 * CHOOSE(CONTROL!$C$15, $E$9, 100%, $G$9) + CHOOSE(CONTROL!$C$38, 0.0278, 0)</f>
        <v>35.814999999999998</v>
      </c>
      <c r="G460" s="10">
        <f>33.1105 * CHOOSE(CONTROL!$C$15, $E$9, 100%, $G$9) + CHOOSE(CONTROL!$C$38, 0.0369, 0)</f>
        <v>33.147400000000005</v>
      </c>
      <c r="H460" s="10">
        <f>33.1105 * CHOOSE(CONTROL!$C$15, $E$9, 100%, $G$9) + CHOOSE(CONTROL!$C$38, 0.0369, 0)</f>
        <v>33.147400000000005</v>
      </c>
      <c r="I460" s="10">
        <f>33.112 * CHOOSE(CONTROL!$C$15, $E$9, 100%, $G$9) + CHOOSE(CONTROL!$C$38, 0.0369, 0)</f>
        <v>33.148900000000005</v>
      </c>
      <c r="J460" s="26">
        <f>242.7503</f>
        <v>242.75030000000001</v>
      </c>
    </row>
    <row r="461" spans="1:10" ht="15.75" x14ac:dyDescent="0.25">
      <c r="A461" s="14">
        <v>55334</v>
      </c>
      <c r="B461" s="10">
        <f>35.5816 * CHOOSE(CONTROL!$C$15, $E$9, 100%, $G$9) + CHOOSE(CONTROL!$C$38, 0.0278, 0)</f>
        <v>35.609400000000001</v>
      </c>
      <c r="C461" s="10">
        <f>32.7502 * CHOOSE(CONTROL!$C$15, $E$9, 100%, $G$9) + CHOOSE(CONTROL!$C$38, 0.0369, 0)</f>
        <v>32.787100000000002</v>
      </c>
      <c r="D461" s="10">
        <f>32.7424 * CHOOSE(CONTROL!$C$15, $E$9, 100%, $G$9) + CHOOSE(CONTROL!$C$38, 0.0369, 0)</f>
        <v>32.779300000000006</v>
      </c>
      <c r="E461" s="28">
        <f>35.4254 * CHOOSE(CONTROL!$C$15, $E$9, 100%, $G$9) + CHOOSE(CONTROL!$C$38, 0.0369, 0)</f>
        <v>35.462300000000006</v>
      </c>
      <c r="F461" s="27">
        <f>35.4254 * CHOOSE(CONTROL!$C$15, $E$9, 100%, $G$9) + CHOOSE(CONTROL!$C$38, 0.0278, 0)</f>
        <v>35.453200000000002</v>
      </c>
      <c r="G461" s="10">
        <f>32.7486 * CHOOSE(CONTROL!$C$15, $E$9, 100%, $G$9) + CHOOSE(CONTROL!$C$38, 0.0369, 0)</f>
        <v>32.785500000000006</v>
      </c>
      <c r="H461" s="10">
        <f>32.7486 * CHOOSE(CONTROL!$C$15, $E$9, 100%, $G$9) + CHOOSE(CONTROL!$C$38, 0.0369, 0)</f>
        <v>32.785500000000006</v>
      </c>
      <c r="I461" s="10">
        <f>32.7502 * CHOOSE(CONTROL!$C$15, $E$9, 100%, $G$9) + CHOOSE(CONTROL!$C$38, 0.0369, 0)</f>
        <v>32.787100000000002</v>
      </c>
      <c r="J461" s="26">
        <f>246.248</f>
        <v>246.24799999999999</v>
      </c>
    </row>
    <row r="462" spans="1:10" ht="15.75" x14ac:dyDescent="0.25">
      <c r="A462" s="14">
        <v>55365</v>
      </c>
      <c r="B462" s="10">
        <f>35.3751 * CHOOSE(CONTROL!$C$15, $E$9, 100%, $G$9) + CHOOSE(CONTROL!$C$38, 0.0278, 0)</f>
        <v>35.402900000000002</v>
      </c>
      <c r="C462" s="10">
        <f>32.5437 * CHOOSE(CONTROL!$C$15, $E$9, 100%, $G$9) + CHOOSE(CONTROL!$C$38, 0.0369, 0)</f>
        <v>32.580600000000004</v>
      </c>
      <c r="D462" s="10">
        <f>32.5359 * CHOOSE(CONTROL!$C$15, $E$9, 100%, $G$9) + CHOOSE(CONTROL!$C$38, 0.0369, 0)</f>
        <v>32.572800000000001</v>
      </c>
      <c r="E462" s="28">
        <f>35.2189 * CHOOSE(CONTROL!$C$15, $E$9, 100%, $G$9) + CHOOSE(CONTROL!$C$38, 0.0369, 0)</f>
        <v>35.255800000000001</v>
      </c>
      <c r="F462" s="27">
        <f>35.2189 * CHOOSE(CONTROL!$C$15, $E$9, 100%, $G$9) + CHOOSE(CONTROL!$C$38, 0.0278, 0)</f>
        <v>35.246699999999997</v>
      </c>
      <c r="G462" s="10">
        <f>32.5422 * CHOOSE(CONTROL!$C$15, $E$9, 100%, $G$9) + CHOOSE(CONTROL!$C$38, 0.0369, 0)</f>
        <v>32.579100000000004</v>
      </c>
      <c r="H462" s="10">
        <f>32.5422 * CHOOSE(CONTROL!$C$15, $E$9, 100%, $G$9) + CHOOSE(CONTROL!$C$38, 0.0369, 0)</f>
        <v>32.579100000000004</v>
      </c>
      <c r="I462" s="10">
        <f>32.5437 * CHOOSE(CONTROL!$C$15, $E$9, 100%, $G$9) + CHOOSE(CONTROL!$C$38, 0.0369, 0)</f>
        <v>32.580600000000004</v>
      </c>
      <c r="J462" s="26">
        <f>245.0964</f>
        <v>245.09639999999999</v>
      </c>
    </row>
    <row r="463" spans="1:10" ht="15.75" x14ac:dyDescent="0.25">
      <c r="A463" s="14">
        <v>55396</v>
      </c>
      <c r="B463" s="10">
        <f>35.477 * CHOOSE(CONTROL!$C$15, $E$9, 100%, $G$9) + CHOOSE(CONTROL!$C$38, 0.0278, 0)</f>
        <v>35.504799999999996</v>
      </c>
      <c r="C463" s="10">
        <f>32.6456 * CHOOSE(CONTROL!$C$15, $E$9, 100%, $G$9) + CHOOSE(CONTROL!$C$38, 0.0369, 0)</f>
        <v>32.682500000000005</v>
      </c>
      <c r="D463" s="10">
        <f>32.6378 * CHOOSE(CONTROL!$C$15, $E$9, 100%, $G$9) + CHOOSE(CONTROL!$C$38, 0.0369, 0)</f>
        <v>32.674700000000001</v>
      </c>
      <c r="E463" s="28">
        <f>35.3208 * CHOOSE(CONTROL!$C$15, $E$9, 100%, $G$9) + CHOOSE(CONTROL!$C$38, 0.0369, 0)</f>
        <v>35.357700000000001</v>
      </c>
      <c r="F463" s="27">
        <f>35.3208 * CHOOSE(CONTROL!$C$15, $E$9, 100%, $G$9) + CHOOSE(CONTROL!$C$38, 0.0278, 0)</f>
        <v>35.348599999999998</v>
      </c>
      <c r="G463" s="10">
        <f>32.6441 * CHOOSE(CONTROL!$C$15, $E$9, 100%, $G$9) + CHOOSE(CONTROL!$C$38, 0.0369, 0)</f>
        <v>32.681000000000004</v>
      </c>
      <c r="H463" s="10">
        <f>32.6441 * CHOOSE(CONTROL!$C$15, $E$9, 100%, $G$9) + CHOOSE(CONTROL!$C$38, 0.0369, 0)</f>
        <v>32.681000000000004</v>
      </c>
      <c r="I463" s="10">
        <f>32.6456 * CHOOSE(CONTROL!$C$15, $E$9, 100%, $G$9) + CHOOSE(CONTROL!$C$38, 0.0369, 0)</f>
        <v>32.682500000000005</v>
      </c>
      <c r="J463" s="26">
        <f>239.3907</f>
        <v>239.39070000000001</v>
      </c>
    </row>
    <row r="464" spans="1:10" ht="15.75" x14ac:dyDescent="0.25">
      <c r="A464" s="14">
        <v>55426</v>
      </c>
      <c r="B464" s="10">
        <f>35.7538 * CHOOSE(CONTROL!$C$15, $E$9, 100%, $G$9) + CHOOSE(CONTROL!$C$38, 0.0278, 0)</f>
        <v>35.781599999999997</v>
      </c>
      <c r="C464" s="10">
        <f>32.9224 * CHOOSE(CONTROL!$C$15, $E$9, 100%, $G$9) + CHOOSE(CONTROL!$C$38, 0.0369, 0)</f>
        <v>32.959300000000006</v>
      </c>
      <c r="D464" s="10">
        <f>32.9146 * CHOOSE(CONTROL!$C$15, $E$9, 100%, $G$9) + CHOOSE(CONTROL!$C$38, 0.0369, 0)</f>
        <v>32.951500000000003</v>
      </c>
      <c r="E464" s="28">
        <f>35.5976 * CHOOSE(CONTROL!$C$15, $E$9, 100%, $G$9) + CHOOSE(CONTROL!$C$38, 0.0369, 0)</f>
        <v>35.634500000000003</v>
      </c>
      <c r="F464" s="27">
        <f>35.5976 * CHOOSE(CONTROL!$C$15, $E$9, 100%, $G$9) + CHOOSE(CONTROL!$C$38, 0.0278, 0)</f>
        <v>35.625399999999999</v>
      </c>
      <c r="G464" s="10">
        <f>32.9209 * CHOOSE(CONTROL!$C$15, $E$9, 100%, $G$9) + CHOOSE(CONTROL!$C$38, 0.0369, 0)</f>
        <v>32.957800000000006</v>
      </c>
      <c r="H464" s="10">
        <f>32.9209 * CHOOSE(CONTROL!$C$15, $E$9, 100%, $G$9) + CHOOSE(CONTROL!$C$38, 0.0369, 0)</f>
        <v>32.957800000000006</v>
      </c>
      <c r="I464" s="10">
        <f>32.9224 * CHOOSE(CONTROL!$C$15, $E$9, 100%, $G$9) + CHOOSE(CONTROL!$C$38, 0.0369, 0)</f>
        <v>32.959300000000006</v>
      </c>
      <c r="J464" s="26">
        <f>231.4337</f>
        <v>231.43369999999999</v>
      </c>
    </row>
    <row r="465" spans="1:10" ht="15.75" x14ac:dyDescent="0.25">
      <c r="A465" s="14">
        <v>55457</v>
      </c>
      <c r="B465" s="10">
        <f>35.9857 * CHOOSE(CONTROL!$C$15, $E$9, 100%, $G$9) + CHOOSE(CONTROL!$C$38, 0.0256, 0)</f>
        <v>36.011299999999999</v>
      </c>
      <c r="C465" s="10">
        <f>33.1542 * CHOOSE(CONTROL!$C$15, $E$9, 100%, $G$9) + CHOOSE(CONTROL!$C$38, 0.0347, 0)</f>
        <v>33.188900000000004</v>
      </c>
      <c r="D465" s="10">
        <f>33.1464 * CHOOSE(CONTROL!$C$15, $E$9, 100%, $G$9) + CHOOSE(CONTROL!$C$38, 0.0347, 0)</f>
        <v>33.181100000000001</v>
      </c>
      <c r="E465" s="28">
        <f>35.8294 * CHOOSE(CONTROL!$C$15, $E$9, 100%, $G$9) + CHOOSE(CONTROL!$C$38, 0.0347, 0)</f>
        <v>35.864100000000001</v>
      </c>
      <c r="F465" s="27">
        <f>35.8294 * CHOOSE(CONTROL!$C$15, $E$9, 100%, $G$9) + CHOOSE(CONTROL!$C$38, 0.0256, 0)</f>
        <v>35.854999999999997</v>
      </c>
      <c r="G465" s="10">
        <f>33.1527 * CHOOSE(CONTROL!$C$15, $E$9, 100%, $G$9) + CHOOSE(CONTROL!$C$38, 0.0347, 0)</f>
        <v>33.187400000000004</v>
      </c>
      <c r="H465" s="10">
        <f>33.1527 * CHOOSE(CONTROL!$C$15, $E$9, 100%, $G$9) + CHOOSE(CONTROL!$C$38, 0.0347, 0)</f>
        <v>33.187400000000004</v>
      </c>
      <c r="I465" s="10">
        <f>33.1542 * CHOOSE(CONTROL!$C$15, $E$9, 100%, $G$9) + CHOOSE(CONTROL!$C$38, 0.0347, 0)</f>
        <v>33.188900000000004</v>
      </c>
      <c r="J465" s="26">
        <f>223.4305</f>
        <v>223.43049999999999</v>
      </c>
    </row>
    <row r="466" spans="1:10" ht="15.75" x14ac:dyDescent="0.25">
      <c r="A466" s="14">
        <v>55487</v>
      </c>
      <c r="B466" s="10">
        <f>36.1791 * CHOOSE(CONTROL!$C$15, $E$9, 100%, $G$9) + CHOOSE(CONTROL!$C$38, 0.0256, 0)</f>
        <v>36.204699999999995</v>
      </c>
      <c r="C466" s="10">
        <f>33.3477 * CHOOSE(CONTROL!$C$15, $E$9, 100%, $G$9) + CHOOSE(CONTROL!$C$38, 0.0347, 0)</f>
        <v>33.382400000000004</v>
      </c>
      <c r="D466" s="10">
        <f>33.3399 * CHOOSE(CONTROL!$C$15, $E$9, 100%, $G$9) + CHOOSE(CONTROL!$C$38, 0.0347, 0)</f>
        <v>33.374600000000001</v>
      </c>
      <c r="E466" s="28">
        <f>36.0229 * CHOOSE(CONTROL!$C$15, $E$9, 100%, $G$9) + CHOOSE(CONTROL!$C$38, 0.0347, 0)</f>
        <v>36.057600000000001</v>
      </c>
      <c r="F466" s="27">
        <f>36.0229 * CHOOSE(CONTROL!$C$15, $E$9, 100%, $G$9) + CHOOSE(CONTROL!$C$38, 0.0256, 0)</f>
        <v>36.048499999999997</v>
      </c>
      <c r="G466" s="10">
        <f>33.3461 * CHOOSE(CONTROL!$C$15, $E$9, 100%, $G$9) + CHOOSE(CONTROL!$C$38, 0.0347, 0)</f>
        <v>33.380800000000001</v>
      </c>
      <c r="H466" s="10">
        <f>33.3461 * CHOOSE(CONTROL!$C$15, $E$9, 100%, $G$9) + CHOOSE(CONTROL!$C$38, 0.0347, 0)</f>
        <v>33.380800000000001</v>
      </c>
      <c r="I466" s="10">
        <f>33.3477 * CHOOSE(CONTROL!$C$15, $E$9, 100%, $G$9) + CHOOSE(CONTROL!$C$38, 0.0347, 0)</f>
        <v>33.382400000000004</v>
      </c>
      <c r="J466" s="26">
        <f>221.8385</f>
        <v>221.83850000000001</v>
      </c>
    </row>
    <row r="467" spans="1:10" ht="15.75" x14ac:dyDescent="0.25">
      <c r="A467" s="14">
        <v>55518</v>
      </c>
      <c r="B467" s="10">
        <f>36.7752 * CHOOSE(CONTROL!$C$15, $E$9, 100%, $G$9) + CHOOSE(CONTROL!$C$38, 0.0256, 0)</f>
        <v>36.800799999999995</v>
      </c>
      <c r="C467" s="10">
        <f>33.9438 * CHOOSE(CONTROL!$C$15, $E$9, 100%, $G$9) + CHOOSE(CONTROL!$C$38, 0.0347, 0)</f>
        <v>33.978500000000004</v>
      </c>
      <c r="D467" s="10">
        <f>33.9359 * CHOOSE(CONTROL!$C$15, $E$9, 100%, $G$9) + CHOOSE(CONTROL!$C$38, 0.0347, 0)</f>
        <v>33.970599999999997</v>
      </c>
      <c r="E467" s="28">
        <f>36.6189 * CHOOSE(CONTROL!$C$15, $E$9, 100%, $G$9) + CHOOSE(CONTROL!$C$38, 0.0347, 0)</f>
        <v>36.653599999999997</v>
      </c>
      <c r="F467" s="27">
        <f>36.6189 * CHOOSE(CONTROL!$C$15, $E$9, 100%, $G$9) + CHOOSE(CONTROL!$C$38, 0.0256, 0)</f>
        <v>36.644499999999994</v>
      </c>
      <c r="G467" s="10">
        <f>33.9422 * CHOOSE(CONTROL!$C$15, $E$9, 100%, $G$9) + CHOOSE(CONTROL!$C$38, 0.0347, 0)</f>
        <v>33.976900000000001</v>
      </c>
      <c r="H467" s="10">
        <f>33.9422 * CHOOSE(CONTROL!$C$15, $E$9, 100%, $G$9) + CHOOSE(CONTROL!$C$38, 0.0347, 0)</f>
        <v>33.976900000000001</v>
      </c>
      <c r="I467" s="10">
        <f>33.9438 * CHOOSE(CONTROL!$C$15, $E$9, 100%, $G$9) + CHOOSE(CONTROL!$C$38, 0.0347, 0)</f>
        <v>33.978500000000004</v>
      </c>
      <c r="J467" s="26">
        <f>215.2554</f>
        <v>215.25540000000001</v>
      </c>
    </row>
    <row r="468" spans="1:10" ht="15.75" x14ac:dyDescent="0.25">
      <c r="A468" s="14">
        <v>55549</v>
      </c>
      <c r="B468" s="10">
        <f>37.8749 * CHOOSE(CONTROL!$C$15, $E$9, 100%, $G$9) + CHOOSE(CONTROL!$C$38, 0.0256, 0)</f>
        <v>37.900499999999994</v>
      </c>
      <c r="C468" s="10">
        <f>34.9962 * CHOOSE(CONTROL!$C$15, $E$9, 100%, $G$9) + CHOOSE(CONTROL!$C$38, 0.0347, 0)</f>
        <v>35.030900000000003</v>
      </c>
      <c r="D468" s="10">
        <f>34.9884 * CHOOSE(CONTROL!$C$15, $E$9, 100%, $G$9) + CHOOSE(CONTROL!$C$38, 0.0347, 0)</f>
        <v>35.023099999999999</v>
      </c>
      <c r="E468" s="28">
        <f>37.7186 * CHOOSE(CONTROL!$C$15, $E$9, 100%, $G$9) + CHOOSE(CONTROL!$C$38, 0.0347, 0)</f>
        <v>37.753300000000003</v>
      </c>
      <c r="F468" s="27">
        <f>37.7186 * CHOOSE(CONTROL!$C$15, $E$9, 100%, $G$9) + CHOOSE(CONTROL!$C$38, 0.0256, 0)</f>
        <v>37.744199999999999</v>
      </c>
      <c r="G468" s="10">
        <f>34.9946 * CHOOSE(CONTROL!$C$15, $E$9, 100%, $G$9) + CHOOSE(CONTROL!$C$38, 0.0347, 0)</f>
        <v>35.029299999999999</v>
      </c>
      <c r="H468" s="10">
        <f>34.9946 * CHOOSE(CONTROL!$C$15, $E$9, 100%, $G$9) + CHOOSE(CONTROL!$C$38, 0.0347, 0)</f>
        <v>35.029299999999999</v>
      </c>
      <c r="I468" s="10">
        <f>34.9962 * CHOOSE(CONTROL!$C$15, $E$9, 100%, $G$9) + CHOOSE(CONTROL!$C$38, 0.0347, 0)</f>
        <v>35.030900000000003</v>
      </c>
      <c r="J468" s="26">
        <f>213.8136</f>
        <v>213.81360000000001</v>
      </c>
    </row>
    <row r="469" spans="1:10" ht="15.75" x14ac:dyDescent="0.25">
      <c r="A469" s="14">
        <v>55577</v>
      </c>
      <c r="B469" s="10">
        <f>38.0956 * CHOOSE(CONTROL!$C$15, $E$9, 100%, $G$9) + CHOOSE(CONTROL!$C$38, 0.0256, 0)</f>
        <v>38.121199999999995</v>
      </c>
      <c r="C469" s="10">
        <f>35.217 * CHOOSE(CONTROL!$C$15, $E$9, 100%, $G$9) + CHOOSE(CONTROL!$C$38, 0.0347, 0)</f>
        <v>35.2517</v>
      </c>
      <c r="D469" s="10">
        <f>35.2091 * CHOOSE(CONTROL!$C$15, $E$9, 100%, $G$9) + CHOOSE(CONTROL!$C$38, 0.0347, 0)</f>
        <v>35.2438</v>
      </c>
      <c r="E469" s="28">
        <f>37.9394 * CHOOSE(CONTROL!$C$15, $E$9, 100%, $G$9) + CHOOSE(CONTROL!$C$38, 0.0347, 0)</f>
        <v>37.9741</v>
      </c>
      <c r="F469" s="27">
        <f>37.9394 * CHOOSE(CONTROL!$C$15, $E$9, 100%, $G$9) + CHOOSE(CONTROL!$C$38, 0.0256, 0)</f>
        <v>37.964999999999996</v>
      </c>
      <c r="G469" s="10">
        <f>35.2154 * CHOOSE(CONTROL!$C$15, $E$9, 100%, $G$9) + CHOOSE(CONTROL!$C$38, 0.0347, 0)</f>
        <v>35.250100000000003</v>
      </c>
      <c r="H469" s="10">
        <f>35.2154 * CHOOSE(CONTROL!$C$15, $E$9, 100%, $G$9) + CHOOSE(CONTROL!$C$38, 0.0347, 0)</f>
        <v>35.250100000000003</v>
      </c>
      <c r="I469" s="10">
        <f>35.217 * CHOOSE(CONTROL!$C$15, $E$9, 100%, $G$9) + CHOOSE(CONTROL!$C$38, 0.0347, 0)</f>
        <v>35.2517</v>
      </c>
      <c r="J469" s="26">
        <f>213.2192</f>
        <v>213.2192</v>
      </c>
    </row>
    <row r="470" spans="1:10" ht="15.75" x14ac:dyDescent="0.25">
      <c r="A470" s="14">
        <v>55609</v>
      </c>
      <c r="B470" s="10">
        <f>37.5846 * CHOOSE(CONTROL!$C$15, $E$9, 100%, $G$9) + CHOOSE(CONTROL!$C$38, 0.0256, 0)</f>
        <v>37.610199999999999</v>
      </c>
      <c r="C470" s="10">
        <f>34.7059 * CHOOSE(CONTROL!$C$15, $E$9, 100%, $G$9) + CHOOSE(CONTROL!$C$38, 0.0347, 0)</f>
        <v>34.740600000000001</v>
      </c>
      <c r="D470" s="10">
        <f>34.6981 * CHOOSE(CONTROL!$C$15, $E$9, 100%, $G$9) + CHOOSE(CONTROL!$C$38, 0.0347, 0)</f>
        <v>34.732799999999997</v>
      </c>
      <c r="E470" s="28">
        <f>37.4284 * CHOOSE(CONTROL!$C$15, $E$9, 100%, $G$9) + CHOOSE(CONTROL!$C$38, 0.0347, 0)</f>
        <v>37.463100000000004</v>
      </c>
      <c r="F470" s="27">
        <f>37.4284 * CHOOSE(CONTROL!$C$15, $E$9, 100%, $G$9) + CHOOSE(CONTROL!$C$38, 0.0256, 0)</f>
        <v>37.454000000000001</v>
      </c>
      <c r="G470" s="10">
        <f>34.7044 * CHOOSE(CONTROL!$C$15, $E$9, 100%, $G$9) + CHOOSE(CONTROL!$C$38, 0.0347, 0)</f>
        <v>34.739100000000001</v>
      </c>
      <c r="H470" s="10">
        <f>34.7044 * CHOOSE(CONTROL!$C$15, $E$9, 100%, $G$9) + CHOOSE(CONTROL!$C$38, 0.0347, 0)</f>
        <v>34.739100000000001</v>
      </c>
      <c r="I470" s="10">
        <f>34.7059 * CHOOSE(CONTROL!$C$15, $E$9, 100%, $G$9) + CHOOSE(CONTROL!$C$38, 0.0347, 0)</f>
        <v>34.740600000000001</v>
      </c>
      <c r="J470" s="26">
        <f>224.4571</f>
        <v>224.4571</v>
      </c>
    </row>
    <row r="471" spans="1:10" ht="15.75" x14ac:dyDescent="0.25">
      <c r="A471" s="14">
        <v>55639</v>
      </c>
      <c r="B471" s="10">
        <f>37.0894 * CHOOSE(CONTROL!$C$15, $E$9, 100%, $G$9) + CHOOSE(CONTROL!$C$38, 0.0256, 0)</f>
        <v>37.114999999999995</v>
      </c>
      <c r="C471" s="10">
        <f>34.2107 * CHOOSE(CONTROL!$C$15, $E$9, 100%, $G$9) + CHOOSE(CONTROL!$C$38, 0.0347, 0)</f>
        <v>34.245400000000004</v>
      </c>
      <c r="D471" s="10">
        <f>34.2029 * CHOOSE(CONTROL!$C$15, $E$9, 100%, $G$9) + CHOOSE(CONTROL!$C$38, 0.0347, 0)</f>
        <v>34.2376</v>
      </c>
      <c r="E471" s="28">
        <f>36.9332 * CHOOSE(CONTROL!$C$15, $E$9, 100%, $G$9) + CHOOSE(CONTROL!$C$38, 0.0347, 0)</f>
        <v>36.9679</v>
      </c>
      <c r="F471" s="27">
        <f>36.9332 * CHOOSE(CONTROL!$C$15, $E$9, 100%, $G$9) + CHOOSE(CONTROL!$C$38, 0.0256, 0)</f>
        <v>36.958799999999997</v>
      </c>
      <c r="G471" s="10">
        <f>34.2092 * CHOOSE(CONTROL!$C$15, $E$9, 100%, $G$9) + CHOOSE(CONTROL!$C$38, 0.0347, 0)</f>
        <v>34.243900000000004</v>
      </c>
      <c r="H471" s="10">
        <f>34.2092 * CHOOSE(CONTROL!$C$15, $E$9, 100%, $G$9) + CHOOSE(CONTROL!$C$38, 0.0347, 0)</f>
        <v>34.243900000000004</v>
      </c>
      <c r="I471" s="10">
        <f>34.2107 * CHOOSE(CONTROL!$C$15, $E$9, 100%, $G$9) + CHOOSE(CONTROL!$C$38, 0.0347, 0)</f>
        <v>34.245400000000004</v>
      </c>
      <c r="J471" s="26">
        <f>239.03</f>
        <v>239.03</v>
      </c>
    </row>
    <row r="472" spans="1:10" ht="15.75" x14ac:dyDescent="0.25">
      <c r="A472" s="14">
        <v>55670</v>
      </c>
      <c r="B472" s="10">
        <f>36.5733 * CHOOSE(CONTROL!$C$15, $E$9, 100%, $G$9) + CHOOSE(CONTROL!$C$38, 0.0278, 0)</f>
        <v>36.601100000000002</v>
      </c>
      <c r="C472" s="10">
        <f>33.6946 * CHOOSE(CONTROL!$C$15, $E$9, 100%, $G$9) + CHOOSE(CONTROL!$C$38, 0.0369, 0)</f>
        <v>33.731500000000004</v>
      </c>
      <c r="D472" s="10">
        <f>33.6868 * CHOOSE(CONTROL!$C$15, $E$9, 100%, $G$9) + CHOOSE(CONTROL!$C$38, 0.0369, 0)</f>
        <v>33.723700000000001</v>
      </c>
      <c r="E472" s="28">
        <f>36.4171 * CHOOSE(CONTROL!$C$15, $E$9, 100%, $G$9) + CHOOSE(CONTROL!$C$38, 0.0369, 0)</f>
        <v>36.454000000000001</v>
      </c>
      <c r="F472" s="27">
        <f>36.4171 * CHOOSE(CONTROL!$C$15, $E$9, 100%, $G$9) + CHOOSE(CONTROL!$C$38, 0.0278, 0)</f>
        <v>36.444899999999997</v>
      </c>
      <c r="G472" s="10">
        <f>33.6931 * CHOOSE(CONTROL!$C$15, $E$9, 100%, $G$9) + CHOOSE(CONTROL!$C$38, 0.0369, 0)</f>
        <v>33.730000000000004</v>
      </c>
      <c r="H472" s="10">
        <f>33.6931 * CHOOSE(CONTROL!$C$15, $E$9, 100%, $G$9) + CHOOSE(CONTROL!$C$38, 0.0369, 0)</f>
        <v>33.730000000000004</v>
      </c>
      <c r="I472" s="10">
        <f>33.6946 * CHOOSE(CONTROL!$C$15, $E$9, 100%, $G$9) + CHOOSE(CONTROL!$C$38, 0.0369, 0)</f>
        <v>33.731500000000004</v>
      </c>
      <c r="J472" s="26">
        <f>247.0513</f>
        <v>247.0513</v>
      </c>
    </row>
    <row r="473" spans="1:10" ht="15.75" x14ac:dyDescent="0.25">
      <c r="A473" s="14">
        <v>55700</v>
      </c>
      <c r="B473" s="10">
        <f>36.2115 * CHOOSE(CONTROL!$C$15, $E$9, 100%, $G$9) + CHOOSE(CONTROL!$C$38, 0.0278, 0)</f>
        <v>36.2393</v>
      </c>
      <c r="C473" s="10">
        <f>33.3328 * CHOOSE(CONTROL!$C$15, $E$9, 100%, $G$9) + CHOOSE(CONTROL!$C$38, 0.0369, 0)</f>
        <v>33.369700000000002</v>
      </c>
      <c r="D473" s="10">
        <f>33.325 * CHOOSE(CONTROL!$C$15, $E$9, 100%, $G$9) + CHOOSE(CONTROL!$C$38, 0.0369, 0)</f>
        <v>33.361900000000006</v>
      </c>
      <c r="E473" s="28">
        <f>36.0552 * CHOOSE(CONTROL!$C$15, $E$9, 100%, $G$9) + CHOOSE(CONTROL!$C$38, 0.0369, 0)</f>
        <v>36.092100000000002</v>
      </c>
      <c r="F473" s="27">
        <f>36.0552 * CHOOSE(CONTROL!$C$15, $E$9, 100%, $G$9) + CHOOSE(CONTROL!$C$38, 0.0278, 0)</f>
        <v>36.082999999999998</v>
      </c>
      <c r="G473" s="10">
        <f>33.3312 * CHOOSE(CONTROL!$C$15, $E$9, 100%, $G$9) + CHOOSE(CONTROL!$C$38, 0.0369, 0)</f>
        <v>33.368100000000005</v>
      </c>
      <c r="H473" s="10">
        <f>33.3312 * CHOOSE(CONTROL!$C$15, $E$9, 100%, $G$9) + CHOOSE(CONTROL!$C$38, 0.0369, 0)</f>
        <v>33.368100000000005</v>
      </c>
      <c r="I473" s="10">
        <f>33.3328 * CHOOSE(CONTROL!$C$15, $E$9, 100%, $G$9) + CHOOSE(CONTROL!$C$38, 0.0369, 0)</f>
        <v>33.369700000000002</v>
      </c>
      <c r="J473" s="26">
        <f>250.6111</f>
        <v>250.61109999999999</v>
      </c>
    </row>
    <row r="474" spans="1:10" ht="15.75" x14ac:dyDescent="0.25">
      <c r="A474" s="14">
        <v>55731</v>
      </c>
      <c r="B474" s="10">
        <f>36.005 * CHOOSE(CONTROL!$C$15, $E$9, 100%, $G$9) + CHOOSE(CONTROL!$C$38, 0.0278, 0)</f>
        <v>36.032800000000002</v>
      </c>
      <c r="C474" s="10">
        <f>33.1263 * CHOOSE(CONTROL!$C$15, $E$9, 100%, $G$9) + CHOOSE(CONTROL!$C$38, 0.0369, 0)</f>
        <v>33.163200000000003</v>
      </c>
      <c r="D474" s="10">
        <f>33.1185 * CHOOSE(CONTROL!$C$15, $E$9, 100%, $G$9) + CHOOSE(CONTROL!$C$38, 0.0369, 0)</f>
        <v>33.1554</v>
      </c>
      <c r="E474" s="28">
        <f>35.8487 * CHOOSE(CONTROL!$C$15, $E$9, 100%, $G$9) + CHOOSE(CONTROL!$C$38, 0.0369, 0)</f>
        <v>35.885600000000004</v>
      </c>
      <c r="F474" s="27">
        <f>35.8487 * CHOOSE(CONTROL!$C$15, $E$9, 100%, $G$9) + CHOOSE(CONTROL!$C$38, 0.0278, 0)</f>
        <v>35.8765</v>
      </c>
      <c r="G474" s="10">
        <f>33.1247 * CHOOSE(CONTROL!$C$15, $E$9, 100%, $G$9) + CHOOSE(CONTROL!$C$38, 0.0369, 0)</f>
        <v>33.1616</v>
      </c>
      <c r="H474" s="10">
        <f>33.1247 * CHOOSE(CONTROL!$C$15, $E$9, 100%, $G$9) + CHOOSE(CONTROL!$C$38, 0.0369, 0)</f>
        <v>33.1616</v>
      </c>
      <c r="I474" s="10">
        <f>33.1263 * CHOOSE(CONTROL!$C$15, $E$9, 100%, $G$9) + CHOOSE(CONTROL!$C$38, 0.0369, 0)</f>
        <v>33.163200000000003</v>
      </c>
      <c r="J474" s="26">
        <f>249.439</f>
        <v>249.43899999999999</v>
      </c>
    </row>
    <row r="475" spans="1:10" ht="15.75" x14ac:dyDescent="0.25">
      <c r="A475" s="14">
        <v>55762</v>
      </c>
      <c r="B475" s="10">
        <f>36.1069 * CHOOSE(CONTROL!$C$15, $E$9, 100%, $G$9) + CHOOSE(CONTROL!$C$38, 0.0278, 0)</f>
        <v>36.134700000000002</v>
      </c>
      <c r="C475" s="10">
        <f>33.2282 * CHOOSE(CONTROL!$C$15, $E$9, 100%, $G$9) + CHOOSE(CONTROL!$C$38, 0.0369, 0)</f>
        <v>33.265100000000004</v>
      </c>
      <c r="D475" s="10">
        <f>33.2204 * CHOOSE(CONTROL!$C$15, $E$9, 100%, $G$9) + CHOOSE(CONTROL!$C$38, 0.0369, 0)</f>
        <v>33.257300000000001</v>
      </c>
      <c r="E475" s="28">
        <f>35.9507 * CHOOSE(CONTROL!$C$15, $E$9, 100%, $G$9) + CHOOSE(CONTROL!$C$38, 0.0369, 0)</f>
        <v>35.9876</v>
      </c>
      <c r="F475" s="27">
        <f>35.9507 * CHOOSE(CONTROL!$C$15, $E$9, 100%, $G$9) + CHOOSE(CONTROL!$C$38, 0.0278, 0)</f>
        <v>35.978499999999997</v>
      </c>
      <c r="G475" s="10">
        <f>33.2267 * CHOOSE(CONTROL!$C$15, $E$9, 100%, $G$9) + CHOOSE(CONTROL!$C$38, 0.0369, 0)</f>
        <v>33.263600000000004</v>
      </c>
      <c r="H475" s="10">
        <f>33.2267 * CHOOSE(CONTROL!$C$15, $E$9, 100%, $G$9) + CHOOSE(CONTROL!$C$38, 0.0369, 0)</f>
        <v>33.263600000000004</v>
      </c>
      <c r="I475" s="10">
        <f>33.2282 * CHOOSE(CONTROL!$C$15, $E$9, 100%, $G$9) + CHOOSE(CONTROL!$C$38, 0.0369, 0)</f>
        <v>33.265100000000004</v>
      </c>
      <c r="J475" s="26">
        <f>243.6322</f>
        <v>243.63220000000001</v>
      </c>
    </row>
    <row r="476" spans="1:10" ht="15.75" x14ac:dyDescent="0.25">
      <c r="A476" s="14">
        <v>55792</v>
      </c>
      <c r="B476" s="10">
        <f>36.3837 * CHOOSE(CONTROL!$C$15, $E$9, 100%, $G$9) + CHOOSE(CONTROL!$C$38, 0.0278, 0)</f>
        <v>36.411499999999997</v>
      </c>
      <c r="C476" s="10">
        <f>33.505 * CHOOSE(CONTROL!$C$15, $E$9, 100%, $G$9) + CHOOSE(CONTROL!$C$38, 0.0369, 0)</f>
        <v>33.541900000000005</v>
      </c>
      <c r="D476" s="10">
        <f>33.4972 * CHOOSE(CONTROL!$C$15, $E$9, 100%, $G$9) + CHOOSE(CONTROL!$C$38, 0.0369, 0)</f>
        <v>33.534100000000002</v>
      </c>
      <c r="E476" s="28">
        <f>36.2275 * CHOOSE(CONTROL!$C$15, $E$9, 100%, $G$9) + CHOOSE(CONTROL!$C$38, 0.0369, 0)</f>
        <v>36.264400000000002</v>
      </c>
      <c r="F476" s="27">
        <f>36.2275 * CHOOSE(CONTROL!$C$15, $E$9, 100%, $G$9) + CHOOSE(CONTROL!$C$38, 0.0278, 0)</f>
        <v>36.255299999999998</v>
      </c>
      <c r="G476" s="10">
        <f>33.5035 * CHOOSE(CONTROL!$C$15, $E$9, 100%, $G$9) + CHOOSE(CONTROL!$C$38, 0.0369, 0)</f>
        <v>33.540400000000005</v>
      </c>
      <c r="H476" s="10">
        <f>33.5035 * CHOOSE(CONTROL!$C$15, $E$9, 100%, $G$9) + CHOOSE(CONTROL!$C$38, 0.0369, 0)</f>
        <v>33.540400000000005</v>
      </c>
      <c r="I476" s="10">
        <f>33.505 * CHOOSE(CONTROL!$C$15, $E$9, 100%, $G$9) + CHOOSE(CONTROL!$C$38, 0.0369, 0)</f>
        <v>33.541900000000005</v>
      </c>
      <c r="J476" s="26">
        <f>235.5343</f>
        <v>235.5343</v>
      </c>
    </row>
    <row r="477" spans="1:10" ht="15.75" x14ac:dyDescent="0.25">
      <c r="A477" s="14">
        <v>55823</v>
      </c>
      <c r="B477" s="10">
        <f>36.6155 * CHOOSE(CONTROL!$C$15, $E$9, 100%, $G$9) + CHOOSE(CONTROL!$C$38, 0.0256, 0)</f>
        <v>36.641099999999994</v>
      </c>
      <c r="C477" s="10">
        <f>33.7368 * CHOOSE(CONTROL!$C$15, $E$9, 100%, $G$9) + CHOOSE(CONTROL!$C$38, 0.0347, 0)</f>
        <v>33.771500000000003</v>
      </c>
      <c r="D477" s="10">
        <f>33.729 * CHOOSE(CONTROL!$C$15, $E$9, 100%, $G$9) + CHOOSE(CONTROL!$C$38, 0.0347, 0)</f>
        <v>33.7637</v>
      </c>
      <c r="E477" s="28">
        <f>36.4593 * CHOOSE(CONTROL!$C$15, $E$9, 100%, $G$9) + CHOOSE(CONTROL!$C$38, 0.0347, 0)</f>
        <v>36.494</v>
      </c>
      <c r="F477" s="27">
        <f>36.4593 * CHOOSE(CONTROL!$C$15, $E$9, 100%, $G$9) + CHOOSE(CONTROL!$C$38, 0.0256, 0)</f>
        <v>36.484899999999996</v>
      </c>
      <c r="G477" s="10">
        <f>33.7353 * CHOOSE(CONTROL!$C$15, $E$9, 100%, $G$9) + CHOOSE(CONTROL!$C$38, 0.0347, 0)</f>
        <v>33.770000000000003</v>
      </c>
      <c r="H477" s="10">
        <f>33.7353 * CHOOSE(CONTROL!$C$15, $E$9, 100%, $G$9) + CHOOSE(CONTROL!$C$38, 0.0347, 0)</f>
        <v>33.770000000000003</v>
      </c>
      <c r="I477" s="10">
        <f>33.7368 * CHOOSE(CONTROL!$C$15, $E$9, 100%, $G$9) + CHOOSE(CONTROL!$C$38, 0.0347, 0)</f>
        <v>33.771500000000003</v>
      </c>
      <c r="J477" s="26">
        <f>227.3893</f>
        <v>227.38929999999999</v>
      </c>
    </row>
    <row r="478" spans="1:10" ht="15.75" x14ac:dyDescent="0.25">
      <c r="A478" s="14">
        <v>55853</v>
      </c>
      <c r="B478" s="10">
        <f>36.809 * CHOOSE(CONTROL!$C$15, $E$9, 100%, $G$9) + CHOOSE(CONTROL!$C$38, 0.0256, 0)</f>
        <v>36.834599999999995</v>
      </c>
      <c r="C478" s="10">
        <f>33.9303 * CHOOSE(CONTROL!$C$15, $E$9, 100%, $G$9) + CHOOSE(CONTROL!$C$38, 0.0347, 0)</f>
        <v>33.965000000000003</v>
      </c>
      <c r="D478" s="10">
        <f>33.9225 * CHOOSE(CONTROL!$C$15, $E$9, 100%, $G$9) + CHOOSE(CONTROL!$C$38, 0.0347, 0)</f>
        <v>33.9572</v>
      </c>
      <c r="E478" s="28">
        <f>36.6527 * CHOOSE(CONTROL!$C$15, $E$9, 100%, $G$9) + CHOOSE(CONTROL!$C$38, 0.0347, 0)</f>
        <v>36.687400000000004</v>
      </c>
      <c r="F478" s="27">
        <f>36.6527 * CHOOSE(CONTROL!$C$15, $E$9, 100%, $G$9) + CHOOSE(CONTROL!$C$38, 0.0256, 0)</f>
        <v>36.6783</v>
      </c>
      <c r="G478" s="10">
        <f>33.9287 * CHOOSE(CONTROL!$C$15, $E$9, 100%, $G$9) + CHOOSE(CONTROL!$C$38, 0.0347, 0)</f>
        <v>33.9634</v>
      </c>
      <c r="H478" s="10">
        <f>33.9287 * CHOOSE(CONTROL!$C$15, $E$9, 100%, $G$9) + CHOOSE(CONTROL!$C$38, 0.0347, 0)</f>
        <v>33.9634</v>
      </c>
      <c r="I478" s="10">
        <f>33.9303 * CHOOSE(CONTROL!$C$15, $E$9, 100%, $G$9) + CHOOSE(CONTROL!$C$38, 0.0347, 0)</f>
        <v>33.965000000000003</v>
      </c>
      <c r="J478" s="26">
        <f>225.7691</f>
        <v>225.76910000000001</v>
      </c>
    </row>
    <row r="479" spans="1:10" ht="15.75" x14ac:dyDescent="0.25">
      <c r="A479" s="14">
        <v>55884</v>
      </c>
      <c r="B479" s="10">
        <f>37.405 * CHOOSE(CONTROL!$C$15, $E$9, 100%, $G$9) + CHOOSE(CONTROL!$C$38, 0.0256, 0)</f>
        <v>37.430599999999998</v>
      </c>
      <c r="C479" s="10">
        <f>34.5263 * CHOOSE(CONTROL!$C$15, $E$9, 100%, $G$9) + CHOOSE(CONTROL!$C$38, 0.0347, 0)</f>
        <v>34.561</v>
      </c>
      <c r="D479" s="10">
        <f>34.5185 * CHOOSE(CONTROL!$C$15, $E$9, 100%, $G$9) + CHOOSE(CONTROL!$C$38, 0.0347, 0)</f>
        <v>34.553200000000004</v>
      </c>
      <c r="E479" s="28">
        <f>37.2488 * CHOOSE(CONTROL!$C$15, $E$9, 100%, $G$9) + CHOOSE(CONTROL!$C$38, 0.0347, 0)</f>
        <v>37.283500000000004</v>
      </c>
      <c r="F479" s="27">
        <f>37.2488 * CHOOSE(CONTROL!$C$15, $E$9, 100%, $G$9) + CHOOSE(CONTROL!$C$38, 0.0256, 0)</f>
        <v>37.2744</v>
      </c>
      <c r="G479" s="10">
        <f>34.5248 * CHOOSE(CONTROL!$C$15, $E$9, 100%, $G$9) + CHOOSE(CONTROL!$C$38, 0.0347, 0)</f>
        <v>34.5595</v>
      </c>
      <c r="H479" s="10">
        <f>34.5248 * CHOOSE(CONTROL!$C$15, $E$9, 100%, $G$9) + CHOOSE(CONTROL!$C$38, 0.0347, 0)</f>
        <v>34.5595</v>
      </c>
      <c r="I479" s="10">
        <f>34.5263 * CHOOSE(CONTROL!$C$15, $E$9, 100%, $G$9) + CHOOSE(CONTROL!$C$38, 0.0347, 0)</f>
        <v>34.561</v>
      </c>
      <c r="J479" s="26">
        <f>219.0694</f>
        <v>219.0694</v>
      </c>
    </row>
    <row r="480" spans="1:10" ht="15.75" x14ac:dyDescent="0.25">
      <c r="A480" s="14">
        <v>55915</v>
      </c>
      <c r="B480" s="10">
        <f>38.5159 * CHOOSE(CONTROL!$C$15, $E$9, 100%, $G$9) + CHOOSE(CONTROL!$C$38, 0.0256, 0)</f>
        <v>38.541499999999999</v>
      </c>
      <c r="C480" s="10">
        <f>35.5891 * CHOOSE(CONTROL!$C$15, $E$9, 100%, $G$9) + CHOOSE(CONTROL!$C$38, 0.0347, 0)</f>
        <v>35.623800000000003</v>
      </c>
      <c r="D480" s="10">
        <f>35.5813 * CHOOSE(CONTROL!$C$15, $E$9, 100%, $G$9) + CHOOSE(CONTROL!$C$38, 0.0347, 0)</f>
        <v>35.616</v>
      </c>
      <c r="E480" s="28">
        <f>38.3596 * CHOOSE(CONTROL!$C$15, $E$9, 100%, $G$9) + CHOOSE(CONTROL!$C$38, 0.0347, 0)</f>
        <v>38.394300000000001</v>
      </c>
      <c r="F480" s="27">
        <f>38.3596 * CHOOSE(CONTROL!$C$15, $E$9, 100%, $G$9) + CHOOSE(CONTROL!$C$38, 0.0256, 0)</f>
        <v>38.385199999999998</v>
      </c>
      <c r="G480" s="10">
        <f>35.5875 * CHOOSE(CONTROL!$C$15, $E$9, 100%, $G$9) + CHOOSE(CONTROL!$C$38, 0.0347, 0)</f>
        <v>35.622199999999999</v>
      </c>
      <c r="H480" s="10">
        <f>35.5875 * CHOOSE(CONTROL!$C$15, $E$9, 100%, $G$9) + CHOOSE(CONTROL!$C$38, 0.0347, 0)</f>
        <v>35.622199999999999</v>
      </c>
      <c r="I480" s="10">
        <f>35.5891 * CHOOSE(CONTROL!$C$15, $E$9, 100%, $G$9) + CHOOSE(CONTROL!$C$38, 0.0347, 0)</f>
        <v>35.623800000000003</v>
      </c>
      <c r="J480" s="26">
        <f>217.6019</f>
        <v>217.6019</v>
      </c>
    </row>
    <row r="481" spans="1:10" ht="15.75" x14ac:dyDescent="0.25">
      <c r="A481" s="14">
        <v>55943</v>
      </c>
      <c r="B481" s="10">
        <f>38.7366 * CHOOSE(CONTROL!$C$15, $E$9, 100%, $G$9) + CHOOSE(CONTROL!$C$38, 0.0256, 0)</f>
        <v>38.7622</v>
      </c>
      <c r="C481" s="10">
        <f>35.8098 * CHOOSE(CONTROL!$C$15, $E$9, 100%, $G$9) + CHOOSE(CONTROL!$C$38, 0.0347, 0)</f>
        <v>35.844500000000004</v>
      </c>
      <c r="D481" s="10">
        <f>35.802 * CHOOSE(CONTROL!$C$15, $E$9, 100%, $G$9) + CHOOSE(CONTROL!$C$38, 0.0347, 0)</f>
        <v>35.8367</v>
      </c>
      <c r="E481" s="28">
        <f>38.5804 * CHOOSE(CONTROL!$C$15, $E$9, 100%, $G$9) + CHOOSE(CONTROL!$C$38, 0.0347, 0)</f>
        <v>38.615099999999998</v>
      </c>
      <c r="F481" s="27">
        <f>38.5804 * CHOOSE(CONTROL!$C$15, $E$9, 100%, $G$9) + CHOOSE(CONTROL!$C$38, 0.0256, 0)</f>
        <v>38.605999999999995</v>
      </c>
      <c r="G481" s="10">
        <f>35.8083 * CHOOSE(CONTROL!$C$15, $E$9, 100%, $G$9) + CHOOSE(CONTROL!$C$38, 0.0347, 0)</f>
        <v>35.843000000000004</v>
      </c>
      <c r="H481" s="10">
        <f>35.8083 * CHOOSE(CONTROL!$C$15, $E$9, 100%, $G$9) + CHOOSE(CONTROL!$C$38, 0.0347, 0)</f>
        <v>35.843000000000004</v>
      </c>
      <c r="I481" s="10">
        <f>35.8098 * CHOOSE(CONTROL!$C$15, $E$9, 100%, $G$9) + CHOOSE(CONTROL!$C$38, 0.0347, 0)</f>
        <v>35.844500000000004</v>
      </c>
      <c r="J481" s="26">
        <f>216.9971</f>
        <v>216.99709999999999</v>
      </c>
    </row>
    <row r="482" spans="1:10" ht="15.75" x14ac:dyDescent="0.25">
      <c r="A482" s="14">
        <v>55974</v>
      </c>
      <c r="B482" s="10">
        <f>38.2256 * CHOOSE(CONTROL!$C$15, $E$9, 100%, $G$9) + CHOOSE(CONTROL!$C$38, 0.0256, 0)</f>
        <v>38.251199999999997</v>
      </c>
      <c r="C482" s="10">
        <f>35.2988 * CHOOSE(CONTROL!$C$15, $E$9, 100%, $G$9) + CHOOSE(CONTROL!$C$38, 0.0347, 0)</f>
        <v>35.333500000000001</v>
      </c>
      <c r="D482" s="10">
        <f>35.291 * CHOOSE(CONTROL!$C$15, $E$9, 100%, $G$9) + CHOOSE(CONTROL!$C$38, 0.0347, 0)</f>
        <v>35.325699999999998</v>
      </c>
      <c r="E482" s="28">
        <f>38.0694 * CHOOSE(CONTROL!$C$15, $E$9, 100%, $G$9) + CHOOSE(CONTROL!$C$38, 0.0347, 0)</f>
        <v>38.104100000000003</v>
      </c>
      <c r="F482" s="27">
        <f>38.0694 * CHOOSE(CONTROL!$C$15, $E$9, 100%, $G$9) + CHOOSE(CONTROL!$C$38, 0.0256, 0)</f>
        <v>38.094999999999999</v>
      </c>
      <c r="G482" s="10">
        <f>35.2973 * CHOOSE(CONTROL!$C$15, $E$9, 100%, $G$9) + CHOOSE(CONTROL!$C$38, 0.0347, 0)</f>
        <v>35.332000000000001</v>
      </c>
      <c r="H482" s="10">
        <f>35.2973 * CHOOSE(CONTROL!$C$15, $E$9, 100%, $G$9) + CHOOSE(CONTROL!$C$38, 0.0347, 0)</f>
        <v>35.332000000000001</v>
      </c>
      <c r="I482" s="10">
        <f>35.2988 * CHOOSE(CONTROL!$C$15, $E$9, 100%, $G$9) + CHOOSE(CONTROL!$C$38, 0.0347, 0)</f>
        <v>35.333500000000001</v>
      </c>
      <c r="J482" s="26">
        <f>228.4341</f>
        <v>228.4341</v>
      </c>
    </row>
    <row r="483" spans="1:10" ht="15.75" x14ac:dyDescent="0.25">
      <c r="A483" s="14">
        <v>56004</v>
      </c>
      <c r="B483" s="10">
        <f>37.7304 * CHOOSE(CONTROL!$C$15, $E$9, 100%, $G$9) + CHOOSE(CONTROL!$C$38, 0.0256, 0)</f>
        <v>37.756</v>
      </c>
      <c r="C483" s="10">
        <f>34.8036 * CHOOSE(CONTROL!$C$15, $E$9, 100%, $G$9) + CHOOSE(CONTROL!$C$38, 0.0347, 0)</f>
        <v>34.838300000000004</v>
      </c>
      <c r="D483" s="10">
        <f>34.7958 * CHOOSE(CONTROL!$C$15, $E$9, 100%, $G$9) + CHOOSE(CONTROL!$C$38, 0.0347, 0)</f>
        <v>34.830500000000001</v>
      </c>
      <c r="E483" s="28">
        <f>37.5742 * CHOOSE(CONTROL!$C$15, $E$9, 100%, $G$9) + CHOOSE(CONTROL!$C$38, 0.0347, 0)</f>
        <v>37.608899999999998</v>
      </c>
      <c r="F483" s="27">
        <f>37.5742 * CHOOSE(CONTROL!$C$15, $E$9, 100%, $G$9) + CHOOSE(CONTROL!$C$38, 0.0256, 0)</f>
        <v>37.599799999999995</v>
      </c>
      <c r="G483" s="10">
        <f>34.8021 * CHOOSE(CONTROL!$C$15, $E$9, 100%, $G$9) + CHOOSE(CONTROL!$C$38, 0.0347, 0)</f>
        <v>34.836800000000004</v>
      </c>
      <c r="H483" s="10">
        <f>34.8021 * CHOOSE(CONTROL!$C$15, $E$9, 100%, $G$9) + CHOOSE(CONTROL!$C$38, 0.0347, 0)</f>
        <v>34.836800000000004</v>
      </c>
      <c r="I483" s="10">
        <f>34.8036 * CHOOSE(CONTROL!$C$15, $E$9, 100%, $G$9) + CHOOSE(CONTROL!$C$38, 0.0347, 0)</f>
        <v>34.838300000000004</v>
      </c>
      <c r="J483" s="26">
        <f>243.2651</f>
        <v>243.26509999999999</v>
      </c>
    </row>
    <row r="484" spans="1:10" ht="15.75" x14ac:dyDescent="0.25">
      <c r="A484" s="14">
        <v>56035</v>
      </c>
      <c r="B484" s="10">
        <f>37.2143 * CHOOSE(CONTROL!$C$15, $E$9, 100%, $G$9) + CHOOSE(CONTROL!$C$38, 0.0278, 0)</f>
        <v>37.242100000000001</v>
      </c>
      <c r="C484" s="10">
        <f>34.2875 * CHOOSE(CONTROL!$C$15, $E$9, 100%, $G$9) + CHOOSE(CONTROL!$C$38, 0.0369, 0)</f>
        <v>34.324400000000004</v>
      </c>
      <c r="D484" s="10">
        <f>34.2797 * CHOOSE(CONTROL!$C$15, $E$9, 100%, $G$9) + CHOOSE(CONTROL!$C$38, 0.0369, 0)</f>
        <v>34.316600000000001</v>
      </c>
      <c r="E484" s="28">
        <f>37.0581 * CHOOSE(CONTROL!$C$15, $E$9, 100%, $G$9) + CHOOSE(CONTROL!$C$38, 0.0369, 0)</f>
        <v>37.095000000000006</v>
      </c>
      <c r="F484" s="27">
        <f>37.0581 * CHOOSE(CONTROL!$C$15, $E$9, 100%, $G$9) + CHOOSE(CONTROL!$C$38, 0.0278, 0)</f>
        <v>37.085900000000002</v>
      </c>
      <c r="G484" s="10">
        <f>34.286 * CHOOSE(CONTROL!$C$15, $E$9, 100%, $G$9) + CHOOSE(CONTROL!$C$38, 0.0369, 0)</f>
        <v>34.322900000000004</v>
      </c>
      <c r="H484" s="10">
        <f>34.286 * CHOOSE(CONTROL!$C$15, $E$9, 100%, $G$9) + CHOOSE(CONTROL!$C$38, 0.0369, 0)</f>
        <v>34.322900000000004</v>
      </c>
      <c r="I484" s="10">
        <f>34.2875 * CHOOSE(CONTROL!$C$15, $E$9, 100%, $G$9) + CHOOSE(CONTROL!$C$38, 0.0369, 0)</f>
        <v>34.324400000000004</v>
      </c>
      <c r="J484" s="26">
        <f>251.4286</f>
        <v>251.42859999999999</v>
      </c>
    </row>
    <row r="485" spans="1:10" ht="15.75" x14ac:dyDescent="0.25">
      <c r="A485" s="14">
        <v>56065</v>
      </c>
      <c r="B485" s="10">
        <f>36.8525 * CHOOSE(CONTROL!$C$15, $E$9, 100%, $G$9) + CHOOSE(CONTROL!$C$38, 0.0278, 0)</f>
        <v>36.880299999999998</v>
      </c>
      <c r="C485" s="10">
        <f>33.9257 * CHOOSE(CONTROL!$C$15, $E$9, 100%, $G$9) + CHOOSE(CONTROL!$C$38, 0.0369, 0)</f>
        <v>33.962600000000002</v>
      </c>
      <c r="D485" s="10">
        <f>33.9179 * CHOOSE(CONTROL!$C$15, $E$9, 100%, $G$9) + CHOOSE(CONTROL!$C$38, 0.0369, 0)</f>
        <v>33.954800000000006</v>
      </c>
      <c r="E485" s="28">
        <f>36.6962 * CHOOSE(CONTROL!$C$15, $E$9, 100%, $G$9) + CHOOSE(CONTROL!$C$38, 0.0369, 0)</f>
        <v>36.7331</v>
      </c>
      <c r="F485" s="27">
        <f>36.6962 * CHOOSE(CONTROL!$C$15, $E$9, 100%, $G$9) + CHOOSE(CONTROL!$C$38, 0.0278, 0)</f>
        <v>36.723999999999997</v>
      </c>
      <c r="G485" s="10">
        <f>33.9241 * CHOOSE(CONTROL!$C$15, $E$9, 100%, $G$9) + CHOOSE(CONTROL!$C$38, 0.0369, 0)</f>
        <v>33.961000000000006</v>
      </c>
      <c r="H485" s="10">
        <f>33.9241 * CHOOSE(CONTROL!$C$15, $E$9, 100%, $G$9) + CHOOSE(CONTROL!$C$38, 0.0369, 0)</f>
        <v>33.961000000000006</v>
      </c>
      <c r="I485" s="10">
        <f>33.9257 * CHOOSE(CONTROL!$C$15, $E$9, 100%, $G$9) + CHOOSE(CONTROL!$C$38, 0.0369, 0)</f>
        <v>33.962600000000002</v>
      </c>
      <c r="J485" s="26">
        <f>255.0514</f>
        <v>255.0514</v>
      </c>
    </row>
    <row r="486" spans="1:10" ht="15.75" x14ac:dyDescent="0.25">
      <c r="A486" s="14">
        <v>56096</v>
      </c>
      <c r="B486" s="10">
        <f>36.646 * CHOOSE(CONTROL!$C$15, $E$9, 100%, $G$9) + CHOOSE(CONTROL!$C$38, 0.0278, 0)</f>
        <v>36.6738</v>
      </c>
      <c r="C486" s="10">
        <f>33.7192 * CHOOSE(CONTROL!$C$15, $E$9, 100%, $G$9) + CHOOSE(CONTROL!$C$38, 0.0369, 0)</f>
        <v>33.756100000000004</v>
      </c>
      <c r="D486" s="10">
        <f>33.7114 * CHOOSE(CONTROL!$C$15, $E$9, 100%, $G$9) + CHOOSE(CONTROL!$C$38, 0.0369, 0)</f>
        <v>33.7483</v>
      </c>
      <c r="E486" s="28">
        <f>36.4897 * CHOOSE(CONTROL!$C$15, $E$9, 100%, $G$9) + CHOOSE(CONTROL!$C$38, 0.0369, 0)</f>
        <v>36.526600000000002</v>
      </c>
      <c r="F486" s="27">
        <f>36.4897 * CHOOSE(CONTROL!$C$15, $E$9, 100%, $G$9) + CHOOSE(CONTROL!$C$38, 0.0278, 0)</f>
        <v>36.517499999999998</v>
      </c>
      <c r="G486" s="10">
        <f>33.7176 * CHOOSE(CONTROL!$C$15, $E$9, 100%, $G$9) + CHOOSE(CONTROL!$C$38, 0.0369, 0)</f>
        <v>33.7545</v>
      </c>
      <c r="H486" s="10">
        <f>33.7176 * CHOOSE(CONTROL!$C$15, $E$9, 100%, $G$9) + CHOOSE(CONTROL!$C$38, 0.0369, 0)</f>
        <v>33.7545</v>
      </c>
      <c r="I486" s="10">
        <f>33.7192 * CHOOSE(CONTROL!$C$15, $E$9, 100%, $G$9) + CHOOSE(CONTROL!$C$38, 0.0369, 0)</f>
        <v>33.756100000000004</v>
      </c>
      <c r="J486" s="26">
        <f>253.8586</f>
        <v>253.8586</v>
      </c>
    </row>
    <row r="487" spans="1:10" ht="15.75" x14ac:dyDescent="0.25">
      <c r="A487" s="14">
        <v>56127</v>
      </c>
      <c r="B487" s="10">
        <f>36.7479 * CHOOSE(CONTROL!$C$15, $E$9, 100%, $G$9) + CHOOSE(CONTROL!$C$38, 0.0278, 0)</f>
        <v>36.775700000000001</v>
      </c>
      <c r="C487" s="10">
        <f>33.8211 * CHOOSE(CONTROL!$C$15, $E$9, 100%, $G$9) + CHOOSE(CONTROL!$C$38, 0.0369, 0)</f>
        <v>33.858000000000004</v>
      </c>
      <c r="D487" s="10">
        <f>33.8133 * CHOOSE(CONTROL!$C$15, $E$9, 100%, $G$9) + CHOOSE(CONTROL!$C$38, 0.0369, 0)</f>
        <v>33.850200000000001</v>
      </c>
      <c r="E487" s="28">
        <f>36.5916 * CHOOSE(CONTROL!$C$15, $E$9, 100%, $G$9) + CHOOSE(CONTROL!$C$38, 0.0369, 0)</f>
        <v>36.628500000000003</v>
      </c>
      <c r="F487" s="27">
        <f>36.5916 * CHOOSE(CONTROL!$C$15, $E$9, 100%, $G$9) + CHOOSE(CONTROL!$C$38, 0.0278, 0)</f>
        <v>36.619399999999999</v>
      </c>
      <c r="G487" s="10">
        <f>33.8195 * CHOOSE(CONTROL!$C$15, $E$9, 100%, $G$9) + CHOOSE(CONTROL!$C$38, 0.0369, 0)</f>
        <v>33.856400000000001</v>
      </c>
      <c r="H487" s="10">
        <f>33.8195 * CHOOSE(CONTROL!$C$15, $E$9, 100%, $G$9) + CHOOSE(CONTROL!$C$38, 0.0369, 0)</f>
        <v>33.856400000000001</v>
      </c>
      <c r="I487" s="10">
        <f>33.8211 * CHOOSE(CONTROL!$C$15, $E$9, 100%, $G$9) + CHOOSE(CONTROL!$C$38, 0.0369, 0)</f>
        <v>33.858000000000004</v>
      </c>
      <c r="J487" s="26">
        <f>247.9489</f>
        <v>247.94890000000001</v>
      </c>
    </row>
    <row r="488" spans="1:10" ht="15.75" x14ac:dyDescent="0.25">
      <c r="A488" s="14">
        <v>56157</v>
      </c>
      <c r="B488" s="10">
        <f>37.0247 * CHOOSE(CONTROL!$C$15, $E$9, 100%, $G$9) + CHOOSE(CONTROL!$C$38, 0.0278, 0)</f>
        <v>37.052500000000002</v>
      </c>
      <c r="C488" s="10">
        <f>34.0979 * CHOOSE(CONTROL!$C$15, $E$9, 100%, $G$9) + CHOOSE(CONTROL!$C$38, 0.0369, 0)</f>
        <v>34.134800000000006</v>
      </c>
      <c r="D488" s="10">
        <f>34.0901 * CHOOSE(CONTROL!$C$15, $E$9, 100%, $G$9) + CHOOSE(CONTROL!$C$38, 0.0369, 0)</f>
        <v>34.127000000000002</v>
      </c>
      <c r="E488" s="28">
        <f>36.8684 * CHOOSE(CONTROL!$C$15, $E$9, 100%, $G$9) + CHOOSE(CONTROL!$C$38, 0.0369, 0)</f>
        <v>36.905300000000004</v>
      </c>
      <c r="F488" s="27">
        <f>36.8684 * CHOOSE(CONTROL!$C$15, $E$9, 100%, $G$9) + CHOOSE(CONTROL!$C$38, 0.0278, 0)</f>
        <v>36.8962</v>
      </c>
      <c r="G488" s="10">
        <f>34.0963 * CHOOSE(CONTROL!$C$15, $E$9, 100%, $G$9) + CHOOSE(CONTROL!$C$38, 0.0369, 0)</f>
        <v>34.133200000000002</v>
      </c>
      <c r="H488" s="10">
        <f>34.0963 * CHOOSE(CONTROL!$C$15, $E$9, 100%, $G$9) + CHOOSE(CONTROL!$C$38, 0.0369, 0)</f>
        <v>34.133200000000002</v>
      </c>
      <c r="I488" s="10">
        <f>34.0979 * CHOOSE(CONTROL!$C$15, $E$9, 100%, $G$9) + CHOOSE(CONTROL!$C$38, 0.0369, 0)</f>
        <v>34.134800000000006</v>
      </c>
      <c r="J488" s="26">
        <f>239.7075</f>
        <v>239.70750000000001</v>
      </c>
    </row>
    <row r="489" spans="1:10" ht="15.75" x14ac:dyDescent="0.25">
      <c r="A489" s="14">
        <v>56188</v>
      </c>
      <c r="B489" s="10">
        <f>37.2565 * CHOOSE(CONTROL!$C$15, $E$9, 100%, $G$9) + CHOOSE(CONTROL!$C$38, 0.0256, 0)</f>
        <v>37.2821</v>
      </c>
      <c r="C489" s="10">
        <f>34.3297 * CHOOSE(CONTROL!$C$15, $E$9, 100%, $G$9) + CHOOSE(CONTROL!$C$38, 0.0347, 0)</f>
        <v>34.364400000000003</v>
      </c>
      <c r="D489" s="10">
        <f>34.3219 * CHOOSE(CONTROL!$C$15, $E$9, 100%, $G$9) + CHOOSE(CONTROL!$C$38, 0.0347, 0)</f>
        <v>34.3566</v>
      </c>
      <c r="E489" s="28">
        <f>37.1003 * CHOOSE(CONTROL!$C$15, $E$9, 100%, $G$9) + CHOOSE(CONTROL!$C$38, 0.0347, 0)</f>
        <v>37.134999999999998</v>
      </c>
      <c r="F489" s="27">
        <f>37.1003 * CHOOSE(CONTROL!$C$15, $E$9, 100%, $G$9) + CHOOSE(CONTROL!$C$38, 0.0256, 0)</f>
        <v>37.125899999999994</v>
      </c>
      <c r="G489" s="10">
        <f>34.3282 * CHOOSE(CONTROL!$C$15, $E$9, 100%, $G$9) + CHOOSE(CONTROL!$C$38, 0.0347, 0)</f>
        <v>34.362900000000003</v>
      </c>
      <c r="H489" s="10">
        <f>34.3282 * CHOOSE(CONTROL!$C$15, $E$9, 100%, $G$9) + CHOOSE(CONTROL!$C$38, 0.0347, 0)</f>
        <v>34.362900000000003</v>
      </c>
      <c r="I489" s="10">
        <f>34.3297 * CHOOSE(CONTROL!$C$15, $E$9, 100%, $G$9) + CHOOSE(CONTROL!$C$38, 0.0347, 0)</f>
        <v>34.364400000000003</v>
      </c>
      <c r="J489" s="26">
        <f>231.4182</f>
        <v>231.41820000000001</v>
      </c>
    </row>
    <row r="490" spans="1:10" ht="15.75" x14ac:dyDescent="0.25">
      <c r="A490" s="14">
        <v>56218</v>
      </c>
      <c r="B490" s="10">
        <f>37.45 * CHOOSE(CONTROL!$C$15, $E$9, 100%, $G$9) + CHOOSE(CONTROL!$C$38, 0.0256, 0)</f>
        <v>37.4756</v>
      </c>
      <c r="C490" s="10">
        <f>34.5232 * CHOOSE(CONTROL!$C$15, $E$9, 100%, $G$9) + CHOOSE(CONTROL!$C$38, 0.0347, 0)</f>
        <v>34.557900000000004</v>
      </c>
      <c r="D490" s="10">
        <f>34.5154 * CHOOSE(CONTROL!$C$15, $E$9, 100%, $G$9) + CHOOSE(CONTROL!$C$38, 0.0347, 0)</f>
        <v>34.5501</v>
      </c>
      <c r="E490" s="28">
        <f>37.2937 * CHOOSE(CONTROL!$C$15, $E$9, 100%, $G$9) + CHOOSE(CONTROL!$C$38, 0.0347, 0)</f>
        <v>37.328400000000002</v>
      </c>
      <c r="F490" s="27">
        <f>37.2937 * CHOOSE(CONTROL!$C$15, $E$9, 100%, $G$9) + CHOOSE(CONTROL!$C$38, 0.0256, 0)</f>
        <v>37.319299999999998</v>
      </c>
      <c r="G490" s="10">
        <f>34.5216 * CHOOSE(CONTROL!$C$15, $E$9, 100%, $G$9) + CHOOSE(CONTROL!$C$38, 0.0347, 0)</f>
        <v>34.5563</v>
      </c>
      <c r="H490" s="10">
        <f>34.5216 * CHOOSE(CONTROL!$C$15, $E$9, 100%, $G$9) + CHOOSE(CONTROL!$C$38, 0.0347, 0)</f>
        <v>34.5563</v>
      </c>
      <c r="I490" s="10">
        <f>34.5232 * CHOOSE(CONTROL!$C$15, $E$9, 100%, $G$9) + CHOOSE(CONTROL!$C$38, 0.0347, 0)</f>
        <v>34.557900000000004</v>
      </c>
      <c r="J490" s="26">
        <f>229.7693</f>
        <v>229.76929999999999</v>
      </c>
    </row>
    <row r="491" spans="1:10" ht="15.75" x14ac:dyDescent="0.25">
      <c r="A491" s="14">
        <v>56249</v>
      </c>
      <c r="B491" s="10">
        <f>38.046 * CHOOSE(CONTROL!$C$15, $E$9, 100%, $G$9) + CHOOSE(CONTROL!$C$38, 0.0256, 0)</f>
        <v>38.071599999999997</v>
      </c>
      <c r="C491" s="10">
        <f>35.1192 * CHOOSE(CONTROL!$C$15, $E$9, 100%, $G$9) + CHOOSE(CONTROL!$C$38, 0.0347, 0)</f>
        <v>35.1539</v>
      </c>
      <c r="D491" s="10">
        <f>35.1114 * CHOOSE(CONTROL!$C$15, $E$9, 100%, $G$9) + CHOOSE(CONTROL!$C$38, 0.0347, 0)</f>
        <v>35.146100000000004</v>
      </c>
      <c r="E491" s="28">
        <f>37.8898 * CHOOSE(CONTROL!$C$15, $E$9, 100%, $G$9) + CHOOSE(CONTROL!$C$38, 0.0347, 0)</f>
        <v>37.924500000000002</v>
      </c>
      <c r="F491" s="27">
        <f>37.8898 * CHOOSE(CONTROL!$C$15, $E$9, 100%, $G$9) + CHOOSE(CONTROL!$C$38, 0.0256, 0)</f>
        <v>37.915399999999998</v>
      </c>
      <c r="G491" s="10">
        <f>35.1177 * CHOOSE(CONTROL!$C$15, $E$9, 100%, $G$9) + CHOOSE(CONTROL!$C$38, 0.0347, 0)</f>
        <v>35.1524</v>
      </c>
      <c r="H491" s="10">
        <f>35.1177 * CHOOSE(CONTROL!$C$15, $E$9, 100%, $G$9) + CHOOSE(CONTROL!$C$38, 0.0347, 0)</f>
        <v>35.1524</v>
      </c>
      <c r="I491" s="10">
        <f>35.1192 * CHOOSE(CONTROL!$C$15, $E$9, 100%, $G$9) + CHOOSE(CONTROL!$C$38, 0.0347, 0)</f>
        <v>35.1539</v>
      </c>
      <c r="J491" s="26">
        <f>222.9508</f>
        <v>222.95079999999999</v>
      </c>
    </row>
    <row r="492" spans="1:10" ht="15.75" x14ac:dyDescent="0.25">
      <c r="A492" s="14">
        <v>56280</v>
      </c>
      <c r="B492" s="10">
        <f>39.1682 * CHOOSE(CONTROL!$C$15, $E$9, 100%, $G$9) + CHOOSE(CONTROL!$C$38, 0.0256, 0)</f>
        <v>39.193799999999996</v>
      </c>
      <c r="C492" s="10">
        <f>36.1924 * CHOOSE(CONTROL!$C$15, $E$9, 100%, $G$9) + CHOOSE(CONTROL!$C$38, 0.0347, 0)</f>
        <v>36.2271</v>
      </c>
      <c r="D492" s="10">
        <f>36.1846 * CHOOSE(CONTROL!$C$15, $E$9, 100%, $G$9) + CHOOSE(CONTROL!$C$38, 0.0347, 0)</f>
        <v>36.219300000000004</v>
      </c>
      <c r="E492" s="28">
        <f>39.0119 * CHOOSE(CONTROL!$C$15, $E$9, 100%, $G$9) + CHOOSE(CONTROL!$C$38, 0.0347, 0)</f>
        <v>39.046599999999998</v>
      </c>
      <c r="F492" s="27">
        <f>39.0119 * CHOOSE(CONTROL!$C$15, $E$9, 100%, $G$9) + CHOOSE(CONTROL!$C$38, 0.0256, 0)</f>
        <v>39.037499999999994</v>
      </c>
      <c r="G492" s="10">
        <f>36.1909 * CHOOSE(CONTROL!$C$15, $E$9, 100%, $G$9) + CHOOSE(CONTROL!$C$38, 0.0347, 0)</f>
        <v>36.2256</v>
      </c>
      <c r="H492" s="10">
        <f>36.1909 * CHOOSE(CONTROL!$C$15, $E$9, 100%, $G$9) + CHOOSE(CONTROL!$C$38, 0.0347, 0)</f>
        <v>36.2256</v>
      </c>
      <c r="I492" s="10">
        <f>36.1924 * CHOOSE(CONTROL!$C$15, $E$9, 100%, $G$9) + CHOOSE(CONTROL!$C$38, 0.0347, 0)</f>
        <v>36.2271</v>
      </c>
      <c r="J492" s="26">
        <f>221.4574</f>
        <v>221.45740000000001</v>
      </c>
    </row>
    <row r="493" spans="1:10" ht="15.75" x14ac:dyDescent="0.25">
      <c r="A493" s="14">
        <v>56308</v>
      </c>
      <c r="B493" s="10">
        <f>39.3889 * CHOOSE(CONTROL!$C$15, $E$9, 100%, $G$9) + CHOOSE(CONTROL!$C$38, 0.0256, 0)</f>
        <v>39.414499999999997</v>
      </c>
      <c r="C493" s="10">
        <f>36.4132 * CHOOSE(CONTROL!$C$15, $E$9, 100%, $G$9) + CHOOSE(CONTROL!$C$38, 0.0347, 0)</f>
        <v>36.447900000000004</v>
      </c>
      <c r="D493" s="10">
        <f>36.4054 * CHOOSE(CONTROL!$C$15, $E$9, 100%, $G$9) + CHOOSE(CONTROL!$C$38, 0.0347, 0)</f>
        <v>36.440100000000001</v>
      </c>
      <c r="E493" s="28">
        <f>39.2327 * CHOOSE(CONTROL!$C$15, $E$9, 100%, $G$9) + CHOOSE(CONTROL!$C$38, 0.0347, 0)</f>
        <v>39.267400000000002</v>
      </c>
      <c r="F493" s="27">
        <f>39.2327 * CHOOSE(CONTROL!$C$15, $E$9, 100%, $G$9) + CHOOSE(CONTROL!$C$38, 0.0256, 0)</f>
        <v>39.258299999999998</v>
      </c>
      <c r="G493" s="10">
        <f>36.4116 * CHOOSE(CONTROL!$C$15, $E$9, 100%, $G$9) + CHOOSE(CONTROL!$C$38, 0.0347, 0)</f>
        <v>36.446300000000001</v>
      </c>
      <c r="H493" s="10">
        <f>36.4116 * CHOOSE(CONTROL!$C$15, $E$9, 100%, $G$9) + CHOOSE(CONTROL!$C$38, 0.0347, 0)</f>
        <v>36.446300000000001</v>
      </c>
      <c r="I493" s="10">
        <f>36.4132 * CHOOSE(CONTROL!$C$15, $E$9, 100%, $G$9) + CHOOSE(CONTROL!$C$38, 0.0347, 0)</f>
        <v>36.447900000000004</v>
      </c>
      <c r="J493" s="26">
        <f>220.8418</f>
        <v>220.84180000000001</v>
      </c>
    </row>
    <row r="494" spans="1:10" ht="15.75" x14ac:dyDescent="0.25">
      <c r="A494" s="14">
        <v>56339</v>
      </c>
      <c r="B494" s="10">
        <f>38.8779 * CHOOSE(CONTROL!$C$15, $E$9, 100%, $G$9) + CHOOSE(CONTROL!$C$38, 0.0256, 0)</f>
        <v>38.903499999999994</v>
      </c>
      <c r="C494" s="10">
        <f>35.9022 * CHOOSE(CONTROL!$C$15, $E$9, 100%, $G$9) + CHOOSE(CONTROL!$C$38, 0.0347, 0)</f>
        <v>35.936900000000001</v>
      </c>
      <c r="D494" s="10">
        <f>35.8944 * CHOOSE(CONTROL!$C$15, $E$9, 100%, $G$9) + CHOOSE(CONTROL!$C$38, 0.0347, 0)</f>
        <v>35.929099999999998</v>
      </c>
      <c r="E494" s="28">
        <f>38.7217 * CHOOSE(CONTROL!$C$15, $E$9, 100%, $G$9) + CHOOSE(CONTROL!$C$38, 0.0347, 0)</f>
        <v>38.756399999999999</v>
      </c>
      <c r="F494" s="27">
        <f>38.7217 * CHOOSE(CONTROL!$C$15, $E$9, 100%, $G$9) + CHOOSE(CONTROL!$C$38, 0.0256, 0)</f>
        <v>38.747299999999996</v>
      </c>
      <c r="G494" s="10">
        <f>35.9006 * CHOOSE(CONTROL!$C$15, $E$9, 100%, $G$9) + CHOOSE(CONTROL!$C$38, 0.0347, 0)</f>
        <v>35.935299999999998</v>
      </c>
      <c r="H494" s="10">
        <f>35.9006 * CHOOSE(CONTROL!$C$15, $E$9, 100%, $G$9) + CHOOSE(CONTROL!$C$38, 0.0347, 0)</f>
        <v>35.935299999999998</v>
      </c>
      <c r="I494" s="10">
        <f>35.9022 * CHOOSE(CONTROL!$C$15, $E$9, 100%, $G$9) + CHOOSE(CONTROL!$C$38, 0.0347, 0)</f>
        <v>35.936900000000001</v>
      </c>
      <c r="J494" s="26">
        <f>232.4815</f>
        <v>232.48150000000001</v>
      </c>
    </row>
    <row r="495" spans="1:10" ht="15.75" x14ac:dyDescent="0.25">
      <c r="A495" s="14">
        <v>56369</v>
      </c>
      <c r="B495" s="10">
        <f>38.3827 * CHOOSE(CONTROL!$C$15, $E$9, 100%, $G$9) + CHOOSE(CONTROL!$C$38, 0.0256, 0)</f>
        <v>38.408299999999997</v>
      </c>
      <c r="C495" s="10">
        <f>35.407 * CHOOSE(CONTROL!$C$15, $E$9, 100%, $G$9) + CHOOSE(CONTROL!$C$38, 0.0347, 0)</f>
        <v>35.441699999999997</v>
      </c>
      <c r="D495" s="10">
        <f>35.3992 * CHOOSE(CONTROL!$C$15, $E$9, 100%, $G$9) + CHOOSE(CONTROL!$C$38, 0.0347, 0)</f>
        <v>35.433900000000001</v>
      </c>
      <c r="E495" s="28">
        <f>38.2265 * CHOOSE(CONTROL!$C$15, $E$9, 100%, $G$9) + CHOOSE(CONTROL!$C$38, 0.0347, 0)</f>
        <v>38.261200000000002</v>
      </c>
      <c r="F495" s="27">
        <f>38.2265 * CHOOSE(CONTROL!$C$15, $E$9, 100%, $G$9) + CHOOSE(CONTROL!$C$38, 0.0256, 0)</f>
        <v>38.252099999999999</v>
      </c>
      <c r="G495" s="10">
        <f>35.4054 * CHOOSE(CONTROL!$C$15, $E$9, 100%, $G$9) + CHOOSE(CONTROL!$C$38, 0.0347, 0)</f>
        <v>35.440100000000001</v>
      </c>
      <c r="H495" s="10">
        <f>35.4054 * CHOOSE(CONTROL!$C$15, $E$9, 100%, $G$9) + CHOOSE(CONTROL!$C$38, 0.0347, 0)</f>
        <v>35.440100000000001</v>
      </c>
      <c r="I495" s="10">
        <f>35.407 * CHOOSE(CONTROL!$C$15, $E$9, 100%, $G$9) + CHOOSE(CONTROL!$C$38, 0.0347, 0)</f>
        <v>35.441699999999997</v>
      </c>
      <c r="J495" s="26">
        <f>247.5753</f>
        <v>247.5753</v>
      </c>
    </row>
    <row r="496" spans="1:10" ht="15.75" x14ac:dyDescent="0.25">
      <c r="A496" s="14">
        <v>56400</v>
      </c>
      <c r="B496" s="10">
        <f>37.8666 * CHOOSE(CONTROL!$C$15, $E$9, 100%, $G$9) + CHOOSE(CONTROL!$C$38, 0.0278, 0)</f>
        <v>37.894399999999997</v>
      </c>
      <c r="C496" s="10">
        <f>34.8909 * CHOOSE(CONTROL!$C$15, $E$9, 100%, $G$9) + CHOOSE(CONTROL!$C$38, 0.0369, 0)</f>
        <v>34.927800000000005</v>
      </c>
      <c r="D496" s="10">
        <f>34.8831 * CHOOSE(CONTROL!$C$15, $E$9, 100%, $G$9) + CHOOSE(CONTROL!$C$38, 0.0369, 0)</f>
        <v>34.92</v>
      </c>
      <c r="E496" s="28">
        <f>37.7104 * CHOOSE(CONTROL!$C$15, $E$9, 100%, $G$9) + CHOOSE(CONTROL!$C$38, 0.0369, 0)</f>
        <v>37.747300000000003</v>
      </c>
      <c r="F496" s="27">
        <f>37.7104 * CHOOSE(CONTROL!$C$15, $E$9, 100%, $G$9) + CHOOSE(CONTROL!$C$38, 0.0278, 0)</f>
        <v>37.738199999999999</v>
      </c>
      <c r="G496" s="10">
        <f>34.8893 * CHOOSE(CONTROL!$C$15, $E$9, 100%, $G$9) + CHOOSE(CONTROL!$C$38, 0.0369, 0)</f>
        <v>34.926200000000001</v>
      </c>
      <c r="H496" s="10">
        <f>34.8893 * CHOOSE(CONTROL!$C$15, $E$9, 100%, $G$9) + CHOOSE(CONTROL!$C$38, 0.0369, 0)</f>
        <v>34.926200000000001</v>
      </c>
      <c r="I496" s="10">
        <f>34.8909 * CHOOSE(CONTROL!$C$15, $E$9, 100%, $G$9) + CHOOSE(CONTROL!$C$38, 0.0369, 0)</f>
        <v>34.927800000000005</v>
      </c>
      <c r="J496" s="26">
        <f>255.8835</f>
        <v>255.8835</v>
      </c>
    </row>
    <row r="497" spans="1:10" ht="15.75" x14ac:dyDescent="0.25">
      <c r="A497" s="14">
        <v>56430</v>
      </c>
      <c r="B497" s="10">
        <f>37.5048 * CHOOSE(CONTROL!$C$15, $E$9, 100%, $G$9) + CHOOSE(CONTROL!$C$38, 0.0278, 0)</f>
        <v>37.532600000000002</v>
      </c>
      <c r="C497" s="10">
        <f>34.529 * CHOOSE(CONTROL!$C$15, $E$9, 100%, $G$9) + CHOOSE(CONTROL!$C$38, 0.0369, 0)</f>
        <v>34.565900000000006</v>
      </c>
      <c r="D497" s="10">
        <f>34.5212 * CHOOSE(CONTROL!$C$15, $E$9, 100%, $G$9) + CHOOSE(CONTROL!$C$38, 0.0369, 0)</f>
        <v>34.558100000000003</v>
      </c>
      <c r="E497" s="28">
        <f>37.3485 * CHOOSE(CONTROL!$C$15, $E$9, 100%, $G$9) + CHOOSE(CONTROL!$C$38, 0.0369, 0)</f>
        <v>37.385400000000004</v>
      </c>
      <c r="F497" s="27">
        <f>37.3485 * CHOOSE(CONTROL!$C$15, $E$9, 100%, $G$9) + CHOOSE(CONTROL!$C$38, 0.0278, 0)</f>
        <v>37.376300000000001</v>
      </c>
      <c r="G497" s="10">
        <f>34.5275 * CHOOSE(CONTROL!$C$15, $E$9, 100%, $G$9) + CHOOSE(CONTROL!$C$38, 0.0369, 0)</f>
        <v>34.564400000000006</v>
      </c>
      <c r="H497" s="10">
        <f>34.5275 * CHOOSE(CONTROL!$C$15, $E$9, 100%, $G$9) + CHOOSE(CONTROL!$C$38, 0.0369, 0)</f>
        <v>34.564400000000006</v>
      </c>
      <c r="I497" s="10">
        <f>34.529 * CHOOSE(CONTROL!$C$15, $E$9, 100%, $G$9) + CHOOSE(CONTROL!$C$38, 0.0369, 0)</f>
        <v>34.565900000000006</v>
      </c>
      <c r="J497" s="26">
        <f>259.5705</f>
        <v>259.57049999999998</v>
      </c>
    </row>
    <row r="498" spans="1:10" ht="15.75" x14ac:dyDescent="0.25">
      <c r="A498" s="14">
        <v>56461</v>
      </c>
      <c r="B498" s="10">
        <f>37.2983 * CHOOSE(CONTROL!$C$15, $E$9, 100%, $G$9) + CHOOSE(CONTROL!$C$38, 0.0278, 0)</f>
        <v>37.326099999999997</v>
      </c>
      <c r="C498" s="10">
        <f>34.3226 * CHOOSE(CONTROL!$C$15, $E$9, 100%, $G$9) + CHOOSE(CONTROL!$C$38, 0.0369, 0)</f>
        <v>34.359500000000004</v>
      </c>
      <c r="D498" s="10">
        <f>34.3147 * CHOOSE(CONTROL!$C$15, $E$9, 100%, $G$9) + CHOOSE(CONTROL!$C$38, 0.0369, 0)</f>
        <v>34.351600000000005</v>
      </c>
      <c r="E498" s="28">
        <f>37.142 * CHOOSE(CONTROL!$C$15, $E$9, 100%, $G$9) + CHOOSE(CONTROL!$C$38, 0.0369, 0)</f>
        <v>37.178900000000006</v>
      </c>
      <c r="F498" s="27">
        <f>37.142 * CHOOSE(CONTROL!$C$15, $E$9, 100%, $G$9) + CHOOSE(CONTROL!$C$38, 0.0278, 0)</f>
        <v>37.169800000000002</v>
      </c>
      <c r="G498" s="10">
        <f>34.321 * CHOOSE(CONTROL!$C$15, $E$9, 100%, $G$9) + CHOOSE(CONTROL!$C$38, 0.0369, 0)</f>
        <v>34.357900000000001</v>
      </c>
      <c r="H498" s="10">
        <f>34.321 * CHOOSE(CONTROL!$C$15, $E$9, 100%, $G$9) + CHOOSE(CONTROL!$C$38, 0.0369, 0)</f>
        <v>34.357900000000001</v>
      </c>
      <c r="I498" s="10">
        <f>34.3226 * CHOOSE(CONTROL!$C$15, $E$9, 100%, $G$9) + CHOOSE(CONTROL!$C$38, 0.0369, 0)</f>
        <v>34.359500000000004</v>
      </c>
      <c r="J498" s="26">
        <f>258.3565</f>
        <v>258.35649999999998</v>
      </c>
    </row>
    <row r="499" spans="1:10" ht="15.75" x14ac:dyDescent="0.25">
      <c r="A499" s="14">
        <v>56492</v>
      </c>
      <c r="B499" s="10">
        <f>37.4002 * CHOOSE(CONTROL!$C$15, $E$9, 100%, $G$9) + CHOOSE(CONTROL!$C$38, 0.0278, 0)</f>
        <v>37.427999999999997</v>
      </c>
      <c r="C499" s="10">
        <f>34.4245 * CHOOSE(CONTROL!$C$15, $E$9, 100%, $G$9) + CHOOSE(CONTROL!$C$38, 0.0369, 0)</f>
        <v>34.461400000000005</v>
      </c>
      <c r="D499" s="10">
        <f>34.4167 * CHOOSE(CONTROL!$C$15, $E$9, 100%, $G$9) + CHOOSE(CONTROL!$C$38, 0.0369, 0)</f>
        <v>34.453600000000002</v>
      </c>
      <c r="E499" s="28">
        <f>37.244 * CHOOSE(CONTROL!$C$15, $E$9, 100%, $G$9) + CHOOSE(CONTROL!$C$38, 0.0369, 0)</f>
        <v>37.280900000000003</v>
      </c>
      <c r="F499" s="27">
        <f>37.244 * CHOOSE(CONTROL!$C$15, $E$9, 100%, $G$9) + CHOOSE(CONTROL!$C$38, 0.0278, 0)</f>
        <v>37.271799999999999</v>
      </c>
      <c r="G499" s="10">
        <f>34.4229 * CHOOSE(CONTROL!$C$15, $E$9, 100%, $G$9) + CHOOSE(CONTROL!$C$38, 0.0369, 0)</f>
        <v>34.459800000000001</v>
      </c>
      <c r="H499" s="10">
        <f>34.4229 * CHOOSE(CONTROL!$C$15, $E$9, 100%, $G$9) + CHOOSE(CONTROL!$C$38, 0.0369, 0)</f>
        <v>34.459800000000001</v>
      </c>
      <c r="I499" s="10">
        <f>34.4245 * CHOOSE(CONTROL!$C$15, $E$9, 100%, $G$9) + CHOOSE(CONTROL!$C$38, 0.0369, 0)</f>
        <v>34.461400000000005</v>
      </c>
      <c r="J499" s="26">
        <f>252.3421</f>
        <v>252.34209999999999</v>
      </c>
    </row>
    <row r="500" spans="1:10" ht="15.75" x14ac:dyDescent="0.25">
      <c r="A500" s="14">
        <v>56522</v>
      </c>
      <c r="B500" s="10">
        <f>37.677 * CHOOSE(CONTROL!$C$15, $E$9, 100%, $G$9) + CHOOSE(CONTROL!$C$38, 0.0278, 0)</f>
        <v>37.704799999999999</v>
      </c>
      <c r="C500" s="10">
        <f>34.7013 * CHOOSE(CONTROL!$C$15, $E$9, 100%, $G$9) + CHOOSE(CONTROL!$C$38, 0.0369, 0)</f>
        <v>34.738200000000006</v>
      </c>
      <c r="D500" s="10">
        <f>34.6935 * CHOOSE(CONTROL!$C$15, $E$9, 100%, $G$9) + CHOOSE(CONTROL!$C$38, 0.0369, 0)</f>
        <v>34.730400000000003</v>
      </c>
      <c r="E500" s="28">
        <f>37.5208 * CHOOSE(CONTROL!$C$15, $E$9, 100%, $G$9) + CHOOSE(CONTROL!$C$38, 0.0369, 0)</f>
        <v>37.557700000000004</v>
      </c>
      <c r="F500" s="27">
        <f>37.5208 * CHOOSE(CONTROL!$C$15, $E$9, 100%, $G$9) + CHOOSE(CONTROL!$C$38, 0.0278, 0)</f>
        <v>37.5486</v>
      </c>
      <c r="G500" s="10">
        <f>34.6997 * CHOOSE(CONTROL!$C$15, $E$9, 100%, $G$9) + CHOOSE(CONTROL!$C$38, 0.0369, 0)</f>
        <v>34.736600000000003</v>
      </c>
      <c r="H500" s="10">
        <f>34.6997 * CHOOSE(CONTROL!$C$15, $E$9, 100%, $G$9) + CHOOSE(CONTROL!$C$38, 0.0369, 0)</f>
        <v>34.736600000000003</v>
      </c>
      <c r="I500" s="10">
        <f>34.7013 * CHOOSE(CONTROL!$C$15, $E$9, 100%, $G$9) + CHOOSE(CONTROL!$C$38, 0.0369, 0)</f>
        <v>34.738200000000006</v>
      </c>
      <c r="J500" s="26">
        <f>243.9547</f>
        <v>243.9547</v>
      </c>
    </row>
    <row r="501" spans="1:10" ht="15.75" x14ac:dyDescent="0.25">
      <c r="A501" s="14">
        <v>56553</v>
      </c>
      <c r="B501" s="10">
        <f>37.9088 * CHOOSE(CONTROL!$C$15, $E$9, 100%, $G$9) + CHOOSE(CONTROL!$C$38, 0.0256, 0)</f>
        <v>37.934399999999997</v>
      </c>
      <c r="C501" s="10">
        <f>34.9331 * CHOOSE(CONTROL!$C$15, $E$9, 100%, $G$9) + CHOOSE(CONTROL!$C$38, 0.0347, 0)</f>
        <v>34.967800000000004</v>
      </c>
      <c r="D501" s="10">
        <f>34.9253 * CHOOSE(CONTROL!$C$15, $E$9, 100%, $G$9) + CHOOSE(CONTROL!$C$38, 0.0347, 0)</f>
        <v>34.96</v>
      </c>
      <c r="E501" s="28">
        <f>37.7526 * CHOOSE(CONTROL!$C$15, $E$9, 100%, $G$9) + CHOOSE(CONTROL!$C$38, 0.0347, 0)</f>
        <v>37.787300000000002</v>
      </c>
      <c r="F501" s="27">
        <f>37.7526 * CHOOSE(CONTROL!$C$15, $E$9, 100%, $G$9) + CHOOSE(CONTROL!$C$38, 0.0256, 0)</f>
        <v>37.778199999999998</v>
      </c>
      <c r="G501" s="10">
        <f>34.9315 * CHOOSE(CONTROL!$C$15, $E$9, 100%, $G$9) + CHOOSE(CONTROL!$C$38, 0.0347, 0)</f>
        <v>34.966200000000001</v>
      </c>
      <c r="H501" s="10">
        <f>34.9315 * CHOOSE(CONTROL!$C$15, $E$9, 100%, $G$9) + CHOOSE(CONTROL!$C$38, 0.0347, 0)</f>
        <v>34.966200000000001</v>
      </c>
      <c r="I501" s="10">
        <f>34.9331 * CHOOSE(CONTROL!$C$15, $E$9, 100%, $G$9) + CHOOSE(CONTROL!$C$38, 0.0347, 0)</f>
        <v>34.967800000000004</v>
      </c>
      <c r="J501" s="26">
        <f>235.5185</f>
        <v>235.51849999999999</v>
      </c>
    </row>
    <row r="502" spans="1:10" ht="15.75" x14ac:dyDescent="0.25">
      <c r="A502" s="14">
        <v>56583</v>
      </c>
      <c r="B502" s="10">
        <f>38.1023 * CHOOSE(CONTROL!$C$15, $E$9, 100%, $G$9) + CHOOSE(CONTROL!$C$38, 0.0256, 0)</f>
        <v>38.127899999999997</v>
      </c>
      <c r="C502" s="10">
        <f>35.1265 * CHOOSE(CONTROL!$C$15, $E$9, 100%, $G$9) + CHOOSE(CONTROL!$C$38, 0.0347, 0)</f>
        <v>35.161200000000001</v>
      </c>
      <c r="D502" s="10">
        <f>35.1187 * CHOOSE(CONTROL!$C$15, $E$9, 100%, $G$9) + CHOOSE(CONTROL!$C$38, 0.0347, 0)</f>
        <v>35.153399999999998</v>
      </c>
      <c r="E502" s="28">
        <f>37.946 * CHOOSE(CONTROL!$C$15, $E$9, 100%, $G$9) + CHOOSE(CONTROL!$C$38, 0.0347, 0)</f>
        <v>37.980699999999999</v>
      </c>
      <c r="F502" s="27">
        <f>37.946 * CHOOSE(CONTROL!$C$15, $E$9, 100%, $G$9) + CHOOSE(CONTROL!$C$38, 0.0256, 0)</f>
        <v>37.971599999999995</v>
      </c>
      <c r="G502" s="10">
        <f>35.125 * CHOOSE(CONTROL!$C$15, $E$9, 100%, $G$9) + CHOOSE(CONTROL!$C$38, 0.0347, 0)</f>
        <v>35.159700000000001</v>
      </c>
      <c r="H502" s="10">
        <f>35.125 * CHOOSE(CONTROL!$C$15, $E$9, 100%, $G$9) + CHOOSE(CONTROL!$C$38, 0.0347, 0)</f>
        <v>35.159700000000001</v>
      </c>
      <c r="I502" s="10">
        <f>35.1265 * CHOOSE(CONTROL!$C$15, $E$9, 100%, $G$9) + CHOOSE(CONTROL!$C$38, 0.0347, 0)</f>
        <v>35.161200000000001</v>
      </c>
      <c r="J502" s="26">
        <f>233.8403</f>
        <v>233.84030000000001</v>
      </c>
    </row>
    <row r="503" spans="1:10" ht="15.75" x14ac:dyDescent="0.25">
      <c r="A503" s="14">
        <v>56614</v>
      </c>
      <c r="B503" s="10">
        <f>38.6983 * CHOOSE(CONTROL!$C$15, $E$9, 100%, $G$9) + CHOOSE(CONTROL!$C$38, 0.0256, 0)</f>
        <v>38.7239</v>
      </c>
      <c r="C503" s="10">
        <f>35.7226 * CHOOSE(CONTROL!$C$15, $E$9, 100%, $G$9) + CHOOSE(CONTROL!$C$38, 0.0347, 0)</f>
        <v>35.757300000000001</v>
      </c>
      <c r="D503" s="10">
        <f>35.7148 * CHOOSE(CONTROL!$C$15, $E$9, 100%, $G$9) + CHOOSE(CONTROL!$C$38, 0.0347, 0)</f>
        <v>35.749499999999998</v>
      </c>
      <c r="E503" s="28">
        <f>38.5421 * CHOOSE(CONTROL!$C$15, $E$9, 100%, $G$9) + CHOOSE(CONTROL!$C$38, 0.0347, 0)</f>
        <v>38.576799999999999</v>
      </c>
      <c r="F503" s="27">
        <f>38.5421 * CHOOSE(CONTROL!$C$15, $E$9, 100%, $G$9) + CHOOSE(CONTROL!$C$38, 0.0256, 0)</f>
        <v>38.567699999999995</v>
      </c>
      <c r="G503" s="10">
        <f>35.721 * CHOOSE(CONTROL!$C$15, $E$9, 100%, $G$9) + CHOOSE(CONTROL!$C$38, 0.0347, 0)</f>
        <v>35.755699999999997</v>
      </c>
      <c r="H503" s="10">
        <f>35.721 * CHOOSE(CONTROL!$C$15, $E$9, 100%, $G$9) + CHOOSE(CONTROL!$C$38, 0.0347, 0)</f>
        <v>35.755699999999997</v>
      </c>
      <c r="I503" s="10">
        <f>35.7226 * CHOOSE(CONTROL!$C$15, $E$9, 100%, $G$9) + CHOOSE(CONTROL!$C$38, 0.0347, 0)</f>
        <v>35.757300000000001</v>
      </c>
      <c r="J503" s="26">
        <f>226.9011</f>
        <v>226.90110000000001</v>
      </c>
    </row>
    <row r="504" spans="1:10" ht="15.75" x14ac:dyDescent="0.25">
      <c r="A504" s="13">
        <v>56645</v>
      </c>
      <c r="B504" s="10">
        <f>39.832 * CHOOSE(CONTROL!$C$15, $E$9, 100%, $G$9) + CHOOSE(CONTROL!$C$38, 0.0256, 0)</f>
        <v>39.857599999999998</v>
      </c>
      <c r="C504" s="10">
        <f>36.8065 * CHOOSE(CONTROL!$C$15, $E$9, 100%, $G$9) + CHOOSE(CONTROL!$C$38, 0.0347, 0)</f>
        <v>36.841200000000001</v>
      </c>
      <c r="D504" s="10">
        <f>36.7987 * CHOOSE(CONTROL!$C$15, $E$9, 100%, $G$9) + CHOOSE(CONTROL!$C$38, 0.0347, 0)</f>
        <v>36.833399999999997</v>
      </c>
      <c r="E504" s="28">
        <f>39.6758 * CHOOSE(CONTROL!$C$15, $E$9, 100%, $G$9) + CHOOSE(CONTROL!$C$38, 0.0347, 0)</f>
        <v>39.710500000000003</v>
      </c>
      <c r="F504" s="27">
        <f>39.6758 * CHOOSE(CONTROL!$C$15, $E$9, 100%, $G$9) + CHOOSE(CONTROL!$C$38, 0.0256, 0)</f>
        <v>39.7014</v>
      </c>
      <c r="G504" s="10">
        <f>36.8049 * CHOOSE(CONTROL!$C$15, $E$9, 100%, $G$9) + CHOOSE(CONTROL!$C$38, 0.0347, 0)</f>
        <v>36.839600000000004</v>
      </c>
      <c r="H504" s="10">
        <f>36.8049 * CHOOSE(CONTROL!$C$15, $E$9, 100%, $G$9) + CHOOSE(CONTROL!$C$38, 0.0347, 0)</f>
        <v>36.839600000000004</v>
      </c>
      <c r="I504" s="10">
        <f>36.8065 * CHOOSE(CONTROL!$C$15, $E$9, 100%, $G$9) + CHOOSE(CONTROL!$C$38, 0.0347, 0)</f>
        <v>36.841200000000001</v>
      </c>
      <c r="J504" s="26">
        <f>225.3812</f>
        <v>225.38120000000001</v>
      </c>
    </row>
    <row r="505" spans="1:10" ht="15.75" x14ac:dyDescent="0.25">
      <c r="A505" s="13">
        <v>56673</v>
      </c>
      <c r="B505" s="10">
        <f>40.0528 * CHOOSE(CONTROL!$C$15, $E$9, 100%, $G$9) + CHOOSE(CONTROL!$C$38, 0.0256, 0)</f>
        <v>40.078399999999995</v>
      </c>
      <c r="C505" s="10">
        <f>37.0272 * CHOOSE(CONTROL!$C$15, $E$9, 100%, $G$9) + CHOOSE(CONTROL!$C$38, 0.0347, 0)</f>
        <v>37.061900000000001</v>
      </c>
      <c r="D505" s="10">
        <f>37.0194 * CHOOSE(CONTROL!$C$15, $E$9, 100%, $G$9) + CHOOSE(CONTROL!$C$38, 0.0347, 0)</f>
        <v>37.054099999999998</v>
      </c>
      <c r="E505" s="28">
        <f>39.8965 * CHOOSE(CONTROL!$C$15, $E$9, 100%, $G$9) + CHOOSE(CONTROL!$C$38, 0.0347, 0)</f>
        <v>39.931200000000004</v>
      </c>
      <c r="F505" s="27">
        <f>39.8965 * CHOOSE(CONTROL!$C$15, $E$9, 100%, $G$9) + CHOOSE(CONTROL!$C$38, 0.0256, 0)</f>
        <v>39.9221</v>
      </c>
      <c r="G505" s="10">
        <f>37.0257 * CHOOSE(CONTROL!$C$15, $E$9, 100%, $G$9) + CHOOSE(CONTROL!$C$38, 0.0347, 0)</f>
        <v>37.060400000000001</v>
      </c>
      <c r="H505" s="10">
        <f>37.0257 * CHOOSE(CONTROL!$C$15, $E$9, 100%, $G$9) + CHOOSE(CONTROL!$C$38, 0.0347, 0)</f>
        <v>37.060400000000001</v>
      </c>
      <c r="I505" s="10">
        <f>37.0272 * CHOOSE(CONTROL!$C$15, $E$9, 100%, $G$9) + CHOOSE(CONTROL!$C$38, 0.0347, 0)</f>
        <v>37.061900000000001</v>
      </c>
      <c r="J505" s="26">
        <f>224.7547</f>
        <v>224.75470000000001</v>
      </c>
    </row>
    <row r="506" spans="1:10" ht="15.75" x14ac:dyDescent="0.25">
      <c r="A506" s="13">
        <v>56704</v>
      </c>
      <c r="B506" s="10">
        <f>39.5418 * CHOOSE(CONTROL!$C$15, $E$9, 100%, $G$9) + CHOOSE(CONTROL!$C$38, 0.0256, 0)</f>
        <v>39.567399999999999</v>
      </c>
      <c r="C506" s="10">
        <f>36.5162 * CHOOSE(CONTROL!$C$15, $E$9, 100%, $G$9) + CHOOSE(CONTROL!$C$38, 0.0347, 0)</f>
        <v>36.550899999999999</v>
      </c>
      <c r="D506" s="10">
        <f>36.5084 * CHOOSE(CONTROL!$C$15, $E$9, 100%, $G$9) + CHOOSE(CONTROL!$C$38, 0.0347, 0)</f>
        <v>36.543100000000003</v>
      </c>
      <c r="E506" s="28">
        <f>39.3855 * CHOOSE(CONTROL!$C$15, $E$9, 100%, $G$9) + CHOOSE(CONTROL!$C$38, 0.0347, 0)</f>
        <v>39.420200000000001</v>
      </c>
      <c r="F506" s="27">
        <f>39.3855 * CHOOSE(CONTROL!$C$15, $E$9, 100%, $G$9) + CHOOSE(CONTROL!$C$38, 0.0256, 0)</f>
        <v>39.411099999999998</v>
      </c>
      <c r="G506" s="10">
        <f>36.5146 * CHOOSE(CONTROL!$C$15, $E$9, 100%, $G$9) + CHOOSE(CONTROL!$C$38, 0.0347, 0)</f>
        <v>36.549300000000002</v>
      </c>
      <c r="H506" s="10">
        <f>36.5146 * CHOOSE(CONTROL!$C$15, $E$9, 100%, $G$9) + CHOOSE(CONTROL!$C$38, 0.0347, 0)</f>
        <v>36.549300000000002</v>
      </c>
      <c r="I506" s="10">
        <f>36.5162 * CHOOSE(CONTROL!$C$15, $E$9, 100%, $G$9) + CHOOSE(CONTROL!$C$38, 0.0347, 0)</f>
        <v>36.550899999999999</v>
      </c>
      <c r="J506" s="26">
        <f>236.6006</f>
        <v>236.60059999999999</v>
      </c>
    </row>
    <row r="507" spans="1:10" ht="15.75" x14ac:dyDescent="0.25">
      <c r="A507" s="13">
        <v>56734</v>
      </c>
      <c r="B507" s="10">
        <f>39.0466 * CHOOSE(CONTROL!$C$15, $E$9, 100%, $G$9) + CHOOSE(CONTROL!$C$38, 0.0256, 0)</f>
        <v>39.072199999999995</v>
      </c>
      <c r="C507" s="10">
        <f>36.021 * CHOOSE(CONTROL!$C$15, $E$9, 100%, $G$9) + CHOOSE(CONTROL!$C$38, 0.0347, 0)</f>
        <v>36.055700000000002</v>
      </c>
      <c r="D507" s="10">
        <f>36.0132 * CHOOSE(CONTROL!$C$15, $E$9, 100%, $G$9) + CHOOSE(CONTROL!$C$38, 0.0347, 0)</f>
        <v>36.047899999999998</v>
      </c>
      <c r="E507" s="28">
        <f>38.8903 * CHOOSE(CONTROL!$C$15, $E$9, 100%, $G$9) + CHOOSE(CONTROL!$C$38, 0.0347, 0)</f>
        <v>38.925000000000004</v>
      </c>
      <c r="F507" s="27">
        <f>38.8903 * CHOOSE(CONTROL!$C$15, $E$9, 100%, $G$9) + CHOOSE(CONTROL!$C$38, 0.0256, 0)</f>
        <v>38.915900000000001</v>
      </c>
      <c r="G507" s="10">
        <f>36.0195 * CHOOSE(CONTROL!$C$15, $E$9, 100%, $G$9) + CHOOSE(CONTROL!$C$38, 0.0347, 0)</f>
        <v>36.054200000000002</v>
      </c>
      <c r="H507" s="10">
        <f>36.0195 * CHOOSE(CONTROL!$C$15, $E$9, 100%, $G$9) + CHOOSE(CONTROL!$C$38, 0.0347, 0)</f>
        <v>36.054200000000002</v>
      </c>
      <c r="I507" s="10">
        <f>36.021 * CHOOSE(CONTROL!$C$15, $E$9, 100%, $G$9) + CHOOSE(CONTROL!$C$38, 0.0347, 0)</f>
        <v>36.055700000000002</v>
      </c>
      <c r="J507" s="26">
        <f>251.9619</f>
        <v>251.96190000000001</v>
      </c>
    </row>
    <row r="508" spans="1:10" ht="15.75" x14ac:dyDescent="0.25">
      <c r="A508" s="13">
        <v>56765</v>
      </c>
      <c r="B508" s="10">
        <f>38.5305 * CHOOSE(CONTROL!$C$15, $E$9, 100%, $G$9) + CHOOSE(CONTROL!$C$38, 0.0278, 0)</f>
        <v>38.558300000000003</v>
      </c>
      <c r="C508" s="10">
        <f>35.5049 * CHOOSE(CONTROL!$C$15, $E$9, 100%, $G$9) + CHOOSE(CONTROL!$C$38, 0.0369, 0)</f>
        <v>35.541800000000002</v>
      </c>
      <c r="D508" s="10">
        <f>35.4971 * CHOOSE(CONTROL!$C$15, $E$9, 100%, $G$9) + CHOOSE(CONTROL!$C$38, 0.0369, 0)</f>
        <v>35.534000000000006</v>
      </c>
      <c r="E508" s="28">
        <f>38.3742 * CHOOSE(CONTROL!$C$15, $E$9, 100%, $G$9) + CHOOSE(CONTROL!$C$38, 0.0369, 0)</f>
        <v>38.411100000000005</v>
      </c>
      <c r="F508" s="27">
        <f>38.3742 * CHOOSE(CONTROL!$C$15, $E$9, 100%, $G$9) + CHOOSE(CONTROL!$C$38, 0.0278, 0)</f>
        <v>38.402000000000001</v>
      </c>
      <c r="G508" s="10">
        <f>35.5033 * CHOOSE(CONTROL!$C$15, $E$9, 100%, $G$9) + CHOOSE(CONTROL!$C$38, 0.0369, 0)</f>
        <v>35.540200000000006</v>
      </c>
      <c r="H508" s="10">
        <f>35.5033 * CHOOSE(CONTROL!$C$15, $E$9, 100%, $G$9) + CHOOSE(CONTROL!$C$38, 0.0369, 0)</f>
        <v>35.540200000000006</v>
      </c>
      <c r="I508" s="10">
        <f>35.5049 * CHOOSE(CONTROL!$C$15, $E$9, 100%, $G$9) + CHOOSE(CONTROL!$C$38, 0.0369, 0)</f>
        <v>35.541800000000002</v>
      </c>
      <c r="J508" s="26">
        <f>260.4172</f>
        <v>260.41719999999998</v>
      </c>
    </row>
    <row r="509" spans="1:10" ht="15.75" x14ac:dyDescent="0.25">
      <c r="A509" s="13">
        <v>56795</v>
      </c>
      <c r="B509" s="10">
        <f>38.1686 * CHOOSE(CONTROL!$C$15, $E$9, 100%, $G$9) + CHOOSE(CONTROL!$C$38, 0.0278, 0)</f>
        <v>38.196399999999997</v>
      </c>
      <c r="C509" s="10">
        <f>35.1431 * CHOOSE(CONTROL!$C$15, $E$9, 100%, $G$9) + CHOOSE(CONTROL!$C$38, 0.0369, 0)</f>
        <v>35.18</v>
      </c>
      <c r="D509" s="10">
        <f>35.1353 * CHOOSE(CONTROL!$C$15, $E$9, 100%, $G$9) + CHOOSE(CONTROL!$C$38, 0.0369, 0)</f>
        <v>35.172200000000004</v>
      </c>
      <c r="E509" s="28">
        <f>38.0124 * CHOOSE(CONTROL!$C$15, $E$9, 100%, $G$9) + CHOOSE(CONTROL!$C$38, 0.0369, 0)</f>
        <v>38.049300000000002</v>
      </c>
      <c r="F509" s="27">
        <f>38.0124 * CHOOSE(CONTROL!$C$15, $E$9, 100%, $G$9) + CHOOSE(CONTROL!$C$38, 0.0278, 0)</f>
        <v>38.040199999999999</v>
      </c>
      <c r="G509" s="10">
        <f>35.1415 * CHOOSE(CONTROL!$C$15, $E$9, 100%, $G$9) + CHOOSE(CONTROL!$C$38, 0.0369, 0)</f>
        <v>35.178400000000003</v>
      </c>
      <c r="H509" s="10">
        <f>35.1415 * CHOOSE(CONTROL!$C$15, $E$9, 100%, $G$9) + CHOOSE(CONTROL!$C$38, 0.0369, 0)</f>
        <v>35.178400000000003</v>
      </c>
      <c r="I509" s="10">
        <f>35.1431 * CHOOSE(CONTROL!$C$15, $E$9, 100%, $G$9) + CHOOSE(CONTROL!$C$38, 0.0369, 0)</f>
        <v>35.18</v>
      </c>
      <c r="J509" s="26">
        <f>264.1696</f>
        <v>264.1696</v>
      </c>
    </row>
    <row r="510" spans="1:10" ht="15.75" x14ac:dyDescent="0.25">
      <c r="A510" s="13">
        <v>56826</v>
      </c>
      <c r="B510" s="10">
        <f>37.9621 * CHOOSE(CONTROL!$C$15, $E$9, 100%, $G$9) + CHOOSE(CONTROL!$C$38, 0.0278, 0)</f>
        <v>37.989899999999999</v>
      </c>
      <c r="C510" s="10">
        <f>34.9366 * CHOOSE(CONTROL!$C$15, $E$9, 100%, $G$9) + CHOOSE(CONTROL!$C$38, 0.0369, 0)</f>
        <v>34.973500000000001</v>
      </c>
      <c r="D510" s="10">
        <f>34.9288 * CHOOSE(CONTROL!$C$15, $E$9, 100%, $G$9) + CHOOSE(CONTROL!$C$38, 0.0369, 0)</f>
        <v>34.965700000000005</v>
      </c>
      <c r="E510" s="28">
        <f>37.8059 * CHOOSE(CONTROL!$C$15, $E$9, 100%, $G$9) + CHOOSE(CONTROL!$C$38, 0.0369, 0)</f>
        <v>37.842800000000004</v>
      </c>
      <c r="F510" s="27">
        <f>37.8059 * CHOOSE(CONTROL!$C$15, $E$9, 100%, $G$9) + CHOOSE(CONTROL!$C$38, 0.0278, 0)</f>
        <v>37.8337</v>
      </c>
      <c r="G510" s="10">
        <f>34.935 * CHOOSE(CONTROL!$C$15, $E$9, 100%, $G$9) + CHOOSE(CONTROL!$C$38, 0.0369, 0)</f>
        <v>34.971900000000005</v>
      </c>
      <c r="H510" s="10">
        <f>34.935 * CHOOSE(CONTROL!$C$15, $E$9, 100%, $G$9) + CHOOSE(CONTROL!$C$38, 0.0369, 0)</f>
        <v>34.971900000000005</v>
      </c>
      <c r="I510" s="10">
        <f>34.9366 * CHOOSE(CONTROL!$C$15, $E$9, 100%, $G$9) + CHOOSE(CONTROL!$C$38, 0.0369, 0)</f>
        <v>34.973500000000001</v>
      </c>
      <c r="J510" s="26">
        <f>262.9341</f>
        <v>262.9341</v>
      </c>
    </row>
    <row r="511" spans="1:10" ht="15.75" x14ac:dyDescent="0.25">
      <c r="A511" s="13">
        <v>56857</v>
      </c>
      <c r="B511" s="10">
        <f>38.064 * CHOOSE(CONTROL!$C$15, $E$9, 100%, $G$9) + CHOOSE(CONTROL!$C$38, 0.0278, 0)</f>
        <v>38.091799999999999</v>
      </c>
      <c r="C511" s="10">
        <f>35.0385 * CHOOSE(CONTROL!$C$15, $E$9, 100%, $G$9) + CHOOSE(CONTROL!$C$38, 0.0369, 0)</f>
        <v>35.075400000000002</v>
      </c>
      <c r="D511" s="10">
        <f>35.0307 * CHOOSE(CONTROL!$C$15, $E$9, 100%, $G$9) + CHOOSE(CONTROL!$C$38, 0.0369, 0)</f>
        <v>35.067600000000006</v>
      </c>
      <c r="E511" s="28">
        <f>37.9078 * CHOOSE(CONTROL!$C$15, $E$9, 100%, $G$9) + CHOOSE(CONTROL!$C$38, 0.0369, 0)</f>
        <v>37.944700000000005</v>
      </c>
      <c r="F511" s="27">
        <f>37.9078 * CHOOSE(CONTROL!$C$15, $E$9, 100%, $G$9) + CHOOSE(CONTROL!$C$38, 0.0278, 0)</f>
        <v>37.935600000000001</v>
      </c>
      <c r="G511" s="10">
        <f>35.0369 * CHOOSE(CONTROL!$C$15, $E$9, 100%, $G$9) + CHOOSE(CONTROL!$C$38, 0.0369, 0)</f>
        <v>35.073800000000006</v>
      </c>
      <c r="H511" s="10">
        <f>35.0369 * CHOOSE(CONTROL!$C$15, $E$9, 100%, $G$9) + CHOOSE(CONTROL!$C$38, 0.0369, 0)</f>
        <v>35.073800000000006</v>
      </c>
      <c r="I511" s="10">
        <f>35.0385 * CHOOSE(CONTROL!$C$15, $E$9, 100%, $G$9) + CHOOSE(CONTROL!$C$38, 0.0369, 0)</f>
        <v>35.075400000000002</v>
      </c>
      <c r="J511" s="26">
        <f>256.8131</f>
        <v>256.81310000000002</v>
      </c>
    </row>
    <row r="512" spans="1:10" ht="15.75" x14ac:dyDescent="0.25">
      <c r="A512" s="13">
        <v>56887</v>
      </c>
      <c r="B512" s="10">
        <f>38.3408 * CHOOSE(CONTROL!$C$15, $E$9, 100%, $G$9) + CHOOSE(CONTROL!$C$38, 0.0278, 0)</f>
        <v>38.368600000000001</v>
      </c>
      <c r="C512" s="10">
        <f>35.3153 * CHOOSE(CONTROL!$C$15, $E$9, 100%, $G$9) + CHOOSE(CONTROL!$C$38, 0.0369, 0)</f>
        <v>35.352200000000003</v>
      </c>
      <c r="D512" s="10">
        <f>35.3075 * CHOOSE(CONTROL!$C$15, $E$9, 100%, $G$9) + CHOOSE(CONTROL!$C$38, 0.0369, 0)</f>
        <v>35.3444</v>
      </c>
      <c r="E512" s="28">
        <f>38.1846 * CHOOSE(CONTROL!$C$15, $E$9, 100%, $G$9) + CHOOSE(CONTROL!$C$38, 0.0369, 0)</f>
        <v>38.221500000000006</v>
      </c>
      <c r="F512" s="27">
        <f>38.1846 * CHOOSE(CONTROL!$C$15, $E$9, 100%, $G$9) + CHOOSE(CONTROL!$C$38, 0.0278, 0)</f>
        <v>38.212400000000002</v>
      </c>
      <c r="G512" s="10">
        <f>35.3137 * CHOOSE(CONTROL!$C$15, $E$9, 100%, $G$9) + CHOOSE(CONTROL!$C$38, 0.0369, 0)</f>
        <v>35.3506</v>
      </c>
      <c r="H512" s="10">
        <f>35.3137 * CHOOSE(CONTROL!$C$15, $E$9, 100%, $G$9) + CHOOSE(CONTROL!$C$38, 0.0369, 0)</f>
        <v>35.3506</v>
      </c>
      <c r="I512" s="10">
        <f>35.3153 * CHOOSE(CONTROL!$C$15, $E$9, 100%, $G$9) + CHOOSE(CONTROL!$C$38, 0.0369, 0)</f>
        <v>35.352200000000003</v>
      </c>
      <c r="J512" s="26">
        <f>248.2771</f>
        <v>248.27709999999999</v>
      </c>
    </row>
    <row r="513" spans="1:10" ht="15.75" x14ac:dyDescent="0.25">
      <c r="A513" s="13">
        <v>56918</v>
      </c>
      <c r="B513" s="10">
        <f>38.5727 * CHOOSE(CONTROL!$C$15, $E$9, 100%, $G$9) + CHOOSE(CONTROL!$C$38, 0.0256, 0)</f>
        <v>38.598299999999995</v>
      </c>
      <c r="C513" s="10">
        <f>35.5471 * CHOOSE(CONTROL!$C$15, $E$9, 100%, $G$9) + CHOOSE(CONTROL!$C$38, 0.0347, 0)</f>
        <v>35.581800000000001</v>
      </c>
      <c r="D513" s="10">
        <f>35.5393 * CHOOSE(CONTROL!$C$15, $E$9, 100%, $G$9) + CHOOSE(CONTROL!$C$38, 0.0347, 0)</f>
        <v>35.573999999999998</v>
      </c>
      <c r="E513" s="28">
        <f>38.4164 * CHOOSE(CONTROL!$C$15, $E$9, 100%, $G$9) + CHOOSE(CONTROL!$C$38, 0.0347, 0)</f>
        <v>38.451100000000004</v>
      </c>
      <c r="F513" s="27">
        <f>38.4164 * CHOOSE(CONTROL!$C$15, $E$9, 100%, $G$9) + CHOOSE(CONTROL!$C$38, 0.0256, 0)</f>
        <v>38.442</v>
      </c>
      <c r="G513" s="10">
        <f>35.5455 * CHOOSE(CONTROL!$C$15, $E$9, 100%, $G$9) + CHOOSE(CONTROL!$C$38, 0.0347, 0)</f>
        <v>35.580199999999998</v>
      </c>
      <c r="H513" s="10">
        <f>35.5455 * CHOOSE(CONTROL!$C$15, $E$9, 100%, $G$9) + CHOOSE(CONTROL!$C$38, 0.0347, 0)</f>
        <v>35.580199999999998</v>
      </c>
      <c r="I513" s="10">
        <f>35.5471 * CHOOSE(CONTROL!$C$15, $E$9, 100%, $G$9) + CHOOSE(CONTROL!$C$38, 0.0347, 0)</f>
        <v>35.581800000000001</v>
      </c>
      <c r="J513" s="26">
        <f>239.6914</f>
        <v>239.69139999999999</v>
      </c>
    </row>
    <row r="514" spans="1:10" ht="15.75" x14ac:dyDescent="0.25">
      <c r="A514" s="13">
        <v>56948</v>
      </c>
      <c r="B514" s="10">
        <f>38.7661 * CHOOSE(CONTROL!$C$15, $E$9, 100%, $G$9) + CHOOSE(CONTROL!$C$38, 0.0256, 0)</f>
        <v>38.791699999999999</v>
      </c>
      <c r="C514" s="10">
        <f>35.7406 * CHOOSE(CONTROL!$C$15, $E$9, 100%, $G$9) + CHOOSE(CONTROL!$C$38, 0.0347, 0)</f>
        <v>35.775300000000001</v>
      </c>
      <c r="D514" s="10">
        <f>35.7327 * CHOOSE(CONTROL!$C$15, $E$9, 100%, $G$9) + CHOOSE(CONTROL!$C$38, 0.0347, 0)</f>
        <v>35.767400000000002</v>
      </c>
      <c r="E514" s="28">
        <f>38.6099 * CHOOSE(CONTROL!$C$15, $E$9, 100%, $G$9) + CHOOSE(CONTROL!$C$38, 0.0347, 0)</f>
        <v>38.644600000000004</v>
      </c>
      <c r="F514" s="27">
        <f>38.6099 * CHOOSE(CONTROL!$C$15, $E$9, 100%, $G$9) + CHOOSE(CONTROL!$C$38, 0.0256, 0)</f>
        <v>38.6355</v>
      </c>
      <c r="G514" s="10">
        <f>35.739 * CHOOSE(CONTROL!$C$15, $E$9, 100%, $G$9) + CHOOSE(CONTROL!$C$38, 0.0347, 0)</f>
        <v>35.773699999999998</v>
      </c>
      <c r="H514" s="10">
        <f>35.739 * CHOOSE(CONTROL!$C$15, $E$9, 100%, $G$9) + CHOOSE(CONTROL!$C$38, 0.0347, 0)</f>
        <v>35.773699999999998</v>
      </c>
      <c r="I514" s="10">
        <f>35.7406 * CHOOSE(CONTROL!$C$15, $E$9, 100%, $G$9) + CHOOSE(CONTROL!$C$38, 0.0347, 0)</f>
        <v>35.775300000000001</v>
      </c>
      <c r="J514" s="26">
        <f>237.9836</f>
        <v>237.9836</v>
      </c>
    </row>
    <row r="515" spans="1:10" ht="15.75" x14ac:dyDescent="0.25">
      <c r="A515" s="13">
        <v>56979</v>
      </c>
      <c r="B515" s="10">
        <f>39.3622 * CHOOSE(CONTROL!$C$15, $E$9, 100%, $G$9) + CHOOSE(CONTROL!$C$38, 0.0256, 0)</f>
        <v>39.387799999999999</v>
      </c>
      <c r="C515" s="10">
        <f>36.3366 * CHOOSE(CONTROL!$C$15, $E$9, 100%, $G$9) + CHOOSE(CONTROL!$C$38, 0.0347, 0)</f>
        <v>36.371299999999998</v>
      </c>
      <c r="D515" s="10">
        <f>36.3288 * CHOOSE(CONTROL!$C$15, $E$9, 100%, $G$9) + CHOOSE(CONTROL!$C$38, 0.0347, 0)</f>
        <v>36.363500000000002</v>
      </c>
      <c r="E515" s="28">
        <f>39.2059 * CHOOSE(CONTROL!$C$15, $E$9, 100%, $G$9) + CHOOSE(CONTROL!$C$38, 0.0347, 0)</f>
        <v>39.240600000000001</v>
      </c>
      <c r="F515" s="27">
        <f>39.2059 * CHOOSE(CONTROL!$C$15, $E$9, 100%, $G$9) + CHOOSE(CONTROL!$C$38, 0.0256, 0)</f>
        <v>39.231499999999997</v>
      </c>
      <c r="G515" s="10">
        <f>36.3351 * CHOOSE(CONTROL!$C$15, $E$9, 100%, $G$9) + CHOOSE(CONTROL!$C$38, 0.0347, 0)</f>
        <v>36.369799999999998</v>
      </c>
      <c r="H515" s="10">
        <f>36.3351 * CHOOSE(CONTROL!$C$15, $E$9, 100%, $G$9) + CHOOSE(CONTROL!$C$38, 0.0347, 0)</f>
        <v>36.369799999999998</v>
      </c>
      <c r="I515" s="10">
        <f>36.3366 * CHOOSE(CONTROL!$C$15, $E$9, 100%, $G$9) + CHOOSE(CONTROL!$C$38, 0.0347, 0)</f>
        <v>36.371299999999998</v>
      </c>
      <c r="J515" s="26">
        <f>230.9214</f>
        <v>230.92140000000001</v>
      </c>
    </row>
    <row r="516" spans="1:10" ht="15.75" x14ac:dyDescent="0.25">
      <c r="A516" s="13">
        <v>57010</v>
      </c>
      <c r="B516" s="10">
        <f>40.5076 * CHOOSE(CONTROL!$C$15, $E$9, 100%, $G$9) + CHOOSE(CONTROL!$C$38, 0.0256, 0)</f>
        <v>40.533199999999994</v>
      </c>
      <c r="C516" s="10">
        <f>37.4313 * CHOOSE(CONTROL!$C$15, $E$9, 100%, $G$9) + CHOOSE(CONTROL!$C$38, 0.0347, 0)</f>
        <v>37.466000000000001</v>
      </c>
      <c r="D516" s="10">
        <f>37.4235 * CHOOSE(CONTROL!$C$15, $E$9, 100%, $G$9) + CHOOSE(CONTROL!$C$38, 0.0347, 0)</f>
        <v>37.458199999999998</v>
      </c>
      <c r="E516" s="28">
        <f>40.3513 * CHOOSE(CONTROL!$C$15, $E$9, 100%, $G$9) + CHOOSE(CONTROL!$C$38, 0.0347, 0)</f>
        <v>40.386000000000003</v>
      </c>
      <c r="F516" s="27">
        <f>40.3513 * CHOOSE(CONTROL!$C$15, $E$9, 100%, $G$9) + CHOOSE(CONTROL!$C$38, 0.0256, 0)</f>
        <v>40.376899999999999</v>
      </c>
      <c r="G516" s="10">
        <f>37.4298 * CHOOSE(CONTROL!$C$15, $E$9, 100%, $G$9) + CHOOSE(CONTROL!$C$38, 0.0347, 0)</f>
        <v>37.464500000000001</v>
      </c>
      <c r="H516" s="10">
        <f>37.4298 * CHOOSE(CONTROL!$C$15, $E$9, 100%, $G$9) + CHOOSE(CONTROL!$C$38, 0.0347, 0)</f>
        <v>37.464500000000001</v>
      </c>
      <c r="I516" s="10">
        <f>37.4313 * CHOOSE(CONTROL!$C$15, $E$9, 100%, $G$9) + CHOOSE(CONTROL!$C$38, 0.0347, 0)</f>
        <v>37.466000000000001</v>
      </c>
      <c r="J516" s="26">
        <f>229.3746</f>
        <v>229.37459999999999</v>
      </c>
    </row>
    <row r="517" spans="1:10" ht="15.75" x14ac:dyDescent="0.25">
      <c r="A517" s="13">
        <v>57038</v>
      </c>
      <c r="B517" s="10">
        <f>40.7284 * CHOOSE(CONTROL!$C$15, $E$9, 100%, $G$9) + CHOOSE(CONTROL!$C$38, 0.0256, 0)</f>
        <v>40.753999999999998</v>
      </c>
      <c r="C517" s="10">
        <f>37.6521 * CHOOSE(CONTROL!$C$15, $E$9, 100%, $G$9) + CHOOSE(CONTROL!$C$38, 0.0347, 0)</f>
        <v>37.686799999999998</v>
      </c>
      <c r="D517" s="10">
        <f>37.6443 * CHOOSE(CONTROL!$C$15, $E$9, 100%, $G$9) + CHOOSE(CONTROL!$C$38, 0.0347, 0)</f>
        <v>37.679000000000002</v>
      </c>
      <c r="E517" s="28">
        <f>40.5721 * CHOOSE(CONTROL!$C$15, $E$9, 100%, $G$9) + CHOOSE(CONTROL!$C$38, 0.0347, 0)</f>
        <v>40.6068</v>
      </c>
      <c r="F517" s="27">
        <f>40.5721 * CHOOSE(CONTROL!$C$15, $E$9, 100%, $G$9) + CHOOSE(CONTROL!$C$38, 0.0256, 0)</f>
        <v>40.597699999999996</v>
      </c>
      <c r="G517" s="10">
        <f>37.6505 * CHOOSE(CONTROL!$C$15, $E$9, 100%, $G$9) + CHOOSE(CONTROL!$C$38, 0.0347, 0)</f>
        <v>37.685200000000002</v>
      </c>
      <c r="H517" s="10">
        <f>37.6505 * CHOOSE(CONTROL!$C$15, $E$9, 100%, $G$9) + CHOOSE(CONTROL!$C$38, 0.0347, 0)</f>
        <v>37.685200000000002</v>
      </c>
      <c r="I517" s="10">
        <f>37.6521 * CHOOSE(CONTROL!$C$15, $E$9, 100%, $G$9) + CHOOSE(CONTROL!$C$38, 0.0347, 0)</f>
        <v>37.686799999999998</v>
      </c>
      <c r="J517" s="26">
        <f>228.737</f>
        <v>228.73699999999999</v>
      </c>
    </row>
    <row r="518" spans="1:10" ht="15.75" x14ac:dyDescent="0.25">
      <c r="A518" s="13">
        <v>57070</v>
      </c>
      <c r="B518" s="10">
        <f>40.2173 * CHOOSE(CONTROL!$C$15, $E$9, 100%, $G$9) + CHOOSE(CONTROL!$C$38, 0.0256, 0)</f>
        <v>40.242899999999999</v>
      </c>
      <c r="C518" s="10">
        <f>37.1411 * CHOOSE(CONTROL!$C$15, $E$9, 100%, $G$9) + CHOOSE(CONTROL!$C$38, 0.0347, 0)</f>
        <v>37.175800000000002</v>
      </c>
      <c r="D518" s="10">
        <f>37.1333 * CHOOSE(CONTROL!$C$15, $E$9, 100%, $G$9) + CHOOSE(CONTROL!$C$38, 0.0347, 0)</f>
        <v>37.167999999999999</v>
      </c>
      <c r="E518" s="28">
        <f>40.0611 * CHOOSE(CONTROL!$C$15, $E$9, 100%, $G$9) + CHOOSE(CONTROL!$C$38, 0.0347, 0)</f>
        <v>40.095800000000004</v>
      </c>
      <c r="F518" s="27">
        <f>40.0611 * CHOOSE(CONTROL!$C$15, $E$9, 100%, $G$9) + CHOOSE(CONTROL!$C$38, 0.0256, 0)</f>
        <v>40.0867</v>
      </c>
      <c r="G518" s="10">
        <f>37.1395 * CHOOSE(CONTROL!$C$15, $E$9, 100%, $G$9) + CHOOSE(CONTROL!$C$38, 0.0347, 0)</f>
        <v>37.174199999999999</v>
      </c>
      <c r="H518" s="10">
        <f>37.1395 * CHOOSE(CONTROL!$C$15, $E$9, 100%, $G$9) + CHOOSE(CONTROL!$C$38, 0.0347, 0)</f>
        <v>37.174199999999999</v>
      </c>
      <c r="I518" s="10">
        <f>37.1411 * CHOOSE(CONTROL!$C$15, $E$9, 100%, $G$9) + CHOOSE(CONTROL!$C$38, 0.0347, 0)</f>
        <v>37.175800000000002</v>
      </c>
      <c r="J518" s="26">
        <f>240.7927</f>
        <v>240.7927</v>
      </c>
    </row>
    <row r="519" spans="1:10" ht="15.75" x14ac:dyDescent="0.25">
      <c r="A519" s="13">
        <v>57100</v>
      </c>
      <c r="B519" s="10">
        <f>39.7221 * CHOOSE(CONTROL!$C$15, $E$9, 100%, $G$9) + CHOOSE(CONTROL!$C$38, 0.0256, 0)</f>
        <v>39.747699999999995</v>
      </c>
      <c r="C519" s="10">
        <f>36.6459 * CHOOSE(CONTROL!$C$15, $E$9, 100%, $G$9) + CHOOSE(CONTROL!$C$38, 0.0347, 0)</f>
        <v>36.680599999999998</v>
      </c>
      <c r="D519" s="10">
        <f>36.6381 * CHOOSE(CONTROL!$C$15, $E$9, 100%, $G$9) + CHOOSE(CONTROL!$C$38, 0.0347, 0)</f>
        <v>36.672800000000002</v>
      </c>
      <c r="E519" s="28">
        <f>39.5659 * CHOOSE(CONTROL!$C$15, $E$9, 100%, $G$9) + CHOOSE(CONTROL!$C$38, 0.0347, 0)</f>
        <v>39.6006</v>
      </c>
      <c r="F519" s="27">
        <f>39.5659 * CHOOSE(CONTROL!$C$15, $E$9, 100%, $G$9) + CHOOSE(CONTROL!$C$38, 0.0256, 0)</f>
        <v>39.591499999999996</v>
      </c>
      <c r="G519" s="10">
        <f>36.6443 * CHOOSE(CONTROL!$C$15, $E$9, 100%, $G$9) + CHOOSE(CONTROL!$C$38, 0.0347, 0)</f>
        <v>36.679000000000002</v>
      </c>
      <c r="H519" s="10">
        <f>36.6443 * CHOOSE(CONTROL!$C$15, $E$9, 100%, $G$9) + CHOOSE(CONTROL!$C$38, 0.0347, 0)</f>
        <v>36.679000000000002</v>
      </c>
      <c r="I519" s="10">
        <f>36.6459 * CHOOSE(CONTROL!$C$15, $E$9, 100%, $G$9) + CHOOSE(CONTROL!$C$38, 0.0347, 0)</f>
        <v>36.680599999999998</v>
      </c>
      <c r="J519" s="26">
        <f>256.4262</f>
        <v>256.42619999999999</v>
      </c>
    </row>
    <row r="520" spans="1:10" ht="15.75" x14ac:dyDescent="0.25">
      <c r="A520" s="13">
        <v>57131</v>
      </c>
      <c r="B520" s="10">
        <f>39.206 * CHOOSE(CONTROL!$C$15, $E$9, 100%, $G$9) + CHOOSE(CONTROL!$C$38, 0.0278, 0)</f>
        <v>39.233800000000002</v>
      </c>
      <c r="C520" s="10">
        <f>36.1298 * CHOOSE(CONTROL!$C$15, $E$9, 100%, $G$9) + CHOOSE(CONTROL!$C$38, 0.0369, 0)</f>
        <v>36.166700000000006</v>
      </c>
      <c r="D520" s="10">
        <f>36.122 * CHOOSE(CONTROL!$C$15, $E$9, 100%, $G$9) + CHOOSE(CONTROL!$C$38, 0.0369, 0)</f>
        <v>36.158900000000003</v>
      </c>
      <c r="E520" s="28">
        <f>39.0498 * CHOOSE(CONTROL!$C$15, $E$9, 100%, $G$9) + CHOOSE(CONTROL!$C$38, 0.0369, 0)</f>
        <v>39.0867</v>
      </c>
      <c r="F520" s="27">
        <f>39.0498 * CHOOSE(CONTROL!$C$15, $E$9, 100%, $G$9) + CHOOSE(CONTROL!$C$38, 0.0278, 0)</f>
        <v>39.077599999999997</v>
      </c>
      <c r="G520" s="10">
        <f>36.1282 * CHOOSE(CONTROL!$C$15, $E$9, 100%, $G$9) + CHOOSE(CONTROL!$C$38, 0.0369, 0)</f>
        <v>36.165100000000002</v>
      </c>
      <c r="H520" s="10">
        <f>36.1282 * CHOOSE(CONTROL!$C$15, $E$9, 100%, $G$9) + CHOOSE(CONTROL!$C$38, 0.0369, 0)</f>
        <v>36.165100000000002</v>
      </c>
      <c r="I520" s="10">
        <f>36.1298 * CHOOSE(CONTROL!$C$15, $E$9, 100%, $G$9) + CHOOSE(CONTROL!$C$38, 0.0369, 0)</f>
        <v>36.166700000000006</v>
      </c>
      <c r="J520" s="26">
        <f>265.0313</f>
        <v>265.03129999999999</v>
      </c>
    </row>
    <row r="521" spans="1:10" ht="15.75" x14ac:dyDescent="0.25">
      <c r="A521" s="13">
        <v>57161</v>
      </c>
      <c r="B521" s="10">
        <f>38.8442 * CHOOSE(CONTROL!$C$15, $E$9, 100%, $G$9) + CHOOSE(CONTROL!$C$38, 0.0278, 0)</f>
        <v>38.872</v>
      </c>
      <c r="C521" s="10">
        <f>35.7679 * CHOOSE(CONTROL!$C$15, $E$9, 100%, $G$9) + CHOOSE(CONTROL!$C$38, 0.0369, 0)</f>
        <v>35.8048</v>
      </c>
      <c r="D521" s="10">
        <f>35.7601 * CHOOSE(CONTROL!$C$15, $E$9, 100%, $G$9) + CHOOSE(CONTROL!$C$38, 0.0369, 0)</f>
        <v>35.797000000000004</v>
      </c>
      <c r="E521" s="28">
        <f>38.6879 * CHOOSE(CONTROL!$C$15, $E$9, 100%, $G$9) + CHOOSE(CONTROL!$C$38, 0.0369, 0)</f>
        <v>38.724800000000002</v>
      </c>
      <c r="F521" s="27">
        <f>38.6879 * CHOOSE(CONTROL!$C$15, $E$9, 100%, $G$9) + CHOOSE(CONTROL!$C$38, 0.0278, 0)</f>
        <v>38.715699999999998</v>
      </c>
      <c r="G521" s="10">
        <f>35.7664 * CHOOSE(CONTROL!$C$15, $E$9, 100%, $G$9) + CHOOSE(CONTROL!$C$38, 0.0369, 0)</f>
        <v>35.8033</v>
      </c>
      <c r="H521" s="10">
        <f>35.7664 * CHOOSE(CONTROL!$C$15, $E$9, 100%, $G$9) + CHOOSE(CONTROL!$C$38, 0.0369, 0)</f>
        <v>35.8033</v>
      </c>
      <c r="I521" s="10">
        <f>35.7679 * CHOOSE(CONTROL!$C$15, $E$9, 100%, $G$9) + CHOOSE(CONTROL!$C$38, 0.0369, 0)</f>
        <v>35.8048</v>
      </c>
      <c r="J521" s="26">
        <f>268.8501</f>
        <v>268.8501</v>
      </c>
    </row>
    <row r="522" spans="1:10" ht="15.75" x14ac:dyDescent="0.25">
      <c r="A522" s="13">
        <v>57192</v>
      </c>
      <c r="B522" s="10">
        <f>38.6377 * CHOOSE(CONTROL!$C$15, $E$9, 100%, $G$9) + CHOOSE(CONTROL!$C$38, 0.0278, 0)</f>
        <v>38.665500000000002</v>
      </c>
      <c r="C522" s="10">
        <f>35.5615 * CHOOSE(CONTROL!$C$15, $E$9, 100%, $G$9) + CHOOSE(CONTROL!$C$38, 0.0369, 0)</f>
        <v>35.598400000000005</v>
      </c>
      <c r="D522" s="10">
        <f>35.5536 * CHOOSE(CONTROL!$C$15, $E$9, 100%, $G$9) + CHOOSE(CONTROL!$C$38, 0.0369, 0)</f>
        <v>35.590500000000006</v>
      </c>
      <c r="E522" s="28">
        <f>38.4815 * CHOOSE(CONTROL!$C$15, $E$9, 100%, $G$9) + CHOOSE(CONTROL!$C$38, 0.0369, 0)</f>
        <v>38.5184</v>
      </c>
      <c r="F522" s="27">
        <f>38.4815 * CHOOSE(CONTROL!$C$15, $E$9, 100%, $G$9) + CHOOSE(CONTROL!$C$38, 0.0278, 0)</f>
        <v>38.509299999999996</v>
      </c>
      <c r="G522" s="10">
        <f>35.5599 * CHOOSE(CONTROL!$C$15, $E$9, 100%, $G$9) + CHOOSE(CONTROL!$C$38, 0.0369, 0)</f>
        <v>35.596800000000002</v>
      </c>
      <c r="H522" s="10">
        <f>35.5599 * CHOOSE(CONTROL!$C$15, $E$9, 100%, $G$9) + CHOOSE(CONTROL!$C$38, 0.0369, 0)</f>
        <v>35.596800000000002</v>
      </c>
      <c r="I522" s="10">
        <f>35.5615 * CHOOSE(CONTROL!$C$15, $E$9, 100%, $G$9) + CHOOSE(CONTROL!$C$38, 0.0369, 0)</f>
        <v>35.598400000000005</v>
      </c>
      <c r="J522" s="26">
        <f>267.5928</f>
        <v>267.59280000000001</v>
      </c>
    </row>
    <row r="523" spans="1:10" ht="15.75" x14ac:dyDescent="0.25">
      <c r="A523" s="13">
        <v>57223</v>
      </c>
      <c r="B523" s="10">
        <f>38.7396 * CHOOSE(CONTROL!$C$15, $E$9, 100%, $G$9) + CHOOSE(CONTROL!$C$38, 0.0278, 0)</f>
        <v>38.767400000000002</v>
      </c>
      <c r="C523" s="10">
        <f>35.6634 * CHOOSE(CONTROL!$C$15, $E$9, 100%, $G$9) + CHOOSE(CONTROL!$C$38, 0.0369, 0)</f>
        <v>35.700300000000006</v>
      </c>
      <c r="D523" s="10">
        <f>35.6556 * CHOOSE(CONTROL!$C$15, $E$9, 100%, $G$9) + CHOOSE(CONTROL!$C$38, 0.0369, 0)</f>
        <v>35.692500000000003</v>
      </c>
      <c r="E523" s="28">
        <f>38.5834 * CHOOSE(CONTROL!$C$15, $E$9, 100%, $G$9) + CHOOSE(CONTROL!$C$38, 0.0369, 0)</f>
        <v>38.6203</v>
      </c>
      <c r="F523" s="27">
        <f>38.5834 * CHOOSE(CONTROL!$C$15, $E$9, 100%, $G$9) + CHOOSE(CONTROL!$C$38, 0.0278, 0)</f>
        <v>38.611199999999997</v>
      </c>
      <c r="G523" s="10">
        <f>35.6618 * CHOOSE(CONTROL!$C$15, $E$9, 100%, $G$9) + CHOOSE(CONTROL!$C$38, 0.0369, 0)</f>
        <v>35.698700000000002</v>
      </c>
      <c r="H523" s="10">
        <f>35.6618 * CHOOSE(CONTROL!$C$15, $E$9, 100%, $G$9) + CHOOSE(CONTROL!$C$38, 0.0369, 0)</f>
        <v>35.698700000000002</v>
      </c>
      <c r="I523" s="10">
        <f>35.6634 * CHOOSE(CONTROL!$C$15, $E$9, 100%, $G$9) + CHOOSE(CONTROL!$C$38, 0.0369, 0)</f>
        <v>35.700300000000006</v>
      </c>
      <c r="J523" s="26">
        <f>261.3634</f>
        <v>261.36340000000001</v>
      </c>
    </row>
    <row r="524" spans="1:10" ht="15.75" x14ac:dyDescent="0.25">
      <c r="A524" s="13">
        <v>57253</v>
      </c>
      <c r="B524" s="10">
        <f>39.0164 * CHOOSE(CONTROL!$C$15, $E$9, 100%, $G$9) + CHOOSE(CONTROL!$C$38, 0.0278, 0)</f>
        <v>39.044199999999996</v>
      </c>
      <c r="C524" s="10">
        <f>35.9402 * CHOOSE(CONTROL!$C$15, $E$9, 100%, $G$9) + CHOOSE(CONTROL!$C$38, 0.0369, 0)</f>
        <v>35.9771</v>
      </c>
      <c r="D524" s="10">
        <f>35.9323 * CHOOSE(CONTROL!$C$15, $E$9, 100%, $G$9) + CHOOSE(CONTROL!$C$38, 0.0369, 0)</f>
        <v>35.969200000000001</v>
      </c>
      <c r="E524" s="28">
        <f>38.8602 * CHOOSE(CONTROL!$C$15, $E$9, 100%, $G$9) + CHOOSE(CONTROL!$C$38, 0.0369, 0)</f>
        <v>38.897100000000002</v>
      </c>
      <c r="F524" s="27">
        <f>38.8602 * CHOOSE(CONTROL!$C$15, $E$9, 100%, $G$9) + CHOOSE(CONTROL!$C$38, 0.0278, 0)</f>
        <v>38.887999999999998</v>
      </c>
      <c r="G524" s="10">
        <f>35.9386 * CHOOSE(CONTROL!$C$15, $E$9, 100%, $G$9) + CHOOSE(CONTROL!$C$38, 0.0369, 0)</f>
        <v>35.975500000000004</v>
      </c>
      <c r="H524" s="10">
        <f>35.9386 * CHOOSE(CONTROL!$C$15, $E$9, 100%, $G$9) + CHOOSE(CONTROL!$C$38, 0.0369, 0)</f>
        <v>35.975500000000004</v>
      </c>
      <c r="I524" s="10">
        <f>35.9402 * CHOOSE(CONTROL!$C$15, $E$9, 100%, $G$9) + CHOOSE(CONTROL!$C$38, 0.0369, 0)</f>
        <v>35.9771</v>
      </c>
      <c r="J524" s="26">
        <f>252.6761</f>
        <v>252.67609999999999</v>
      </c>
    </row>
    <row r="525" spans="1:10" ht="15.75" x14ac:dyDescent="0.25">
      <c r="A525" s="13">
        <v>57284</v>
      </c>
      <c r="B525" s="10">
        <f>39.2482 * CHOOSE(CONTROL!$C$15, $E$9, 100%, $G$9) + CHOOSE(CONTROL!$C$38, 0.0256, 0)</f>
        <v>39.273799999999994</v>
      </c>
      <c r="C525" s="10">
        <f>36.172 * CHOOSE(CONTROL!$C$15, $E$9, 100%, $G$9) + CHOOSE(CONTROL!$C$38, 0.0347, 0)</f>
        <v>36.206699999999998</v>
      </c>
      <c r="D525" s="10">
        <f>36.1642 * CHOOSE(CONTROL!$C$15, $E$9, 100%, $G$9) + CHOOSE(CONTROL!$C$38, 0.0347, 0)</f>
        <v>36.198900000000002</v>
      </c>
      <c r="E525" s="28">
        <f>39.092 * CHOOSE(CONTROL!$C$15, $E$9, 100%, $G$9) + CHOOSE(CONTROL!$C$38, 0.0347, 0)</f>
        <v>39.1267</v>
      </c>
      <c r="F525" s="27">
        <f>39.092 * CHOOSE(CONTROL!$C$15, $E$9, 100%, $G$9) + CHOOSE(CONTROL!$C$38, 0.0256, 0)</f>
        <v>39.117599999999996</v>
      </c>
      <c r="G525" s="10">
        <f>36.1704 * CHOOSE(CONTROL!$C$15, $E$9, 100%, $G$9) + CHOOSE(CONTROL!$C$38, 0.0347, 0)</f>
        <v>36.205100000000002</v>
      </c>
      <c r="H525" s="10">
        <f>36.1704 * CHOOSE(CONTROL!$C$15, $E$9, 100%, $G$9) + CHOOSE(CONTROL!$C$38, 0.0347, 0)</f>
        <v>36.205100000000002</v>
      </c>
      <c r="I525" s="10">
        <f>36.172 * CHOOSE(CONTROL!$C$15, $E$9, 100%, $G$9) + CHOOSE(CONTROL!$C$38, 0.0347, 0)</f>
        <v>36.206699999999998</v>
      </c>
      <c r="J525" s="26">
        <f>243.9383</f>
        <v>243.9383</v>
      </c>
    </row>
    <row r="526" spans="1:10" ht="15.75" x14ac:dyDescent="0.25">
      <c r="A526" s="13">
        <v>57314</v>
      </c>
      <c r="B526" s="10">
        <f>39.4417 * CHOOSE(CONTROL!$C$15, $E$9, 100%, $G$9) + CHOOSE(CONTROL!$C$38, 0.0256, 0)</f>
        <v>39.467299999999994</v>
      </c>
      <c r="C526" s="10">
        <f>36.3654 * CHOOSE(CONTROL!$C$15, $E$9, 100%, $G$9) + CHOOSE(CONTROL!$C$38, 0.0347, 0)</f>
        <v>36.400100000000002</v>
      </c>
      <c r="D526" s="10">
        <f>36.3576 * CHOOSE(CONTROL!$C$15, $E$9, 100%, $G$9) + CHOOSE(CONTROL!$C$38, 0.0347, 0)</f>
        <v>36.392299999999999</v>
      </c>
      <c r="E526" s="28">
        <f>39.2854 * CHOOSE(CONTROL!$C$15, $E$9, 100%, $G$9) + CHOOSE(CONTROL!$C$38, 0.0347, 0)</f>
        <v>39.320100000000004</v>
      </c>
      <c r="F526" s="27">
        <f>39.2854 * CHOOSE(CONTROL!$C$15, $E$9, 100%, $G$9) + CHOOSE(CONTROL!$C$38, 0.0256, 0)</f>
        <v>39.311</v>
      </c>
      <c r="G526" s="10">
        <f>36.3639 * CHOOSE(CONTROL!$C$15, $E$9, 100%, $G$9) + CHOOSE(CONTROL!$C$38, 0.0347, 0)</f>
        <v>36.398600000000002</v>
      </c>
      <c r="H526" s="10">
        <f>36.3639 * CHOOSE(CONTROL!$C$15, $E$9, 100%, $G$9) + CHOOSE(CONTROL!$C$38, 0.0347, 0)</f>
        <v>36.398600000000002</v>
      </c>
      <c r="I526" s="10">
        <f>36.3654 * CHOOSE(CONTROL!$C$15, $E$9, 100%, $G$9) + CHOOSE(CONTROL!$C$38, 0.0347, 0)</f>
        <v>36.400100000000002</v>
      </c>
      <c r="J526" s="26">
        <f>242.2002</f>
        <v>242.2002</v>
      </c>
    </row>
    <row r="527" spans="1:10" ht="15.75" x14ac:dyDescent="0.25">
      <c r="A527" s="13">
        <v>57345</v>
      </c>
      <c r="B527" s="10">
        <f>40.0377 * CHOOSE(CONTROL!$C$15, $E$9, 100%, $G$9) + CHOOSE(CONTROL!$C$38, 0.0256, 0)</f>
        <v>40.063299999999998</v>
      </c>
      <c r="C527" s="10">
        <f>36.9615 * CHOOSE(CONTROL!$C$15, $E$9, 100%, $G$9) + CHOOSE(CONTROL!$C$38, 0.0347, 0)</f>
        <v>36.996200000000002</v>
      </c>
      <c r="D527" s="10">
        <f>36.9537 * CHOOSE(CONTROL!$C$15, $E$9, 100%, $G$9) + CHOOSE(CONTROL!$C$38, 0.0347, 0)</f>
        <v>36.988399999999999</v>
      </c>
      <c r="E527" s="28">
        <f>39.8815 * CHOOSE(CONTROL!$C$15, $E$9, 100%, $G$9) + CHOOSE(CONTROL!$C$38, 0.0347, 0)</f>
        <v>39.916200000000003</v>
      </c>
      <c r="F527" s="27">
        <f>39.8815 * CHOOSE(CONTROL!$C$15, $E$9, 100%, $G$9) + CHOOSE(CONTROL!$C$38, 0.0256, 0)</f>
        <v>39.9071</v>
      </c>
      <c r="G527" s="10">
        <f>36.9599 * CHOOSE(CONTROL!$C$15, $E$9, 100%, $G$9) + CHOOSE(CONTROL!$C$38, 0.0347, 0)</f>
        <v>36.994599999999998</v>
      </c>
      <c r="H527" s="10">
        <f>36.9599 * CHOOSE(CONTROL!$C$15, $E$9, 100%, $G$9) + CHOOSE(CONTROL!$C$38, 0.0347, 0)</f>
        <v>36.994599999999998</v>
      </c>
      <c r="I527" s="10">
        <f>36.9615 * CHOOSE(CONTROL!$C$15, $E$9, 100%, $G$9) + CHOOSE(CONTROL!$C$38, 0.0347, 0)</f>
        <v>36.996200000000002</v>
      </c>
      <c r="J527" s="26">
        <f>235.0129</f>
        <v>235.0129</v>
      </c>
    </row>
    <row r="528" spans="1:10" ht="15.75" x14ac:dyDescent="0.25">
      <c r="A528" s="13">
        <v>57376</v>
      </c>
      <c r="B528" s="10">
        <f>41.1951 * CHOOSE(CONTROL!$C$15, $E$9, 100%, $G$9) + CHOOSE(CONTROL!$C$38, 0.0256, 0)</f>
        <v>41.220699999999994</v>
      </c>
      <c r="C528" s="10">
        <f>38.0673 * CHOOSE(CONTROL!$C$15, $E$9, 100%, $G$9) + CHOOSE(CONTROL!$C$38, 0.0347, 0)</f>
        <v>38.102000000000004</v>
      </c>
      <c r="D528" s="10">
        <f>38.0594 * CHOOSE(CONTROL!$C$15, $E$9, 100%, $G$9) + CHOOSE(CONTROL!$C$38, 0.0347, 0)</f>
        <v>38.094099999999997</v>
      </c>
      <c r="E528" s="28">
        <f>41.0388 * CHOOSE(CONTROL!$C$15, $E$9, 100%, $G$9) + CHOOSE(CONTROL!$C$38, 0.0347, 0)</f>
        <v>41.073500000000003</v>
      </c>
      <c r="F528" s="27">
        <f>41.0388 * CHOOSE(CONTROL!$C$15, $E$9, 100%, $G$9) + CHOOSE(CONTROL!$C$38, 0.0256, 0)</f>
        <v>41.064399999999999</v>
      </c>
      <c r="G528" s="10">
        <f>38.0657 * CHOOSE(CONTROL!$C$15, $E$9, 100%, $G$9) + CHOOSE(CONTROL!$C$38, 0.0347, 0)</f>
        <v>38.1004</v>
      </c>
      <c r="H528" s="10">
        <f>38.0657 * CHOOSE(CONTROL!$C$15, $E$9, 100%, $G$9) + CHOOSE(CONTROL!$C$38, 0.0347, 0)</f>
        <v>38.1004</v>
      </c>
      <c r="I528" s="10">
        <f>38.0673 * CHOOSE(CONTROL!$C$15, $E$9, 100%, $G$9) + CHOOSE(CONTROL!$C$38, 0.0347, 0)</f>
        <v>38.102000000000004</v>
      </c>
      <c r="J528" s="26">
        <f>233.4386</f>
        <v>233.43860000000001</v>
      </c>
    </row>
    <row r="529" spans="1:10" ht="15.75" x14ac:dyDescent="0.25">
      <c r="A529" s="13">
        <v>57404</v>
      </c>
      <c r="B529" s="10">
        <f>41.4159 * CHOOSE(CONTROL!$C$15, $E$9, 100%, $G$9) + CHOOSE(CONTROL!$C$38, 0.0256, 0)</f>
        <v>41.441499999999998</v>
      </c>
      <c r="C529" s="10">
        <f>38.288 * CHOOSE(CONTROL!$C$15, $E$9, 100%, $G$9) + CHOOSE(CONTROL!$C$38, 0.0347, 0)</f>
        <v>38.322699999999998</v>
      </c>
      <c r="D529" s="10">
        <f>38.2802 * CHOOSE(CONTROL!$C$15, $E$9, 100%, $G$9) + CHOOSE(CONTROL!$C$38, 0.0347, 0)</f>
        <v>38.314900000000002</v>
      </c>
      <c r="E529" s="28">
        <f>41.2596 * CHOOSE(CONTROL!$C$15, $E$9, 100%, $G$9) + CHOOSE(CONTROL!$C$38, 0.0347, 0)</f>
        <v>41.2943</v>
      </c>
      <c r="F529" s="27">
        <f>41.2596 * CHOOSE(CONTROL!$C$15, $E$9, 100%, $G$9) + CHOOSE(CONTROL!$C$38, 0.0256, 0)</f>
        <v>41.285199999999996</v>
      </c>
      <c r="G529" s="10">
        <f>38.2865 * CHOOSE(CONTROL!$C$15, $E$9, 100%, $G$9) + CHOOSE(CONTROL!$C$38, 0.0347, 0)</f>
        <v>38.321199999999997</v>
      </c>
      <c r="H529" s="10">
        <f>38.2865 * CHOOSE(CONTROL!$C$15, $E$9, 100%, $G$9) + CHOOSE(CONTROL!$C$38, 0.0347, 0)</f>
        <v>38.321199999999997</v>
      </c>
      <c r="I529" s="10">
        <f>38.288 * CHOOSE(CONTROL!$C$15, $E$9, 100%, $G$9) + CHOOSE(CONTROL!$C$38, 0.0347, 0)</f>
        <v>38.322699999999998</v>
      </c>
      <c r="J529" s="26">
        <f>232.7898</f>
        <v>232.78980000000001</v>
      </c>
    </row>
    <row r="530" spans="1:10" ht="15.75" x14ac:dyDescent="0.25">
      <c r="A530" s="13">
        <v>57435</v>
      </c>
      <c r="B530" s="10">
        <f>40.9048 * CHOOSE(CONTROL!$C$15, $E$9, 100%, $G$9) + CHOOSE(CONTROL!$C$38, 0.0256, 0)</f>
        <v>40.930399999999999</v>
      </c>
      <c r="C530" s="10">
        <f>37.777 * CHOOSE(CONTROL!$C$15, $E$9, 100%, $G$9) + CHOOSE(CONTROL!$C$38, 0.0347, 0)</f>
        <v>37.811700000000002</v>
      </c>
      <c r="D530" s="10">
        <f>37.7692 * CHOOSE(CONTROL!$C$15, $E$9, 100%, $G$9) + CHOOSE(CONTROL!$C$38, 0.0347, 0)</f>
        <v>37.803899999999999</v>
      </c>
      <c r="E530" s="28">
        <f>40.7486 * CHOOSE(CONTROL!$C$15, $E$9, 100%, $G$9) + CHOOSE(CONTROL!$C$38, 0.0347, 0)</f>
        <v>40.783300000000004</v>
      </c>
      <c r="F530" s="27">
        <f>40.7486 * CHOOSE(CONTROL!$C$15, $E$9, 100%, $G$9) + CHOOSE(CONTROL!$C$38, 0.0256, 0)</f>
        <v>40.7742</v>
      </c>
      <c r="G530" s="10">
        <f>37.7754 * CHOOSE(CONTROL!$C$15, $E$9, 100%, $G$9) + CHOOSE(CONTROL!$C$38, 0.0347, 0)</f>
        <v>37.810099999999998</v>
      </c>
      <c r="H530" s="10">
        <f>37.7754 * CHOOSE(CONTROL!$C$15, $E$9, 100%, $G$9) + CHOOSE(CONTROL!$C$38, 0.0347, 0)</f>
        <v>37.810099999999998</v>
      </c>
      <c r="I530" s="10">
        <f>37.777 * CHOOSE(CONTROL!$C$15, $E$9, 100%, $G$9) + CHOOSE(CONTROL!$C$38, 0.0347, 0)</f>
        <v>37.811700000000002</v>
      </c>
      <c r="J530" s="26">
        <f>245.0591</f>
        <v>245.0591</v>
      </c>
    </row>
    <row r="531" spans="1:10" ht="15.75" x14ac:dyDescent="0.25">
      <c r="A531" s="13">
        <v>57465</v>
      </c>
      <c r="B531" s="10">
        <f>40.4096 * CHOOSE(CONTROL!$C$15, $E$9, 100%, $G$9) + CHOOSE(CONTROL!$C$38, 0.0256, 0)</f>
        <v>40.435199999999995</v>
      </c>
      <c r="C531" s="10">
        <f>37.2818 * CHOOSE(CONTROL!$C$15, $E$9, 100%, $G$9) + CHOOSE(CONTROL!$C$38, 0.0347, 0)</f>
        <v>37.316499999999998</v>
      </c>
      <c r="D531" s="10">
        <f>37.274 * CHOOSE(CONTROL!$C$15, $E$9, 100%, $G$9) + CHOOSE(CONTROL!$C$38, 0.0347, 0)</f>
        <v>37.308700000000002</v>
      </c>
      <c r="E531" s="28">
        <f>40.2534 * CHOOSE(CONTROL!$C$15, $E$9, 100%, $G$9) + CHOOSE(CONTROL!$C$38, 0.0347, 0)</f>
        <v>40.2881</v>
      </c>
      <c r="F531" s="27">
        <f>40.2534 * CHOOSE(CONTROL!$C$15, $E$9, 100%, $G$9) + CHOOSE(CONTROL!$C$38, 0.0256, 0)</f>
        <v>40.278999999999996</v>
      </c>
      <c r="G531" s="10">
        <f>37.2802 * CHOOSE(CONTROL!$C$15, $E$9, 100%, $G$9) + CHOOSE(CONTROL!$C$38, 0.0347, 0)</f>
        <v>37.314900000000002</v>
      </c>
      <c r="H531" s="10">
        <f>37.2802 * CHOOSE(CONTROL!$C$15, $E$9, 100%, $G$9) + CHOOSE(CONTROL!$C$38, 0.0347, 0)</f>
        <v>37.314900000000002</v>
      </c>
      <c r="I531" s="10">
        <f>37.2818 * CHOOSE(CONTROL!$C$15, $E$9, 100%, $G$9) + CHOOSE(CONTROL!$C$38, 0.0347, 0)</f>
        <v>37.316499999999998</v>
      </c>
      <c r="J531" s="26">
        <f>260.9696</f>
        <v>260.96960000000001</v>
      </c>
    </row>
    <row r="532" spans="1:10" ht="15.75" x14ac:dyDescent="0.25">
      <c r="A532" s="13">
        <v>57496</v>
      </c>
      <c r="B532" s="10">
        <f>39.8935 * CHOOSE(CONTROL!$C$15, $E$9, 100%, $G$9) + CHOOSE(CONTROL!$C$38, 0.0278, 0)</f>
        <v>39.921300000000002</v>
      </c>
      <c r="C532" s="10">
        <f>36.7657 * CHOOSE(CONTROL!$C$15, $E$9, 100%, $G$9) + CHOOSE(CONTROL!$C$38, 0.0369, 0)</f>
        <v>36.802600000000005</v>
      </c>
      <c r="D532" s="10">
        <f>36.7579 * CHOOSE(CONTROL!$C$15, $E$9, 100%, $G$9) + CHOOSE(CONTROL!$C$38, 0.0369, 0)</f>
        <v>36.794800000000002</v>
      </c>
      <c r="E532" s="28">
        <f>39.7373 * CHOOSE(CONTROL!$C$15, $E$9, 100%, $G$9) + CHOOSE(CONTROL!$C$38, 0.0369, 0)</f>
        <v>39.7742</v>
      </c>
      <c r="F532" s="27">
        <f>39.7373 * CHOOSE(CONTROL!$C$15, $E$9, 100%, $G$9) + CHOOSE(CONTROL!$C$38, 0.0278, 0)</f>
        <v>39.765099999999997</v>
      </c>
      <c r="G532" s="10">
        <f>36.7641 * CHOOSE(CONTROL!$C$15, $E$9, 100%, $G$9) + CHOOSE(CONTROL!$C$38, 0.0369, 0)</f>
        <v>36.801000000000002</v>
      </c>
      <c r="H532" s="10">
        <f>36.7641 * CHOOSE(CONTROL!$C$15, $E$9, 100%, $G$9) + CHOOSE(CONTROL!$C$38, 0.0369, 0)</f>
        <v>36.801000000000002</v>
      </c>
      <c r="I532" s="10">
        <f>36.7657 * CHOOSE(CONTROL!$C$15, $E$9, 100%, $G$9) + CHOOSE(CONTROL!$C$38, 0.0369, 0)</f>
        <v>36.802600000000005</v>
      </c>
      <c r="J532" s="26">
        <f>269.7272</f>
        <v>269.72719999999998</v>
      </c>
    </row>
    <row r="533" spans="1:10" ht="15.75" x14ac:dyDescent="0.25">
      <c r="A533" s="13">
        <v>57526</v>
      </c>
      <c r="B533" s="10">
        <f>39.5317 * CHOOSE(CONTROL!$C$15, $E$9, 100%, $G$9) + CHOOSE(CONTROL!$C$38, 0.0278, 0)</f>
        <v>39.5595</v>
      </c>
      <c r="C533" s="10">
        <f>36.4039 * CHOOSE(CONTROL!$C$15, $E$9, 100%, $G$9) + CHOOSE(CONTROL!$C$38, 0.0369, 0)</f>
        <v>36.440800000000003</v>
      </c>
      <c r="D533" s="10">
        <f>36.396 * CHOOSE(CONTROL!$C$15, $E$9, 100%, $G$9) + CHOOSE(CONTROL!$C$38, 0.0369, 0)</f>
        <v>36.432900000000004</v>
      </c>
      <c r="E533" s="28">
        <f>39.3754 * CHOOSE(CONTROL!$C$15, $E$9, 100%, $G$9) + CHOOSE(CONTROL!$C$38, 0.0369, 0)</f>
        <v>39.412300000000002</v>
      </c>
      <c r="F533" s="27">
        <f>39.3754 * CHOOSE(CONTROL!$C$15, $E$9, 100%, $G$9) + CHOOSE(CONTROL!$C$38, 0.0278, 0)</f>
        <v>39.403199999999998</v>
      </c>
      <c r="G533" s="10">
        <f>36.4023 * CHOOSE(CONTROL!$C$15, $E$9, 100%, $G$9) + CHOOSE(CONTROL!$C$38, 0.0369, 0)</f>
        <v>36.4392</v>
      </c>
      <c r="H533" s="10">
        <f>36.4023 * CHOOSE(CONTROL!$C$15, $E$9, 100%, $G$9) + CHOOSE(CONTROL!$C$38, 0.0369, 0)</f>
        <v>36.4392</v>
      </c>
      <c r="I533" s="10">
        <f>36.4039 * CHOOSE(CONTROL!$C$15, $E$9, 100%, $G$9) + CHOOSE(CONTROL!$C$38, 0.0369, 0)</f>
        <v>36.440800000000003</v>
      </c>
      <c r="J533" s="26">
        <f>273.6137</f>
        <v>273.61369999999999</v>
      </c>
    </row>
    <row r="534" spans="1:10" ht="15.75" x14ac:dyDescent="0.25">
      <c r="A534" s="13">
        <v>57557</v>
      </c>
      <c r="B534" s="10">
        <f>39.3252 * CHOOSE(CONTROL!$C$15, $E$9, 100%, $G$9) + CHOOSE(CONTROL!$C$38, 0.0278, 0)</f>
        <v>39.353000000000002</v>
      </c>
      <c r="C534" s="10">
        <f>36.1974 * CHOOSE(CONTROL!$C$15, $E$9, 100%, $G$9) + CHOOSE(CONTROL!$C$38, 0.0369, 0)</f>
        <v>36.234300000000005</v>
      </c>
      <c r="D534" s="10">
        <f>36.1896 * CHOOSE(CONTROL!$C$15, $E$9, 100%, $G$9) + CHOOSE(CONTROL!$C$38, 0.0369, 0)</f>
        <v>36.226500000000001</v>
      </c>
      <c r="E534" s="28">
        <f>39.169 * CHOOSE(CONTROL!$C$15, $E$9, 100%, $G$9) + CHOOSE(CONTROL!$C$38, 0.0369, 0)</f>
        <v>39.2059</v>
      </c>
      <c r="F534" s="27">
        <f>39.169 * CHOOSE(CONTROL!$C$15, $E$9, 100%, $G$9) + CHOOSE(CONTROL!$C$38, 0.0278, 0)</f>
        <v>39.196799999999996</v>
      </c>
      <c r="G534" s="10">
        <f>36.1958 * CHOOSE(CONTROL!$C$15, $E$9, 100%, $G$9) + CHOOSE(CONTROL!$C$38, 0.0369, 0)</f>
        <v>36.232700000000001</v>
      </c>
      <c r="H534" s="10">
        <f>36.1958 * CHOOSE(CONTROL!$C$15, $E$9, 100%, $G$9) + CHOOSE(CONTROL!$C$38, 0.0369, 0)</f>
        <v>36.232700000000001</v>
      </c>
      <c r="I534" s="10">
        <f>36.1974 * CHOOSE(CONTROL!$C$15, $E$9, 100%, $G$9) + CHOOSE(CONTROL!$C$38, 0.0369, 0)</f>
        <v>36.234300000000005</v>
      </c>
      <c r="J534" s="26">
        <f>272.3341</f>
        <v>272.33409999999998</v>
      </c>
    </row>
    <row r="535" spans="1:10" ht="15.75" x14ac:dyDescent="0.25">
      <c r="A535" s="13">
        <v>57588</v>
      </c>
      <c r="B535" s="10">
        <f>39.4271 * CHOOSE(CONTROL!$C$15, $E$9, 100%, $G$9) + CHOOSE(CONTROL!$C$38, 0.0278, 0)</f>
        <v>39.454900000000002</v>
      </c>
      <c r="C535" s="10">
        <f>36.2993 * CHOOSE(CONTROL!$C$15, $E$9, 100%, $G$9) + CHOOSE(CONTROL!$C$38, 0.0369, 0)</f>
        <v>36.336200000000005</v>
      </c>
      <c r="D535" s="10">
        <f>36.2915 * CHOOSE(CONTROL!$C$15, $E$9, 100%, $G$9) + CHOOSE(CONTROL!$C$38, 0.0369, 0)</f>
        <v>36.328400000000002</v>
      </c>
      <c r="E535" s="28">
        <f>39.2709 * CHOOSE(CONTROL!$C$15, $E$9, 100%, $G$9) + CHOOSE(CONTROL!$C$38, 0.0369, 0)</f>
        <v>39.3078</v>
      </c>
      <c r="F535" s="27">
        <f>39.2709 * CHOOSE(CONTROL!$C$15, $E$9, 100%, $G$9) + CHOOSE(CONTROL!$C$38, 0.0278, 0)</f>
        <v>39.298699999999997</v>
      </c>
      <c r="G535" s="10">
        <f>36.2977 * CHOOSE(CONTROL!$C$15, $E$9, 100%, $G$9) + CHOOSE(CONTROL!$C$38, 0.0369, 0)</f>
        <v>36.334600000000002</v>
      </c>
      <c r="H535" s="10">
        <f>36.2977 * CHOOSE(CONTROL!$C$15, $E$9, 100%, $G$9) + CHOOSE(CONTROL!$C$38, 0.0369, 0)</f>
        <v>36.334600000000002</v>
      </c>
      <c r="I535" s="10">
        <f>36.2993 * CHOOSE(CONTROL!$C$15, $E$9, 100%, $G$9) + CHOOSE(CONTROL!$C$38, 0.0369, 0)</f>
        <v>36.336200000000005</v>
      </c>
      <c r="J535" s="26">
        <f>265.9942</f>
        <v>265.99419999999998</v>
      </c>
    </row>
    <row r="536" spans="1:10" ht="15.75" x14ac:dyDescent="0.25">
      <c r="A536" s="13">
        <v>57618</v>
      </c>
      <c r="B536" s="10">
        <f>39.7039 * CHOOSE(CONTROL!$C$15, $E$9, 100%, $G$9) + CHOOSE(CONTROL!$C$38, 0.0278, 0)</f>
        <v>39.731699999999996</v>
      </c>
      <c r="C536" s="10">
        <f>36.5761 * CHOOSE(CONTROL!$C$15, $E$9, 100%, $G$9) + CHOOSE(CONTROL!$C$38, 0.0369, 0)</f>
        <v>36.613</v>
      </c>
      <c r="D536" s="10">
        <f>36.5683 * CHOOSE(CONTROL!$C$15, $E$9, 100%, $G$9) + CHOOSE(CONTROL!$C$38, 0.0369, 0)</f>
        <v>36.605200000000004</v>
      </c>
      <c r="E536" s="28">
        <f>39.5477 * CHOOSE(CONTROL!$C$15, $E$9, 100%, $G$9) + CHOOSE(CONTROL!$C$38, 0.0369, 0)</f>
        <v>39.584600000000002</v>
      </c>
      <c r="F536" s="27">
        <f>39.5477 * CHOOSE(CONTROL!$C$15, $E$9, 100%, $G$9) + CHOOSE(CONTROL!$C$38, 0.0278, 0)</f>
        <v>39.575499999999998</v>
      </c>
      <c r="G536" s="10">
        <f>36.5745 * CHOOSE(CONTROL!$C$15, $E$9, 100%, $G$9) + CHOOSE(CONTROL!$C$38, 0.0369, 0)</f>
        <v>36.611400000000003</v>
      </c>
      <c r="H536" s="10">
        <f>36.5745 * CHOOSE(CONTROL!$C$15, $E$9, 100%, $G$9) + CHOOSE(CONTROL!$C$38, 0.0369, 0)</f>
        <v>36.611400000000003</v>
      </c>
      <c r="I536" s="10">
        <f>36.5761 * CHOOSE(CONTROL!$C$15, $E$9, 100%, $G$9) + CHOOSE(CONTROL!$C$38, 0.0369, 0)</f>
        <v>36.613</v>
      </c>
      <c r="J536" s="26">
        <f>257.153</f>
        <v>257.15300000000002</v>
      </c>
    </row>
    <row r="537" spans="1:10" ht="15.75" x14ac:dyDescent="0.25">
      <c r="A537" s="13">
        <v>57649</v>
      </c>
      <c r="B537" s="10">
        <f>39.9357 * CHOOSE(CONTROL!$C$15, $E$9, 100%, $G$9) + CHOOSE(CONTROL!$C$38, 0.0256, 0)</f>
        <v>39.961299999999994</v>
      </c>
      <c r="C537" s="10">
        <f>36.8079 * CHOOSE(CONTROL!$C$15, $E$9, 100%, $G$9) + CHOOSE(CONTROL!$C$38, 0.0347, 0)</f>
        <v>36.842599999999997</v>
      </c>
      <c r="D537" s="10">
        <f>36.8001 * CHOOSE(CONTROL!$C$15, $E$9, 100%, $G$9) + CHOOSE(CONTROL!$C$38, 0.0347, 0)</f>
        <v>36.834800000000001</v>
      </c>
      <c r="E537" s="28">
        <f>39.7795 * CHOOSE(CONTROL!$C$15, $E$9, 100%, $G$9) + CHOOSE(CONTROL!$C$38, 0.0347, 0)</f>
        <v>39.8142</v>
      </c>
      <c r="F537" s="27">
        <f>39.7795 * CHOOSE(CONTROL!$C$15, $E$9, 100%, $G$9) + CHOOSE(CONTROL!$C$38, 0.0256, 0)</f>
        <v>39.805099999999996</v>
      </c>
      <c r="G537" s="10">
        <f>36.8063 * CHOOSE(CONTROL!$C$15, $E$9, 100%, $G$9) + CHOOSE(CONTROL!$C$38, 0.0347, 0)</f>
        <v>36.841000000000001</v>
      </c>
      <c r="H537" s="10">
        <f>36.8063 * CHOOSE(CONTROL!$C$15, $E$9, 100%, $G$9) + CHOOSE(CONTROL!$C$38, 0.0347, 0)</f>
        <v>36.841000000000001</v>
      </c>
      <c r="I537" s="10">
        <f>36.8079 * CHOOSE(CONTROL!$C$15, $E$9, 100%, $G$9) + CHOOSE(CONTROL!$C$38, 0.0347, 0)</f>
        <v>36.842599999999997</v>
      </c>
      <c r="J537" s="26">
        <f>248.2604</f>
        <v>248.2604</v>
      </c>
    </row>
    <row r="538" spans="1:10" ht="15.75" x14ac:dyDescent="0.25">
      <c r="A538" s="13">
        <v>57679</v>
      </c>
      <c r="B538" s="10">
        <f>40.1292 * CHOOSE(CONTROL!$C$15, $E$9, 100%, $G$9) + CHOOSE(CONTROL!$C$38, 0.0256, 0)</f>
        <v>40.154799999999994</v>
      </c>
      <c r="C538" s="10">
        <f>37.0013 * CHOOSE(CONTROL!$C$15, $E$9, 100%, $G$9) + CHOOSE(CONTROL!$C$38, 0.0347, 0)</f>
        <v>37.036000000000001</v>
      </c>
      <c r="D538" s="10">
        <f>36.9935 * CHOOSE(CONTROL!$C$15, $E$9, 100%, $G$9) + CHOOSE(CONTROL!$C$38, 0.0347, 0)</f>
        <v>37.028199999999998</v>
      </c>
      <c r="E538" s="28">
        <f>39.9729 * CHOOSE(CONTROL!$C$15, $E$9, 100%, $G$9) + CHOOSE(CONTROL!$C$38, 0.0347, 0)</f>
        <v>40.007600000000004</v>
      </c>
      <c r="F538" s="27">
        <f>39.9729 * CHOOSE(CONTROL!$C$15, $E$9, 100%, $G$9) + CHOOSE(CONTROL!$C$38, 0.0256, 0)</f>
        <v>39.9985</v>
      </c>
      <c r="G538" s="10">
        <f>36.9998 * CHOOSE(CONTROL!$C$15, $E$9, 100%, $G$9) + CHOOSE(CONTROL!$C$38, 0.0347, 0)</f>
        <v>37.034500000000001</v>
      </c>
      <c r="H538" s="10">
        <f>36.9998 * CHOOSE(CONTROL!$C$15, $E$9, 100%, $G$9) + CHOOSE(CONTROL!$C$38, 0.0347, 0)</f>
        <v>37.034500000000001</v>
      </c>
      <c r="I538" s="10">
        <f>37.0013 * CHOOSE(CONTROL!$C$15, $E$9, 100%, $G$9) + CHOOSE(CONTROL!$C$38, 0.0347, 0)</f>
        <v>37.036000000000001</v>
      </c>
      <c r="J538" s="26">
        <f>246.4915</f>
        <v>246.4915</v>
      </c>
    </row>
    <row r="539" spans="1:10" ht="15.75" x14ac:dyDescent="0.25">
      <c r="A539" s="13">
        <v>57710</v>
      </c>
      <c r="B539" s="10">
        <f>40.7252 * CHOOSE(CONTROL!$C$15, $E$9, 100%, $G$9) + CHOOSE(CONTROL!$C$38, 0.0256, 0)</f>
        <v>40.750799999999998</v>
      </c>
      <c r="C539" s="10">
        <f>37.5974 * CHOOSE(CONTROL!$C$15, $E$9, 100%, $G$9) + CHOOSE(CONTROL!$C$38, 0.0347, 0)</f>
        <v>37.632100000000001</v>
      </c>
      <c r="D539" s="10">
        <f>37.5896 * CHOOSE(CONTROL!$C$15, $E$9, 100%, $G$9) + CHOOSE(CONTROL!$C$38, 0.0347, 0)</f>
        <v>37.624299999999998</v>
      </c>
      <c r="E539" s="28">
        <f>40.569 * CHOOSE(CONTROL!$C$15, $E$9, 100%, $G$9) + CHOOSE(CONTROL!$C$38, 0.0347, 0)</f>
        <v>40.603700000000003</v>
      </c>
      <c r="F539" s="27">
        <f>40.569 * CHOOSE(CONTROL!$C$15, $E$9, 100%, $G$9) + CHOOSE(CONTROL!$C$38, 0.0256, 0)</f>
        <v>40.5946</v>
      </c>
      <c r="G539" s="10">
        <f>37.5958 * CHOOSE(CONTROL!$C$15, $E$9, 100%, $G$9) + CHOOSE(CONTROL!$C$38, 0.0347, 0)</f>
        <v>37.630499999999998</v>
      </c>
      <c r="H539" s="10">
        <f>37.5958 * CHOOSE(CONTROL!$C$15, $E$9, 100%, $G$9) + CHOOSE(CONTROL!$C$38, 0.0347, 0)</f>
        <v>37.630499999999998</v>
      </c>
      <c r="I539" s="10">
        <f>37.5974 * CHOOSE(CONTROL!$C$15, $E$9, 100%, $G$9) + CHOOSE(CONTROL!$C$38, 0.0347, 0)</f>
        <v>37.632100000000001</v>
      </c>
      <c r="J539" s="26">
        <f>239.1768</f>
        <v>239.17679999999999</v>
      </c>
    </row>
    <row r="540" spans="1:10" ht="15.75" x14ac:dyDescent="0.25">
      <c r="A540" s="13">
        <v>57741</v>
      </c>
      <c r="B540" s="10">
        <f>41.8947 * CHOOSE(CONTROL!$C$15, $E$9, 100%, $G$9) + CHOOSE(CONTROL!$C$38, 0.0256, 0)</f>
        <v>41.920299999999997</v>
      </c>
      <c r="C540" s="10">
        <f>38.7144 * CHOOSE(CONTROL!$C$15, $E$9, 100%, $G$9) + CHOOSE(CONTROL!$C$38, 0.0347, 0)</f>
        <v>38.749099999999999</v>
      </c>
      <c r="D540" s="10">
        <f>38.7066 * CHOOSE(CONTROL!$C$15, $E$9, 100%, $G$9) + CHOOSE(CONTROL!$C$38, 0.0347, 0)</f>
        <v>38.741300000000003</v>
      </c>
      <c r="E540" s="28">
        <f>41.7385 * CHOOSE(CONTROL!$C$15, $E$9, 100%, $G$9) + CHOOSE(CONTROL!$C$38, 0.0347, 0)</f>
        <v>41.773200000000003</v>
      </c>
      <c r="F540" s="27">
        <f>41.7385 * CHOOSE(CONTROL!$C$15, $E$9, 100%, $G$9) + CHOOSE(CONTROL!$C$38, 0.0256, 0)</f>
        <v>41.764099999999999</v>
      </c>
      <c r="G540" s="10">
        <f>38.7128 * CHOOSE(CONTROL!$C$15, $E$9, 100%, $G$9) + CHOOSE(CONTROL!$C$38, 0.0347, 0)</f>
        <v>38.747500000000002</v>
      </c>
      <c r="H540" s="10">
        <f>38.7128 * CHOOSE(CONTROL!$C$15, $E$9, 100%, $G$9) + CHOOSE(CONTROL!$C$38, 0.0347, 0)</f>
        <v>38.747500000000002</v>
      </c>
      <c r="I540" s="10">
        <f>38.7144 * CHOOSE(CONTROL!$C$15, $E$9, 100%, $G$9) + CHOOSE(CONTROL!$C$38, 0.0347, 0)</f>
        <v>38.749099999999999</v>
      </c>
      <c r="J540" s="26">
        <f>237.5747</f>
        <v>237.57470000000001</v>
      </c>
    </row>
    <row r="541" spans="1:10" ht="15.75" x14ac:dyDescent="0.25">
      <c r="A541" s="13">
        <v>57769</v>
      </c>
      <c r="B541" s="10">
        <f>42.1155 * CHOOSE(CONTROL!$C$15, $E$9, 100%, $G$9) + CHOOSE(CONTROL!$C$38, 0.0256, 0)</f>
        <v>42.141099999999994</v>
      </c>
      <c r="C541" s="10">
        <f>38.9352 * CHOOSE(CONTROL!$C$15, $E$9, 100%, $G$9) + CHOOSE(CONTROL!$C$38, 0.0347, 0)</f>
        <v>38.969900000000003</v>
      </c>
      <c r="D541" s="10">
        <f>38.9273 * CHOOSE(CONTROL!$C$15, $E$9, 100%, $G$9) + CHOOSE(CONTROL!$C$38, 0.0347, 0)</f>
        <v>38.962000000000003</v>
      </c>
      <c r="E541" s="28">
        <f>41.9593 * CHOOSE(CONTROL!$C$15, $E$9, 100%, $G$9) + CHOOSE(CONTROL!$C$38, 0.0347, 0)</f>
        <v>41.994</v>
      </c>
      <c r="F541" s="27">
        <f>41.9593 * CHOOSE(CONTROL!$C$15, $E$9, 100%, $G$9) + CHOOSE(CONTROL!$C$38, 0.0256, 0)</f>
        <v>41.984899999999996</v>
      </c>
      <c r="G541" s="10">
        <f>38.9336 * CHOOSE(CONTROL!$C$15, $E$9, 100%, $G$9) + CHOOSE(CONTROL!$C$38, 0.0347, 0)</f>
        <v>38.968299999999999</v>
      </c>
      <c r="H541" s="10">
        <f>38.9336 * CHOOSE(CONTROL!$C$15, $E$9, 100%, $G$9) + CHOOSE(CONTROL!$C$38, 0.0347, 0)</f>
        <v>38.968299999999999</v>
      </c>
      <c r="I541" s="10">
        <f>38.9352 * CHOOSE(CONTROL!$C$15, $E$9, 100%, $G$9) + CHOOSE(CONTROL!$C$38, 0.0347, 0)</f>
        <v>38.969900000000003</v>
      </c>
      <c r="J541" s="26">
        <f>236.9144</f>
        <v>236.9144</v>
      </c>
    </row>
    <row r="542" spans="1:10" ht="15.75" x14ac:dyDescent="0.25">
      <c r="A542" s="13">
        <v>57800</v>
      </c>
      <c r="B542" s="10">
        <f>41.6045 * CHOOSE(CONTROL!$C$15, $E$9, 100%, $G$9) + CHOOSE(CONTROL!$C$38, 0.0256, 0)</f>
        <v>41.630099999999999</v>
      </c>
      <c r="C542" s="10">
        <f>38.4241 * CHOOSE(CONTROL!$C$15, $E$9, 100%, $G$9) + CHOOSE(CONTROL!$C$38, 0.0347, 0)</f>
        <v>38.458800000000004</v>
      </c>
      <c r="D542" s="10">
        <f>38.4163 * CHOOSE(CONTROL!$C$15, $E$9, 100%, $G$9) + CHOOSE(CONTROL!$C$38, 0.0347, 0)</f>
        <v>38.451000000000001</v>
      </c>
      <c r="E542" s="28">
        <f>41.4482 * CHOOSE(CONTROL!$C$15, $E$9, 100%, $G$9) + CHOOSE(CONTROL!$C$38, 0.0347, 0)</f>
        <v>41.482900000000001</v>
      </c>
      <c r="F542" s="27">
        <f>41.4482 * CHOOSE(CONTROL!$C$15, $E$9, 100%, $G$9) + CHOOSE(CONTROL!$C$38, 0.0256, 0)</f>
        <v>41.473799999999997</v>
      </c>
      <c r="G542" s="10">
        <f>38.4226 * CHOOSE(CONTROL!$C$15, $E$9, 100%, $G$9) + CHOOSE(CONTROL!$C$38, 0.0347, 0)</f>
        <v>38.457300000000004</v>
      </c>
      <c r="H542" s="10">
        <f>38.4226 * CHOOSE(CONTROL!$C$15, $E$9, 100%, $G$9) + CHOOSE(CONTROL!$C$38, 0.0347, 0)</f>
        <v>38.457300000000004</v>
      </c>
      <c r="I542" s="10">
        <f>38.4241 * CHOOSE(CONTROL!$C$15, $E$9, 100%, $G$9) + CHOOSE(CONTROL!$C$38, 0.0347, 0)</f>
        <v>38.458800000000004</v>
      </c>
      <c r="J542" s="26">
        <f>249.4011</f>
        <v>249.40110000000001</v>
      </c>
    </row>
    <row r="543" spans="1:10" ht="15.75" x14ac:dyDescent="0.25">
      <c r="A543" s="13">
        <v>57830</v>
      </c>
      <c r="B543" s="10">
        <f>41.1093 * CHOOSE(CONTROL!$C$15, $E$9, 100%, $G$9) + CHOOSE(CONTROL!$C$38, 0.0256, 0)</f>
        <v>41.134899999999995</v>
      </c>
      <c r="C543" s="10">
        <f>37.9289 * CHOOSE(CONTROL!$C$15, $E$9, 100%, $G$9) + CHOOSE(CONTROL!$C$38, 0.0347, 0)</f>
        <v>37.9636</v>
      </c>
      <c r="D543" s="10">
        <f>37.9211 * CHOOSE(CONTROL!$C$15, $E$9, 100%, $G$9) + CHOOSE(CONTROL!$C$38, 0.0347, 0)</f>
        <v>37.955800000000004</v>
      </c>
      <c r="E543" s="28">
        <f>40.953 * CHOOSE(CONTROL!$C$15, $E$9, 100%, $G$9) + CHOOSE(CONTROL!$C$38, 0.0347, 0)</f>
        <v>40.987700000000004</v>
      </c>
      <c r="F543" s="27">
        <f>40.953 * CHOOSE(CONTROL!$C$15, $E$9, 100%, $G$9) + CHOOSE(CONTROL!$C$38, 0.0256, 0)</f>
        <v>40.9786</v>
      </c>
      <c r="G543" s="10">
        <f>37.9274 * CHOOSE(CONTROL!$C$15, $E$9, 100%, $G$9) + CHOOSE(CONTROL!$C$38, 0.0347, 0)</f>
        <v>37.9621</v>
      </c>
      <c r="H543" s="10">
        <f>37.9274 * CHOOSE(CONTROL!$C$15, $E$9, 100%, $G$9) + CHOOSE(CONTROL!$C$38, 0.0347, 0)</f>
        <v>37.9621</v>
      </c>
      <c r="I543" s="10">
        <f>37.9289 * CHOOSE(CONTROL!$C$15, $E$9, 100%, $G$9) + CHOOSE(CONTROL!$C$38, 0.0347, 0)</f>
        <v>37.9636</v>
      </c>
      <c r="J543" s="26">
        <f>265.5935</f>
        <v>265.59350000000001</v>
      </c>
    </row>
    <row r="544" spans="1:10" ht="15.75" x14ac:dyDescent="0.25">
      <c r="A544" s="13">
        <v>57861</v>
      </c>
      <c r="B544" s="10">
        <f>40.5932 * CHOOSE(CONTROL!$C$15, $E$9, 100%, $G$9) + CHOOSE(CONTROL!$C$38, 0.0278, 0)</f>
        <v>40.621000000000002</v>
      </c>
      <c r="C544" s="10">
        <f>37.4128 * CHOOSE(CONTROL!$C$15, $E$9, 100%, $G$9) + CHOOSE(CONTROL!$C$38, 0.0369, 0)</f>
        <v>37.4497</v>
      </c>
      <c r="D544" s="10">
        <f>37.405 * CHOOSE(CONTROL!$C$15, $E$9, 100%, $G$9) + CHOOSE(CONTROL!$C$38, 0.0369, 0)</f>
        <v>37.441900000000004</v>
      </c>
      <c r="E544" s="28">
        <f>40.4369 * CHOOSE(CONTROL!$C$15, $E$9, 100%, $G$9) + CHOOSE(CONTROL!$C$38, 0.0369, 0)</f>
        <v>40.473800000000004</v>
      </c>
      <c r="F544" s="27">
        <f>40.4369 * CHOOSE(CONTROL!$C$15, $E$9, 100%, $G$9) + CHOOSE(CONTROL!$C$38, 0.0278, 0)</f>
        <v>40.464700000000001</v>
      </c>
      <c r="G544" s="10">
        <f>37.4113 * CHOOSE(CONTROL!$C$15, $E$9, 100%, $G$9) + CHOOSE(CONTROL!$C$38, 0.0369, 0)</f>
        <v>37.4482</v>
      </c>
      <c r="H544" s="10">
        <f>37.4113 * CHOOSE(CONTROL!$C$15, $E$9, 100%, $G$9) + CHOOSE(CONTROL!$C$38, 0.0369, 0)</f>
        <v>37.4482</v>
      </c>
      <c r="I544" s="10">
        <f>37.4128 * CHOOSE(CONTROL!$C$15, $E$9, 100%, $G$9) + CHOOSE(CONTROL!$C$38, 0.0369, 0)</f>
        <v>37.4497</v>
      </c>
      <c r="J544" s="26">
        <f>274.5062</f>
        <v>274.50619999999998</v>
      </c>
    </row>
    <row r="545" spans="1:10" ht="15.75" x14ac:dyDescent="0.25">
      <c r="A545" s="13">
        <v>57891</v>
      </c>
      <c r="B545" s="10">
        <f>40.2313 * CHOOSE(CONTROL!$C$15, $E$9, 100%, $G$9) + CHOOSE(CONTROL!$C$38, 0.0278, 0)</f>
        <v>40.259099999999997</v>
      </c>
      <c r="C545" s="10">
        <f>37.051 * CHOOSE(CONTROL!$C$15, $E$9, 100%, $G$9) + CHOOSE(CONTROL!$C$38, 0.0369, 0)</f>
        <v>37.087900000000005</v>
      </c>
      <c r="D545" s="10">
        <f>37.0432 * CHOOSE(CONTROL!$C$15, $E$9, 100%, $G$9) + CHOOSE(CONTROL!$C$38, 0.0369, 0)</f>
        <v>37.080100000000002</v>
      </c>
      <c r="E545" s="28">
        <f>40.0751 * CHOOSE(CONTROL!$C$15, $E$9, 100%, $G$9) + CHOOSE(CONTROL!$C$38, 0.0369, 0)</f>
        <v>40.112000000000002</v>
      </c>
      <c r="F545" s="27">
        <f>40.0751 * CHOOSE(CONTROL!$C$15, $E$9, 100%, $G$9) + CHOOSE(CONTROL!$C$38, 0.0278, 0)</f>
        <v>40.102899999999998</v>
      </c>
      <c r="G545" s="10">
        <f>37.0494 * CHOOSE(CONTROL!$C$15, $E$9, 100%, $G$9) + CHOOSE(CONTROL!$C$38, 0.0369, 0)</f>
        <v>37.086300000000001</v>
      </c>
      <c r="H545" s="10">
        <f>37.0494 * CHOOSE(CONTROL!$C$15, $E$9, 100%, $G$9) + CHOOSE(CONTROL!$C$38, 0.0369, 0)</f>
        <v>37.086300000000001</v>
      </c>
      <c r="I545" s="10">
        <f>37.051 * CHOOSE(CONTROL!$C$15, $E$9, 100%, $G$9) + CHOOSE(CONTROL!$C$38, 0.0369, 0)</f>
        <v>37.087900000000005</v>
      </c>
      <c r="J545" s="26">
        <f>278.4616</f>
        <v>278.46159999999998</v>
      </c>
    </row>
    <row r="546" spans="1:10" ht="15.75" x14ac:dyDescent="0.25">
      <c r="A546" s="13">
        <v>57922</v>
      </c>
      <c r="B546" s="10">
        <f>40.0249 * CHOOSE(CONTROL!$C$15, $E$9, 100%, $G$9) + CHOOSE(CONTROL!$C$38, 0.0278, 0)</f>
        <v>40.052700000000002</v>
      </c>
      <c r="C546" s="10">
        <f>36.8445 * CHOOSE(CONTROL!$C$15, $E$9, 100%, $G$9) + CHOOSE(CONTROL!$C$38, 0.0369, 0)</f>
        <v>36.881399999999999</v>
      </c>
      <c r="D546" s="10">
        <f>36.8367 * CHOOSE(CONTROL!$C$15, $E$9, 100%, $G$9) + CHOOSE(CONTROL!$C$38, 0.0369, 0)</f>
        <v>36.873600000000003</v>
      </c>
      <c r="E546" s="28">
        <f>39.8686 * CHOOSE(CONTROL!$C$15, $E$9, 100%, $G$9) + CHOOSE(CONTROL!$C$38, 0.0369, 0)</f>
        <v>39.905500000000004</v>
      </c>
      <c r="F546" s="27">
        <f>39.8686 * CHOOSE(CONTROL!$C$15, $E$9, 100%, $G$9) + CHOOSE(CONTROL!$C$38, 0.0278, 0)</f>
        <v>39.8964</v>
      </c>
      <c r="G546" s="10">
        <f>36.843 * CHOOSE(CONTROL!$C$15, $E$9, 100%, $G$9) + CHOOSE(CONTROL!$C$38, 0.0369, 0)</f>
        <v>36.879900000000006</v>
      </c>
      <c r="H546" s="10">
        <f>36.843 * CHOOSE(CONTROL!$C$15, $E$9, 100%, $G$9) + CHOOSE(CONTROL!$C$38, 0.0369, 0)</f>
        <v>36.879900000000006</v>
      </c>
      <c r="I546" s="10">
        <f>36.8445 * CHOOSE(CONTROL!$C$15, $E$9, 100%, $G$9) + CHOOSE(CONTROL!$C$38, 0.0369, 0)</f>
        <v>36.881399999999999</v>
      </c>
      <c r="J546" s="26">
        <f>277.1593</f>
        <v>277.15929999999997</v>
      </c>
    </row>
    <row r="547" spans="1:10" ht="15.75" x14ac:dyDescent="0.25">
      <c r="A547" s="13">
        <v>57953</v>
      </c>
      <c r="B547" s="10">
        <f>40.1268 * CHOOSE(CONTROL!$C$15, $E$9, 100%, $G$9) + CHOOSE(CONTROL!$C$38, 0.0278, 0)</f>
        <v>40.154600000000002</v>
      </c>
      <c r="C547" s="10">
        <f>36.9464 * CHOOSE(CONTROL!$C$15, $E$9, 100%, $G$9) + CHOOSE(CONTROL!$C$38, 0.0369, 0)</f>
        <v>36.9833</v>
      </c>
      <c r="D547" s="10">
        <f>36.9386 * CHOOSE(CONTROL!$C$15, $E$9, 100%, $G$9) + CHOOSE(CONTROL!$C$38, 0.0369, 0)</f>
        <v>36.975500000000004</v>
      </c>
      <c r="E547" s="28">
        <f>39.9705 * CHOOSE(CONTROL!$C$15, $E$9, 100%, $G$9) + CHOOSE(CONTROL!$C$38, 0.0369, 0)</f>
        <v>40.007400000000004</v>
      </c>
      <c r="F547" s="27">
        <f>39.9705 * CHOOSE(CONTROL!$C$15, $E$9, 100%, $G$9) + CHOOSE(CONTROL!$C$38, 0.0278, 0)</f>
        <v>39.9983</v>
      </c>
      <c r="G547" s="10">
        <f>36.9449 * CHOOSE(CONTROL!$C$15, $E$9, 100%, $G$9) + CHOOSE(CONTROL!$C$38, 0.0369, 0)</f>
        <v>36.9818</v>
      </c>
      <c r="H547" s="10">
        <f>36.9449 * CHOOSE(CONTROL!$C$15, $E$9, 100%, $G$9) + CHOOSE(CONTROL!$C$38, 0.0369, 0)</f>
        <v>36.9818</v>
      </c>
      <c r="I547" s="10">
        <f>36.9464 * CHOOSE(CONTROL!$C$15, $E$9, 100%, $G$9) + CHOOSE(CONTROL!$C$38, 0.0369, 0)</f>
        <v>36.9833</v>
      </c>
      <c r="J547" s="26">
        <f>270.7071</f>
        <v>270.70710000000003</v>
      </c>
    </row>
    <row r="548" spans="1:10" ht="15.75" x14ac:dyDescent="0.25">
      <c r="A548" s="13">
        <v>57983</v>
      </c>
      <c r="B548" s="10">
        <f>40.4036 * CHOOSE(CONTROL!$C$15, $E$9, 100%, $G$9) + CHOOSE(CONTROL!$C$38, 0.0278, 0)</f>
        <v>40.431399999999996</v>
      </c>
      <c r="C548" s="10">
        <f>37.2232 * CHOOSE(CONTROL!$C$15, $E$9, 100%, $G$9) + CHOOSE(CONTROL!$C$38, 0.0369, 0)</f>
        <v>37.260100000000001</v>
      </c>
      <c r="D548" s="10">
        <f>37.2154 * CHOOSE(CONTROL!$C$15, $E$9, 100%, $G$9) + CHOOSE(CONTROL!$C$38, 0.0369, 0)</f>
        <v>37.252300000000005</v>
      </c>
      <c r="E548" s="28">
        <f>40.2473 * CHOOSE(CONTROL!$C$15, $E$9, 100%, $G$9) + CHOOSE(CONTROL!$C$38, 0.0369, 0)</f>
        <v>40.284200000000006</v>
      </c>
      <c r="F548" s="27">
        <f>40.2473 * CHOOSE(CONTROL!$C$15, $E$9, 100%, $G$9) + CHOOSE(CONTROL!$C$38, 0.0278, 0)</f>
        <v>40.275100000000002</v>
      </c>
      <c r="G548" s="10">
        <f>37.2217 * CHOOSE(CONTROL!$C$15, $E$9, 100%, $G$9) + CHOOSE(CONTROL!$C$38, 0.0369, 0)</f>
        <v>37.258600000000001</v>
      </c>
      <c r="H548" s="10">
        <f>37.2217 * CHOOSE(CONTROL!$C$15, $E$9, 100%, $G$9) + CHOOSE(CONTROL!$C$38, 0.0369, 0)</f>
        <v>37.258600000000001</v>
      </c>
      <c r="I548" s="10">
        <f>37.2232 * CHOOSE(CONTROL!$C$15, $E$9, 100%, $G$9) + CHOOSE(CONTROL!$C$38, 0.0369, 0)</f>
        <v>37.260100000000001</v>
      </c>
      <c r="J548" s="26">
        <f>261.7093</f>
        <v>261.70929999999998</v>
      </c>
    </row>
    <row r="549" spans="1:10" ht="15.75" x14ac:dyDescent="0.25">
      <c r="A549" s="13">
        <v>58014</v>
      </c>
      <c r="B549" s="10">
        <f>40.6354 * CHOOSE(CONTROL!$C$15, $E$9, 100%, $G$9) + CHOOSE(CONTROL!$C$38, 0.0256, 0)</f>
        <v>40.660999999999994</v>
      </c>
      <c r="C549" s="10">
        <f>37.455 * CHOOSE(CONTROL!$C$15, $E$9, 100%, $G$9) + CHOOSE(CONTROL!$C$38, 0.0347, 0)</f>
        <v>37.489699999999999</v>
      </c>
      <c r="D549" s="10">
        <f>37.4472 * CHOOSE(CONTROL!$C$15, $E$9, 100%, $G$9) + CHOOSE(CONTROL!$C$38, 0.0347, 0)</f>
        <v>37.481900000000003</v>
      </c>
      <c r="E549" s="28">
        <f>40.4791 * CHOOSE(CONTROL!$C$15, $E$9, 100%, $G$9) + CHOOSE(CONTROL!$C$38, 0.0347, 0)</f>
        <v>40.513800000000003</v>
      </c>
      <c r="F549" s="27">
        <f>40.4791 * CHOOSE(CONTROL!$C$15, $E$9, 100%, $G$9) + CHOOSE(CONTROL!$C$38, 0.0256, 0)</f>
        <v>40.5047</v>
      </c>
      <c r="G549" s="10">
        <f>37.4535 * CHOOSE(CONTROL!$C$15, $E$9, 100%, $G$9) + CHOOSE(CONTROL!$C$38, 0.0347, 0)</f>
        <v>37.488199999999999</v>
      </c>
      <c r="H549" s="10">
        <f>37.4535 * CHOOSE(CONTROL!$C$15, $E$9, 100%, $G$9) + CHOOSE(CONTROL!$C$38, 0.0347, 0)</f>
        <v>37.488199999999999</v>
      </c>
      <c r="I549" s="10">
        <f>37.455 * CHOOSE(CONTROL!$C$15, $E$9, 100%, $G$9) + CHOOSE(CONTROL!$C$38, 0.0347, 0)</f>
        <v>37.489699999999999</v>
      </c>
      <c r="J549" s="26">
        <f>252.6591</f>
        <v>252.6591</v>
      </c>
    </row>
    <row r="550" spans="1:10" ht="15.75" x14ac:dyDescent="0.25">
      <c r="A550" s="13">
        <v>58044</v>
      </c>
      <c r="B550" s="10">
        <f>40.8288 * CHOOSE(CONTROL!$C$15, $E$9, 100%, $G$9) + CHOOSE(CONTROL!$C$38, 0.0256, 0)</f>
        <v>40.854399999999998</v>
      </c>
      <c r="C550" s="10">
        <f>37.6485 * CHOOSE(CONTROL!$C$15, $E$9, 100%, $G$9) + CHOOSE(CONTROL!$C$38, 0.0347, 0)</f>
        <v>37.683199999999999</v>
      </c>
      <c r="D550" s="10">
        <f>37.6407 * CHOOSE(CONTROL!$C$15, $E$9, 100%, $G$9) + CHOOSE(CONTROL!$C$38, 0.0347, 0)</f>
        <v>37.675400000000003</v>
      </c>
      <c r="E550" s="28">
        <f>40.6726 * CHOOSE(CONTROL!$C$15, $E$9, 100%, $G$9) + CHOOSE(CONTROL!$C$38, 0.0347, 0)</f>
        <v>40.707300000000004</v>
      </c>
      <c r="F550" s="27">
        <f>40.6726 * CHOOSE(CONTROL!$C$15, $E$9, 100%, $G$9) + CHOOSE(CONTROL!$C$38, 0.0256, 0)</f>
        <v>40.6982</v>
      </c>
      <c r="G550" s="10">
        <f>37.6469 * CHOOSE(CONTROL!$C$15, $E$9, 100%, $G$9) + CHOOSE(CONTROL!$C$38, 0.0347, 0)</f>
        <v>37.681600000000003</v>
      </c>
      <c r="H550" s="10">
        <f>37.6469 * CHOOSE(CONTROL!$C$15, $E$9, 100%, $G$9) + CHOOSE(CONTROL!$C$38, 0.0347, 0)</f>
        <v>37.681600000000003</v>
      </c>
      <c r="I550" s="10">
        <f>37.6485 * CHOOSE(CONTROL!$C$15, $E$9, 100%, $G$9) + CHOOSE(CONTROL!$C$38, 0.0347, 0)</f>
        <v>37.683199999999999</v>
      </c>
      <c r="J550" s="26">
        <f>250.8589</f>
        <v>250.85890000000001</v>
      </c>
    </row>
    <row r="551" spans="1:10" ht="15.75" x14ac:dyDescent="0.25">
      <c r="A551" s="13">
        <v>58075</v>
      </c>
      <c r="B551" s="10">
        <f>41.4249 * CHOOSE(CONTROL!$C$15, $E$9, 100%, $G$9) + CHOOSE(CONTROL!$C$38, 0.0256, 0)</f>
        <v>41.450499999999998</v>
      </c>
      <c r="C551" s="10">
        <f>38.2446 * CHOOSE(CONTROL!$C$15, $E$9, 100%, $G$9) + CHOOSE(CONTROL!$C$38, 0.0347, 0)</f>
        <v>38.279299999999999</v>
      </c>
      <c r="D551" s="10">
        <f>38.2367 * CHOOSE(CONTROL!$C$15, $E$9, 100%, $G$9) + CHOOSE(CONTROL!$C$38, 0.0347, 0)</f>
        <v>38.2714</v>
      </c>
      <c r="E551" s="28">
        <f>41.2686 * CHOOSE(CONTROL!$C$15, $E$9, 100%, $G$9) + CHOOSE(CONTROL!$C$38, 0.0347, 0)</f>
        <v>41.3033</v>
      </c>
      <c r="F551" s="27">
        <f>41.2686 * CHOOSE(CONTROL!$C$15, $E$9, 100%, $G$9) + CHOOSE(CONTROL!$C$38, 0.0256, 0)</f>
        <v>41.294199999999996</v>
      </c>
      <c r="G551" s="10">
        <f>38.243 * CHOOSE(CONTROL!$C$15, $E$9, 100%, $G$9) + CHOOSE(CONTROL!$C$38, 0.0347, 0)</f>
        <v>38.277700000000003</v>
      </c>
      <c r="H551" s="10">
        <f>38.243 * CHOOSE(CONTROL!$C$15, $E$9, 100%, $G$9) + CHOOSE(CONTROL!$C$38, 0.0347, 0)</f>
        <v>38.277700000000003</v>
      </c>
      <c r="I551" s="10">
        <f>38.2446 * CHOOSE(CONTROL!$C$15, $E$9, 100%, $G$9) + CHOOSE(CONTROL!$C$38, 0.0347, 0)</f>
        <v>38.279299999999999</v>
      </c>
      <c r="J551" s="26">
        <f>243.4146</f>
        <v>243.41460000000001</v>
      </c>
    </row>
    <row r="552" spans="1:10" ht="15.75" x14ac:dyDescent="0.25">
      <c r="A552" s="13">
        <v>58106</v>
      </c>
      <c r="B552" s="10">
        <f>42.6068 * CHOOSE(CONTROL!$C$15, $E$9, 100%, $G$9) + CHOOSE(CONTROL!$C$38, 0.0256, 0)</f>
        <v>42.632399999999997</v>
      </c>
      <c r="C552" s="10">
        <f>39.373 * CHOOSE(CONTROL!$C$15, $E$9, 100%, $G$9) + CHOOSE(CONTROL!$C$38, 0.0347, 0)</f>
        <v>39.407699999999998</v>
      </c>
      <c r="D552" s="10">
        <f>39.3652 * CHOOSE(CONTROL!$C$15, $E$9, 100%, $G$9) + CHOOSE(CONTROL!$C$38, 0.0347, 0)</f>
        <v>39.399900000000002</v>
      </c>
      <c r="E552" s="28">
        <f>42.4505 * CHOOSE(CONTROL!$C$15, $E$9, 100%, $G$9) + CHOOSE(CONTROL!$C$38, 0.0347, 0)</f>
        <v>42.485199999999999</v>
      </c>
      <c r="F552" s="27">
        <f>42.4505 * CHOOSE(CONTROL!$C$15, $E$9, 100%, $G$9) + CHOOSE(CONTROL!$C$38, 0.0256, 0)</f>
        <v>42.476099999999995</v>
      </c>
      <c r="G552" s="10">
        <f>39.3714 * CHOOSE(CONTROL!$C$15, $E$9, 100%, $G$9) + CHOOSE(CONTROL!$C$38, 0.0347, 0)</f>
        <v>39.406100000000002</v>
      </c>
      <c r="H552" s="10">
        <f>39.3714 * CHOOSE(CONTROL!$C$15, $E$9, 100%, $G$9) + CHOOSE(CONTROL!$C$38, 0.0347, 0)</f>
        <v>39.406100000000002</v>
      </c>
      <c r="I552" s="10">
        <f>39.373 * CHOOSE(CONTROL!$C$15, $E$9, 100%, $G$9) + CHOOSE(CONTROL!$C$38, 0.0347, 0)</f>
        <v>39.407699999999998</v>
      </c>
      <c r="J552" s="26">
        <f>241.7841</f>
        <v>241.7841</v>
      </c>
    </row>
    <row r="553" spans="1:10" ht="15.75" x14ac:dyDescent="0.25">
      <c r="A553" s="13">
        <v>58134</v>
      </c>
      <c r="B553" s="10">
        <f>42.8275 * CHOOSE(CONTROL!$C$15, $E$9, 100%, $G$9) + CHOOSE(CONTROL!$C$38, 0.0256, 0)</f>
        <v>42.853099999999998</v>
      </c>
      <c r="C553" s="10">
        <f>39.5937 * CHOOSE(CONTROL!$C$15, $E$9, 100%, $G$9) + CHOOSE(CONTROL!$C$38, 0.0347, 0)</f>
        <v>39.628399999999999</v>
      </c>
      <c r="D553" s="10">
        <f>39.5859 * CHOOSE(CONTROL!$C$15, $E$9, 100%, $G$9) + CHOOSE(CONTROL!$C$38, 0.0347, 0)</f>
        <v>39.620600000000003</v>
      </c>
      <c r="E553" s="28">
        <f>42.6713 * CHOOSE(CONTROL!$C$15, $E$9, 100%, $G$9) + CHOOSE(CONTROL!$C$38, 0.0347, 0)</f>
        <v>42.706000000000003</v>
      </c>
      <c r="F553" s="27">
        <f>42.6713 * CHOOSE(CONTROL!$C$15, $E$9, 100%, $G$9) + CHOOSE(CONTROL!$C$38, 0.0256, 0)</f>
        <v>42.696899999999999</v>
      </c>
      <c r="G553" s="10">
        <f>39.5922 * CHOOSE(CONTROL!$C$15, $E$9, 100%, $G$9) + CHOOSE(CONTROL!$C$38, 0.0347, 0)</f>
        <v>39.626899999999999</v>
      </c>
      <c r="H553" s="10">
        <f>39.5922 * CHOOSE(CONTROL!$C$15, $E$9, 100%, $G$9) + CHOOSE(CONTROL!$C$38, 0.0347, 0)</f>
        <v>39.626899999999999</v>
      </c>
      <c r="I553" s="10">
        <f>39.5937 * CHOOSE(CONTROL!$C$15, $E$9, 100%, $G$9) + CHOOSE(CONTROL!$C$38, 0.0347, 0)</f>
        <v>39.628399999999999</v>
      </c>
      <c r="J553" s="26">
        <f>241.112</f>
        <v>241.11199999999999</v>
      </c>
    </row>
    <row r="554" spans="1:10" ht="15.75" x14ac:dyDescent="0.25">
      <c r="A554" s="13">
        <v>58165</v>
      </c>
      <c r="B554" s="10">
        <f>42.3165 * CHOOSE(CONTROL!$C$15, $E$9, 100%, $G$9) + CHOOSE(CONTROL!$C$38, 0.0256, 0)</f>
        <v>42.342099999999995</v>
      </c>
      <c r="C554" s="10">
        <f>39.0827 * CHOOSE(CONTROL!$C$15, $E$9, 100%, $G$9) + CHOOSE(CONTROL!$C$38, 0.0347, 0)</f>
        <v>39.117400000000004</v>
      </c>
      <c r="D554" s="10">
        <f>39.0749 * CHOOSE(CONTROL!$C$15, $E$9, 100%, $G$9) + CHOOSE(CONTROL!$C$38, 0.0347, 0)</f>
        <v>39.1096</v>
      </c>
      <c r="E554" s="28">
        <f>42.1602 * CHOOSE(CONTROL!$C$15, $E$9, 100%, $G$9) + CHOOSE(CONTROL!$C$38, 0.0347, 0)</f>
        <v>42.194900000000004</v>
      </c>
      <c r="F554" s="27">
        <f>42.1602 * CHOOSE(CONTROL!$C$15, $E$9, 100%, $G$9) + CHOOSE(CONTROL!$C$38, 0.0256, 0)</f>
        <v>42.1858</v>
      </c>
      <c r="G554" s="10">
        <f>39.0811 * CHOOSE(CONTROL!$C$15, $E$9, 100%, $G$9) + CHOOSE(CONTROL!$C$38, 0.0347, 0)</f>
        <v>39.1158</v>
      </c>
      <c r="H554" s="10">
        <f>39.0811 * CHOOSE(CONTROL!$C$15, $E$9, 100%, $G$9) + CHOOSE(CONTROL!$C$38, 0.0347, 0)</f>
        <v>39.1158</v>
      </c>
      <c r="I554" s="10">
        <f>39.0827 * CHOOSE(CONTROL!$C$15, $E$9, 100%, $G$9) + CHOOSE(CONTROL!$C$38, 0.0347, 0)</f>
        <v>39.117400000000004</v>
      </c>
      <c r="J554" s="26">
        <f>253.82</f>
        <v>253.82</v>
      </c>
    </row>
    <row r="555" spans="1:10" ht="15.75" x14ac:dyDescent="0.25">
      <c r="A555" s="13">
        <v>58195</v>
      </c>
      <c r="B555" s="10">
        <f>41.8213 * CHOOSE(CONTROL!$C$15, $E$9, 100%, $G$9) + CHOOSE(CONTROL!$C$38, 0.0256, 0)</f>
        <v>41.846899999999998</v>
      </c>
      <c r="C555" s="10">
        <f>38.5875 * CHOOSE(CONTROL!$C$15, $E$9, 100%, $G$9) + CHOOSE(CONTROL!$C$38, 0.0347, 0)</f>
        <v>38.622199999999999</v>
      </c>
      <c r="D555" s="10">
        <f>38.5797 * CHOOSE(CONTROL!$C$15, $E$9, 100%, $G$9) + CHOOSE(CONTROL!$C$38, 0.0347, 0)</f>
        <v>38.614400000000003</v>
      </c>
      <c r="E555" s="28">
        <f>41.6651 * CHOOSE(CONTROL!$C$15, $E$9, 100%, $G$9) + CHOOSE(CONTROL!$C$38, 0.0347, 0)</f>
        <v>41.699800000000003</v>
      </c>
      <c r="F555" s="27">
        <f>41.6651 * CHOOSE(CONTROL!$C$15, $E$9, 100%, $G$9) + CHOOSE(CONTROL!$C$38, 0.0256, 0)</f>
        <v>41.6907</v>
      </c>
      <c r="G555" s="10">
        <f>38.586 * CHOOSE(CONTROL!$C$15, $E$9, 100%, $G$9) + CHOOSE(CONTROL!$C$38, 0.0347, 0)</f>
        <v>38.620699999999999</v>
      </c>
      <c r="H555" s="10">
        <f>38.586 * CHOOSE(CONTROL!$C$15, $E$9, 100%, $G$9) + CHOOSE(CONTROL!$C$38, 0.0347, 0)</f>
        <v>38.620699999999999</v>
      </c>
      <c r="I555" s="10">
        <f>38.5875 * CHOOSE(CONTROL!$C$15, $E$9, 100%, $G$9) + CHOOSE(CONTROL!$C$38, 0.0347, 0)</f>
        <v>38.622199999999999</v>
      </c>
      <c r="J555" s="26">
        <f>270.2993</f>
        <v>270.29930000000002</v>
      </c>
    </row>
    <row r="556" spans="1:10" ht="15.75" x14ac:dyDescent="0.25">
      <c r="A556" s="13">
        <v>58226</v>
      </c>
      <c r="B556" s="10">
        <f>41.3052 * CHOOSE(CONTROL!$C$15, $E$9, 100%, $G$9) + CHOOSE(CONTROL!$C$38, 0.0278, 0)</f>
        <v>41.332999999999998</v>
      </c>
      <c r="C556" s="10">
        <f>38.0714 * CHOOSE(CONTROL!$C$15, $E$9, 100%, $G$9) + CHOOSE(CONTROL!$C$38, 0.0369, 0)</f>
        <v>38.1083</v>
      </c>
      <c r="D556" s="10">
        <f>38.0636 * CHOOSE(CONTROL!$C$15, $E$9, 100%, $G$9) + CHOOSE(CONTROL!$C$38, 0.0369, 0)</f>
        <v>38.100500000000004</v>
      </c>
      <c r="E556" s="28">
        <f>41.1489 * CHOOSE(CONTROL!$C$15, $E$9, 100%, $G$9) + CHOOSE(CONTROL!$C$38, 0.0369, 0)</f>
        <v>41.1858</v>
      </c>
      <c r="F556" s="27">
        <f>41.1489 * CHOOSE(CONTROL!$C$15, $E$9, 100%, $G$9) + CHOOSE(CONTROL!$C$38, 0.0278, 0)</f>
        <v>41.176699999999997</v>
      </c>
      <c r="G556" s="10">
        <f>38.0699 * CHOOSE(CONTROL!$C$15, $E$9, 100%, $G$9) + CHOOSE(CONTROL!$C$38, 0.0369, 0)</f>
        <v>38.1068</v>
      </c>
      <c r="H556" s="10">
        <f>38.0699 * CHOOSE(CONTROL!$C$15, $E$9, 100%, $G$9) + CHOOSE(CONTROL!$C$38, 0.0369, 0)</f>
        <v>38.1068</v>
      </c>
      <c r="I556" s="10">
        <f>38.0714 * CHOOSE(CONTROL!$C$15, $E$9, 100%, $G$9) + CHOOSE(CONTROL!$C$38, 0.0369, 0)</f>
        <v>38.1083</v>
      </c>
      <c r="J556" s="26">
        <f>279.37</f>
        <v>279.37</v>
      </c>
    </row>
    <row r="557" spans="1:10" ht="15.75" x14ac:dyDescent="0.25">
      <c r="A557" s="13">
        <v>58256</v>
      </c>
      <c r="B557" s="10">
        <f>40.9434 * CHOOSE(CONTROL!$C$15, $E$9, 100%, $G$9) + CHOOSE(CONTROL!$C$38, 0.0278, 0)</f>
        <v>40.971199999999996</v>
      </c>
      <c r="C557" s="10">
        <f>37.7096 * CHOOSE(CONTROL!$C$15, $E$9, 100%, $G$9) + CHOOSE(CONTROL!$C$38, 0.0369, 0)</f>
        <v>37.746500000000005</v>
      </c>
      <c r="D557" s="10">
        <f>37.7018 * CHOOSE(CONTROL!$C$15, $E$9, 100%, $G$9) + CHOOSE(CONTROL!$C$38, 0.0369, 0)</f>
        <v>37.738700000000001</v>
      </c>
      <c r="E557" s="28">
        <f>40.7871 * CHOOSE(CONTROL!$C$15, $E$9, 100%, $G$9) + CHOOSE(CONTROL!$C$38, 0.0369, 0)</f>
        <v>40.824000000000005</v>
      </c>
      <c r="F557" s="27">
        <f>40.7871 * CHOOSE(CONTROL!$C$15, $E$9, 100%, $G$9) + CHOOSE(CONTROL!$C$38, 0.0278, 0)</f>
        <v>40.814900000000002</v>
      </c>
      <c r="G557" s="10">
        <f>37.708 * CHOOSE(CONTROL!$C$15, $E$9, 100%, $G$9) + CHOOSE(CONTROL!$C$38, 0.0369, 0)</f>
        <v>37.744900000000001</v>
      </c>
      <c r="H557" s="10">
        <f>37.708 * CHOOSE(CONTROL!$C$15, $E$9, 100%, $G$9) + CHOOSE(CONTROL!$C$38, 0.0369, 0)</f>
        <v>37.744900000000001</v>
      </c>
      <c r="I557" s="10">
        <f>37.7096 * CHOOSE(CONTROL!$C$15, $E$9, 100%, $G$9) + CHOOSE(CONTROL!$C$38, 0.0369, 0)</f>
        <v>37.746500000000005</v>
      </c>
      <c r="J557" s="26">
        <f>283.3954</f>
        <v>283.3954</v>
      </c>
    </row>
    <row r="558" spans="1:10" ht="15.75" x14ac:dyDescent="0.25">
      <c r="A558" s="13">
        <v>58287</v>
      </c>
      <c r="B558" s="10">
        <f>40.7369 * CHOOSE(CONTROL!$C$15, $E$9, 100%, $G$9) + CHOOSE(CONTROL!$C$38, 0.0278, 0)</f>
        <v>40.764699999999998</v>
      </c>
      <c r="C558" s="10">
        <f>37.5031 * CHOOSE(CONTROL!$C$15, $E$9, 100%, $G$9) + CHOOSE(CONTROL!$C$38, 0.0369, 0)</f>
        <v>37.540000000000006</v>
      </c>
      <c r="D558" s="10">
        <f>37.4953 * CHOOSE(CONTROL!$C$15, $E$9, 100%, $G$9) + CHOOSE(CONTROL!$C$38, 0.0369, 0)</f>
        <v>37.532200000000003</v>
      </c>
      <c r="E558" s="28">
        <f>40.5806 * CHOOSE(CONTROL!$C$15, $E$9, 100%, $G$9) + CHOOSE(CONTROL!$C$38, 0.0369, 0)</f>
        <v>40.6175</v>
      </c>
      <c r="F558" s="27">
        <f>40.5806 * CHOOSE(CONTROL!$C$15, $E$9, 100%, $G$9) + CHOOSE(CONTROL!$C$38, 0.0278, 0)</f>
        <v>40.608399999999996</v>
      </c>
      <c r="G558" s="10">
        <f>37.5015 * CHOOSE(CONTROL!$C$15, $E$9, 100%, $G$9) + CHOOSE(CONTROL!$C$38, 0.0369, 0)</f>
        <v>37.538400000000003</v>
      </c>
      <c r="H558" s="10">
        <f>37.5015 * CHOOSE(CONTROL!$C$15, $E$9, 100%, $G$9) + CHOOSE(CONTROL!$C$38, 0.0369, 0)</f>
        <v>37.538400000000003</v>
      </c>
      <c r="I558" s="10">
        <f>37.5031 * CHOOSE(CONTROL!$C$15, $E$9, 100%, $G$9) + CHOOSE(CONTROL!$C$38, 0.0369, 0)</f>
        <v>37.540000000000006</v>
      </c>
      <c r="J558" s="26">
        <f>282.07</f>
        <v>282.07</v>
      </c>
    </row>
    <row r="559" spans="1:10" ht="15.75" x14ac:dyDescent="0.25">
      <c r="A559" s="13">
        <v>58318</v>
      </c>
      <c r="B559" s="10">
        <f>40.8388 * CHOOSE(CONTROL!$C$15, $E$9, 100%, $G$9) + CHOOSE(CONTROL!$C$38, 0.0278, 0)</f>
        <v>40.866599999999998</v>
      </c>
      <c r="C559" s="10">
        <f>37.605 * CHOOSE(CONTROL!$C$15, $E$9, 100%, $G$9) + CHOOSE(CONTROL!$C$38, 0.0369, 0)</f>
        <v>37.6419</v>
      </c>
      <c r="D559" s="10">
        <f>37.5972 * CHOOSE(CONTROL!$C$15, $E$9, 100%, $G$9) + CHOOSE(CONTROL!$C$38, 0.0369, 0)</f>
        <v>37.634100000000004</v>
      </c>
      <c r="E559" s="28">
        <f>40.6825 * CHOOSE(CONTROL!$C$15, $E$9, 100%, $G$9) + CHOOSE(CONTROL!$C$38, 0.0369, 0)</f>
        <v>40.7194</v>
      </c>
      <c r="F559" s="27">
        <f>40.6825 * CHOOSE(CONTROL!$C$15, $E$9, 100%, $G$9) + CHOOSE(CONTROL!$C$38, 0.0278, 0)</f>
        <v>40.710299999999997</v>
      </c>
      <c r="G559" s="10">
        <f>37.6034 * CHOOSE(CONTROL!$C$15, $E$9, 100%, $G$9) + CHOOSE(CONTROL!$C$38, 0.0369, 0)</f>
        <v>37.640300000000003</v>
      </c>
      <c r="H559" s="10">
        <f>37.6034 * CHOOSE(CONTROL!$C$15, $E$9, 100%, $G$9) + CHOOSE(CONTROL!$C$38, 0.0369, 0)</f>
        <v>37.640300000000003</v>
      </c>
      <c r="I559" s="10">
        <f>37.605 * CHOOSE(CONTROL!$C$15, $E$9, 100%, $G$9) + CHOOSE(CONTROL!$C$38, 0.0369, 0)</f>
        <v>37.6419</v>
      </c>
      <c r="J559" s="26">
        <f>275.5036</f>
        <v>275.50360000000001</v>
      </c>
    </row>
    <row r="560" spans="1:10" ht="15.75" x14ac:dyDescent="0.25">
      <c r="A560" s="13">
        <v>58348</v>
      </c>
      <c r="B560" s="10">
        <f>41.1156 * CHOOSE(CONTROL!$C$15, $E$9, 100%, $G$9) + CHOOSE(CONTROL!$C$38, 0.0278, 0)</f>
        <v>41.1434</v>
      </c>
      <c r="C560" s="10">
        <f>37.8818 * CHOOSE(CONTROL!$C$15, $E$9, 100%, $G$9) + CHOOSE(CONTROL!$C$38, 0.0369, 0)</f>
        <v>37.918700000000001</v>
      </c>
      <c r="D560" s="10">
        <f>37.874 * CHOOSE(CONTROL!$C$15, $E$9, 100%, $G$9) + CHOOSE(CONTROL!$C$38, 0.0369, 0)</f>
        <v>37.910900000000005</v>
      </c>
      <c r="E560" s="28">
        <f>40.9593 * CHOOSE(CONTROL!$C$15, $E$9, 100%, $G$9) + CHOOSE(CONTROL!$C$38, 0.0369, 0)</f>
        <v>40.996200000000002</v>
      </c>
      <c r="F560" s="27">
        <f>40.9593 * CHOOSE(CONTROL!$C$15, $E$9, 100%, $G$9) + CHOOSE(CONTROL!$C$38, 0.0278, 0)</f>
        <v>40.987099999999998</v>
      </c>
      <c r="G560" s="10">
        <f>37.8802 * CHOOSE(CONTROL!$C$15, $E$9, 100%, $G$9) + CHOOSE(CONTROL!$C$38, 0.0369, 0)</f>
        <v>37.917100000000005</v>
      </c>
      <c r="H560" s="10">
        <f>37.8802 * CHOOSE(CONTROL!$C$15, $E$9, 100%, $G$9) + CHOOSE(CONTROL!$C$38, 0.0369, 0)</f>
        <v>37.917100000000005</v>
      </c>
      <c r="I560" s="10">
        <f>37.8818 * CHOOSE(CONTROL!$C$15, $E$9, 100%, $G$9) + CHOOSE(CONTROL!$C$38, 0.0369, 0)</f>
        <v>37.918700000000001</v>
      </c>
      <c r="J560" s="26">
        <f>266.3463</f>
        <v>266.34629999999999</v>
      </c>
    </row>
    <row r="561" spans="1:10" ht="15.75" x14ac:dyDescent="0.25">
      <c r="A561" s="13">
        <v>58379</v>
      </c>
      <c r="B561" s="10">
        <f>41.3474 * CHOOSE(CONTROL!$C$15, $E$9, 100%, $G$9) + CHOOSE(CONTROL!$C$38, 0.0256, 0)</f>
        <v>41.372999999999998</v>
      </c>
      <c r="C561" s="10">
        <f>38.1136 * CHOOSE(CONTROL!$C$15, $E$9, 100%, $G$9) + CHOOSE(CONTROL!$C$38, 0.0347, 0)</f>
        <v>38.148299999999999</v>
      </c>
      <c r="D561" s="10">
        <f>38.1058 * CHOOSE(CONTROL!$C$15, $E$9, 100%, $G$9) + CHOOSE(CONTROL!$C$38, 0.0347, 0)</f>
        <v>38.140500000000003</v>
      </c>
      <c r="E561" s="28">
        <f>41.1911 * CHOOSE(CONTROL!$C$15, $E$9, 100%, $G$9) + CHOOSE(CONTROL!$C$38, 0.0347, 0)</f>
        <v>41.2258</v>
      </c>
      <c r="F561" s="27">
        <f>41.1911 * CHOOSE(CONTROL!$C$15, $E$9, 100%, $G$9) + CHOOSE(CONTROL!$C$38, 0.0256, 0)</f>
        <v>41.216699999999996</v>
      </c>
      <c r="G561" s="10">
        <f>38.1121 * CHOOSE(CONTROL!$C$15, $E$9, 100%, $G$9) + CHOOSE(CONTROL!$C$38, 0.0347, 0)</f>
        <v>38.146799999999999</v>
      </c>
      <c r="H561" s="10">
        <f>38.1121 * CHOOSE(CONTROL!$C$15, $E$9, 100%, $G$9) + CHOOSE(CONTROL!$C$38, 0.0347, 0)</f>
        <v>38.146799999999999</v>
      </c>
      <c r="I561" s="10">
        <f>38.1136 * CHOOSE(CONTROL!$C$15, $E$9, 100%, $G$9) + CHOOSE(CONTROL!$C$38, 0.0347, 0)</f>
        <v>38.148299999999999</v>
      </c>
      <c r="J561" s="26">
        <f>257.1358</f>
        <v>257.13580000000002</v>
      </c>
    </row>
    <row r="562" spans="1:10" ht="15.75" x14ac:dyDescent="0.25">
      <c r="A562" s="13">
        <v>58409</v>
      </c>
      <c r="B562" s="10">
        <f>41.5408 * CHOOSE(CONTROL!$C$15, $E$9, 100%, $G$9) + CHOOSE(CONTROL!$C$38, 0.0256, 0)</f>
        <v>41.566399999999994</v>
      </c>
      <c r="C562" s="10">
        <f>38.3071 * CHOOSE(CONTROL!$C$15, $E$9, 100%, $G$9) + CHOOSE(CONTROL!$C$38, 0.0347, 0)</f>
        <v>38.341799999999999</v>
      </c>
      <c r="D562" s="10">
        <f>38.2993 * CHOOSE(CONTROL!$C$15, $E$9, 100%, $G$9) + CHOOSE(CONTROL!$C$38, 0.0347, 0)</f>
        <v>38.334000000000003</v>
      </c>
      <c r="E562" s="28">
        <f>41.3846 * CHOOSE(CONTROL!$C$15, $E$9, 100%, $G$9) + CHOOSE(CONTROL!$C$38, 0.0347, 0)</f>
        <v>41.4193</v>
      </c>
      <c r="F562" s="27">
        <f>41.3846 * CHOOSE(CONTROL!$C$15, $E$9, 100%, $G$9) + CHOOSE(CONTROL!$C$38, 0.0256, 0)</f>
        <v>41.410199999999996</v>
      </c>
      <c r="G562" s="10">
        <f>38.3055 * CHOOSE(CONTROL!$C$15, $E$9, 100%, $G$9) + CHOOSE(CONTROL!$C$38, 0.0347, 0)</f>
        <v>38.340200000000003</v>
      </c>
      <c r="H562" s="10">
        <f>38.3055 * CHOOSE(CONTROL!$C$15, $E$9, 100%, $G$9) + CHOOSE(CONTROL!$C$38, 0.0347, 0)</f>
        <v>38.340200000000003</v>
      </c>
      <c r="I562" s="10">
        <f>38.3071 * CHOOSE(CONTROL!$C$15, $E$9, 100%, $G$9) + CHOOSE(CONTROL!$C$38, 0.0347, 0)</f>
        <v>38.341799999999999</v>
      </c>
      <c r="J562" s="26">
        <f>255.3036</f>
        <v>255.30359999999999</v>
      </c>
    </row>
    <row r="563" spans="1:10" ht="15.75" x14ac:dyDescent="0.25">
      <c r="A563" s="13">
        <v>58440</v>
      </c>
      <c r="B563" s="10">
        <f>42.1369 * CHOOSE(CONTROL!$C$15, $E$9, 100%, $G$9) + CHOOSE(CONTROL!$C$38, 0.0256, 0)</f>
        <v>42.162499999999994</v>
      </c>
      <c r="C563" s="10">
        <f>38.9031 * CHOOSE(CONTROL!$C$15, $E$9, 100%, $G$9) + CHOOSE(CONTROL!$C$38, 0.0347, 0)</f>
        <v>38.937800000000003</v>
      </c>
      <c r="D563" s="10">
        <f>38.8953 * CHOOSE(CONTROL!$C$15, $E$9, 100%, $G$9) + CHOOSE(CONTROL!$C$38, 0.0347, 0)</f>
        <v>38.93</v>
      </c>
      <c r="E563" s="28">
        <f>41.9807 * CHOOSE(CONTROL!$C$15, $E$9, 100%, $G$9) + CHOOSE(CONTROL!$C$38, 0.0347, 0)</f>
        <v>42.0154</v>
      </c>
      <c r="F563" s="27">
        <f>41.9807 * CHOOSE(CONTROL!$C$15, $E$9, 100%, $G$9) + CHOOSE(CONTROL!$C$38, 0.0256, 0)</f>
        <v>42.006299999999996</v>
      </c>
      <c r="G563" s="10">
        <f>38.9016 * CHOOSE(CONTROL!$C$15, $E$9, 100%, $G$9) + CHOOSE(CONTROL!$C$38, 0.0347, 0)</f>
        <v>38.936300000000003</v>
      </c>
      <c r="H563" s="10">
        <f>38.9016 * CHOOSE(CONTROL!$C$15, $E$9, 100%, $G$9) + CHOOSE(CONTROL!$C$38, 0.0347, 0)</f>
        <v>38.936300000000003</v>
      </c>
      <c r="I563" s="10">
        <f>38.9031 * CHOOSE(CONTROL!$C$15, $E$9, 100%, $G$9) + CHOOSE(CONTROL!$C$38, 0.0347, 0)</f>
        <v>38.937800000000003</v>
      </c>
      <c r="J563" s="26">
        <f>247.7275</f>
        <v>247.72749999999999</v>
      </c>
    </row>
    <row r="564" spans="1:10" ht="15.75" x14ac:dyDescent="0.25">
      <c r="A564" s="13">
        <v>58471</v>
      </c>
      <c r="B564" s="10">
        <f>43.3313 * CHOOSE(CONTROL!$C$15, $E$9, 100%, $G$9) + CHOOSE(CONTROL!$C$38, 0.0256, 0)</f>
        <v>43.356899999999996</v>
      </c>
      <c r="C564" s="10">
        <f>40.0432 * CHOOSE(CONTROL!$C$15, $E$9, 100%, $G$9) + CHOOSE(CONTROL!$C$38, 0.0347, 0)</f>
        <v>40.0779</v>
      </c>
      <c r="D564" s="10">
        <f>40.0354 * CHOOSE(CONTROL!$C$15, $E$9, 100%, $G$9) + CHOOSE(CONTROL!$C$38, 0.0347, 0)</f>
        <v>40.070100000000004</v>
      </c>
      <c r="E564" s="28">
        <f>43.1751 * CHOOSE(CONTROL!$C$15, $E$9, 100%, $G$9) + CHOOSE(CONTROL!$C$38, 0.0347, 0)</f>
        <v>43.209800000000001</v>
      </c>
      <c r="F564" s="27">
        <f>43.1751 * CHOOSE(CONTROL!$C$15, $E$9, 100%, $G$9) + CHOOSE(CONTROL!$C$38, 0.0256, 0)</f>
        <v>43.200699999999998</v>
      </c>
      <c r="G564" s="10">
        <f>40.0416 * CHOOSE(CONTROL!$C$15, $E$9, 100%, $G$9) + CHOOSE(CONTROL!$C$38, 0.0347, 0)</f>
        <v>40.076300000000003</v>
      </c>
      <c r="H564" s="10">
        <f>40.0416 * CHOOSE(CONTROL!$C$15, $E$9, 100%, $G$9) + CHOOSE(CONTROL!$C$38, 0.0347, 0)</f>
        <v>40.076300000000003</v>
      </c>
      <c r="I564" s="10">
        <f>40.0432 * CHOOSE(CONTROL!$C$15, $E$9, 100%, $G$9) + CHOOSE(CONTROL!$C$38, 0.0347, 0)</f>
        <v>40.0779</v>
      </c>
      <c r="J564" s="26">
        <f>246.0681</f>
        <v>246.06809999999999</v>
      </c>
    </row>
    <row r="565" spans="1:10" ht="15.75" x14ac:dyDescent="0.25">
      <c r="A565" s="13">
        <v>58499</v>
      </c>
      <c r="B565" s="10">
        <f>43.5521 * CHOOSE(CONTROL!$C$15, $E$9, 100%, $G$9) + CHOOSE(CONTROL!$C$38, 0.0256, 0)</f>
        <v>43.5777</v>
      </c>
      <c r="C565" s="10">
        <f>40.264 * CHOOSE(CONTROL!$C$15, $E$9, 100%, $G$9) + CHOOSE(CONTROL!$C$38, 0.0347, 0)</f>
        <v>40.298700000000004</v>
      </c>
      <c r="D565" s="10">
        <f>40.2561 * CHOOSE(CONTROL!$C$15, $E$9, 100%, $G$9) + CHOOSE(CONTROL!$C$38, 0.0347, 0)</f>
        <v>40.290800000000004</v>
      </c>
      <c r="E565" s="28">
        <f>43.3959 * CHOOSE(CONTROL!$C$15, $E$9, 100%, $G$9) + CHOOSE(CONTROL!$C$38, 0.0347, 0)</f>
        <v>43.430599999999998</v>
      </c>
      <c r="F565" s="27">
        <f>43.3959 * CHOOSE(CONTROL!$C$15, $E$9, 100%, $G$9) + CHOOSE(CONTROL!$C$38, 0.0256, 0)</f>
        <v>43.421499999999995</v>
      </c>
      <c r="G565" s="10">
        <f>40.2624 * CHOOSE(CONTROL!$C$15, $E$9, 100%, $G$9) + CHOOSE(CONTROL!$C$38, 0.0347, 0)</f>
        <v>40.2971</v>
      </c>
      <c r="H565" s="10">
        <f>40.2624 * CHOOSE(CONTROL!$C$15, $E$9, 100%, $G$9) + CHOOSE(CONTROL!$C$38, 0.0347, 0)</f>
        <v>40.2971</v>
      </c>
      <c r="I565" s="10">
        <f>40.264 * CHOOSE(CONTROL!$C$15, $E$9, 100%, $G$9) + CHOOSE(CONTROL!$C$38, 0.0347, 0)</f>
        <v>40.298700000000004</v>
      </c>
      <c r="J565" s="26">
        <f>245.3841</f>
        <v>245.38409999999999</v>
      </c>
    </row>
    <row r="566" spans="1:10" ht="15.75" x14ac:dyDescent="0.25">
      <c r="A566" s="13">
        <v>58531</v>
      </c>
      <c r="B566" s="10">
        <f>43.0411 * CHOOSE(CONTROL!$C$15, $E$9, 100%, $G$9) + CHOOSE(CONTROL!$C$38, 0.0256, 0)</f>
        <v>43.066699999999997</v>
      </c>
      <c r="C566" s="10">
        <f>39.7529 * CHOOSE(CONTROL!$C$15, $E$9, 100%, $G$9) + CHOOSE(CONTROL!$C$38, 0.0347, 0)</f>
        <v>39.787599999999998</v>
      </c>
      <c r="D566" s="10">
        <f>39.7451 * CHOOSE(CONTROL!$C$15, $E$9, 100%, $G$9) + CHOOSE(CONTROL!$C$38, 0.0347, 0)</f>
        <v>39.779800000000002</v>
      </c>
      <c r="E566" s="28">
        <f>42.8848 * CHOOSE(CONTROL!$C$15, $E$9, 100%, $G$9) + CHOOSE(CONTROL!$C$38, 0.0347, 0)</f>
        <v>42.919499999999999</v>
      </c>
      <c r="F566" s="27">
        <f>42.8848 * CHOOSE(CONTROL!$C$15, $E$9, 100%, $G$9) + CHOOSE(CONTROL!$C$38, 0.0256, 0)</f>
        <v>42.910399999999996</v>
      </c>
      <c r="G566" s="10">
        <f>39.7514 * CHOOSE(CONTROL!$C$15, $E$9, 100%, $G$9) + CHOOSE(CONTROL!$C$38, 0.0347, 0)</f>
        <v>39.786099999999998</v>
      </c>
      <c r="H566" s="10">
        <f>39.7514 * CHOOSE(CONTROL!$C$15, $E$9, 100%, $G$9) + CHOOSE(CONTROL!$C$38, 0.0347, 0)</f>
        <v>39.786099999999998</v>
      </c>
      <c r="I566" s="10">
        <f>39.7529 * CHOOSE(CONTROL!$C$15, $E$9, 100%, $G$9) + CHOOSE(CONTROL!$C$38, 0.0347, 0)</f>
        <v>39.787599999999998</v>
      </c>
      <c r="J566" s="26">
        <f>258.3172</f>
        <v>258.31720000000001</v>
      </c>
    </row>
    <row r="567" spans="1:10" ht="15.75" x14ac:dyDescent="0.25">
      <c r="A567" s="13">
        <v>58561</v>
      </c>
      <c r="B567" s="10">
        <f>42.5459 * CHOOSE(CONTROL!$C$15, $E$9, 100%, $G$9) + CHOOSE(CONTROL!$C$38, 0.0256, 0)</f>
        <v>42.5715</v>
      </c>
      <c r="C567" s="10">
        <f>39.2577 * CHOOSE(CONTROL!$C$15, $E$9, 100%, $G$9) + CHOOSE(CONTROL!$C$38, 0.0347, 0)</f>
        <v>39.292400000000001</v>
      </c>
      <c r="D567" s="10">
        <f>39.2499 * CHOOSE(CONTROL!$C$15, $E$9, 100%, $G$9) + CHOOSE(CONTROL!$C$38, 0.0347, 0)</f>
        <v>39.284599999999998</v>
      </c>
      <c r="E567" s="28">
        <f>42.3896 * CHOOSE(CONTROL!$C$15, $E$9, 100%, $G$9) + CHOOSE(CONTROL!$C$38, 0.0347, 0)</f>
        <v>42.424300000000002</v>
      </c>
      <c r="F567" s="27">
        <f>42.3896 * CHOOSE(CONTROL!$C$15, $E$9, 100%, $G$9) + CHOOSE(CONTROL!$C$38, 0.0256, 0)</f>
        <v>42.415199999999999</v>
      </c>
      <c r="G567" s="10">
        <f>39.2562 * CHOOSE(CONTROL!$C$15, $E$9, 100%, $G$9) + CHOOSE(CONTROL!$C$38, 0.0347, 0)</f>
        <v>39.290900000000001</v>
      </c>
      <c r="H567" s="10">
        <f>39.2562 * CHOOSE(CONTROL!$C$15, $E$9, 100%, $G$9) + CHOOSE(CONTROL!$C$38, 0.0347, 0)</f>
        <v>39.290900000000001</v>
      </c>
      <c r="I567" s="10">
        <f>39.2577 * CHOOSE(CONTROL!$C$15, $E$9, 100%, $G$9) + CHOOSE(CONTROL!$C$38, 0.0347, 0)</f>
        <v>39.292400000000001</v>
      </c>
      <c r="J567" s="26">
        <f>275.0885</f>
        <v>275.08850000000001</v>
      </c>
    </row>
    <row r="568" spans="1:10" ht="15.75" x14ac:dyDescent="0.25">
      <c r="A568" s="13">
        <v>58592</v>
      </c>
      <c r="B568" s="10">
        <f>42.0298 * CHOOSE(CONTROL!$C$15, $E$9, 100%, $G$9) + CHOOSE(CONTROL!$C$38, 0.0278, 0)</f>
        <v>42.057600000000001</v>
      </c>
      <c r="C568" s="10">
        <f>38.7416 * CHOOSE(CONTROL!$C$15, $E$9, 100%, $G$9) + CHOOSE(CONTROL!$C$38, 0.0369, 0)</f>
        <v>38.778500000000001</v>
      </c>
      <c r="D568" s="10">
        <f>38.7338 * CHOOSE(CONTROL!$C$15, $E$9, 100%, $G$9) + CHOOSE(CONTROL!$C$38, 0.0369, 0)</f>
        <v>38.770700000000005</v>
      </c>
      <c r="E568" s="28">
        <f>41.8735 * CHOOSE(CONTROL!$C$15, $E$9, 100%, $G$9) + CHOOSE(CONTROL!$C$38, 0.0369, 0)</f>
        <v>41.910400000000003</v>
      </c>
      <c r="F568" s="27">
        <f>41.8735 * CHOOSE(CONTROL!$C$15, $E$9, 100%, $G$9) + CHOOSE(CONTROL!$C$38, 0.0278, 0)</f>
        <v>41.901299999999999</v>
      </c>
      <c r="G568" s="10">
        <f>38.7401 * CHOOSE(CONTROL!$C$15, $E$9, 100%, $G$9) + CHOOSE(CONTROL!$C$38, 0.0369, 0)</f>
        <v>38.777000000000001</v>
      </c>
      <c r="H568" s="10">
        <f>38.7401 * CHOOSE(CONTROL!$C$15, $E$9, 100%, $G$9) + CHOOSE(CONTROL!$C$38, 0.0369, 0)</f>
        <v>38.777000000000001</v>
      </c>
      <c r="I568" s="10">
        <f>38.7416 * CHOOSE(CONTROL!$C$15, $E$9, 100%, $G$9) + CHOOSE(CONTROL!$C$38, 0.0369, 0)</f>
        <v>38.778500000000001</v>
      </c>
      <c r="J568" s="26">
        <f>284.3199</f>
        <v>284.31990000000002</v>
      </c>
    </row>
    <row r="569" spans="1:10" ht="15.75" x14ac:dyDescent="0.25">
      <c r="A569" s="13">
        <v>58622</v>
      </c>
      <c r="B569" s="10">
        <f>41.668 * CHOOSE(CONTROL!$C$15, $E$9, 100%, $G$9) + CHOOSE(CONTROL!$C$38, 0.0278, 0)</f>
        <v>41.695799999999998</v>
      </c>
      <c r="C569" s="10">
        <f>38.3798 * CHOOSE(CONTROL!$C$15, $E$9, 100%, $G$9) + CHOOSE(CONTROL!$C$38, 0.0369, 0)</f>
        <v>38.416700000000006</v>
      </c>
      <c r="D569" s="10">
        <f>38.372 * CHOOSE(CONTROL!$C$15, $E$9, 100%, $G$9) + CHOOSE(CONTROL!$C$38, 0.0369, 0)</f>
        <v>38.408900000000003</v>
      </c>
      <c r="E569" s="28">
        <f>41.5117 * CHOOSE(CONTROL!$C$15, $E$9, 100%, $G$9) + CHOOSE(CONTROL!$C$38, 0.0369, 0)</f>
        <v>41.5486</v>
      </c>
      <c r="F569" s="27">
        <f>41.5117 * CHOOSE(CONTROL!$C$15, $E$9, 100%, $G$9) + CHOOSE(CONTROL!$C$38, 0.0278, 0)</f>
        <v>41.539499999999997</v>
      </c>
      <c r="G569" s="10">
        <f>38.3782 * CHOOSE(CONTROL!$C$15, $E$9, 100%, $G$9) + CHOOSE(CONTROL!$C$38, 0.0369, 0)</f>
        <v>38.415100000000002</v>
      </c>
      <c r="H569" s="10">
        <f>38.3782 * CHOOSE(CONTROL!$C$15, $E$9, 100%, $G$9) + CHOOSE(CONTROL!$C$38, 0.0369, 0)</f>
        <v>38.415100000000002</v>
      </c>
      <c r="I569" s="10">
        <f>38.3798 * CHOOSE(CONTROL!$C$15, $E$9, 100%, $G$9) + CHOOSE(CONTROL!$C$38, 0.0369, 0)</f>
        <v>38.416700000000006</v>
      </c>
      <c r="J569" s="26">
        <f>288.4166</f>
        <v>288.41660000000002</v>
      </c>
    </row>
    <row r="570" spans="1:10" ht="15.75" x14ac:dyDescent="0.25">
      <c r="A570" s="13">
        <v>58653</v>
      </c>
      <c r="B570" s="10">
        <f>41.4615 * CHOOSE(CONTROL!$C$15, $E$9, 100%, $G$9) + CHOOSE(CONTROL!$C$38, 0.0278, 0)</f>
        <v>41.4893</v>
      </c>
      <c r="C570" s="10">
        <f>38.1733 * CHOOSE(CONTROL!$C$15, $E$9, 100%, $G$9) + CHOOSE(CONTROL!$C$38, 0.0369, 0)</f>
        <v>38.2102</v>
      </c>
      <c r="D570" s="10">
        <f>38.1655 * CHOOSE(CONTROL!$C$15, $E$9, 100%, $G$9) + CHOOSE(CONTROL!$C$38, 0.0369, 0)</f>
        <v>38.202400000000004</v>
      </c>
      <c r="E570" s="28">
        <f>41.3052 * CHOOSE(CONTROL!$C$15, $E$9, 100%, $G$9) + CHOOSE(CONTROL!$C$38, 0.0369, 0)</f>
        <v>41.342100000000002</v>
      </c>
      <c r="F570" s="27">
        <f>41.3052 * CHOOSE(CONTROL!$C$15, $E$9, 100%, $G$9) + CHOOSE(CONTROL!$C$38, 0.0278, 0)</f>
        <v>41.332999999999998</v>
      </c>
      <c r="G570" s="10">
        <f>38.1717 * CHOOSE(CONTROL!$C$15, $E$9, 100%, $G$9) + CHOOSE(CONTROL!$C$38, 0.0369, 0)</f>
        <v>38.208600000000004</v>
      </c>
      <c r="H570" s="10">
        <f>38.1717 * CHOOSE(CONTROL!$C$15, $E$9, 100%, $G$9) + CHOOSE(CONTROL!$C$38, 0.0369, 0)</f>
        <v>38.208600000000004</v>
      </c>
      <c r="I570" s="10">
        <f>38.1733 * CHOOSE(CONTROL!$C$15, $E$9, 100%, $G$9) + CHOOSE(CONTROL!$C$38, 0.0369, 0)</f>
        <v>38.2102</v>
      </c>
      <c r="J570" s="26">
        <f>287.0678</f>
        <v>287.06779999999998</v>
      </c>
    </row>
    <row r="571" spans="1:10" ht="15.75" x14ac:dyDescent="0.25">
      <c r="A571" s="13">
        <v>58684</v>
      </c>
      <c r="B571" s="10">
        <f>41.5634 * CHOOSE(CONTROL!$C$15, $E$9, 100%, $G$9) + CHOOSE(CONTROL!$C$38, 0.0278, 0)</f>
        <v>41.591200000000001</v>
      </c>
      <c r="C571" s="10">
        <f>38.2752 * CHOOSE(CONTROL!$C$15, $E$9, 100%, $G$9) + CHOOSE(CONTROL!$C$38, 0.0369, 0)</f>
        <v>38.312100000000001</v>
      </c>
      <c r="D571" s="10">
        <f>38.2674 * CHOOSE(CONTROL!$C$15, $E$9, 100%, $G$9) + CHOOSE(CONTROL!$C$38, 0.0369, 0)</f>
        <v>38.304300000000005</v>
      </c>
      <c r="E571" s="28">
        <f>41.4071 * CHOOSE(CONTROL!$C$15, $E$9, 100%, $G$9) + CHOOSE(CONTROL!$C$38, 0.0369, 0)</f>
        <v>41.444000000000003</v>
      </c>
      <c r="F571" s="27">
        <f>41.4071 * CHOOSE(CONTROL!$C$15, $E$9, 100%, $G$9) + CHOOSE(CONTROL!$C$38, 0.0278, 0)</f>
        <v>41.434899999999999</v>
      </c>
      <c r="G571" s="10">
        <f>38.2737 * CHOOSE(CONTROL!$C$15, $E$9, 100%, $G$9) + CHOOSE(CONTROL!$C$38, 0.0369, 0)</f>
        <v>38.310600000000001</v>
      </c>
      <c r="H571" s="10">
        <f>38.2737 * CHOOSE(CONTROL!$C$15, $E$9, 100%, $G$9) + CHOOSE(CONTROL!$C$38, 0.0369, 0)</f>
        <v>38.310600000000001</v>
      </c>
      <c r="I571" s="10">
        <f>38.2752 * CHOOSE(CONTROL!$C$15, $E$9, 100%, $G$9) + CHOOSE(CONTROL!$C$38, 0.0369, 0)</f>
        <v>38.312100000000001</v>
      </c>
      <c r="J571" s="26">
        <f>280.385</f>
        <v>280.38499999999999</v>
      </c>
    </row>
    <row r="572" spans="1:10" ht="15.75" x14ac:dyDescent="0.25">
      <c r="A572" s="13">
        <v>58714</v>
      </c>
      <c r="B572" s="10">
        <f>41.8402 * CHOOSE(CONTROL!$C$15, $E$9, 100%, $G$9) + CHOOSE(CONTROL!$C$38, 0.0278, 0)</f>
        <v>41.868000000000002</v>
      </c>
      <c r="C572" s="10">
        <f>38.552 * CHOOSE(CONTROL!$C$15, $E$9, 100%, $G$9) + CHOOSE(CONTROL!$C$38, 0.0369, 0)</f>
        <v>38.588900000000002</v>
      </c>
      <c r="D572" s="10">
        <f>38.5442 * CHOOSE(CONTROL!$C$15, $E$9, 100%, $G$9) + CHOOSE(CONTROL!$C$38, 0.0369, 0)</f>
        <v>38.581099999999999</v>
      </c>
      <c r="E572" s="28">
        <f>41.6839 * CHOOSE(CONTROL!$C$15, $E$9, 100%, $G$9) + CHOOSE(CONTROL!$C$38, 0.0369, 0)</f>
        <v>41.720800000000004</v>
      </c>
      <c r="F572" s="27">
        <f>41.6839 * CHOOSE(CONTROL!$C$15, $E$9, 100%, $G$9) + CHOOSE(CONTROL!$C$38, 0.0278, 0)</f>
        <v>41.7117</v>
      </c>
      <c r="G572" s="10">
        <f>38.5505 * CHOOSE(CONTROL!$C$15, $E$9, 100%, $G$9) + CHOOSE(CONTROL!$C$38, 0.0369, 0)</f>
        <v>38.587400000000002</v>
      </c>
      <c r="H572" s="10">
        <f>38.5505 * CHOOSE(CONTROL!$C$15, $E$9, 100%, $G$9) + CHOOSE(CONTROL!$C$38, 0.0369, 0)</f>
        <v>38.587400000000002</v>
      </c>
      <c r="I572" s="10">
        <f>38.552 * CHOOSE(CONTROL!$C$15, $E$9, 100%, $G$9) + CHOOSE(CONTROL!$C$38, 0.0369, 0)</f>
        <v>38.588900000000002</v>
      </c>
      <c r="J572" s="26">
        <f>271.0655</f>
        <v>271.06549999999999</v>
      </c>
    </row>
    <row r="573" spans="1:10" ht="15.75" x14ac:dyDescent="0.25">
      <c r="A573" s="13">
        <v>58745</v>
      </c>
      <c r="B573" s="10">
        <f>42.072 * CHOOSE(CONTROL!$C$15, $E$9, 100%, $G$9) + CHOOSE(CONTROL!$C$38, 0.0256, 0)</f>
        <v>42.0976</v>
      </c>
      <c r="C573" s="10">
        <f>38.7838 * CHOOSE(CONTROL!$C$15, $E$9, 100%, $G$9) + CHOOSE(CONTROL!$C$38, 0.0347, 0)</f>
        <v>38.8185</v>
      </c>
      <c r="D573" s="10">
        <f>38.776 * CHOOSE(CONTROL!$C$15, $E$9, 100%, $G$9) + CHOOSE(CONTROL!$C$38, 0.0347, 0)</f>
        <v>38.810700000000004</v>
      </c>
      <c r="E573" s="28">
        <f>41.9157 * CHOOSE(CONTROL!$C$15, $E$9, 100%, $G$9) + CHOOSE(CONTROL!$C$38, 0.0347, 0)</f>
        <v>41.950400000000002</v>
      </c>
      <c r="F573" s="27">
        <f>41.9157 * CHOOSE(CONTROL!$C$15, $E$9, 100%, $G$9) + CHOOSE(CONTROL!$C$38, 0.0256, 0)</f>
        <v>41.941299999999998</v>
      </c>
      <c r="G573" s="10">
        <f>38.7823 * CHOOSE(CONTROL!$C$15, $E$9, 100%, $G$9) + CHOOSE(CONTROL!$C$38, 0.0347, 0)</f>
        <v>38.817</v>
      </c>
      <c r="H573" s="10">
        <f>38.7823 * CHOOSE(CONTROL!$C$15, $E$9, 100%, $G$9) + CHOOSE(CONTROL!$C$38, 0.0347, 0)</f>
        <v>38.817</v>
      </c>
      <c r="I573" s="10">
        <f>38.7838 * CHOOSE(CONTROL!$C$15, $E$9, 100%, $G$9) + CHOOSE(CONTROL!$C$38, 0.0347, 0)</f>
        <v>38.8185</v>
      </c>
      <c r="J573" s="26">
        <f>261.6917</f>
        <v>261.69170000000003</v>
      </c>
    </row>
    <row r="574" spans="1:10" ht="15.75" x14ac:dyDescent="0.25">
      <c r="A574" s="13">
        <v>58775</v>
      </c>
      <c r="B574" s="10">
        <f>42.2654 * CHOOSE(CONTROL!$C$15, $E$9, 100%, $G$9) + CHOOSE(CONTROL!$C$38, 0.0256, 0)</f>
        <v>42.290999999999997</v>
      </c>
      <c r="C574" s="10">
        <f>38.9773 * CHOOSE(CONTROL!$C$15, $E$9, 100%, $G$9) + CHOOSE(CONTROL!$C$38, 0.0347, 0)</f>
        <v>39.012</v>
      </c>
      <c r="D574" s="10">
        <f>38.9695 * CHOOSE(CONTROL!$C$15, $E$9, 100%, $G$9) + CHOOSE(CONTROL!$C$38, 0.0347, 0)</f>
        <v>39.004199999999997</v>
      </c>
      <c r="E574" s="28">
        <f>42.1092 * CHOOSE(CONTROL!$C$15, $E$9, 100%, $G$9) + CHOOSE(CONTROL!$C$38, 0.0347, 0)</f>
        <v>42.143900000000002</v>
      </c>
      <c r="F574" s="27">
        <f>42.1092 * CHOOSE(CONTROL!$C$15, $E$9, 100%, $G$9) + CHOOSE(CONTROL!$C$38, 0.0256, 0)</f>
        <v>42.134799999999998</v>
      </c>
      <c r="G574" s="10">
        <f>38.9757 * CHOOSE(CONTROL!$C$15, $E$9, 100%, $G$9) + CHOOSE(CONTROL!$C$38, 0.0347, 0)</f>
        <v>39.010400000000004</v>
      </c>
      <c r="H574" s="10">
        <f>38.9757 * CHOOSE(CONTROL!$C$15, $E$9, 100%, $G$9) + CHOOSE(CONTROL!$C$38, 0.0347, 0)</f>
        <v>39.010400000000004</v>
      </c>
      <c r="I574" s="10">
        <f>38.9773 * CHOOSE(CONTROL!$C$15, $E$9, 100%, $G$9) + CHOOSE(CONTROL!$C$38, 0.0347, 0)</f>
        <v>39.012</v>
      </c>
      <c r="J574" s="26">
        <f>259.8271</f>
        <v>259.82709999999997</v>
      </c>
    </row>
    <row r="575" spans="1:10" ht="15.75" x14ac:dyDescent="0.25">
      <c r="A575" s="13">
        <v>58806</v>
      </c>
      <c r="B575" s="10">
        <f>42.8615 * CHOOSE(CONTROL!$C$15, $E$9, 100%, $G$9) + CHOOSE(CONTROL!$C$38, 0.0256, 0)</f>
        <v>42.887099999999997</v>
      </c>
      <c r="C575" s="10">
        <f>39.5734 * CHOOSE(CONTROL!$C$15, $E$9, 100%, $G$9) + CHOOSE(CONTROL!$C$38, 0.0347, 0)</f>
        <v>39.6081</v>
      </c>
      <c r="D575" s="10">
        <f>39.5655 * CHOOSE(CONTROL!$C$15, $E$9, 100%, $G$9) + CHOOSE(CONTROL!$C$38, 0.0347, 0)</f>
        <v>39.600200000000001</v>
      </c>
      <c r="E575" s="28">
        <f>42.7053 * CHOOSE(CONTROL!$C$15, $E$9, 100%, $G$9) + CHOOSE(CONTROL!$C$38, 0.0347, 0)</f>
        <v>42.74</v>
      </c>
      <c r="F575" s="27">
        <f>42.7053 * CHOOSE(CONTROL!$C$15, $E$9, 100%, $G$9) + CHOOSE(CONTROL!$C$38, 0.0256, 0)</f>
        <v>42.730899999999998</v>
      </c>
      <c r="G575" s="10">
        <f>39.5718 * CHOOSE(CONTROL!$C$15, $E$9, 100%, $G$9) + CHOOSE(CONTROL!$C$38, 0.0347, 0)</f>
        <v>39.606500000000004</v>
      </c>
      <c r="H575" s="10">
        <f>39.5718 * CHOOSE(CONTROL!$C$15, $E$9, 100%, $G$9) + CHOOSE(CONTROL!$C$38, 0.0347, 0)</f>
        <v>39.606500000000004</v>
      </c>
      <c r="I575" s="10">
        <f>39.5734 * CHOOSE(CONTROL!$C$15, $E$9, 100%, $G$9) + CHOOSE(CONTROL!$C$38, 0.0347, 0)</f>
        <v>39.6081</v>
      </c>
      <c r="J575" s="26">
        <f>252.1167</f>
        <v>252.11670000000001</v>
      </c>
    </row>
    <row r="576" spans="1:10" ht="15.75" x14ac:dyDescent="0.25">
      <c r="A576" s="13">
        <v>58837</v>
      </c>
      <c r="B576" s="10">
        <f>44.0687 * CHOOSE(CONTROL!$C$15, $E$9, 100%, $G$9) + CHOOSE(CONTROL!$C$38, 0.0256, 0)</f>
        <v>44.094299999999997</v>
      </c>
      <c r="C576" s="10">
        <f>40.7253 * CHOOSE(CONTROL!$C$15, $E$9, 100%, $G$9) + CHOOSE(CONTROL!$C$38, 0.0347, 0)</f>
        <v>40.76</v>
      </c>
      <c r="D576" s="10">
        <f>40.7174 * CHOOSE(CONTROL!$C$15, $E$9, 100%, $G$9) + CHOOSE(CONTROL!$C$38, 0.0347, 0)</f>
        <v>40.752099999999999</v>
      </c>
      <c r="E576" s="28">
        <f>43.9125 * CHOOSE(CONTROL!$C$15, $E$9, 100%, $G$9) + CHOOSE(CONTROL!$C$38, 0.0347, 0)</f>
        <v>43.947200000000002</v>
      </c>
      <c r="F576" s="27">
        <f>43.9125 * CHOOSE(CONTROL!$C$15, $E$9, 100%, $G$9) + CHOOSE(CONTROL!$C$38, 0.0256, 0)</f>
        <v>43.938099999999999</v>
      </c>
      <c r="G576" s="10">
        <f>40.7237 * CHOOSE(CONTROL!$C$15, $E$9, 100%, $G$9) + CHOOSE(CONTROL!$C$38, 0.0347, 0)</f>
        <v>40.758400000000002</v>
      </c>
      <c r="H576" s="10">
        <f>40.7237 * CHOOSE(CONTROL!$C$15, $E$9, 100%, $G$9) + CHOOSE(CONTROL!$C$38, 0.0347, 0)</f>
        <v>40.758400000000002</v>
      </c>
      <c r="I576" s="10">
        <f>40.7253 * CHOOSE(CONTROL!$C$15, $E$9, 100%, $G$9) + CHOOSE(CONTROL!$C$38, 0.0347, 0)</f>
        <v>40.76</v>
      </c>
      <c r="J576" s="26">
        <f>250.4279</f>
        <v>250.42789999999999</v>
      </c>
    </row>
    <row r="577" spans="1:10" ht="15.75" x14ac:dyDescent="0.25">
      <c r="A577" s="13">
        <v>58865</v>
      </c>
      <c r="B577" s="10">
        <f>44.2895 * CHOOSE(CONTROL!$C$15, $E$9, 100%, $G$9) + CHOOSE(CONTROL!$C$38, 0.0256, 0)</f>
        <v>44.315099999999994</v>
      </c>
      <c r="C577" s="10">
        <f>40.946 * CHOOSE(CONTROL!$C$15, $E$9, 100%, $G$9) + CHOOSE(CONTROL!$C$38, 0.0347, 0)</f>
        <v>40.980699999999999</v>
      </c>
      <c r="D577" s="10">
        <f>40.9382 * CHOOSE(CONTROL!$C$15, $E$9, 100%, $G$9) + CHOOSE(CONTROL!$C$38, 0.0347, 0)</f>
        <v>40.972900000000003</v>
      </c>
      <c r="E577" s="28">
        <f>44.1333 * CHOOSE(CONTROL!$C$15, $E$9, 100%, $G$9) + CHOOSE(CONTROL!$C$38, 0.0347, 0)</f>
        <v>44.167999999999999</v>
      </c>
      <c r="F577" s="27">
        <f>44.1333 * CHOOSE(CONTROL!$C$15, $E$9, 100%, $G$9) + CHOOSE(CONTROL!$C$38, 0.0256, 0)</f>
        <v>44.158899999999996</v>
      </c>
      <c r="G577" s="10">
        <f>40.9445 * CHOOSE(CONTROL!$C$15, $E$9, 100%, $G$9) + CHOOSE(CONTROL!$C$38, 0.0347, 0)</f>
        <v>40.979199999999999</v>
      </c>
      <c r="H577" s="10">
        <f>40.9445 * CHOOSE(CONTROL!$C$15, $E$9, 100%, $G$9) + CHOOSE(CONTROL!$C$38, 0.0347, 0)</f>
        <v>40.979199999999999</v>
      </c>
      <c r="I577" s="10">
        <f>40.946 * CHOOSE(CONTROL!$C$15, $E$9, 100%, $G$9) + CHOOSE(CONTROL!$C$38, 0.0347, 0)</f>
        <v>40.980699999999999</v>
      </c>
      <c r="J577" s="26">
        <f>249.7318</f>
        <v>249.73179999999999</v>
      </c>
    </row>
    <row r="578" spans="1:10" ht="15.75" x14ac:dyDescent="0.25">
      <c r="A578" s="13">
        <v>58893</v>
      </c>
      <c r="B578" s="10">
        <f>43.7785 * CHOOSE(CONTROL!$C$15, $E$9, 100%, $G$9) + CHOOSE(CONTROL!$C$38, 0.0256, 0)</f>
        <v>43.804099999999998</v>
      </c>
      <c r="C578" s="10">
        <f>40.435 * CHOOSE(CONTROL!$C$15, $E$9, 100%, $G$9) + CHOOSE(CONTROL!$C$38, 0.0347, 0)</f>
        <v>40.469700000000003</v>
      </c>
      <c r="D578" s="10">
        <f>40.4272 * CHOOSE(CONTROL!$C$15, $E$9, 100%, $G$9) + CHOOSE(CONTROL!$C$38, 0.0347, 0)</f>
        <v>40.4619</v>
      </c>
      <c r="E578" s="28">
        <f>43.6222 * CHOOSE(CONTROL!$C$15, $E$9, 100%, $G$9) + CHOOSE(CONTROL!$C$38, 0.0347, 0)</f>
        <v>43.6569</v>
      </c>
      <c r="F578" s="27">
        <f>43.6222 * CHOOSE(CONTROL!$C$15, $E$9, 100%, $G$9) + CHOOSE(CONTROL!$C$38, 0.0256, 0)</f>
        <v>43.647799999999997</v>
      </c>
      <c r="G578" s="10">
        <f>40.4334 * CHOOSE(CONTROL!$C$15, $E$9, 100%, $G$9) + CHOOSE(CONTROL!$C$38, 0.0347, 0)</f>
        <v>40.4681</v>
      </c>
      <c r="H578" s="10">
        <f>40.4334 * CHOOSE(CONTROL!$C$15, $E$9, 100%, $G$9) + CHOOSE(CONTROL!$C$38, 0.0347, 0)</f>
        <v>40.4681</v>
      </c>
      <c r="I578" s="10">
        <f>40.435 * CHOOSE(CONTROL!$C$15, $E$9, 100%, $G$9) + CHOOSE(CONTROL!$C$38, 0.0347, 0)</f>
        <v>40.469700000000003</v>
      </c>
      <c r="J578" s="26">
        <f>262.8941</f>
        <v>262.89409999999998</v>
      </c>
    </row>
    <row r="579" spans="1:10" ht="15.75" x14ac:dyDescent="0.25">
      <c r="A579" s="13">
        <v>58926</v>
      </c>
      <c r="B579" s="10">
        <f>43.2833 * CHOOSE(CONTROL!$C$15, $E$9, 100%, $G$9) + CHOOSE(CONTROL!$C$38, 0.0256, 0)</f>
        <v>43.308899999999994</v>
      </c>
      <c r="C579" s="10">
        <f>39.9398 * CHOOSE(CONTROL!$C$15, $E$9, 100%, $G$9) + CHOOSE(CONTROL!$C$38, 0.0347, 0)</f>
        <v>39.974499999999999</v>
      </c>
      <c r="D579" s="10">
        <f>39.932 * CHOOSE(CONTROL!$C$15, $E$9, 100%, $G$9) + CHOOSE(CONTROL!$C$38, 0.0347, 0)</f>
        <v>39.966700000000003</v>
      </c>
      <c r="E579" s="28">
        <f>43.127 * CHOOSE(CONTROL!$C$15, $E$9, 100%, $G$9) + CHOOSE(CONTROL!$C$38, 0.0347, 0)</f>
        <v>43.161700000000003</v>
      </c>
      <c r="F579" s="27">
        <f>43.127 * CHOOSE(CONTROL!$C$15, $E$9, 100%, $G$9) + CHOOSE(CONTROL!$C$38, 0.0256, 0)</f>
        <v>43.1526</v>
      </c>
      <c r="G579" s="10">
        <f>39.9382 * CHOOSE(CONTROL!$C$15, $E$9, 100%, $G$9) + CHOOSE(CONTROL!$C$38, 0.0347, 0)</f>
        <v>39.972900000000003</v>
      </c>
      <c r="H579" s="10">
        <f>39.9382 * CHOOSE(CONTROL!$C$15, $E$9, 100%, $G$9) + CHOOSE(CONTROL!$C$38, 0.0347, 0)</f>
        <v>39.972900000000003</v>
      </c>
      <c r="I579" s="10">
        <f>39.9398 * CHOOSE(CONTROL!$C$15, $E$9, 100%, $G$9) + CHOOSE(CONTROL!$C$38, 0.0347, 0)</f>
        <v>39.974499999999999</v>
      </c>
      <c r="J579" s="26">
        <f>279.9625</f>
        <v>279.96249999999998</v>
      </c>
    </row>
    <row r="580" spans="1:10" ht="15.75" x14ac:dyDescent="0.25">
      <c r="A580" s="13">
        <v>58957</v>
      </c>
      <c r="B580" s="10">
        <f>42.7672 * CHOOSE(CONTROL!$C$15, $E$9, 100%, $G$9) + CHOOSE(CONTROL!$C$38, 0.0278, 0)</f>
        <v>42.795000000000002</v>
      </c>
      <c r="C580" s="10">
        <f>39.4237 * CHOOSE(CONTROL!$C$15, $E$9, 100%, $G$9) + CHOOSE(CONTROL!$C$38, 0.0369, 0)</f>
        <v>39.460599999999999</v>
      </c>
      <c r="D580" s="10">
        <f>39.4159 * CHOOSE(CONTROL!$C$15, $E$9, 100%, $G$9) + CHOOSE(CONTROL!$C$38, 0.0369, 0)</f>
        <v>39.452800000000003</v>
      </c>
      <c r="E580" s="28">
        <f>42.6109 * CHOOSE(CONTROL!$C$15, $E$9, 100%, $G$9) + CHOOSE(CONTROL!$C$38, 0.0369, 0)</f>
        <v>42.647800000000004</v>
      </c>
      <c r="F580" s="27">
        <f>42.6109 * CHOOSE(CONTROL!$C$15, $E$9, 100%, $G$9) + CHOOSE(CONTROL!$C$38, 0.0278, 0)</f>
        <v>42.6387</v>
      </c>
      <c r="G580" s="10">
        <f>39.4221 * CHOOSE(CONTROL!$C$15, $E$9, 100%, $G$9) + CHOOSE(CONTROL!$C$38, 0.0369, 0)</f>
        <v>39.459000000000003</v>
      </c>
      <c r="H580" s="10">
        <f>39.4221 * CHOOSE(CONTROL!$C$15, $E$9, 100%, $G$9) + CHOOSE(CONTROL!$C$38, 0.0369, 0)</f>
        <v>39.459000000000003</v>
      </c>
      <c r="I580" s="10">
        <f>39.4237 * CHOOSE(CONTROL!$C$15, $E$9, 100%, $G$9) + CHOOSE(CONTROL!$C$38, 0.0369, 0)</f>
        <v>39.460599999999999</v>
      </c>
      <c r="J580" s="26">
        <f>289.3575</f>
        <v>289.35750000000002</v>
      </c>
    </row>
    <row r="581" spans="1:10" ht="15.75" x14ac:dyDescent="0.25">
      <c r="A581" s="13">
        <v>58987</v>
      </c>
      <c r="B581" s="10">
        <f>42.4053 * CHOOSE(CONTROL!$C$15, $E$9, 100%, $G$9) + CHOOSE(CONTROL!$C$38, 0.0278, 0)</f>
        <v>42.433099999999996</v>
      </c>
      <c r="C581" s="10">
        <f>39.0619 * CHOOSE(CONTROL!$C$15, $E$9, 100%, $G$9) + CHOOSE(CONTROL!$C$38, 0.0369, 0)</f>
        <v>39.098800000000004</v>
      </c>
      <c r="D581" s="10">
        <f>39.054 * CHOOSE(CONTROL!$C$15, $E$9, 100%, $G$9) + CHOOSE(CONTROL!$C$38, 0.0369, 0)</f>
        <v>39.090900000000005</v>
      </c>
      <c r="E581" s="28">
        <f>42.2491 * CHOOSE(CONTROL!$C$15, $E$9, 100%, $G$9) + CHOOSE(CONTROL!$C$38, 0.0369, 0)</f>
        <v>42.286000000000001</v>
      </c>
      <c r="F581" s="27">
        <f>42.2491 * CHOOSE(CONTROL!$C$15, $E$9, 100%, $G$9) + CHOOSE(CONTROL!$C$38, 0.0278, 0)</f>
        <v>42.276899999999998</v>
      </c>
      <c r="G581" s="10">
        <f>39.0603 * CHOOSE(CONTROL!$C$15, $E$9, 100%, $G$9) + CHOOSE(CONTROL!$C$38, 0.0369, 0)</f>
        <v>39.097200000000001</v>
      </c>
      <c r="H581" s="10">
        <f>39.0603 * CHOOSE(CONTROL!$C$15, $E$9, 100%, $G$9) + CHOOSE(CONTROL!$C$38, 0.0369, 0)</f>
        <v>39.097200000000001</v>
      </c>
      <c r="I581" s="10">
        <f>39.0619 * CHOOSE(CONTROL!$C$15, $E$9, 100%, $G$9) + CHOOSE(CONTROL!$C$38, 0.0369, 0)</f>
        <v>39.098800000000004</v>
      </c>
      <c r="J581" s="26">
        <f>293.5268</f>
        <v>293.52679999999998</v>
      </c>
    </row>
    <row r="582" spans="1:10" ht="15.75" x14ac:dyDescent="0.25">
      <c r="A582" s="13">
        <v>59018</v>
      </c>
      <c r="B582" s="10">
        <f>42.1989 * CHOOSE(CONTROL!$C$15, $E$9, 100%, $G$9) + CHOOSE(CONTROL!$C$38, 0.0278, 0)</f>
        <v>42.226700000000001</v>
      </c>
      <c r="C582" s="10">
        <f>38.8554 * CHOOSE(CONTROL!$C$15, $E$9, 100%, $G$9) + CHOOSE(CONTROL!$C$38, 0.0369, 0)</f>
        <v>38.892300000000006</v>
      </c>
      <c r="D582" s="10">
        <f>38.8476 * CHOOSE(CONTROL!$C$15, $E$9, 100%, $G$9) + CHOOSE(CONTROL!$C$38, 0.0369, 0)</f>
        <v>38.884500000000003</v>
      </c>
      <c r="E582" s="28">
        <f>42.0426 * CHOOSE(CONTROL!$C$15, $E$9, 100%, $G$9) + CHOOSE(CONTROL!$C$38, 0.0369, 0)</f>
        <v>42.079500000000003</v>
      </c>
      <c r="F582" s="27">
        <f>42.0426 * CHOOSE(CONTROL!$C$15, $E$9, 100%, $G$9) + CHOOSE(CONTROL!$C$38, 0.0278, 0)</f>
        <v>42.070399999999999</v>
      </c>
      <c r="G582" s="10">
        <f>38.8538 * CHOOSE(CONTROL!$C$15, $E$9, 100%, $G$9) + CHOOSE(CONTROL!$C$38, 0.0369, 0)</f>
        <v>38.890700000000002</v>
      </c>
      <c r="H582" s="10">
        <f>38.8538 * CHOOSE(CONTROL!$C$15, $E$9, 100%, $G$9) + CHOOSE(CONTROL!$C$38, 0.0369, 0)</f>
        <v>38.890700000000002</v>
      </c>
      <c r="I582" s="10">
        <f>38.8554 * CHOOSE(CONTROL!$C$15, $E$9, 100%, $G$9) + CHOOSE(CONTROL!$C$38, 0.0369, 0)</f>
        <v>38.892300000000006</v>
      </c>
      <c r="J582" s="26">
        <f>292.1541</f>
        <v>292.15410000000003</v>
      </c>
    </row>
    <row r="583" spans="1:10" ht="15.75" x14ac:dyDescent="0.25">
      <c r="A583" s="13">
        <v>59049</v>
      </c>
      <c r="B583" s="10">
        <f>42.3008 * CHOOSE(CONTROL!$C$15, $E$9, 100%, $G$9) + CHOOSE(CONTROL!$C$38, 0.0278, 0)</f>
        <v>42.328600000000002</v>
      </c>
      <c r="C583" s="10">
        <f>38.9573 * CHOOSE(CONTROL!$C$15, $E$9, 100%, $G$9) + CHOOSE(CONTROL!$C$38, 0.0369, 0)</f>
        <v>38.994199999999999</v>
      </c>
      <c r="D583" s="10">
        <f>38.9495 * CHOOSE(CONTROL!$C$15, $E$9, 100%, $G$9) + CHOOSE(CONTROL!$C$38, 0.0369, 0)</f>
        <v>38.986400000000003</v>
      </c>
      <c r="E583" s="28">
        <f>42.1445 * CHOOSE(CONTROL!$C$15, $E$9, 100%, $G$9) + CHOOSE(CONTROL!$C$38, 0.0369, 0)</f>
        <v>42.181400000000004</v>
      </c>
      <c r="F583" s="27">
        <f>42.1445 * CHOOSE(CONTROL!$C$15, $E$9, 100%, $G$9) + CHOOSE(CONTROL!$C$38, 0.0278, 0)</f>
        <v>42.1723</v>
      </c>
      <c r="G583" s="10">
        <f>38.9557 * CHOOSE(CONTROL!$C$15, $E$9, 100%, $G$9) + CHOOSE(CONTROL!$C$38, 0.0369, 0)</f>
        <v>38.992600000000003</v>
      </c>
      <c r="H583" s="10">
        <f>38.9557 * CHOOSE(CONTROL!$C$15, $E$9, 100%, $G$9) + CHOOSE(CONTROL!$C$38, 0.0369, 0)</f>
        <v>38.992600000000003</v>
      </c>
      <c r="I583" s="10">
        <f>38.9573 * CHOOSE(CONTROL!$C$15, $E$9, 100%, $G$9) + CHOOSE(CONTROL!$C$38, 0.0369, 0)</f>
        <v>38.994199999999999</v>
      </c>
      <c r="J583" s="26">
        <f>285.3529</f>
        <v>285.35289999999998</v>
      </c>
    </row>
    <row r="584" spans="1:10" ht="15.75" x14ac:dyDescent="0.25">
      <c r="A584" s="13">
        <v>59079</v>
      </c>
      <c r="B584" s="10">
        <f>42.5776 * CHOOSE(CONTROL!$C$15, $E$9, 100%, $G$9) + CHOOSE(CONTROL!$C$38, 0.0278, 0)</f>
        <v>42.605399999999996</v>
      </c>
      <c r="C584" s="10">
        <f>39.2341 * CHOOSE(CONTROL!$C$15, $E$9, 100%, $G$9) + CHOOSE(CONTROL!$C$38, 0.0369, 0)</f>
        <v>39.271000000000001</v>
      </c>
      <c r="D584" s="10">
        <f>39.2263 * CHOOSE(CONTROL!$C$15, $E$9, 100%, $G$9) + CHOOSE(CONTROL!$C$38, 0.0369, 0)</f>
        <v>39.263200000000005</v>
      </c>
      <c r="E584" s="28">
        <f>42.4213 * CHOOSE(CONTROL!$C$15, $E$9, 100%, $G$9) + CHOOSE(CONTROL!$C$38, 0.0369, 0)</f>
        <v>42.458200000000005</v>
      </c>
      <c r="F584" s="27">
        <f>42.4213 * CHOOSE(CONTROL!$C$15, $E$9, 100%, $G$9) + CHOOSE(CONTROL!$C$38, 0.0278, 0)</f>
        <v>42.449100000000001</v>
      </c>
      <c r="G584" s="10">
        <f>39.2325 * CHOOSE(CONTROL!$C$15, $E$9, 100%, $G$9) + CHOOSE(CONTROL!$C$38, 0.0369, 0)</f>
        <v>39.269400000000005</v>
      </c>
      <c r="H584" s="10">
        <f>39.2325 * CHOOSE(CONTROL!$C$15, $E$9, 100%, $G$9) + CHOOSE(CONTROL!$C$38, 0.0369, 0)</f>
        <v>39.269400000000005</v>
      </c>
      <c r="I584" s="10">
        <f>39.2341 * CHOOSE(CONTROL!$C$15, $E$9, 100%, $G$9) + CHOOSE(CONTROL!$C$38, 0.0369, 0)</f>
        <v>39.271000000000001</v>
      </c>
      <c r="J584" s="26">
        <f>275.8682</f>
        <v>275.8682</v>
      </c>
    </row>
    <row r="585" spans="1:10" ht="15.75" x14ac:dyDescent="0.25">
      <c r="A585" s="13">
        <v>59110</v>
      </c>
      <c r="B585" s="10">
        <f>42.8094 * CHOOSE(CONTROL!$C$15, $E$9, 100%, $G$9) + CHOOSE(CONTROL!$C$38, 0.0256, 0)</f>
        <v>42.834999999999994</v>
      </c>
      <c r="C585" s="10">
        <f>39.4659 * CHOOSE(CONTROL!$C$15, $E$9, 100%, $G$9) + CHOOSE(CONTROL!$C$38, 0.0347, 0)</f>
        <v>39.500599999999999</v>
      </c>
      <c r="D585" s="10">
        <f>39.4581 * CHOOSE(CONTROL!$C$15, $E$9, 100%, $G$9) + CHOOSE(CONTROL!$C$38, 0.0347, 0)</f>
        <v>39.492800000000003</v>
      </c>
      <c r="E585" s="28">
        <f>42.6531 * CHOOSE(CONTROL!$C$15, $E$9, 100%, $G$9) + CHOOSE(CONTROL!$C$38, 0.0347, 0)</f>
        <v>42.687800000000003</v>
      </c>
      <c r="F585" s="27">
        <f>42.6531 * CHOOSE(CONTROL!$C$15, $E$9, 100%, $G$9) + CHOOSE(CONTROL!$C$38, 0.0256, 0)</f>
        <v>42.678699999999999</v>
      </c>
      <c r="G585" s="10">
        <f>39.4643 * CHOOSE(CONTROL!$C$15, $E$9, 100%, $G$9) + CHOOSE(CONTROL!$C$38, 0.0347, 0)</f>
        <v>39.499000000000002</v>
      </c>
      <c r="H585" s="10">
        <f>39.4643 * CHOOSE(CONTROL!$C$15, $E$9, 100%, $G$9) + CHOOSE(CONTROL!$C$38, 0.0347, 0)</f>
        <v>39.499000000000002</v>
      </c>
      <c r="I585" s="10">
        <f>39.4659 * CHOOSE(CONTROL!$C$15, $E$9, 100%, $G$9) + CHOOSE(CONTROL!$C$38, 0.0347, 0)</f>
        <v>39.500599999999999</v>
      </c>
      <c r="J585" s="26">
        <f>266.3284</f>
        <v>266.32839999999999</v>
      </c>
    </row>
    <row r="586" spans="1:10" ht="15.75" x14ac:dyDescent="0.25">
      <c r="A586" s="13">
        <v>59140</v>
      </c>
      <c r="B586" s="10">
        <f>43.0028 * CHOOSE(CONTROL!$C$15, $E$9, 100%, $G$9) + CHOOSE(CONTROL!$C$38, 0.0256, 0)</f>
        <v>43.028399999999998</v>
      </c>
      <c r="C586" s="10">
        <f>39.6593 * CHOOSE(CONTROL!$C$15, $E$9, 100%, $G$9) + CHOOSE(CONTROL!$C$38, 0.0347, 0)</f>
        <v>39.694000000000003</v>
      </c>
      <c r="D586" s="10">
        <f>39.6515 * CHOOSE(CONTROL!$C$15, $E$9, 100%, $G$9) + CHOOSE(CONTROL!$C$38, 0.0347, 0)</f>
        <v>39.686199999999999</v>
      </c>
      <c r="E586" s="28">
        <f>42.8466 * CHOOSE(CONTROL!$C$15, $E$9, 100%, $G$9) + CHOOSE(CONTROL!$C$38, 0.0347, 0)</f>
        <v>42.881300000000003</v>
      </c>
      <c r="F586" s="27">
        <f>42.8466 * CHOOSE(CONTROL!$C$15, $E$9, 100%, $G$9) + CHOOSE(CONTROL!$C$38, 0.0256, 0)</f>
        <v>42.872199999999999</v>
      </c>
      <c r="G586" s="10">
        <f>39.6578 * CHOOSE(CONTROL!$C$15, $E$9, 100%, $G$9) + CHOOSE(CONTROL!$C$38, 0.0347, 0)</f>
        <v>39.692500000000003</v>
      </c>
      <c r="H586" s="10">
        <f>39.6578 * CHOOSE(CONTROL!$C$15, $E$9, 100%, $G$9) + CHOOSE(CONTROL!$C$38, 0.0347, 0)</f>
        <v>39.692500000000003</v>
      </c>
      <c r="I586" s="10">
        <f>39.6593 * CHOOSE(CONTROL!$C$15, $E$9, 100%, $G$9) + CHOOSE(CONTROL!$C$38, 0.0347, 0)</f>
        <v>39.694000000000003</v>
      </c>
      <c r="J586" s="26">
        <f>264.4308</f>
        <v>264.43079999999998</v>
      </c>
    </row>
    <row r="587" spans="1:10" ht="15.75" x14ac:dyDescent="0.25">
      <c r="A587" s="13">
        <v>59171</v>
      </c>
      <c r="B587" s="10">
        <f>43.5989 * CHOOSE(CONTROL!$C$15, $E$9, 100%, $G$9) + CHOOSE(CONTROL!$C$38, 0.0256, 0)</f>
        <v>43.624499999999998</v>
      </c>
      <c r="C587" s="10">
        <f>40.2554 * CHOOSE(CONTROL!$C$15, $E$9, 100%, $G$9) + CHOOSE(CONTROL!$C$38, 0.0347, 0)</f>
        <v>40.290100000000002</v>
      </c>
      <c r="D587" s="10">
        <f>40.2476 * CHOOSE(CONTROL!$C$15, $E$9, 100%, $G$9) + CHOOSE(CONTROL!$C$38, 0.0347, 0)</f>
        <v>40.282299999999999</v>
      </c>
      <c r="E587" s="28">
        <f>43.4426 * CHOOSE(CONTROL!$C$15, $E$9, 100%, $G$9) + CHOOSE(CONTROL!$C$38, 0.0347, 0)</f>
        <v>43.4773</v>
      </c>
      <c r="F587" s="27">
        <f>43.4426 * CHOOSE(CONTROL!$C$15, $E$9, 100%, $G$9) + CHOOSE(CONTROL!$C$38, 0.0256, 0)</f>
        <v>43.468199999999996</v>
      </c>
      <c r="G587" s="10">
        <f>40.2538 * CHOOSE(CONTROL!$C$15, $E$9, 100%, $G$9) + CHOOSE(CONTROL!$C$38, 0.0347, 0)</f>
        <v>40.288499999999999</v>
      </c>
      <c r="H587" s="10">
        <f>40.2538 * CHOOSE(CONTROL!$C$15, $E$9, 100%, $G$9) + CHOOSE(CONTROL!$C$38, 0.0347, 0)</f>
        <v>40.288499999999999</v>
      </c>
      <c r="I587" s="10">
        <f>40.2554 * CHOOSE(CONTROL!$C$15, $E$9, 100%, $G$9) + CHOOSE(CONTROL!$C$38, 0.0347, 0)</f>
        <v>40.290100000000002</v>
      </c>
      <c r="J587" s="26">
        <f>256.5838</f>
        <v>256.5838</v>
      </c>
    </row>
    <row r="588" spans="1:10" ht="15.75" x14ac:dyDescent="0.25">
      <c r="A588" s="13">
        <v>59202</v>
      </c>
      <c r="B588" s="10">
        <f>44.8192 * CHOOSE(CONTROL!$C$15, $E$9, 100%, $G$9) + CHOOSE(CONTROL!$C$38, 0.0256, 0)</f>
        <v>44.844799999999999</v>
      </c>
      <c r="C588" s="10">
        <f>41.4194 * CHOOSE(CONTROL!$C$15, $E$9, 100%, $G$9) + CHOOSE(CONTROL!$C$38, 0.0347, 0)</f>
        <v>41.454100000000004</v>
      </c>
      <c r="D588" s="10">
        <f>41.4116 * CHOOSE(CONTROL!$C$15, $E$9, 100%, $G$9) + CHOOSE(CONTROL!$C$38, 0.0347, 0)</f>
        <v>41.446300000000001</v>
      </c>
      <c r="E588" s="28">
        <f>44.6629 * CHOOSE(CONTROL!$C$15, $E$9, 100%, $G$9) + CHOOSE(CONTROL!$C$38, 0.0347, 0)</f>
        <v>44.697600000000001</v>
      </c>
      <c r="F588" s="27">
        <f>44.6629 * CHOOSE(CONTROL!$C$15, $E$9, 100%, $G$9) + CHOOSE(CONTROL!$C$38, 0.0256, 0)</f>
        <v>44.688499999999998</v>
      </c>
      <c r="G588" s="10">
        <f>41.4178 * CHOOSE(CONTROL!$C$15, $E$9, 100%, $G$9) + CHOOSE(CONTROL!$C$38, 0.0347, 0)</f>
        <v>41.452500000000001</v>
      </c>
      <c r="H588" s="10">
        <f>41.4178 * CHOOSE(CONTROL!$C$15, $E$9, 100%, $G$9) + CHOOSE(CONTROL!$C$38, 0.0347, 0)</f>
        <v>41.452500000000001</v>
      </c>
      <c r="I588" s="10">
        <f>41.4194 * CHOOSE(CONTROL!$C$15, $E$9, 100%, $G$9) + CHOOSE(CONTROL!$C$38, 0.0347, 0)</f>
        <v>41.454100000000004</v>
      </c>
      <c r="J588" s="26">
        <f>254.865</f>
        <v>254.86500000000001</v>
      </c>
    </row>
    <row r="589" spans="1:10" ht="15.75" x14ac:dyDescent="0.25">
      <c r="A589" s="13">
        <v>59230</v>
      </c>
      <c r="B589" s="10">
        <f>45.0399 * CHOOSE(CONTROL!$C$15, $E$9, 100%, $G$9) + CHOOSE(CONTROL!$C$38, 0.0256, 0)</f>
        <v>45.0655</v>
      </c>
      <c r="C589" s="10">
        <f>41.6401 * CHOOSE(CONTROL!$C$15, $E$9, 100%, $G$9) + CHOOSE(CONTROL!$C$38, 0.0347, 0)</f>
        <v>41.674799999999998</v>
      </c>
      <c r="D589" s="10">
        <f>41.6323 * CHOOSE(CONTROL!$C$15, $E$9, 100%, $G$9) + CHOOSE(CONTROL!$C$38, 0.0347, 0)</f>
        <v>41.667000000000002</v>
      </c>
      <c r="E589" s="28">
        <f>44.8837 * CHOOSE(CONTROL!$C$15, $E$9, 100%, $G$9) + CHOOSE(CONTROL!$C$38, 0.0347, 0)</f>
        <v>44.918399999999998</v>
      </c>
      <c r="F589" s="27">
        <f>44.8837 * CHOOSE(CONTROL!$C$15, $E$9, 100%, $G$9) + CHOOSE(CONTROL!$C$38, 0.0256, 0)</f>
        <v>44.909299999999995</v>
      </c>
      <c r="G589" s="10">
        <f>41.6386 * CHOOSE(CONTROL!$C$15, $E$9, 100%, $G$9) + CHOOSE(CONTROL!$C$38, 0.0347, 0)</f>
        <v>41.673299999999998</v>
      </c>
      <c r="H589" s="10">
        <f>41.6386 * CHOOSE(CONTROL!$C$15, $E$9, 100%, $G$9) + CHOOSE(CONTROL!$C$38, 0.0347, 0)</f>
        <v>41.673299999999998</v>
      </c>
      <c r="I589" s="10">
        <f>41.6401 * CHOOSE(CONTROL!$C$15, $E$9, 100%, $G$9) + CHOOSE(CONTROL!$C$38, 0.0347, 0)</f>
        <v>41.674799999999998</v>
      </c>
      <c r="J589" s="26">
        <f>254.1566</f>
        <v>254.1566</v>
      </c>
    </row>
    <row r="590" spans="1:10" ht="15.75" x14ac:dyDescent="0.25">
      <c r="A590" s="13">
        <v>59261</v>
      </c>
      <c r="B590" s="10">
        <f>44.5289 * CHOOSE(CONTROL!$C$15, $E$9, 100%, $G$9) + CHOOSE(CONTROL!$C$38, 0.0256, 0)</f>
        <v>44.554499999999997</v>
      </c>
      <c r="C590" s="10">
        <f>41.1291 * CHOOSE(CONTROL!$C$15, $E$9, 100%, $G$9) + CHOOSE(CONTROL!$C$38, 0.0347, 0)</f>
        <v>41.163800000000002</v>
      </c>
      <c r="D590" s="10">
        <f>41.1213 * CHOOSE(CONTROL!$C$15, $E$9, 100%, $G$9) + CHOOSE(CONTROL!$C$38, 0.0347, 0)</f>
        <v>41.155999999999999</v>
      </c>
      <c r="E590" s="28">
        <f>44.3726 * CHOOSE(CONTROL!$C$15, $E$9, 100%, $G$9) + CHOOSE(CONTROL!$C$38, 0.0347, 0)</f>
        <v>44.407299999999999</v>
      </c>
      <c r="F590" s="27">
        <f>44.3726 * CHOOSE(CONTROL!$C$15, $E$9, 100%, $G$9) + CHOOSE(CONTROL!$C$38, 0.0256, 0)</f>
        <v>44.398199999999996</v>
      </c>
      <c r="G590" s="10">
        <f>41.1275 * CHOOSE(CONTROL!$C$15, $E$9, 100%, $G$9) + CHOOSE(CONTROL!$C$38, 0.0347, 0)</f>
        <v>41.162199999999999</v>
      </c>
      <c r="H590" s="10">
        <f>41.1275 * CHOOSE(CONTROL!$C$15, $E$9, 100%, $G$9) + CHOOSE(CONTROL!$C$38, 0.0347, 0)</f>
        <v>41.162199999999999</v>
      </c>
      <c r="I590" s="10">
        <f>41.1291 * CHOOSE(CONTROL!$C$15, $E$9, 100%, $G$9) + CHOOSE(CONTROL!$C$38, 0.0347, 0)</f>
        <v>41.163800000000002</v>
      </c>
      <c r="J590" s="26">
        <f>267.5521</f>
        <v>267.5521</v>
      </c>
    </row>
    <row r="591" spans="1:10" ht="15.75" x14ac:dyDescent="0.25">
      <c r="A591" s="13">
        <v>59291</v>
      </c>
      <c r="B591" s="10">
        <f>44.0337 * CHOOSE(CONTROL!$C$15, $E$9, 100%, $G$9) + CHOOSE(CONTROL!$C$38, 0.0256, 0)</f>
        <v>44.0593</v>
      </c>
      <c r="C591" s="10">
        <f>40.6339 * CHOOSE(CONTROL!$C$15, $E$9, 100%, $G$9) + CHOOSE(CONTROL!$C$38, 0.0347, 0)</f>
        <v>40.668599999999998</v>
      </c>
      <c r="D591" s="10">
        <f>40.6261 * CHOOSE(CONTROL!$C$15, $E$9, 100%, $G$9) + CHOOSE(CONTROL!$C$38, 0.0347, 0)</f>
        <v>40.660800000000002</v>
      </c>
      <c r="E591" s="28">
        <f>43.8775 * CHOOSE(CONTROL!$C$15, $E$9, 100%, $G$9) + CHOOSE(CONTROL!$C$38, 0.0347, 0)</f>
        <v>43.912199999999999</v>
      </c>
      <c r="F591" s="27">
        <f>43.8775 * CHOOSE(CONTROL!$C$15, $E$9, 100%, $G$9) + CHOOSE(CONTROL!$C$38, 0.0256, 0)</f>
        <v>43.903099999999995</v>
      </c>
      <c r="G591" s="10">
        <f>40.6324 * CHOOSE(CONTROL!$C$15, $E$9, 100%, $G$9) + CHOOSE(CONTROL!$C$38, 0.0347, 0)</f>
        <v>40.667099999999998</v>
      </c>
      <c r="H591" s="10">
        <f>40.6324 * CHOOSE(CONTROL!$C$15, $E$9, 100%, $G$9) + CHOOSE(CONTROL!$C$38, 0.0347, 0)</f>
        <v>40.667099999999998</v>
      </c>
      <c r="I591" s="10">
        <f>40.6339 * CHOOSE(CONTROL!$C$15, $E$9, 100%, $G$9) + CHOOSE(CONTROL!$C$38, 0.0347, 0)</f>
        <v>40.668599999999998</v>
      </c>
      <c r="J591" s="26">
        <f>284.9229</f>
        <v>284.92290000000003</v>
      </c>
    </row>
    <row r="592" spans="1:10" ht="15.75" x14ac:dyDescent="0.25">
      <c r="A592" s="13">
        <v>59322</v>
      </c>
      <c r="B592" s="10">
        <f>43.5176 * CHOOSE(CONTROL!$C$15, $E$9, 100%, $G$9) + CHOOSE(CONTROL!$C$38, 0.0278, 0)</f>
        <v>43.545400000000001</v>
      </c>
      <c r="C592" s="10">
        <f>40.1178 * CHOOSE(CONTROL!$C$15, $E$9, 100%, $G$9) + CHOOSE(CONTROL!$C$38, 0.0369, 0)</f>
        <v>40.154700000000005</v>
      </c>
      <c r="D592" s="10">
        <f>40.11 * CHOOSE(CONTROL!$C$15, $E$9, 100%, $G$9) + CHOOSE(CONTROL!$C$38, 0.0369, 0)</f>
        <v>40.146900000000002</v>
      </c>
      <c r="E592" s="28">
        <f>43.3614 * CHOOSE(CONTROL!$C$15, $E$9, 100%, $G$9) + CHOOSE(CONTROL!$C$38, 0.0369, 0)</f>
        <v>43.398300000000006</v>
      </c>
      <c r="F592" s="27">
        <f>43.3614 * CHOOSE(CONTROL!$C$15, $E$9, 100%, $G$9) + CHOOSE(CONTROL!$C$38, 0.0278, 0)</f>
        <v>43.389200000000002</v>
      </c>
      <c r="G592" s="10">
        <f>40.1162 * CHOOSE(CONTROL!$C$15, $E$9, 100%, $G$9) + CHOOSE(CONTROL!$C$38, 0.0369, 0)</f>
        <v>40.153100000000002</v>
      </c>
      <c r="H592" s="10">
        <f>40.1162 * CHOOSE(CONTROL!$C$15, $E$9, 100%, $G$9) + CHOOSE(CONTROL!$C$38, 0.0369, 0)</f>
        <v>40.153100000000002</v>
      </c>
      <c r="I592" s="10">
        <f>40.1178 * CHOOSE(CONTROL!$C$15, $E$9, 100%, $G$9) + CHOOSE(CONTROL!$C$38, 0.0369, 0)</f>
        <v>40.154700000000005</v>
      </c>
      <c r="J592" s="26">
        <f>294.4844</f>
        <v>294.48439999999999</v>
      </c>
    </row>
    <row r="593" spans="1:10" ht="15.75" x14ac:dyDescent="0.25">
      <c r="A593" s="13">
        <v>59352</v>
      </c>
      <c r="B593" s="10">
        <f>43.1558 * CHOOSE(CONTROL!$C$15, $E$9, 100%, $G$9) + CHOOSE(CONTROL!$C$38, 0.0278, 0)</f>
        <v>43.183599999999998</v>
      </c>
      <c r="C593" s="10">
        <f>39.756 * CHOOSE(CONTROL!$C$15, $E$9, 100%, $G$9) + CHOOSE(CONTROL!$C$38, 0.0369, 0)</f>
        <v>39.792900000000003</v>
      </c>
      <c r="D593" s="10">
        <f>39.7482 * CHOOSE(CONTROL!$C$15, $E$9, 100%, $G$9) + CHOOSE(CONTROL!$C$38, 0.0369, 0)</f>
        <v>39.7851</v>
      </c>
      <c r="E593" s="28">
        <f>42.9995 * CHOOSE(CONTROL!$C$15, $E$9, 100%, $G$9) + CHOOSE(CONTROL!$C$38, 0.0369, 0)</f>
        <v>43.0364</v>
      </c>
      <c r="F593" s="27">
        <f>42.9995 * CHOOSE(CONTROL!$C$15, $E$9, 100%, $G$9) + CHOOSE(CONTROL!$C$38, 0.0278, 0)</f>
        <v>43.027299999999997</v>
      </c>
      <c r="G593" s="10">
        <f>39.7544 * CHOOSE(CONTROL!$C$15, $E$9, 100%, $G$9) + CHOOSE(CONTROL!$C$38, 0.0369, 0)</f>
        <v>39.7913</v>
      </c>
      <c r="H593" s="10">
        <f>39.7544 * CHOOSE(CONTROL!$C$15, $E$9, 100%, $G$9) + CHOOSE(CONTROL!$C$38, 0.0369, 0)</f>
        <v>39.7913</v>
      </c>
      <c r="I593" s="10">
        <f>39.756 * CHOOSE(CONTROL!$C$15, $E$9, 100%, $G$9) + CHOOSE(CONTROL!$C$38, 0.0369, 0)</f>
        <v>39.792900000000003</v>
      </c>
      <c r="J593" s="26">
        <f>298.7276</f>
        <v>298.7276</v>
      </c>
    </row>
    <row r="594" spans="1:10" ht="15.75" x14ac:dyDescent="0.25">
      <c r="A594" s="13">
        <v>59383</v>
      </c>
      <c r="B594" s="10">
        <f>42.9493 * CHOOSE(CONTROL!$C$15, $E$9, 100%, $G$9) + CHOOSE(CONTROL!$C$38, 0.0278, 0)</f>
        <v>42.9771</v>
      </c>
      <c r="C594" s="10">
        <f>39.5495 * CHOOSE(CONTROL!$C$15, $E$9, 100%, $G$9) + CHOOSE(CONTROL!$C$38, 0.0369, 0)</f>
        <v>39.586400000000005</v>
      </c>
      <c r="D594" s="10">
        <f>39.5417 * CHOOSE(CONTROL!$C$15, $E$9, 100%, $G$9) + CHOOSE(CONTROL!$C$38, 0.0369, 0)</f>
        <v>39.578600000000002</v>
      </c>
      <c r="E594" s="28">
        <f>42.793 * CHOOSE(CONTROL!$C$15, $E$9, 100%, $G$9) + CHOOSE(CONTROL!$C$38, 0.0369, 0)</f>
        <v>42.829900000000002</v>
      </c>
      <c r="F594" s="27">
        <f>42.793 * CHOOSE(CONTROL!$C$15, $E$9, 100%, $G$9) + CHOOSE(CONTROL!$C$38, 0.0278, 0)</f>
        <v>42.820799999999998</v>
      </c>
      <c r="G594" s="10">
        <f>39.5479 * CHOOSE(CONTROL!$C$15, $E$9, 100%, $G$9) + CHOOSE(CONTROL!$C$38, 0.0369, 0)</f>
        <v>39.584800000000001</v>
      </c>
      <c r="H594" s="10">
        <f>39.5479 * CHOOSE(CONTROL!$C$15, $E$9, 100%, $G$9) + CHOOSE(CONTROL!$C$38, 0.0369, 0)</f>
        <v>39.584800000000001</v>
      </c>
      <c r="I594" s="10">
        <f>39.5495 * CHOOSE(CONTROL!$C$15, $E$9, 100%, $G$9) + CHOOSE(CONTROL!$C$38, 0.0369, 0)</f>
        <v>39.586400000000005</v>
      </c>
      <c r="J594" s="26">
        <f>297.3305</f>
        <v>297.33049999999997</v>
      </c>
    </row>
    <row r="595" spans="1:10" ht="15.75" x14ac:dyDescent="0.25">
      <c r="A595" s="13">
        <v>59414</v>
      </c>
      <c r="B595" s="10">
        <f>43.0512 * CHOOSE(CONTROL!$C$15, $E$9, 100%, $G$9) + CHOOSE(CONTROL!$C$38, 0.0278, 0)</f>
        <v>43.079000000000001</v>
      </c>
      <c r="C595" s="10">
        <f>39.6514 * CHOOSE(CONTROL!$C$15, $E$9, 100%, $G$9) + CHOOSE(CONTROL!$C$38, 0.0369, 0)</f>
        <v>39.688300000000005</v>
      </c>
      <c r="D595" s="10">
        <f>39.6436 * CHOOSE(CONTROL!$C$15, $E$9, 100%, $G$9) + CHOOSE(CONTROL!$C$38, 0.0369, 0)</f>
        <v>39.680500000000002</v>
      </c>
      <c r="E595" s="28">
        <f>42.8949 * CHOOSE(CONTROL!$C$15, $E$9, 100%, $G$9) + CHOOSE(CONTROL!$C$38, 0.0369, 0)</f>
        <v>42.931800000000003</v>
      </c>
      <c r="F595" s="27">
        <f>42.8949 * CHOOSE(CONTROL!$C$15, $E$9, 100%, $G$9) + CHOOSE(CONTROL!$C$38, 0.0278, 0)</f>
        <v>42.922699999999999</v>
      </c>
      <c r="G595" s="10">
        <f>39.6498 * CHOOSE(CONTROL!$C$15, $E$9, 100%, $G$9) + CHOOSE(CONTROL!$C$38, 0.0369, 0)</f>
        <v>39.686700000000002</v>
      </c>
      <c r="H595" s="10">
        <f>39.6498 * CHOOSE(CONTROL!$C$15, $E$9, 100%, $G$9) + CHOOSE(CONTROL!$C$38, 0.0369, 0)</f>
        <v>39.686700000000002</v>
      </c>
      <c r="I595" s="10">
        <f>39.6514 * CHOOSE(CONTROL!$C$15, $E$9, 100%, $G$9) + CHOOSE(CONTROL!$C$38, 0.0369, 0)</f>
        <v>39.688300000000005</v>
      </c>
      <c r="J595" s="26">
        <f>290.4088</f>
        <v>290.40879999999999</v>
      </c>
    </row>
    <row r="596" spans="1:10" ht="15.75" x14ac:dyDescent="0.25">
      <c r="A596" s="13">
        <v>59444</v>
      </c>
      <c r="B596" s="10">
        <f>43.328 * CHOOSE(CONTROL!$C$15, $E$9, 100%, $G$9) + CHOOSE(CONTROL!$C$38, 0.0278, 0)</f>
        <v>43.355800000000002</v>
      </c>
      <c r="C596" s="10">
        <f>39.9282 * CHOOSE(CONTROL!$C$15, $E$9, 100%, $G$9) + CHOOSE(CONTROL!$C$38, 0.0369, 0)</f>
        <v>39.9651</v>
      </c>
      <c r="D596" s="10">
        <f>39.9204 * CHOOSE(CONTROL!$C$15, $E$9, 100%, $G$9) + CHOOSE(CONTROL!$C$38, 0.0369, 0)</f>
        <v>39.957300000000004</v>
      </c>
      <c r="E596" s="28">
        <f>43.1717 * CHOOSE(CONTROL!$C$15, $E$9, 100%, $G$9) + CHOOSE(CONTROL!$C$38, 0.0369, 0)</f>
        <v>43.208600000000004</v>
      </c>
      <c r="F596" s="27">
        <f>43.1717 * CHOOSE(CONTROL!$C$15, $E$9, 100%, $G$9) + CHOOSE(CONTROL!$C$38, 0.0278, 0)</f>
        <v>43.1995</v>
      </c>
      <c r="G596" s="10">
        <f>39.9266 * CHOOSE(CONTROL!$C$15, $E$9, 100%, $G$9) + CHOOSE(CONTROL!$C$38, 0.0369, 0)</f>
        <v>39.963500000000003</v>
      </c>
      <c r="H596" s="10">
        <f>39.9266 * CHOOSE(CONTROL!$C$15, $E$9, 100%, $G$9) + CHOOSE(CONTROL!$C$38, 0.0369, 0)</f>
        <v>39.963500000000003</v>
      </c>
      <c r="I596" s="10">
        <f>39.9282 * CHOOSE(CONTROL!$C$15, $E$9, 100%, $G$9) + CHOOSE(CONTROL!$C$38, 0.0369, 0)</f>
        <v>39.9651</v>
      </c>
      <c r="J596" s="26">
        <f>280.7561</f>
        <v>280.7561</v>
      </c>
    </row>
    <row r="597" spans="1:10" ht="15.75" x14ac:dyDescent="0.25">
      <c r="A597" s="13">
        <v>59475</v>
      </c>
      <c r="B597" s="10">
        <f>43.5598 * CHOOSE(CONTROL!$C$15, $E$9, 100%, $G$9) + CHOOSE(CONTROL!$C$38, 0.0256, 0)</f>
        <v>43.5854</v>
      </c>
      <c r="C597" s="10">
        <f>40.16 * CHOOSE(CONTROL!$C$15, $E$9, 100%, $G$9) + CHOOSE(CONTROL!$C$38, 0.0347, 0)</f>
        <v>40.194699999999997</v>
      </c>
      <c r="D597" s="10">
        <f>40.1522 * CHOOSE(CONTROL!$C$15, $E$9, 100%, $G$9) + CHOOSE(CONTROL!$C$38, 0.0347, 0)</f>
        <v>40.186900000000001</v>
      </c>
      <c r="E597" s="28">
        <f>43.4036 * CHOOSE(CONTROL!$C$15, $E$9, 100%, $G$9) + CHOOSE(CONTROL!$C$38, 0.0347, 0)</f>
        <v>43.438299999999998</v>
      </c>
      <c r="F597" s="27">
        <f>43.4036 * CHOOSE(CONTROL!$C$15, $E$9, 100%, $G$9) + CHOOSE(CONTROL!$C$38, 0.0256, 0)</f>
        <v>43.429199999999994</v>
      </c>
      <c r="G597" s="10">
        <f>40.1584 * CHOOSE(CONTROL!$C$15, $E$9, 100%, $G$9) + CHOOSE(CONTROL!$C$38, 0.0347, 0)</f>
        <v>40.193100000000001</v>
      </c>
      <c r="H597" s="10">
        <f>40.1584 * CHOOSE(CONTROL!$C$15, $E$9, 100%, $G$9) + CHOOSE(CONTROL!$C$38, 0.0347, 0)</f>
        <v>40.193100000000001</v>
      </c>
      <c r="I597" s="10">
        <f>40.16 * CHOOSE(CONTROL!$C$15, $E$9, 100%, $G$9) + CHOOSE(CONTROL!$C$38, 0.0347, 0)</f>
        <v>40.194699999999997</v>
      </c>
      <c r="J597" s="26">
        <f>271.0473</f>
        <v>271.04730000000001</v>
      </c>
    </row>
    <row r="598" spans="1:10" ht="15.75" x14ac:dyDescent="0.25">
      <c r="A598" s="13">
        <v>59505</v>
      </c>
      <c r="B598" s="10">
        <f>43.7533 * CHOOSE(CONTROL!$C$15, $E$9, 100%, $G$9) + CHOOSE(CONTROL!$C$38, 0.0256, 0)</f>
        <v>43.7789</v>
      </c>
      <c r="C598" s="10">
        <f>40.3535 * CHOOSE(CONTROL!$C$15, $E$9, 100%, $G$9) + CHOOSE(CONTROL!$C$38, 0.0347, 0)</f>
        <v>40.388199999999998</v>
      </c>
      <c r="D598" s="10">
        <f>40.3456 * CHOOSE(CONTROL!$C$15, $E$9, 100%, $G$9) + CHOOSE(CONTROL!$C$38, 0.0347, 0)</f>
        <v>40.380299999999998</v>
      </c>
      <c r="E598" s="28">
        <f>43.597 * CHOOSE(CONTROL!$C$15, $E$9, 100%, $G$9) + CHOOSE(CONTROL!$C$38, 0.0347, 0)</f>
        <v>43.631700000000002</v>
      </c>
      <c r="F598" s="27">
        <f>43.597 * CHOOSE(CONTROL!$C$15, $E$9, 100%, $G$9) + CHOOSE(CONTROL!$C$38, 0.0256, 0)</f>
        <v>43.622599999999998</v>
      </c>
      <c r="G598" s="10">
        <f>40.3519 * CHOOSE(CONTROL!$C$15, $E$9, 100%, $G$9) + CHOOSE(CONTROL!$C$38, 0.0347, 0)</f>
        <v>40.386600000000001</v>
      </c>
      <c r="H598" s="10">
        <f>40.3519 * CHOOSE(CONTROL!$C$15, $E$9, 100%, $G$9) + CHOOSE(CONTROL!$C$38, 0.0347, 0)</f>
        <v>40.386600000000001</v>
      </c>
      <c r="I598" s="10">
        <f>40.3535 * CHOOSE(CONTROL!$C$15, $E$9, 100%, $G$9) + CHOOSE(CONTROL!$C$38, 0.0347, 0)</f>
        <v>40.388199999999998</v>
      </c>
      <c r="J598" s="26">
        <f>269.116</f>
        <v>269.11599999999999</v>
      </c>
    </row>
    <row r="599" spans="1:10" ht="15.75" x14ac:dyDescent="0.25">
      <c r="A599" s="13">
        <v>59536</v>
      </c>
      <c r="B599" s="10">
        <f>44.3493 * CHOOSE(CONTROL!$C$15, $E$9, 100%, $G$9) + CHOOSE(CONTROL!$C$38, 0.0256, 0)</f>
        <v>44.374899999999997</v>
      </c>
      <c r="C599" s="10">
        <f>40.9495 * CHOOSE(CONTROL!$C$15, $E$9, 100%, $G$9) + CHOOSE(CONTROL!$C$38, 0.0347, 0)</f>
        <v>40.984200000000001</v>
      </c>
      <c r="D599" s="10">
        <f>40.9417 * CHOOSE(CONTROL!$C$15, $E$9, 100%, $G$9) + CHOOSE(CONTROL!$C$38, 0.0347, 0)</f>
        <v>40.976399999999998</v>
      </c>
      <c r="E599" s="28">
        <f>44.1931 * CHOOSE(CONTROL!$C$15, $E$9, 100%, $G$9) + CHOOSE(CONTROL!$C$38, 0.0347, 0)</f>
        <v>44.227800000000002</v>
      </c>
      <c r="F599" s="27">
        <f>44.1931 * CHOOSE(CONTROL!$C$15, $E$9, 100%, $G$9) + CHOOSE(CONTROL!$C$38, 0.0256, 0)</f>
        <v>44.218699999999998</v>
      </c>
      <c r="G599" s="10">
        <f>40.948 * CHOOSE(CONTROL!$C$15, $E$9, 100%, $G$9) + CHOOSE(CONTROL!$C$38, 0.0347, 0)</f>
        <v>40.982700000000001</v>
      </c>
      <c r="H599" s="10">
        <f>40.948 * CHOOSE(CONTROL!$C$15, $E$9, 100%, $G$9) + CHOOSE(CONTROL!$C$38, 0.0347, 0)</f>
        <v>40.982700000000001</v>
      </c>
      <c r="I599" s="10">
        <f>40.9495 * CHOOSE(CONTROL!$C$15, $E$9, 100%, $G$9) + CHOOSE(CONTROL!$C$38, 0.0347, 0)</f>
        <v>40.984200000000001</v>
      </c>
      <c r="J599" s="26">
        <f>261.1299</f>
        <v>261.12990000000002</v>
      </c>
    </row>
    <row r="600" spans="1:10" ht="15.75" x14ac:dyDescent="0.25">
      <c r="A600" s="13">
        <v>59567</v>
      </c>
      <c r="B600" s="10">
        <f>45.5828 * CHOOSE(CONTROL!$C$15, $E$9, 100%, $G$9) + CHOOSE(CONTROL!$C$38, 0.0256, 0)</f>
        <v>45.608399999999996</v>
      </c>
      <c r="C600" s="10">
        <f>42.1257 * CHOOSE(CONTROL!$C$15, $E$9, 100%, $G$9) + CHOOSE(CONTROL!$C$38, 0.0347, 0)</f>
        <v>42.160400000000003</v>
      </c>
      <c r="D600" s="10">
        <f>42.1179 * CHOOSE(CONTROL!$C$15, $E$9, 100%, $G$9) + CHOOSE(CONTROL!$C$38, 0.0347, 0)</f>
        <v>42.1526</v>
      </c>
      <c r="E600" s="28">
        <f>45.4266 * CHOOSE(CONTROL!$C$15, $E$9, 100%, $G$9) + CHOOSE(CONTROL!$C$38, 0.0347, 0)</f>
        <v>45.461300000000001</v>
      </c>
      <c r="F600" s="27">
        <f>45.4266 * CHOOSE(CONTROL!$C$15, $E$9, 100%, $G$9) + CHOOSE(CONTROL!$C$38, 0.0256, 0)</f>
        <v>45.452199999999998</v>
      </c>
      <c r="G600" s="10">
        <f>42.1242 * CHOOSE(CONTROL!$C$15, $E$9, 100%, $G$9) + CHOOSE(CONTROL!$C$38, 0.0347, 0)</f>
        <v>42.158900000000003</v>
      </c>
      <c r="H600" s="10">
        <f>42.1242 * CHOOSE(CONTROL!$C$15, $E$9, 100%, $G$9) + CHOOSE(CONTROL!$C$38, 0.0347, 0)</f>
        <v>42.158900000000003</v>
      </c>
      <c r="I600" s="10">
        <f>42.1257 * CHOOSE(CONTROL!$C$15, $E$9, 100%, $G$9) + CHOOSE(CONTROL!$C$38, 0.0347, 0)</f>
        <v>42.160400000000003</v>
      </c>
      <c r="J600" s="26">
        <f>259.3808</f>
        <v>259.38080000000002</v>
      </c>
    </row>
    <row r="601" spans="1:10" ht="15.75" x14ac:dyDescent="0.25">
      <c r="A601" s="13">
        <v>59595</v>
      </c>
      <c r="B601" s="10">
        <f>45.8036 * CHOOSE(CONTROL!$C$15, $E$9, 100%, $G$9) + CHOOSE(CONTROL!$C$38, 0.0256, 0)</f>
        <v>45.8292</v>
      </c>
      <c r="C601" s="10">
        <f>42.3465 * CHOOSE(CONTROL!$C$15, $E$9, 100%, $G$9) + CHOOSE(CONTROL!$C$38, 0.0347, 0)</f>
        <v>42.3812</v>
      </c>
      <c r="D601" s="10">
        <f>42.3387 * CHOOSE(CONTROL!$C$15, $E$9, 100%, $G$9) + CHOOSE(CONTROL!$C$38, 0.0347, 0)</f>
        <v>42.373400000000004</v>
      </c>
      <c r="E601" s="28">
        <f>45.6474 * CHOOSE(CONTROL!$C$15, $E$9, 100%, $G$9) + CHOOSE(CONTROL!$C$38, 0.0347, 0)</f>
        <v>45.682099999999998</v>
      </c>
      <c r="F601" s="27">
        <f>45.6474 * CHOOSE(CONTROL!$C$15, $E$9, 100%, $G$9) + CHOOSE(CONTROL!$C$38, 0.0256, 0)</f>
        <v>45.672999999999995</v>
      </c>
      <c r="G601" s="10">
        <f>42.3449 * CHOOSE(CONTROL!$C$15, $E$9, 100%, $G$9) + CHOOSE(CONTROL!$C$38, 0.0347, 0)</f>
        <v>42.379600000000003</v>
      </c>
      <c r="H601" s="10">
        <f>42.3449 * CHOOSE(CONTROL!$C$15, $E$9, 100%, $G$9) + CHOOSE(CONTROL!$C$38, 0.0347, 0)</f>
        <v>42.379600000000003</v>
      </c>
      <c r="I601" s="10">
        <f>42.3465 * CHOOSE(CONTROL!$C$15, $E$9, 100%, $G$9) + CHOOSE(CONTROL!$C$38, 0.0347, 0)</f>
        <v>42.3812</v>
      </c>
      <c r="J601" s="26">
        <f>258.6598</f>
        <v>258.65980000000002</v>
      </c>
    </row>
    <row r="602" spans="1:10" ht="15.75" x14ac:dyDescent="0.25">
      <c r="A602" s="13">
        <v>59626</v>
      </c>
      <c r="B602" s="10">
        <f>45.2926 * CHOOSE(CONTROL!$C$15, $E$9, 100%, $G$9) + CHOOSE(CONTROL!$C$38, 0.0256, 0)</f>
        <v>45.318199999999997</v>
      </c>
      <c r="C602" s="10">
        <f>41.8355 * CHOOSE(CONTROL!$C$15, $E$9, 100%, $G$9) + CHOOSE(CONTROL!$C$38, 0.0347, 0)</f>
        <v>41.870200000000004</v>
      </c>
      <c r="D602" s="10">
        <f>41.8277 * CHOOSE(CONTROL!$C$15, $E$9, 100%, $G$9) + CHOOSE(CONTROL!$C$38, 0.0347, 0)</f>
        <v>41.862400000000001</v>
      </c>
      <c r="E602" s="28">
        <f>45.1363 * CHOOSE(CONTROL!$C$15, $E$9, 100%, $G$9) + CHOOSE(CONTROL!$C$38, 0.0347, 0)</f>
        <v>45.170999999999999</v>
      </c>
      <c r="F602" s="27">
        <f>45.1363 * CHOOSE(CONTROL!$C$15, $E$9, 100%, $G$9) + CHOOSE(CONTROL!$C$38, 0.0256, 0)</f>
        <v>45.161899999999996</v>
      </c>
      <c r="G602" s="10">
        <f>41.8339 * CHOOSE(CONTROL!$C$15, $E$9, 100%, $G$9) + CHOOSE(CONTROL!$C$38, 0.0347, 0)</f>
        <v>41.868600000000001</v>
      </c>
      <c r="H602" s="10">
        <f>41.8339 * CHOOSE(CONTROL!$C$15, $E$9, 100%, $G$9) + CHOOSE(CONTROL!$C$38, 0.0347, 0)</f>
        <v>41.868600000000001</v>
      </c>
      <c r="I602" s="10">
        <f>41.8355 * CHOOSE(CONTROL!$C$15, $E$9, 100%, $G$9) + CHOOSE(CONTROL!$C$38, 0.0347, 0)</f>
        <v>41.870200000000004</v>
      </c>
      <c r="J602" s="26">
        <f>272.2926</f>
        <v>272.29259999999999</v>
      </c>
    </row>
    <row r="603" spans="1:10" ht="15.75" x14ac:dyDescent="0.25">
      <c r="A603" s="13">
        <v>59656</v>
      </c>
      <c r="B603" s="10">
        <f>44.7974 * CHOOSE(CONTROL!$C$15, $E$9, 100%, $G$9) + CHOOSE(CONTROL!$C$38, 0.0256, 0)</f>
        <v>44.823</v>
      </c>
      <c r="C603" s="10">
        <f>41.3403 * CHOOSE(CONTROL!$C$15, $E$9, 100%, $G$9) + CHOOSE(CONTROL!$C$38, 0.0347, 0)</f>
        <v>41.375</v>
      </c>
      <c r="D603" s="10">
        <f>41.3325 * CHOOSE(CONTROL!$C$15, $E$9, 100%, $G$9) + CHOOSE(CONTROL!$C$38, 0.0347, 0)</f>
        <v>41.367200000000004</v>
      </c>
      <c r="E603" s="28">
        <f>44.6411 * CHOOSE(CONTROL!$C$15, $E$9, 100%, $G$9) + CHOOSE(CONTROL!$C$38, 0.0347, 0)</f>
        <v>44.675800000000002</v>
      </c>
      <c r="F603" s="27">
        <f>44.6411 * CHOOSE(CONTROL!$C$15, $E$9, 100%, $G$9) + CHOOSE(CONTROL!$C$38, 0.0256, 0)</f>
        <v>44.666699999999999</v>
      </c>
      <c r="G603" s="10">
        <f>41.3387 * CHOOSE(CONTROL!$C$15, $E$9, 100%, $G$9) + CHOOSE(CONTROL!$C$38, 0.0347, 0)</f>
        <v>41.373400000000004</v>
      </c>
      <c r="H603" s="10">
        <f>41.3387 * CHOOSE(CONTROL!$C$15, $E$9, 100%, $G$9) + CHOOSE(CONTROL!$C$38, 0.0347, 0)</f>
        <v>41.373400000000004</v>
      </c>
      <c r="I603" s="10">
        <f>41.3403 * CHOOSE(CONTROL!$C$15, $E$9, 100%, $G$9) + CHOOSE(CONTROL!$C$38, 0.0347, 0)</f>
        <v>41.375</v>
      </c>
      <c r="J603" s="26">
        <f>289.9712</f>
        <v>289.97120000000001</v>
      </c>
    </row>
    <row r="604" spans="1:10" ht="15.75" x14ac:dyDescent="0.25">
      <c r="A604" s="13">
        <v>59687</v>
      </c>
      <c r="B604" s="10">
        <f>44.2813 * CHOOSE(CONTROL!$C$15, $E$9, 100%, $G$9) + CHOOSE(CONTROL!$C$38, 0.0278, 0)</f>
        <v>44.309100000000001</v>
      </c>
      <c r="C604" s="10">
        <f>40.8242 * CHOOSE(CONTROL!$C$15, $E$9, 100%, $G$9) + CHOOSE(CONTROL!$C$38, 0.0369, 0)</f>
        <v>40.8611</v>
      </c>
      <c r="D604" s="10">
        <f>40.8164 * CHOOSE(CONTROL!$C$15, $E$9, 100%, $G$9) + CHOOSE(CONTROL!$C$38, 0.0369, 0)</f>
        <v>40.853300000000004</v>
      </c>
      <c r="E604" s="28">
        <f>44.125 * CHOOSE(CONTROL!$C$15, $E$9, 100%, $G$9) + CHOOSE(CONTROL!$C$38, 0.0369, 0)</f>
        <v>44.161900000000003</v>
      </c>
      <c r="F604" s="27">
        <f>44.125 * CHOOSE(CONTROL!$C$15, $E$9, 100%, $G$9) + CHOOSE(CONTROL!$C$38, 0.0278, 0)</f>
        <v>44.152799999999999</v>
      </c>
      <c r="G604" s="10">
        <f>40.8226 * CHOOSE(CONTROL!$C$15, $E$9, 100%, $G$9) + CHOOSE(CONTROL!$C$38, 0.0369, 0)</f>
        <v>40.859500000000004</v>
      </c>
      <c r="H604" s="10">
        <f>40.8226 * CHOOSE(CONTROL!$C$15, $E$9, 100%, $G$9) + CHOOSE(CONTROL!$C$38, 0.0369, 0)</f>
        <v>40.859500000000004</v>
      </c>
      <c r="I604" s="10">
        <f>40.8242 * CHOOSE(CONTROL!$C$15, $E$9, 100%, $G$9) + CHOOSE(CONTROL!$C$38, 0.0369, 0)</f>
        <v>40.8611</v>
      </c>
      <c r="J604" s="26">
        <f>299.7021</f>
        <v>299.70209999999997</v>
      </c>
    </row>
    <row r="605" spans="1:10" ht="15.75" x14ac:dyDescent="0.25">
      <c r="A605" s="13">
        <v>59717</v>
      </c>
      <c r="B605" s="10">
        <f>43.9195 * CHOOSE(CONTROL!$C$15, $E$9, 100%, $G$9) + CHOOSE(CONTROL!$C$38, 0.0278, 0)</f>
        <v>43.947299999999998</v>
      </c>
      <c r="C605" s="10">
        <f>40.4623 * CHOOSE(CONTROL!$C$15, $E$9, 100%, $G$9) + CHOOSE(CONTROL!$C$38, 0.0369, 0)</f>
        <v>40.499200000000002</v>
      </c>
      <c r="D605" s="10">
        <f>40.4545 * CHOOSE(CONTROL!$C$15, $E$9, 100%, $G$9) + CHOOSE(CONTROL!$C$38, 0.0369, 0)</f>
        <v>40.491400000000006</v>
      </c>
      <c r="E605" s="28">
        <f>43.7632 * CHOOSE(CONTROL!$C$15, $E$9, 100%, $G$9) + CHOOSE(CONTROL!$C$38, 0.0369, 0)</f>
        <v>43.8001</v>
      </c>
      <c r="F605" s="27">
        <f>43.7632 * CHOOSE(CONTROL!$C$15, $E$9, 100%, $G$9) + CHOOSE(CONTROL!$C$38, 0.0278, 0)</f>
        <v>43.790999999999997</v>
      </c>
      <c r="G605" s="10">
        <f>40.4608 * CHOOSE(CONTROL!$C$15, $E$9, 100%, $G$9) + CHOOSE(CONTROL!$C$38, 0.0369, 0)</f>
        <v>40.497700000000002</v>
      </c>
      <c r="H605" s="10">
        <f>40.4608 * CHOOSE(CONTROL!$C$15, $E$9, 100%, $G$9) + CHOOSE(CONTROL!$C$38, 0.0369, 0)</f>
        <v>40.497700000000002</v>
      </c>
      <c r="I605" s="10">
        <f>40.4623 * CHOOSE(CONTROL!$C$15, $E$9, 100%, $G$9) + CHOOSE(CONTROL!$C$38, 0.0369, 0)</f>
        <v>40.499200000000002</v>
      </c>
      <c r="J605" s="26">
        <f>304.0205</f>
        <v>304.02050000000003</v>
      </c>
    </row>
    <row r="606" spans="1:10" ht="15.75" x14ac:dyDescent="0.25">
      <c r="A606" s="13">
        <v>59748</v>
      </c>
      <c r="B606" s="10">
        <f>43.713 * CHOOSE(CONTROL!$C$15, $E$9, 100%, $G$9) + CHOOSE(CONTROL!$C$38, 0.0278, 0)</f>
        <v>43.7408</v>
      </c>
      <c r="C606" s="10">
        <f>40.2559 * CHOOSE(CONTROL!$C$15, $E$9, 100%, $G$9) + CHOOSE(CONTROL!$C$38, 0.0369, 0)</f>
        <v>40.2928</v>
      </c>
      <c r="D606" s="10">
        <f>40.248 * CHOOSE(CONTROL!$C$15, $E$9, 100%, $G$9) + CHOOSE(CONTROL!$C$38, 0.0369, 0)</f>
        <v>40.2849</v>
      </c>
      <c r="E606" s="28">
        <f>43.5567 * CHOOSE(CONTROL!$C$15, $E$9, 100%, $G$9) + CHOOSE(CONTROL!$C$38, 0.0369, 0)</f>
        <v>43.593600000000002</v>
      </c>
      <c r="F606" s="27">
        <f>43.5567 * CHOOSE(CONTROL!$C$15, $E$9, 100%, $G$9) + CHOOSE(CONTROL!$C$38, 0.0278, 0)</f>
        <v>43.584499999999998</v>
      </c>
      <c r="G606" s="10">
        <f>40.2543 * CHOOSE(CONTROL!$C$15, $E$9, 100%, $G$9) + CHOOSE(CONTROL!$C$38, 0.0369, 0)</f>
        <v>40.291200000000003</v>
      </c>
      <c r="H606" s="10">
        <f>40.2543 * CHOOSE(CONTROL!$C$15, $E$9, 100%, $G$9) + CHOOSE(CONTROL!$C$38, 0.0369, 0)</f>
        <v>40.291200000000003</v>
      </c>
      <c r="I606" s="10">
        <f>40.2559 * CHOOSE(CONTROL!$C$15, $E$9, 100%, $G$9) + CHOOSE(CONTROL!$C$38, 0.0369, 0)</f>
        <v>40.2928</v>
      </c>
      <c r="J606" s="26">
        <f>302.5986</f>
        <v>302.59859999999998</v>
      </c>
    </row>
    <row r="607" spans="1:10" ht="15.75" x14ac:dyDescent="0.25">
      <c r="A607" s="13">
        <v>59779</v>
      </c>
      <c r="B607" s="10">
        <f>43.8149 * CHOOSE(CONTROL!$C$15, $E$9, 100%, $G$9) + CHOOSE(CONTROL!$C$38, 0.0278, 0)</f>
        <v>43.842700000000001</v>
      </c>
      <c r="C607" s="10">
        <f>40.3578 * CHOOSE(CONTROL!$C$15, $E$9, 100%, $G$9) + CHOOSE(CONTROL!$C$38, 0.0369, 0)</f>
        <v>40.3947</v>
      </c>
      <c r="D607" s="10">
        <f>40.35 * CHOOSE(CONTROL!$C$15, $E$9, 100%, $G$9) + CHOOSE(CONTROL!$C$38, 0.0369, 0)</f>
        <v>40.386900000000004</v>
      </c>
      <c r="E607" s="28">
        <f>43.6586 * CHOOSE(CONTROL!$C$15, $E$9, 100%, $G$9) + CHOOSE(CONTROL!$C$38, 0.0369, 0)</f>
        <v>43.695500000000003</v>
      </c>
      <c r="F607" s="27">
        <f>43.6586 * CHOOSE(CONTROL!$C$15, $E$9, 100%, $G$9) + CHOOSE(CONTROL!$C$38, 0.0278, 0)</f>
        <v>43.686399999999999</v>
      </c>
      <c r="G607" s="10">
        <f>40.3562 * CHOOSE(CONTROL!$C$15, $E$9, 100%, $G$9) + CHOOSE(CONTROL!$C$38, 0.0369, 0)</f>
        <v>40.393100000000004</v>
      </c>
      <c r="H607" s="10">
        <f>40.3562 * CHOOSE(CONTROL!$C$15, $E$9, 100%, $G$9) + CHOOSE(CONTROL!$C$38, 0.0369, 0)</f>
        <v>40.393100000000004</v>
      </c>
      <c r="I607" s="10">
        <f>40.3578 * CHOOSE(CONTROL!$C$15, $E$9, 100%, $G$9) + CHOOSE(CONTROL!$C$38, 0.0369, 0)</f>
        <v>40.3947</v>
      </c>
      <c r="J607" s="26">
        <f>295.5543</f>
        <v>295.55430000000001</v>
      </c>
    </row>
    <row r="608" spans="1:10" ht="15.75" x14ac:dyDescent="0.25">
      <c r="A608" s="13">
        <v>59809</v>
      </c>
      <c r="B608" s="10">
        <f>44.0917 * CHOOSE(CONTROL!$C$15, $E$9, 100%, $G$9) + CHOOSE(CONTROL!$C$38, 0.0278, 0)</f>
        <v>44.119500000000002</v>
      </c>
      <c r="C608" s="10">
        <f>40.6346 * CHOOSE(CONTROL!$C$15, $E$9, 100%, $G$9) + CHOOSE(CONTROL!$C$38, 0.0369, 0)</f>
        <v>40.671500000000002</v>
      </c>
      <c r="D608" s="10">
        <f>40.6267 * CHOOSE(CONTROL!$C$15, $E$9, 100%, $G$9) + CHOOSE(CONTROL!$C$38, 0.0369, 0)</f>
        <v>40.663600000000002</v>
      </c>
      <c r="E608" s="28">
        <f>43.9354 * CHOOSE(CONTROL!$C$15, $E$9, 100%, $G$9) + CHOOSE(CONTROL!$C$38, 0.0369, 0)</f>
        <v>43.972300000000004</v>
      </c>
      <c r="F608" s="27">
        <f>43.9354 * CHOOSE(CONTROL!$C$15, $E$9, 100%, $G$9) + CHOOSE(CONTROL!$C$38, 0.0278, 0)</f>
        <v>43.963200000000001</v>
      </c>
      <c r="G608" s="10">
        <f>40.633 * CHOOSE(CONTROL!$C$15, $E$9, 100%, $G$9) + CHOOSE(CONTROL!$C$38, 0.0369, 0)</f>
        <v>40.669900000000005</v>
      </c>
      <c r="H608" s="10">
        <f>40.633 * CHOOSE(CONTROL!$C$15, $E$9, 100%, $G$9) + CHOOSE(CONTROL!$C$38, 0.0369, 0)</f>
        <v>40.669900000000005</v>
      </c>
      <c r="I608" s="10">
        <f>40.6346 * CHOOSE(CONTROL!$C$15, $E$9, 100%, $G$9) + CHOOSE(CONTROL!$C$38, 0.0369, 0)</f>
        <v>40.671500000000002</v>
      </c>
      <c r="J608" s="26">
        <f>285.7306</f>
        <v>285.73059999999998</v>
      </c>
    </row>
    <row r="609" spans="1:10" ht="15.75" x14ac:dyDescent="0.25">
      <c r="A609" s="13">
        <v>59840</v>
      </c>
      <c r="B609" s="10">
        <f>44.3235 * CHOOSE(CONTROL!$C$15, $E$9, 100%, $G$9) + CHOOSE(CONTROL!$C$38, 0.0256, 0)</f>
        <v>44.3491</v>
      </c>
      <c r="C609" s="10">
        <f>40.8664 * CHOOSE(CONTROL!$C$15, $E$9, 100%, $G$9) + CHOOSE(CONTROL!$C$38, 0.0347, 0)</f>
        <v>40.9011</v>
      </c>
      <c r="D609" s="10">
        <f>40.8586 * CHOOSE(CONTROL!$C$15, $E$9, 100%, $G$9) + CHOOSE(CONTROL!$C$38, 0.0347, 0)</f>
        <v>40.893300000000004</v>
      </c>
      <c r="E609" s="28">
        <f>44.1672 * CHOOSE(CONTROL!$C$15, $E$9, 100%, $G$9) + CHOOSE(CONTROL!$C$38, 0.0347, 0)</f>
        <v>44.201900000000002</v>
      </c>
      <c r="F609" s="27">
        <f>44.1672 * CHOOSE(CONTROL!$C$15, $E$9, 100%, $G$9) + CHOOSE(CONTROL!$C$38, 0.0256, 0)</f>
        <v>44.192799999999998</v>
      </c>
      <c r="G609" s="10">
        <f>40.8648 * CHOOSE(CONTROL!$C$15, $E$9, 100%, $G$9) + CHOOSE(CONTROL!$C$38, 0.0347, 0)</f>
        <v>40.899500000000003</v>
      </c>
      <c r="H609" s="10">
        <f>40.8648 * CHOOSE(CONTROL!$C$15, $E$9, 100%, $G$9) + CHOOSE(CONTROL!$C$38, 0.0347, 0)</f>
        <v>40.899500000000003</v>
      </c>
      <c r="I609" s="10">
        <f>40.8664 * CHOOSE(CONTROL!$C$15, $E$9, 100%, $G$9) + CHOOSE(CONTROL!$C$38, 0.0347, 0)</f>
        <v>40.9011</v>
      </c>
      <c r="J609" s="26">
        <f>275.8497</f>
        <v>275.84969999999998</v>
      </c>
    </row>
    <row r="610" spans="1:10" ht="15.75" x14ac:dyDescent="0.25">
      <c r="A610" s="13">
        <v>59870</v>
      </c>
      <c r="B610" s="10">
        <f>44.5169 * CHOOSE(CONTROL!$C$15, $E$9, 100%, $G$9) + CHOOSE(CONTROL!$C$38, 0.0256, 0)</f>
        <v>44.542499999999997</v>
      </c>
      <c r="C610" s="10">
        <f>41.0598 * CHOOSE(CONTROL!$C$15, $E$9, 100%, $G$9) + CHOOSE(CONTROL!$C$38, 0.0347, 0)</f>
        <v>41.094500000000004</v>
      </c>
      <c r="D610" s="10">
        <f>41.052 * CHOOSE(CONTROL!$C$15, $E$9, 100%, $G$9) + CHOOSE(CONTROL!$C$38, 0.0347, 0)</f>
        <v>41.0867</v>
      </c>
      <c r="E610" s="28">
        <f>44.3607 * CHOOSE(CONTROL!$C$15, $E$9, 100%, $G$9) + CHOOSE(CONTROL!$C$38, 0.0347, 0)</f>
        <v>44.395400000000002</v>
      </c>
      <c r="F610" s="27">
        <f>44.3607 * CHOOSE(CONTROL!$C$15, $E$9, 100%, $G$9) + CHOOSE(CONTROL!$C$38, 0.0256, 0)</f>
        <v>44.386299999999999</v>
      </c>
      <c r="G610" s="10">
        <f>41.0583 * CHOOSE(CONTROL!$C$15, $E$9, 100%, $G$9) + CHOOSE(CONTROL!$C$38, 0.0347, 0)</f>
        <v>41.093000000000004</v>
      </c>
      <c r="H610" s="10">
        <f>41.0583 * CHOOSE(CONTROL!$C$15, $E$9, 100%, $G$9) + CHOOSE(CONTROL!$C$38, 0.0347, 0)</f>
        <v>41.093000000000004</v>
      </c>
      <c r="I610" s="10">
        <f>41.0598 * CHOOSE(CONTROL!$C$15, $E$9, 100%, $G$9) + CHOOSE(CONTROL!$C$38, 0.0347, 0)</f>
        <v>41.094500000000004</v>
      </c>
      <c r="J610" s="26">
        <f>273.8842</f>
        <v>273.88420000000002</v>
      </c>
    </row>
    <row r="611" spans="1:10" ht="15.75" x14ac:dyDescent="0.25">
      <c r="A611" s="13">
        <v>59901</v>
      </c>
      <c r="B611" s="10">
        <f>45.113 * CHOOSE(CONTROL!$C$15, $E$9, 100%, $G$9) + CHOOSE(CONTROL!$C$38, 0.0256, 0)</f>
        <v>45.138599999999997</v>
      </c>
      <c r="C611" s="10">
        <f>41.6559 * CHOOSE(CONTROL!$C$15, $E$9, 100%, $G$9) + CHOOSE(CONTROL!$C$38, 0.0347, 0)</f>
        <v>41.690600000000003</v>
      </c>
      <c r="D611" s="10">
        <f>41.6481 * CHOOSE(CONTROL!$C$15, $E$9, 100%, $G$9) + CHOOSE(CONTROL!$C$38, 0.0347, 0)</f>
        <v>41.6828</v>
      </c>
      <c r="E611" s="28">
        <f>44.9568 * CHOOSE(CONTROL!$C$15, $E$9, 100%, $G$9) + CHOOSE(CONTROL!$C$38, 0.0347, 0)</f>
        <v>44.991500000000002</v>
      </c>
      <c r="F611" s="27">
        <f>44.9568 * CHOOSE(CONTROL!$C$15, $E$9, 100%, $G$9) + CHOOSE(CONTROL!$C$38, 0.0256, 0)</f>
        <v>44.982399999999998</v>
      </c>
      <c r="G611" s="10">
        <f>41.6543 * CHOOSE(CONTROL!$C$15, $E$9, 100%, $G$9) + CHOOSE(CONTROL!$C$38, 0.0347, 0)</f>
        <v>41.689</v>
      </c>
      <c r="H611" s="10">
        <f>41.6543 * CHOOSE(CONTROL!$C$15, $E$9, 100%, $G$9) + CHOOSE(CONTROL!$C$38, 0.0347, 0)</f>
        <v>41.689</v>
      </c>
      <c r="I611" s="10">
        <f>41.6559 * CHOOSE(CONTROL!$C$15, $E$9, 100%, $G$9) + CHOOSE(CONTROL!$C$38, 0.0347, 0)</f>
        <v>41.690600000000003</v>
      </c>
      <c r="J611" s="26">
        <f>265.7567</f>
        <v>265.75670000000002</v>
      </c>
    </row>
    <row r="612" spans="1:10" ht="15.75" x14ac:dyDescent="0.25">
      <c r="A612" s="13">
        <v>59932</v>
      </c>
      <c r="B612" s="10">
        <f>46.36 * CHOOSE(CONTROL!$C$15, $E$9, 100%, $G$9) + CHOOSE(CONTROL!$C$38, 0.0256, 0)</f>
        <v>46.385599999999997</v>
      </c>
      <c r="C612" s="10">
        <f>42.8446 * CHOOSE(CONTROL!$C$15, $E$9, 100%, $G$9) + CHOOSE(CONTROL!$C$38, 0.0347, 0)</f>
        <v>42.879300000000001</v>
      </c>
      <c r="D612" s="10">
        <f>42.8368 * CHOOSE(CONTROL!$C$15, $E$9, 100%, $G$9) + CHOOSE(CONTROL!$C$38, 0.0347, 0)</f>
        <v>42.871499999999997</v>
      </c>
      <c r="E612" s="28">
        <f>46.2038 * CHOOSE(CONTROL!$C$15, $E$9, 100%, $G$9) + CHOOSE(CONTROL!$C$38, 0.0347, 0)</f>
        <v>46.238500000000002</v>
      </c>
      <c r="F612" s="27">
        <f>46.2038 * CHOOSE(CONTROL!$C$15, $E$9, 100%, $G$9) + CHOOSE(CONTROL!$C$38, 0.0256, 0)</f>
        <v>46.229399999999998</v>
      </c>
      <c r="G612" s="10">
        <f>42.843 * CHOOSE(CONTROL!$C$15, $E$9, 100%, $G$9) + CHOOSE(CONTROL!$C$38, 0.0347, 0)</f>
        <v>42.877700000000004</v>
      </c>
      <c r="H612" s="10">
        <f>42.843 * CHOOSE(CONTROL!$C$15, $E$9, 100%, $G$9) + CHOOSE(CONTROL!$C$38, 0.0347, 0)</f>
        <v>42.877700000000004</v>
      </c>
      <c r="I612" s="10">
        <f>42.8446 * CHOOSE(CONTROL!$C$15, $E$9, 100%, $G$9) + CHOOSE(CONTROL!$C$38, 0.0347, 0)</f>
        <v>42.879300000000001</v>
      </c>
      <c r="J612" s="26">
        <f>263.9765</f>
        <v>263.97649999999999</v>
      </c>
    </row>
    <row r="613" spans="1:10" ht="15.75" x14ac:dyDescent="0.25">
      <c r="A613" s="13">
        <v>59961</v>
      </c>
      <c r="B613" s="10">
        <f>46.5808 * CHOOSE(CONTROL!$C$15, $E$9, 100%, $G$9) + CHOOSE(CONTROL!$C$38, 0.0256, 0)</f>
        <v>46.606400000000001</v>
      </c>
      <c r="C613" s="10">
        <f>43.0654 * CHOOSE(CONTROL!$C$15, $E$9, 100%, $G$9) + CHOOSE(CONTROL!$C$38, 0.0347, 0)</f>
        <v>43.100099999999998</v>
      </c>
      <c r="D613" s="10">
        <f>43.0575 * CHOOSE(CONTROL!$C$15, $E$9, 100%, $G$9) + CHOOSE(CONTROL!$C$38, 0.0347, 0)</f>
        <v>43.092199999999998</v>
      </c>
      <c r="E613" s="28">
        <f>46.4245 * CHOOSE(CONTROL!$C$15, $E$9, 100%, $G$9) + CHOOSE(CONTROL!$C$38, 0.0347, 0)</f>
        <v>46.459200000000003</v>
      </c>
      <c r="F613" s="27">
        <f>46.4245 * CHOOSE(CONTROL!$C$15, $E$9, 100%, $G$9) + CHOOSE(CONTROL!$C$38, 0.0256, 0)</f>
        <v>46.450099999999999</v>
      </c>
      <c r="G613" s="10">
        <f>43.0638 * CHOOSE(CONTROL!$C$15, $E$9, 100%, $G$9) + CHOOSE(CONTROL!$C$38, 0.0347, 0)</f>
        <v>43.098500000000001</v>
      </c>
      <c r="H613" s="10">
        <f>43.0638 * CHOOSE(CONTROL!$C$15, $E$9, 100%, $G$9) + CHOOSE(CONTROL!$C$38, 0.0347, 0)</f>
        <v>43.098500000000001</v>
      </c>
      <c r="I613" s="10">
        <f>43.0654 * CHOOSE(CONTROL!$C$15, $E$9, 100%, $G$9) + CHOOSE(CONTROL!$C$38, 0.0347, 0)</f>
        <v>43.100099999999998</v>
      </c>
      <c r="J613" s="26">
        <f>263.2427</f>
        <v>263.24270000000001</v>
      </c>
    </row>
    <row r="614" spans="1:10" ht="15.75" x14ac:dyDescent="0.25">
      <c r="A614" s="13">
        <v>59992</v>
      </c>
      <c r="B614" s="10">
        <f>46.0698 * CHOOSE(CONTROL!$C$15, $E$9, 100%, $G$9) + CHOOSE(CONTROL!$C$38, 0.0256, 0)</f>
        <v>46.095399999999998</v>
      </c>
      <c r="C614" s="10">
        <f>42.5543 * CHOOSE(CONTROL!$C$15, $E$9, 100%, $G$9) + CHOOSE(CONTROL!$C$38, 0.0347, 0)</f>
        <v>42.588999999999999</v>
      </c>
      <c r="D614" s="10">
        <f>42.5465 * CHOOSE(CONTROL!$C$15, $E$9, 100%, $G$9) + CHOOSE(CONTROL!$C$38, 0.0347, 0)</f>
        <v>42.581200000000003</v>
      </c>
      <c r="E614" s="28">
        <f>45.9135 * CHOOSE(CONTROL!$C$15, $E$9, 100%, $G$9) + CHOOSE(CONTROL!$C$38, 0.0347, 0)</f>
        <v>45.9482</v>
      </c>
      <c r="F614" s="27">
        <f>45.9135 * CHOOSE(CONTROL!$C$15, $E$9, 100%, $G$9) + CHOOSE(CONTROL!$C$38, 0.0256, 0)</f>
        <v>45.939099999999996</v>
      </c>
      <c r="G614" s="10">
        <f>42.5528 * CHOOSE(CONTROL!$C$15, $E$9, 100%, $G$9) + CHOOSE(CONTROL!$C$38, 0.0347, 0)</f>
        <v>42.587499999999999</v>
      </c>
      <c r="H614" s="10">
        <f>42.5528 * CHOOSE(CONTROL!$C$15, $E$9, 100%, $G$9) + CHOOSE(CONTROL!$C$38, 0.0347, 0)</f>
        <v>42.587499999999999</v>
      </c>
      <c r="I614" s="10">
        <f>42.5543 * CHOOSE(CONTROL!$C$15, $E$9, 100%, $G$9) + CHOOSE(CONTROL!$C$38, 0.0347, 0)</f>
        <v>42.588999999999999</v>
      </c>
      <c r="J614" s="26">
        <f>277.1172</f>
        <v>277.11720000000003</v>
      </c>
    </row>
    <row r="615" spans="1:10" ht="15.75" x14ac:dyDescent="0.25">
      <c r="A615" s="13">
        <v>60022</v>
      </c>
      <c r="B615" s="10">
        <f>45.5746 * CHOOSE(CONTROL!$C$15, $E$9, 100%, $G$9) + CHOOSE(CONTROL!$C$38, 0.0256, 0)</f>
        <v>45.600199999999994</v>
      </c>
      <c r="C615" s="10">
        <f>42.0591 * CHOOSE(CONTROL!$C$15, $E$9, 100%, $G$9) + CHOOSE(CONTROL!$C$38, 0.0347, 0)</f>
        <v>42.093800000000002</v>
      </c>
      <c r="D615" s="10">
        <f>42.0513 * CHOOSE(CONTROL!$C$15, $E$9, 100%, $G$9) + CHOOSE(CONTROL!$C$38, 0.0347, 0)</f>
        <v>42.085999999999999</v>
      </c>
      <c r="E615" s="28">
        <f>45.4183 * CHOOSE(CONTROL!$C$15, $E$9, 100%, $G$9) + CHOOSE(CONTROL!$C$38, 0.0347, 0)</f>
        <v>45.453000000000003</v>
      </c>
      <c r="F615" s="27">
        <f>45.4183 * CHOOSE(CONTROL!$C$15, $E$9, 100%, $G$9) + CHOOSE(CONTROL!$C$38, 0.0256, 0)</f>
        <v>45.443899999999999</v>
      </c>
      <c r="G615" s="10">
        <f>42.0576 * CHOOSE(CONTROL!$C$15, $E$9, 100%, $G$9) + CHOOSE(CONTROL!$C$38, 0.0347, 0)</f>
        <v>42.092300000000002</v>
      </c>
      <c r="H615" s="10">
        <f>42.0576 * CHOOSE(CONTROL!$C$15, $E$9, 100%, $G$9) + CHOOSE(CONTROL!$C$38, 0.0347, 0)</f>
        <v>42.092300000000002</v>
      </c>
      <c r="I615" s="10">
        <f>42.0591 * CHOOSE(CONTROL!$C$15, $E$9, 100%, $G$9) + CHOOSE(CONTROL!$C$38, 0.0347, 0)</f>
        <v>42.093800000000002</v>
      </c>
      <c r="J615" s="26">
        <f>295.1089</f>
        <v>295.10890000000001</v>
      </c>
    </row>
    <row r="616" spans="1:10" ht="15.75" x14ac:dyDescent="0.25">
      <c r="A616" s="13">
        <v>60053</v>
      </c>
      <c r="B616" s="10">
        <f>45.0585 * CHOOSE(CONTROL!$C$15, $E$9, 100%, $G$9) + CHOOSE(CONTROL!$C$38, 0.0278, 0)</f>
        <v>45.086300000000001</v>
      </c>
      <c r="C616" s="10">
        <f>41.543 * CHOOSE(CONTROL!$C$15, $E$9, 100%, $G$9) + CHOOSE(CONTROL!$C$38, 0.0369, 0)</f>
        <v>41.579900000000002</v>
      </c>
      <c r="D616" s="10">
        <f>41.5352 * CHOOSE(CONTROL!$C$15, $E$9, 100%, $G$9) + CHOOSE(CONTROL!$C$38, 0.0369, 0)</f>
        <v>41.572100000000006</v>
      </c>
      <c r="E616" s="28">
        <f>44.9022 * CHOOSE(CONTROL!$C$15, $E$9, 100%, $G$9) + CHOOSE(CONTROL!$C$38, 0.0369, 0)</f>
        <v>44.939100000000003</v>
      </c>
      <c r="F616" s="27">
        <f>44.9022 * CHOOSE(CONTROL!$C$15, $E$9, 100%, $G$9) + CHOOSE(CONTROL!$C$38, 0.0278, 0)</f>
        <v>44.93</v>
      </c>
      <c r="G616" s="10">
        <f>41.5415 * CHOOSE(CONTROL!$C$15, $E$9, 100%, $G$9) + CHOOSE(CONTROL!$C$38, 0.0369, 0)</f>
        <v>41.578400000000002</v>
      </c>
      <c r="H616" s="10">
        <f>41.5415 * CHOOSE(CONTROL!$C$15, $E$9, 100%, $G$9) + CHOOSE(CONTROL!$C$38, 0.0369, 0)</f>
        <v>41.578400000000002</v>
      </c>
      <c r="I616" s="10">
        <f>41.543 * CHOOSE(CONTROL!$C$15, $E$9, 100%, $G$9) + CHOOSE(CONTROL!$C$38, 0.0369, 0)</f>
        <v>41.579900000000002</v>
      </c>
      <c r="J616" s="26">
        <f>305.0122</f>
        <v>305.01220000000001</v>
      </c>
    </row>
    <row r="617" spans="1:10" ht="15.75" x14ac:dyDescent="0.25">
      <c r="A617" s="13">
        <v>60083</v>
      </c>
      <c r="B617" s="10">
        <f>44.6966 * CHOOSE(CONTROL!$C$15, $E$9, 100%, $G$9) + CHOOSE(CONTROL!$C$38, 0.0278, 0)</f>
        <v>44.724399999999996</v>
      </c>
      <c r="C617" s="10">
        <f>41.1812 * CHOOSE(CONTROL!$C$15, $E$9, 100%, $G$9) + CHOOSE(CONTROL!$C$38, 0.0369, 0)</f>
        <v>41.2181</v>
      </c>
      <c r="D617" s="10">
        <f>41.1734 * CHOOSE(CONTROL!$C$15, $E$9, 100%, $G$9) + CHOOSE(CONTROL!$C$38, 0.0369, 0)</f>
        <v>41.210300000000004</v>
      </c>
      <c r="E617" s="28">
        <f>44.5404 * CHOOSE(CONTROL!$C$15, $E$9, 100%, $G$9) + CHOOSE(CONTROL!$C$38, 0.0369, 0)</f>
        <v>44.577300000000001</v>
      </c>
      <c r="F617" s="27">
        <f>44.5404 * CHOOSE(CONTROL!$C$15, $E$9, 100%, $G$9) + CHOOSE(CONTROL!$C$38, 0.0278, 0)</f>
        <v>44.568199999999997</v>
      </c>
      <c r="G617" s="10">
        <f>41.1796 * CHOOSE(CONTROL!$C$15, $E$9, 100%, $G$9) + CHOOSE(CONTROL!$C$38, 0.0369, 0)</f>
        <v>41.216500000000003</v>
      </c>
      <c r="H617" s="10">
        <f>41.1796 * CHOOSE(CONTROL!$C$15, $E$9, 100%, $G$9) + CHOOSE(CONTROL!$C$38, 0.0369, 0)</f>
        <v>41.216500000000003</v>
      </c>
      <c r="I617" s="10">
        <f>41.1812 * CHOOSE(CONTROL!$C$15, $E$9, 100%, $G$9) + CHOOSE(CONTROL!$C$38, 0.0369, 0)</f>
        <v>41.2181</v>
      </c>
      <c r="J617" s="26">
        <f>309.4071</f>
        <v>309.40710000000001</v>
      </c>
    </row>
    <row r="618" spans="1:10" ht="15.75" x14ac:dyDescent="0.25">
      <c r="A618" s="13">
        <v>60114</v>
      </c>
      <c r="B618" s="10">
        <f>44.4901 * CHOOSE(CONTROL!$C$15, $E$9, 100%, $G$9) + CHOOSE(CONTROL!$C$38, 0.0278, 0)</f>
        <v>44.517899999999997</v>
      </c>
      <c r="C618" s="10">
        <f>40.9747 * CHOOSE(CONTROL!$C$15, $E$9, 100%, $G$9) + CHOOSE(CONTROL!$C$38, 0.0369, 0)</f>
        <v>41.011600000000001</v>
      </c>
      <c r="D618" s="10">
        <f>40.9669 * CHOOSE(CONTROL!$C$15, $E$9, 100%, $G$9) + CHOOSE(CONTROL!$C$38, 0.0369, 0)</f>
        <v>41.003800000000005</v>
      </c>
      <c r="E618" s="28">
        <f>44.3339 * CHOOSE(CONTROL!$C$15, $E$9, 100%, $G$9) + CHOOSE(CONTROL!$C$38, 0.0369, 0)</f>
        <v>44.370800000000003</v>
      </c>
      <c r="F618" s="27">
        <f>44.3339 * CHOOSE(CONTROL!$C$15, $E$9, 100%, $G$9) + CHOOSE(CONTROL!$C$38, 0.0278, 0)</f>
        <v>44.361699999999999</v>
      </c>
      <c r="G618" s="10">
        <f>40.9731 * CHOOSE(CONTROL!$C$15, $E$9, 100%, $G$9) + CHOOSE(CONTROL!$C$38, 0.0369, 0)</f>
        <v>41.010000000000005</v>
      </c>
      <c r="H618" s="10">
        <f>40.9731 * CHOOSE(CONTROL!$C$15, $E$9, 100%, $G$9) + CHOOSE(CONTROL!$C$38, 0.0369, 0)</f>
        <v>41.010000000000005</v>
      </c>
      <c r="I618" s="10">
        <f>40.9747 * CHOOSE(CONTROL!$C$15, $E$9, 100%, $G$9) + CHOOSE(CONTROL!$C$38, 0.0369, 0)</f>
        <v>41.011600000000001</v>
      </c>
      <c r="J618" s="26">
        <f>307.9601</f>
        <v>307.96010000000001</v>
      </c>
    </row>
    <row r="619" spans="1:10" ht="15.75" x14ac:dyDescent="0.25">
      <c r="A619" s="13">
        <v>60145</v>
      </c>
      <c r="B619" s="10">
        <f>44.592 * CHOOSE(CONTROL!$C$15, $E$9, 100%, $G$9) + CHOOSE(CONTROL!$C$38, 0.0278, 0)</f>
        <v>44.619799999999998</v>
      </c>
      <c r="C619" s="10">
        <f>41.0766 * CHOOSE(CONTROL!$C$15, $E$9, 100%, $G$9) + CHOOSE(CONTROL!$C$38, 0.0369, 0)</f>
        <v>41.113500000000002</v>
      </c>
      <c r="D619" s="10">
        <f>41.0688 * CHOOSE(CONTROL!$C$15, $E$9, 100%, $G$9) + CHOOSE(CONTROL!$C$38, 0.0369, 0)</f>
        <v>41.105700000000006</v>
      </c>
      <c r="E619" s="28">
        <f>44.4358 * CHOOSE(CONTROL!$C$15, $E$9, 100%, $G$9) + CHOOSE(CONTROL!$C$38, 0.0369, 0)</f>
        <v>44.472700000000003</v>
      </c>
      <c r="F619" s="27">
        <f>44.4358 * CHOOSE(CONTROL!$C$15, $E$9, 100%, $G$9) + CHOOSE(CONTROL!$C$38, 0.0278, 0)</f>
        <v>44.4636</v>
      </c>
      <c r="G619" s="10">
        <f>41.0751 * CHOOSE(CONTROL!$C$15, $E$9, 100%, $G$9) + CHOOSE(CONTROL!$C$38, 0.0369, 0)</f>
        <v>41.112000000000002</v>
      </c>
      <c r="H619" s="10">
        <f>41.0751 * CHOOSE(CONTROL!$C$15, $E$9, 100%, $G$9) + CHOOSE(CONTROL!$C$38, 0.0369, 0)</f>
        <v>41.112000000000002</v>
      </c>
      <c r="I619" s="10">
        <f>41.0766 * CHOOSE(CONTROL!$C$15, $E$9, 100%, $G$9) + CHOOSE(CONTROL!$C$38, 0.0369, 0)</f>
        <v>41.113500000000002</v>
      </c>
      <c r="J619" s="26">
        <f>300.7909</f>
        <v>300.79090000000002</v>
      </c>
    </row>
    <row r="620" spans="1:10" ht="15.75" x14ac:dyDescent="0.25">
      <c r="A620" s="13">
        <v>60175</v>
      </c>
      <c r="B620" s="10">
        <f>44.8688 * CHOOSE(CONTROL!$C$15, $E$9, 100%, $G$9) + CHOOSE(CONTROL!$C$38, 0.0278, 0)</f>
        <v>44.896599999999999</v>
      </c>
      <c r="C620" s="10">
        <f>41.3534 * CHOOSE(CONTROL!$C$15, $E$9, 100%, $G$9) + CHOOSE(CONTROL!$C$38, 0.0369, 0)</f>
        <v>41.390300000000003</v>
      </c>
      <c r="D620" s="10">
        <f>41.3456 * CHOOSE(CONTROL!$C$15, $E$9, 100%, $G$9) + CHOOSE(CONTROL!$C$38, 0.0369, 0)</f>
        <v>41.3825</v>
      </c>
      <c r="E620" s="28">
        <f>44.7126 * CHOOSE(CONTROL!$C$15, $E$9, 100%, $G$9) + CHOOSE(CONTROL!$C$38, 0.0369, 0)</f>
        <v>44.749500000000005</v>
      </c>
      <c r="F620" s="27">
        <f>44.7126 * CHOOSE(CONTROL!$C$15, $E$9, 100%, $G$9) + CHOOSE(CONTROL!$C$38, 0.0278, 0)</f>
        <v>44.740400000000001</v>
      </c>
      <c r="G620" s="10">
        <f>41.3519 * CHOOSE(CONTROL!$C$15, $E$9, 100%, $G$9) + CHOOSE(CONTROL!$C$38, 0.0369, 0)</f>
        <v>41.388800000000003</v>
      </c>
      <c r="H620" s="10">
        <f>41.3519 * CHOOSE(CONTROL!$C$15, $E$9, 100%, $G$9) + CHOOSE(CONTROL!$C$38, 0.0369, 0)</f>
        <v>41.388800000000003</v>
      </c>
      <c r="I620" s="10">
        <f>41.3534 * CHOOSE(CONTROL!$C$15, $E$9, 100%, $G$9) + CHOOSE(CONTROL!$C$38, 0.0369, 0)</f>
        <v>41.390300000000003</v>
      </c>
      <c r="J620" s="26">
        <f>290.7932</f>
        <v>290.79320000000001</v>
      </c>
    </row>
    <row r="621" spans="1:10" ht="15.75" x14ac:dyDescent="0.25">
      <c r="A621" s="13">
        <v>60206</v>
      </c>
      <c r="B621" s="10">
        <f>45.1007 * CHOOSE(CONTROL!$C$15, $E$9, 100%, $G$9) + CHOOSE(CONTROL!$C$38, 0.0256, 0)</f>
        <v>45.126300000000001</v>
      </c>
      <c r="C621" s="10">
        <f>41.5852 * CHOOSE(CONTROL!$C$15, $E$9, 100%, $G$9) + CHOOSE(CONTROL!$C$38, 0.0347, 0)</f>
        <v>41.619900000000001</v>
      </c>
      <c r="D621" s="10">
        <f>41.5774 * CHOOSE(CONTROL!$C$15, $E$9, 100%, $G$9) + CHOOSE(CONTROL!$C$38, 0.0347, 0)</f>
        <v>41.612099999999998</v>
      </c>
      <c r="E621" s="28">
        <f>44.9444 * CHOOSE(CONTROL!$C$15, $E$9, 100%, $G$9) + CHOOSE(CONTROL!$C$38, 0.0347, 0)</f>
        <v>44.979100000000003</v>
      </c>
      <c r="F621" s="27">
        <f>44.9444 * CHOOSE(CONTROL!$C$15, $E$9, 100%, $G$9) + CHOOSE(CONTROL!$C$38, 0.0256, 0)</f>
        <v>44.97</v>
      </c>
      <c r="G621" s="10">
        <f>41.5837 * CHOOSE(CONTROL!$C$15, $E$9, 100%, $G$9) + CHOOSE(CONTROL!$C$38, 0.0347, 0)</f>
        <v>41.618400000000001</v>
      </c>
      <c r="H621" s="10">
        <f>41.5837 * CHOOSE(CONTROL!$C$15, $E$9, 100%, $G$9) + CHOOSE(CONTROL!$C$38, 0.0347, 0)</f>
        <v>41.618400000000001</v>
      </c>
      <c r="I621" s="10">
        <f>41.5852 * CHOOSE(CONTROL!$C$15, $E$9, 100%, $G$9) + CHOOSE(CONTROL!$C$38, 0.0347, 0)</f>
        <v>41.619900000000001</v>
      </c>
      <c r="J621" s="26">
        <f>280.7372</f>
        <v>280.73719999999997</v>
      </c>
    </row>
    <row r="622" spans="1:10" ht="15.75" x14ac:dyDescent="0.25">
      <c r="A622" s="13">
        <v>60236</v>
      </c>
      <c r="B622" s="10">
        <f>45.2941 * CHOOSE(CONTROL!$C$15, $E$9, 100%, $G$9) + CHOOSE(CONTROL!$C$38, 0.0256, 0)</f>
        <v>45.319699999999997</v>
      </c>
      <c r="C622" s="10">
        <f>41.7787 * CHOOSE(CONTROL!$C$15, $E$9, 100%, $G$9) + CHOOSE(CONTROL!$C$38, 0.0347, 0)</f>
        <v>41.813400000000001</v>
      </c>
      <c r="D622" s="10">
        <f>41.7709 * CHOOSE(CONTROL!$C$15, $E$9, 100%, $G$9) + CHOOSE(CONTROL!$C$38, 0.0347, 0)</f>
        <v>41.805599999999998</v>
      </c>
      <c r="E622" s="28">
        <f>45.1379 * CHOOSE(CONTROL!$C$15, $E$9, 100%, $G$9) + CHOOSE(CONTROL!$C$38, 0.0347, 0)</f>
        <v>45.172600000000003</v>
      </c>
      <c r="F622" s="27">
        <f>45.1379 * CHOOSE(CONTROL!$C$15, $E$9, 100%, $G$9) + CHOOSE(CONTROL!$C$38, 0.0256, 0)</f>
        <v>45.163499999999999</v>
      </c>
      <c r="G622" s="10">
        <f>41.7771 * CHOOSE(CONTROL!$C$15, $E$9, 100%, $G$9) + CHOOSE(CONTROL!$C$38, 0.0347, 0)</f>
        <v>41.811799999999998</v>
      </c>
      <c r="H622" s="10">
        <f>41.7771 * CHOOSE(CONTROL!$C$15, $E$9, 100%, $G$9) + CHOOSE(CONTROL!$C$38, 0.0347, 0)</f>
        <v>41.811799999999998</v>
      </c>
      <c r="I622" s="10">
        <f>41.7787 * CHOOSE(CONTROL!$C$15, $E$9, 100%, $G$9) + CHOOSE(CONTROL!$C$38, 0.0347, 0)</f>
        <v>41.813400000000001</v>
      </c>
      <c r="J622" s="26">
        <f>278.7369</f>
        <v>278.73689999999999</v>
      </c>
    </row>
    <row r="623" spans="1:10" ht="15.75" x14ac:dyDescent="0.25">
      <c r="A623" s="13">
        <v>60267</v>
      </c>
      <c r="B623" s="10">
        <f>45.8902 * CHOOSE(CONTROL!$C$15, $E$9, 100%, $G$9) + CHOOSE(CONTROL!$C$38, 0.0256, 0)</f>
        <v>45.915799999999997</v>
      </c>
      <c r="C623" s="10">
        <f>42.3747 * CHOOSE(CONTROL!$C$15, $E$9, 100%, $G$9) + CHOOSE(CONTROL!$C$38, 0.0347, 0)</f>
        <v>42.409399999999998</v>
      </c>
      <c r="D623" s="10">
        <f>42.3669 * CHOOSE(CONTROL!$C$15, $E$9, 100%, $G$9) + CHOOSE(CONTROL!$C$38, 0.0347, 0)</f>
        <v>42.401600000000002</v>
      </c>
      <c r="E623" s="28">
        <f>45.7339 * CHOOSE(CONTROL!$C$15, $E$9, 100%, $G$9) + CHOOSE(CONTROL!$C$38, 0.0347, 0)</f>
        <v>45.768599999999999</v>
      </c>
      <c r="F623" s="27">
        <f>45.7339 * CHOOSE(CONTROL!$C$15, $E$9, 100%, $G$9) + CHOOSE(CONTROL!$C$38, 0.0256, 0)</f>
        <v>45.759499999999996</v>
      </c>
      <c r="G623" s="10">
        <f>42.3732 * CHOOSE(CONTROL!$C$15, $E$9, 100%, $G$9) + CHOOSE(CONTROL!$C$38, 0.0347, 0)</f>
        <v>42.407899999999998</v>
      </c>
      <c r="H623" s="10">
        <f>42.3732 * CHOOSE(CONTROL!$C$15, $E$9, 100%, $G$9) + CHOOSE(CONTROL!$C$38, 0.0347, 0)</f>
        <v>42.407899999999998</v>
      </c>
      <c r="I623" s="10">
        <f>42.3747 * CHOOSE(CONTROL!$C$15, $E$9, 100%, $G$9) + CHOOSE(CONTROL!$C$38, 0.0347, 0)</f>
        <v>42.409399999999998</v>
      </c>
      <c r="J623" s="26">
        <f>270.4654</f>
        <v>270.46539999999999</v>
      </c>
    </row>
    <row r="624" spans="1:10" ht="15.75" x14ac:dyDescent="0.25">
      <c r="A624" s="13">
        <v>60298</v>
      </c>
      <c r="B624" s="10">
        <f>47.1509 * CHOOSE(CONTROL!$C$15, $E$9, 100%, $G$9) + CHOOSE(CONTROL!$C$38, 0.0256, 0)</f>
        <v>47.176499999999997</v>
      </c>
      <c r="C624" s="10">
        <f>43.5761 * CHOOSE(CONTROL!$C$15, $E$9, 100%, $G$9) + CHOOSE(CONTROL!$C$38, 0.0347, 0)</f>
        <v>43.610799999999998</v>
      </c>
      <c r="D624" s="10">
        <f>43.5683 * CHOOSE(CONTROL!$C$15, $E$9, 100%, $G$9) + CHOOSE(CONTROL!$C$38, 0.0347, 0)</f>
        <v>43.603000000000002</v>
      </c>
      <c r="E624" s="28">
        <f>46.9947 * CHOOSE(CONTROL!$C$15, $E$9, 100%, $G$9) + CHOOSE(CONTROL!$C$38, 0.0347, 0)</f>
        <v>47.029400000000003</v>
      </c>
      <c r="F624" s="27">
        <f>46.9947 * CHOOSE(CONTROL!$C$15, $E$9, 100%, $G$9) + CHOOSE(CONTROL!$C$38, 0.0256, 0)</f>
        <v>47.020299999999999</v>
      </c>
      <c r="G624" s="10">
        <f>43.5746 * CHOOSE(CONTROL!$C$15, $E$9, 100%, $G$9) + CHOOSE(CONTROL!$C$38, 0.0347, 0)</f>
        <v>43.609299999999998</v>
      </c>
      <c r="H624" s="10">
        <f>43.5746 * CHOOSE(CONTROL!$C$15, $E$9, 100%, $G$9) + CHOOSE(CONTROL!$C$38, 0.0347, 0)</f>
        <v>43.609299999999998</v>
      </c>
      <c r="I624" s="10">
        <f>43.5761 * CHOOSE(CONTROL!$C$15, $E$9, 100%, $G$9) + CHOOSE(CONTROL!$C$38, 0.0347, 0)</f>
        <v>43.610799999999998</v>
      </c>
      <c r="J624" s="26">
        <f>268.6537</f>
        <v>268.65370000000001</v>
      </c>
    </row>
    <row r="625" spans="1:10" ht="15.75" x14ac:dyDescent="0.25">
      <c r="A625" s="13">
        <v>60326</v>
      </c>
      <c r="B625" s="10">
        <f>47.3717 * CHOOSE(CONTROL!$C$15, $E$9, 100%, $G$9) + CHOOSE(CONTROL!$C$38, 0.0256, 0)</f>
        <v>47.397299999999994</v>
      </c>
      <c r="C625" s="10">
        <f>43.7969 * CHOOSE(CONTROL!$C$15, $E$9, 100%, $G$9) + CHOOSE(CONTROL!$C$38, 0.0347, 0)</f>
        <v>43.831600000000002</v>
      </c>
      <c r="D625" s="10">
        <f>43.7891 * CHOOSE(CONTROL!$C$15, $E$9, 100%, $G$9) + CHOOSE(CONTROL!$C$38, 0.0347, 0)</f>
        <v>43.823799999999999</v>
      </c>
      <c r="E625" s="28">
        <f>47.2154 * CHOOSE(CONTROL!$C$15, $E$9, 100%, $G$9) + CHOOSE(CONTROL!$C$38, 0.0347, 0)</f>
        <v>47.250100000000003</v>
      </c>
      <c r="F625" s="27">
        <f>47.2154 * CHOOSE(CONTROL!$C$15, $E$9, 100%, $G$9) + CHOOSE(CONTROL!$C$38, 0.0256, 0)</f>
        <v>47.241</v>
      </c>
      <c r="G625" s="10">
        <f>43.7953 * CHOOSE(CONTROL!$C$15, $E$9, 100%, $G$9) + CHOOSE(CONTROL!$C$38, 0.0347, 0)</f>
        <v>43.83</v>
      </c>
      <c r="H625" s="10">
        <f>43.7953 * CHOOSE(CONTROL!$C$15, $E$9, 100%, $G$9) + CHOOSE(CONTROL!$C$38, 0.0347, 0)</f>
        <v>43.83</v>
      </c>
      <c r="I625" s="10">
        <f>43.7969 * CHOOSE(CONTROL!$C$15, $E$9, 100%, $G$9) + CHOOSE(CONTROL!$C$38, 0.0347, 0)</f>
        <v>43.831600000000002</v>
      </c>
      <c r="J625" s="26">
        <f>267.9069</f>
        <v>267.90690000000001</v>
      </c>
    </row>
    <row r="626" spans="1:10" ht="15.75" x14ac:dyDescent="0.25">
      <c r="A626" s="13">
        <v>60357</v>
      </c>
      <c r="B626" s="10">
        <f>46.8607 * CHOOSE(CONTROL!$C$15, $E$9, 100%, $G$9) + CHOOSE(CONTROL!$C$38, 0.0256, 0)</f>
        <v>46.886299999999999</v>
      </c>
      <c r="C626" s="10">
        <f>43.2859 * CHOOSE(CONTROL!$C$15, $E$9, 100%, $G$9) + CHOOSE(CONTROL!$C$38, 0.0347, 0)</f>
        <v>43.320599999999999</v>
      </c>
      <c r="D626" s="10">
        <f>43.2781 * CHOOSE(CONTROL!$C$15, $E$9, 100%, $G$9) + CHOOSE(CONTROL!$C$38, 0.0347, 0)</f>
        <v>43.312800000000003</v>
      </c>
      <c r="E626" s="28">
        <f>46.7044 * CHOOSE(CONTROL!$C$15, $E$9, 100%, $G$9) + CHOOSE(CONTROL!$C$38, 0.0347, 0)</f>
        <v>46.739100000000001</v>
      </c>
      <c r="F626" s="27">
        <f>46.7044 * CHOOSE(CONTROL!$C$15, $E$9, 100%, $G$9) + CHOOSE(CONTROL!$C$38, 0.0256, 0)</f>
        <v>46.73</v>
      </c>
      <c r="G626" s="10">
        <f>43.2843 * CHOOSE(CONTROL!$C$15, $E$9, 100%, $G$9) + CHOOSE(CONTROL!$C$38, 0.0347, 0)</f>
        <v>43.319000000000003</v>
      </c>
      <c r="H626" s="10">
        <f>43.2843 * CHOOSE(CONTROL!$C$15, $E$9, 100%, $G$9) + CHOOSE(CONTROL!$C$38, 0.0347, 0)</f>
        <v>43.319000000000003</v>
      </c>
      <c r="I626" s="10">
        <f>43.2859 * CHOOSE(CONTROL!$C$15, $E$9, 100%, $G$9) + CHOOSE(CONTROL!$C$38, 0.0347, 0)</f>
        <v>43.320599999999999</v>
      </c>
      <c r="J626" s="26">
        <f>282.0271</f>
        <v>282.02710000000002</v>
      </c>
    </row>
    <row r="627" spans="1:10" ht="15.75" x14ac:dyDescent="0.25">
      <c r="A627" s="13">
        <v>60387</v>
      </c>
      <c r="B627" s="10">
        <f>46.3655 * CHOOSE(CONTROL!$C$15, $E$9, 100%, $G$9) + CHOOSE(CONTROL!$C$38, 0.0256, 0)</f>
        <v>46.391099999999994</v>
      </c>
      <c r="C627" s="10">
        <f>42.7907 * CHOOSE(CONTROL!$C$15, $E$9, 100%, $G$9) + CHOOSE(CONTROL!$C$38, 0.0347, 0)</f>
        <v>42.825400000000002</v>
      </c>
      <c r="D627" s="10">
        <f>42.7829 * CHOOSE(CONTROL!$C$15, $E$9, 100%, $G$9) + CHOOSE(CONTROL!$C$38, 0.0347, 0)</f>
        <v>42.817599999999999</v>
      </c>
      <c r="E627" s="28">
        <f>46.2092 * CHOOSE(CONTROL!$C$15, $E$9, 100%, $G$9) + CHOOSE(CONTROL!$C$38, 0.0347, 0)</f>
        <v>46.243900000000004</v>
      </c>
      <c r="F627" s="27">
        <f>46.2092 * CHOOSE(CONTROL!$C$15, $E$9, 100%, $G$9) + CHOOSE(CONTROL!$C$38, 0.0256, 0)</f>
        <v>46.2348</v>
      </c>
      <c r="G627" s="10">
        <f>42.7891 * CHOOSE(CONTROL!$C$15, $E$9, 100%, $G$9) + CHOOSE(CONTROL!$C$38, 0.0347, 0)</f>
        <v>42.823799999999999</v>
      </c>
      <c r="H627" s="10">
        <f>42.7891 * CHOOSE(CONTROL!$C$15, $E$9, 100%, $G$9) + CHOOSE(CONTROL!$C$38, 0.0347, 0)</f>
        <v>42.823799999999999</v>
      </c>
      <c r="I627" s="10">
        <f>42.7907 * CHOOSE(CONTROL!$C$15, $E$9, 100%, $G$9) + CHOOSE(CONTROL!$C$38, 0.0347, 0)</f>
        <v>42.825400000000002</v>
      </c>
      <c r="J627" s="26">
        <f>300.3377</f>
        <v>300.33769999999998</v>
      </c>
    </row>
    <row r="628" spans="1:10" ht="15.75" x14ac:dyDescent="0.25">
      <c r="A628" s="13">
        <v>60418</v>
      </c>
      <c r="B628" s="10">
        <f>45.8494 * CHOOSE(CONTROL!$C$15, $E$9, 100%, $G$9) + CHOOSE(CONTROL!$C$38, 0.0278, 0)</f>
        <v>45.877200000000002</v>
      </c>
      <c r="C628" s="10">
        <f>42.2746 * CHOOSE(CONTROL!$C$15, $E$9, 100%, $G$9) + CHOOSE(CONTROL!$C$38, 0.0369, 0)</f>
        <v>42.311500000000002</v>
      </c>
      <c r="D628" s="10">
        <f>42.2668 * CHOOSE(CONTROL!$C$15, $E$9, 100%, $G$9) + CHOOSE(CONTROL!$C$38, 0.0369, 0)</f>
        <v>42.303700000000006</v>
      </c>
      <c r="E628" s="28">
        <f>45.6931 * CHOOSE(CONTROL!$C$15, $E$9, 100%, $G$9) + CHOOSE(CONTROL!$C$38, 0.0369, 0)</f>
        <v>45.730000000000004</v>
      </c>
      <c r="F628" s="27">
        <f>45.6931 * CHOOSE(CONTROL!$C$15, $E$9, 100%, $G$9) + CHOOSE(CONTROL!$C$38, 0.0278, 0)</f>
        <v>45.7209</v>
      </c>
      <c r="G628" s="10">
        <f>42.273 * CHOOSE(CONTROL!$C$15, $E$9, 100%, $G$9) + CHOOSE(CONTROL!$C$38, 0.0369, 0)</f>
        <v>42.309900000000006</v>
      </c>
      <c r="H628" s="10">
        <f>42.273 * CHOOSE(CONTROL!$C$15, $E$9, 100%, $G$9) + CHOOSE(CONTROL!$C$38, 0.0369, 0)</f>
        <v>42.309900000000006</v>
      </c>
      <c r="I628" s="10">
        <f>42.2746 * CHOOSE(CONTROL!$C$15, $E$9, 100%, $G$9) + CHOOSE(CONTROL!$C$38, 0.0369, 0)</f>
        <v>42.311500000000002</v>
      </c>
      <c r="J628" s="26">
        <f>310.4165</f>
        <v>310.41649999999998</v>
      </c>
    </row>
    <row r="629" spans="1:10" ht="15.75" x14ac:dyDescent="0.25">
      <c r="A629" s="13">
        <v>60448</v>
      </c>
      <c r="B629" s="10">
        <f>45.4875 * CHOOSE(CONTROL!$C$15, $E$9, 100%, $G$9) + CHOOSE(CONTROL!$C$38, 0.0278, 0)</f>
        <v>45.515299999999996</v>
      </c>
      <c r="C629" s="10">
        <f>41.9128 * CHOOSE(CONTROL!$C$15, $E$9, 100%, $G$9) + CHOOSE(CONTROL!$C$38, 0.0369, 0)</f>
        <v>41.9497</v>
      </c>
      <c r="D629" s="10">
        <f>41.9049 * CHOOSE(CONTROL!$C$15, $E$9, 100%, $G$9) + CHOOSE(CONTROL!$C$38, 0.0369, 0)</f>
        <v>41.941800000000001</v>
      </c>
      <c r="E629" s="28">
        <f>45.3313 * CHOOSE(CONTROL!$C$15, $E$9, 100%, $G$9) + CHOOSE(CONTROL!$C$38, 0.0369, 0)</f>
        <v>45.368200000000002</v>
      </c>
      <c r="F629" s="27">
        <f>45.3313 * CHOOSE(CONTROL!$C$15, $E$9, 100%, $G$9) + CHOOSE(CONTROL!$C$38, 0.0278, 0)</f>
        <v>45.359099999999998</v>
      </c>
      <c r="G629" s="10">
        <f>41.9112 * CHOOSE(CONTROL!$C$15, $E$9, 100%, $G$9) + CHOOSE(CONTROL!$C$38, 0.0369, 0)</f>
        <v>41.948100000000004</v>
      </c>
      <c r="H629" s="10">
        <f>41.9112 * CHOOSE(CONTROL!$C$15, $E$9, 100%, $G$9) + CHOOSE(CONTROL!$C$38, 0.0369, 0)</f>
        <v>41.948100000000004</v>
      </c>
      <c r="I629" s="10">
        <f>41.9128 * CHOOSE(CONTROL!$C$15, $E$9, 100%, $G$9) + CHOOSE(CONTROL!$C$38, 0.0369, 0)</f>
        <v>41.9497</v>
      </c>
      <c r="J629" s="26">
        <f>314.8892</f>
        <v>314.88920000000002</v>
      </c>
    </row>
    <row r="630" spans="1:10" ht="15.75" x14ac:dyDescent="0.25">
      <c r="A630" s="13">
        <v>60479</v>
      </c>
      <c r="B630" s="10">
        <f>45.281 * CHOOSE(CONTROL!$C$15, $E$9, 100%, $G$9) + CHOOSE(CONTROL!$C$38, 0.0278, 0)</f>
        <v>45.308799999999998</v>
      </c>
      <c r="C630" s="10">
        <f>41.7063 * CHOOSE(CONTROL!$C$15, $E$9, 100%, $G$9) + CHOOSE(CONTROL!$C$38, 0.0369, 0)</f>
        <v>41.743200000000002</v>
      </c>
      <c r="D630" s="10">
        <f>41.6985 * CHOOSE(CONTROL!$C$15, $E$9, 100%, $G$9) + CHOOSE(CONTROL!$C$38, 0.0369, 0)</f>
        <v>41.735400000000006</v>
      </c>
      <c r="E630" s="28">
        <f>45.1248 * CHOOSE(CONTROL!$C$15, $E$9, 100%, $G$9) + CHOOSE(CONTROL!$C$38, 0.0369, 0)</f>
        <v>45.161700000000003</v>
      </c>
      <c r="F630" s="27">
        <f>45.1248 * CHOOSE(CONTROL!$C$15, $E$9, 100%, $G$9) + CHOOSE(CONTROL!$C$38, 0.0278, 0)</f>
        <v>45.1526</v>
      </c>
      <c r="G630" s="10">
        <f>41.7047 * CHOOSE(CONTROL!$C$15, $E$9, 100%, $G$9) + CHOOSE(CONTROL!$C$38, 0.0369, 0)</f>
        <v>41.741600000000005</v>
      </c>
      <c r="H630" s="10">
        <f>41.7047 * CHOOSE(CONTROL!$C$15, $E$9, 100%, $G$9) + CHOOSE(CONTROL!$C$38, 0.0369, 0)</f>
        <v>41.741600000000005</v>
      </c>
      <c r="I630" s="10">
        <f>41.7063 * CHOOSE(CONTROL!$C$15, $E$9, 100%, $G$9) + CHOOSE(CONTROL!$C$38, 0.0369, 0)</f>
        <v>41.743200000000002</v>
      </c>
      <c r="J630" s="26">
        <f>313.4166</f>
        <v>313.41660000000002</v>
      </c>
    </row>
    <row r="631" spans="1:10" ht="15.75" x14ac:dyDescent="0.25">
      <c r="A631" s="13">
        <v>60510</v>
      </c>
      <c r="B631" s="10">
        <f>45.383 * CHOOSE(CONTROL!$C$15, $E$9, 100%, $G$9) + CHOOSE(CONTROL!$C$38, 0.0278, 0)</f>
        <v>45.410800000000002</v>
      </c>
      <c r="C631" s="10">
        <f>41.8082 * CHOOSE(CONTROL!$C$15, $E$9, 100%, $G$9) + CHOOSE(CONTROL!$C$38, 0.0369, 0)</f>
        <v>41.845100000000002</v>
      </c>
      <c r="D631" s="10">
        <f>41.8004 * CHOOSE(CONTROL!$C$15, $E$9, 100%, $G$9) + CHOOSE(CONTROL!$C$38, 0.0369, 0)</f>
        <v>41.837300000000006</v>
      </c>
      <c r="E631" s="28">
        <f>45.2267 * CHOOSE(CONTROL!$C$15, $E$9, 100%, $G$9) + CHOOSE(CONTROL!$C$38, 0.0369, 0)</f>
        <v>45.263600000000004</v>
      </c>
      <c r="F631" s="27">
        <f>45.2267 * CHOOSE(CONTROL!$C$15, $E$9, 100%, $G$9) + CHOOSE(CONTROL!$C$38, 0.0278, 0)</f>
        <v>45.2545</v>
      </c>
      <c r="G631" s="10">
        <f>41.8066 * CHOOSE(CONTROL!$C$15, $E$9, 100%, $G$9) + CHOOSE(CONTROL!$C$38, 0.0369, 0)</f>
        <v>41.843500000000006</v>
      </c>
      <c r="H631" s="10">
        <f>41.8066 * CHOOSE(CONTROL!$C$15, $E$9, 100%, $G$9) + CHOOSE(CONTROL!$C$38, 0.0369, 0)</f>
        <v>41.843500000000006</v>
      </c>
      <c r="I631" s="10">
        <f>41.8082 * CHOOSE(CONTROL!$C$15, $E$9, 100%, $G$9) + CHOOSE(CONTROL!$C$38, 0.0369, 0)</f>
        <v>41.845100000000002</v>
      </c>
      <c r="J631" s="26">
        <f>306.1204</f>
        <v>306.12040000000002</v>
      </c>
    </row>
    <row r="632" spans="1:10" ht="15.75" x14ac:dyDescent="0.25">
      <c r="A632" s="13">
        <v>60540</v>
      </c>
      <c r="B632" s="10">
        <f>45.6597 * CHOOSE(CONTROL!$C$15, $E$9, 100%, $G$9) + CHOOSE(CONTROL!$C$38, 0.0278, 0)</f>
        <v>45.6875</v>
      </c>
      <c r="C632" s="10">
        <f>42.085 * CHOOSE(CONTROL!$C$15, $E$9, 100%, $G$9) + CHOOSE(CONTROL!$C$38, 0.0369, 0)</f>
        <v>42.121900000000004</v>
      </c>
      <c r="D632" s="10">
        <f>42.0772 * CHOOSE(CONTROL!$C$15, $E$9, 100%, $G$9) + CHOOSE(CONTROL!$C$38, 0.0369, 0)</f>
        <v>42.114100000000001</v>
      </c>
      <c r="E632" s="28">
        <f>45.5035 * CHOOSE(CONTROL!$C$15, $E$9, 100%, $G$9) + CHOOSE(CONTROL!$C$38, 0.0369, 0)</f>
        <v>45.540400000000005</v>
      </c>
      <c r="F632" s="27">
        <f>45.5035 * CHOOSE(CONTROL!$C$15, $E$9, 100%, $G$9) + CHOOSE(CONTROL!$C$38, 0.0278, 0)</f>
        <v>45.531300000000002</v>
      </c>
      <c r="G632" s="10">
        <f>42.0834 * CHOOSE(CONTROL!$C$15, $E$9, 100%, $G$9) + CHOOSE(CONTROL!$C$38, 0.0369, 0)</f>
        <v>42.1203</v>
      </c>
      <c r="H632" s="10">
        <f>42.0834 * CHOOSE(CONTROL!$C$15, $E$9, 100%, $G$9) + CHOOSE(CONTROL!$C$38, 0.0369, 0)</f>
        <v>42.1203</v>
      </c>
      <c r="I632" s="10">
        <f>42.085 * CHOOSE(CONTROL!$C$15, $E$9, 100%, $G$9) + CHOOSE(CONTROL!$C$38, 0.0369, 0)</f>
        <v>42.121900000000004</v>
      </c>
      <c r="J632" s="26">
        <f>295.9455</f>
        <v>295.94549999999998</v>
      </c>
    </row>
    <row r="633" spans="1:10" ht="15.75" x14ac:dyDescent="0.25">
      <c r="A633" s="13">
        <v>60571</v>
      </c>
      <c r="B633" s="10">
        <f>45.8916 * CHOOSE(CONTROL!$C$15, $E$9, 100%, $G$9) + CHOOSE(CONTROL!$C$38, 0.0256, 0)</f>
        <v>45.917199999999994</v>
      </c>
      <c r="C633" s="10">
        <f>42.3168 * CHOOSE(CONTROL!$C$15, $E$9, 100%, $G$9) + CHOOSE(CONTROL!$C$38, 0.0347, 0)</f>
        <v>42.351500000000001</v>
      </c>
      <c r="D633" s="10">
        <f>42.309 * CHOOSE(CONTROL!$C$15, $E$9, 100%, $G$9) + CHOOSE(CONTROL!$C$38, 0.0347, 0)</f>
        <v>42.343699999999998</v>
      </c>
      <c r="E633" s="28">
        <f>45.7353 * CHOOSE(CONTROL!$C$15, $E$9, 100%, $G$9) + CHOOSE(CONTROL!$C$38, 0.0347, 0)</f>
        <v>45.77</v>
      </c>
      <c r="F633" s="27">
        <f>45.7353 * CHOOSE(CONTROL!$C$15, $E$9, 100%, $G$9) + CHOOSE(CONTROL!$C$38, 0.0256, 0)</f>
        <v>45.760899999999999</v>
      </c>
      <c r="G633" s="10">
        <f>42.3152 * CHOOSE(CONTROL!$C$15, $E$9, 100%, $G$9) + CHOOSE(CONTROL!$C$38, 0.0347, 0)</f>
        <v>42.349899999999998</v>
      </c>
      <c r="H633" s="10">
        <f>42.3152 * CHOOSE(CONTROL!$C$15, $E$9, 100%, $G$9) + CHOOSE(CONTROL!$C$38, 0.0347, 0)</f>
        <v>42.349899999999998</v>
      </c>
      <c r="I633" s="10">
        <f>42.3168 * CHOOSE(CONTROL!$C$15, $E$9, 100%, $G$9) + CHOOSE(CONTROL!$C$38, 0.0347, 0)</f>
        <v>42.351500000000001</v>
      </c>
      <c r="J633" s="26">
        <f>285.7114</f>
        <v>285.71140000000003</v>
      </c>
    </row>
    <row r="634" spans="1:10" ht="15.75" x14ac:dyDescent="0.25">
      <c r="A634" s="13">
        <v>60601</v>
      </c>
      <c r="B634" s="10">
        <f>46.085 * CHOOSE(CONTROL!$C$15, $E$9, 100%, $G$9) + CHOOSE(CONTROL!$C$38, 0.0256, 0)</f>
        <v>46.110599999999998</v>
      </c>
      <c r="C634" s="10">
        <f>42.5102 * CHOOSE(CONTROL!$C$15, $E$9, 100%, $G$9) + CHOOSE(CONTROL!$C$38, 0.0347, 0)</f>
        <v>42.544899999999998</v>
      </c>
      <c r="D634" s="10">
        <f>42.5024 * CHOOSE(CONTROL!$C$15, $E$9, 100%, $G$9) + CHOOSE(CONTROL!$C$38, 0.0347, 0)</f>
        <v>42.537100000000002</v>
      </c>
      <c r="E634" s="28">
        <f>45.9288 * CHOOSE(CONTROL!$C$15, $E$9, 100%, $G$9) + CHOOSE(CONTROL!$C$38, 0.0347, 0)</f>
        <v>45.963500000000003</v>
      </c>
      <c r="F634" s="27">
        <f>45.9288 * CHOOSE(CONTROL!$C$15, $E$9, 100%, $G$9) + CHOOSE(CONTROL!$C$38, 0.0256, 0)</f>
        <v>45.9544</v>
      </c>
      <c r="G634" s="10">
        <f>42.5087 * CHOOSE(CONTROL!$C$15, $E$9, 100%, $G$9) + CHOOSE(CONTROL!$C$38, 0.0347, 0)</f>
        <v>42.543399999999998</v>
      </c>
      <c r="H634" s="10">
        <f>42.5087 * CHOOSE(CONTROL!$C$15, $E$9, 100%, $G$9) + CHOOSE(CONTROL!$C$38, 0.0347, 0)</f>
        <v>42.543399999999998</v>
      </c>
      <c r="I634" s="10">
        <f>42.5102 * CHOOSE(CONTROL!$C$15, $E$9, 100%, $G$9) + CHOOSE(CONTROL!$C$38, 0.0347, 0)</f>
        <v>42.544899999999998</v>
      </c>
      <c r="J634" s="26">
        <f>283.6756</f>
        <v>283.67559999999997</v>
      </c>
    </row>
    <row r="635" spans="1:10" ht="15.75" x14ac:dyDescent="0.25">
      <c r="A635" s="13">
        <v>60632</v>
      </c>
      <c r="B635" s="10">
        <f>46.6811 * CHOOSE(CONTROL!$C$15, $E$9, 100%, $G$9) + CHOOSE(CONTROL!$C$38, 0.0256, 0)</f>
        <v>46.706699999999998</v>
      </c>
      <c r="C635" s="10">
        <f>43.1063 * CHOOSE(CONTROL!$C$15, $E$9, 100%, $G$9) + CHOOSE(CONTROL!$C$38, 0.0347, 0)</f>
        <v>43.140999999999998</v>
      </c>
      <c r="D635" s="10">
        <f>43.0985 * CHOOSE(CONTROL!$C$15, $E$9, 100%, $G$9) + CHOOSE(CONTROL!$C$38, 0.0347, 0)</f>
        <v>43.133200000000002</v>
      </c>
      <c r="E635" s="28">
        <f>46.5248 * CHOOSE(CONTROL!$C$15, $E$9, 100%, $G$9) + CHOOSE(CONTROL!$C$38, 0.0347, 0)</f>
        <v>46.5595</v>
      </c>
      <c r="F635" s="27">
        <f>46.5248 * CHOOSE(CONTROL!$C$15, $E$9, 100%, $G$9) + CHOOSE(CONTROL!$C$38, 0.0256, 0)</f>
        <v>46.550399999999996</v>
      </c>
      <c r="G635" s="10">
        <f>43.1047 * CHOOSE(CONTROL!$C$15, $E$9, 100%, $G$9) + CHOOSE(CONTROL!$C$38, 0.0347, 0)</f>
        <v>43.139400000000002</v>
      </c>
      <c r="H635" s="10">
        <f>43.1047 * CHOOSE(CONTROL!$C$15, $E$9, 100%, $G$9) + CHOOSE(CONTROL!$C$38, 0.0347, 0)</f>
        <v>43.139400000000002</v>
      </c>
      <c r="I635" s="10">
        <f>43.1063 * CHOOSE(CONTROL!$C$15, $E$9, 100%, $G$9) + CHOOSE(CONTROL!$C$38, 0.0347, 0)</f>
        <v>43.140999999999998</v>
      </c>
      <c r="J635" s="26">
        <f>275.2575</f>
        <v>275.25749999999999</v>
      </c>
    </row>
    <row r="636" spans="1:10" ht="15.75" x14ac:dyDescent="0.25">
      <c r="A636" s="13">
        <v>60663</v>
      </c>
      <c r="B636" s="10">
        <f>47.9558 * CHOOSE(CONTROL!$C$15, $E$9, 100%, $G$9) + CHOOSE(CONTROL!$C$38, 0.0256, 0)</f>
        <v>47.981400000000001</v>
      </c>
      <c r="C636" s="10">
        <f>44.3206 * CHOOSE(CONTROL!$C$15, $E$9, 100%, $G$9) + CHOOSE(CONTROL!$C$38, 0.0347, 0)</f>
        <v>44.3553</v>
      </c>
      <c r="D636" s="10">
        <f>44.3128 * CHOOSE(CONTROL!$C$15, $E$9, 100%, $G$9) + CHOOSE(CONTROL!$C$38, 0.0347, 0)</f>
        <v>44.347500000000004</v>
      </c>
      <c r="E636" s="28">
        <f>47.7996 * CHOOSE(CONTROL!$C$15, $E$9, 100%, $G$9) + CHOOSE(CONTROL!$C$38, 0.0347, 0)</f>
        <v>47.834299999999999</v>
      </c>
      <c r="F636" s="27">
        <f>47.7996 * CHOOSE(CONTROL!$C$15, $E$9, 100%, $G$9) + CHOOSE(CONTROL!$C$38, 0.0256, 0)</f>
        <v>47.825199999999995</v>
      </c>
      <c r="G636" s="10">
        <f>44.3191 * CHOOSE(CONTROL!$C$15, $E$9, 100%, $G$9) + CHOOSE(CONTROL!$C$38, 0.0347, 0)</f>
        <v>44.3538</v>
      </c>
      <c r="H636" s="10">
        <f>44.3191 * CHOOSE(CONTROL!$C$15, $E$9, 100%, $G$9) + CHOOSE(CONTROL!$C$38, 0.0347, 0)</f>
        <v>44.3538</v>
      </c>
      <c r="I636" s="10">
        <f>44.3206 * CHOOSE(CONTROL!$C$15, $E$9, 100%, $G$9) + CHOOSE(CONTROL!$C$38, 0.0347, 0)</f>
        <v>44.3553</v>
      </c>
      <c r="J636" s="26">
        <f>273.4137</f>
        <v>273.41370000000001</v>
      </c>
    </row>
    <row r="637" spans="1:10" ht="15.75" x14ac:dyDescent="0.25">
      <c r="A637" s="13">
        <v>60691</v>
      </c>
      <c r="B637" s="10">
        <f>48.1766 * CHOOSE(CONTROL!$C$15, $E$9, 100%, $G$9) + CHOOSE(CONTROL!$C$38, 0.0256, 0)</f>
        <v>48.202199999999998</v>
      </c>
      <c r="C637" s="10">
        <f>44.5414 * CHOOSE(CONTROL!$C$15, $E$9, 100%, $G$9) + CHOOSE(CONTROL!$C$38, 0.0347, 0)</f>
        <v>44.576100000000004</v>
      </c>
      <c r="D637" s="10">
        <f>44.5336 * CHOOSE(CONTROL!$C$15, $E$9, 100%, $G$9) + CHOOSE(CONTROL!$C$38, 0.0347, 0)</f>
        <v>44.568300000000001</v>
      </c>
      <c r="E637" s="28">
        <f>48.0203 * CHOOSE(CONTROL!$C$15, $E$9, 100%, $G$9) + CHOOSE(CONTROL!$C$38, 0.0347, 0)</f>
        <v>48.055</v>
      </c>
      <c r="F637" s="27">
        <f>48.0203 * CHOOSE(CONTROL!$C$15, $E$9, 100%, $G$9) + CHOOSE(CONTROL!$C$38, 0.0256, 0)</f>
        <v>48.045899999999996</v>
      </c>
      <c r="G637" s="10">
        <f>44.5398 * CHOOSE(CONTROL!$C$15, $E$9, 100%, $G$9) + CHOOSE(CONTROL!$C$38, 0.0347, 0)</f>
        <v>44.5745</v>
      </c>
      <c r="H637" s="10">
        <f>44.5398 * CHOOSE(CONTROL!$C$15, $E$9, 100%, $G$9) + CHOOSE(CONTROL!$C$38, 0.0347, 0)</f>
        <v>44.5745</v>
      </c>
      <c r="I637" s="10">
        <f>44.5414 * CHOOSE(CONTROL!$C$15, $E$9, 100%, $G$9) + CHOOSE(CONTROL!$C$38, 0.0347, 0)</f>
        <v>44.576100000000004</v>
      </c>
      <c r="J637" s="26">
        <f>272.6537</f>
        <v>272.65370000000001</v>
      </c>
    </row>
    <row r="638" spans="1:10" ht="15.75" x14ac:dyDescent="0.25">
      <c r="A638" s="13">
        <v>60722</v>
      </c>
      <c r="B638" s="10">
        <f>47.6655 * CHOOSE(CONTROL!$C$15, $E$9, 100%, $G$9) + CHOOSE(CONTROL!$C$38, 0.0256, 0)</f>
        <v>47.691099999999999</v>
      </c>
      <c r="C638" s="10">
        <f>44.0304 * CHOOSE(CONTROL!$C$15, $E$9, 100%, $G$9) + CHOOSE(CONTROL!$C$38, 0.0347, 0)</f>
        <v>44.065100000000001</v>
      </c>
      <c r="D638" s="10">
        <f>44.0225 * CHOOSE(CONTROL!$C$15, $E$9, 100%, $G$9) + CHOOSE(CONTROL!$C$38, 0.0347, 0)</f>
        <v>44.057200000000002</v>
      </c>
      <c r="E638" s="28">
        <f>47.5093 * CHOOSE(CONTROL!$C$15, $E$9, 100%, $G$9) + CHOOSE(CONTROL!$C$38, 0.0347, 0)</f>
        <v>47.544000000000004</v>
      </c>
      <c r="F638" s="27">
        <f>47.5093 * CHOOSE(CONTROL!$C$15, $E$9, 100%, $G$9) + CHOOSE(CONTROL!$C$38, 0.0256, 0)</f>
        <v>47.5349</v>
      </c>
      <c r="G638" s="10">
        <f>44.0288 * CHOOSE(CONTROL!$C$15, $E$9, 100%, $G$9) + CHOOSE(CONTROL!$C$38, 0.0347, 0)</f>
        <v>44.063499999999998</v>
      </c>
      <c r="H638" s="10">
        <f>44.0288 * CHOOSE(CONTROL!$C$15, $E$9, 100%, $G$9) + CHOOSE(CONTROL!$C$38, 0.0347, 0)</f>
        <v>44.063499999999998</v>
      </c>
      <c r="I638" s="10">
        <f>44.0304 * CHOOSE(CONTROL!$C$15, $E$9, 100%, $G$9) + CHOOSE(CONTROL!$C$38, 0.0347, 0)</f>
        <v>44.065100000000001</v>
      </c>
      <c r="J638" s="26">
        <f>287.0241</f>
        <v>287.02409999999998</v>
      </c>
    </row>
    <row r="639" spans="1:10" ht="15.75" x14ac:dyDescent="0.25">
      <c r="A639" s="13">
        <v>60752</v>
      </c>
      <c r="B639" s="10">
        <f>47.1704 * CHOOSE(CONTROL!$C$15, $E$9, 100%, $G$9) + CHOOSE(CONTROL!$C$38, 0.0256, 0)</f>
        <v>47.195999999999998</v>
      </c>
      <c r="C639" s="10">
        <f>43.5352 * CHOOSE(CONTROL!$C$15, $E$9, 100%, $G$9) + CHOOSE(CONTROL!$C$38, 0.0347, 0)</f>
        <v>43.569900000000004</v>
      </c>
      <c r="D639" s="10">
        <f>43.5274 * CHOOSE(CONTROL!$C$15, $E$9, 100%, $G$9) + CHOOSE(CONTROL!$C$38, 0.0347, 0)</f>
        <v>43.562100000000001</v>
      </c>
      <c r="E639" s="28">
        <f>47.0141 * CHOOSE(CONTROL!$C$15, $E$9, 100%, $G$9) + CHOOSE(CONTROL!$C$38, 0.0347, 0)</f>
        <v>47.0488</v>
      </c>
      <c r="F639" s="27">
        <f>47.0141 * CHOOSE(CONTROL!$C$15, $E$9, 100%, $G$9) + CHOOSE(CONTROL!$C$38, 0.0256, 0)</f>
        <v>47.039699999999996</v>
      </c>
      <c r="G639" s="10">
        <f>43.5336 * CHOOSE(CONTROL!$C$15, $E$9, 100%, $G$9) + CHOOSE(CONTROL!$C$38, 0.0347, 0)</f>
        <v>43.568300000000001</v>
      </c>
      <c r="H639" s="10">
        <f>43.5336 * CHOOSE(CONTROL!$C$15, $E$9, 100%, $G$9) + CHOOSE(CONTROL!$C$38, 0.0347, 0)</f>
        <v>43.568300000000001</v>
      </c>
      <c r="I639" s="10">
        <f>43.5352 * CHOOSE(CONTROL!$C$15, $E$9, 100%, $G$9) + CHOOSE(CONTROL!$C$38, 0.0347, 0)</f>
        <v>43.569900000000004</v>
      </c>
      <c r="J639" s="26">
        <f>305.6591</f>
        <v>305.65910000000002</v>
      </c>
    </row>
    <row r="640" spans="1:10" ht="15.75" x14ac:dyDescent="0.25">
      <c r="A640" s="13">
        <v>60783</v>
      </c>
      <c r="B640" s="10">
        <f>46.6542 * CHOOSE(CONTROL!$C$15, $E$9, 100%, $G$9) + CHOOSE(CONTROL!$C$38, 0.0278, 0)</f>
        <v>46.682000000000002</v>
      </c>
      <c r="C640" s="10">
        <f>43.0191 * CHOOSE(CONTROL!$C$15, $E$9, 100%, $G$9) + CHOOSE(CONTROL!$C$38, 0.0369, 0)</f>
        <v>43.056000000000004</v>
      </c>
      <c r="D640" s="10">
        <f>43.0113 * CHOOSE(CONTROL!$C$15, $E$9, 100%, $G$9) + CHOOSE(CONTROL!$C$38, 0.0369, 0)</f>
        <v>43.048200000000001</v>
      </c>
      <c r="E640" s="28">
        <f>46.498 * CHOOSE(CONTROL!$C$15, $E$9, 100%, $G$9) + CHOOSE(CONTROL!$C$38, 0.0369, 0)</f>
        <v>46.5349</v>
      </c>
      <c r="F640" s="27">
        <f>46.498 * CHOOSE(CONTROL!$C$15, $E$9, 100%, $G$9) + CHOOSE(CONTROL!$C$38, 0.0278, 0)</f>
        <v>46.525799999999997</v>
      </c>
      <c r="G640" s="10">
        <f>43.0175 * CHOOSE(CONTROL!$C$15, $E$9, 100%, $G$9) + CHOOSE(CONTROL!$C$38, 0.0369, 0)</f>
        <v>43.054400000000001</v>
      </c>
      <c r="H640" s="10">
        <f>43.0175 * CHOOSE(CONTROL!$C$15, $E$9, 100%, $G$9) + CHOOSE(CONTROL!$C$38, 0.0369, 0)</f>
        <v>43.054400000000001</v>
      </c>
      <c r="I640" s="10">
        <f>43.0191 * CHOOSE(CONTROL!$C$15, $E$9, 100%, $G$9) + CHOOSE(CONTROL!$C$38, 0.0369, 0)</f>
        <v>43.056000000000004</v>
      </c>
      <c r="J640" s="26">
        <f>315.9165</f>
        <v>315.91649999999998</v>
      </c>
    </row>
    <row r="641" spans="1:10" ht="15.75" x14ac:dyDescent="0.25">
      <c r="A641" s="13">
        <v>60813</v>
      </c>
      <c r="B641" s="10">
        <f>46.2924 * CHOOSE(CONTROL!$C$15, $E$9, 100%, $G$9) + CHOOSE(CONTROL!$C$38, 0.0278, 0)</f>
        <v>46.3202</v>
      </c>
      <c r="C641" s="10">
        <f>42.6572 * CHOOSE(CONTROL!$C$15, $E$9, 100%, $G$9) + CHOOSE(CONTROL!$C$38, 0.0369, 0)</f>
        <v>42.694100000000006</v>
      </c>
      <c r="D641" s="10">
        <f>42.6494 * CHOOSE(CONTROL!$C$15, $E$9, 100%, $G$9) + CHOOSE(CONTROL!$C$38, 0.0369, 0)</f>
        <v>42.686300000000003</v>
      </c>
      <c r="E641" s="28">
        <f>46.1362 * CHOOSE(CONTROL!$C$15, $E$9, 100%, $G$9) + CHOOSE(CONTROL!$C$38, 0.0369, 0)</f>
        <v>46.173100000000005</v>
      </c>
      <c r="F641" s="27">
        <f>46.1362 * CHOOSE(CONTROL!$C$15, $E$9, 100%, $G$9) + CHOOSE(CONTROL!$C$38, 0.0278, 0)</f>
        <v>46.164000000000001</v>
      </c>
      <c r="G641" s="10">
        <f>42.6557 * CHOOSE(CONTROL!$C$15, $E$9, 100%, $G$9) + CHOOSE(CONTROL!$C$38, 0.0369, 0)</f>
        <v>42.692600000000006</v>
      </c>
      <c r="H641" s="10">
        <f>42.6557 * CHOOSE(CONTROL!$C$15, $E$9, 100%, $G$9) + CHOOSE(CONTROL!$C$38, 0.0369, 0)</f>
        <v>42.692600000000006</v>
      </c>
      <c r="I641" s="10">
        <f>42.6572 * CHOOSE(CONTROL!$C$15, $E$9, 100%, $G$9) + CHOOSE(CONTROL!$C$38, 0.0369, 0)</f>
        <v>42.694100000000006</v>
      </c>
      <c r="J641" s="26">
        <f>320.4685</f>
        <v>320.46850000000001</v>
      </c>
    </row>
    <row r="642" spans="1:10" ht="15.75" x14ac:dyDescent="0.25">
      <c r="A642" s="13">
        <v>60844</v>
      </c>
      <c r="B642" s="10">
        <f>46.0859 * CHOOSE(CONTROL!$C$15, $E$9, 100%, $G$9) + CHOOSE(CONTROL!$C$38, 0.0278, 0)</f>
        <v>46.113700000000001</v>
      </c>
      <c r="C642" s="10">
        <f>42.4507 * CHOOSE(CONTROL!$C$15, $E$9, 100%, $G$9) + CHOOSE(CONTROL!$C$38, 0.0369, 0)</f>
        <v>42.4876</v>
      </c>
      <c r="D642" s="10">
        <f>42.4429 * CHOOSE(CONTROL!$C$15, $E$9, 100%, $G$9) + CHOOSE(CONTROL!$C$38, 0.0369, 0)</f>
        <v>42.479800000000004</v>
      </c>
      <c r="E642" s="28">
        <f>45.9297 * CHOOSE(CONTROL!$C$15, $E$9, 100%, $G$9) + CHOOSE(CONTROL!$C$38, 0.0369, 0)</f>
        <v>45.9666</v>
      </c>
      <c r="F642" s="27">
        <f>45.9297 * CHOOSE(CONTROL!$C$15, $E$9, 100%, $G$9) + CHOOSE(CONTROL!$C$38, 0.0278, 0)</f>
        <v>45.957499999999996</v>
      </c>
      <c r="G642" s="10">
        <f>42.4492 * CHOOSE(CONTROL!$C$15, $E$9, 100%, $G$9) + CHOOSE(CONTROL!$C$38, 0.0369, 0)</f>
        <v>42.4861</v>
      </c>
      <c r="H642" s="10">
        <f>42.4492 * CHOOSE(CONTROL!$C$15, $E$9, 100%, $G$9) + CHOOSE(CONTROL!$C$38, 0.0369, 0)</f>
        <v>42.4861</v>
      </c>
      <c r="I642" s="10">
        <f>42.4507 * CHOOSE(CONTROL!$C$15, $E$9, 100%, $G$9) + CHOOSE(CONTROL!$C$38, 0.0369, 0)</f>
        <v>42.4876</v>
      </c>
      <c r="J642" s="26">
        <f>318.9697</f>
        <v>318.96969999999999</v>
      </c>
    </row>
    <row r="643" spans="1:10" ht="15.75" x14ac:dyDescent="0.25">
      <c r="A643" s="13">
        <v>60875</v>
      </c>
      <c r="B643" s="10">
        <f>46.1878 * CHOOSE(CONTROL!$C$15, $E$9, 100%, $G$9) + CHOOSE(CONTROL!$C$38, 0.0278, 0)</f>
        <v>46.215600000000002</v>
      </c>
      <c r="C643" s="10">
        <f>42.5527 * CHOOSE(CONTROL!$C$15, $E$9, 100%, $G$9) + CHOOSE(CONTROL!$C$38, 0.0369, 0)</f>
        <v>42.589600000000004</v>
      </c>
      <c r="D643" s="10">
        <f>42.5448 * CHOOSE(CONTROL!$C$15, $E$9, 100%, $G$9) + CHOOSE(CONTROL!$C$38, 0.0369, 0)</f>
        <v>42.581700000000005</v>
      </c>
      <c r="E643" s="28">
        <f>46.0316 * CHOOSE(CONTROL!$C$15, $E$9, 100%, $G$9) + CHOOSE(CONTROL!$C$38, 0.0369, 0)</f>
        <v>46.0685</v>
      </c>
      <c r="F643" s="27">
        <f>46.0316 * CHOOSE(CONTROL!$C$15, $E$9, 100%, $G$9) + CHOOSE(CONTROL!$C$38, 0.0278, 0)</f>
        <v>46.059399999999997</v>
      </c>
      <c r="G643" s="10">
        <f>42.5511 * CHOOSE(CONTROL!$C$15, $E$9, 100%, $G$9) + CHOOSE(CONTROL!$C$38, 0.0369, 0)</f>
        <v>42.588000000000001</v>
      </c>
      <c r="H643" s="10">
        <f>42.5511 * CHOOSE(CONTROL!$C$15, $E$9, 100%, $G$9) + CHOOSE(CONTROL!$C$38, 0.0369, 0)</f>
        <v>42.588000000000001</v>
      </c>
      <c r="I643" s="10">
        <f>42.5527 * CHOOSE(CONTROL!$C$15, $E$9, 100%, $G$9) + CHOOSE(CONTROL!$C$38, 0.0369, 0)</f>
        <v>42.589600000000004</v>
      </c>
      <c r="J643" s="26">
        <f>311.5443</f>
        <v>311.54430000000002</v>
      </c>
    </row>
    <row r="644" spans="1:10" ht="15.75" x14ac:dyDescent="0.25">
      <c r="A644" s="13">
        <v>60905</v>
      </c>
      <c r="B644" s="10">
        <f>46.4646 * CHOOSE(CONTROL!$C$15, $E$9, 100%, $G$9) + CHOOSE(CONTROL!$C$38, 0.0278, 0)</f>
        <v>46.492399999999996</v>
      </c>
      <c r="C644" s="10">
        <f>42.8294 * CHOOSE(CONTROL!$C$15, $E$9, 100%, $G$9) + CHOOSE(CONTROL!$C$38, 0.0369, 0)</f>
        <v>42.866300000000003</v>
      </c>
      <c r="D644" s="10">
        <f>42.8216 * CHOOSE(CONTROL!$C$15, $E$9, 100%, $G$9) + CHOOSE(CONTROL!$C$38, 0.0369, 0)</f>
        <v>42.858499999999999</v>
      </c>
      <c r="E644" s="28">
        <f>46.3084 * CHOOSE(CONTROL!$C$15, $E$9, 100%, $G$9) + CHOOSE(CONTROL!$C$38, 0.0369, 0)</f>
        <v>46.345300000000002</v>
      </c>
      <c r="F644" s="27">
        <f>46.3084 * CHOOSE(CONTROL!$C$15, $E$9, 100%, $G$9) + CHOOSE(CONTROL!$C$38, 0.0278, 0)</f>
        <v>46.336199999999998</v>
      </c>
      <c r="G644" s="10">
        <f>42.8279 * CHOOSE(CONTROL!$C$15, $E$9, 100%, $G$9) + CHOOSE(CONTROL!$C$38, 0.0369, 0)</f>
        <v>42.864800000000002</v>
      </c>
      <c r="H644" s="10">
        <f>42.8279 * CHOOSE(CONTROL!$C$15, $E$9, 100%, $G$9) + CHOOSE(CONTROL!$C$38, 0.0369, 0)</f>
        <v>42.864800000000002</v>
      </c>
      <c r="I644" s="10">
        <f>42.8294 * CHOOSE(CONTROL!$C$15, $E$9, 100%, $G$9) + CHOOSE(CONTROL!$C$38, 0.0369, 0)</f>
        <v>42.866300000000003</v>
      </c>
      <c r="J644" s="26">
        <f>301.1891</f>
        <v>301.1891</v>
      </c>
    </row>
    <row r="645" spans="1:10" ht="15.75" x14ac:dyDescent="0.25">
      <c r="A645" s="13">
        <v>60936</v>
      </c>
      <c r="B645" s="10">
        <f>46.6965 * CHOOSE(CONTROL!$C$15, $E$9, 100%, $G$9) + CHOOSE(CONTROL!$C$38, 0.0256, 0)</f>
        <v>46.722099999999998</v>
      </c>
      <c r="C645" s="10">
        <f>43.0613 * CHOOSE(CONTROL!$C$15, $E$9, 100%, $G$9) + CHOOSE(CONTROL!$C$38, 0.0347, 0)</f>
        <v>43.096000000000004</v>
      </c>
      <c r="D645" s="10">
        <f>43.0535 * CHOOSE(CONTROL!$C$15, $E$9, 100%, $G$9) + CHOOSE(CONTROL!$C$38, 0.0347, 0)</f>
        <v>43.088200000000001</v>
      </c>
      <c r="E645" s="28">
        <f>46.5402 * CHOOSE(CONTROL!$C$15, $E$9, 100%, $G$9) + CHOOSE(CONTROL!$C$38, 0.0347, 0)</f>
        <v>46.5749</v>
      </c>
      <c r="F645" s="27">
        <f>46.5402 * CHOOSE(CONTROL!$C$15, $E$9, 100%, $G$9) + CHOOSE(CONTROL!$C$38, 0.0256, 0)</f>
        <v>46.565799999999996</v>
      </c>
      <c r="G645" s="10">
        <f>43.0597 * CHOOSE(CONTROL!$C$15, $E$9, 100%, $G$9) + CHOOSE(CONTROL!$C$38, 0.0347, 0)</f>
        <v>43.0944</v>
      </c>
      <c r="H645" s="10">
        <f>43.0597 * CHOOSE(CONTROL!$C$15, $E$9, 100%, $G$9) + CHOOSE(CONTROL!$C$38, 0.0347, 0)</f>
        <v>43.0944</v>
      </c>
      <c r="I645" s="10">
        <f>43.0613 * CHOOSE(CONTROL!$C$15, $E$9, 100%, $G$9) + CHOOSE(CONTROL!$C$38, 0.0347, 0)</f>
        <v>43.096000000000004</v>
      </c>
      <c r="J645" s="26">
        <f>290.7736</f>
        <v>290.77359999999999</v>
      </c>
    </row>
    <row r="646" spans="1:10" ht="15.75" x14ac:dyDescent="0.25">
      <c r="A646" s="13">
        <v>60966</v>
      </c>
      <c r="B646" s="10">
        <f>46.8899 * CHOOSE(CONTROL!$C$15, $E$9, 100%, $G$9) + CHOOSE(CONTROL!$C$38, 0.0256, 0)</f>
        <v>46.915499999999994</v>
      </c>
      <c r="C646" s="10">
        <f>43.2547 * CHOOSE(CONTROL!$C$15, $E$9, 100%, $G$9) + CHOOSE(CONTROL!$C$38, 0.0347, 0)</f>
        <v>43.289400000000001</v>
      </c>
      <c r="D646" s="10">
        <f>43.2469 * CHOOSE(CONTROL!$C$15, $E$9, 100%, $G$9) + CHOOSE(CONTROL!$C$38, 0.0347, 0)</f>
        <v>43.281599999999997</v>
      </c>
      <c r="E646" s="28">
        <f>46.7336 * CHOOSE(CONTROL!$C$15, $E$9, 100%, $G$9) + CHOOSE(CONTROL!$C$38, 0.0347, 0)</f>
        <v>46.768300000000004</v>
      </c>
      <c r="F646" s="27">
        <f>46.7336 * CHOOSE(CONTROL!$C$15, $E$9, 100%, $G$9) + CHOOSE(CONTROL!$C$38, 0.0256, 0)</f>
        <v>46.7592</v>
      </c>
      <c r="G646" s="10">
        <f>43.2532 * CHOOSE(CONTROL!$C$15, $E$9, 100%, $G$9) + CHOOSE(CONTROL!$C$38, 0.0347, 0)</f>
        <v>43.2879</v>
      </c>
      <c r="H646" s="10">
        <f>43.2532 * CHOOSE(CONTROL!$C$15, $E$9, 100%, $G$9) + CHOOSE(CONTROL!$C$38, 0.0347, 0)</f>
        <v>43.2879</v>
      </c>
      <c r="I646" s="10">
        <f>43.2547 * CHOOSE(CONTROL!$C$15, $E$9, 100%, $G$9) + CHOOSE(CONTROL!$C$38, 0.0347, 0)</f>
        <v>43.289400000000001</v>
      </c>
      <c r="J646" s="26">
        <f>288.7018</f>
        <v>288.70179999999999</v>
      </c>
    </row>
    <row r="647" spans="1:10" ht="15.75" x14ac:dyDescent="0.25">
      <c r="A647" s="13">
        <v>60997</v>
      </c>
      <c r="B647" s="10">
        <f>47.486 * CHOOSE(CONTROL!$C$15, $E$9, 100%, $G$9) + CHOOSE(CONTROL!$C$38, 0.0256, 0)</f>
        <v>47.511599999999994</v>
      </c>
      <c r="C647" s="10">
        <f>43.8508 * CHOOSE(CONTROL!$C$15, $E$9, 100%, $G$9) + CHOOSE(CONTROL!$C$38, 0.0347, 0)</f>
        <v>43.8855</v>
      </c>
      <c r="D647" s="10">
        <f>43.843 * CHOOSE(CONTROL!$C$15, $E$9, 100%, $G$9) + CHOOSE(CONTROL!$C$38, 0.0347, 0)</f>
        <v>43.877700000000004</v>
      </c>
      <c r="E647" s="28">
        <f>47.3297 * CHOOSE(CONTROL!$C$15, $E$9, 100%, $G$9) + CHOOSE(CONTROL!$C$38, 0.0347, 0)</f>
        <v>47.364400000000003</v>
      </c>
      <c r="F647" s="27">
        <f>47.3297 * CHOOSE(CONTROL!$C$15, $E$9, 100%, $G$9) + CHOOSE(CONTROL!$C$38, 0.0256, 0)</f>
        <v>47.3553</v>
      </c>
      <c r="G647" s="10">
        <f>43.8492 * CHOOSE(CONTROL!$C$15, $E$9, 100%, $G$9) + CHOOSE(CONTROL!$C$38, 0.0347, 0)</f>
        <v>43.883900000000004</v>
      </c>
      <c r="H647" s="10">
        <f>43.8492 * CHOOSE(CONTROL!$C$15, $E$9, 100%, $G$9) + CHOOSE(CONTROL!$C$38, 0.0347, 0)</f>
        <v>43.883900000000004</v>
      </c>
      <c r="I647" s="10">
        <f>43.8508 * CHOOSE(CONTROL!$C$15, $E$9, 100%, $G$9) + CHOOSE(CONTROL!$C$38, 0.0347, 0)</f>
        <v>43.8855</v>
      </c>
      <c r="J647" s="26">
        <f>280.1345</f>
        <v>280.1345</v>
      </c>
    </row>
    <row r="648" spans="1:10" ht="15.75" x14ac:dyDescent="0.25">
      <c r="A648" s="13">
        <v>61028</v>
      </c>
      <c r="B648" s="10">
        <f>48.7749 * CHOOSE(CONTROL!$C$15, $E$9, 100%, $G$9) + CHOOSE(CONTROL!$C$38, 0.0256, 0)</f>
        <v>48.8005</v>
      </c>
      <c r="C648" s="10">
        <f>45.0783 * CHOOSE(CONTROL!$C$15, $E$9, 100%, $G$9) + CHOOSE(CONTROL!$C$38, 0.0347, 0)</f>
        <v>45.113</v>
      </c>
      <c r="D648" s="10">
        <f>45.0705 * CHOOSE(CONTROL!$C$15, $E$9, 100%, $G$9) + CHOOSE(CONTROL!$C$38, 0.0347, 0)</f>
        <v>45.105200000000004</v>
      </c>
      <c r="E648" s="28">
        <f>48.6187 * CHOOSE(CONTROL!$C$15, $E$9, 100%, $G$9) + CHOOSE(CONTROL!$C$38, 0.0347, 0)</f>
        <v>48.653399999999998</v>
      </c>
      <c r="F648" s="27">
        <f>48.6187 * CHOOSE(CONTROL!$C$15, $E$9, 100%, $G$9) + CHOOSE(CONTROL!$C$38, 0.0256, 0)</f>
        <v>48.644299999999994</v>
      </c>
      <c r="G648" s="10">
        <f>45.0767 * CHOOSE(CONTROL!$C$15, $E$9, 100%, $G$9) + CHOOSE(CONTROL!$C$38, 0.0347, 0)</f>
        <v>45.111400000000003</v>
      </c>
      <c r="H648" s="10">
        <f>45.0767 * CHOOSE(CONTROL!$C$15, $E$9, 100%, $G$9) + CHOOSE(CONTROL!$C$38, 0.0347, 0)</f>
        <v>45.111400000000003</v>
      </c>
      <c r="I648" s="10">
        <f>45.0783 * CHOOSE(CONTROL!$C$15, $E$9, 100%, $G$9) + CHOOSE(CONTROL!$C$38, 0.0347, 0)</f>
        <v>45.113</v>
      </c>
      <c r="J648" s="26">
        <f>278.2581</f>
        <v>278.25810000000001</v>
      </c>
    </row>
    <row r="649" spans="1:10" ht="15.75" x14ac:dyDescent="0.25">
      <c r="A649" s="13">
        <v>61056</v>
      </c>
      <c r="B649" s="10">
        <f>48.9957 * CHOOSE(CONTROL!$C$15, $E$9, 100%, $G$9) + CHOOSE(CONTROL!$C$38, 0.0256, 0)</f>
        <v>49.021299999999997</v>
      </c>
      <c r="C649" s="10">
        <f>45.299 * CHOOSE(CONTROL!$C$15, $E$9, 100%, $G$9) + CHOOSE(CONTROL!$C$38, 0.0347, 0)</f>
        <v>45.3337</v>
      </c>
      <c r="D649" s="10">
        <f>45.2912 * CHOOSE(CONTROL!$C$15, $E$9, 100%, $G$9) + CHOOSE(CONTROL!$C$38, 0.0347, 0)</f>
        <v>45.325900000000004</v>
      </c>
      <c r="E649" s="28">
        <f>48.8394 * CHOOSE(CONTROL!$C$15, $E$9, 100%, $G$9) + CHOOSE(CONTROL!$C$38, 0.0347, 0)</f>
        <v>48.874099999999999</v>
      </c>
      <c r="F649" s="27">
        <f>48.8394 * CHOOSE(CONTROL!$C$15, $E$9, 100%, $G$9) + CHOOSE(CONTROL!$C$38, 0.0256, 0)</f>
        <v>48.864999999999995</v>
      </c>
      <c r="G649" s="10">
        <f>45.2975 * CHOOSE(CONTROL!$C$15, $E$9, 100%, $G$9) + CHOOSE(CONTROL!$C$38, 0.0347, 0)</f>
        <v>45.3322</v>
      </c>
      <c r="H649" s="10">
        <f>45.2975 * CHOOSE(CONTROL!$C$15, $E$9, 100%, $G$9) + CHOOSE(CONTROL!$C$38, 0.0347, 0)</f>
        <v>45.3322</v>
      </c>
      <c r="I649" s="10">
        <f>45.299 * CHOOSE(CONTROL!$C$15, $E$9, 100%, $G$9) + CHOOSE(CONTROL!$C$38, 0.0347, 0)</f>
        <v>45.3337</v>
      </c>
      <c r="J649" s="26">
        <f>277.4846</f>
        <v>277.4846</v>
      </c>
    </row>
    <row r="650" spans="1:10" ht="15.75" x14ac:dyDescent="0.25">
      <c r="A650" s="13">
        <v>61087</v>
      </c>
      <c r="B650" s="10">
        <f>48.4846 * CHOOSE(CONTROL!$C$15, $E$9, 100%, $G$9) + CHOOSE(CONTROL!$C$38, 0.0256, 0)</f>
        <v>48.510199999999998</v>
      </c>
      <c r="C650" s="10">
        <f>44.788 * CHOOSE(CONTROL!$C$15, $E$9, 100%, $G$9) + CHOOSE(CONTROL!$C$38, 0.0347, 0)</f>
        <v>44.822699999999998</v>
      </c>
      <c r="D650" s="10">
        <f>44.7802 * CHOOSE(CONTROL!$C$15, $E$9, 100%, $G$9) + CHOOSE(CONTROL!$C$38, 0.0347, 0)</f>
        <v>44.814900000000002</v>
      </c>
      <c r="E650" s="28">
        <f>48.3284 * CHOOSE(CONTROL!$C$15, $E$9, 100%, $G$9) + CHOOSE(CONTROL!$C$38, 0.0347, 0)</f>
        <v>48.363100000000003</v>
      </c>
      <c r="F650" s="27">
        <f>48.3284 * CHOOSE(CONTROL!$C$15, $E$9, 100%, $G$9) + CHOOSE(CONTROL!$C$38, 0.0256, 0)</f>
        <v>48.353999999999999</v>
      </c>
      <c r="G650" s="10">
        <f>44.7864 * CHOOSE(CONTROL!$C$15, $E$9, 100%, $G$9) + CHOOSE(CONTROL!$C$38, 0.0347, 0)</f>
        <v>44.821100000000001</v>
      </c>
      <c r="H650" s="10">
        <f>44.7864 * CHOOSE(CONTROL!$C$15, $E$9, 100%, $G$9) + CHOOSE(CONTROL!$C$38, 0.0347, 0)</f>
        <v>44.821100000000001</v>
      </c>
      <c r="I650" s="10">
        <f>44.788 * CHOOSE(CONTROL!$C$15, $E$9, 100%, $G$9) + CHOOSE(CONTROL!$C$38, 0.0347, 0)</f>
        <v>44.822699999999998</v>
      </c>
      <c r="J650" s="26">
        <f>292.1097</f>
        <v>292.10969999999998</v>
      </c>
    </row>
    <row r="651" spans="1:10" ht="15.75" x14ac:dyDescent="0.25">
      <c r="A651" s="13">
        <v>61117</v>
      </c>
      <c r="B651" s="10">
        <f>47.9895 * CHOOSE(CONTROL!$C$15, $E$9, 100%, $G$9) + CHOOSE(CONTROL!$C$38, 0.0256, 0)</f>
        <v>48.015099999999997</v>
      </c>
      <c r="C651" s="10">
        <f>44.2928 * CHOOSE(CONTROL!$C$15, $E$9, 100%, $G$9) + CHOOSE(CONTROL!$C$38, 0.0347, 0)</f>
        <v>44.327500000000001</v>
      </c>
      <c r="D651" s="10">
        <f>44.285 * CHOOSE(CONTROL!$C$15, $E$9, 100%, $G$9) + CHOOSE(CONTROL!$C$38, 0.0347, 0)</f>
        <v>44.319699999999997</v>
      </c>
      <c r="E651" s="28">
        <f>47.8332 * CHOOSE(CONTROL!$C$15, $E$9, 100%, $G$9) + CHOOSE(CONTROL!$C$38, 0.0347, 0)</f>
        <v>47.867899999999999</v>
      </c>
      <c r="F651" s="27">
        <f>47.8332 * CHOOSE(CONTROL!$C$15, $E$9, 100%, $G$9) + CHOOSE(CONTROL!$C$38, 0.0256, 0)</f>
        <v>47.858799999999995</v>
      </c>
      <c r="G651" s="10">
        <f>44.2913 * CHOOSE(CONTROL!$C$15, $E$9, 100%, $G$9) + CHOOSE(CONTROL!$C$38, 0.0347, 0)</f>
        <v>44.326000000000001</v>
      </c>
      <c r="H651" s="10">
        <f>44.2913 * CHOOSE(CONTROL!$C$15, $E$9, 100%, $G$9) + CHOOSE(CONTROL!$C$38, 0.0347, 0)</f>
        <v>44.326000000000001</v>
      </c>
      <c r="I651" s="10">
        <f>44.2928 * CHOOSE(CONTROL!$C$15, $E$9, 100%, $G$9) + CHOOSE(CONTROL!$C$38, 0.0347, 0)</f>
        <v>44.327500000000001</v>
      </c>
      <c r="J651" s="26">
        <f>311.0748</f>
        <v>311.07479999999998</v>
      </c>
    </row>
    <row r="652" spans="1:10" ht="15.75" x14ac:dyDescent="0.25">
      <c r="A652" s="13">
        <v>61148</v>
      </c>
      <c r="B652" s="10">
        <f>47.4733 * CHOOSE(CONTROL!$C$15, $E$9, 100%, $G$9) + CHOOSE(CONTROL!$C$38, 0.0278, 0)</f>
        <v>47.501100000000001</v>
      </c>
      <c r="C652" s="10">
        <f>43.7767 * CHOOSE(CONTROL!$C$15, $E$9, 100%, $G$9) + CHOOSE(CONTROL!$C$38, 0.0369, 0)</f>
        <v>43.813600000000001</v>
      </c>
      <c r="D652" s="10">
        <f>43.7689 * CHOOSE(CONTROL!$C$15, $E$9, 100%, $G$9) + CHOOSE(CONTROL!$C$38, 0.0369, 0)</f>
        <v>43.805800000000005</v>
      </c>
      <c r="E652" s="28">
        <f>47.3171 * CHOOSE(CONTROL!$C$15, $E$9, 100%, $G$9) + CHOOSE(CONTROL!$C$38, 0.0369, 0)</f>
        <v>47.354000000000006</v>
      </c>
      <c r="F652" s="27">
        <f>47.3171 * CHOOSE(CONTROL!$C$15, $E$9, 100%, $G$9) + CHOOSE(CONTROL!$C$38, 0.0278, 0)</f>
        <v>47.344900000000003</v>
      </c>
      <c r="G652" s="10">
        <f>43.7751 * CHOOSE(CONTROL!$C$15, $E$9, 100%, $G$9) + CHOOSE(CONTROL!$C$38, 0.0369, 0)</f>
        <v>43.812000000000005</v>
      </c>
      <c r="H652" s="10">
        <f>43.7751 * CHOOSE(CONTROL!$C$15, $E$9, 100%, $G$9) + CHOOSE(CONTROL!$C$38, 0.0369, 0)</f>
        <v>43.812000000000005</v>
      </c>
      <c r="I652" s="10">
        <f>43.7767 * CHOOSE(CONTROL!$C$15, $E$9, 100%, $G$9) + CHOOSE(CONTROL!$C$38, 0.0369, 0)</f>
        <v>43.813600000000001</v>
      </c>
      <c r="J652" s="26">
        <f>321.5139</f>
        <v>321.51389999999998</v>
      </c>
    </row>
    <row r="653" spans="1:10" ht="15.75" x14ac:dyDescent="0.25">
      <c r="A653" s="13">
        <v>61178</v>
      </c>
      <c r="B653" s="10">
        <f>47.1115 * CHOOSE(CONTROL!$C$15, $E$9, 100%, $G$9) + CHOOSE(CONTROL!$C$38, 0.0278, 0)</f>
        <v>47.139299999999999</v>
      </c>
      <c r="C653" s="10">
        <f>43.4149 * CHOOSE(CONTROL!$C$15, $E$9, 100%, $G$9) + CHOOSE(CONTROL!$C$38, 0.0369, 0)</f>
        <v>43.451800000000006</v>
      </c>
      <c r="D653" s="10">
        <f>43.4071 * CHOOSE(CONTROL!$C$15, $E$9, 100%, $G$9) + CHOOSE(CONTROL!$C$38, 0.0369, 0)</f>
        <v>43.444000000000003</v>
      </c>
      <c r="E653" s="28">
        <f>46.9553 * CHOOSE(CONTROL!$C$15, $E$9, 100%, $G$9) + CHOOSE(CONTROL!$C$38, 0.0369, 0)</f>
        <v>46.992200000000004</v>
      </c>
      <c r="F653" s="27">
        <f>46.9553 * CHOOSE(CONTROL!$C$15, $E$9, 100%, $G$9) + CHOOSE(CONTROL!$C$38, 0.0278, 0)</f>
        <v>46.9831</v>
      </c>
      <c r="G653" s="10">
        <f>43.4133 * CHOOSE(CONTROL!$C$15, $E$9, 100%, $G$9) + CHOOSE(CONTROL!$C$38, 0.0369, 0)</f>
        <v>43.450200000000002</v>
      </c>
      <c r="H653" s="10">
        <f>43.4133 * CHOOSE(CONTROL!$C$15, $E$9, 100%, $G$9) + CHOOSE(CONTROL!$C$38, 0.0369, 0)</f>
        <v>43.450200000000002</v>
      </c>
      <c r="I653" s="10">
        <f>43.4149 * CHOOSE(CONTROL!$C$15, $E$9, 100%, $G$9) + CHOOSE(CONTROL!$C$38, 0.0369, 0)</f>
        <v>43.451800000000006</v>
      </c>
      <c r="J653" s="26">
        <f>326.1466</f>
        <v>326.14659999999998</v>
      </c>
    </row>
    <row r="654" spans="1:10" ht="15.75" x14ac:dyDescent="0.25">
      <c r="A654" s="13">
        <v>61209</v>
      </c>
      <c r="B654" s="10">
        <f>46.905 * CHOOSE(CONTROL!$C$15, $E$9, 100%, $G$9) + CHOOSE(CONTROL!$C$38, 0.0278, 0)</f>
        <v>46.9328</v>
      </c>
      <c r="C654" s="10">
        <f>43.2084 * CHOOSE(CONTROL!$C$15, $E$9, 100%, $G$9) + CHOOSE(CONTROL!$C$38, 0.0369, 0)</f>
        <v>43.2453</v>
      </c>
      <c r="D654" s="10">
        <f>43.2006 * CHOOSE(CONTROL!$C$15, $E$9, 100%, $G$9) + CHOOSE(CONTROL!$C$38, 0.0369, 0)</f>
        <v>43.237500000000004</v>
      </c>
      <c r="E654" s="28">
        <f>46.7488 * CHOOSE(CONTROL!$C$15, $E$9, 100%, $G$9) + CHOOSE(CONTROL!$C$38, 0.0369, 0)</f>
        <v>46.785700000000006</v>
      </c>
      <c r="F654" s="27">
        <f>46.7488 * CHOOSE(CONTROL!$C$15, $E$9, 100%, $G$9) + CHOOSE(CONTROL!$C$38, 0.0278, 0)</f>
        <v>46.776600000000002</v>
      </c>
      <c r="G654" s="10">
        <f>43.2068 * CHOOSE(CONTROL!$C$15, $E$9, 100%, $G$9) + CHOOSE(CONTROL!$C$38, 0.0369, 0)</f>
        <v>43.243700000000004</v>
      </c>
      <c r="H654" s="10">
        <f>43.2068 * CHOOSE(CONTROL!$C$15, $E$9, 100%, $G$9) + CHOOSE(CONTROL!$C$38, 0.0369, 0)</f>
        <v>43.243700000000004</v>
      </c>
      <c r="I654" s="10">
        <f>43.2084 * CHOOSE(CONTROL!$C$15, $E$9, 100%, $G$9) + CHOOSE(CONTROL!$C$38, 0.0369, 0)</f>
        <v>43.2453</v>
      </c>
      <c r="J654" s="26">
        <f>324.6213</f>
        <v>324.62130000000002</v>
      </c>
    </row>
    <row r="655" spans="1:10" ht="15.75" x14ac:dyDescent="0.25">
      <c r="A655" s="13">
        <v>61240</v>
      </c>
      <c r="B655" s="10">
        <f>47.0069 * CHOOSE(CONTROL!$C$15, $E$9, 100%, $G$9) + CHOOSE(CONTROL!$C$38, 0.0278, 0)</f>
        <v>47.034700000000001</v>
      </c>
      <c r="C655" s="10">
        <f>43.3103 * CHOOSE(CONTROL!$C$15, $E$9, 100%, $G$9) + CHOOSE(CONTROL!$C$38, 0.0369, 0)</f>
        <v>43.347200000000001</v>
      </c>
      <c r="D655" s="10">
        <f>43.3025 * CHOOSE(CONTROL!$C$15, $E$9, 100%, $G$9) + CHOOSE(CONTROL!$C$38, 0.0369, 0)</f>
        <v>43.339400000000005</v>
      </c>
      <c r="E655" s="28">
        <f>46.8507 * CHOOSE(CONTROL!$C$15, $E$9, 100%, $G$9) + CHOOSE(CONTROL!$C$38, 0.0369, 0)</f>
        <v>46.887600000000006</v>
      </c>
      <c r="F655" s="27">
        <f>46.8507 * CHOOSE(CONTROL!$C$15, $E$9, 100%, $G$9) + CHOOSE(CONTROL!$C$38, 0.0278, 0)</f>
        <v>46.878500000000003</v>
      </c>
      <c r="G655" s="10">
        <f>43.3087 * CHOOSE(CONTROL!$C$15, $E$9, 100%, $G$9) + CHOOSE(CONTROL!$C$38, 0.0369, 0)</f>
        <v>43.345600000000005</v>
      </c>
      <c r="H655" s="10">
        <f>43.3087 * CHOOSE(CONTROL!$C$15, $E$9, 100%, $G$9) + CHOOSE(CONTROL!$C$38, 0.0369, 0)</f>
        <v>43.345600000000005</v>
      </c>
      <c r="I655" s="10">
        <f>43.3103 * CHOOSE(CONTROL!$C$15, $E$9, 100%, $G$9) + CHOOSE(CONTROL!$C$38, 0.0369, 0)</f>
        <v>43.347200000000001</v>
      </c>
      <c r="J655" s="26">
        <f>317.0642</f>
        <v>317.06420000000003</v>
      </c>
    </row>
    <row r="656" spans="1:10" ht="15.75" x14ac:dyDescent="0.25">
      <c r="A656" s="13">
        <v>61270</v>
      </c>
      <c r="B656" s="10">
        <f>47.2837 * CHOOSE(CONTROL!$C$15, $E$9, 100%, $G$9) + CHOOSE(CONTROL!$C$38, 0.0278, 0)</f>
        <v>47.311500000000002</v>
      </c>
      <c r="C656" s="10">
        <f>43.5871 * CHOOSE(CONTROL!$C$15, $E$9, 100%, $G$9) + CHOOSE(CONTROL!$C$38, 0.0369, 0)</f>
        <v>43.624000000000002</v>
      </c>
      <c r="D656" s="10">
        <f>43.5793 * CHOOSE(CONTROL!$C$15, $E$9, 100%, $G$9) + CHOOSE(CONTROL!$C$38, 0.0369, 0)</f>
        <v>43.616200000000006</v>
      </c>
      <c r="E656" s="28">
        <f>47.1275 * CHOOSE(CONTROL!$C$15, $E$9, 100%, $G$9) + CHOOSE(CONTROL!$C$38, 0.0369, 0)</f>
        <v>47.164400000000001</v>
      </c>
      <c r="F656" s="27">
        <f>47.1275 * CHOOSE(CONTROL!$C$15, $E$9, 100%, $G$9) + CHOOSE(CONTROL!$C$38, 0.0278, 0)</f>
        <v>47.155299999999997</v>
      </c>
      <c r="G656" s="10">
        <f>43.5855 * CHOOSE(CONTROL!$C$15, $E$9, 100%, $G$9) + CHOOSE(CONTROL!$C$38, 0.0369, 0)</f>
        <v>43.622400000000006</v>
      </c>
      <c r="H656" s="10">
        <f>43.5855 * CHOOSE(CONTROL!$C$15, $E$9, 100%, $G$9) + CHOOSE(CONTROL!$C$38, 0.0369, 0)</f>
        <v>43.622400000000006</v>
      </c>
      <c r="I656" s="10">
        <f>43.5871 * CHOOSE(CONTROL!$C$15, $E$9, 100%, $G$9) + CHOOSE(CONTROL!$C$38, 0.0369, 0)</f>
        <v>43.624000000000002</v>
      </c>
      <c r="J656" s="26">
        <f>306.5256</f>
        <v>306.5256</v>
      </c>
    </row>
    <row r="657" spans="1:10" ht="15.75" x14ac:dyDescent="0.25">
      <c r="A657" s="13">
        <v>61301</v>
      </c>
      <c r="B657" s="10">
        <f>47.5156 * CHOOSE(CONTROL!$C$15, $E$9, 100%, $G$9) + CHOOSE(CONTROL!$C$38, 0.0256, 0)</f>
        <v>47.541199999999996</v>
      </c>
      <c r="C657" s="10">
        <f>43.8189 * CHOOSE(CONTROL!$C$15, $E$9, 100%, $G$9) + CHOOSE(CONTROL!$C$38, 0.0347, 0)</f>
        <v>43.8536</v>
      </c>
      <c r="D657" s="10">
        <f>43.8111 * CHOOSE(CONTROL!$C$15, $E$9, 100%, $G$9) + CHOOSE(CONTROL!$C$38, 0.0347, 0)</f>
        <v>43.845800000000004</v>
      </c>
      <c r="E657" s="28">
        <f>47.3593 * CHOOSE(CONTROL!$C$15, $E$9, 100%, $G$9) + CHOOSE(CONTROL!$C$38, 0.0347, 0)</f>
        <v>47.393999999999998</v>
      </c>
      <c r="F657" s="27">
        <f>47.3593 * CHOOSE(CONTROL!$C$15, $E$9, 100%, $G$9) + CHOOSE(CONTROL!$C$38, 0.0256, 0)</f>
        <v>47.384899999999995</v>
      </c>
      <c r="G657" s="10">
        <f>43.8173 * CHOOSE(CONTROL!$C$15, $E$9, 100%, $G$9) + CHOOSE(CONTROL!$C$38, 0.0347, 0)</f>
        <v>43.852000000000004</v>
      </c>
      <c r="H657" s="10">
        <f>43.8173 * CHOOSE(CONTROL!$C$15, $E$9, 100%, $G$9) + CHOOSE(CONTROL!$C$38, 0.0347, 0)</f>
        <v>43.852000000000004</v>
      </c>
      <c r="I657" s="10">
        <f>43.8189 * CHOOSE(CONTROL!$C$15, $E$9, 100%, $G$9) + CHOOSE(CONTROL!$C$38, 0.0347, 0)</f>
        <v>43.8536</v>
      </c>
      <c r="J657" s="26">
        <f>295.9256</f>
        <v>295.92559999999997</v>
      </c>
    </row>
    <row r="658" spans="1:10" ht="15.75" x14ac:dyDescent="0.25">
      <c r="A658" s="13">
        <v>61331</v>
      </c>
      <c r="B658" s="10">
        <f>47.709 * CHOOSE(CONTROL!$C$15, $E$9, 100%, $G$9) + CHOOSE(CONTROL!$C$38, 0.0256, 0)</f>
        <v>47.7346</v>
      </c>
      <c r="C658" s="10">
        <f>44.0123 * CHOOSE(CONTROL!$C$15, $E$9, 100%, $G$9) + CHOOSE(CONTROL!$C$38, 0.0347, 0)</f>
        <v>44.047000000000004</v>
      </c>
      <c r="D658" s="10">
        <f>44.0045 * CHOOSE(CONTROL!$C$15, $E$9, 100%, $G$9) + CHOOSE(CONTROL!$C$38, 0.0347, 0)</f>
        <v>44.039200000000001</v>
      </c>
      <c r="E658" s="28">
        <f>47.5527 * CHOOSE(CONTROL!$C$15, $E$9, 100%, $G$9) + CHOOSE(CONTROL!$C$38, 0.0347, 0)</f>
        <v>47.587400000000002</v>
      </c>
      <c r="F658" s="27">
        <f>47.5527 * CHOOSE(CONTROL!$C$15, $E$9, 100%, $G$9) + CHOOSE(CONTROL!$C$38, 0.0256, 0)</f>
        <v>47.578299999999999</v>
      </c>
      <c r="G658" s="10">
        <f>44.0108 * CHOOSE(CONTROL!$C$15, $E$9, 100%, $G$9) + CHOOSE(CONTROL!$C$38, 0.0347, 0)</f>
        <v>44.045500000000004</v>
      </c>
      <c r="H658" s="10">
        <f>44.0108 * CHOOSE(CONTROL!$C$15, $E$9, 100%, $G$9) + CHOOSE(CONTROL!$C$38, 0.0347, 0)</f>
        <v>44.045500000000004</v>
      </c>
      <c r="I658" s="10">
        <f>44.0123 * CHOOSE(CONTROL!$C$15, $E$9, 100%, $G$9) + CHOOSE(CONTROL!$C$38, 0.0347, 0)</f>
        <v>44.047000000000004</v>
      </c>
      <c r="J658" s="26">
        <f>293.817</f>
        <v>293.81700000000001</v>
      </c>
    </row>
    <row r="659" spans="1:10" ht="15.75" x14ac:dyDescent="0.25">
      <c r="A659" s="13">
        <v>61362</v>
      </c>
      <c r="B659" s="10">
        <f>48.3051 * CHOOSE(CONTROL!$C$15, $E$9, 100%, $G$9) + CHOOSE(CONTROL!$C$38, 0.0256, 0)</f>
        <v>48.3307</v>
      </c>
      <c r="C659" s="10">
        <f>44.6084 * CHOOSE(CONTROL!$C$15, $E$9, 100%, $G$9) + CHOOSE(CONTROL!$C$38, 0.0347, 0)</f>
        <v>44.643100000000004</v>
      </c>
      <c r="D659" s="10">
        <f>44.6006 * CHOOSE(CONTROL!$C$15, $E$9, 100%, $G$9) + CHOOSE(CONTROL!$C$38, 0.0347, 0)</f>
        <v>44.635300000000001</v>
      </c>
      <c r="E659" s="28">
        <f>48.1488 * CHOOSE(CONTROL!$C$15, $E$9, 100%, $G$9) + CHOOSE(CONTROL!$C$38, 0.0347, 0)</f>
        <v>48.183500000000002</v>
      </c>
      <c r="F659" s="27">
        <f>48.1488 * CHOOSE(CONTROL!$C$15, $E$9, 100%, $G$9) + CHOOSE(CONTROL!$C$38, 0.0256, 0)</f>
        <v>48.174399999999999</v>
      </c>
      <c r="G659" s="10">
        <f>44.6069 * CHOOSE(CONTROL!$C$15, $E$9, 100%, $G$9) + CHOOSE(CONTROL!$C$38, 0.0347, 0)</f>
        <v>44.641600000000004</v>
      </c>
      <c r="H659" s="10">
        <f>44.6069 * CHOOSE(CONTROL!$C$15, $E$9, 100%, $G$9) + CHOOSE(CONTROL!$C$38, 0.0347, 0)</f>
        <v>44.641600000000004</v>
      </c>
      <c r="I659" s="10">
        <f>44.6084 * CHOOSE(CONTROL!$C$15, $E$9, 100%, $G$9) + CHOOSE(CONTROL!$C$38, 0.0347, 0)</f>
        <v>44.643100000000004</v>
      </c>
      <c r="J659" s="26">
        <f>285.098</f>
        <v>285.09800000000001</v>
      </c>
    </row>
    <row r="660" spans="1:10" ht="15.75" x14ac:dyDescent="0.25">
      <c r="A660" s="13">
        <v>61393</v>
      </c>
      <c r="B660" s="10">
        <f>49.6085 * CHOOSE(CONTROL!$C$15, $E$9, 100%, $G$9) + CHOOSE(CONTROL!$C$38, 0.0256, 0)</f>
        <v>49.634099999999997</v>
      </c>
      <c r="C660" s="10">
        <f>45.8493 * CHOOSE(CONTROL!$C$15, $E$9, 100%, $G$9) + CHOOSE(CONTROL!$C$38, 0.0347, 0)</f>
        <v>45.884</v>
      </c>
      <c r="D660" s="10">
        <f>45.8415 * CHOOSE(CONTROL!$C$15, $E$9, 100%, $G$9) + CHOOSE(CONTROL!$C$38, 0.0347, 0)</f>
        <v>45.876200000000004</v>
      </c>
      <c r="E660" s="28">
        <f>49.4522 * CHOOSE(CONTROL!$C$15, $E$9, 100%, $G$9) + CHOOSE(CONTROL!$C$38, 0.0347, 0)</f>
        <v>49.486899999999999</v>
      </c>
      <c r="F660" s="27">
        <f>49.4522 * CHOOSE(CONTROL!$C$15, $E$9, 100%, $G$9) + CHOOSE(CONTROL!$C$38, 0.0256, 0)</f>
        <v>49.477799999999995</v>
      </c>
      <c r="G660" s="10">
        <f>45.8477 * CHOOSE(CONTROL!$C$15, $E$9, 100%, $G$9) + CHOOSE(CONTROL!$C$38, 0.0347, 0)</f>
        <v>45.882400000000004</v>
      </c>
      <c r="H660" s="10">
        <f>45.8477 * CHOOSE(CONTROL!$C$15, $E$9, 100%, $G$9) + CHOOSE(CONTROL!$C$38, 0.0347, 0)</f>
        <v>45.882400000000004</v>
      </c>
      <c r="I660" s="10">
        <f>45.8493 * CHOOSE(CONTROL!$C$15, $E$9, 100%, $G$9) + CHOOSE(CONTROL!$C$38, 0.0347, 0)</f>
        <v>45.884</v>
      </c>
      <c r="J660" s="26">
        <f>283.1883</f>
        <v>283.18830000000003</v>
      </c>
    </row>
    <row r="661" spans="1:10" ht="15.75" x14ac:dyDescent="0.25">
      <c r="A661" s="13">
        <v>61422</v>
      </c>
      <c r="B661" s="10">
        <f>49.8292 * CHOOSE(CONTROL!$C$15, $E$9, 100%, $G$9) + CHOOSE(CONTROL!$C$38, 0.0256, 0)</f>
        <v>49.854799999999997</v>
      </c>
      <c r="C661" s="10">
        <f>46.07 * CHOOSE(CONTROL!$C$15, $E$9, 100%, $G$9) + CHOOSE(CONTROL!$C$38, 0.0347, 0)</f>
        <v>46.104700000000001</v>
      </c>
      <c r="D661" s="10">
        <f>46.0622 * CHOOSE(CONTROL!$C$15, $E$9, 100%, $G$9) + CHOOSE(CONTROL!$C$38, 0.0347, 0)</f>
        <v>46.096899999999998</v>
      </c>
      <c r="E661" s="28">
        <f>49.673 * CHOOSE(CONTROL!$C$15, $E$9, 100%, $G$9) + CHOOSE(CONTROL!$C$38, 0.0347, 0)</f>
        <v>49.707700000000003</v>
      </c>
      <c r="F661" s="27">
        <f>49.673 * CHOOSE(CONTROL!$C$15, $E$9, 100%, $G$9) + CHOOSE(CONTROL!$C$38, 0.0256, 0)</f>
        <v>49.698599999999999</v>
      </c>
      <c r="G661" s="10">
        <f>46.0685 * CHOOSE(CONTROL!$C$15, $E$9, 100%, $G$9) + CHOOSE(CONTROL!$C$38, 0.0347, 0)</f>
        <v>46.103200000000001</v>
      </c>
      <c r="H661" s="10">
        <f>46.0685 * CHOOSE(CONTROL!$C$15, $E$9, 100%, $G$9) + CHOOSE(CONTROL!$C$38, 0.0347, 0)</f>
        <v>46.103200000000001</v>
      </c>
      <c r="I661" s="10">
        <f>46.07 * CHOOSE(CONTROL!$C$15, $E$9, 100%, $G$9) + CHOOSE(CONTROL!$C$38, 0.0347, 0)</f>
        <v>46.104700000000001</v>
      </c>
      <c r="J661" s="26">
        <f>282.4011</f>
        <v>282.40109999999999</v>
      </c>
    </row>
    <row r="662" spans="1:10" ht="15.75" x14ac:dyDescent="0.25">
      <c r="A662" s="13">
        <v>61453</v>
      </c>
      <c r="B662" s="10">
        <f>49.3182 * CHOOSE(CONTROL!$C$15, $E$9, 100%, $G$9) + CHOOSE(CONTROL!$C$38, 0.0256, 0)</f>
        <v>49.343799999999995</v>
      </c>
      <c r="C662" s="10">
        <f>45.559 * CHOOSE(CONTROL!$C$15, $E$9, 100%, $G$9) + CHOOSE(CONTROL!$C$38, 0.0347, 0)</f>
        <v>45.593699999999998</v>
      </c>
      <c r="D662" s="10">
        <f>45.5512 * CHOOSE(CONTROL!$C$15, $E$9, 100%, $G$9) + CHOOSE(CONTROL!$C$38, 0.0347, 0)</f>
        <v>45.585900000000002</v>
      </c>
      <c r="E662" s="28">
        <f>49.162 * CHOOSE(CONTROL!$C$15, $E$9, 100%, $G$9) + CHOOSE(CONTROL!$C$38, 0.0347, 0)</f>
        <v>49.1967</v>
      </c>
      <c r="F662" s="27">
        <f>49.162 * CHOOSE(CONTROL!$C$15, $E$9, 100%, $G$9) + CHOOSE(CONTROL!$C$38, 0.0256, 0)</f>
        <v>49.187599999999996</v>
      </c>
      <c r="G662" s="10">
        <f>45.5575 * CHOOSE(CONTROL!$C$15, $E$9, 100%, $G$9) + CHOOSE(CONTROL!$C$38, 0.0347, 0)</f>
        <v>45.592199999999998</v>
      </c>
      <c r="H662" s="10">
        <f>45.5575 * CHOOSE(CONTROL!$C$15, $E$9, 100%, $G$9) + CHOOSE(CONTROL!$C$38, 0.0347, 0)</f>
        <v>45.592199999999998</v>
      </c>
      <c r="I662" s="10">
        <f>45.559 * CHOOSE(CONTROL!$C$15, $E$9, 100%, $G$9) + CHOOSE(CONTROL!$C$38, 0.0347, 0)</f>
        <v>45.593699999999998</v>
      </c>
      <c r="J662" s="26">
        <f>297.2853</f>
        <v>297.28530000000001</v>
      </c>
    </row>
    <row r="663" spans="1:10" ht="15.75" x14ac:dyDescent="0.25">
      <c r="A663" s="13">
        <v>61483</v>
      </c>
      <c r="B663" s="10">
        <f>48.823 * CHOOSE(CONTROL!$C$15, $E$9, 100%, $G$9) + CHOOSE(CONTROL!$C$38, 0.0256, 0)</f>
        <v>48.848599999999998</v>
      </c>
      <c r="C663" s="10">
        <f>45.0638 * CHOOSE(CONTROL!$C$15, $E$9, 100%, $G$9) + CHOOSE(CONTROL!$C$38, 0.0347, 0)</f>
        <v>45.098500000000001</v>
      </c>
      <c r="D663" s="10">
        <f>45.056 * CHOOSE(CONTROL!$C$15, $E$9, 100%, $G$9) + CHOOSE(CONTROL!$C$38, 0.0347, 0)</f>
        <v>45.090699999999998</v>
      </c>
      <c r="E663" s="28">
        <f>48.6668 * CHOOSE(CONTROL!$C$15, $E$9, 100%, $G$9) + CHOOSE(CONTROL!$C$38, 0.0347, 0)</f>
        <v>48.701500000000003</v>
      </c>
      <c r="F663" s="27">
        <f>48.6668 * CHOOSE(CONTROL!$C$15, $E$9, 100%, $G$9) + CHOOSE(CONTROL!$C$38, 0.0256, 0)</f>
        <v>48.692399999999999</v>
      </c>
      <c r="G663" s="10">
        <f>45.0623 * CHOOSE(CONTROL!$C$15, $E$9, 100%, $G$9) + CHOOSE(CONTROL!$C$38, 0.0347, 0)</f>
        <v>45.097000000000001</v>
      </c>
      <c r="H663" s="10">
        <f>45.0623 * CHOOSE(CONTROL!$C$15, $E$9, 100%, $G$9) + CHOOSE(CONTROL!$C$38, 0.0347, 0)</f>
        <v>45.097000000000001</v>
      </c>
      <c r="I663" s="10">
        <f>45.0638 * CHOOSE(CONTROL!$C$15, $E$9, 100%, $G$9) + CHOOSE(CONTROL!$C$38, 0.0347, 0)</f>
        <v>45.098500000000001</v>
      </c>
      <c r="J663" s="26">
        <f>316.5865</f>
        <v>316.5865</v>
      </c>
    </row>
    <row r="664" spans="1:10" ht="15.75" x14ac:dyDescent="0.25">
      <c r="A664" s="13">
        <v>61514</v>
      </c>
      <c r="B664" s="10">
        <f>48.3069 * CHOOSE(CONTROL!$C$15, $E$9, 100%, $G$9) + CHOOSE(CONTROL!$C$38, 0.0278, 0)</f>
        <v>48.334699999999998</v>
      </c>
      <c r="C664" s="10">
        <f>44.5477 * CHOOSE(CONTROL!$C$15, $E$9, 100%, $G$9) + CHOOSE(CONTROL!$C$38, 0.0369, 0)</f>
        <v>44.584600000000002</v>
      </c>
      <c r="D664" s="10">
        <f>44.5399 * CHOOSE(CONTROL!$C$15, $E$9, 100%, $G$9) + CHOOSE(CONTROL!$C$38, 0.0369, 0)</f>
        <v>44.576800000000006</v>
      </c>
      <c r="E664" s="28">
        <f>48.1507 * CHOOSE(CONTROL!$C$15, $E$9, 100%, $G$9) + CHOOSE(CONTROL!$C$38, 0.0369, 0)</f>
        <v>48.187600000000003</v>
      </c>
      <c r="F664" s="27">
        <f>48.1507 * CHOOSE(CONTROL!$C$15, $E$9, 100%, $G$9) + CHOOSE(CONTROL!$C$38, 0.0278, 0)</f>
        <v>48.1785</v>
      </c>
      <c r="G664" s="10">
        <f>44.5462 * CHOOSE(CONTROL!$C$15, $E$9, 100%, $G$9) + CHOOSE(CONTROL!$C$38, 0.0369, 0)</f>
        <v>44.583100000000002</v>
      </c>
      <c r="H664" s="10">
        <f>44.5462 * CHOOSE(CONTROL!$C$15, $E$9, 100%, $G$9) + CHOOSE(CONTROL!$C$38, 0.0369, 0)</f>
        <v>44.583100000000002</v>
      </c>
      <c r="I664" s="10">
        <f>44.5477 * CHOOSE(CONTROL!$C$15, $E$9, 100%, $G$9) + CHOOSE(CONTROL!$C$38, 0.0369, 0)</f>
        <v>44.584600000000002</v>
      </c>
      <c r="J664" s="26">
        <f>327.2105</f>
        <v>327.21050000000002</v>
      </c>
    </row>
    <row r="665" spans="1:10" ht="15.75" x14ac:dyDescent="0.25">
      <c r="A665" s="13">
        <v>61544</v>
      </c>
      <c r="B665" s="10">
        <f>47.9451 * CHOOSE(CONTROL!$C$15, $E$9, 100%, $G$9) + CHOOSE(CONTROL!$C$38, 0.0278, 0)</f>
        <v>47.972899999999996</v>
      </c>
      <c r="C665" s="10">
        <f>44.1859 * CHOOSE(CONTROL!$C$15, $E$9, 100%, $G$9) + CHOOSE(CONTROL!$C$38, 0.0369, 0)</f>
        <v>44.222799999999999</v>
      </c>
      <c r="D665" s="10">
        <f>44.1781 * CHOOSE(CONTROL!$C$15, $E$9, 100%, $G$9) + CHOOSE(CONTROL!$C$38, 0.0369, 0)</f>
        <v>44.215000000000003</v>
      </c>
      <c r="E665" s="28">
        <f>47.7888 * CHOOSE(CONTROL!$C$15, $E$9, 100%, $G$9) + CHOOSE(CONTROL!$C$38, 0.0369, 0)</f>
        <v>47.825700000000005</v>
      </c>
      <c r="F665" s="27">
        <f>47.7888 * CHOOSE(CONTROL!$C$15, $E$9, 100%, $G$9) + CHOOSE(CONTROL!$C$38, 0.0278, 0)</f>
        <v>47.816600000000001</v>
      </c>
      <c r="G665" s="10">
        <f>44.1843 * CHOOSE(CONTROL!$C$15, $E$9, 100%, $G$9) + CHOOSE(CONTROL!$C$38, 0.0369, 0)</f>
        <v>44.221200000000003</v>
      </c>
      <c r="H665" s="10">
        <f>44.1843 * CHOOSE(CONTROL!$C$15, $E$9, 100%, $G$9) + CHOOSE(CONTROL!$C$38, 0.0369, 0)</f>
        <v>44.221200000000003</v>
      </c>
      <c r="I665" s="10">
        <f>44.1859 * CHOOSE(CONTROL!$C$15, $E$9, 100%, $G$9) + CHOOSE(CONTROL!$C$38, 0.0369, 0)</f>
        <v>44.222799999999999</v>
      </c>
      <c r="J665" s="26">
        <f>331.9253</f>
        <v>331.92529999999999</v>
      </c>
    </row>
    <row r="666" spans="1:10" ht="15.75" x14ac:dyDescent="0.25">
      <c r="A666" s="13">
        <v>61575</v>
      </c>
      <c r="B666" s="10">
        <f>47.7386 * CHOOSE(CONTROL!$C$15, $E$9, 100%, $G$9) + CHOOSE(CONTROL!$C$38, 0.0278, 0)</f>
        <v>47.766399999999997</v>
      </c>
      <c r="C666" s="10">
        <f>43.9794 * CHOOSE(CONTROL!$C$15, $E$9, 100%, $G$9) + CHOOSE(CONTROL!$C$38, 0.0369, 0)</f>
        <v>44.016300000000001</v>
      </c>
      <c r="D666" s="10">
        <f>43.9716 * CHOOSE(CONTROL!$C$15, $E$9, 100%, $G$9) + CHOOSE(CONTROL!$C$38, 0.0369, 0)</f>
        <v>44.008500000000005</v>
      </c>
      <c r="E666" s="28">
        <f>47.5823 * CHOOSE(CONTROL!$C$15, $E$9, 100%, $G$9) + CHOOSE(CONTROL!$C$38, 0.0369, 0)</f>
        <v>47.619199999999999</v>
      </c>
      <c r="F666" s="27">
        <f>47.5823 * CHOOSE(CONTROL!$C$15, $E$9, 100%, $G$9) + CHOOSE(CONTROL!$C$38, 0.0278, 0)</f>
        <v>47.610099999999996</v>
      </c>
      <c r="G666" s="10">
        <f>43.9778 * CHOOSE(CONTROL!$C$15, $E$9, 100%, $G$9) + CHOOSE(CONTROL!$C$38, 0.0369, 0)</f>
        <v>44.014700000000005</v>
      </c>
      <c r="H666" s="10">
        <f>43.9778 * CHOOSE(CONTROL!$C$15, $E$9, 100%, $G$9) + CHOOSE(CONTROL!$C$38, 0.0369, 0)</f>
        <v>44.014700000000005</v>
      </c>
      <c r="I666" s="10">
        <f>43.9794 * CHOOSE(CONTROL!$C$15, $E$9, 100%, $G$9) + CHOOSE(CONTROL!$C$38, 0.0369, 0)</f>
        <v>44.016300000000001</v>
      </c>
      <c r="J666" s="26">
        <f>330.373</f>
        <v>330.37299999999999</v>
      </c>
    </row>
    <row r="667" spans="1:10" ht="15.75" x14ac:dyDescent="0.25">
      <c r="A667" s="13">
        <v>61606</v>
      </c>
      <c r="B667" s="10">
        <f>47.8405 * CHOOSE(CONTROL!$C$15, $E$9, 100%, $G$9) + CHOOSE(CONTROL!$C$38, 0.0278, 0)</f>
        <v>47.868299999999998</v>
      </c>
      <c r="C667" s="10">
        <f>44.0813 * CHOOSE(CONTROL!$C$15, $E$9, 100%, $G$9) + CHOOSE(CONTROL!$C$38, 0.0369, 0)</f>
        <v>44.118200000000002</v>
      </c>
      <c r="D667" s="10">
        <f>44.0735 * CHOOSE(CONTROL!$C$15, $E$9, 100%, $G$9) + CHOOSE(CONTROL!$C$38, 0.0369, 0)</f>
        <v>44.110400000000006</v>
      </c>
      <c r="E667" s="28">
        <f>47.6843 * CHOOSE(CONTROL!$C$15, $E$9, 100%, $G$9) + CHOOSE(CONTROL!$C$38, 0.0369, 0)</f>
        <v>47.721200000000003</v>
      </c>
      <c r="F667" s="27">
        <f>47.6843 * CHOOSE(CONTROL!$C$15, $E$9, 100%, $G$9) + CHOOSE(CONTROL!$C$38, 0.0278, 0)</f>
        <v>47.7121</v>
      </c>
      <c r="G667" s="10">
        <f>44.0797 * CHOOSE(CONTROL!$C$15, $E$9, 100%, $G$9) + CHOOSE(CONTROL!$C$38, 0.0369, 0)</f>
        <v>44.116600000000005</v>
      </c>
      <c r="H667" s="10">
        <f>44.0797 * CHOOSE(CONTROL!$C$15, $E$9, 100%, $G$9) + CHOOSE(CONTROL!$C$38, 0.0369, 0)</f>
        <v>44.116600000000005</v>
      </c>
      <c r="I667" s="10">
        <f>44.0813 * CHOOSE(CONTROL!$C$15, $E$9, 100%, $G$9) + CHOOSE(CONTROL!$C$38, 0.0369, 0)</f>
        <v>44.118200000000002</v>
      </c>
      <c r="J667" s="26">
        <f>322.682</f>
        <v>322.68200000000002</v>
      </c>
    </row>
    <row r="668" spans="1:10" ht="15.75" x14ac:dyDescent="0.25">
      <c r="A668" s="13">
        <v>61636</v>
      </c>
      <c r="B668" s="10">
        <f>48.1173 * CHOOSE(CONTROL!$C$15, $E$9, 100%, $G$9) + CHOOSE(CONTROL!$C$38, 0.0278, 0)</f>
        <v>48.145099999999999</v>
      </c>
      <c r="C668" s="10">
        <f>44.3581 * CHOOSE(CONTROL!$C$15, $E$9, 100%, $G$9) + CHOOSE(CONTROL!$C$38, 0.0369, 0)</f>
        <v>44.395000000000003</v>
      </c>
      <c r="D668" s="10">
        <f>44.3503 * CHOOSE(CONTROL!$C$15, $E$9, 100%, $G$9) + CHOOSE(CONTROL!$C$38, 0.0369, 0)</f>
        <v>44.3872</v>
      </c>
      <c r="E668" s="28">
        <f>47.9611 * CHOOSE(CONTROL!$C$15, $E$9, 100%, $G$9) + CHOOSE(CONTROL!$C$38, 0.0369, 0)</f>
        <v>47.998000000000005</v>
      </c>
      <c r="F668" s="27">
        <f>47.9611 * CHOOSE(CONTROL!$C$15, $E$9, 100%, $G$9) + CHOOSE(CONTROL!$C$38, 0.0278, 0)</f>
        <v>47.988900000000001</v>
      </c>
      <c r="G668" s="10">
        <f>44.3565 * CHOOSE(CONTROL!$C$15, $E$9, 100%, $G$9) + CHOOSE(CONTROL!$C$38, 0.0369, 0)</f>
        <v>44.3934</v>
      </c>
      <c r="H668" s="10">
        <f>44.3565 * CHOOSE(CONTROL!$C$15, $E$9, 100%, $G$9) + CHOOSE(CONTROL!$C$38, 0.0369, 0)</f>
        <v>44.3934</v>
      </c>
      <c r="I668" s="10">
        <f>44.3581 * CHOOSE(CONTROL!$C$15, $E$9, 100%, $G$9) + CHOOSE(CONTROL!$C$38, 0.0369, 0)</f>
        <v>44.395000000000003</v>
      </c>
      <c r="J668" s="26">
        <f>311.9566</f>
        <v>311.95659999999998</v>
      </c>
    </row>
    <row r="669" spans="1:10" ht="15.75" x14ac:dyDescent="0.25">
      <c r="A669" s="13">
        <v>61667</v>
      </c>
      <c r="B669" s="10">
        <f>48.3491 * CHOOSE(CONTROL!$C$15, $E$9, 100%, $G$9) + CHOOSE(CONTROL!$C$38, 0.0256, 0)</f>
        <v>48.374699999999997</v>
      </c>
      <c r="C669" s="10">
        <f>44.5899 * CHOOSE(CONTROL!$C$15, $E$9, 100%, $G$9) + CHOOSE(CONTROL!$C$38, 0.0347, 0)</f>
        <v>44.624600000000001</v>
      </c>
      <c r="D669" s="10">
        <f>44.5821 * CHOOSE(CONTROL!$C$15, $E$9, 100%, $G$9) + CHOOSE(CONTROL!$C$38, 0.0347, 0)</f>
        <v>44.616799999999998</v>
      </c>
      <c r="E669" s="28">
        <f>48.1929 * CHOOSE(CONTROL!$C$15, $E$9, 100%, $G$9) + CHOOSE(CONTROL!$C$38, 0.0347, 0)</f>
        <v>48.227600000000002</v>
      </c>
      <c r="F669" s="27">
        <f>48.1929 * CHOOSE(CONTROL!$C$15, $E$9, 100%, $G$9) + CHOOSE(CONTROL!$C$38, 0.0256, 0)</f>
        <v>48.218499999999999</v>
      </c>
      <c r="G669" s="10">
        <f>44.5884 * CHOOSE(CONTROL!$C$15, $E$9, 100%, $G$9) + CHOOSE(CONTROL!$C$38, 0.0347, 0)</f>
        <v>44.623100000000001</v>
      </c>
      <c r="H669" s="10">
        <f>44.5884 * CHOOSE(CONTROL!$C$15, $E$9, 100%, $G$9) + CHOOSE(CONTROL!$C$38, 0.0347, 0)</f>
        <v>44.623100000000001</v>
      </c>
      <c r="I669" s="10">
        <f>44.5899 * CHOOSE(CONTROL!$C$15, $E$9, 100%, $G$9) + CHOOSE(CONTROL!$C$38, 0.0347, 0)</f>
        <v>44.624600000000001</v>
      </c>
      <c r="J669" s="26">
        <f>301.1688</f>
        <v>301.16879999999998</v>
      </c>
    </row>
    <row r="670" spans="1:10" ht="15.75" x14ac:dyDescent="0.25">
      <c r="A670" s="13">
        <v>61697</v>
      </c>
      <c r="B670" s="10">
        <f>48.5426 * CHOOSE(CONTROL!$C$15, $E$9, 100%, $G$9) + CHOOSE(CONTROL!$C$38, 0.0256, 0)</f>
        <v>48.568199999999997</v>
      </c>
      <c r="C670" s="10">
        <f>44.7834 * CHOOSE(CONTROL!$C$15, $E$9, 100%, $G$9) + CHOOSE(CONTROL!$C$38, 0.0347, 0)</f>
        <v>44.818100000000001</v>
      </c>
      <c r="D670" s="10">
        <f>44.7756 * CHOOSE(CONTROL!$C$15, $E$9, 100%, $G$9) + CHOOSE(CONTROL!$C$38, 0.0347, 0)</f>
        <v>44.810299999999998</v>
      </c>
      <c r="E670" s="28">
        <f>48.3863 * CHOOSE(CONTROL!$C$15, $E$9, 100%, $G$9) + CHOOSE(CONTROL!$C$38, 0.0347, 0)</f>
        <v>48.420999999999999</v>
      </c>
      <c r="F670" s="27">
        <f>48.3863 * CHOOSE(CONTROL!$C$15, $E$9, 100%, $G$9) + CHOOSE(CONTROL!$C$38, 0.0256, 0)</f>
        <v>48.411899999999996</v>
      </c>
      <c r="G670" s="10">
        <f>44.7818 * CHOOSE(CONTROL!$C$15, $E$9, 100%, $G$9) + CHOOSE(CONTROL!$C$38, 0.0347, 0)</f>
        <v>44.816499999999998</v>
      </c>
      <c r="H670" s="10">
        <f>44.7818 * CHOOSE(CONTROL!$C$15, $E$9, 100%, $G$9) + CHOOSE(CONTROL!$C$38, 0.0347, 0)</f>
        <v>44.816499999999998</v>
      </c>
      <c r="I670" s="10">
        <f>44.7834 * CHOOSE(CONTROL!$C$15, $E$9, 100%, $G$9) + CHOOSE(CONTROL!$C$38, 0.0347, 0)</f>
        <v>44.818100000000001</v>
      </c>
      <c r="J670" s="26">
        <f>299.0229</f>
        <v>299.02289999999999</v>
      </c>
    </row>
    <row r="671" spans="1:10" ht="15.75" x14ac:dyDescent="0.25">
      <c r="A671" s="13">
        <v>61728</v>
      </c>
      <c r="B671" s="10">
        <f>49.1386 * CHOOSE(CONTROL!$C$15, $E$9, 100%, $G$9) + CHOOSE(CONTROL!$C$38, 0.0256, 0)</f>
        <v>49.164199999999994</v>
      </c>
      <c r="C671" s="10">
        <f>45.3794 * CHOOSE(CONTROL!$C$15, $E$9, 100%, $G$9) + CHOOSE(CONTROL!$C$38, 0.0347, 0)</f>
        <v>45.414099999999998</v>
      </c>
      <c r="D671" s="10">
        <f>45.3716 * CHOOSE(CONTROL!$C$15, $E$9, 100%, $G$9) + CHOOSE(CONTROL!$C$38, 0.0347, 0)</f>
        <v>45.406300000000002</v>
      </c>
      <c r="E671" s="28">
        <f>48.9824 * CHOOSE(CONTROL!$C$15, $E$9, 100%, $G$9) + CHOOSE(CONTROL!$C$38, 0.0347, 0)</f>
        <v>49.017099999999999</v>
      </c>
      <c r="F671" s="27">
        <f>48.9824 * CHOOSE(CONTROL!$C$15, $E$9, 100%, $G$9) + CHOOSE(CONTROL!$C$38, 0.0256, 0)</f>
        <v>49.007999999999996</v>
      </c>
      <c r="G671" s="10">
        <f>45.3779 * CHOOSE(CONTROL!$C$15, $E$9, 100%, $G$9) + CHOOSE(CONTROL!$C$38, 0.0347, 0)</f>
        <v>45.412599999999998</v>
      </c>
      <c r="H671" s="10">
        <f>45.3779 * CHOOSE(CONTROL!$C$15, $E$9, 100%, $G$9) + CHOOSE(CONTROL!$C$38, 0.0347, 0)</f>
        <v>45.412599999999998</v>
      </c>
      <c r="I671" s="10">
        <f>45.3794 * CHOOSE(CONTROL!$C$15, $E$9, 100%, $G$9) + CHOOSE(CONTROL!$C$38, 0.0347, 0)</f>
        <v>45.414099999999998</v>
      </c>
      <c r="J671" s="26">
        <f>290.1494</f>
        <v>290.14940000000001</v>
      </c>
    </row>
    <row r="672" spans="1:10" ht="15.75" x14ac:dyDescent="0.25">
      <c r="A672" s="13">
        <v>61759</v>
      </c>
      <c r="B672" s="10">
        <f>50.4568 * CHOOSE(CONTROL!$C$15, $E$9, 100%, $G$9) + CHOOSE(CONTROL!$C$38, 0.0256, 0)</f>
        <v>50.482399999999998</v>
      </c>
      <c r="C672" s="10">
        <f>46.6339 * CHOOSE(CONTROL!$C$15, $E$9, 100%, $G$9) + CHOOSE(CONTROL!$C$38, 0.0347, 0)</f>
        <v>46.668599999999998</v>
      </c>
      <c r="D672" s="10">
        <f>46.6261 * CHOOSE(CONTROL!$C$15, $E$9, 100%, $G$9) + CHOOSE(CONTROL!$C$38, 0.0347, 0)</f>
        <v>46.660800000000002</v>
      </c>
      <c r="E672" s="28">
        <f>50.3005 * CHOOSE(CONTROL!$C$15, $E$9, 100%, $G$9) + CHOOSE(CONTROL!$C$38, 0.0347, 0)</f>
        <v>50.3352</v>
      </c>
      <c r="F672" s="27">
        <f>50.3005 * CHOOSE(CONTROL!$C$15, $E$9, 100%, $G$9) + CHOOSE(CONTROL!$C$38, 0.0256, 0)</f>
        <v>50.326099999999997</v>
      </c>
      <c r="G672" s="10">
        <f>46.6324 * CHOOSE(CONTROL!$C$15, $E$9, 100%, $G$9) + CHOOSE(CONTROL!$C$38, 0.0347, 0)</f>
        <v>46.667099999999998</v>
      </c>
      <c r="H672" s="10">
        <f>46.6324 * CHOOSE(CONTROL!$C$15, $E$9, 100%, $G$9) + CHOOSE(CONTROL!$C$38, 0.0347, 0)</f>
        <v>46.667099999999998</v>
      </c>
      <c r="I672" s="10">
        <f>46.6339 * CHOOSE(CONTROL!$C$15, $E$9, 100%, $G$9) + CHOOSE(CONTROL!$C$38, 0.0347, 0)</f>
        <v>46.668599999999998</v>
      </c>
      <c r="J672" s="26">
        <f>288.2058</f>
        <v>288.20580000000001</v>
      </c>
    </row>
    <row r="673" spans="1:10" ht="15.75" x14ac:dyDescent="0.25">
      <c r="A673" s="13">
        <v>61787</v>
      </c>
      <c r="B673" s="10">
        <f>50.6775 * CHOOSE(CONTROL!$C$15, $E$9, 100%, $G$9) + CHOOSE(CONTROL!$C$38, 0.0256, 0)</f>
        <v>50.703099999999999</v>
      </c>
      <c r="C673" s="10">
        <f>46.8547 * CHOOSE(CONTROL!$C$15, $E$9, 100%, $G$9) + CHOOSE(CONTROL!$C$38, 0.0347, 0)</f>
        <v>46.889400000000002</v>
      </c>
      <c r="D673" s="10">
        <f>46.8469 * CHOOSE(CONTROL!$C$15, $E$9, 100%, $G$9) + CHOOSE(CONTROL!$C$38, 0.0347, 0)</f>
        <v>46.881599999999999</v>
      </c>
      <c r="E673" s="28">
        <f>50.5213 * CHOOSE(CONTROL!$C$15, $E$9, 100%, $G$9) + CHOOSE(CONTROL!$C$38, 0.0347, 0)</f>
        <v>50.555999999999997</v>
      </c>
      <c r="F673" s="27">
        <f>50.5213 * CHOOSE(CONTROL!$C$15, $E$9, 100%, $G$9) + CHOOSE(CONTROL!$C$38, 0.0256, 0)</f>
        <v>50.546899999999994</v>
      </c>
      <c r="G673" s="10">
        <f>46.8531 * CHOOSE(CONTROL!$C$15, $E$9, 100%, $G$9) + CHOOSE(CONTROL!$C$38, 0.0347, 0)</f>
        <v>46.887799999999999</v>
      </c>
      <c r="H673" s="10">
        <f>46.8531 * CHOOSE(CONTROL!$C$15, $E$9, 100%, $G$9) + CHOOSE(CONTROL!$C$38, 0.0347, 0)</f>
        <v>46.887799999999999</v>
      </c>
      <c r="I673" s="10">
        <f>46.8547 * CHOOSE(CONTROL!$C$15, $E$9, 100%, $G$9) + CHOOSE(CONTROL!$C$38, 0.0347, 0)</f>
        <v>46.889400000000002</v>
      </c>
      <c r="J673" s="26">
        <f>287.4047</f>
        <v>287.40469999999999</v>
      </c>
    </row>
    <row r="674" spans="1:10" ht="15.75" x14ac:dyDescent="0.25">
      <c r="A674" s="13">
        <v>61818</v>
      </c>
      <c r="B674" s="10">
        <f>50.1665 * CHOOSE(CONTROL!$C$15, $E$9, 100%, $G$9) + CHOOSE(CONTROL!$C$38, 0.0256, 0)</f>
        <v>50.192099999999996</v>
      </c>
      <c r="C674" s="10">
        <f>46.3437 * CHOOSE(CONTROL!$C$15, $E$9, 100%, $G$9) + CHOOSE(CONTROL!$C$38, 0.0347, 0)</f>
        <v>46.378399999999999</v>
      </c>
      <c r="D674" s="10">
        <f>46.3358 * CHOOSE(CONTROL!$C$15, $E$9, 100%, $G$9) + CHOOSE(CONTROL!$C$38, 0.0347, 0)</f>
        <v>46.3705</v>
      </c>
      <c r="E674" s="28">
        <f>50.0103 * CHOOSE(CONTROL!$C$15, $E$9, 100%, $G$9) + CHOOSE(CONTROL!$C$38, 0.0347, 0)</f>
        <v>50.045000000000002</v>
      </c>
      <c r="F674" s="27">
        <f>50.0103 * CHOOSE(CONTROL!$C$15, $E$9, 100%, $G$9) + CHOOSE(CONTROL!$C$38, 0.0256, 0)</f>
        <v>50.035899999999998</v>
      </c>
      <c r="G674" s="10">
        <f>46.3421 * CHOOSE(CONTROL!$C$15, $E$9, 100%, $G$9) + CHOOSE(CONTROL!$C$38, 0.0347, 0)</f>
        <v>46.376800000000003</v>
      </c>
      <c r="H674" s="10">
        <f>46.3421 * CHOOSE(CONTROL!$C$15, $E$9, 100%, $G$9) + CHOOSE(CONTROL!$C$38, 0.0347, 0)</f>
        <v>46.376800000000003</v>
      </c>
      <c r="I674" s="10">
        <f>46.3437 * CHOOSE(CONTROL!$C$15, $E$9, 100%, $G$9) + CHOOSE(CONTROL!$C$38, 0.0347, 0)</f>
        <v>46.378399999999999</v>
      </c>
      <c r="J674" s="26">
        <f>302.5526</f>
        <v>302.55259999999998</v>
      </c>
    </row>
    <row r="675" spans="1:10" ht="15.75" x14ac:dyDescent="0.25">
      <c r="A675" s="13">
        <v>61848</v>
      </c>
      <c r="B675" s="10">
        <f>49.6713 * CHOOSE(CONTROL!$C$15, $E$9, 100%, $G$9) + CHOOSE(CONTROL!$C$38, 0.0256, 0)</f>
        <v>49.696899999999999</v>
      </c>
      <c r="C675" s="10">
        <f>45.8485 * CHOOSE(CONTROL!$C$15, $E$9, 100%, $G$9) + CHOOSE(CONTROL!$C$38, 0.0347, 0)</f>
        <v>45.883200000000002</v>
      </c>
      <c r="D675" s="10">
        <f>45.8407 * CHOOSE(CONTROL!$C$15, $E$9, 100%, $G$9) + CHOOSE(CONTROL!$C$38, 0.0347, 0)</f>
        <v>45.875399999999999</v>
      </c>
      <c r="E675" s="28">
        <f>49.5151 * CHOOSE(CONTROL!$C$15, $E$9, 100%, $G$9) + CHOOSE(CONTROL!$C$38, 0.0347, 0)</f>
        <v>49.549799999999998</v>
      </c>
      <c r="F675" s="27">
        <f>49.5151 * CHOOSE(CONTROL!$C$15, $E$9, 100%, $G$9) + CHOOSE(CONTROL!$C$38, 0.0256, 0)</f>
        <v>49.540699999999994</v>
      </c>
      <c r="G675" s="10">
        <f>45.8469 * CHOOSE(CONTROL!$C$15, $E$9, 100%, $G$9) + CHOOSE(CONTROL!$C$38, 0.0347, 0)</f>
        <v>45.881599999999999</v>
      </c>
      <c r="H675" s="10">
        <f>45.8469 * CHOOSE(CONTROL!$C$15, $E$9, 100%, $G$9) + CHOOSE(CONTROL!$C$38, 0.0347, 0)</f>
        <v>45.881599999999999</v>
      </c>
      <c r="I675" s="10">
        <f>45.8485 * CHOOSE(CONTROL!$C$15, $E$9, 100%, $G$9) + CHOOSE(CONTROL!$C$38, 0.0347, 0)</f>
        <v>45.883200000000002</v>
      </c>
      <c r="J675" s="26">
        <f>322.1958</f>
        <v>322.19580000000002</v>
      </c>
    </row>
    <row r="676" spans="1:10" ht="15.75" x14ac:dyDescent="0.25">
      <c r="A676" s="13">
        <v>61879</v>
      </c>
      <c r="B676" s="10">
        <f>49.1552 * CHOOSE(CONTROL!$C$15, $E$9, 100%, $G$9) + CHOOSE(CONTROL!$C$38, 0.0278, 0)</f>
        <v>49.183</v>
      </c>
      <c r="C676" s="10">
        <f>45.3324 * CHOOSE(CONTROL!$C$15, $E$9, 100%, $G$9) + CHOOSE(CONTROL!$C$38, 0.0369, 0)</f>
        <v>45.369300000000003</v>
      </c>
      <c r="D676" s="10">
        <f>45.3246 * CHOOSE(CONTROL!$C$15, $E$9, 100%, $G$9) + CHOOSE(CONTROL!$C$38, 0.0369, 0)</f>
        <v>45.361499999999999</v>
      </c>
      <c r="E676" s="28">
        <f>48.999 * CHOOSE(CONTROL!$C$15, $E$9, 100%, $G$9) + CHOOSE(CONTROL!$C$38, 0.0369, 0)</f>
        <v>49.035900000000005</v>
      </c>
      <c r="F676" s="27">
        <f>48.999 * CHOOSE(CONTROL!$C$15, $E$9, 100%, $G$9) + CHOOSE(CONTROL!$C$38, 0.0278, 0)</f>
        <v>49.026800000000001</v>
      </c>
      <c r="G676" s="10">
        <f>45.3308 * CHOOSE(CONTROL!$C$15, $E$9, 100%, $G$9) + CHOOSE(CONTROL!$C$38, 0.0369, 0)</f>
        <v>45.367700000000006</v>
      </c>
      <c r="H676" s="10">
        <f>45.3308 * CHOOSE(CONTROL!$C$15, $E$9, 100%, $G$9) + CHOOSE(CONTROL!$C$38, 0.0369, 0)</f>
        <v>45.367700000000006</v>
      </c>
      <c r="I676" s="10">
        <f>45.3324 * CHOOSE(CONTROL!$C$15, $E$9, 100%, $G$9) + CHOOSE(CONTROL!$C$38, 0.0369, 0)</f>
        <v>45.369300000000003</v>
      </c>
      <c r="J676" s="26">
        <f>333.0081</f>
        <v>333.00810000000001</v>
      </c>
    </row>
    <row r="677" spans="1:10" ht="15.75" x14ac:dyDescent="0.25">
      <c r="A677" s="13">
        <v>61909</v>
      </c>
      <c r="B677" s="10">
        <f>48.7934 * CHOOSE(CONTROL!$C$15, $E$9, 100%, $G$9) + CHOOSE(CONTROL!$C$38, 0.0278, 0)</f>
        <v>48.821199999999997</v>
      </c>
      <c r="C677" s="10">
        <f>44.9705 * CHOOSE(CONTROL!$C$15, $E$9, 100%, $G$9) + CHOOSE(CONTROL!$C$38, 0.0369, 0)</f>
        <v>45.007400000000004</v>
      </c>
      <c r="D677" s="10">
        <f>44.9627 * CHOOSE(CONTROL!$C$15, $E$9, 100%, $G$9) + CHOOSE(CONTROL!$C$38, 0.0369, 0)</f>
        <v>44.999600000000001</v>
      </c>
      <c r="E677" s="28">
        <f>48.6371 * CHOOSE(CONTROL!$C$15, $E$9, 100%, $G$9) + CHOOSE(CONTROL!$C$38, 0.0369, 0)</f>
        <v>48.673999999999999</v>
      </c>
      <c r="F677" s="27">
        <f>48.6371 * CHOOSE(CONTROL!$C$15, $E$9, 100%, $G$9) + CHOOSE(CONTROL!$C$38, 0.0278, 0)</f>
        <v>48.664899999999996</v>
      </c>
      <c r="G677" s="10">
        <f>44.969 * CHOOSE(CONTROL!$C$15, $E$9, 100%, $G$9) + CHOOSE(CONTROL!$C$38, 0.0369, 0)</f>
        <v>45.005900000000004</v>
      </c>
      <c r="H677" s="10">
        <f>44.969 * CHOOSE(CONTROL!$C$15, $E$9, 100%, $G$9) + CHOOSE(CONTROL!$C$38, 0.0369, 0)</f>
        <v>45.005900000000004</v>
      </c>
      <c r="I677" s="10">
        <f>44.9705 * CHOOSE(CONTROL!$C$15, $E$9, 100%, $G$9) + CHOOSE(CONTROL!$C$38, 0.0369, 0)</f>
        <v>45.007400000000004</v>
      </c>
      <c r="J677" s="26">
        <f>337.8064</f>
        <v>337.8064</v>
      </c>
    </row>
    <row r="678" spans="1:10" ht="15.75" x14ac:dyDescent="0.25">
      <c r="A678" s="13">
        <v>61940</v>
      </c>
      <c r="B678" s="10">
        <f>48.5869 * CHOOSE(CONTROL!$C$15, $E$9, 100%, $G$9) + CHOOSE(CONTROL!$C$38, 0.0278, 0)</f>
        <v>48.614699999999999</v>
      </c>
      <c r="C678" s="10">
        <f>44.764 * CHOOSE(CONTROL!$C$15, $E$9, 100%, $G$9) + CHOOSE(CONTROL!$C$38, 0.0369, 0)</f>
        <v>44.800900000000006</v>
      </c>
      <c r="D678" s="10">
        <f>44.7562 * CHOOSE(CONTROL!$C$15, $E$9, 100%, $G$9) + CHOOSE(CONTROL!$C$38, 0.0369, 0)</f>
        <v>44.793100000000003</v>
      </c>
      <c r="E678" s="28">
        <f>48.4306 * CHOOSE(CONTROL!$C$15, $E$9, 100%, $G$9) + CHOOSE(CONTROL!$C$38, 0.0369, 0)</f>
        <v>48.467500000000001</v>
      </c>
      <c r="F678" s="27">
        <f>48.4306 * CHOOSE(CONTROL!$C$15, $E$9, 100%, $G$9) + CHOOSE(CONTROL!$C$38, 0.0278, 0)</f>
        <v>48.458399999999997</v>
      </c>
      <c r="G678" s="10">
        <f>44.7625 * CHOOSE(CONTROL!$C$15, $E$9, 100%, $G$9) + CHOOSE(CONTROL!$C$38, 0.0369, 0)</f>
        <v>44.799400000000006</v>
      </c>
      <c r="H678" s="10">
        <f>44.7625 * CHOOSE(CONTROL!$C$15, $E$9, 100%, $G$9) + CHOOSE(CONTROL!$C$38, 0.0369, 0)</f>
        <v>44.799400000000006</v>
      </c>
      <c r="I678" s="10">
        <f>44.764 * CHOOSE(CONTROL!$C$15, $E$9, 100%, $G$9) + CHOOSE(CONTROL!$C$38, 0.0369, 0)</f>
        <v>44.800900000000006</v>
      </c>
      <c r="J678" s="26">
        <f>336.2265</f>
        <v>336.22649999999999</v>
      </c>
    </row>
    <row r="679" spans="1:10" ht="15.75" x14ac:dyDescent="0.25">
      <c r="A679" s="13">
        <v>61971</v>
      </c>
      <c r="B679" s="10">
        <f>48.6888 * CHOOSE(CONTROL!$C$15, $E$9, 100%, $G$9) + CHOOSE(CONTROL!$C$38, 0.0278, 0)</f>
        <v>48.7166</v>
      </c>
      <c r="C679" s="10">
        <f>44.8659 * CHOOSE(CONTROL!$C$15, $E$9, 100%, $G$9) + CHOOSE(CONTROL!$C$38, 0.0369, 0)</f>
        <v>44.902800000000006</v>
      </c>
      <c r="D679" s="10">
        <f>44.8581 * CHOOSE(CONTROL!$C$15, $E$9, 100%, $G$9) + CHOOSE(CONTROL!$C$38, 0.0369, 0)</f>
        <v>44.895000000000003</v>
      </c>
      <c r="E679" s="28">
        <f>48.5326 * CHOOSE(CONTROL!$C$15, $E$9, 100%, $G$9) + CHOOSE(CONTROL!$C$38, 0.0369, 0)</f>
        <v>48.569500000000005</v>
      </c>
      <c r="F679" s="27">
        <f>48.5326 * CHOOSE(CONTROL!$C$15, $E$9, 100%, $G$9) + CHOOSE(CONTROL!$C$38, 0.0278, 0)</f>
        <v>48.560400000000001</v>
      </c>
      <c r="G679" s="10">
        <f>44.8644 * CHOOSE(CONTROL!$C$15, $E$9, 100%, $G$9) + CHOOSE(CONTROL!$C$38, 0.0369, 0)</f>
        <v>44.901300000000006</v>
      </c>
      <c r="H679" s="10">
        <f>44.8644 * CHOOSE(CONTROL!$C$15, $E$9, 100%, $G$9) + CHOOSE(CONTROL!$C$38, 0.0369, 0)</f>
        <v>44.901300000000006</v>
      </c>
      <c r="I679" s="10">
        <f>44.8659 * CHOOSE(CONTROL!$C$15, $E$9, 100%, $G$9) + CHOOSE(CONTROL!$C$38, 0.0369, 0)</f>
        <v>44.902800000000006</v>
      </c>
      <c r="J679" s="26">
        <f>328.3993</f>
        <v>328.39929999999998</v>
      </c>
    </row>
    <row r="680" spans="1:10" ht="15.75" x14ac:dyDescent="0.25">
      <c r="A680" s="13">
        <v>62001</v>
      </c>
      <c r="B680" s="10">
        <f>48.9656 * CHOOSE(CONTROL!$C$15, $E$9, 100%, $G$9) + CHOOSE(CONTROL!$C$38, 0.0278, 0)</f>
        <v>48.993400000000001</v>
      </c>
      <c r="C680" s="10">
        <f>45.1427 * CHOOSE(CONTROL!$C$15, $E$9, 100%, $G$9) + CHOOSE(CONTROL!$C$38, 0.0369, 0)</f>
        <v>45.179600000000001</v>
      </c>
      <c r="D680" s="10">
        <f>45.1349 * CHOOSE(CONTROL!$C$15, $E$9, 100%, $G$9) + CHOOSE(CONTROL!$C$38, 0.0369, 0)</f>
        <v>45.171800000000005</v>
      </c>
      <c r="E680" s="28">
        <f>48.8094 * CHOOSE(CONTROL!$C$15, $E$9, 100%, $G$9) + CHOOSE(CONTROL!$C$38, 0.0369, 0)</f>
        <v>48.846299999999999</v>
      </c>
      <c r="F680" s="27">
        <f>48.8094 * CHOOSE(CONTROL!$C$15, $E$9, 100%, $G$9) + CHOOSE(CONTROL!$C$38, 0.0278, 0)</f>
        <v>48.837199999999996</v>
      </c>
      <c r="G680" s="10">
        <f>45.1412 * CHOOSE(CONTROL!$C$15, $E$9, 100%, $G$9) + CHOOSE(CONTROL!$C$38, 0.0369, 0)</f>
        <v>45.178100000000001</v>
      </c>
      <c r="H680" s="10">
        <f>45.1412 * CHOOSE(CONTROL!$C$15, $E$9, 100%, $G$9) + CHOOSE(CONTROL!$C$38, 0.0369, 0)</f>
        <v>45.178100000000001</v>
      </c>
      <c r="I680" s="10">
        <f>45.1427 * CHOOSE(CONTROL!$C$15, $E$9, 100%, $G$9) + CHOOSE(CONTROL!$C$38, 0.0369, 0)</f>
        <v>45.179600000000001</v>
      </c>
      <c r="J680" s="26">
        <f>317.4839</f>
        <v>317.48390000000001</v>
      </c>
    </row>
    <row r="681" spans="1:10" ht="15.75" x14ac:dyDescent="0.25">
      <c r="A681" s="13">
        <v>62032</v>
      </c>
      <c r="B681" s="10">
        <f>49.1974 * CHOOSE(CONTROL!$C$15, $E$9, 100%, $G$9) + CHOOSE(CONTROL!$C$38, 0.0256, 0)</f>
        <v>49.222999999999999</v>
      </c>
      <c r="C681" s="10">
        <f>45.3746 * CHOOSE(CONTROL!$C$15, $E$9, 100%, $G$9) + CHOOSE(CONTROL!$C$38, 0.0347, 0)</f>
        <v>45.409300000000002</v>
      </c>
      <c r="D681" s="10">
        <f>45.3668 * CHOOSE(CONTROL!$C$15, $E$9, 100%, $G$9) + CHOOSE(CONTROL!$C$38, 0.0347, 0)</f>
        <v>45.401499999999999</v>
      </c>
      <c r="E681" s="28">
        <f>49.0412 * CHOOSE(CONTROL!$C$15, $E$9, 100%, $G$9) + CHOOSE(CONTROL!$C$38, 0.0347, 0)</f>
        <v>49.075900000000004</v>
      </c>
      <c r="F681" s="27">
        <f>49.0412 * CHOOSE(CONTROL!$C$15, $E$9, 100%, $G$9) + CHOOSE(CONTROL!$C$38, 0.0256, 0)</f>
        <v>49.066800000000001</v>
      </c>
      <c r="G681" s="10">
        <f>45.373 * CHOOSE(CONTROL!$C$15, $E$9, 100%, $G$9) + CHOOSE(CONTROL!$C$38, 0.0347, 0)</f>
        <v>45.407699999999998</v>
      </c>
      <c r="H681" s="10">
        <f>45.373 * CHOOSE(CONTROL!$C$15, $E$9, 100%, $G$9) + CHOOSE(CONTROL!$C$38, 0.0347, 0)</f>
        <v>45.407699999999998</v>
      </c>
      <c r="I681" s="10">
        <f>45.3746 * CHOOSE(CONTROL!$C$15, $E$9, 100%, $G$9) + CHOOSE(CONTROL!$C$38, 0.0347, 0)</f>
        <v>45.409300000000002</v>
      </c>
      <c r="J681" s="26">
        <f>306.505</f>
        <v>306.505</v>
      </c>
    </row>
    <row r="682" spans="1:10" ht="15.75" x14ac:dyDescent="0.25">
      <c r="A682" s="13">
        <v>62062</v>
      </c>
      <c r="B682" s="10">
        <f>49.3909 * CHOOSE(CONTROL!$C$15, $E$9, 100%, $G$9) + CHOOSE(CONTROL!$C$38, 0.0256, 0)</f>
        <v>49.416499999999999</v>
      </c>
      <c r="C682" s="10">
        <f>45.568 * CHOOSE(CONTROL!$C$15, $E$9, 100%, $G$9) + CHOOSE(CONTROL!$C$38, 0.0347, 0)</f>
        <v>45.602699999999999</v>
      </c>
      <c r="D682" s="10">
        <f>45.5602 * CHOOSE(CONTROL!$C$15, $E$9, 100%, $G$9) + CHOOSE(CONTROL!$C$38, 0.0347, 0)</f>
        <v>45.594900000000003</v>
      </c>
      <c r="E682" s="28">
        <f>49.2346 * CHOOSE(CONTROL!$C$15, $E$9, 100%, $G$9) + CHOOSE(CONTROL!$C$38, 0.0347, 0)</f>
        <v>49.269300000000001</v>
      </c>
      <c r="F682" s="27">
        <f>49.2346 * CHOOSE(CONTROL!$C$15, $E$9, 100%, $G$9) + CHOOSE(CONTROL!$C$38, 0.0256, 0)</f>
        <v>49.260199999999998</v>
      </c>
      <c r="G682" s="10">
        <f>45.5664 * CHOOSE(CONTROL!$C$15, $E$9, 100%, $G$9) + CHOOSE(CONTROL!$C$38, 0.0347, 0)</f>
        <v>45.601100000000002</v>
      </c>
      <c r="H682" s="10">
        <f>45.5664 * CHOOSE(CONTROL!$C$15, $E$9, 100%, $G$9) + CHOOSE(CONTROL!$C$38, 0.0347, 0)</f>
        <v>45.601100000000002</v>
      </c>
      <c r="I682" s="10">
        <f>45.568 * CHOOSE(CONTROL!$C$15, $E$9, 100%, $G$9) + CHOOSE(CONTROL!$C$38, 0.0347, 0)</f>
        <v>45.602699999999999</v>
      </c>
      <c r="J682" s="26">
        <f>304.3211</f>
        <v>304.3211</v>
      </c>
    </row>
    <row r="683" spans="1:10" ht="15.75" x14ac:dyDescent="0.25">
      <c r="A683" s="13">
        <v>62093</v>
      </c>
      <c r="B683" s="10">
        <f>49.9869 * CHOOSE(CONTROL!$C$15, $E$9, 100%, $G$9) + CHOOSE(CONTROL!$C$38, 0.0256, 0)</f>
        <v>50.012499999999996</v>
      </c>
      <c r="C683" s="10">
        <f>46.1641 * CHOOSE(CONTROL!$C$15, $E$9, 100%, $G$9) + CHOOSE(CONTROL!$C$38, 0.0347, 0)</f>
        <v>46.198799999999999</v>
      </c>
      <c r="D683" s="10">
        <f>46.1563 * CHOOSE(CONTROL!$C$15, $E$9, 100%, $G$9) + CHOOSE(CONTROL!$C$38, 0.0347, 0)</f>
        <v>46.191000000000003</v>
      </c>
      <c r="E683" s="28">
        <f>49.8307 * CHOOSE(CONTROL!$C$15, $E$9, 100%, $G$9) + CHOOSE(CONTROL!$C$38, 0.0347, 0)</f>
        <v>49.865400000000001</v>
      </c>
      <c r="F683" s="27">
        <f>49.8307 * CHOOSE(CONTROL!$C$15, $E$9, 100%, $G$9) + CHOOSE(CONTROL!$C$38, 0.0256, 0)</f>
        <v>49.856299999999997</v>
      </c>
      <c r="G683" s="10">
        <f>46.1625 * CHOOSE(CONTROL!$C$15, $E$9, 100%, $G$9) + CHOOSE(CONTROL!$C$38, 0.0347, 0)</f>
        <v>46.197200000000002</v>
      </c>
      <c r="H683" s="10">
        <f>46.1625 * CHOOSE(CONTROL!$C$15, $E$9, 100%, $G$9) + CHOOSE(CONTROL!$C$38, 0.0347, 0)</f>
        <v>46.197200000000002</v>
      </c>
      <c r="I683" s="10">
        <f>46.1641 * CHOOSE(CONTROL!$C$15, $E$9, 100%, $G$9) + CHOOSE(CONTROL!$C$38, 0.0347, 0)</f>
        <v>46.198799999999999</v>
      </c>
      <c r="J683" s="26">
        <f>295.2903</f>
        <v>295.2903</v>
      </c>
    </row>
    <row r="684" spans="1:10" ht="15.75" x14ac:dyDescent="0.25">
      <c r="A684" s="13">
        <v>62124</v>
      </c>
      <c r="B684" s="10">
        <f>51.3201 * CHOOSE(CONTROL!$C$15, $E$9, 100%, $G$9) + CHOOSE(CONTROL!$C$38, 0.0256, 0)</f>
        <v>51.345699999999994</v>
      </c>
      <c r="C684" s="10">
        <f>47.4324 * CHOOSE(CONTROL!$C$15, $E$9, 100%, $G$9) + CHOOSE(CONTROL!$C$38, 0.0347, 0)</f>
        <v>47.467100000000002</v>
      </c>
      <c r="D684" s="10">
        <f>47.4246 * CHOOSE(CONTROL!$C$15, $E$9, 100%, $G$9) + CHOOSE(CONTROL!$C$38, 0.0347, 0)</f>
        <v>47.459299999999999</v>
      </c>
      <c r="E684" s="28">
        <f>51.1638 * CHOOSE(CONTROL!$C$15, $E$9, 100%, $G$9) + CHOOSE(CONTROL!$C$38, 0.0347, 0)</f>
        <v>51.198500000000003</v>
      </c>
      <c r="F684" s="27">
        <f>51.1638 * CHOOSE(CONTROL!$C$15, $E$9, 100%, $G$9) + CHOOSE(CONTROL!$C$38, 0.0256, 0)</f>
        <v>51.189399999999999</v>
      </c>
      <c r="G684" s="10">
        <f>47.4309 * CHOOSE(CONTROL!$C$15, $E$9, 100%, $G$9) + CHOOSE(CONTROL!$C$38, 0.0347, 0)</f>
        <v>47.465600000000002</v>
      </c>
      <c r="H684" s="10">
        <f>47.4309 * CHOOSE(CONTROL!$C$15, $E$9, 100%, $G$9) + CHOOSE(CONTROL!$C$38, 0.0347, 0)</f>
        <v>47.465600000000002</v>
      </c>
      <c r="I684" s="10">
        <f>47.4324 * CHOOSE(CONTROL!$C$15, $E$9, 100%, $G$9) + CHOOSE(CONTROL!$C$38, 0.0347, 0)</f>
        <v>47.467100000000002</v>
      </c>
      <c r="J684" s="26">
        <f>293.3123</f>
        <v>293.31229999999999</v>
      </c>
    </row>
    <row r="685" spans="1:10" ht="15.75" x14ac:dyDescent="0.25">
      <c r="A685" s="13">
        <v>62152</v>
      </c>
      <c r="B685" s="10">
        <f>51.5408 * CHOOSE(CONTROL!$C$15, $E$9, 100%, $G$9) + CHOOSE(CONTROL!$C$38, 0.0256, 0)</f>
        <v>51.566399999999994</v>
      </c>
      <c r="C685" s="10">
        <f>47.6532 * CHOOSE(CONTROL!$C$15, $E$9, 100%, $G$9) + CHOOSE(CONTROL!$C$38, 0.0347, 0)</f>
        <v>47.687899999999999</v>
      </c>
      <c r="D685" s="10">
        <f>47.6454 * CHOOSE(CONTROL!$C$15, $E$9, 100%, $G$9) + CHOOSE(CONTROL!$C$38, 0.0347, 0)</f>
        <v>47.680100000000003</v>
      </c>
      <c r="E685" s="28">
        <f>51.3846 * CHOOSE(CONTROL!$C$15, $E$9, 100%, $G$9) + CHOOSE(CONTROL!$C$38, 0.0347, 0)</f>
        <v>51.4193</v>
      </c>
      <c r="F685" s="27">
        <f>51.3846 * CHOOSE(CONTROL!$C$15, $E$9, 100%, $G$9) + CHOOSE(CONTROL!$C$38, 0.0256, 0)</f>
        <v>51.410199999999996</v>
      </c>
      <c r="G685" s="10">
        <f>47.6516 * CHOOSE(CONTROL!$C$15, $E$9, 100%, $G$9) + CHOOSE(CONTROL!$C$38, 0.0347, 0)</f>
        <v>47.686300000000003</v>
      </c>
      <c r="H685" s="10">
        <f>47.6516 * CHOOSE(CONTROL!$C$15, $E$9, 100%, $G$9) + CHOOSE(CONTROL!$C$38, 0.0347, 0)</f>
        <v>47.686300000000003</v>
      </c>
      <c r="I685" s="10">
        <f>47.6532 * CHOOSE(CONTROL!$C$15, $E$9, 100%, $G$9) + CHOOSE(CONTROL!$C$38, 0.0347, 0)</f>
        <v>47.687899999999999</v>
      </c>
      <c r="J685" s="26">
        <f>292.497</f>
        <v>292.49700000000001</v>
      </c>
    </row>
    <row r="686" spans="1:10" ht="15.75" x14ac:dyDescent="0.25">
      <c r="A686" s="13">
        <v>62183</v>
      </c>
      <c r="B686" s="10">
        <f>51.0298 * CHOOSE(CONTROL!$C$15, $E$9, 100%, $G$9) + CHOOSE(CONTROL!$C$38, 0.0256, 0)</f>
        <v>51.055399999999999</v>
      </c>
      <c r="C686" s="10">
        <f>47.1422 * CHOOSE(CONTROL!$C$15, $E$9, 100%, $G$9) + CHOOSE(CONTROL!$C$38, 0.0347, 0)</f>
        <v>47.176900000000003</v>
      </c>
      <c r="D686" s="10">
        <f>47.1344 * CHOOSE(CONTROL!$C$15, $E$9, 100%, $G$9) + CHOOSE(CONTROL!$C$38, 0.0347, 0)</f>
        <v>47.1691</v>
      </c>
      <c r="E686" s="28">
        <f>50.8736 * CHOOSE(CONTROL!$C$15, $E$9, 100%, $G$9) + CHOOSE(CONTROL!$C$38, 0.0347, 0)</f>
        <v>50.908300000000004</v>
      </c>
      <c r="F686" s="27">
        <f>50.8736 * CHOOSE(CONTROL!$C$15, $E$9, 100%, $G$9) + CHOOSE(CONTROL!$C$38, 0.0256, 0)</f>
        <v>50.8992</v>
      </c>
      <c r="G686" s="10">
        <f>47.1406 * CHOOSE(CONTROL!$C$15, $E$9, 100%, $G$9) + CHOOSE(CONTROL!$C$38, 0.0347, 0)</f>
        <v>47.1753</v>
      </c>
      <c r="H686" s="10">
        <f>47.1406 * CHOOSE(CONTROL!$C$15, $E$9, 100%, $G$9) + CHOOSE(CONTROL!$C$38, 0.0347, 0)</f>
        <v>47.1753</v>
      </c>
      <c r="I686" s="10">
        <f>47.1422 * CHOOSE(CONTROL!$C$15, $E$9, 100%, $G$9) + CHOOSE(CONTROL!$C$38, 0.0347, 0)</f>
        <v>47.176900000000003</v>
      </c>
      <c r="J686" s="26">
        <f>307.9133</f>
        <v>307.91329999999999</v>
      </c>
    </row>
    <row r="687" spans="1:10" ht="15.75" x14ac:dyDescent="0.25">
      <c r="A687" s="13">
        <v>62213</v>
      </c>
      <c r="B687" s="10">
        <f>50.5346 * CHOOSE(CONTROL!$C$15, $E$9, 100%, $G$9) + CHOOSE(CONTROL!$C$38, 0.0256, 0)</f>
        <v>50.560199999999995</v>
      </c>
      <c r="C687" s="10">
        <f>46.647 * CHOOSE(CONTROL!$C$15, $E$9, 100%, $G$9) + CHOOSE(CONTROL!$C$38, 0.0347, 0)</f>
        <v>46.681699999999999</v>
      </c>
      <c r="D687" s="10">
        <f>46.6392 * CHOOSE(CONTROL!$C$15, $E$9, 100%, $G$9) + CHOOSE(CONTROL!$C$38, 0.0347, 0)</f>
        <v>46.673900000000003</v>
      </c>
      <c r="E687" s="28">
        <f>50.3784 * CHOOSE(CONTROL!$C$15, $E$9, 100%, $G$9) + CHOOSE(CONTROL!$C$38, 0.0347, 0)</f>
        <v>50.4131</v>
      </c>
      <c r="F687" s="27">
        <f>50.3784 * CHOOSE(CONTROL!$C$15, $E$9, 100%, $G$9) + CHOOSE(CONTROL!$C$38, 0.0256, 0)</f>
        <v>50.403999999999996</v>
      </c>
      <c r="G687" s="10">
        <f>46.6454 * CHOOSE(CONTROL!$C$15, $E$9, 100%, $G$9) + CHOOSE(CONTROL!$C$38, 0.0347, 0)</f>
        <v>46.680100000000003</v>
      </c>
      <c r="H687" s="10">
        <f>46.6454 * CHOOSE(CONTROL!$C$15, $E$9, 100%, $G$9) + CHOOSE(CONTROL!$C$38, 0.0347, 0)</f>
        <v>46.680100000000003</v>
      </c>
      <c r="I687" s="10">
        <f>46.647 * CHOOSE(CONTROL!$C$15, $E$9, 100%, $G$9) + CHOOSE(CONTROL!$C$38, 0.0347, 0)</f>
        <v>46.681699999999999</v>
      </c>
      <c r="J687" s="26">
        <f>327.9045</f>
        <v>327.90449999999998</v>
      </c>
    </row>
    <row r="688" spans="1:10" ht="15.75" x14ac:dyDescent="0.25">
      <c r="A688" s="13">
        <v>62244</v>
      </c>
      <c r="B688" s="10">
        <f>50.0185 * CHOOSE(CONTROL!$C$15, $E$9, 100%, $G$9) + CHOOSE(CONTROL!$C$38, 0.0278, 0)</f>
        <v>50.046300000000002</v>
      </c>
      <c r="C688" s="10">
        <f>46.1309 * CHOOSE(CONTROL!$C$15, $E$9, 100%, $G$9) + CHOOSE(CONTROL!$C$38, 0.0369, 0)</f>
        <v>46.1678</v>
      </c>
      <c r="D688" s="10">
        <f>46.1231 * CHOOSE(CONTROL!$C$15, $E$9, 100%, $G$9) + CHOOSE(CONTROL!$C$38, 0.0369, 0)</f>
        <v>46.160000000000004</v>
      </c>
      <c r="E688" s="28">
        <f>49.8623 * CHOOSE(CONTROL!$C$15, $E$9, 100%, $G$9) + CHOOSE(CONTROL!$C$38, 0.0369, 0)</f>
        <v>49.8992</v>
      </c>
      <c r="F688" s="27">
        <f>49.8623 * CHOOSE(CONTROL!$C$15, $E$9, 100%, $G$9) + CHOOSE(CONTROL!$C$38, 0.0278, 0)</f>
        <v>49.890099999999997</v>
      </c>
      <c r="G688" s="10">
        <f>46.1293 * CHOOSE(CONTROL!$C$15, $E$9, 100%, $G$9) + CHOOSE(CONTROL!$C$38, 0.0369, 0)</f>
        <v>46.166200000000003</v>
      </c>
      <c r="H688" s="10">
        <f>46.1293 * CHOOSE(CONTROL!$C$15, $E$9, 100%, $G$9) + CHOOSE(CONTROL!$C$38, 0.0369, 0)</f>
        <v>46.166200000000003</v>
      </c>
      <c r="I688" s="10">
        <f>46.1309 * CHOOSE(CONTROL!$C$15, $E$9, 100%, $G$9) + CHOOSE(CONTROL!$C$38, 0.0369, 0)</f>
        <v>46.1678</v>
      </c>
      <c r="J688" s="26">
        <f>338.9083</f>
        <v>338.9083</v>
      </c>
    </row>
    <row r="689" spans="1:10" ht="15.75" x14ac:dyDescent="0.25">
      <c r="A689" s="13">
        <v>62274</v>
      </c>
      <c r="B689" s="10">
        <f>49.6567 * CHOOSE(CONTROL!$C$15, $E$9, 100%, $G$9) + CHOOSE(CONTROL!$C$38, 0.0278, 0)</f>
        <v>49.6845</v>
      </c>
      <c r="C689" s="10">
        <f>45.769 * CHOOSE(CONTROL!$C$15, $E$9, 100%, $G$9) + CHOOSE(CONTROL!$C$38, 0.0369, 0)</f>
        <v>45.805900000000001</v>
      </c>
      <c r="D689" s="10">
        <f>45.7612 * CHOOSE(CONTROL!$C$15, $E$9, 100%, $G$9) + CHOOSE(CONTROL!$C$38, 0.0369, 0)</f>
        <v>45.798100000000005</v>
      </c>
      <c r="E689" s="28">
        <f>49.5004 * CHOOSE(CONTROL!$C$15, $E$9, 100%, $G$9) + CHOOSE(CONTROL!$C$38, 0.0369, 0)</f>
        <v>49.537300000000002</v>
      </c>
      <c r="F689" s="27">
        <f>49.5004 * CHOOSE(CONTROL!$C$15, $E$9, 100%, $G$9) + CHOOSE(CONTROL!$C$38, 0.0278, 0)</f>
        <v>49.528199999999998</v>
      </c>
      <c r="G689" s="10">
        <f>45.7675 * CHOOSE(CONTROL!$C$15, $E$9, 100%, $G$9) + CHOOSE(CONTROL!$C$38, 0.0369, 0)</f>
        <v>45.804400000000001</v>
      </c>
      <c r="H689" s="10">
        <f>45.7675 * CHOOSE(CONTROL!$C$15, $E$9, 100%, $G$9) + CHOOSE(CONTROL!$C$38, 0.0369, 0)</f>
        <v>45.804400000000001</v>
      </c>
      <c r="I689" s="10">
        <f>45.769 * CHOOSE(CONTROL!$C$15, $E$9, 100%, $G$9) + CHOOSE(CONTROL!$C$38, 0.0369, 0)</f>
        <v>45.805900000000001</v>
      </c>
      <c r="J689" s="26">
        <f>343.7916</f>
        <v>343.79160000000002</v>
      </c>
    </row>
    <row r="690" spans="1:10" ht="15.75" x14ac:dyDescent="0.25">
      <c r="A690" s="13">
        <v>62305</v>
      </c>
      <c r="B690" s="10">
        <f>49.4502 * CHOOSE(CONTROL!$C$15, $E$9, 100%, $G$9) + CHOOSE(CONTROL!$C$38, 0.0278, 0)</f>
        <v>49.478000000000002</v>
      </c>
      <c r="C690" s="10">
        <f>45.5625 * CHOOSE(CONTROL!$C$15, $E$9, 100%, $G$9) + CHOOSE(CONTROL!$C$38, 0.0369, 0)</f>
        <v>45.599400000000003</v>
      </c>
      <c r="D690" s="10">
        <f>45.5547 * CHOOSE(CONTROL!$C$15, $E$9, 100%, $G$9) + CHOOSE(CONTROL!$C$38, 0.0369, 0)</f>
        <v>45.5916</v>
      </c>
      <c r="E690" s="28">
        <f>49.2939 * CHOOSE(CONTROL!$C$15, $E$9, 100%, $G$9) + CHOOSE(CONTROL!$C$38, 0.0369, 0)</f>
        <v>49.330800000000004</v>
      </c>
      <c r="F690" s="27">
        <f>49.2939 * CHOOSE(CONTROL!$C$15, $E$9, 100%, $G$9) + CHOOSE(CONTROL!$C$38, 0.0278, 0)</f>
        <v>49.3217</v>
      </c>
      <c r="G690" s="10">
        <f>45.561 * CHOOSE(CONTROL!$C$15, $E$9, 100%, $G$9) + CHOOSE(CONTROL!$C$38, 0.0369, 0)</f>
        <v>45.597900000000003</v>
      </c>
      <c r="H690" s="10">
        <f>45.561 * CHOOSE(CONTROL!$C$15, $E$9, 100%, $G$9) + CHOOSE(CONTROL!$C$38, 0.0369, 0)</f>
        <v>45.597900000000003</v>
      </c>
      <c r="I690" s="10">
        <f>45.5625 * CHOOSE(CONTROL!$C$15, $E$9, 100%, $G$9) + CHOOSE(CONTROL!$C$38, 0.0369, 0)</f>
        <v>45.599400000000003</v>
      </c>
      <c r="J690" s="26">
        <f>342.1838</f>
        <v>342.18380000000002</v>
      </c>
    </row>
    <row r="691" spans="1:10" ht="15.75" x14ac:dyDescent="0.25">
      <c r="A691" s="13">
        <v>62336</v>
      </c>
      <c r="B691" s="10">
        <f>49.5521 * CHOOSE(CONTROL!$C$15, $E$9, 100%, $G$9) + CHOOSE(CONTROL!$C$38, 0.0278, 0)</f>
        <v>49.579900000000002</v>
      </c>
      <c r="C691" s="10">
        <f>45.6645 * CHOOSE(CONTROL!$C$15, $E$9, 100%, $G$9) + CHOOSE(CONTROL!$C$38, 0.0369, 0)</f>
        <v>45.7014</v>
      </c>
      <c r="D691" s="10">
        <f>45.6566 * CHOOSE(CONTROL!$C$15, $E$9, 100%, $G$9) + CHOOSE(CONTROL!$C$38, 0.0369, 0)</f>
        <v>45.6935</v>
      </c>
      <c r="E691" s="28">
        <f>49.3958 * CHOOSE(CONTROL!$C$15, $E$9, 100%, $G$9) + CHOOSE(CONTROL!$C$38, 0.0369, 0)</f>
        <v>49.432700000000004</v>
      </c>
      <c r="F691" s="27">
        <f>49.3958 * CHOOSE(CONTROL!$C$15, $E$9, 100%, $G$9) + CHOOSE(CONTROL!$C$38, 0.0278, 0)</f>
        <v>49.4236</v>
      </c>
      <c r="G691" s="10">
        <f>45.6629 * CHOOSE(CONTROL!$C$15, $E$9, 100%, $G$9) + CHOOSE(CONTROL!$C$38, 0.0369, 0)</f>
        <v>45.699800000000003</v>
      </c>
      <c r="H691" s="10">
        <f>45.6629 * CHOOSE(CONTROL!$C$15, $E$9, 100%, $G$9) + CHOOSE(CONTROL!$C$38, 0.0369, 0)</f>
        <v>45.699800000000003</v>
      </c>
      <c r="I691" s="10">
        <f>45.6645 * CHOOSE(CONTROL!$C$15, $E$9, 100%, $G$9) + CHOOSE(CONTROL!$C$38, 0.0369, 0)</f>
        <v>45.7014</v>
      </c>
      <c r="J691" s="26">
        <f>334.2179</f>
        <v>334.21789999999999</v>
      </c>
    </row>
    <row r="692" spans="1:10" ht="15.75" x14ac:dyDescent="0.25">
      <c r="A692" s="13">
        <v>62366</v>
      </c>
      <c r="B692" s="10">
        <f>49.8289 * CHOOSE(CONTROL!$C$15, $E$9, 100%, $G$9) + CHOOSE(CONTROL!$C$38, 0.0278, 0)</f>
        <v>49.856699999999996</v>
      </c>
      <c r="C692" s="10">
        <f>45.9413 * CHOOSE(CONTROL!$C$15, $E$9, 100%, $G$9) + CHOOSE(CONTROL!$C$38, 0.0369, 0)</f>
        <v>45.978200000000001</v>
      </c>
      <c r="D692" s="10">
        <f>45.9334 * CHOOSE(CONTROL!$C$15, $E$9, 100%, $G$9) + CHOOSE(CONTROL!$C$38, 0.0369, 0)</f>
        <v>45.970300000000002</v>
      </c>
      <c r="E692" s="28">
        <f>49.6726 * CHOOSE(CONTROL!$C$15, $E$9, 100%, $G$9) + CHOOSE(CONTROL!$C$38, 0.0369, 0)</f>
        <v>49.709500000000006</v>
      </c>
      <c r="F692" s="27">
        <f>49.6726 * CHOOSE(CONTROL!$C$15, $E$9, 100%, $G$9) + CHOOSE(CONTROL!$C$38, 0.0278, 0)</f>
        <v>49.700400000000002</v>
      </c>
      <c r="G692" s="10">
        <f>45.9397 * CHOOSE(CONTROL!$C$15, $E$9, 100%, $G$9) + CHOOSE(CONTROL!$C$38, 0.0369, 0)</f>
        <v>45.976600000000005</v>
      </c>
      <c r="H692" s="10">
        <f>45.9397 * CHOOSE(CONTROL!$C$15, $E$9, 100%, $G$9) + CHOOSE(CONTROL!$C$38, 0.0369, 0)</f>
        <v>45.976600000000005</v>
      </c>
      <c r="I692" s="10">
        <f>45.9413 * CHOOSE(CONTROL!$C$15, $E$9, 100%, $G$9) + CHOOSE(CONTROL!$C$38, 0.0369, 0)</f>
        <v>45.978200000000001</v>
      </c>
      <c r="J692" s="26">
        <f>323.1091</f>
        <v>323.10910000000001</v>
      </c>
    </row>
    <row r="693" spans="1:10" ht="15.75" x14ac:dyDescent="0.25">
      <c r="A693" s="13">
        <v>62397</v>
      </c>
      <c r="B693" s="10">
        <f>50.0607 * CHOOSE(CONTROL!$C$15, $E$9, 100%, $G$9) + CHOOSE(CONTROL!$C$38, 0.0256, 0)</f>
        <v>50.086299999999994</v>
      </c>
      <c r="C693" s="10">
        <f>46.1731 * CHOOSE(CONTROL!$C$15, $E$9, 100%, $G$9) + CHOOSE(CONTROL!$C$38, 0.0347, 0)</f>
        <v>46.207799999999999</v>
      </c>
      <c r="D693" s="10">
        <f>46.1653 * CHOOSE(CONTROL!$C$15, $E$9, 100%, $G$9) + CHOOSE(CONTROL!$C$38, 0.0347, 0)</f>
        <v>46.2</v>
      </c>
      <c r="E693" s="28">
        <f>49.9045 * CHOOSE(CONTROL!$C$15, $E$9, 100%, $G$9) + CHOOSE(CONTROL!$C$38, 0.0347, 0)</f>
        <v>49.9392</v>
      </c>
      <c r="F693" s="27">
        <f>49.9045 * CHOOSE(CONTROL!$C$15, $E$9, 100%, $G$9) + CHOOSE(CONTROL!$C$38, 0.0256, 0)</f>
        <v>49.930099999999996</v>
      </c>
      <c r="G693" s="10">
        <f>46.1715 * CHOOSE(CONTROL!$C$15, $E$9, 100%, $G$9) + CHOOSE(CONTROL!$C$38, 0.0347, 0)</f>
        <v>46.206200000000003</v>
      </c>
      <c r="H693" s="10">
        <f>46.1715 * CHOOSE(CONTROL!$C$15, $E$9, 100%, $G$9) + CHOOSE(CONTROL!$C$38, 0.0347, 0)</f>
        <v>46.206200000000003</v>
      </c>
      <c r="I693" s="10">
        <f>46.1731 * CHOOSE(CONTROL!$C$15, $E$9, 100%, $G$9) + CHOOSE(CONTROL!$C$38, 0.0347, 0)</f>
        <v>46.207799999999999</v>
      </c>
      <c r="J693" s="26">
        <f>311.9357</f>
        <v>311.9357</v>
      </c>
    </row>
    <row r="694" spans="1:10" ht="15.75" x14ac:dyDescent="0.25">
      <c r="A694" s="13">
        <v>62427</v>
      </c>
      <c r="B694" s="10">
        <f>50.2542 * CHOOSE(CONTROL!$C$15, $E$9, 100%, $G$9) + CHOOSE(CONTROL!$C$38, 0.0256, 0)</f>
        <v>50.279799999999994</v>
      </c>
      <c r="C694" s="10">
        <f>46.3665 * CHOOSE(CONTROL!$C$15, $E$9, 100%, $G$9) + CHOOSE(CONTROL!$C$38, 0.0347, 0)</f>
        <v>46.401200000000003</v>
      </c>
      <c r="D694" s="10">
        <f>46.3587 * CHOOSE(CONTROL!$C$15, $E$9, 100%, $G$9) + CHOOSE(CONTROL!$C$38, 0.0347, 0)</f>
        <v>46.3934</v>
      </c>
      <c r="E694" s="28">
        <f>50.0979 * CHOOSE(CONTROL!$C$15, $E$9, 100%, $G$9) + CHOOSE(CONTROL!$C$38, 0.0347, 0)</f>
        <v>50.132600000000004</v>
      </c>
      <c r="F694" s="27">
        <f>50.0979 * CHOOSE(CONTROL!$C$15, $E$9, 100%, $G$9) + CHOOSE(CONTROL!$C$38, 0.0256, 0)</f>
        <v>50.1235</v>
      </c>
      <c r="G694" s="10">
        <f>46.365 * CHOOSE(CONTROL!$C$15, $E$9, 100%, $G$9) + CHOOSE(CONTROL!$C$38, 0.0347, 0)</f>
        <v>46.399700000000003</v>
      </c>
      <c r="H694" s="10">
        <f>46.365 * CHOOSE(CONTROL!$C$15, $E$9, 100%, $G$9) + CHOOSE(CONTROL!$C$38, 0.0347, 0)</f>
        <v>46.399700000000003</v>
      </c>
      <c r="I694" s="10">
        <f>46.3665 * CHOOSE(CONTROL!$C$15, $E$9, 100%, $G$9) + CHOOSE(CONTROL!$C$38, 0.0347, 0)</f>
        <v>46.401200000000003</v>
      </c>
      <c r="J694" s="26">
        <f>309.713</f>
        <v>309.71300000000002</v>
      </c>
    </row>
    <row r="695" spans="1:10" ht="15.75" x14ac:dyDescent="0.25">
      <c r="A695" s="13">
        <v>62458</v>
      </c>
      <c r="B695" s="10">
        <f>50.8502 * CHOOSE(CONTROL!$C$15, $E$9, 100%, $G$9) + CHOOSE(CONTROL!$C$38, 0.0256, 0)</f>
        <v>50.875799999999998</v>
      </c>
      <c r="C695" s="10">
        <f>46.9626 * CHOOSE(CONTROL!$C$15, $E$9, 100%, $G$9) + CHOOSE(CONTROL!$C$38, 0.0347, 0)</f>
        <v>46.997300000000003</v>
      </c>
      <c r="D695" s="10">
        <f>46.9548 * CHOOSE(CONTROL!$C$15, $E$9, 100%, $G$9) + CHOOSE(CONTROL!$C$38, 0.0347, 0)</f>
        <v>46.9895</v>
      </c>
      <c r="E695" s="28">
        <f>50.694 * CHOOSE(CONTROL!$C$15, $E$9, 100%, $G$9) + CHOOSE(CONTROL!$C$38, 0.0347, 0)</f>
        <v>50.728700000000003</v>
      </c>
      <c r="F695" s="27">
        <f>50.694 * CHOOSE(CONTROL!$C$15, $E$9, 100%, $G$9) + CHOOSE(CONTROL!$C$38, 0.0256, 0)</f>
        <v>50.7196</v>
      </c>
      <c r="G695" s="10">
        <f>46.961 * CHOOSE(CONTROL!$C$15, $E$9, 100%, $G$9) + CHOOSE(CONTROL!$C$38, 0.0347, 0)</f>
        <v>46.995699999999999</v>
      </c>
      <c r="H695" s="10">
        <f>46.961 * CHOOSE(CONTROL!$C$15, $E$9, 100%, $G$9) + CHOOSE(CONTROL!$C$38, 0.0347, 0)</f>
        <v>46.995699999999999</v>
      </c>
      <c r="I695" s="10">
        <f>46.9626 * CHOOSE(CONTROL!$C$15, $E$9, 100%, $G$9) + CHOOSE(CONTROL!$C$38, 0.0347, 0)</f>
        <v>46.997300000000003</v>
      </c>
      <c r="J695" s="26">
        <f>300.5223</f>
        <v>300.52229999999997</v>
      </c>
    </row>
    <row r="696" spans="1:10" ht="15.75" x14ac:dyDescent="0.25">
      <c r="A696" s="13">
        <v>62489</v>
      </c>
      <c r="B696" s="10">
        <f>52.1986 * CHOOSE(CONTROL!$C$15, $E$9, 100%, $G$9) + CHOOSE(CONTROL!$C$38, 0.0256, 0)</f>
        <v>52.224199999999996</v>
      </c>
      <c r="C696" s="10">
        <f>48.245 * CHOOSE(CONTROL!$C$15, $E$9, 100%, $G$9) + CHOOSE(CONTROL!$C$38, 0.0347, 0)</f>
        <v>48.279699999999998</v>
      </c>
      <c r="D696" s="10">
        <f>48.2372 * CHOOSE(CONTROL!$C$15, $E$9, 100%, $G$9) + CHOOSE(CONTROL!$C$38, 0.0347, 0)</f>
        <v>48.271900000000002</v>
      </c>
      <c r="E696" s="28">
        <f>52.0424 * CHOOSE(CONTROL!$C$15, $E$9, 100%, $G$9) + CHOOSE(CONTROL!$C$38, 0.0347, 0)</f>
        <v>52.077100000000002</v>
      </c>
      <c r="F696" s="27">
        <f>52.0424 * CHOOSE(CONTROL!$C$15, $E$9, 100%, $G$9) + CHOOSE(CONTROL!$C$38, 0.0256, 0)</f>
        <v>52.067999999999998</v>
      </c>
      <c r="G696" s="10">
        <f>48.2435 * CHOOSE(CONTROL!$C$15, $E$9, 100%, $G$9) + CHOOSE(CONTROL!$C$38, 0.0347, 0)</f>
        <v>48.278199999999998</v>
      </c>
      <c r="H696" s="10">
        <f>48.2435 * CHOOSE(CONTROL!$C$15, $E$9, 100%, $G$9) + CHOOSE(CONTROL!$C$38, 0.0347, 0)</f>
        <v>48.278199999999998</v>
      </c>
      <c r="I696" s="10">
        <f>48.245 * CHOOSE(CONTROL!$C$15, $E$9, 100%, $G$9) + CHOOSE(CONTROL!$C$38, 0.0347, 0)</f>
        <v>48.279699999999998</v>
      </c>
      <c r="J696" s="26">
        <f>298.5092</f>
        <v>298.50920000000002</v>
      </c>
    </row>
    <row r="697" spans="1:10" ht="15.75" x14ac:dyDescent="0.25">
      <c r="A697" s="13">
        <v>62517</v>
      </c>
      <c r="B697" s="10">
        <f>52.4194 * CHOOSE(CONTROL!$C$15, $E$9, 100%, $G$9) + CHOOSE(CONTROL!$C$38, 0.0256, 0)</f>
        <v>52.445</v>
      </c>
      <c r="C697" s="10">
        <f>48.4658 * CHOOSE(CONTROL!$C$15, $E$9, 100%, $G$9) + CHOOSE(CONTROL!$C$38, 0.0347, 0)</f>
        <v>48.500500000000002</v>
      </c>
      <c r="D697" s="10">
        <f>48.458 * CHOOSE(CONTROL!$C$15, $E$9, 100%, $G$9) + CHOOSE(CONTROL!$C$38, 0.0347, 0)</f>
        <v>48.492699999999999</v>
      </c>
      <c r="E697" s="28">
        <f>52.2631 * CHOOSE(CONTROL!$C$15, $E$9, 100%, $G$9) + CHOOSE(CONTROL!$C$38, 0.0347, 0)</f>
        <v>52.297800000000002</v>
      </c>
      <c r="F697" s="27">
        <f>52.2631 * CHOOSE(CONTROL!$C$15, $E$9, 100%, $G$9) + CHOOSE(CONTROL!$C$38, 0.0256, 0)</f>
        <v>52.288699999999999</v>
      </c>
      <c r="G697" s="10">
        <f>48.4642 * CHOOSE(CONTROL!$C$15, $E$9, 100%, $G$9) + CHOOSE(CONTROL!$C$38, 0.0347, 0)</f>
        <v>48.498899999999999</v>
      </c>
      <c r="H697" s="10">
        <f>48.4642 * CHOOSE(CONTROL!$C$15, $E$9, 100%, $G$9) + CHOOSE(CONTROL!$C$38, 0.0347, 0)</f>
        <v>48.498899999999999</v>
      </c>
      <c r="I697" s="10">
        <f>48.4658 * CHOOSE(CONTROL!$C$15, $E$9, 100%, $G$9) + CHOOSE(CONTROL!$C$38, 0.0347, 0)</f>
        <v>48.500500000000002</v>
      </c>
      <c r="J697" s="26">
        <f>297.6795</f>
        <v>297.67950000000002</v>
      </c>
    </row>
    <row r="698" spans="1:10" ht="15.75" x14ac:dyDescent="0.25">
      <c r="A698" s="13">
        <v>62548</v>
      </c>
      <c r="B698" s="10">
        <f>51.9083 * CHOOSE(CONTROL!$C$15, $E$9, 100%, $G$9) + CHOOSE(CONTROL!$C$38, 0.0256, 0)</f>
        <v>51.933899999999994</v>
      </c>
      <c r="C698" s="10">
        <f>47.9548 * CHOOSE(CONTROL!$C$15, $E$9, 100%, $G$9) + CHOOSE(CONTROL!$C$38, 0.0347, 0)</f>
        <v>47.9895</v>
      </c>
      <c r="D698" s="10">
        <f>47.947 * CHOOSE(CONTROL!$C$15, $E$9, 100%, $G$9) + CHOOSE(CONTROL!$C$38, 0.0347, 0)</f>
        <v>47.981700000000004</v>
      </c>
      <c r="E698" s="28">
        <f>51.7521 * CHOOSE(CONTROL!$C$15, $E$9, 100%, $G$9) + CHOOSE(CONTROL!$C$38, 0.0347, 0)</f>
        <v>51.786799999999999</v>
      </c>
      <c r="F698" s="27">
        <f>51.7521 * CHOOSE(CONTROL!$C$15, $E$9, 100%, $G$9) + CHOOSE(CONTROL!$C$38, 0.0256, 0)</f>
        <v>51.777699999999996</v>
      </c>
      <c r="G698" s="10">
        <f>47.9532 * CHOOSE(CONTROL!$C$15, $E$9, 100%, $G$9) + CHOOSE(CONTROL!$C$38, 0.0347, 0)</f>
        <v>47.987900000000003</v>
      </c>
      <c r="H698" s="10">
        <f>47.9532 * CHOOSE(CONTROL!$C$15, $E$9, 100%, $G$9) + CHOOSE(CONTROL!$C$38, 0.0347, 0)</f>
        <v>47.987900000000003</v>
      </c>
      <c r="I698" s="10">
        <f>47.9548 * CHOOSE(CONTROL!$C$15, $E$9, 100%, $G$9) + CHOOSE(CONTROL!$C$38, 0.0347, 0)</f>
        <v>47.9895</v>
      </c>
      <c r="J698" s="26">
        <f>313.3689</f>
        <v>313.3689</v>
      </c>
    </row>
    <row r="699" spans="1:10" ht="15.75" x14ac:dyDescent="0.25">
      <c r="A699" s="13">
        <v>62578</v>
      </c>
      <c r="B699" s="10">
        <f>51.4132 * CHOOSE(CONTROL!$C$15, $E$9, 100%, $G$9) + CHOOSE(CONTROL!$C$38, 0.0256, 0)</f>
        <v>51.438800000000001</v>
      </c>
      <c r="C699" s="10">
        <f>47.4596 * CHOOSE(CONTROL!$C$15, $E$9, 100%, $G$9) + CHOOSE(CONTROL!$C$38, 0.0347, 0)</f>
        <v>47.494300000000003</v>
      </c>
      <c r="D699" s="10">
        <f>47.4518 * CHOOSE(CONTROL!$C$15, $E$9, 100%, $G$9) + CHOOSE(CONTROL!$C$38, 0.0347, 0)</f>
        <v>47.486499999999999</v>
      </c>
      <c r="E699" s="28">
        <f>51.2569 * CHOOSE(CONTROL!$C$15, $E$9, 100%, $G$9) + CHOOSE(CONTROL!$C$38, 0.0347, 0)</f>
        <v>51.291600000000003</v>
      </c>
      <c r="F699" s="27">
        <f>51.2569 * CHOOSE(CONTROL!$C$15, $E$9, 100%, $G$9) + CHOOSE(CONTROL!$C$38, 0.0256, 0)</f>
        <v>51.282499999999999</v>
      </c>
      <c r="G699" s="10">
        <f>47.458 * CHOOSE(CONTROL!$C$15, $E$9, 100%, $G$9) + CHOOSE(CONTROL!$C$38, 0.0347, 0)</f>
        <v>47.492699999999999</v>
      </c>
      <c r="H699" s="10">
        <f>47.458 * CHOOSE(CONTROL!$C$15, $E$9, 100%, $G$9) + CHOOSE(CONTROL!$C$38, 0.0347, 0)</f>
        <v>47.492699999999999</v>
      </c>
      <c r="I699" s="10">
        <f>47.4596 * CHOOSE(CONTROL!$C$15, $E$9, 100%, $G$9) + CHOOSE(CONTROL!$C$38, 0.0347, 0)</f>
        <v>47.494300000000003</v>
      </c>
      <c r="J699" s="26">
        <f>333.7144</f>
        <v>333.71440000000001</v>
      </c>
    </row>
    <row r="700" spans="1:10" ht="15.75" x14ac:dyDescent="0.25">
      <c r="A700" s="13">
        <v>62609</v>
      </c>
      <c r="B700" s="10">
        <f>50.897 * CHOOSE(CONTROL!$C$15, $E$9, 100%, $G$9) + CHOOSE(CONTROL!$C$38, 0.0278, 0)</f>
        <v>50.924799999999998</v>
      </c>
      <c r="C700" s="10">
        <f>46.9435 * CHOOSE(CONTROL!$C$15, $E$9, 100%, $G$9) + CHOOSE(CONTROL!$C$38, 0.0369, 0)</f>
        <v>46.980400000000003</v>
      </c>
      <c r="D700" s="10">
        <f>46.9357 * CHOOSE(CONTROL!$C$15, $E$9, 100%, $G$9) + CHOOSE(CONTROL!$C$38, 0.0369, 0)</f>
        <v>46.9726</v>
      </c>
      <c r="E700" s="28">
        <f>50.7408 * CHOOSE(CONTROL!$C$15, $E$9, 100%, $G$9) + CHOOSE(CONTROL!$C$38, 0.0369, 0)</f>
        <v>50.777700000000003</v>
      </c>
      <c r="F700" s="27">
        <f>50.7408 * CHOOSE(CONTROL!$C$15, $E$9, 100%, $G$9) + CHOOSE(CONTROL!$C$38, 0.0278, 0)</f>
        <v>50.768599999999999</v>
      </c>
      <c r="G700" s="10">
        <f>46.9419 * CHOOSE(CONTROL!$C$15, $E$9, 100%, $G$9) + CHOOSE(CONTROL!$C$38, 0.0369, 0)</f>
        <v>46.9788</v>
      </c>
      <c r="H700" s="10">
        <f>46.9419 * CHOOSE(CONTROL!$C$15, $E$9, 100%, $G$9) + CHOOSE(CONTROL!$C$38, 0.0369, 0)</f>
        <v>46.9788</v>
      </c>
      <c r="I700" s="10">
        <f>46.9435 * CHOOSE(CONTROL!$C$15, $E$9, 100%, $G$9) + CHOOSE(CONTROL!$C$38, 0.0369, 0)</f>
        <v>46.980400000000003</v>
      </c>
      <c r="J700" s="26">
        <f>344.9132</f>
        <v>344.91320000000002</v>
      </c>
    </row>
    <row r="701" spans="1:10" ht="15.75" x14ac:dyDescent="0.25">
      <c r="A701" s="13">
        <v>62639</v>
      </c>
      <c r="B701" s="10">
        <f>50.5352 * CHOOSE(CONTROL!$C$15, $E$9, 100%, $G$9) + CHOOSE(CONTROL!$C$38, 0.0278, 0)</f>
        <v>50.563000000000002</v>
      </c>
      <c r="C701" s="10">
        <f>46.5816 * CHOOSE(CONTROL!$C$15, $E$9, 100%, $G$9) + CHOOSE(CONTROL!$C$38, 0.0369, 0)</f>
        <v>46.618500000000004</v>
      </c>
      <c r="D701" s="10">
        <f>46.5738 * CHOOSE(CONTROL!$C$15, $E$9, 100%, $G$9) + CHOOSE(CONTROL!$C$38, 0.0369, 0)</f>
        <v>46.610700000000001</v>
      </c>
      <c r="E701" s="28">
        <f>50.379 * CHOOSE(CONTROL!$C$15, $E$9, 100%, $G$9) + CHOOSE(CONTROL!$C$38, 0.0369, 0)</f>
        <v>50.415900000000001</v>
      </c>
      <c r="F701" s="27">
        <f>50.379 * CHOOSE(CONTROL!$C$15, $E$9, 100%, $G$9) + CHOOSE(CONTROL!$C$38, 0.0278, 0)</f>
        <v>50.406799999999997</v>
      </c>
      <c r="G701" s="10">
        <f>46.5801 * CHOOSE(CONTROL!$C$15, $E$9, 100%, $G$9) + CHOOSE(CONTROL!$C$38, 0.0369, 0)</f>
        <v>46.617000000000004</v>
      </c>
      <c r="H701" s="10">
        <f>46.5801 * CHOOSE(CONTROL!$C$15, $E$9, 100%, $G$9) + CHOOSE(CONTROL!$C$38, 0.0369, 0)</f>
        <v>46.617000000000004</v>
      </c>
      <c r="I701" s="10">
        <f>46.5816 * CHOOSE(CONTROL!$C$15, $E$9, 100%, $G$9) + CHOOSE(CONTROL!$C$38, 0.0369, 0)</f>
        <v>46.618500000000004</v>
      </c>
      <c r="J701" s="26">
        <f>349.883</f>
        <v>349.88299999999998</v>
      </c>
    </row>
    <row r="702" spans="1:10" ht="15.75" x14ac:dyDescent="0.25">
      <c r="A702" s="13">
        <v>62670</v>
      </c>
      <c r="B702" s="10">
        <f>50.3287 * CHOOSE(CONTROL!$C$15, $E$9, 100%, $G$9) + CHOOSE(CONTROL!$C$38, 0.0278, 0)</f>
        <v>50.356499999999997</v>
      </c>
      <c r="C702" s="10">
        <f>46.3752 * CHOOSE(CONTROL!$C$15, $E$9, 100%, $G$9) + CHOOSE(CONTROL!$C$38, 0.0369, 0)</f>
        <v>46.412100000000002</v>
      </c>
      <c r="D702" s="10">
        <f>46.3673 * CHOOSE(CONTROL!$C$15, $E$9, 100%, $G$9) + CHOOSE(CONTROL!$C$38, 0.0369, 0)</f>
        <v>46.404200000000003</v>
      </c>
      <c r="E702" s="28">
        <f>50.1725 * CHOOSE(CONTROL!$C$15, $E$9, 100%, $G$9) + CHOOSE(CONTROL!$C$38, 0.0369, 0)</f>
        <v>50.209400000000002</v>
      </c>
      <c r="F702" s="27">
        <f>50.1725 * CHOOSE(CONTROL!$C$15, $E$9, 100%, $G$9) + CHOOSE(CONTROL!$C$38, 0.0278, 0)</f>
        <v>50.200299999999999</v>
      </c>
      <c r="G702" s="10">
        <f>46.3736 * CHOOSE(CONTROL!$C$15, $E$9, 100%, $G$9) + CHOOSE(CONTROL!$C$38, 0.0369, 0)</f>
        <v>46.410500000000006</v>
      </c>
      <c r="H702" s="10">
        <f>46.3736 * CHOOSE(CONTROL!$C$15, $E$9, 100%, $G$9) + CHOOSE(CONTROL!$C$38, 0.0369, 0)</f>
        <v>46.410500000000006</v>
      </c>
      <c r="I702" s="10">
        <f>46.3752 * CHOOSE(CONTROL!$C$15, $E$9, 100%, $G$9) + CHOOSE(CONTROL!$C$38, 0.0369, 0)</f>
        <v>46.412100000000002</v>
      </c>
      <c r="J702" s="26">
        <f>348.2467</f>
        <v>348.24669999999998</v>
      </c>
    </row>
    <row r="703" spans="1:10" ht="15.75" x14ac:dyDescent="0.25">
      <c r="A703" s="13">
        <v>62701</v>
      </c>
      <c r="B703" s="10">
        <f>50.4306 * CHOOSE(CONTROL!$C$15, $E$9, 100%, $G$9) + CHOOSE(CONTROL!$C$38, 0.0278, 0)</f>
        <v>50.458399999999997</v>
      </c>
      <c r="C703" s="10">
        <f>46.4771 * CHOOSE(CONTROL!$C$15, $E$9, 100%, $G$9) + CHOOSE(CONTROL!$C$38, 0.0369, 0)</f>
        <v>46.514000000000003</v>
      </c>
      <c r="D703" s="10">
        <f>46.4693 * CHOOSE(CONTROL!$C$15, $E$9, 100%, $G$9) + CHOOSE(CONTROL!$C$38, 0.0369, 0)</f>
        <v>46.5062</v>
      </c>
      <c r="E703" s="28">
        <f>50.2744 * CHOOSE(CONTROL!$C$15, $E$9, 100%, $G$9) + CHOOSE(CONTROL!$C$38, 0.0369, 0)</f>
        <v>50.311300000000003</v>
      </c>
      <c r="F703" s="27">
        <f>50.2744 * CHOOSE(CONTROL!$C$15, $E$9, 100%, $G$9) + CHOOSE(CONTROL!$C$38, 0.0278, 0)</f>
        <v>50.302199999999999</v>
      </c>
      <c r="G703" s="10">
        <f>46.4755 * CHOOSE(CONTROL!$C$15, $E$9, 100%, $G$9) + CHOOSE(CONTROL!$C$38, 0.0369, 0)</f>
        <v>46.5124</v>
      </c>
      <c r="H703" s="10">
        <f>46.4755 * CHOOSE(CONTROL!$C$15, $E$9, 100%, $G$9) + CHOOSE(CONTROL!$C$38, 0.0369, 0)</f>
        <v>46.5124</v>
      </c>
      <c r="I703" s="10">
        <f>46.4771 * CHOOSE(CONTROL!$C$15, $E$9, 100%, $G$9) + CHOOSE(CONTROL!$C$38, 0.0369, 0)</f>
        <v>46.514000000000003</v>
      </c>
      <c r="J703" s="26">
        <f>340.1396</f>
        <v>340.13959999999997</v>
      </c>
    </row>
    <row r="704" spans="1:10" ht="15.75" x14ac:dyDescent="0.25">
      <c r="A704" s="13">
        <v>62731</v>
      </c>
      <c r="B704" s="10">
        <f>50.7074 * CHOOSE(CONTROL!$C$15, $E$9, 100%, $G$9) + CHOOSE(CONTROL!$C$38, 0.0278, 0)</f>
        <v>50.735199999999999</v>
      </c>
      <c r="C704" s="10">
        <f>46.7539 * CHOOSE(CONTROL!$C$15, $E$9, 100%, $G$9) + CHOOSE(CONTROL!$C$38, 0.0369, 0)</f>
        <v>46.790800000000004</v>
      </c>
      <c r="D704" s="10">
        <f>46.7461 * CHOOSE(CONTROL!$C$15, $E$9, 100%, $G$9) + CHOOSE(CONTROL!$C$38, 0.0369, 0)</f>
        <v>46.783000000000001</v>
      </c>
      <c r="E704" s="28">
        <f>50.5512 * CHOOSE(CONTROL!$C$15, $E$9, 100%, $G$9) + CHOOSE(CONTROL!$C$38, 0.0369, 0)</f>
        <v>50.588100000000004</v>
      </c>
      <c r="F704" s="27">
        <f>50.5512 * CHOOSE(CONTROL!$C$15, $E$9, 100%, $G$9) + CHOOSE(CONTROL!$C$38, 0.0278, 0)</f>
        <v>50.579000000000001</v>
      </c>
      <c r="G704" s="10">
        <f>46.7523 * CHOOSE(CONTROL!$C$15, $E$9, 100%, $G$9) + CHOOSE(CONTROL!$C$38, 0.0369, 0)</f>
        <v>46.789200000000001</v>
      </c>
      <c r="H704" s="10">
        <f>46.7523 * CHOOSE(CONTROL!$C$15, $E$9, 100%, $G$9) + CHOOSE(CONTROL!$C$38, 0.0369, 0)</f>
        <v>46.789200000000001</v>
      </c>
      <c r="I704" s="10">
        <f>46.7539 * CHOOSE(CONTROL!$C$15, $E$9, 100%, $G$9) + CHOOSE(CONTROL!$C$38, 0.0369, 0)</f>
        <v>46.790800000000004</v>
      </c>
      <c r="J704" s="26">
        <f>328.834</f>
        <v>328.834</v>
      </c>
    </row>
    <row r="705" spans="1:10" ht="15.75" x14ac:dyDescent="0.25">
      <c r="A705" s="13">
        <v>62762</v>
      </c>
      <c r="B705" s="10">
        <f>50.9393 * CHOOSE(CONTROL!$C$15, $E$9, 100%, $G$9) + CHOOSE(CONTROL!$C$38, 0.0256, 0)</f>
        <v>50.9649</v>
      </c>
      <c r="C705" s="10">
        <f>46.9857 * CHOOSE(CONTROL!$C$15, $E$9, 100%, $G$9) + CHOOSE(CONTROL!$C$38, 0.0347, 0)</f>
        <v>47.020400000000002</v>
      </c>
      <c r="D705" s="10">
        <f>46.9779 * CHOOSE(CONTROL!$C$15, $E$9, 100%, $G$9) + CHOOSE(CONTROL!$C$38, 0.0347, 0)</f>
        <v>47.012599999999999</v>
      </c>
      <c r="E705" s="28">
        <f>50.783 * CHOOSE(CONTROL!$C$15, $E$9, 100%, $G$9) + CHOOSE(CONTROL!$C$38, 0.0347, 0)</f>
        <v>50.817700000000002</v>
      </c>
      <c r="F705" s="27">
        <f>50.783 * CHOOSE(CONTROL!$C$15, $E$9, 100%, $G$9) + CHOOSE(CONTROL!$C$38, 0.0256, 0)</f>
        <v>50.808599999999998</v>
      </c>
      <c r="G705" s="10">
        <f>46.9841 * CHOOSE(CONTROL!$C$15, $E$9, 100%, $G$9) + CHOOSE(CONTROL!$C$38, 0.0347, 0)</f>
        <v>47.018799999999999</v>
      </c>
      <c r="H705" s="10">
        <f>46.9841 * CHOOSE(CONTROL!$C$15, $E$9, 100%, $G$9) + CHOOSE(CONTROL!$C$38, 0.0347, 0)</f>
        <v>47.018799999999999</v>
      </c>
      <c r="I705" s="10">
        <f>46.9857 * CHOOSE(CONTROL!$C$15, $E$9, 100%, $G$9) + CHOOSE(CONTROL!$C$38, 0.0347, 0)</f>
        <v>47.020400000000002</v>
      </c>
      <c r="J705" s="26">
        <f>317.4626</f>
        <v>317.46260000000001</v>
      </c>
    </row>
    <row r="706" spans="1:10" ht="15.75" x14ac:dyDescent="0.25">
      <c r="A706" s="13">
        <v>62792</v>
      </c>
      <c r="B706" s="10">
        <f>51.1327 * CHOOSE(CONTROL!$C$15, $E$9, 100%, $G$9) + CHOOSE(CONTROL!$C$38, 0.0256, 0)</f>
        <v>51.158299999999997</v>
      </c>
      <c r="C706" s="10">
        <f>47.1791 * CHOOSE(CONTROL!$C$15, $E$9, 100%, $G$9) + CHOOSE(CONTROL!$C$38, 0.0347, 0)</f>
        <v>47.213799999999999</v>
      </c>
      <c r="D706" s="10">
        <f>47.1713 * CHOOSE(CONTROL!$C$15, $E$9, 100%, $G$9) + CHOOSE(CONTROL!$C$38, 0.0347, 0)</f>
        <v>47.206000000000003</v>
      </c>
      <c r="E706" s="28">
        <f>50.9764 * CHOOSE(CONTROL!$C$15, $E$9, 100%, $G$9) + CHOOSE(CONTROL!$C$38, 0.0347, 0)</f>
        <v>51.011099999999999</v>
      </c>
      <c r="F706" s="27">
        <f>50.9764 * CHOOSE(CONTROL!$C$15, $E$9, 100%, $G$9) + CHOOSE(CONTROL!$C$38, 0.0256, 0)</f>
        <v>51.001999999999995</v>
      </c>
      <c r="G706" s="10">
        <f>47.1776 * CHOOSE(CONTROL!$C$15, $E$9, 100%, $G$9) + CHOOSE(CONTROL!$C$38, 0.0347, 0)</f>
        <v>47.212299999999999</v>
      </c>
      <c r="H706" s="10">
        <f>47.1776 * CHOOSE(CONTROL!$C$15, $E$9, 100%, $G$9) + CHOOSE(CONTROL!$C$38, 0.0347, 0)</f>
        <v>47.212299999999999</v>
      </c>
      <c r="I706" s="10">
        <f>47.1791 * CHOOSE(CONTROL!$C$15, $E$9, 100%, $G$9) + CHOOSE(CONTROL!$C$38, 0.0347, 0)</f>
        <v>47.213799999999999</v>
      </c>
      <c r="J706" s="26">
        <f>315.2006</f>
        <v>315.20060000000001</v>
      </c>
    </row>
    <row r="707" spans="1:10" ht="15.75" x14ac:dyDescent="0.25">
      <c r="A707" s="13">
        <v>62823</v>
      </c>
      <c r="B707" s="10">
        <f>51.7288 * CHOOSE(CONTROL!$C$15, $E$9, 100%, $G$9) + CHOOSE(CONTROL!$C$38, 0.0256, 0)</f>
        <v>51.754399999999997</v>
      </c>
      <c r="C707" s="10">
        <f>47.7752 * CHOOSE(CONTROL!$C$15, $E$9, 100%, $G$9) + CHOOSE(CONTROL!$C$38, 0.0347, 0)</f>
        <v>47.809899999999999</v>
      </c>
      <c r="D707" s="10">
        <f>47.7674 * CHOOSE(CONTROL!$C$15, $E$9, 100%, $G$9) + CHOOSE(CONTROL!$C$38, 0.0347, 0)</f>
        <v>47.802100000000003</v>
      </c>
      <c r="E707" s="28">
        <f>51.5725 * CHOOSE(CONTROL!$C$15, $E$9, 100%, $G$9) + CHOOSE(CONTROL!$C$38, 0.0347, 0)</f>
        <v>51.607199999999999</v>
      </c>
      <c r="F707" s="27">
        <f>51.5725 * CHOOSE(CONTROL!$C$15, $E$9, 100%, $G$9) + CHOOSE(CONTROL!$C$38, 0.0256, 0)</f>
        <v>51.598099999999995</v>
      </c>
      <c r="G707" s="10">
        <f>47.7736 * CHOOSE(CONTROL!$C$15, $E$9, 100%, $G$9) + CHOOSE(CONTROL!$C$38, 0.0347, 0)</f>
        <v>47.808300000000003</v>
      </c>
      <c r="H707" s="10">
        <f>47.7736 * CHOOSE(CONTROL!$C$15, $E$9, 100%, $G$9) + CHOOSE(CONTROL!$C$38, 0.0347, 0)</f>
        <v>47.808300000000003</v>
      </c>
      <c r="I707" s="10">
        <f>47.7752 * CHOOSE(CONTROL!$C$15, $E$9, 100%, $G$9) + CHOOSE(CONTROL!$C$38, 0.0347, 0)</f>
        <v>47.809899999999999</v>
      </c>
      <c r="J707" s="26">
        <f>305.847</f>
        <v>305.84699999999998</v>
      </c>
    </row>
    <row r="708" spans="1:10" ht="15.75" x14ac:dyDescent="0.25">
      <c r="A708" s="13">
        <v>62854</v>
      </c>
      <c r="B708" s="10">
        <f>53.0927 * CHOOSE(CONTROL!$C$15, $E$9, 100%, $G$9) + CHOOSE(CONTROL!$C$38, 0.0256, 0)</f>
        <v>53.118299999999998</v>
      </c>
      <c r="C708" s="10">
        <f>49.072 * CHOOSE(CONTROL!$C$15, $E$9, 100%, $G$9) + CHOOSE(CONTROL!$C$38, 0.0347, 0)</f>
        <v>49.106700000000004</v>
      </c>
      <c r="D708" s="10">
        <f>49.0642 * CHOOSE(CONTROL!$C$15, $E$9, 100%, $G$9) + CHOOSE(CONTROL!$C$38, 0.0347, 0)</f>
        <v>49.0989</v>
      </c>
      <c r="E708" s="28">
        <f>52.9364 * CHOOSE(CONTROL!$C$15, $E$9, 100%, $G$9) + CHOOSE(CONTROL!$C$38, 0.0347, 0)</f>
        <v>52.9711</v>
      </c>
      <c r="F708" s="27">
        <f>52.9364 * CHOOSE(CONTROL!$C$15, $E$9, 100%, $G$9) + CHOOSE(CONTROL!$C$38, 0.0256, 0)</f>
        <v>52.961999999999996</v>
      </c>
      <c r="G708" s="10">
        <f>49.0705 * CHOOSE(CONTROL!$C$15, $E$9, 100%, $G$9) + CHOOSE(CONTROL!$C$38, 0.0347, 0)</f>
        <v>49.105200000000004</v>
      </c>
      <c r="H708" s="10">
        <f>49.0705 * CHOOSE(CONTROL!$C$15, $E$9, 100%, $G$9) + CHOOSE(CONTROL!$C$38, 0.0347, 0)</f>
        <v>49.105200000000004</v>
      </c>
      <c r="I708" s="10">
        <f>49.072 * CHOOSE(CONTROL!$C$15, $E$9, 100%, $G$9) + CHOOSE(CONTROL!$C$38, 0.0347, 0)</f>
        <v>49.106700000000004</v>
      </c>
      <c r="J708" s="26">
        <f>303.7983</f>
        <v>303.79829999999998</v>
      </c>
    </row>
    <row r="709" spans="1:10" ht="15.75" x14ac:dyDescent="0.25">
      <c r="A709" s="13">
        <v>62883</v>
      </c>
      <c r="B709" s="10">
        <f>53.3134 * CHOOSE(CONTROL!$C$15, $E$9, 100%, $G$9) + CHOOSE(CONTROL!$C$38, 0.0256, 0)</f>
        <v>53.338999999999999</v>
      </c>
      <c r="C709" s="10">
        <f>49.2928 * CHOOSE(CONTROL!$C$15, $E$9, 100%, $G$9) + CHOOSE(CONTROL!$C$38, 0.0347, 0)</f>
        <v>49.327500000000001</v>
      </c>
      <c r="D709" s="10">
        <f>49.285 * CHOOSE(CONTROL!$C$15, $E$9, 100%, $G$9) + CHOOSE(CONTROL!$C$38, 0.0347, 0)</f>
        <v>49.319699999999997</v>
      </c>
      <c r="E709" s="28">
        <f>53.1572 * CHOOSE(CONTROL!$C$15, $E$9, 100%, $G$9) + CHOOSE(CONTROL!$C$38, 0.0347, 0)</f>
        <v>53.191900000000004</v>
      </c>
      <c r="F709" s="27">
        <f>53.1572 * CHOOSE(CONTROL!$C$15, $E$9, 100%, $G$9) + CHOOSE(CONTROL!$C$38, 0.0256, 0)</f>
        <v>53.1828</v>
      </c>
      <c r="G709" s="10">
        <f>49.2912 * CHOOSE(CONTROL!$C$15, $E$9, 100%, $G$9) + CHOOSE(CONTROL!$C$38, 0.0347, 0)</f>
        <v>49.325900000000004</v>
      </c>
      <c r="H709" s="10">
        <f>49.2912 * CHOOSE(CONTROL!$C$15, $E$9, 100%, $G$9) + CHOOSE(CONTROL!$C$38, 0.0347, 0)</f>
        <v>49.325900000000004</v>
      </c>
      <c r="I709" s="10">
        <f>49.2928 * CHOOSE(CONTROL!$C$15, $E$9, 100%, $G$9) + CHOOSE(CONTROL!$C$38, 0.0347, 0)</f>
        <v>49.327500000000001</v>
      </c>
      <c r="J709" s="26">
        <f>302.9538</f>
        <v>302.9538</v>
      </c>
    </row>
    <row r="710" spans="1:10" ht="15.75" x14ac:dyDescent="0.25">
      <c r="A710" s="13">
        <v>62914</v>
      </c>
      <c r="B710" s="10">
        <f>52.8024 * CHOOSE(CONTROL!$C$15, $E$9, 100%, $G$9) + CHOOSE(CONTROL!$C$38, 0.0256, 0)</f>
        <v>52.827999999999996</v>
      </c>
      <c r="C710" s="10">
        <f>48.7817 * CHOOSE(CONTROL!$C$15, $E$9, 100%, $G$9) + CHOOSE(CONTROL!$C$38, 0.0347, 0)</f>
        <v>48.816400000000002</v>
      </c>
      <c r="D710" s="10">
        <f>48.7739 * CHOOSE(CONTROL!$C$15, $E$9, 100%, $G$9) + CHOOSE(CONTROL!$C$38, 0.0347, 0)</f>
        <v>48.808599999999998</v>
      </c>
      <c r="E710" s="28">
        <f>52.6462 * CHOOSE(CONTROL!$C$15, $E$9, 100%, $G$9) + CHOOSE(CONTROL!$C$38, 0.0347, 0)</f>
        <v>52.680900000000001</v>
      </c>
      <c r="F710" s="27">
        <f>52.6462 * CHOOSE(CONTROL!$C$15, $E$9, 100%, $G$9) + CHOOSE(CONTROL!$C$38, 0.0256, 0)</f>
        <v>52.671799999999998</v>
      </c>
      <c r="G710" s="10">
        <f>48.7802 * CHOOSE(CONTROL!$C$15, $E$9, 100%, $G$9) + CHOOSE(CONTROL!$C$38, 0.0347, 0)</f>
        <v>48.814900000000002</v>
      </c>
      <c r="H710" s="10">
        <f>48.7802 * CHOOSE(CONTROL!$C$15, $E$9, 100%, $G$9) + CHOOSE(CONTROL!$C$38, 0.0347, 0)</f>
        <v>48.814900000000002</v>
      </c>
      <c r="I710" s="10">
        <f>48.7817 * CHOOSE(CONTROL!$C$15, $E$9, 100%, $G$9) + CHOOSE(CONTROL!$C$38, 0.0347, 0)</f>
        <v>48.816400000000002</v>
      </c>
      <c r="J710" s="26">
        <f>318.9212</f>
        <v>318.9212</v>
      </c>
    </row>
    <row r="711" spans="1:10" ht="15.75" x14ac:dyDescent="0.25">
      <c r="A711" s="13">
        <v>62944</v>
      </c>
      <c r="B711" s="10">
        <f>52.3072 * CHOOSE(CONTROL!$C$15, $E$9, 100%, $G$9) + CHOOSE(CONTROL!$C$38, 0.0256, 0)</f>
        <v>52.332799999999999</v>
      </c>
      <c r="C711" s="10">
        <f>48.2866 * CHOOSE(CONTROL!$C$15, $E$9, 100%, $G$9) + CHOOSE(CONTROL!$C$38, 0.0347, 0)</f>
        <v>48.321300000000001</v>
      </c>
      <c r="D711" s="10">
        <f>48.2788 * CHOOSE(CONTROL!$C$15, $E$9, 100%, $G$9) + CHOOSE(CONTROL!$C$38, 0.0347, 0)</f>
        <v>48.313499999999998</v>
      </c>
      <c r="E711" s="28">
        <f>52.151 * CHOOSE(CONTROL!$C$15, $E$9, 100%, $G$9) + CHOOSE(CONTROL!$C$38, 0.0347, 0)</f>
        <v>52.185700000000004</v>
      </c>
      <c r="F711" s="27">
        <f>52.151 * CHOOSE(CONTROL!$C$15, $E$9, 100%, $G$9) + CHOOSE(CONTROL!$C$38, 0.0256, 0)</f>
        <v>52.176600000000001</v>
      </c>
      <c r="G711" s="10">
        <f>48.285 * CHOOSE(CONTROL!$C$15, $E$9, 100%, $G$9) + CHOOSE(CONTROL!$C$38, 0.0347, 0)</f>
        <v>48.319699999999997</v>
      </c>
      <c r="H711" s="10">
        <f>48.285 * CHOOSE(CONTROL!$C$15, $E$9, 100%, $G$9) + CHOOSE(CONTROL!$C$38, 0.0347, 0)</f>
        <v>48.319699999999997</v>
      </c>
      <c r="I711" s="10">
        <f>48.2866 * CHOOSE(CONTROL!$C$15, $E$9, 100%, $G$9) + CHOOSE(CONTROL!$C$38, 0.0347, 0)</f>
        <v>48.321300000000001</v>
      </c>
      <c r="J711" s="26">
        <f>339.6272</f>
        <v>339.62720000000002</v>
      </c>
    </row>
    <row r="712" spans="1:10" ht="15.75" x14ac:dyDescent="0.25">
      <c r="A712" s="13">
        <v>62975</v>
      </c>
      <c r="B712" s="10">
        <f>51.7911 * CHOOSE(CONTROL!$C$15, $E$9, 100%, $G$9) + CHOOSE(CONTROL!$C$38, 0.0278, 0)</f>
        <v>51.818899999999999</v>
      </c>
      <c r="C712" s="10">
        <f>47.7705 * CHOOSE(CONTROL!$C$15, $E$9, 100%, $G$9) + CHOOSE(CONTROL!$C$38, 0.0369, 0)</f>
        <v>47.807400000000001</v>
      </c>
      <c r="D712" s="10">
        <f>47.7626 * CHOOSE(CONTROL!$C$15, $E$9, 100%, $G$9) + CHOOSE(CONTROL!$C$38, 0.0369, 0)</f>
        <v>47.799500000000002</v>
      </c>
      <c r="E712" s="28">
        <f>51.6349 * CHOOSE(CONTROL!$C$15, $E$9, 100%, $G$9) + CHOOSE(CONTROL!$C$38, 0.0369, 0)</f>
        <v>51.671800000000005</v>
      </c>
      <c r="F712" s="27">
        <f>51.6349 * CHOOSE(CONTROL!$C$15, $E$9, 100%, $G$9) + CHOOSE(CONTROL!$C$38, 0.0278, 0)</f>
        <v>51.662700000000001</v>
      </c>
      <c r="G712" s="10">
        <f>47.7689 * CHOOSE(CONTROL!$C$15, $E$9, 100%, $G$9) + CHOOSE(CONTROL!$C$38, 0.0369, 0)</f>
        <v>47.805800000000005</v>
      </c>
      <c r="H712" s="10">
        <f>47.7689 * CHOOSE(CONTROL!$C$15, $E$9, 100%, $G$9) + CHOOSE(CONTROL!$C$38, 0.0369, 0)</f>
        <v>47.805800000000005</v>
      </c>
      <c r="I712" s="10">
        <f>47.7705 * CHOOSE(CONTROL!$C$15, $E$9, 100%, $G$9) + CHOOSE(CONTROL!$C$38, 0.0369, 0)</f>
        <v>47.807400000000001</v>
      </c>
      <c r="J712" s="26">
        <f>351.0244</f>
        <v>351.02440000000001</v>
      </c>
    </row>
    <row r="713" spans="1:10" ht="15.75" x14ac:dyDescent="0.25">
      <c r="A713" s="13">
        <v>63005</v>
      </c>
      <c r="B713" s="10">
        <f>51.4293 * CHOOSE(CONTROL!$C$15, $E$9, 100%, $G$9) + CHOOSE(CONTROL!$C$38, 0.0278, 0)</f>
        <v>51.457099999999997</v>
      </c>
      <c r="C713" s="10">
        <f>47.4086 * CHOOSE(CONTROL!$C$15, $E$9, 100%, $G$9) + CHOOSE(CONTROL!$C$38, 0.0369, 0)</f>
        <v>47.445500000000003</v>
      </c>
      <c r="D713" s="10">
        <f>47.4008 * CHOOSE(CONTROL!$C$15, $E$9, 100%, $G$9) + CHOOSE(CONTROL!$C$38, 0.0369, 0)</f>
        <v>47.4377</v>
      </c>
      <c r="E713" s="28">
        <f>51.273 * CHOOSE(CONTROL!$C$15, $E$9, 100%, $G$9) + CHOOSE(CONTROL!$C$38, 0.0369, 0)</f>
        <v>51.309900000000006</v>
      </c>
      <c r="F713" s="27">
        <f>51.273 * CHOOSE(CONTROL!$C$15, $E$9, 100%, $G$9) + CHOOSE(CONTROL!$C$38, 0.0278, 0)</f>
        <v>51.300800000000002</v>
      </c>
      <c r="G713" s="10">
        <f>47.4071 * CHOOSE(CONTROL!$C$15, $E$9, 100%, $G$9) + CHOOSE(CONTROL!$C$38, 0.0369, 0)</f>
        <v>47.444000000000003</v>
      </c>
      <c r="H713" s="10">
        <f>47.4071 * CHOOSE(CONTROL!$C$15, $E$9, 100%, $G$9) + CHOOSE(CONTROL!$C$38, 0.0369, 0)</f>
        <v>47.444000000000003</v>
      </c>
      <c r="I713" s="10">
        <f>47.4086 * CHOOSE(CONTROL!$C$15, $E$9, 100%, $G$9) + CHOOSE(CONTROL!$C$38, 0.0369, 0)</f>
        <v>47.445500000000003</v>
      </c>
      <c r="J713" s="26">
        <f>356.0823</f>
        <v>356.08229999999998</v>
      </c>
    </row>
    <row r="714" spans="1:10" ht="15.75" x14ac:dyDescent="0.25">
      <c r="A714" s="13">
        <v>63036</v>
      </c>
      <c r="B714" s="10">
        <f>51.2228 * CHOOSE(CONTROL!$C$15, $E$9, 100%, $G$9) + CHOOSE(CONTROL!$C$38, 0.0278, 0)</f>
        <v>51.250599999999999</v>
      </c>
      <c r="C714" s="10">
        <f>47.2021 * CHOOSE(CONTROL!$C$15, $E$9, 100%, $G$9) + CHOOSE(CONTROL!$C$38, 0.0369, 0)</f>
        <v>47.239000000000004</v>
      </c>
      <c r="D714" s="10">
        <f>47.1943 * CHOOSE(CONTROL!$C$15, $E$9, 100%, $G$9) + CHOOSE(CONTROL!$C$38, 0.0369, 0)</f>
        <v>47.231200000000001</v>
      </c>
      <c r="E714" s="28">
        <f>51.0665 * CHOOSE(CONTROL!$C$15, $E$9, 100%, $G$9) + CHOOSE(CONTROL!$C$38, 0.0369, 0)</f>
        <v>51.103400000000001</v>
      </c>
      <c r="F714" s="27">
        <f>51.0665 * CHOOSE(CONTROL!$C$15, $E$9, 100%, $G$9) + CHOOSE(CONTROL!$C$38, 0.0278, 0)</f>
        <v>51.094299999999997</v>
      </c>
      <c r="G714" s="10">
        <f>47.2006 * CHOOSE(CONTROL!$C$15, $E$9, 100%, $G$9) + CHOOSE(CONTROL!$C$38, 0.0369, 0)</f>
        <v>47.237500000000004</v>
      </c>
      <c r="H714" s="10">
        <f>47.2006 * CHOOSE(CONTROL!$C$15, $E$9, 100%, $G$9) + CHOOSE(CONTROL!$C$38, 0.0369, 0)</f>
        <v>47.237500000000004</v>
      </c>
      <c r="I714" s="10">
        <f>47.2021 * CHOOSE(CONTROL!$C$15, $E$9, 100%, $G$9) + CHOOSE(CONTROL!$C$38, 0.0369, 0)</f>
        <v>47.239000000000004</v>
      </c>
      <c r="J714" s="26">
        <f>354.417</f>
        <v>354.41699999999997</v>
      </c>
    </row>
    <row r="715" spans="1:10" ht="15.75" x14ac:dyDescent="0.25">
      <c r="A715" s="13">
        <v>63067</v>
      </c>
      <c r="B715" s="10">
        <f>51.3247 * CHOOSE(CONTROL!$C$15, $E$9, 100%, $G$9) + CHOOSE(CONTROL!$C$38, 0.0278, 0)</f>
        <v>51.352499999999999</v>
      </c>
      <c r="C715" s="10">
        <f>47.304 * CHOOSE(CONTROL!$C$15, $E$9, 100%, $G$9) + CHOOSE(CONTROL!$C$38, 0.0369, 0)</f>
        <v>47.340900000000005</v>
      </c>
      <c r="D715" s="10">
        <f>47.2962 * CHOOSE(CONTROL!$C$15, $E$9, 100%, $G$9) + CHOOSE(CONTROL!$C$38, 0.0369, 0)</f>
        <v>47.333100000000002</v>
      </c>
      <c r="E715" s="28">
        <f>51.1684 * CHOOSE(CONTROL!$C$15, $E$9, 100%, $G$9) + CHOOSE(CONTROL!$C$38, 0.0369, 0)</f>
        <v>51.205300000000001</v>
      </c>
      <c r="F715" s="27">
        <f>51.1684 * CHOOSE(CONTROL!$C$15, $E$9, 100%, $G$9) + CHOOSE(CONTROL!$C$38, 0.0278, 0)</f>
        <v>51.196199999999997</v>
      </c>
      <c r="G715" s="10">
        <f>47.3025 * CHOOSE(CONTROL!$C$15, $E$9, 100%, $G$9) + CHOOSE(CONTROL!$C$38, 0.0369, 0)</f>
        <v>47.339400000000005</v>
      </c>
      <c r="H715" s="10">
        <f>47.3025 * CHOOSE(CONTROL!$C$15, $E$9, 100%, $G$9) + CHOOSE(CONTROL!$C$38, 0.0369, 0)</f>
        <v>47.339400000000005</v>
      </c>
      <c r="I715" s="10">
        <f>47.304 * CHOOSE(CONTROL!$C$15, $E$9, 100%, $G$9) + CHOOSE(CONTROL!$C$38, 0.0369, 0)</f>
        <v>47.340900000000005</v>
      </c>
      <c r="J715" s="26">
        <f>346.1663</f>
        <v>346.16629999999998</v>
      </c>
    </row>
    <row r="716" spans="1:10" ht="15.75" x14ac:dyDescent="0.25">
      <c r="A716" s="13">
        <v>63097</v>
      </c>
      <c r="B716" s="10">
        <f>51.6015 * CHOOSE(CONTROL!$C$15, $E$9, 100%, $G$9) + CHOOSE(CONTROL!$C$38, 0.0278, 0)</f>
        <v>51.629300000000001</v>
      </c>
      <c r="C716" s="10">
        <f>47.5808 * CHOOSE(CONTROL!$C$15, $E$9, 100%, $G$9) + CHOOSE(CONTROL!$C$38, 0.0369, 0)</f>
        <v>47.617700000000006</v>
      </c>
      <c r="D716" s="10">
        <f>47.573 * CHOOSE(CONTROL!$C$15, $E$9, 100%, $G$9) + CHOOSE(CONTROL!$C$38, 0.0369, 0)</f>
        <v>47.609900000000003</v>
      </c>
      <c r="E716" s="28">
        <f>51.4452 * CHOOSE(CONTROL!$C$15, $E$9, 100%, $G$9) + CHOOSE(CONTROL!$C$38, 0.0369, 0)</f>
        <v>51.482100000000003</v>
      </c>
      <c r="F716" s="27">
        <f>51.4452 * CHOOSE(CONTROL!$C$15, $E$9, 100%, $G$9) + CHOOSE(CONTROL!$C$38, 0.0278, 0)</f>
        <v>51.472999999999999</v>
      </c>
      <c r="G716" s="10">
        <f>47.5793 * CHOOSE(CONTROL!$C$15, $E$9, 100%, $G$9) + CHOOSE(CONTROL!$C$38, 0.0369, 0)</f>
        <v>47.616200000000006</v>
      </c>
      <c r="H716" s="10">
        <f>47.5793 * CHOOSE(CONTROL!$C$15, $E$9, 100%, $G$9) + CHOOSE(CONTROL!$C$38, 0.0369, 0)</f>
        <v>47.616200000000006</v>
      </c>
      <c r="I716" s="10">
        <f>47.5808 * CHOOSE(CONTROL!$C$15, $E$9, 100%, $G$9) + CHOOSE(CONTROL!$C$38, 0.0369, 0)</f>
        <v>47.617700000000006</v>
      </c>
      <c r="J716" s="26">
        <f>334.6603</f>
        <v>334.66030000000001</v>
      </c>
    </row>
    <row r="717" spans="1:10" ht="15.75" x14ac:dyDescent="0.25">
      <c r="A717" s="13">
        <v>63128</v>
      </c>
      <c r="B717" s="10">
        <f>51.8333 * CHOOSE(CONTROL!$C$15, $E$9, 100%, $G$9) + CHOOSE(CONTROL!$C$38, 0.0256, 0)</f>
        <v>51.858899999999998</v>
      </c>
      <c r="C717" s="10">
        <f>47.8127 * CHOOSE(CONTROL!$C$15, $E$9, 100%, $G$9) + CHOOSE(CONTROL!$C$38, 0.0347, 0)</f>
        <v>47.8474</v>
      </c>
      <c r="D717" s="10">
        <f>47.8048 * CHOOSE(CONTROL!$C$15, $E$9, 100%, $G$9) + CHOOSE(CONTROL!$C$38, 0.0347, 0)</f>
        <v>47.839500000000001</v>
      </c>
      <c r="E717" s="28">
        <f>51.6771 * CHOOSE(CONTROL!$C$15, $E$9, 100%, $G$9) + CHOOSE(CONTROL!$C$38, 0.0347, 0)</f>
        <v>51.711800000000004</v>
      </c>
      <c r="F717" s="27">
        <f>51.6771 * CHOOSE(CONTROL!$C$15, $E$9, 100%, $G$9) + CHOOSE(CONTROL!$C$38, 0.0256, 0)</f>
        <v>51.7027</v>
      </c>
      <c r="G717" s="10">
        <f>47.8111 * CHOOSE(CONTROL!$C$15, $E$9, 100%, $G$9) + CHOOSE(CONTROL!$C$38, 0.0347, 0)</f>
        <v>47.845800000000004</v>
      </c>
      <c r="H717" s="10">
        <f>47.8111 * CHOOSE(CONTROL!$C$15, $E$9, 100%, $G$9) + CHOOSE(CONTROL!$C$38, 0.0347, 0)</f>
        <v>47.845800000000004</v>
      </c>
      <c r="I717" s="10">
        <f>47.8127 * CHOOSE(CONTROL!$C$15, $E$9, 100%, $G$9) + CHOOSE(CONTROL!$C$38, 0.0347, 0)</f>
        <v>47.8474</v>
      </c>
      <c r="J717" s="26">
        <f>323.0874</f>
        <v>323.0874</v>
      </c>
    </row>
    <row r="718" spans="1:10" ht="15.75" x14ac:dyDescent="0.25">
      <c r="A718" s="13">
        <v>63158</v>
      </c>
      <c r="B718" s="10">
        <f>52.0268 * CHOOSE(CONTROL!$C$15, $E$9, 100%, $G$9) + CHOOSE(CONTROL!$C$38, 0.0256, 0)</f>
        <v>52.052399999999999</v>
      </c>
      <c r="C718" s="10">
        <f>48.0061 * CHOOSE(CONTROL!$C$15, $E$9, 100%, $G$9) + CHOOSE(CONTROL!$C$38, 0.0347, 0)</f>
        <v>48.040800000000004</v>
      </c>
      <c r="D718" s="10">
        <f>47.9983 * CHOOSE(CONTROL!$C$15, $E$9, 100%, $G$9) + CHOOSE(CONTROL!$C$38, 0.0347, 0)</f>
        <v>48.033000000000001</v>
      </c>
      <c r="E718" s="28">
        <f>51.8705 * CHOOSE(CONTROL!$C$15, $E$9, 100%, $G$9) + CHOOSE(CONTROL!$C$38, 0.0347, 0)</f>
        <v>51.905200000000001</v>
      </c>
      <c r="F718" s="27">
        <f>51.8705 * CHOOSE(CONTROL!$C$15, $E$9, 100%, $G$9) + CHOOSE(CONTROL!$C$38, 0.0256, 0)</f>
        <v>51.896099999999997</v>
      </c>
      <c r="G718" s="10">
        <f>48.0045 * CHOOSE(CONTROL!$C$15, $E$9, 100%, $G$9) + CHOOSE(CONTROL!$C$38, 0.0347, 0)</f>
        <v>48.039200000000001</v>
      </c>
      <c r="H718" s="10">
        <f>48.0045 * CHOOSE(CONTROL!$C$15, $E$9, 100%, $G$9) + CHOOSE(CONTROL!$C$38, 0.0347, 0)</f>
        <v>48.039200000000001</v>
      </c>
      <c r="I718" s="10">
        <f>48.0061 * CHOOSE(CONTROL!$C$15, $E$9, 100%, $G$9) + CHOOSE(CONTROL!$C$38, 0.0347, 0)</f>
        <v>48.040800000000004</v>
      </c>
      <c r="J718" s="26">
        <f>320.7853</f>
        <v>320.78530000000001</v>
      </c>
    </row>
    <row r="719" spans="1:10" ht="15.75" x14ac:dyDescent="0.25">
      <c r="A719" s="13">
        <v>63189</v>
      </c>
      <c r="B719" s="10">
        <f>52.6228 * CHOOSE(CONTROL!$C$15, $E$9, 100%, $G$9) + CHOOSE(CONTROL!$C$38, 0.0256, 0)</f>
        <v>52.648399999999995</v>
      </c>
      <c r="C719" s="10">
        <f>48.6022 * CHOOSE(CONTROL!$C$15, $E$9, 100%, $G$9) + CHOOSE(CONTROL!$C$38, 0.0347, 0)</f>
        <v>48.636900000000004</v>
      </c>
      <c r="D719" s="10">
        <f>48.5944 * CHOOSE(CONTROL!$C$15, $E$9, 100%, $G$9) + CHOOSE(CONTROL!$C$38, 0.0347, 0)</f>
        <v>48.629100000000001</v>
      </c>
      <c r="E719" s="28">
        <f>52.4666 * CHOOSE(CONTROL!$C$15, $E$9, 100%, $G$9) + CHOOSE(CONTROL!$C$38, 0.0347, 0)</f>
        <v>52.501300000000001</v>
      </c>
      <c r="F719" s="27">
        <f>52.4666 * CHOOSE(CONTROL!$C$15, $E$9, 100%, $G$9) + CHOOSE(CONTROL!$C$38, 0.0256, 0)</f>
        <v>52.492199999999997</v>
      </c>
      <c r="G719" s="10">
        <f>48.6006 * CHOOSE(CONTROL!$C$15, $E$9, 100%, $G$9) + CHOOSE(CONTROL!$C$38, 0.0347, 0)</f>
        <v>48.635300000000001</v>
      </c>
      <c r="H719" s="10">
        <f>48.6006 * CHOOSE(CONTROL!$C$15, $E$9, 100%, $G$9) + CHOOSE(CONTROL!$C$38, 0.0347, 0)</f>
        <v>48.635300000000001</v>
      </c>
      <c r="I719" s="10">
        <f>48.6022 * CHOOSE(CONTROL!$C$15, $E$9, 100%, $G$9) + CHOOSE(CONTROL!$C$38, 0.0347, 0)</f>
        <v>48.636900000000004</v>
      </c>
      <c r="J719" s="26">
        <f>311.266</f>
        <v>311.26600000000002</v>
      </c>
    </row>
    <row r="720" spans="1:10" ht="15.75" x14ac:dyDescent="0.25">
      <c r="A720" s="13">
        <v>63220</v>
      </c>
      <c r="B720" s="10">
        <f>54.0025 * CHOOSE(CONTROL!$C$15, $E$9, 100%, $G$9) + CHOOSE(CONTROL!$C$38, 0.0256, 0)</f>
        <v>54.028099999999995</v>
      </c>
      <c r="C720" s="10">
        <f>49.9136 * CHOOSE(CONTROL!$C$15, $E$9, 100%, $G$9) + CHOOSE(CONTROL!$C$38, 0.0347, 0)</f>
        <v>49.948300000000003</v>
      </c>
      <c r="D720" s="10">
        <f>49.9058 * CHOOSE(CONTROL!$C$15, $E$9, 100%, $G$9) + CHOOSE(CONTROL!$C$38, 0.0347, 0)</f>
        <v>49.9405</v>
      </c>
      <c r="E720" s="28">
        <f>53.8463 * CHOOSE(CONTROL!$C$15, $E$9, 100%, $G$9) + CHOOSE(CONTROL!$C$38, 0.0347, 0)</f>
        <v>53.881</v>
      </c>
      <c r="F720" s="27">
        <f>53.8463 * CHOOSE(CONTROL!$C$15, $E$9, 100%, $G$9) + CHOOSE(CONTROL!$C$38, 0.0256, 0)</f>
        <v>53.871899999999997</v>
      </c>
      <c r="G720" s="10">
        <f>49.912 * CHOOSE(CONTROL!$C$15, $E$9, 100%, $G$9) + CHOOSE(CONTROL!$C$38, 0.0347, 0)</f>
        <v>49.9467</v>
      </c>
      <c r="H720" s="10">
        <f>49.912 * CHOOSE(CONTROL!$C$15, $E$9, 100%, $G$9) + CHOOSE(CONTROL!$C$38, 0.0347, 0)</f>
        <v>49.9467</v>
      </c>
      <c r="I720" s="10">
        <f>49.9136 * CHOOSE(CONTROL!$C$15, $E$9, 100%, $G$9) + CHOOSE(CONTROL!$C$38, 0.0347, 0)</f>
        <v>49.948300000000003</v>
      </c>
      <c r="J720" s="26">
        <f>309.181</f>
        <v>309.18099999999998</v>
      </c>
    </row>
    <row r="721" spans="1:10" ht="15.75" x14ac:dyDescent="0.25">
      <c r="A721" s="13">
        <v>63248</v>
      </c>
      <c r="B721" s="10">
        <f>54.2233 * CHOOSE(CONTROL!$C$15, $E$9, 100%, $G$9) + CHOOSE(CONTROL!$C$38, 0.0256, 0)</f>
        <v>54.248899999999999</v>
      </c>
      <c r="C721" s="10">
        <f>50.1344 * CHOOSE(CONTROL!$C$15, $E$9, 100%, $G$9) + CHOOSE(CONTROL!$C$38, 0.0347, 0)</f>
        <v>50.1691</v>
      </c>
      <c r="D721" s="10">
        <f>50.1266 * CHOOSE(CONTROL!$C$15, $E$9, 100%, $G$9) + CHOOSE(CONTROL!$C$38, 0.0347, 0)</f>
        <v>50.161300000000004</v>
      </c>
      <c r="E721" s="28">
        <f>54.067 * CHOOSE(CONTROL!$C$15, $E$9, 100%, $G$9) + CHOOSE(CONTROL!$C$38, 0.0347, 0)</f>
        <v>54.101700000000001</v>
      </c>
      <c r="F721" s="27">
        <f>54.067 * CHOOSE(CONTROL!$C$15, $E$9, 100%, $G$9) + CHOOSE(CONTROL!$C$38, 0.0256, 0)</f>
        <v>54.092599999999997</v>
      </c>
      <c r="G721" s="10">
        <f>50.1328 * CHOOSE(CONTROL!$C$15, $E$9, 100%, $G$9) + CHOOSE(CONTROL!$C$38, 0.0347, 0)</f>
        <v>50.167500000000004</v>
      </c>
      <c r="H721" s="10">
        <f>50.1328 * CHOOSE(CONTROL!$C$15, $E$9, 100%, $G$9) + CHOOSE(CONTROL!$C$38, 0.0347, 0)</f>
        <v>50.167500000000004</v>
      </c>
      <c r="I721" s="10">
        <f>50.1344 * CHOOSE(CONTROL!$C$15, $E$9, 100%, $G$9) + CHOOSE(CONTROL!$C$38, 0.0347, 0)</f>
        <v>50.1691</v>
      </c>
      <c r="J721" s="26">
        <f>308.3216</f>
        <v>308.32159999999999</v>
      </c>
    </row>
    <row r="722" spans="1:10" ht="15.75" x14ac:dyDescent="0.25">
      <c r="A722" s="13">
        <v>63279</v>
      </c>
      <c r="B722" s="10">
        <f>53.7123 * CHOOSE(CONTROL!$C$15, $E$9, 100%, $G$9) + CHOOSE(CONTROL!$C$38, 0.0256, 0)</f>
        <v>53.737899999999996</v>
      </c>
      <c r="C722" s="10">
        <f>49.6233 * CHOOSE(CONTROL!$C$15, $E$9, 100%, $G$9) + CHOOSE(CONTROL!$C$38, 0.0347, 0)</f>
        <v>49.658000000000001</v>
      </c>
      <c r="D722" s="10">
        <f>49.6155 * CHOOSE(CONTROL!$C$15, $E$9, 100%, $G$9) + CHOOSE(CONTROL!$C$38, 0.0347, 0)</f>
        <v>49.650199999999998</v>
      </c>
      <c r="E722" s="28">
        <f>53.556 * CHOOSE(CONTROL!$C$15, $E$9, 100%, $G$9) + CHOOSE(CONTROL!$C$38, 0.0347, 0)</f>
        <v>53.590699999999998</v>
      </c>
      <c r="F722" s="27">
        <f>53.556 * CHOOSE(CONTROL!$C$15, $E$9, 100%, $G$9) + CHOOSE(CONTROL!$C$38, 0.0256, 0)</f>
        <v>53.581599999999995</v>
      </c>
      <c r="G722" s="10">
        <f>49.6218 * CHOOSE(CONTROL!$C$15, $E$9, 100%, $G$9) + CHOOSE(CONTROL!$C$38, 0.0347, 0)</f>
        <v>49.656500000000001</v>
      </c>
      <c r="H722" s="10">
        <f>49.6218 * CHOOSE(CONTROL!$C$15, $E$9, 100%, $G$9) + CHOOSE(CONTROL!$C$38, 0.0347, 0)</f>
        <v>49.656500000000001</v>
      </c>
      <c r="I722" s="10">
        <f>49.6233 * CHOOSE(CONTROL!$C$15, $E$9, 100%, $G$9) + CHOOSE(CONTROL!$C$38, 0.0347, 0)</f>
        <v>49.658000000000001</v>
      </c>
      <c r="J722" s="26">
        <f>324.5719</f>
        <v>324.57190000000003</v>
      </c>
    </row>
    <row r="723" spans="1:10" ht="15.75" x14ac:dyDescent="0.25">
      <c r="A723" s="13">
        <v>63309</v>
      </c>
      <c r="B723" s="10">
        <f>53.2171 * CHOOSE(CONTROL!$C$15, $E$9, 100%, $G$9) + CHOOSE(CONTROL!$C$38, 0.0256, 0)</f>
        <v>53.242699999999999</v>
      </c>
      <c r="C723" s="10">
        <f>49.1282 * CHOOSE(CONTROL!$C$15, $E$9, 100%, $G$9) + CHOOSE(CONTROL!$C$38, 0.0347, 0)</f>
        <v>49.1629</v>
      </c>
      <c r="D723" s="10">
        <f>49.1203 * CHOOSE(CONTROL!$C$15, $E$9, 100%, $G$9) + CHOOSE(CONTROL!$C$38, 0.0347, 0)</f>
        <v>49.155000000000001</v>
      </c>
      <c r="E723" s="28">
        <f>53.0608 * CHOOSE(CONTROL!$C$15, $E$9, 100%, $G$9) + CHOOSE(CONTROL!$C$38, 0.0347, 0)</f>
        <v>53.095500000000001</v>
      </c>
      <c r="F723" s="27">
        <f>53.0608 * CHOOSE(CONTROL!$C$15, $E$9, 100%, $G$9) + CHOOSE(CONTROL!$C$38, 0.0256, 0)</f>
        <v>53.086399999999998</v>
      </c>
      <c r="G723" s="10">
        <f>49.1266 * CHOOSE(CONTROL!$C$15, $E$9, 100%, $G$9) + CHOOSE(CONTROL!$C$38, 0.0347, 0)</f>
        <v>49.161300000000004</v>
      </c>
      <c r="H723" s="10">
        <f>49.1266 * CHOOSE(CONTROL!$C$15, $E$9, 100%, $G$9) + CHOOSE(CONTROL!$C$38, 0.0347, 0)</f>
        <v>49.161300000000004</v>
      </c>
      <c r="I723" s="10">
        <f>49.1282 * CHOOSE(CONTROL!$C$15, $E$9, 100%, $G$9) + CHOOSE(CONTROL!$C$38, 0.0347, 0)</f>
        <v>49.1629</v>
      </c>
      <c r="J723" s="26">
        <f>345.6447</f>
        <v>345.6447</v>
      </c>
    </row>
    <row r="724" spans="1:10" ht="15.75" x14ac:dyDescent="0.25">
      <c r="A724" s="13">
        <v>63340</v>
      </c>
      <c r="B724" s="10">
        <f>52.701 * CHOOSE(CONTROL!$C$15, $E$9, 100%, $G$9) + CHOOSE(CONTROL!$C$38, 0.0278, 0)</f>
        <v>52.7288</v>
      </c>
      <c r="C724" s="10">
        <f>48.612 * CHOOSE(CONTROL!$C$15, $E$9, 100%, $G$9) + CHOOSE(CONTROL!$C$38, 0.0369, 0)</f>
        <v>48.648900000000005</v>
      </c>
      <c r="D724" s="10">
        <f>48.6042 * CHOOSE(CONTROL!$C$15, $E$9, 100%, $G$9) + CHOOSE(CONTROL!$C$38, 0.0369, 0)</f>
        <v>48.641100000000002</v>
      </c>
      <c r="E724" s="28">
        <f>52.5447 * CHOOSE(CONTROL!$C$15, $E$9, 100%, $G$9) + CHOOSE(CONTROL!$C$38, 0.0369, 0)</f>
        <v>52.581600000000002</v>
      </c>
      <c r="F724" s="27">
        <f>52.5447 * CHOOSE(CONTROL!$C$15, $E$9, 100%, $G$9) + CHOOSE(CONTROL!$C$38, 0.0278, 0)</f>
        <v>52.572499999999998</v>
      </c>
      <c r="G724" s="10">
        <f>48.6105 * CHOOSE(CONTROL!$C$15, $E$9, 100%, $G$9) + CHOOSE(CONTROL!$C$38, 0.0369, 0)</f>
        <v>48.647400000000005</v>
      </c>
      <c r="H724" s="10">
        <f>48.6105 * CHOOSE(CONTROL!$C$15, $E$9, 100%, $G$9) + CHOOSE(CONTROL!$C$38, 0.0369, 0)</f>
        <v>48.647400000000005</v>
      </c>
      <c r="I724" s="10">
        <f>48.612 * CHOOSE(CONTROL!$C$15, $E$9, 100%, $G$9) + CHOOSE(CONTROL!$C$38, 0.0369, 0)</f>
        <v>48.648900000000005</v>
      </c>
      <c r="J724" s="26">
        <f>357.2439</f>
        <v>357.2439</v>
      </c>
    </row>
    <row r="725" spans="1:10" ht="15.75" x14ac:dyDescent="0.25">
      <c r="A725" s="13">
        <v>63370</v>
      </c>
      <c r="B725" s="10">
        <f>52.3391 * CHOOSE(CONTROL!$C$15, $E$9, 100%, $G$9) + CHOOSE(CONTROL!$C$38, 0.0278, 0)</f>
        <v>52.366900000000001</v>
      </c>
      <c r="C725" s="10">
        <f>48.2502 * CHOOSE(CONTROL!$C$15, $E$9, 100%, $G$9) + CHOOSE(CONTROL!$C$38, 0.0369, 0)</f>
        <v>48.287100000000002</v>
      </c>
      <c r="D725" s="10">
        <f>48.2424 * CHOOSE(CONTROL!$C$15, $E$9, 100%, $G$9) + CHOOSE(CONTROL!$C$38, 0.0369, 0)</f>
        <v>48.279300000000006</v>
      </c>
      <c r="E725" s="28">
        <f>52.1829 * CHOOSE(CONTROL!$C$15, $E$9, 100%, $G$9) + CHOOSE(CONTROL!$C$38, 0.0369, 0)</f>
        <v>52.219799999999999</v>
      </c>
      <c r="F725" s="27">
        <f>52.1829 * CHOOSE(CONTROL!$C$15, $E$9, 100%, $G$9) + CHOOSE(CONTROL!$C$38, 0.0278, 0)</f>
        <v>52.210699999999996</v>
      </c>
      <c r="G725" s="10">
        <f>48.2486 * CHOOSE(CONTROL!$C$15, $E$9, 100%, $G$9) + CHOOSE(CONTROL!$C$38, 0.0369, 0)</f>
        <v>48.285500000000006</v>
      </c>
      <c r="H725" s="10">
        <f>48.2486 * CHOOSE(CONTROL!$C$15, $E$9, 100%, $G$9) + CHOOSE(CONTROL!$C$38, 0.0369, 0)</f>
        <v>48.285500000000006</v>
      </c>
      <c r="I725" s="10">
        <f>48.2502 * CHOOSE(CONTROL!$C$15, $E$9, 100%, $G$9) + CHOOSE(CONTROL!$C$38, 0.0369, 0)</f>
        <v>48.287100000000002</v>
      </c>
      <c r="J725" s="26">
        <f>362.3914</f>
        <v>362.39139999999998</v>
      </c>
    </row>
    <row r="726" spans="1:10" ht="15.75" x14ac:dyDescent="0.25">
      <c r="A726" s="13">
        <v>63401</v>
      </c>
      <c r="B726" s="10">
        <f>52.1326 * CHOOSE(CONTROL!$C$15, $E$9, 100%, $G$9) + CHOOSE(CONTROL!$C$38, 0.0278, 0)</f>
        <v>52.160399999999996</v>
      </c>
      <c r="C726" s="10">
        <f>48.0437 * CHOOSE(CONTROL!$C$15, $E$9, 100%, $G$9) + CHOOSE(CONTROL!$C$38, 0.0369, 0)</f>
        <v>48.080600000000004</v>
      </c>
      <c r="D726" s="10">
        <f>48.0359 * CHOOSE(CONTROL!$C$15, $E$9, 100%, $G$9) + CHOOSE(CONTROL!$C$38, 0.0369, 0)</f>
        <v>48.072800000000001</v>
      </c>
      <c r="E726" s="28">
        <f>51.9764 * CHOOSE(CONTROL!$C$15, $E$9, 100%, $G$9) + CHOOSE(CONTROL!$C$38, 0.0369, 0)</f>
        <v>52.013300000000001</v>
      </c>
      <c r="F726" s="27">
        <f>51.9764 * CHOOSE(CONTROL!$C$15, $E$9, 100%, $G$9) + CHOOSE(CONTROL!$C$38, 0.0278, 0)</f>
        <v>52.004199999999997</v>
      </c>
      <c r="G726" s="10">
        <f>48.0422 * CHOOSE(CONTROL!$C$15, $E$9, 100%, $G$9) + CHOOSE(CONTROL!$C$38, 0.0369, 0)</f>
        <v>48.079100000000004</v>
      </c>
      <c r="H726" s="10">
        <f>48.0422 * CHOOSE(CONTROL!$C$15, $E$9, 100%, $G$9) + CHOOSE(CONTROL!$C$38, 0.0369, 0)</f>
        <v>48.079100000000004</v>
      </c>
      <c r="I726" s="10">
        <f>48.0437 * CHOOSE(CONTROL!$C$15, $E$9, 100%, $G$9) + CHOOSE(CONTROL!$C$38, 0.0369, 0)</f>
        <v>48.080600000000004</v>
      </c>
      <c r="J726" s="26">
        <f>360.6966</f>
        <v>360.69659999999999</v>
      </c>
    </row>
    <row r="727" spans="1:10" ht="15.75" x14ac:dyDescent="0.25">
      <c r="A727" s="13">
        <v>63432</v>
      </c>
      <c r="B727" s="10">
        <f>52.2346 * CHOOSE(CONTROL!$C$15, $E$9, 100%, $G$9) + CHOOSE(CONTROL!$C$38, 0.0278, 0)</f>
        <v>52.2624</v>
      </c>
      <c r="C727" s="10">
        <f>48.1456 * CHOOSE(CONTROL!$C$15, $E$9, 100%, $G$9) + CHOOSE(CONTROL!$C$38, 0.0369, 0)</f>
        <v>48.182500000000005</v>
      </c>
      <c r="D727" s="10">
        <f>48.1378 * CHOOSE(CONTROL!$C$15, $E$9, 100%, $G$9) + CHOOSE(CONTROL!$C$38, 0.0369, 0)</f>
        <v>48.174700000000001</v>
      </c>
      <c r="E727" s="28">
        <f>52.0783 * CHOOSE(CONTROL!$C$15, $E$9, 100%, $G$9) + CHOOSE(CONTROL!$C$38, 0.0369, 0)</f>
        <v>52.115200000000002</v>
      </c>
      <c r="F727" s="27">
        <f>52.0783 * CHOOSE(CONTROL!$C$15, $E$9, 100%, $G$9) + CHOOSE(CONTROL!$C$38, 0.0278, 0)</f>
        <v>52.106099999999998</v>
      </c>
      <c r="G727" s="10">
        <f>48.1441 * CHOOSE(CONTROL!$C$15, $E$9, 100%, $G$9) + CHOOSE(CONTROL!$C$38, 0.0369, 0)</f>
        <v>48.181000000000004</v>
      </c>
      <c r="H727" s="10">
        <f>48.1441 * CHOOSE(CONTROL!$C$15, $E$9, 100%, $G$9) + CHOOSE(CONTROL!$C$38, 0.0369, 0)</f>
        <v>48.181000000000004</v>
      </c>
      <c r="I727" s="10">
        <f>48.1456 * CHOOSE(CONTROL!$C$15, $E$9, 100%, $G$9) + CHOOSE(CONTROL!$C$38, 0.0369, 0)</f>
        <v>48.182500000000005</v>
      </c>
      <c r="J727" s="26">
        <f>352.2997</f>
        <v>352.29969999999997</v>
      </c>
    </row>
    <row r="728" spans="1:10" ht="15.75" x14ac:dyDescent="0.25">
      <c r="A728" s="13">
        <v>63462</v>
      </c>
      <c r="B728" s="10">
        <f>52.5114 * CHOOSE(CONTROL!$C$15, $E$9, 100%, $G$9) + CHOOSE(CONTROL!$C$38, 0.0278, 0)</f>
        <v>52.539200000000001</v>
      </c>
      <c r="C728" s="10">
        <f>48.4224 * CHOOSE(CONTROL!$C$15, $E$9, 100%, $G$9) + CHOOSE(CONTROL!$C$38, 0.0369, 0)</f>
        <v>48.459300000000006</v>
      </c>
      <c r="D728" s="10">
        <f>48.4146 * CHOOSE(CONTROL!$C$15, $E$9, 100%, $G$9) + CHOOSE(CONTROL!$C$38, 0.0369, 0)</f>
        <v>48.451500000000003</v>
      </c>
      <c r="E728" s="28">
        <f>52.3551 * CHOOSE(CONTROL!$C$15, $E$9, 100%, $G$9) + CHOOSE(CONTROL!$C$38, 0.0369, 0)</f>
        <v>52.392000000000003</v>
      </c>
      <c r="F728" s="27">
        <f>52.3551 * CHOOSE(CONTROL!$C$15, $E$9, 100%, $G$9) + CHOOSE(CONTROL!$C$38, 0.0278, 0)</f>
        <v>52.382899999999999</v>
      </c>
      <c r="G728" s="10">
        <f>48.4209 * CHOOSE(CONTROL!$C$15, $E$9, 100%, $G$9) + CHOOSE(CONTROL!$C$38, 0.0369, 0)</f>
        <v>48.457800000000006</v>
      </c>
      <c r="H728" s="10">
        <f>48.4209 * CHOOSE(CONTROL!$C$15, $E$9, 100%, $G$9) + CHOOSE(CONTROL!$C$38, 0.0369, 0)</f>
        <v>48.457800000000006</v>
      </c>
      <c r="I728" s="10">
        <f>48.4224 * CHOOSE(CONTROL!$C$15, $E$9, 100%, $G$9) + CHOOSE(CONTROL!$C$38, 0.0369, 0)</f>
        <v>48.459300000000006</v>
      </c>
      <c r="J728" s="26">
        <f>340.5899</f>
        <v>340.5899</v>
      </c>
    </row>
    <row r="729" spans="1:10" ht="15.75" x14ac:dyDescent="0.25">
      <c r="A729" s="13">
        <v>63493</v>
      </c>
      <c r="B729" s="10">
        <f>52.7432 * CHOOSE(CONTROL!$C$15, $E$9, 100%, $G$9) + CHOOSE(CONTROL!$C$38, 0.0256, 0)</f>
        <v>52.768799999999999</v>
      </c>
      <c r="C729" s="10">
        <f>48.6542 * CHOOSE(CONTROL!$C$15, $E$9, 100%, $G$9) + CHOOSE(CONTROL!$C$38, 0.0347, 0)</f>
        <v>48.688900000000004</v>
      </c>
      <c r="D729" s="10">
        <f>48.6464 * CHOOSE(CONTROL!$C$15, $E$9, 100%, $G$9) + CHOOSE(CONTROL!$C$38, 0.0347, 0)</f>
        <v>48.681100000000001</v>
      </c>
      <c r="E729" s="28">
        <f>52.5869 * CHOOSE(CONTROL!$C$15, $E$9, 100%, $G$9) + CHOOSE(CONTROL!$C$38, 0.0347, 0)</f>
        <v>52.621600000000001</v>
      </c>
      <c r="F729" s="27">
        <f>52.5869 * CHOOSE(CONTROL!$C$15, $E$9, 100%, $G$9) + CHOOSE(CONTROL!$C$38, 0.0256, 0)</f>
        <v>52.612499999999997</v>
      </c>
      <c r="G729" s="10">
        <f>48.6527 * CHOOSE(CONTROL!$C$15, $E$9, 100%, $G$9) + CHOOSE(CONTROL!$C$38, 0.0347, 0)</f>
        <v>48.687400000000004</v>
      </c>
      <c r="H729" s="10">
        <f>48.6527 * CHOOSE(CONTROL!$C$15, $E$9, 100%, $G$9) + CHOOSE(CONTROL!$C$38, 0.0347, 0)</f>
        <v>48.687400000000004</v>
      </c>
      <c r="I729" s="10">
        <f>48.6542 * CHOOSE(CONTROL!$C$15, $E$9, 100%, $G$9) + CHOOSE(CONTROL!$C$38, 0.0347, 0)</f>
        <v>48.688900000000004</v>
      </c>
      <c r="J729" s="26">
        <f>328.8119</f>
        <v>328.81189999999998</v>
      </c>
    </row>
    <row r="730" spans="1:10" ht="15.75" x14ac:dyDescent="0.25">
      <c r="A730" s="13">
        <v>63523</v>
      </c>
      <c r="B730" s="10">
        <f>52.9366 * CHOOSE(CONTROL!$C$15, $E$9, 100%, $G$9) + CHOOSE(CONTROL!$C$38, 0.0256, 0)</f>
        <v>52.962199999999996</v>
      </c>
      <c r="C730" s="10">
        <f>48.8477 * CHOOSE(CONTROL!$C$15, $E$9, 100%, $G$9) + CHOOSE(CONTROL!$C$38, 0.0347, 0)</f>
        <v>48.882400000000004</v>
      </c>
      <c r="D730" s="10">
        <f>48.8399 * CHOOSE(CONTROL!$C$15, $E$9, 100%, $G$9) + CHOOSE(CONTROL!$C$38, 0.0347, 0)</f>
        <v>48.874600000000001</v>
      </c>
      <c r="E730" s="28">
        <f>52.7804 * CHOOSE(CONTROL!$C$15, $E$9, 100%, $G$9) + CHOOSE(CONTROL!$C$38, 0.0347, 0)</f>
        <v>52.815100000000001</v>
      </c>
      <c r="F730" s="27">
        <f>52.7804 * CHOOSE(CONTROL!$C$15, $E$9, 100%, $G$9) + CHOOSE(CONTROL!$C$38, 0.0256, 0)</f>
        <v>52.805999999999997</v>
      </c>
      <c r="G730" s="10">
        <f>48.8461 * CHOOSE(CONTROL!$C$15, $E$9, 100%, $G$9) + CHOOSE(CONTROL!$C$38, 0.0347, 0)</f>
        <v>48.880800000000001</v>
      </c>
      <c r="H730" s="10">
        <f>48.8461 * CHOOSE(CONTROL!$C$15, $E$9, 100%, $G$9) + CHOOSE(CONTROL!$C$38, 0.0347, 0)</f>
        <v>48.880800000000001</v>
      </c>
      <c r="I730" s="10">
        <f>48.8477 * CHOOSE(CONTROL!$C$15, $E$9, 100%, $G$9) + CHOOSE(CONTROL!$C$38, 0.0347, 0)</f>
        <v>48.882400000000004</v>
      </c>
      <c r="J730" s="26">
        <f>326.469</f>
        <v>326.46899999999999</v>
      </c>
    </row>
    <row r="731" spans="1:10" ht="15.75" x14ac:dyDescent="0.25">
      <c r="A731" s="13">
        <v>63554</v>
      </c>
      <c r="B731" s="10">
        <f>53.5327 * CHOOSE(CONTROL!$C$15, $E$9, 100%, $G$9) + CHOOSE(CONTROL!$C$38, 0.0256, 0)</f>
        <v>53.558299999999996</v>
      </c>
      <c r="C731" s="10">
        <f>49.4438 * CHOOSE(CONTROL!$C$15, $E$9, 100%, $G$9) + CHOOSE(CONTROL!$C$38, 0.0347, 0)</f>
        <v>49.478500000000004</v>
      </c>
      <c r="D731" s="10">
        <f>49.4359 * CHOOSE(CONTROL!$C$15, $E$9, 100%, $G$9) + CHOOSE(CONTROL!$C$38, 0.0347, 0)</f>
        <v>49.470599999999997</v>
      </c>
      <c r="E731" s="28">
        <f>53.3764 * CHOOSE(CONTROL!$C$15, $E$9, 100%, $G$9) + CHOOSE(CONTROL!$C$38, 0.0347, 0)</f>
        <v>53.411099999999998</v>
      </c>
      <c r="F731" s="27">
        <f>53.3764 * CHOOSE(CONTROL!$C$15, $E$9, 100%, $G$9) + CHOOSE(CONTROL!$C$38, 0.0256, 0)</f>
        <v>53.401999999999994</v>
      </c>
      <c r="G731" s="10">
        <f>49.4422 * CHOOSE(CONTROL!$C$15, $E$9, 100%, $G$9) + CHOOSE(CONTROL!$C$38, 0.0347, 0)</f>
        <v>49.476900000000001</v>
      </c>
      <c r="H731" s="10">
        <f>49.4422 * CHOOSE(CONTROL!$C$15, $E$9, 100%, $G$9) + CHOOSE(CONTROL!$C$38, 0.0347, 0)</f>
        <v>49.476900000000001</v>
      </c>
      <c r="I731" s="10">
        <f>49.4438 * CHOOSE(CONTROL!$C$15, $E$9, 100%, $G$9) + CHOOSE(CONTROL!$C$38, 0.0347, 0)</f>
        <v>49.478500000000004</v>
      </c>
      <c r="J731" s="26">
        <f>316.781</f>
        <v>316.78100000000001</v>
      </c>
    </row>
    <row r="732" spans="1:10" ht="15.75" x14ac:dyDescent="0.25">
      <c r="A732" s="13">
        <v>63585</v>
      </c>
      <c r="B732" s="10">
        <f>54.9285 * CHOOSE(CONTROL!$C$15, $E$9, 100%, $G$9) + CHOOSE(CONTROL!$C$38, 0.0256, 0)</f>
        <v>54.954099999999997</v>
      </c>
      <c r="C732" s="10">
        <f>50.7701 * CHOOSE(CONTROL!$C$15, $E$9, 100%, $G$9) + CHOOSE(CONTROL!$C$38, 0.0347, 0)</f>
        <v>50.8048</v>
      </c>
      <c r="D732" s="10">
        <f>50.7622 * CHOOSE(CONTROL!$C$15, $E$9, 100%, $G$9) + CHOOSE(CONTROL!$C$38, 0.0347, 0)</f>
        <v>50.796900000000001</v>
      </c>
      <c r="E732" s="28">
        <f>54.7722 * CHOOSE(CONTROL!$C$15, $E$9, 100%, $G$9) + CHOOSE(CONTROL!$C$38, 0.0347, 0)</f>
        <v>54.806899999999999</v>
      </c>
      <c r="F732" s="27">
        <f>54.7722 * CHOOSE(CONTROL!$C$15, $E$9, 100%, $G$9) + CHOOSE(CONTROL!$C$38, 0.0256, 0)</f>
        <v>54.797799999999995</v>
      </c>
      <c r="G732" s="10">
        <f>50.7685 * CHOOSE(CONTROL!$C$15, $E$9, 100%, $G$9) + CHOOSE(CONTROL!$C$38, 0.0347, 0)</f>
        <v>50.803200000000004</v>
      </c>
      <c r="H732" s="10">
        <f>50.7685 * CHOOSE(CONTROL!$C$15, $E$9, 100%, $G$9) + CHOOSE(CONTROL!$C$38, 0.0347, 0)</f>
        <v>50.803200000000004</v>
      </c>
      <c r="I732" s="10">
        <f>50.7701 * CHOOSE(CONTROL!$C$15, $E$9, 100%, $G$9) + CHOOSE(CONTROL!$C$38, 0.0347, 0)</f>
        <v>50.8048</v>
      </c>
      <c r="J732" s="26">
        <f>314.6591</f>
        <v>314.65910000000002</v>
      </c>
    </row>
    <row r="733" spans="1:10" ht="15.75" x14ac:dyDescent="0.25">
      <c r="A733" s="13">
        <v>63613</v>
      </c>
      <c r="B733" s="10">
        <f>55.1492 * CHOOSE(CONTROL!$C$15, $E$9, 100%, $G$9) + CHOOSE(CONTROL!$C$38, 0.0256, 0)</f>
        <v>55.174799999999998</v>
      </c>
      <c r="C733" s="10">
        <f>50.9908 * CHOOSE(CONTROL!$C$15, $E$9, 100%, $G$9) + CHOOSE(CONTROL!$C$38, 0.0347, 0)</f>
        <v>51.025500000000001</v>
      </c>
      <c r="D733" s="10">
        <f>50.983 * CHOOSE(CONTROL!$C$15, $E$9, 100%, $G$9) + CHOOSE(CONTROL!$C$38, 0.0347, 0)</f>
        <v>51.017699999999998</v>
      </c>
      <c r="E733" s="28">
        <f>54.993 * CHOOSE(CONTROL!$C$15, $E$9, 100%, $G$9) + CHOOSE(CONTROL!$C$38, 0.0347, 0)</f>
        <v>55.027700000000003</v>
      </c>
      <c r="F733" s="27">
        <f>54.993 * CHOOSE(CONTROL!$C$15, $E$9, 100%, $G$9) + CHOOSE(CONTROL!$C$38, 0.0256, 0)</f>
        <v>55.018599999999999</v>
      </c>
      <c r="G733" s="10">
        <f>50.9893 * CHOOSE(CONTROL!$C$15, $E$9, 100%, $G$9) + CHOOSE(CONTROL!$C$38, 0.0347, 0)</f>
        <v>51.024000000000001</v>
      </c>
      <c r="H733" s="10">
        <f>50.9893 * CHOOSE(CONTROL!$C$15, $E$9, 100%, $G$9) + CHOOSE(CONTROL!$C$38, 0.0347, 0)</f>
        <v>51.024000000000001</v>
      </c>
      <c r="I733" s="10">
        <f>50.9908 * CHOOSE(CONTROL!$C$15, $E$9, 100%, $G$9) + CHOOSE(CONTROL!$C$38, 0.0347, 0)</f>
        <v>51.025500000000001</v>
      </c>
      <c r="J733" s="26">
        <f>313.7845</f>
        <v>313.78449999999998</v>
      </c>
    </row>
    <row r="734" spans="1:10" ht="15.75" x14ac:dyDescent="0.25">
      <c r="A734" s="13">
        <v>63644</v>
      </c>
      <c r="B734" s="10">
        <f>54.6382 * CHOOSE(CONTROL!$C$15, $E$9, 100%, $G$9) + CHOOSE(CONTROL!$C$38, 0.0256, 0)</f>
        <v>54.663799999999995</v>
      </c>
      <c r="C734" s="10">
        <f>50.4798 * CHOOSE(CONTROL!$C$15, $E$9, 100%, $G$9) + CHOOSE(CONTROL!$C$38, 0.0347, 0)</f>
        <v>50.514499999999998</v>
      </c>
      <c r="D734" s="10">
        <f>50.472 * CHOOSE(CONTROL!$C$15, $E$9, 100%, $G$9) + CHOOSE(CONTROL!$C$38, 0.0347, 0)</f>
        <v>50.506700000000002</v>
      </c>
      <c r="E734" s="28">
        <f>54.482 * CHOOSE(CONTROL!$C$15, $E$9, 100%, $G$9) + CHOOSE(CONTROL!$C$38, 0.0347, 0)</f>
        <v>54.5167</v>
      </c>
      <c r="F734" s="27">
        <f>54.482 * CHOOSE(CONTROL!$C$15, $E$9, 100%, $G$9) + CHOOSE(CONTROL!$C$38, 0.0256, 0)</f>
        <v>54.507599999999996</v>
      </c>
      <c r="G734" s="10">
        <f>50.4782 * CHOOSE(CONTROL!$C$15, $E$9, 100%, $G$9) + CHOOSE(CONTROL!$C$38, 0.0347, 0)</f>
        <v>50.512900000000002</v>
      </c>
      <c r="H734" s="10">
        <f>50.4782 * CHOOSE(CONTROL!$C$15, $E$9, 100%, $G$9) + CHOOSE(CONTROL!$C$38, 0.0347, 0)</f>
        <v>50.512900000000002</v>
      </c>
      <c r="I734" s="10">
        <f>50.4798 * CHOOSE(CONTROL!$C$15, $E$9, 100%, $G$9) + CHOOSE(CONTROL!$C$38, 0.0347, 0)</f>
        <v>50.514499999999998</v>
      </c>
      <c r="J734" s="26">
        <f>330.3227</f>
        <v>330.3227</v>
      </c>
    </row>
    <row r="735" spans="1:10" ht="15.75" x14ac:dyDescent="0.25">
      <c r="A735" s="13">
        <v>63674</v>
      </c>
      <c r="B735" s="10">
        <f>54.143 * CHOOSE(CONTROL!$C$15, $E$9, 100%, $G$9) + CHOOSE(CONTROL!$C$38, 0.0256, 0)</f>
        <v>54.168599999999998</v>
      </c>
      <c r="C735" s="10">
        <f>49.9846 * CHOOSE(CONTROL!$C$15, $E$9, 100%, $G$9) + CHOOSE(CONTROL!$C$38, 0.0347, 0)</f>
        <v>50.019300000000001</v>
      </c>
      <c r="D735" s="10">
        <f>49.9768 * CHOOSE(CONTROL!$C$15, $E$9, 100%, $G$9) + CHOOSE(CONTROL!$C$38, 0.0347, 0)</f>
        <v>50.011499999999998</v>
      </c>
      <c r="E735" s="28">
        <f>53.9868 * CHOOSE(CONTROL!$C$15, $E$9, 100%, $G$9) + CHOOSE(CONTROL!$C$38, 0.0347, 0)</f>
        <v>54.021500000000003</v>
      </c>
      <c r="F735" s="27">
        <f>53.9868 * CHOOSE(CONTROL!$C$15, $E$9, 100%, $G$9) + CHOOSE(CONTROL!$C$38, 0.0256, 0)</f>
        <v>54.0124</v>
      </c>
      <c r="G735" s="10">
        <f>49.983 * CHOOSE(CONTROL!$C$15, $E$9, 100%, $G$9) + CHOOSE(CONTROL!$C$38, 0.0347, 0)</f>
        <v>50.017699999999998</v>
      </c>
      <c r="H735" s="10">
        <f>49.983 * CHOOSE(CONTROL!$C$15, $E$9, 100%, $G$9) + CHOOSE(CONTROL!$C$38, 0.0347, 0)</f>
        <v>50.017699999999998</v>
      </c>
      <c r="I735" s="10">
        <f>49.9846 * CHOOSE(CONTROL!$C$15, $E$9, 100%, $G$9) + CHOOSE(CONTROL!$C$38, 0.0347, 0)</f>
        <v>50.019300000000001</v>
      </c>
      <c r="J735" s="26">
        <f>351.7689</f>
        <v>351.76889999999997</v>
      </c>
    </row>
    <row r="736" spans="1:10" ht="15.75" x14ac:dyDescent="0.25">
      <c r="A736" s="13">
        <v>63705</v>
      </c>
      <c r="B736" s="10">
        <f>53.6269 * CHOOSE(CONTROL!$C$15, $E$9, 100%, $G$9) + CHOOSE(CONTROL!$C$38, 0.0278, 0)</f>
        <v>53.654699999999998</v>
      </c>
      <c r="C736" s="10">
        <f>49.4685 * CHOOSE(CONTROL!$C$15, $E$9, 100%, $G$9) + CHOOSE(CONTROL!$C$38, 0.0369, 0)</f>
        <v>49.505400000000002</v>
      </c>
      <c r="D736" s="10">
        <f>49.4607 * CHOOSE(CONTROL!$C$15, $E$9, 100%, $G$9) + CHOOSE(CONTROL!$C$38, 0.0369, 0)</f>
        <v>49.497600000000006</v>
      </c>
      <c r="E736" s="28">
        <f>53.4707 * CHOOSE(CONTROL!$C$15, $E$9, 100%, $G$9) + CHOOSE(CONTROL!$C$38, 0.0369, 0)</f>
        <v>53.507600000000004</v>
      </c>
      <c r="F736" s="27">
        <f>53.4707 * CHOOSE(CONTROL!$C$15, $E$9, 100%, $G$9) + CHOOSE(CONTROL!$C$38, 0.0278, 0)</f>
        <v>53.4985</v>
      </c>
      <c r="G736" s="10">
        <f>49.4669 * CHOOSE(CONTROL!$C$15, $E$9, 100%, $G$9) + CHOOSE(CONTROL!$C$38, 0.0369, 0)</f>
        <v>49.503800000000005</v>
      </c>
      <c r="H736" s="10">
        <f>49.4669 * CHOOSE(CONTROL!$C$15, $E$9, 100%, $G$9) + CHOOSE(CONTROL!$C$38, 0.0369, 0)</f>
        <v>49.503800000000005</v>
      </c>
      <c r="I736" s="10">
        <f>49.4685 * CHOOSE(CONTROL!$C$15, $E$9, 100%, $G$9) + CHOOSE(CONTROL!$C$38, 0.0369, 0)</f>
        <v>49.505400000000002</v>
      </c>
      <c r="J736" s="26">
        <f>363.5735</f>
        <v>363.57350000000002</v>
      </c>
    </row>
    <row r="737" spans="1:10" ht="15.75" x14ac:dyDescent="0.25">
      <c r="A737" s="13">
        <v>63735</v>
      </c>
      <c r="B737" s="10">
        <f>53.2651 * CHOOSE(CONTROL!$C$15, $E$9, 100%, $G$9) + CHOOSE(CONTROL!$C$38, 0.0278, 0)</f>
        <v>53.292899999999996</v>
      </c>
      <c r="C737" s="10">
        <f>49.1067 * CHOOSE(CONTROL!$C$15, $E$9, 100%, $G$9) + CHOOSE(CONTROL!$C$38, 0.0369, 0)</f>
        <v>49.143599999999999</v>
      </c>
      <c r="D737" s="10">
        <f>49.0988 * CHOOSE(CONTROL!$C$15, $E$9, 100%, $G$9) + CHOOSE(CONTROL!$C$38, 0.0369, 0)</f>
        <v>49.1357</v>
      </c>
      <c r="E737" s="28">
        <f>53.1088 * CHOOSE(CONTROL!$C$15, $E$9, 100%, $G$9) + CHOOSE(CONTROL!$C$38, 0.0369, 0)</f>
        <v>53.145700000000005</v>
      </c>
      <c r="F737" s="27">
        <f>53.1088 * CHOOSE(CONTROL!$C$15, $E$9, 100%, $G$9) + CHOOSE(CONTROL!$C$38, 0.0278, 0)</f>
        <v>53.136600000000001</v>
      </c>
      <c r="G737" s="10">
        <f>49.1051 * CHOOSE(CONTROL!$C$15, $E$9, 100%, $G$9) + CHOOSE(CONTROL!$C$38, 0.0369, 0)</f>
        <v>49.142000000000003</v>
      </c>
      <c r="H737" s="10">
        <f>49.1051 * CHOOSE(CONTROL!$C$15, $E$9, 100%, $G$9) + CHOOSE(CONTROL!$C$38, 0.0369, 0)</f>
        <v>49.142000000000003</v>
      </c>
      <c r="I737" s="10">
        <f>49.1067 * CHOOSE(CONTROL!$C$15, $E$9, 100%, $G$9) + CHOOSE(CONTROL!$C$38, 0.0369, 0)</f>
        <v>49.143599999999999</v>
      </c>
      <c r="J737" s="26">
        <f>368.8122</f>
        <v>368.81220000000002</v>
      </c>
    </row>
    <row r="738" spans="1:10" ht="15.75" x14ac:dyDescent="0.25">
      <c r="A738" s="13">
        <v>63766</v>
      </c>
      <c r="B738" s="10">
        <f>53.0586 * CHOOSE(CONTROL!$C$15, $E$9, 100%, $G$9) + CHOOSE(CONTROL!$C$38, 0.0278, 0)</f>
        <v>53.086399999999998</v>
      </c>
      <c r="C738" s="10">
        <f>48.9002 * CHOOSE(CONTROL!$C$15, $E$9, 100%, $G$9) + CHOOSE(CONTROL!$C$38, 0.0369, 0)</f>
        <v>48.937100000000001</v>
      </c>
      <c r="D738" s="10">
        <f>48.8924 * CHOOSE(CONTROL!$C$15, $E$9, 100%, $G$9) + CHOOSE(CONTROL!$C$38, 0.0369, 0)</f>
        <v>48.929300000000005</v>
      </c>
      <c r="E738" s="28">
        <f>52.9023 * CHOOSE(CONTROL!$C$15, $E$9, 100%, $G$9) + CHOOSE(CONTROL!$C$38, 0.0369, 0)</f>
        <v>52.9392</v>
      </c>
      <c r="F738" s="27">
        <f>52.9023 * CHOOSE(CONTROL!$C$15, $E$9, 100%, $G$9) + CHOOSE(CONTROL!$C$38, 0.0278, 0)</f>
        <v>52.930099999999996</v>
      </c>
      <c r="G738" s="10">
        <f>48.8986 * CHOOSE(CONTROL!$C$15, $E$9, 100%, $G$9) + CHOOSE(CONTROL!$C$38, 0.0369, 0)</f>
        <v>48.935500000000005</v>
      </c>
      <c r="H738" s="10">
        <f>48.8986 * CHOOSE(CONTROL!$C$15, $E$9, 100%, $G$9) + CHOOSE(CONTROL!$C$38, 0.0369, 0)</f>
        <v>48.935500000000005</v>
      </c>
      <c r="I738" s="10">
        <f>48.9002 * CHOOSE(CONTROL!$C$15, $E$9, 100%, $G$9) + CHOOSE(CONTROL!$C$38, 0.0369, 0)</f>
        <v>48.937100000000001</v>
      </c>
      <c r="J738" s="26">
        <f>367.0874</f>
        <v>367.0874</v>
      </c>
    </row>
    <row r="739" spans="1:10" ht="15.75" x14ac:dyDescent="0.25">
      <c r="A739" s="13">
        <v>63797</v>
      </c>
      <c r="B739" s="10">
        <f>53.1605 * CHOOSE(CONTROL!$C$15, $E$9, 100%, $G$9) + CHOOSE(CONTROL!$C$38, 0.0278, 0)</f>
        <v>53.188299999999998</v>
      </c>
      <c r="C739" s="10">
        <f>49.0021 * CHOOSE(CONTROL!$C$15, $E$9, 100%, $G$9) + CHOOSE(CONTROL!$C$38, 0.0369, 0)</f>
        <v>49.039000000000001</v>
      </c>
      <c r="D739" s="10">
        <f>48.9943 * CHOOSE(CONTROL!$C$15, $E$9, 100%, $G$9) + CHOOSE(CONTROL!$C$38, 0.0369, 0)</f>
        <v>49.031200000000005</v>
      </c>
      <c r="E739" s="28">
        <f>53.0042 * CHOOSE(CONTROL!$C$15, $E$9, 100%, $G$9) + CHOOSE(CONTROL!$C$38, 0.0369, 0)</f>
        <v>53.0411</v>
      </c>
      <c r="F739" s="27">
        <f>53.0042 * CHOOSE(CONTROL!$C$15, $E$9, 100%, $G$9) + CHOOSE(CONTROL!$C$38, 0.0278, 0)</f>
        <v>53.031999999999996</v>
      </c>
      <c r="G739" s="10">
        <f>49.0005 * CHOOSE(CONTROL!$C$15, $E$9, 100%, $G$9) + CHOOSE(CONTROL!$C$38, 0.0369, 0)</f>
        <v>49.037400000000005</v>
      </c>
      <c r="H739" s="10">
        <f>49.0005 * CHOOSE(CONTROL!$C$15, $E$9, 100%, $G$9) + CHOOSE(CONTROL!$C$38, 0.0369, 0)</f>
        <v>49.037400000000005</v>
      </c>
      <c r="I739" s="10">
        <f>49.0021 * CHOOSE(CONTROL!$C$15, $E$9, 100%, $G$9) + CHOOSE(CONTROL!$C$38, 0.0369, 0)</f>
        <v>49.039000000000001</v>
      </c>
      <c r="J739" s="26">
        <f>358.5418</f>
        <v>358.54180000000002</v>
      </c>
    </row>
    <row r="740" spans="1:10" ht="15.75" x14ac:dyDescent="0.25">
      <c r="A740" s="13">
        <v>63827</v>
      </c>
      <c r="B740" s="10">
        <f>53.4373 * CHOOSE(CONTROL!$C$15, $E$9, 100%, $G$9) + CHOOSE(CONTROL!$C$38, 0.0278, 0)</f>
        <v>53.4651</v>
      </c>
      <c r="C740" s="10">
        <f>49.2789 * CHOOSE(CONTROL!$C$15, $E$9, 100%, $G$9) + CHOOSE(CONTROL!$C$38, 0.0369, 0)</f>
        <v>49.315800000000003</v>
      </c>
      <c r="D740" s="10">
        <f>49.2711 * CHOOSE(CONTROL!$C$15, $E$9, 100%, $G$9) + CHOOSE(CONTROL!$C$38, 0.0369, 0)</f>
        <v>49.308</v>
      </c>
      <c r="E740" s="28">
        <f>53.281 * CHOOSE(CONTROL!$C$15, $E$9, 100%, $G$9) + CHOOSE(CONTROL!$C$38, 0.0369, 0)</f>
        <v>53.317900000000002</v>
      </c>
      <c r="F740" s="27">
        <f>53.281 * CHOOSE(CONTROL!$C$15, $E$9, 100%, $G$9) + CHOOSE(CONTROL!$C$38, 0.0278, 0)</f>
        <v>53.308799999999998</v>
      </c>
      <c r="G740" s="10">
        <f>49.2773 * CHOOSE(CONTROL!$C$15, $E$9, 100%, $G$9) + CHOOSE(CONTROL!$C$38, 0.0369, 0)</f>
        <v>49.3142</v>
      </c>
      <c r="H740" s="10">
        <f>49.2773 * CHOOSE(CONTROL!$C$15, $E$9, 100%, $G$9) + CHOOSE(CONTROL!$C$38, 0.0369, 0)</f>
        <v>49.3142</v>
      </c>
      <c r="I740" s="10">
        <f>49.2789 * CHOOSE(CONTROL!$C$15, $E$9, 100%, $G$9) + CHOOSE(CONTROL!$C$38, 0.0369, 0)</f>
        <v>49.315800000000003</v>
      </c>
      <c r="J740" s="26">
        <f>346.6245</f>
        <v>346.62450000000001</v>
      </c>
    </row>
    <row r="741" spans="1:10" ht="15.75" x14ac:dyDescent="0.25">
      <c r="A741" s="13">
        <v>63858</v>
      </c>
      <c r="B741" s="10">
        <f>53.6691 * CHOOSE(CONTROL!$C$15, $E$9, 100%, $G$9) + CHOOSE(CONTROL!$C$38, 0.0256, 0)</f>
        <v>53.694699999999997</v>
      </c>
      <c r="C741" s="10">
        <f>49.5107 * CHOOSE(CONTROL!$C$15, $E$9, 100%, $G$9) + CHOOSE(CONTROL!$C$38, 0.0347, 0)</f>
        <v>49.545400000000001</v>
      </c>
      <c r="D741" s="10">
        <f>49.5029 * CHOOSE(CONTROL!$C$15, $E$9, 100%, $G$9) + CHOOSE(CONTROL!$C$38, 0.0347, 0)</f>
        <v>49.537599999999998</v>
      </c>
      <c r="E741" s="28">
        <f>53.5129 * CHOOSE(CONTROL!$C$15, $E$9, 100%, $G$9) + CHOOSE(CONTROL!$C$38, 0.0347, 0)</f>
        <v>53.547600000000003</v>
      </c>
      <c r="F741" s="27">
        <f>53.5129 * CHOOSE(CONTROL!$C$15, $E$9, 100%, $G$9) + CHOOSE(CONTROL!$C$38, 0.0256, 0)</f>
        <v>53.538499999999999</v>
      </c>
      <c r="G741" s="10">
        <f>49.5091 * CHOOSE(CONTROL!$C$15, $E$9, 100%, $G$9) + CHOOSE(CONTROL!$C$38, 0.0347, 0)</f>
        <v>49.543799999999997</v>
      </c>
      <c r="H741" s="10">
        <f>49.5091 * CHOOSE(CONTROL!$C$15, $E$9, 100%, $G$9) + CHOOSE(CONTROL!$C$38, 0.0347, 0)</f>
        <v>49.543799999999997</v>
      </c>
      <c r="I741" s="10">
        <f>49.5107 * CHOOSE(CONTROL!$C$15, $E$9, 100%, $G$9) + CHOOSE(CONTROL!$C$38, 0.0347, 0)</f>
        <v>49.545400000000001</v>
      </c>
      <c r="J741" s="26">
        <f>334.6378</f>
        <v>334.63780000000003</v>
      </c>
    </row>
    <row r="742" spans="1:10" ht="15.75" x14ac:dyDescent="0.25">
      <c r="A742" s="13">
        <v>63888</v>
      </c>
      <c r="B742" s="10">
        <f>53.8626 * CHOOSE(CONTROL!$C$15, $E$9, 100%, $G$9) + CHOOSE(CONTROL!$C$38, 0.0256, 0)</f>
        <v>53.888199999999998</v>
      </c>
      <c r="C742" s="10">
        <f>49.7041 * CHOOSE(CONTROL!$C$15, $E$9, 100%, $G$9) + CHOOSE(CONTROL!$C$38, 0.0347, 0)</f>
        <v>49.738799999999998</v>
      </c>
      <c r="D742" s="10">
        <f>49.6963 * CHOOSE(CONTROL!$C$15, $E$9, 100%, $G$9) + CHOOSE(CONTROL!$C$38, 0.0347, 0)</f>
        <v>49.731000000000002</v>
      </c>
      <c r="E742" s="28">
        <f>53.7063 * CHOOSE(CONTROL!$C$15, $E$9, 100%, $G$9) + CHOOSE(CONTROL!$C$38, 0.0347, 0)</f>
        <v>53.741</v>
      </c>
      <c r="F742" s="27">
        <f>53.7063 * CHOOSE(CONTROL!$C$15, $E$9, 100%, $G$9) + CHOOSE(CONTROL!$C$38, 0.0256, 0)</f>
        <v>53.731899999999996</v>
      </c>
      <c r="G742" s="10">
        <f>49.7026 * CHOOSE(CONTROL!$C$15, $E$9, 100%, $G$9) + CHOOSE(CONTROL!$C$38, 0.0347, 0)</f>
        <v>49.737299999999998</v>
      </c>
      <c r="H742" s="10">
        <f>49.7026 * CHOOSE(CONTROL!$C$15, $E$9, 100%, $G$9) + CHOOSE(CONTROL!$C$38, 0.0347, 0)</f>
        <v>49.737299999999998</v>
      </c>
      <c r="I742" s="10">
        <f>49.7041 * CHOOSE(CONTROL!$C$15, $E$9, 100%, $G$9) + CHOOSE(CONTROL!$C$38, 0.0347, 0)</f>
        <v>49.738799999999998</v>
      </c>
      <c r="J742" s="26">
        <f>332.2535</f>
        <v>332.25349999999997</v>
      </c>
    </row>
    <row r="743" spans="1:10" ht="15.75" x14ac:dyDescent="0.25">
      <c r="A743" s="13">
        <v>63919</v>
      </c>
      <c r="B743" s="10">
        <f>54.4586 * CHOOSE(CONTROL!$C$15, $E$9, 100%, $G$9) + CHOOSE(CONTROL!$C$38, 0.0256, 0)</f>
        <v>54.484199999999994</v>
      </c>
      <c r="C743" s="10">
        <f>50.3002 * CHOOSE(CONTROL!$C$15, $E$9, 100%, $G$9) + CHOOSE(CONTROL!$C$38, 0.0347, 0)</f>
        <v>50.334899999999998</v>
      </c>
      <c r="D743" s="10">
        <f>50.2924 * CHOOSE(CONTROL!$C$15, $E$9, 100%, $G$9) + CHOOSE(CONTROL!$C$38, 0.0347, 0)</f>
        <v>50.327100000000002</v>
      </c>
      <c r="E743" s="28">
        <f>54.3024 * CHOOSE(CONTROL!$C$15, $E$9, 100%, $G$9) + CHOOSE(CONTROL!$C$38, 0.0347, 0)</f>
        <v>54.3371</v>
      </c>
      <c r="F743" s="27">
        <f>54.3024 * CHOOSE(CONTROL!$C$15, $E$9, 100%, $G$9) + CHOOSE(CONTROL!$C$38, 0.0256, 0)</f>
        <v>54.327999999999996</v>
      </c>
      <c r="G743" s="10">
        <f>50.2986 * CHOOSE(CONTROL!$C$15, $E$9, 100%, $G$9) + CHOOSE(CONTROL!$C$38, 0.0347, 0)</f>
        <v>50.333300000000001</v>
      </c>
      <c r="H743" s="10">
        <f>50.2986 * CHOOSE(CONTROL!$C$15, $E$9, 100%, $G$9) + CHOOSE(CONTROL!$C$38, 0.0347, 0)</f>
        <v>50.333300000000001</v>
      </c>
      <c r="I743" s="10">
        <f>50.3002 * CHOOSE(CONTROL!$C$15, $E$9, 100%, $G$9) + CHOOSE(CONTROL!$C$38, 0.0347, 0)</f>
        <v>50.334899999999998</v>
      </c>
      <c r="J743" s="26">
        <f>322.3938</f>
        <v>322.3938</v>
      </c>
    </row>
    <row r="744" spans="1:10" ht="15.75" x14ac:dyDescent="0.25">
      <c r="A744" s="13">
        <v>63950</v>
      </c>
      <c r="B744" s="10">
        <f>55.8708 * CHOOSE(CONTROL!$C$15, $E$9, 100%, $G$9) + CHOOSE(CONTROL!$C$38, 0.0256, 0)</f>
        <v>55.8964</v>
      </c>
      <c r="C744" s="10">
        <f>51.6416 * CHOOSE(CONTROL!$C$15, $E$9, 100%, $G$9) + CHOOSE(CONTROL!$C$38, 0.0347, 0)</f>
        <v>51.676299999999998</v>
      </c>
      <c r="D744" s="10">
        <f>51.6338 * CHOOSE(CONTROL!$C$15, $E$9, 100%, $G$9) + CHOOSE(CONTROL!$C$38, 0.0347, 0)</f>
        <v>51.668500000000002</v>
      </c>
      <c r="E744" s="28">
        <f>55.7145 * CHOOSE(CONTROL!$C$15, $E$9, 100%, $G$9) + CHOOSE(CONTROL!$C$38, 0.0347, 0)</f>
        <v>55.749200000000002</v>
      </c>
      <c r="F744" s="27">
        <f>55.7145 * CHOOSE(CONTROL!$C$15, $E$9, 100%, $G$9) + CHOOSE(CONTROL!$C$38, 0.0256, 0)</f>
        <v>55.740099999999998</v>
      </c>
      <c r="G744" s="10">
        <f>51.6401 * CHOOSE(CONTROL!$C$15, $E$9, 100%, $G$9) + CHOOSE(CONTROL!$C$38, 0.0347, 0)</f>
        <v>51.674799999999998</v>
      </c>
      <c r="H744" s="10">
        <f>51.6401 * CHOOSE(CONTROL!$C$15, $E$9, 100%, $G$9) + CHOOSE(CONTROL!$C$38, 0.0347, 0)</f>
        <v>51.674799999999998</v>
      </c>
      <c r="I744" s="10">
        <f>51.6416 * CHOOSE(CONTROL!$C$15, $E$9, 100%, $G$9) + CHOOSE(CONTROL!$C$38, 0.0347, 0)</f>
        <v>51.676299999999998</v>
      </c>
      <c r="J744" s="26">
        <f>320.2343</f>
        <v>320.23430000000002</v>
      </c>
    </row>
    <row r="745" spans="1:10" ht="15.75" x14ac:dyDescent="0.25">
      <c r="A745" s="13">
        <v>63978</v>
      </c>
      <c r="B745" s="10">
        <f>56.0915 * CHOOSE(CONTROL!$C$15, $E$9, 100%, $G$9) + CHOOSE(CONTROL!$C$38, 0.0256, 0)</f>
        <v>56.117100000000001</v>
      </c>
      <c r="C745" s="10">
        <f>51.8624 * CHOOSE(CONTROL!$C$15, $E$9, 100%, $G$9) + CHOOSE(CONTROL!$C$38, 0.0347, 0)</f>
        <v>51.897100000000002</v>
      </c>
      <c r="D745" s="10">
        <f>51.8546 * CHOOSE(CONTROL!$C$15, $E$9, 100%, $G$9) + CHOOSE(CONTROL!$C$38, 0.0347, 0)</f>
        <v>51.889299999999999</v>
      </c>
      <c r="E745" s="28">
        <f>55.9353 * CHOOSE(CONTROL!$C$15, $E$9, 100%, $G$9) + CHOOSE(CONTROL!$C$38, 0.0347, 0)</f>
        <v>55.97</v>
      </c>
      <c r="F745" s="27">
        <f>55.9353 * CHOOSE(CONTROL!$C$15, $E$9, 100%, $G$9) + CHOOSE(CONTROL!$C$38, 0.0256, 0)</f>
        <v>55.960899999999995</v>
      </c>
      <c r="G745" s="10">
        <f>51.8608 * CHOOSE(CONTROL!$C$15, $E$9, 100%, $G$9) + CHOOSE(CONTROL!$C$38, 0.0347, 0)</f>
        <v>51.895499999999998</v>
      </c>
      <c r="H745" s="10">
        <f>51.8608 * CHOOSE(CONTROL!$C$15, $E$9, 100%, $G$9) + CHOOSE(CONTROL!$C$38, 0.0347, 0)</f>
        <v>51.895499999999998</v>
      </c>
      <c r="I745" s="10">
        <f>51.8624 * CHOOSE(CONTROL!$C$15, $E$9, 100%, $G$9) + CHOOSE(CONTROL!$C$38, 0.0347, 0)</f>
        <v>51.897100000000002</v>
      </c>
      <c r="J745" s="26">
        <f>319.3441</f>
        <v>319.34410000000003</v>
      </c>
    </row>
    <row r="746" spans="1:10" ht="15.75" x14ac:dyDescent="0.25">
      <c r="A746" s="13">
        <v>64009</v>
      </c>
      <c r="B746" s="10">
        <f>55.5805 * CHOOSE(CONTROL!$C$15, $E$9, 100%, $G$9) + CHOOSE(CONTROL!$C$38, 0.0256, 0)</f>
        <v>55.606099999999998</v>
      </c>
      <c r="C746" s="10">
        <f>51.3514 * CHOOSE(CONTROL!$C$15, $E$9, 100%, $G$9) + CHOOSE(CONTROL!$C$38, 0.0347, 0)</f>
        <v>51.386099999999999</v>
      </c>
      <c r="D746" s="10">
        <f>51.3436 * CHOOSE(CONTROL!$C$15, $E$9, 100%, $G$9) + CHOOSE(CONTROL!$C$38, 0.0347, 0)</f>
        <v>51.378300000000003</v>
      </c>
      <c r="E746" s="28">
        <f>55.4242 * CHOOSE(CONTROL!$C$15, $E$9, 100%, $G$9) + CHOOSE(CONTROL!$C$38, 0.0347, 0)</f>
        <v>55.4589</v>
      </c>
      <c r="F746" s="27">
        <f>55.4242 * CHOOSE(CONTROL!$C$15, $E$9, 100%, $G$9) + CHOOSE(CONTROL!$C$38, 0.0256, 0)</f>
        <v>55.449799999999996</v>
      </c>
      <c r="G746" s="10">
        <f>51.3498 * CHOOSE(CONTROL!$C$15, $E$9, 100%, $G$9) + CHOOSE(CONTROL!$C$38, 0.0347, 0)</f>
        <v>51.384500000000003</v>
      </c>
      <c r="H746" s="10">
        <f>51.3498 * CHOOSE(CONTROL!$C$15, $E$9, 100%, $G$9) + CHOOSE(CONTROL!$C$38, 0.0347, 0)</f>
        <v>51.384500000000003</v>
      </c>
      <c r="I746" s="10">
        <f>51.3514 * CHOOSE(CONTROL!$C$15, $E$9, 100%, $G$9) + CHOOSE(CONTROL!$C$38, 0.0347, 0)</f>
        <v>51.386099999999999</v>
      </c>
      <c r="J746" s="26">
        <f>336.1754</f>
        <v>336.17540000000002</v>
      </c>
    </row>
    <row r="747" spans="1:10" ht="15.75" x14ac:dyDescent="0.25">
      <c r="A747" s="13">
        <v>64039</v>
      </c>
      <c r="B747" s="10">
        <f>55.0853 * CHOOSE(CONTROL!$C$15, $E$9, 100%, $G$9) + CHOOSE(CONTROL!$C$38, 0.0256, 0)</f>
        <v>55.110899999999994</v>
      </c>
      <c r="C747" s="10">
        <f>50.8562 * CHOOSE(CONTROL!$C$15, $E$9, 100%, $G$9) + CHOOSE(CONTROL!$C$38, 0.0347, 0)</f>
        <v>50.890900000000002</v>
      </c>
      <c r="D747" s="10">
        <f>50.8484 * CHOOSE(CONTROL!$C$15, $E$9, 100%, $G$9) + CHOOSE(CONTROL!$C$38, 0.0347, 0)</f>
        <v>50.883099999999999</v>
      </c>
      <c r="E747" s="28">
        <f>54.9291 * CHOOSE(CONTROL!$C$15, $E$9, 100%, $G$9) + CHOOSE(CONTROL!$C$38, 0.0347, 0)</f>
        <v>54.963799999999999</v>
      </c>
      <c r="F747" s="27">
        <f>54.9291 * CHOOSE(CONTROL!$C$15, $E$9, 100%, $G$9) + CHOOSE(CONTROL!$C$38, 0.0256, 0)</f>
        <v>54.954699999999995</v>
      </c>
      <c r="G747" s="10">
        <f>50.8546 * CHOOSE(CONTROL!$C$15, $E$9, 100%, $G$9) + CHOOSE(CONTROL!$C$38, 0.0347, 0)</f>
        <v>50.889299999999999</v>
      </c>
      <c r="H747" s="10">
        <f>50.8546 * CHOOSE(CONTROL!$C$15, $E$9, 100%, $G$9) + CHOOSE(CONTROL!$C$38, 0.0347, 0)</f>
        <v>50.889299999999999</v>
      </c>
      <c r="I747" s="10">
        <f>50.8562 * CHOOSE(CONTROL!$C$15, $E$9, 100%, $G$9) + CHOOSE(CONTROL!$C$38, 0.0347, 0)</f>
        <v>50.890900000000002</v>
      </c>
      <c r="J747" s="26">
        <f>358.0016</f>
        <v>358.0016</v>
      </c>
    </row>
    <row r="748" spans="1:10" ht="15.75" x14ac:dyDescent="0.25">
      <c r="A748" s="13">
        <v>64070</v>
      </c>
      <c r="B748" s="10">
        <f>54.5692 * CHOOSE(CONTROL!$C$15, $E$9, 100%, $G$9) + CHOOSE(CONTROL!$C$38, 0.0278, 0)</f>
        <v>54.597000000000001</v>
      </c>
      <c r="C748" s="10">
        <f>50.3401 * CHOOSE(CONTROL!$C$15, $E$9, 100%, $G$9) + CHOOSE(CONTROL!$C$38, 0.0369, 0)</f>
        <v>50.377000000000002</v>
      </c>
      <c r="D748" s="10">
        <f>50.3323 * CHOOSE(CONTROL!$C$15, $E$9, 100%, $G$9) + CHOOSE(CONTROL!$C$38, 0.0369, 0)</f>
        <v>50.369199999999999</v>
      </c>
      <c r="E748" s="28">
        <f>54.413 * CHOOSE(CONTROL!$C$15, $E$9, 100%, $G$9) + CHOOSE(CONTROL!$C$38, 0.0369, 0)</f>
        <v>54.4499</v>
      </c>
      <c r="F748" s="27">
        <f>54.413 * CHOOSE(CONTROL!$C$15, $E$9, 100%, $G$9) + CHOOSE(CONTROL!$C$38, 0.0278, 0)</f>
        <v>54.440799999999996</v>
      </c>
      <c r="G748" s="10">
        <f>50.3385 * CHOOSE(CONTROL!$C$15, $E$9, 100%, $G$9) + CHOOSE(CONTROL!$C$38, 0.0369, 0)</f>
        <v>50.375400000000006</v>
      </c>
      <c r="H748" s="10">
        <f>50.3385 * CHOOSE(CONTROL!$C$15, $E$9, 100%, $G$9) + CHOOSE(CONTROL!$C$38, 0.0369, 0)</f>
        <v>50.375400000000006</v>
      </c>
      <c r="I748" s="10">
        <f>50.3401 * CHOOSE(CONTROL!$C$15, $E$9, 100%, $G$9) + CHOOSE(CONTROL!$C$38, 0.0369, 0)</f>
        <v>50.377000000000002</v>
      </c>
      <c r="J748" s="26">
        <f>370.0154</f>
        <v>370.0154</v>
      </c>
    </row>
    <row r="749" spans="1:10" ht="15.75" x14ac:dyDescent="0.25">
      <c r="A749" s="13">
        <v>64100</v>
      </c>
      <c r="B749" s="10">
        <f>54.2074 * CHOOSE(CONTROL!$C$15, $E$9, 100%, $G$9) + CHOOSE(CONTROL!$C$38, 0.0278, 0)</f>
        <v>54.235199999999999</v>
      </c>
      <c r="C749" s="10">
        <f>49.9782 * CHOOSE(CONTROL!$C$15, $E$9, 100%, $G$9) + CHOOSE(CONTROL!$C$38, 0.0369, 0)</f>
        <v>50.015100000000004</v>
      </c>
      <c r="D749" s="10">
        <f>49.9704 * CHOOSE(CONTROL!$C$15, $E$9, 100%, $G$9) + CHOOSE(CONTROL!$C$38, 0.0369, 0)</f>
        <v>50.007300000000001</v>
      </c>
      <c r="E749" s="28">
        <f>54.0511 * CHOOSE(CONTROL!$C$15, $E$9, 100%, $G$9) + CHOOSE(CONTROL!$C$38, 0.0369, 0)</f>
        <v>54.088000000000001</v>
      </c>
      <c r="F749" s="27">
        <f>54.0511 * CHOOSE(CONTROL!$C$15, $E$9, 100%, $G$9) + CHOOSE(CONTROL!$C$38, 0.0278, 0)</f>
        <v>54.078899999999997</v>
      </c>
      <c r="G749" s="10">
        <f>49.9767 * CHOOSE(CONTROL!$C$15, $E$9, 100%, $G$9) + CHOOSE(CONTROL!$C$38, 0.0369, 0)</f>
        <v>50.013600000000004</v>
      </c>
      <c r="H749" s="10">
        <f>49.9767 * CHOOSE(CONTROL!$C$15, $E$9, 100%, $G$9) + CHOOSE(CONTROL!$C$38, 0.0369, 0)</f>
        <v>50.013600000000004</v>
      </c>
      <c r="I749" s="10">
        <f>49.9782 * CHOOSE(CONTROL!$C$15, $E$9, 100%, $G$9) + CHOOSE(CONTROL!$C$38, 0.0369, 0)</f>
        <v>50.015100000000004</v>
      </c>
      <c r="J749" s="26">
        <f>375.3469</f>
        <v>375.34690000000001</v>
      </c>
    </row>
    <row r="750" spans="1:10" ht="15.75" x14ac:dyDescent="0.25">
      <c r="A750" s="13">
        <v>64131</v>
      </c>
      <c r="B750" s="10">
        <f>54.0009 * CHOOSE(CONTROL!$C$15, $E$9, 100%, $G$9) + CHOOSE(CONTROL!$C$38, 0.0278, 0)</f>
        <v>54.028700000000001</v>
      </c>
      <c r="C750" s="10">
        <f>49.7718 * CHOOSE(CONTROL!$C$15, $E$9, 100%, $G$9) + CHOOSE(CONTROL!$C$38, 0.0369, 0)</f>
        <v>49.808700000000002</v>
      </c>
      <c r="D750" s="10">
        <f>49.7639 * CHOOSE(CONTROL!$C$15, $E$9, 100%, $G$9) + CHOOSE(CONTROL!$C$38, 0.0369, 0)</f>
        <v>49.800800000000002</v>
      </c>
      <c r="E750" s="28">
        <f>53.8446 * CHOOSE(CONTROL!$C$15, $E$9, 100%, $G$9) + CHOOSE(CONTROL!$C$38, 0.0369, 0)</f>
        <v>53.881500000000003</v>
      </c>
      <c r="F750" s="27">
        <f>53.8446 * CHOOSE(CONTROL!$C$15, $E$9, 100%, $G$9) + CHOOSE(CONTROL!$C$38, 0.0278, 0)</f>
        <v>53.872399999999999</v>
      </c>
      <c r="G750" s="10">
        <f>49.7702 * CHOOSE(CONTROL!$C$15, $E$9, 100%, $G$9) + CHOOSE(CONTROL!$C$38, 0.0369, 0)</f>
        <v>49.807100000000005</v>
      </c>
      <c r="H750" s="10">
        <f>49.7702 * CHOOSE(CONTROL!$C$15, $E$9, 100%, $G$9) + CHOOSE(CONTROL!$C$38, 0.0369, 0)</f>
        <v>49.807100000000005</v>
      </c>
      <c r="I750" s="10">
        <f>49.7718 * CHOOSE(CONTROL!$C$15, $E$9, 100%, $G$9) + CHOOSE(CONTROL!$C$38, 0.0369, 0)</f>
        <v>49.808700000000002</v>
      </c>
      <c r="J750" s="26">
        <f>373.5915</f>
        <v>373.5915</v>
      </c>
    </row>
    <row r="751" spans="1:10" ht="15.75" x14ac:dyDescent="0.25">
      <c r="A751" s="13">
        <v>64162</v>
      </c>
      <c r="B751" s="10">
        <f>54.1028 * CHOOSE(CONTROL!$C$15, $E$9, 100%, $G$9) + CHOOSE(CONTROL!$C$38, 0.0278, 0)</f>
        <v>54.130600000000001</v>
      </c>
      <c r="C751" s="10">
        <f>49.8737 * CHOOSE(CONTROL!$C$15, $E$9, 100%, $G$9) + CHOOSE(CONTROL!$C$38, 0.0369, 0)</f>
        <v>49.910600000000002</v>
      </c>
      <c r="D751" s="10">
        <f>49.8658 * CHOOSE(CONTROL!$C$15, $E$9, 100%, $G$9) + CHOOSE(CONTROL!$C$38, 0.0369, 0)</f>
        <v>49.902700000000003</v>
      </c>
      <c r="E751" s="28">
        <f>53.9465 * CHOOSE(CONTROL!$C$15, $E$9, 100%, $G$9) + CHOOSE(CONTROL!$C$38, 0.0369, 0)</f>
        <v>53.983400000000003</v>
      </c>
      <c r="F751" s="27">
        <f>53.9465 * CHOOSE(CONTROL!$C$15, $E$9, 100%, $G$9) + CHOOSE(CONTROL!$C$38, 0.0278, 0)</f>
        <v>53.974299999999999</v>
      </c>
      <c r="G751" s="10">
        <f>49.8721 * CHOOSE(CONTROL!$C$15, $E$9, 100%, $G$9) + CHOOSE(CONTROL!$C$38, 0.0369, 0)</f>
        <v>49.909000000000006</v>
      </c>
      <c r="H751" s="10">
        <f>49.8721 * CHOOSE(CONTROL!$C$15, $E$9, 100%, $G$9) + CHOOSE(CONTROL!$C$38, 0.0369, 0)</f>
        <v>49.909000000000006</v>
      </c>
      <c r="I751" s="10">
        <f>49.8737 * CHOOSE(CONTROL!$C$15, $E$9, 100%, $G$9) + CHOOSE(CONTROL!$C$38, 0.0369, 0)</f>
        <v>49.910600000000002</v>
      </c>
      <c r="J751" s="26">
        <f>364.8945</f>
        <v>364.89449999999999</v>
      </c>
    </row>
    <row r="752" spans="1:10" ht="15.75" x14ac:dyDescent="0.25">
      <c r="A752" s="13">
        <v>64192</v>
      </c>
      <c r="B752" s="10">
        <f>54.3796 * CHOOSE(CONTROL!$C$15, $E$9, 100%, $G$9) + CHOOSE(CONTROL!$C$38, 0.0278, 0)</f>
        <v>54.407400000000003</v>
      </c>
      <c r="C752" s="10">
        <f>50.1505 * CHOOSE(CONTROL!$C$15, $E$9, 100%, $G$9) + CHOOSE(CONTROL!$C$38, 0.0369, 0)</f>
        <v>50.187400000000004</v>
      </c>
      <c r="D752" s="10">
        <f>50.1426 * CHOOSE(CONTROL!$C$15, $E$9, 100%, $G$9) + CHOOSE(CONTROL!$C$38, 0.0369, 0)</f>
        <v>50.179500000000004</v>
      </c>
      <c r="E752" s="28">
        <f>54.2233 * CHOOSE(CONTROL!$C$15, $E$9, 100%, $G$9) + CHOOSE(CONTROL!$C$38, 0.0369, 0)</f>
        <v>54.260200000000005</v>
      </c>
      <c r="F752" s="27">
        <f>54.2233 * CHOOSE(CONTROL!$C$15, $E$9, 100%, $G$9) + CHOOSE(CONTROL!$C$38, 0.0278, 0)</f>
        <v>54.251100000000001</v>
      </c>
      <c r="G752" s="10">
        <f>50.1489 * CHOOSE(CONTROL!$C$15, $E$9, 100%, $G$9) + CHOOSE(CONTROL!$C$38, 0.0369, 0)</f>
        <v>50.1858</v>
      </c>
      <c r="H752" s="10">
        <f>50.1489 * CHOOSE(CONTROL!$C$15, $E$9, 100%, $G$9) + CHOOSE(CONTROL!$C$38, 0.0369, 0)</f>
        <v>50.1858</v>
      </c>
      <c r="I752" s="10">
        <f>50.1505 * CHOOSE(CONTROL!$C$15, $E$9, 100%, $G$9) + CHOOSE(CONTROL!$C$38, 0.0369, 0)</f>
        <v>50.187400000000004</v>
      </c>
      <c r="J752" s="26">
        <f>352.766</f>
        <v>352.76600000000002</v>
      </c>
    </row>
    <row r="753" spans="1:10" ht="15.75" x14ac:dyDescent="0.25">
      <c r="A753" s="13">
        <v>64223</v>
      </c>
      <c r="B753" s="10">
        <f>54.6114 * CHOOSE(CONTROL!$C$15, $E$9, 100%, $G$9) + CHOOSE(CONTROL!$C$38, 0.0256, 0)</f>
        <v>54.637</v>
      </c>
      <c r="C753" s="10">
        <f>50.3823 * CHOOSE(CONTROL!$C$15, $E$9, 100%, $G$9) + CHOOSE(CONTROL!$C$38, 0.0347, 0)</f>
        <v>50.417000000000002</v>
      </c>
      <c r="D753" s="10">
        <f>50.3745 * CHOOSE(CONTROL!$C$15, $E$9, 100%, $G$9) + CHOOSE(CONTROL!$C$38, 0.0347, 0)</f>
        <v>50.409199999999998</v>
      </c>
      <c r="E753" s="28">
        <f>54.4552 * CHOOSE(CONTROL!$C$15, $E$9, 100%, $G$9) + CHOOSE(CONTROL!$C$38, 0.0347, 0)</f>
        <v>54.489899999999999</v>
      </c>
      <c r="F753" s="27">
        <f>54.4552 * CHOOSE(CONTROL!$C$15, $E$9, 100%, $G$9) + CHOOSE(CONTROL!$C$38, 0.0256, 0)</f>
        <v>54.480799999999995</v>
      </c>
      <c r="G753" s="10">
        <f>50.3807 * CHOOSE(CONTROL!$C$15, $E$9, 100%, $G$9) + CHOOSE(CONTROL!$C$38, 0.0347, 0)</f>
        <v>50.415399999999998</v>
      </c>
      <c r="H753" s="10">
        <f>50.3807 * CHOOSE(CONTROL!$C$15, $E$9, 100%, $G$9) + CHOOSE(CONTROL!$C$38, 0.0347, 0)</f>
        <v>50.415399999999998</v>
      </c>
      <c r="I753" s="10">
        <f>50.3823 * CHOOSE(CONTROL!$C$15, $E$9, 100%, $G$9) + CHOOSE(CONTROL!$C$38, 0.0347, 0)</f>
        <v>50.417000000000002</v>
      </c>
      <c r="J753" s="26">
        <f>340.567</f>
        <v>340.56700000000001</v>
      </c>
    </row>
    <row r="754" spans="1:10" ht="15.75" x14ac:dyDescent="0.25">
      <c r="A754" s="13">
        <v>64253</v>
      </c>
      <c r="B754" s="10">
        <f>54.8049 * CHOOSE(CONTROL!$C$15, $E$9, 100%, $G$9) + CHOOSE(CONTROL!$C$38, 0.0256, 0)</f>
        <v>54.830500000000001</v>
      </c>
      <c r="C754" s="10">
        <f>50.5757 * CHOOSE(CONTROL!$C$15, $E$9, 100%, $G$9) + CHOOSE(CONTROL!$C$38, 0.0347, 0)</f>
        <v>50.610399999999998</v>
      </c>
      <c r="D754" s="10">
        <f>50.5679 * CHOOSE(CONTROL!$C$15, $E$9, 100%, $G$9) + CHOOSE(CONTROL!$C$38, 0.0347, 0)</f>
        <v>50.602600000000002</v>
      </c>
      <c r="E754" s="28">
        <f>54.6486 * CHOOSE(CONTROL!$C$15, $E$9, 100%, $G$9) + CHOOSE(CONTROL!$C$38, 0.0347, 0)</f>
        <v>54.683300000000003</v>
      </c>
      <c r="F754" s="27">
        <f>54.6486 * CHOOSE(CONTROL!$C$15, $E$9, 100%, $G$9) + CHOOSE(CONTROL!$C$38, 0.0256, 0)</f>
        <v>54.674199999999999</v>
      </c>
      <c r="G754" s="10">
        <f>50.5742 * CHOOSE(CONTROL!$C$15, $E$9, 100%, $G$9) + CHOOSE(CONTROL!$C$38, 0.0347, 0)</f>
        <v>50.608899999999998</v>
      </c>
      <c r="H754" s="10">
        <f>50.5742 * CHOOSE(CONTROL!$C$15, $E$9, 100%, $G$9) + CHOOSE(CONTROL!$C$38, 0.0347, 0)</f>
        <v>50.608899999999998</v>
      </c>
      <c r="I754" s="10">
        <f>50.5757 * CHOOSE(CONTROL!$C$15, $E$9, 100%, $G$9) + CHOOSE(CONTROL!$C$38, 0.0347, 0)</f>
        <v>50.610399999999998</v>
      </c>
      <c r="J754" s="26">
        <f>338.1404</f>
        <v>338.1404</v>
      </c>
    </row>
    <row r="755" spans="1:10" ht="15.75" x14ac:dyDescent="0.25">
      <c r="A755" s="13">
        <v>64284</v>
      </c>
      <c r="B755" s="10">
        <f>55.4009 * CHOOSE(CONTROL!$C$15, $E$9, 100%, $G$9) + CHOOSE(CONTROL!$C$38, 0.0256, 0)</f>
        <v>55.426499999999997</v>
      </c>
      <c r="C755" s="10">
        <f>51.1718 * CHOOSE(CONTROL!$C$15, $E$9, 100%, $G$9) + CHOOSE(CONTROL!$C$38, 0.0347, 0)</f>
        <v>51.206499999999998</v>
      </c>
      <c r="D755" s="10">
        <f>51.164 * CHOOSE(CONTROL!$C$15, $E$9, 100%, $G$9) + CHOOSE(CONTROL!$C$38, 0.0347, 0)</f>
        <v>51.198700000000002</v>
      </c>
      <c r="E755" s="28">
        <f>55.2447 * CHOOSE(CONTROL!$C$15, $E$9, 100%, $G$9) + CHOOSE(CONTROL!$C$38, 0.0347, 0)</f>
        <v>55.279400000000003</v>
      </c>
      <c r="F755" s="27">
        <f>55.2447 * CHOOSE(CONTROL!$C$15, $E$9, 100%, $G$9) + CHOOSE(CONTROL!$C$38, 0.0256, 0)</f>
        <v>55.270299999999999</v>
      </c>
      <c r="G755" s="10">
        <f>51.1702 * CHOOSE(CONTROL!$C$15, $E$9, 100%, $G$9) + CHOOSE(CONTROL!$C$38, 0.0347, 0)</f>
        <v>51.204900000000002</v>
      </c>
      <c r="H755" s="10">
        <f>51.1702 * CHOOSE(CONTROL!$C$15, $E$9, 100%, $G$9) + CHOOSE(CONTROL!$C$38, 0.0347, 0)</f>
        <v>51.204900000000002</v>
      </c>
      <c r="I755" s="10">
        <f>51.1718 * CHOOSE(CONTROL!$C$15, $E$9, 100%, $G$9) + CHOOSE(CONTROL!$C$38, 0.0347, 0)</f>
        <v>51.206499999999998</v>
      </c>
      <c r="J755" s="26">
        <f>328.106</f>
        <v>328.10599999999999</v>
      </c>
    </row>
    <row r="756" spans="1:10" ht="15.75" x14ac:dyDescent="0.25">
      <c r="A756" s="13">
        <v>64315</v>
      </c>
      <c r="B756" s="10">
        <f>56.8297 * CHOOSE(CONTROL!$C$15, $E$9, 100%, $G$9) + CHOOSE(CONTROL!$C$38, 0.0256, 0)</f>
        <v>56.8553</v>
      </c>
      <c r="C756" s="10">
        <f>52.5286 * CHOOSE(CONTROL!$C$15, $E$9, 100%, $G$9) + CHOOSE(CONTROL!$C$38, 0.0347, 0)</f>
        <v>52.563299999999998</v>
      </c>
      <c r="D756" s="10">
        <f>52.5208 * CHOOSE(CONTROL!$C$15, $E$9, 100%, $G$9) + CHOOSE(CONTROL!$C$38, 0.0347, 0)</f>
        <v>52.555500000000002</v>
      </c>
      <c r="E756" s="28">
        <f>56.6735 * CHOOSE(CONTROL!$C$15, $E$9, 100%, $G$9) + CHOOSE(CONTROL!$C$38, 0.0347, 0)</f>
        <v>56.708199999999998</v>
      </c>
      <c r="F756" s="27">
        <f>56.6735 * CHOOSE(CONTROL!$C$15, $E$9, 100%, $G$9) + CHOOSE(CONTROL!$C$38, 0.0256, 0)</f>
        <v>56.699099999999994</v>
      </c>
      <c r="G756" s="10">
        <f>52.5271 * CHOOSE(CONTROL!$C$15, $E$9, 100%, $G$9) + CHOOSE(CONTROL!$C$38, 0.0347, 0)</f>
        <v>52.561799999999998</v>
      </c>
      <c r="H756" s="10">
        <f>52.5271 * CHOOSE(CONTROL!$C$15, $E$9, 100%, $G$9) + CHOOSE(CONTROL!$C$38, 0.0347, 0)</f>
        <v>52.561799999999998</v>
      </c>
      <c r="I756" s="10">
        <f>52.5286 * CHOOSE(CONTROL!$C$15, $E$9, 100%, $G$9) + CHOOSE(CONTROL!$C$38, 0.0347, 0)</f>
        <v>52.563299999999998</v>
      </c>
      <c r="J756" s="26">
        <f>325.9082</f>
        <v>325.90820000000002</v>
      </c>
    </row>
    <row r="757" spans="1:10" ht="15.75" x14ac:dyDescent="0.25">
      <c r="A757" s="13">
        <v>64344</v>
      </c>
      <c r="B757" s="10">
        <f>57.0505 * CHOOSE(CONTROL!$C$15, $E$9, 100%, $G$9) + CHOOSE(CONTROL!$C$38, 0.0256, 0)</f>
        <v>57.076099999999997</v>
      </c>
      <c r="C757" s="10">
        <f>52.7494 * CHOOSE(CONTROL!$C$15, $E$9, 100%, $G$9) + CHOOSE(CONTROL!$C$38, 0.0347, 0)</f>
        <v>52.784100000000002</v>
      </c>
      <c r="D757" s="10">
        <f>52.7416 * CHOOSE(CONTROL!$C$15, $E$9, 100%, $G$9) + CHOOSE(CONTROL!$C$38, 0.0347, 0)</f>
        <v>52.776299999999999</v>
      </c>
      <c r="E757" s="28">
        <f>56.8942 * CHOOSE(CONTROL!$C$15, $E$9, 100%, $G$9) + CHOOSE(CONTROL!$C$38, 0.0347, 0)</f>
        <v>56.928899999999999</v>
      </c>
      <c r="F757" s="27">
        <f>56.8942 * CHOOSE(CONTROL!$C$15, $E$9, 100%, $G$9) + CHOOSE(CONTROL!$C$38, 0.0256, 0)</f>
        <v>56.919799999999995</v>
      </c>
      <c r="G757" s="10">
        <f>52.7478 * CHOOSE(CONTROL!$C$15, $E$9, 100%, $G$9) + CHOOSE(CONTROL!$C$38, 0.0347, 0)</f>
        <v>52.782499999999999</v>
      </c>
      <c r="H757" s="10">
        <f>52.7478 * CHOOSE(CONTROL!$C$15, $E$9, 100%, $G$9) + CHOOSE(CONTROL!$C$38, 0.0347, 0)</f>
        <v>52.782499999999999</v>
      </c>
      <c r="I757" s="10">
        <f>52.7494 * CHOOSE(CONTROL!$C$15, $E$9, 100%, $G$9) + CHOOSE(CONTROL!$C$38, 0.0347, 0)</f>
        <v>52.784100000000002</v>
      </c>
      <c r="J757" s="26">
        <f>325.0023</f>
        <v>325.00229999999999</v>
      </c>
    </row>
    <row r="758" spans="1:10" ht="15.75" x14ac:dyDescent="0.25">
      <c r="A758" s="13">
        <v>64375</v>
      </c>
      <c r="B758" s="10">
        <f>56.5394 * CHOOSE(CONTROL!$C$15, $E$9, 100%, $G$9) + CHOOSE(CONTROL!$C$38, 0.0256, 0)</f>
        <v>56.564999999999998</v>
      </c>
      <c r="C758" s="10">
        <f>52.2384 * CHOOSE(CONTROL!$C$15, $E$9, 100%, $G$9) + CHOOSE(CONTROL!$C$38, 0.0347, 0)</f>
        <v>52.273099999999999</v>
      </c>
      <c r="D758" s="10">
        <f>52.2305 * CHOOSE(CONTROL!$C$15, $E$9, 100%, $G$9) + CHOOSE(CONTROL!$C$38, 0.0347, 0)</f>
        <v>52.2652</v>
      </c>
      <c r="E758" s="28">
        <f>56.3832 * CHOOSE(CONTROL!$C$15, $E$9, 100%, $G$9) + CHOOSE(CONTROL!$C$38, 0.0347, 0)</f>
        <v>56.417900000000003</v>
      </c>
      <c r="F758" s="27">
        <f>56.3832 * CHOOSE(CONTROL!$C$15, $E$9, 100%, $G$9) + CHOOSE(CONTROL!$C$38, 0.0256, 0)</f>
        <v>56.408799999999999</v>
      </c>
      <c r="G758" s="10">
        <f>52.2368 * CHOOSE(CONTROL!$C$15, $E$9, 100%, $G$9) + CHOOSE(CONTROL!$C$38, 0.0347, 0)</f>
        <v>52.271500000000003</v>
      </c>
      <c r="H758" s="10">
        <f>52.2368 * CHOOSE(CONTROL!$C$15, $E$9, 100%, $G$9) + CHOOSE(CONTROL!$C$38, 0.0347, 0)</f>
        <v>52.271500000000003</v>
      </c>
      <c r="I758" s="10">
        <f>52.2384 * CHOOSE(CONTROL!$C$15, $E$9, 100%, $G$9) + CHOOSE(CONTROL!$C$38, 0.0347, 0)</f>
        <v>52.273099999999999</v>
      </c>
      <c r="J758" s="26">
        <f>342.1318</f>
        <v>342.1318</v>
      </c>
    </row>
    <row r="759" spans="1:10" ht="15.75" x14ac:dyDescent="0.25">
      <c r="A759" s="13">
        <v>64405</v>
      </c>
      <c r="B759" s="10">
        <f>56.0443 * CHOOSE(CONTROL!$C$15, $E$9, 100%, $G$9) + CHOOSE(CONTROL!$C$38, 0.0256, 0)</f>
        <v>56.069899999999997</v>
      </c>
      <c r="C759" s="10">
        <f>51.7432 * CHOOSE(CONTROL!$C$15, $E$9, 100%, $G$9) + CHOOSE(CONTROL!$C$38, 0.0347, 0)</f>
        <v>51.777900000000002</v>
      </c>
      <c r="D759" s="10">
        <f>51.7354 * CHOOSE(CONTROL!$C$15, $E$9, 100%, $G$9) + CHOOSE(CONTROL!$C$38, 0.0347, 0)</f>
        <v>51.770099999999999</v>
      </c>
      <c r="E759" s="28">
        <f>55.888 * CHOOSE(CONTROL!$C$15, $E$9, 100%, $G$9) + CHOOSE(CONTROL!$C$38, 0.0347, 0)</f>
        <v>55.922699999999999</v>
      </c>
      <c r="F759" s="27">
        <f>55.888 * CHOOSE(CONTROL!$C$15, $E$9, 100%, $G$9) + CHOOSE(CONTROL!$C$38, 0.0256, 0)</f>
        <v>55.913599999999995</v>
      </c>
      <c r="G759" s="10">
        <f>51.7416 * CHOOSE(CONTROL!$C$15, $E$9, 100%, $G$9) + CHOOSE(CONTROL!$C$38, 0.0347, 0)</f>
        <v>51.776299999999999</v>
      </c>
      <c r="H759" s="10">
        <f>51.7416 * CHOOSE(CONTROL!$C$15, $E$9, 100%, $G$9) + CHOOSE(CONTROL!$C$38, 0.0347, 0)</f>
        <v>51.776299999999999</v>
      </c>
      <c r="I759" s="10">
        <f>51.7432 * CHOOSE(CONTROL!$C$15, $E$9, 100%, $G$9) + CHOOSE(CONTROL!$C$38, 0.0347, 0)</f>
        <v>51.777900000000002</v>
      </c>
      <c r="J759" s="26">
        <f>364.3447</f>
        <v>364.34469999999999</v>
      </c>
    </row>
    <row r="760" spans="1:10" ht="15.75" x14ac:dyDescent="0.25">
      <c r="A760" s="13">
        <v>64436</v>
      </c>
      <c r="B760" s="10">
        <f>55.5281 * CHOOSE(CONTROL!$C$15, $E$9, 100%, $G$9) + CHOOSE(CONTROL!$C$38, 0.0278, 0)</f>
        <v>55.555900000000001</v>
      </c>
      <c r="C760" s="10">
        <f>51.2271 * CHOOSE(CONTROL!$C$15, $E$9, 100%, $G$9) + CHOOSE(CONTROL!$C$38, 0.0369, 0)</f>
        <v>51.264000000000003</v>
      </c>
      <c r="D760" s="10">
        <f>51.2192 * CHOOSE(CONTROL!$C$15, $E$9, 100%, $G$9) + CHOOSE(CONTROL!$C$38, 0.0369, 0)</f>
        <v>51.256100000000004</v>
      </c>
      <c r="E760" s="28">
        <f>55.3719 * CHOOSE(CONTROL!$C$15, $E$9, 100%, $G$9) + CHOOSE(CONTROL!$C$38, 0.0369, 0)</f>
        <v>55.408799999999999</v>
      </c>
      <c r="F760" s="27">
        <f>55.3719 * CHOOSE(CONTROL!$C$15, $E$9, 100%, $G$9) + CHOOSE(CONTROL!$C$38, 0.0278, 0)</f>
        <v>55.399699999999996</v>
      </c>
      <c r="G760" s="10">
        <f>51.2255 * CHOOSE(CONTROL!$C$15, $E$9, 100%, $G$9) + CHOOSE(CONTROL!$C$38, 0.0369, 0)</f>
        <v>51.2624</v>
      </c>
      <c r="H760" s="10">
        <f>51.2255 * CHOOSE(CONTROL!$C$15, $E$9, 100%, $G$9) + CHOOSE(CONTROL!$C$38, 0.0369, 0)</f>
        <v>51.2624</v>
      </c>
      <c r="I760" s="10">
        <f>51.2271 * CHOOSE(CONTROL!$C$15, $E$9, 100%, $G$9) + CHOOSE(CONTROL!$C$38, 0.0369, 0)</f>
        <v>51.264000000000003</v>
      </c>
      <c r="J760" s="26">
        <f>376.5714</f>
        <v>376.57139999999998</v>
      </c>
    </row>
    <row r="761" spans="1:10" ht="15.75" x14ac:dyDescent="0.25">
      <c r="A761" s="13">
        <v>64466</v>
      </c>
      <c r="B761" s="10">
        <f>55.1663 * CHOOSE(CONTROL!$C$15, $E$9, 100%, $G$9) + CHOOSE(CONTROL!$C$38, 0.0278, 0)</f>
        <v>55.194099999999999</v>
      </c>
      <c r="C761" s="10">
        <f>50.8652 * CHOOSE(CONTROL!$C$15, $E$9, 100%, $G$9) + CHOOSE(CONTROL!$C$38, 0.0369, 0)</f>
        <v>50.902100000000004</v>
      </c>
      <c r="D761" s="10">
        <f>50.8574 * CHOOSE(CONTROL!$C$15, $E$9, 100%, $G$9) + CHOOSE(CONTROL!$C$38, 0.0369, 0)</f>
        <v>50.894300000000001</v>
      </c>
      <c r="E761" s="28">
        <f>55.0101 * CHOOSE(CONTROL!$C$15, $E$9, 100%, $G$9) + CHOOSE(CONTROL!$C$38, 0.0369, 0)</f>
        <v>55.047000000000004</v>
      </c>
      <c r="F761" s="27">
        <f>55.0101 * CHOOSE(CONTROL!$C$15, $E$9, 100%, $G$9) + CHOOSE(CONTROL!$C$38, 0.0278, 0)</f>
        <v>55.0379</v>
      </c>
      <c r="G761" s="10">
        <f>50.8637 * CHOOSE(CONTROL!$C$15, $E$9, 100%, $G$9) + CHOOSE(CONTROL!$C$38, 0.0369, 0)</f>
        <v>50.900600000000004</v>
      </c>
      <c r="H761" s="10">
        <f>50.8637 * CHOOSE(CONTROL!$C$15, $E$9, 100%, $G$9) + CHOOSE(CONTROL!$C$38, 0.0369, 0)</f>
        <v>50.900600000000004</v>
      </c>
      <c r="I761" s="10">
        <f>50.8652 * CHOOSE(CONTROL!$C$15, $E$9, 100%, $G$9) + CHOOSE(CONTROL!$C$38, 0.0369, 0)</f>
        <v>50.902100000000004</v>
      </c>
      <c r="J761" s="26">
        <f>381.9973</f>
        <v>381.9973</v>
      </c>
    </row>
    <row r="762" spans="1:10" ht="15.75" x14ac:dyDescent="0.25">
      <c r="A762" s="13">
        <v>64497</v>
      </c>
      <c r="B762" s="10">
        <f>54.9598 * CHOOSE(CONTROL!$C$15, $E$9, 100%, $G$9) + CHOOSE(CONTROL!$C$38, 0.0278, 0)</f>
        <v>54.9876</v>
      </c>
      <c r="C762" s="10">
        <f>50.6587 * CHOOSE(CONTROL!$C$15, $E$9, 100%, $G$9) + CHOOSE(CONTROL!$C$38, 0.0369, 0)</f>
        <v>50.695600000000006</v>
      </c>
      <c r="D762" s="10">
        <f>50.6509 * CHOOSE(CONTROL!$C$15, $E$9, 100%, $G$9) + CHOOSE(CONTROL!$C$38, 0.0369, 0)</f>
        <v>50.687800000000003</v>
      </c>
      <c r="E762" s="28">
        <f>54.8036 * CHOOSE(CONTROL!$C$15, $E$9, 100%, $G$9) + CHOOSE(CONTROL!$C$38, 0.0369, 0)</f>
        <v>54.840500000000006</v>
      </c>
      <c r="F762" s="27">
        <f>54.8036 * CHOOSE(CONTROL!$C$15, $E$9, 100%, $G$9) + CHOOSE(CONTROL!$C$38, 0.0278, 0)</f>
        <v>54.831400000000002</v>
      </c>
      <c r="G762" s="10">
        <f>50.6572 * CHOOSE(CONTROL!$C$15, $E$9, 100%, $G$9) + CHOOSE(CONTROL!$C$38, 0.0369, 0)</f>
        <v>50.694100000000006</v>
      </c>
      <c r="H762" s="10">
        <f>50.6572 * CHOOSE(CONTROL!$C$15, $E$9, 100%, $G$9) + CHOOSE(CONTROL!$C$38, 0.0369, 0)</f>
        <v>50.694100000000006</v>
      </c>
      <c r="I762" s="10">
        <f>50.6587 * CHOOSE(CONTROL!$C$15, $E$9, 100%, $G$9) + CHOOSE(CONTROL!$C$38, 0.0369, 0)</f>
        <v>50.695600000000006</v>
      </c>
      <c r="J762" s="26">
        <f>380.2109</f>
        <v>380.21089999999998</v>
      </c>
    </row>
    <row r="763" spans="1:10" ht="15.75" x14ac:dyDescent="0.25">
      <c r="A763" s="13">
        <v>64528</v>
      </c>
      <c r="B763" s="10">
        <f>55.0617 * CHOOSE(CONTROL!$C$15, $E$9, 100%, $G$9) + CHOOSE(CONTROL!$C$38, 0.0278, 0)</f>
        <v>55.089500000000001</v>
      </c>
      <c r="C763" s="10">
        <f>50.7606 * CHOOSE(CONTROL!$C$15, $E$9, 100%, $G$9) + CHOOSE(CONTROL!$C$38, 0.0369, 0)</f>
        <v>50.797499999999999</v>
      </c>
      <c r="D763" s="10">
        <f>50.7528 * CHOOSE(CONTROL!$C$15, $E$9, 100%, $G$9) + CHOOSE(CONTROL!$C$38, 0.0369, 0)</f>
        <v>50.789700000000003</v>
      </c>
      <c r="E763" s="28">
        <f>54.9055 * CHOOSE(CONTROL!$C$15, $E$9, 100%, $G$9) + CHOOSE(CONTROL!$C$38, 0.0369, 0)</f>
        <v>54.942400000000006</v>
      </c>
      <c r="F763" s="27">
        <f>54.9055 * CHOOSE(CONTROL!$C$15, $E$9, 100%, $G$9) + CHOOSE(CONTROL!$C$38, 0.0278, 0)</f>
        <v>54.933300000000003</v>
      </c>
      <c r="G763" s="10">
        <f>50.7591 * CHOOSE(CONTROL!$C$15, $E$9, 100%, $G$9) + CHOOSE(CONTROL!$C$38, 0.0369, 0)</f>
        <v>50.795999999999999</v>
      </c>
      <c r="H763" s="10">
        <f>50.7591 * CHOOSE(CONTROL!$C$15, $E$9, 100%, $G$9) + CHOOSE(CONTROL!$C$38, 0.0369, 0)</f>
        <v>50.795999999999999</v>
      </c>
      <c r="I763" s="10">
        <f>50.7606 * CHOOSE(CONTROL!$C$15, $E$9, 100%, $G$9) + CHOOSE(CONTROL!$C$38, 0.0369, 0)</f>
        <v>50.797499999999999</v>
      </c>
      <c r="J763" s="26">
        <f>371.3597</f>
        <v>371.35969999999998</v>
      </c>
    </row>
    <row r="764" spans="1:10" ht="15.75" x14ac:dyDescent="0.25">
      <c r="A764" s="13">
        <v>64558</v>
      </c>
      <c r="B764" s="10">
        <f>55.3385 * CHOOSE(CONTROL!$C$15, $E$9, 100%, $G$9) + CHOOSE(CONTROL!$C$38, 0.0278, 0)</f>
        <v>55.366300000000003</v>
      </c>
      <c r="C764" s="10">
        <f>51.0374 * CHOOSE(CONTROL!$C$15, $E$9, 100%, $G$9) + CHOOSE(CONTROL!$C$38, 0.0369, 0)</f>
        <v>51.074300000000001</v>
      </c>
      <c r="D764" s="10">
        <f>51.0296 * CHOOSE(CONTROL!$C$15, $E$9, 100%, $G$9) + CHOOSE(CONTROL!$C$38, 0.0369, 0)</f>
        <v>51.066500000000005</v>
      </c>
      <c r="E764" s="28">
        <f>55.1823 * CHOOSE(CONTROL!$C$15, $E$9, 100%, $G$9) + CHOOSE(CONTROL!$C$38, 0.0369, 0)</f>
        <v>55.219200000000001</v>
      </c>
      <c r="F764" s="27">
        <f>55.1823 * CHOOSE(CONTROL!$C$15, $E$9, 100%, $G$9) + CHOOSE(CONTROL!$C$38, 0.0278, 0)</f>
        <v>55.210099999999997</v>
      </c>
      <c r="G764" s="10">
        <f>51.0359 * CHOOSE(CONTROL!$C$15, $E$9, 100%, $G$9) + CHOOSE(CONTROL!$C$38, 0.0369, 0)</f>
        <v>51.072800000000001</v>
      </c>
      <c r="H764" s="10">
        <f>51.0359 * CHOOSE(CONTROL!$C$15, $E$9, 100%, $G$9) + CHOOSE(CONTROL!$C$38, 0.0369, 0)</f>
        <v>51.072800000000001</v>
      </c>
      <c r="I764" s="10">
        <f>51.0374 * CHOOSE(CONTROL!$C$15, $E$9, 100%, $G$9) + CHOOSE(CONTROL!$C$38, 0.0369, 0)</f>
        <v>51.074300000000001</v>
      </c>
      <c r="J764" s="26">
        <f>359.0163</f>
        <v>359.0163</v>
      </c>
    </row>
    <row r="765" spans="1:10" ht="15.75" x14ac:dyDescent="0.25">
      <c r="A765" s="13">
        <v>64589</v>
      </c>
      <c r="B765" s="10">
        <f>55.5704 * CHOOSE(CONTROL!$C$15, $E$9, 100%, $G$9) + CHOOSE(CONTROL!$C$38, 0.0256, 0)</f>
        <v>55.595999999999997</v>
      </c>
      <c r="C765" s="10">
        <f>51.2693 * CHOOSE(CONTROL!$C$15, $E$9, 100%, $G$9) + CHOOSE(CONTROL!$C$38, 0.0347, 0)</f>
        <v>51.304000000000002</v>
      </c>
      <c r="D765" s="10">
        <f>51.2615 * CHOOSE(CONTROL!$C$15, $E$9, 100%, $G$9) + CHOOSE(CONTROL!$C$38, 0.0347, 0)</f>
        <v>51.296199999999999</v>
      </c>
      <c r="E765" s="28">
        <f>55.4141 * CHOOSE(CONTROL!$C$15, $E$9, 100%, $G$9) + CHOOSE(CONTROL!$C$38, 0.0347, 0)</f>
        <v>55.448799999999999</v>
      </c>
      <c r="F765" s="27">
        <f>55.4141 * CHOOSE(CONTROL!$C$15, $E$9, 100%, $G$9) + CHOOSE(CONTROL!$C$38, 0.0256, 0)</f>
        <v>55.439699999999995</v>
      </c>
      <c r="G765" s="10">
        <f>51.2677 * CHOOSE(CONTROL!$C$15, $E$9, 100%, $G$9) + CHOOSE(CONTROL!$C$38, 0.0347, 0)</f>
        <v>51.302399999999999</v>
      </c>
      <c r="H765" s="10">
        <f>51.2677 * CHOOSE(CONTROL!$C$15, $E$9, 100%, $G$9) + CHOOSE(CONTROL!$C$38, 0.0347, 0)</f>
        <v>51.302399999999999</v>
      </c>
      <c r="I765" s="10">
        <f>51.2693 * CHOOSE(CONTROL!$C$15, $E$9, 100%, $G$9) + CHOOSE(CONTROL!$C$38, 0.0347, 0)</f>
        <v>51.304000000000002</v>
      </c>
      <c r="J765" s="26">
        <f>346.6012</f>
        <v>346.60120000000001</v>
      </c>
    </row>
    <row r="766" spans="1:10" ht="15.75" x14ac:dyDescent="0.25">
      <c r="A766" s="13">
        <v>64619</v>
      </c>
      <c r="B766" s="10">
        <f>55.7638 * CHOOSE(CONTROL!$C$15, $E$9, 100%, $G$9) + CHOOSE(CONTROL!$C$38, 0.0256, 0)</f>
        <v>55.789400000000001</v>
      </c>
      <c r="C766" s="10">
        <f>51.4627 * CHOOSE(CONTROL!$C$15, $E$9, 100%, $G$9) + CHOOSE(CONTROL!$C$38, 0.0347, 0)</f>
        <v>51.497399999999999</v>
      </c>
      <c r="D766" s="10">
        <f>51.4549 * CHOOSE(CONTROL!$C$15, $E$9, 100%, $G$9) + CHOOSE(CONTROL!$C$38, 0.0347, 0)</f>
        <v>51.489600000000003</v>
      </c>
      <c r="E766" s="28">
        <f>55.6075 * CHOOSE(CONTROL!$C$15, $E$9, 100%, $G$9) + CHOOSE(CONTROL!$C$38, 0.0347, 0)</f>
        <v>55.642200000000003</v>
      </c>
      <c r="F766" s="27">
        <f>55.6075 * CHOOSE(CONTROL!$C$15, $E$9, 100%, $G$9) + CHOOSE(CONTROL!$C$38, 0.0256, 0)</f>
        <v>55.633099999999999</v>
      </c>
      <c r="G766" s="10">
        <f>51.4611 * CHOOSE(CONTROL!$C$15, $E$9, 100%, $G$9) + CHOOSE(CONTROL!$C$38, 0.0347, 0)</f>
        <v>51.495800000000003</v>
      </c>
      <c r="H766" s="10">
        <f>51.4611 * CHOOSE(CONTROL!$C$15, $E$9, 100%, $G$9) + CHOOSE(CONTROL!$C$38, 0.0347, 0)</f>
        <v>51.495800000000003</v>
      </c>
      <c r="I766" s="10">
        <f>51.4627 * CHOOSE(CONTROL!$C$15, $E$9, 100%, $G$9) + CHOOSE(CONTROL!$C$38, 0.0347, 0)</f>
        <v>51.497399999999999</v>
      </c>
      <c r="J766" s="26">
        <f>344.1316</f>
        <v>344.13159999999999</v>
      </c>
    </row>
    <row r="767" spans="1:10" ht="15.75" x14ac:dyDescent="0.25">
      <c r="A767" s="13">
        <v>64650</v>
      </c>
      <c r="B767" s="10">
        <f>56.3599 * CHOOSE(CONTROL!$C$15, $E$9, 100%, $G$9) + CHOOSE(CONTROL!$C$38, 0.0256, 0)</f>
        <v>56.3855</v>
      </c>
      <c r="C767" s="10">
        <f>52.0588 * CHOOSE(CONTROL!$C$15, $E$9, 100%, $G$9) + CHOOSE(CONTROL!$C$38, 0.0347, 0)</f>
        <v>52.093499999999999</v>
      </c>
      <c r="D767" s="10">
        <f>52.051 * CHOOSE(CONTROL!$C$15, $E$9, 100%, $G$9) + CHOOSE(CONTROL!$C$38, 0.0347, 0)</f>
        <v>52.085700000000003</v>
      </c>
      <c r="E767" s="28">
        <f>56.2036 * CHOOSE(CONTROL!$C$15, $E$9, 100%, $G$9) + CHOOSE(CONTROL!$C$38, 0.0347, 0)</f>
        <v>56.238300000000002</v>
      </c>
      <c r="F767" s="27">
        <f>56.2036 * CHOOSE(CONTROL!$C$15, $E$9, 100%, $G$9) + CHOOSE(CONTROL!$C$38, 0.0256, 0)</f>
        <v>56.229199999999999</v>
      </c>
      <c r="G767" s="10">
        <f>52.0572 * CHOOSE(CONTROL!$C$15, $E$9, 100%, $G$9) + CHOOSE(CONTROL!$C$38, 0.0347, 0)</f>
        <v>52.091900000000003</v>
      </c>
      <c r="H767" s="10">
        <f>52.0572 * CHOOSE(CONTROL!$C$15, $E$9, 100%, $G$9) + CHOOSE(CONTROL!$C$38, 0.0347, 0)</f>
        <v>52.091900000000003</v>
      </c>
      <c r="I767" s="10">
        <f>52.0588 * CHOOSE(CONTROL!$C$15, $E$9, 100%, $G$9) + CHOOSE(CONTROL!$C$38, 0.0347, 0)</f>
        <v>52.093499999999999</v>
      </c>
      <c r="J767" s="26">
        <f>333.9194</f>
        <v>333.9194</v>
      </c>
    </row>
    <row r="768" spans="1:10" ht="15.75" x14ac:dyDescent="0.25">
      <c r="A768" s="13">
        <v>64681</v>
      </c>
      <c r="B768" s="10">
        <f>57.8056 * CHOOSE(CONTROL!$C$15, $E$9, 100%, $G$9) + CHOOSE(CONTROL!$C$38, 0.0256, 0)</f>
        <v>57.831199999999995</v>
      </c>
      <c r="C768" s="10">
        <f>53.4313 * CHOOSE(CONTROL!$C$15, $E$9, 100%, $G$9) + CHOOSE(CONTROL!$C$38, 0.0347, 0)</f>
        <v>53.466000000000001</v>
      </c>
      <c r="D768" s="10">
        <f>53.4235 * CHOOSE(CONTROL!$C$15, $E$9, 100%, $G$9) + CHOOSE(CONTROL!$C$38, 0.0347, 0)</f>
        <v>53.458199999999998</v>
      </c>
      <c r="E768" s="28">
        <f>57.6493 * CHOOSE(CONTROL!$C$15, $E$9, 100%, $G$9) + CHOOSE(CONTROL!$C$38, 0.0347, 0)</f>
        <v>57.683999999999997</v>
      </c>
      <c r="F768" s="27">
        <f>57.6493 * CHOOSE(CONTROL!$C$15, $E$9, 100%, $G$9) + CHOOSE(CONTROL!$C$38, 0.0256, 0)</f>
        <v>57.674899999999994</v>
      </c>
      <c r="G768" s="10">
        <f>53.4297 * CHOOSE(CONTROL!$C$15, $E$9, 100%, $G$9) + CHOOSE(CONTROL!$C$38, 0.0347, 0)</f>
        <v>53.464399999999998</v>
      </c>
      <c r="H768" s="10">
        <f>53.4297 * CHOOSE(CONTROL!$C$15, $E$9, 100%, $G$9) + CHOOSE(CONTROL!$C$38, 0.0347, 0)</f>
        <v>53.464399999999998</v>
      </c>
      <c r="I768" s="10">
        <f>53.4313 * CHOOSE(CONTROL!$C$15, $E$9, 100%, $G$9) + CHOOSE(CONTROL!$C$38, 0.0347, 0)</f>
        <v>53.466000000000001</v>
      </c>
      <c r="J768" s="26">
        <f>331.6827</f>
        <v>331.68270000000001</v>
      </c>
    </row>
    <row r="769" spans="1:10" ht="15.75" x14ac:dyDescent="0.25">
      <c r="A769" s="13">
        <v>64709</v>
      </c>
      <c r="B769" s="10">
        <f>58.0264 * CHOOSE(CONTROL!$C$15, $E$9, 100%, $G$9) + CHOOSE(CONTROL!$C$38, 0.0256, 0)</f>
        <v>58.052</v>
      </c>
      <c r="C769" s="10">
        <f>53.652 * CHOOSE(CONTROL!$C$15, $E$9, 100%, $G$9) + CHOOSE(CONTROL!$C$38, 0.0347, 0)</f>
        <v>53.686700000000002</v>
      </c>
      <c r="D769" s="10">
        <f>53.6442 * CHOOSE(CONTROL!$C$15, $E$9, 100%, $G$9) + CHOOSE(CONTROL!$C$38, 0.0347, 0)</f>
        <v>53.678899999999999</v>
      </c>
      <c r="E769" s="28">
        <f>57.8701 * CHOOSE(CONTROL!$C$15, $E$9, 100%, $G$9) + CHOOSE(CONTROL!$C$38, 0.0347, 0)</f>
        <v>57.904800000000002</v>
      </c>
      <c r="F769" s="27">
        <f>57.8701 * CHOOSE(CONTROL!$C$15, $E$9, 100%, $G$9) + CHOOSE(CONTROL!$C$38, 0.0256, 0)</f>
        <v>57.895699999999998</v>
      </c>
      <c r="G769" s="10">
        <f>53.6505 * CHOOSE(CONTROL!$C$15, $E$9, 100%, $G$9) + CHOOSE(CONTROL!$C$38, 0.0347, 0)</f>
        <v>53.685200000000002</v>
      </c>
      <c r="H769" s="10">
        <f>53.6505 * CHOOSE(CONTROL!$C$15, $E$9, 100%, $G$9) + CHOOSE(CONTROL!$C$38, 0.0347, 0)</f>
        <v>53.685200000000002</v>
      </c>
      <c r="I769" s="10">
        <f>53.652 * CHOOSE(CONTROL!$C$15, $E$9, 100%, $G$9) + CHOOSE(CONTROL!$C$38, 0.0347, 0)</f>
        <v>53.686700000000002</v>
      </c>
      <c r="J769" s="26">
        <f>330.7607</f>
        <v>330.76069999999999</v>
      </c>
    </row>
    <row r="770" spans="1:10" ht="15.75" x14ac:dyDescent="0.25">
      <c r="A770" s="13">
        <v>64740</v>
      </c>
      <c r="B770" s="10">
        <f>57.5153 * CHOOSE(CONTROL!$C$15, $E$9, 100%, $G$9) + CHOOSE(CONTROL!$C$38, 0.0256, 0)</f>
        <v>57.540900000000001</v>
      </c>
      <c r="C770" s="10">
        <f>53.141 * CHOOSE(CONTROL!$C$15, $E$9, 100%, $G$9) + CHOOSE(CONTROL!$C$38, 0.0347, 0)</f>
        <v>53.175699999999999</v>
      </c>
      <c r="D770" s="10">
        <f>53.1332 * CHOOSE(CONTROL!$C$15, $E$9, 100%, $G$9) + CHOOSE(CONTROL!$C$38, 0.0347, 0)</f>
        <v>53.167900000000003</v>
      </c>
      <c r="E770" s="28">
        <f>57.3591 * CHOOSE(CONTROL!$C$15, $E$9, 100%, $G$9) + CHOOSE(CONTROL!$C$38, 0.0347, 0)</f>
        <v>57.393799999999999</v>
      </c>
      <c r="F770" s="27">
        <f>57.3591 * CHOOSE(CONTROL!$C$15, $E$9, 100%, $G$9) + CHOOSE(CONTROL!$C$38, 0.0256, 0)</f>
        <v>57.384699999999995</v>
      </c>
      <c r="G770" s="10">
        <f>53.1394 * CHOOSE(CONTROL!$C$15, $E$9, 100%, $G$9) + CHOOSE(CONTROL!$C$38, 0.0347, 0)</f>
        <v>53.174100000000003</v>
      </c>
      <c r="H770" s="10">
        <f>53.1394 * CHOOSE(CONTROL!$C$15, $E$9, 100%, $G$9) + CHOOSE(CONTROL!$C$38, 0.0347, 0)</f>
        <v>53.174100000000003</v>
      </c>
      <c r="I770" s="10">
        <f>53.141 * CHOOSE(CONTROL!$C$15, $E$9, 100%, $G$9) + CHOOSE(CONTROL!$C$38, 0.0347, 0)</f>
        <v>53.175699999999999</v>
      </c>
      <c r="J770" s="26">
        <f>348.1937</f>
        <v>348.19369999999998</v>
      </c>
    </row>
    <row r="771" spans="1:10" ht="15.75" x14ac:dyDescent="0.25">
      <c r="A771" s="13">
        <v>64770</v>
      </c>
      <c r="B771" s="10">
        <f>57.0201 * CHOOSE(CONTROL!$C$15, $E$9, 100%, $G$9) + CHOOSE(CONTROL!$C$38, 0.0256, 0)</f>
        <v>57.045699999999997</v>
      </c>
      <c r="C771" s="10">
        <f>52.6458 * CHOOSE(CONTROL!$C$15, $E$9, 100%, $G$9) + CHOOSE(CONTROL!$C$38, 0.0347, 0)</f>
        <v>52.680500000000002</v>
      </c>
      <c r="D771" s="10">
        <f>52.638 * CHOOSE(CONTROL!$C$15, $E$9, 100%, $G$9) + CHOOSE(CONTROL!$C$38, 0.0347, 0)</f>
        <v>52.672699999999999</v>
      </c>
      <c r="E771" s="28">
        <f>56.8639 * CHOOSE(CONTROL!$C$15, $E$9, 100%, $G$9) + CHOOSE(CONTROL!$C$38, 0.0347, 0)</f>
        <v>56.898600000000002</v>
      </c>
      <c r="F771" s="27">
        <f>56.8639 * CHOOSE(CONTROL!$C$15, $E$9, 100%, $G$9) + CHOOSE(CONTROL!$C$38, 0.0256, 0)</f>
        <v>56.889499999999998</v>
      </c>
      <c r="G771" s="10">
        <f>52.6443 * CHOOSE(CONTROL!$C$15, $E$9, 100%, $G$9) + CHOOSE(CONTROL!$C$38, 0.0347, 0)</f>
        <v>52.679000000000002</v>
      </c>
      <c r="H771" s="10">
        <f>52.6443 * CHOOSE(CONTROL!$C$15, $E$9, 100%, $G$9) + CHOOSE(CONTROL!$C$38, 0.0347, 0)</f>
        <v>52.679000000000002</v>
      </c>
      <c r="I771" s="10">
        <f>52.6458 * CHOOSE(CONTROL!$C$15, $E$9, 100%, $G$9) + CHOOSE(CONTROL!$C$38, 0.0347, 0)</f>
        <v>52.680500000000002</v>
      </c>
      <c r="J771" s="26">
        <f>370.8002</f>
        <v>370.80020000000002</v>
      </c>
    </row>
    <row r="772" spans="1:10" ht="15.75" x14ac:dyDescent="0.25">
      <c r="A772" s="13">
        <v>64801</v>
      </c>
      <c r="B772" s="10">
        <f>56.504 * CHOOSE(CONTROL!$C$15, $E$9, 100%, $G$9) + CHOOSE(CONTROL!$C$38, 0.0278, 0)</f>
        <v>56.531799999999997</v>
      </c>
      <c r="C772" s="10">
        <f>52.1297 * CHOOSE(CONTROL!$C$15, $E$9, 100%, $G$9) + CHOOSE(CONTROL!$C$38, 0.0369, 0)</f>
        <v>52.166600000000003</v>
      </c>
      <c r="D772" s="10">
        <f>52.1219 * CHOOSE(CONTROL!$C$15, $E$9, 100%, $G$9) + CHOOSE(CONTROL!$C$38, 0.0369, 0)</f>
        <v>52.158799999999999</v>
      </c>
      <c r="E772" s="28">
        <f>56.3478 * CHOOSE(CONTROL!$C$15, $E$9, 100%, $G$9) + CHOOSE(CONTROL!$C$38, 0.0369, 0)</f>
        <v>56.384700000000002</v>
      </c>
      <c r="F772" s="27">
        <f>56.3478 * CHOOSE(CONTROL!$C$15, $E$9, 100%, $G$9) + CHOOSE(CONTROL!$C$38, 0.0278, 0)</f>
        <v>56.375599999999999</v>
      </c>
      <c r="G772" s="10">
        <f>52.1282 * CHOOSE(CONTROL!$C$15, $E$9, 100%, $G$9) + CHOOSE(CONTROL!$C$38, 0.0369, 0)</f>
        <v>52.165100000000002</v>
      </c>
      <c r="H772" s="10">
        <f>52.1282 * CHOOSE(CONTROL!$C$15, $E$9, 100%, $G$9) + CHOOSE(CONTROL!$C$38, 0.0369, 0)</f>
        <v>52.165100000000002</v>
      </c>
      <c r="I772" s="10">
        <f>52.1297 * CHOOSE(CONTROL!$C$15, $E$9, 100%, $G$9) + CHOOSE(CONTROL!$C$38, 0.0369, 0)</f>
        <v>52.166600000000003</v>
      </c>
      <c r="J772" s="26">
        <f>383.2435</f>
        <v>383.24349999999998</v>
      </c>
    </row>
    <row r="773" spans="1:10" ht="15.75" x14ac:dyDescent="0.25">
      <c r="A773" s="13">
        <v>64831</v>
      </c>
      <c r="B773" s="10">
        <f>56.1422 * CHOOSE(CONTROL!$C$15, $E$9, 100%, $G$9) + CHOOSE(CONTROL!$C$38, 0.0278, 0)</f>
        <v>56.17</v>
      </c>
      <c r="C773" s="10">
        <f>51.7679 * CHOOSE(CONTROL!$C$15, $E$9, 100%, $G$9) + CHOOSE(CONTROL!$C$38, 0.0369, 0)</f>
        <v>51.8048</v>
      </c>
      <c r="D773" s="10">
        <f>51.7601 * CHOOSE(CONTROL!$C$15, $E$9, 100%, $G$9) + CHOOSE(CONTROL!$C$38, 0.0369, 0)</f>
        <v>51.797000000000004</v>
      </c>
      <c r="E773" s="28">
        <f>55.986 * CHOOSE(CONTROL!$C$15, $E$9, 100%, $G$9) + CHOOSE(CONTROL!$C$38, 0.0369, 0)</f>
        <v>56.0229</v>
      </c>
      <c r="F773" s="27">
        <f>55.986 * CHOOSE(CONTROL!$C$15, $E$9, 100%, $G$9) + CHOOSE(CONTROL!$C$38, 0.0278, 0)</f>
        <v>56.013799999999996</v>
      </c>
      <c r="G773" s="10">
        <f>51.7663 * CHOOSE(CONTROL!$C$15, $E$9, 100%, $G$9) + CHOOSE(CONTROL!$C$38, 0.0369, 0)</f>
        <v>51.803200000000004</v>
      </c>
      <c r="H773" s="10">
        <f>51.7663 * CHOOSE(CONTROL!$C$15, $E$9, 100%, $G$9) + CHOOSE(CONTROL!$C$38, 0.0369, 0)</f>
        <v>51.803200000000004</v>
      </c>
      <c r="I773" s="10">
        <f>51.7679 * CHOOSE(CONTROL!$C$15, $E$9, 100%, $G$9) + CHOOSE(CONTROL!$C$38, 0.0369, 0)</f>
        <v>51.8048</v>
      </c>
      <c r="J773" s="26">
        <f>388.7656</f>
        <v>388.76560000000001</v>
      </c>
    </row>
    <row r="774" spans="1:10" ht="15.75" x14ac:dyDescent="0.25">
      <c r="A774" s="13">
        <v>64862</v>
      </c>
      <c r="B774" s="10">
        <f>55.9357 * CHOOSE(CONTROL!$C$15, $E$9, 100%, $G$9) + CHOOSE(CONTROL!$C$38, 0.0278, 0)</f>
        <v>55.963499999999996</v>
      </c>
      <c r="C774" s="10">
        <f>51.5614 * CHOOSE(CONTROL!$C$15, $E$9, 100%, $G$9) + CHOOSE(CONTROL!$C$38, 0.0369, 0)</f>
        <v>51.598300000000002</v>
      </c>
      <c r="D774" s="10">
        <f>51.5536 * CHOOSE(CONTROL!$C$15, $E$9, 100%, $G$9) + CHOOSE(CONTROL!$C$38, 0.0369, 0)</f>
        <v>51.590500000000006</v>
      </c>
      <c r="E774" s="28">
        <f>55.7795 * CHOOSE(CONTROL!$C$15, $E$9, 100%, $G$9) + CHOOSE(CONTROL!$C$38, 0.0369, 0)</f>
        <v>55.816400000000002</v>
      </c>
      <c r="F774" s="27">
        <f>55.7795 * CHOOSE(CONTROL!$C$15, $E$9, 100%, $G$9) + CHOOSE(CONTROL!$C$38, 0.0278, 0)</f>
        <v>55.807299999999998</v>
      </c>
      <c r="G774" s="10">
        <f>51.5598 * CHOOSE(CONTROL!$C$15, $E$9, 100%, $G$9) + CHOOSE(CONTROL!$C$38, 0.0369, 0)</f>
        <v>51.596700000000006</v>
      </c>
      <c r="H774" s="10">
        <f>51.5598 * CHOOSE(CONTROL!$C$15, $E$9, 100%, $G$9) + CHOOSE(CONTROL!$C$38, 0.0369, 0)</f>
        <v>51.596700000000006</v>
      </c>
      <c r="I774" s="10">
        <f>51.5614 * CHOOSE(CONTROL!$C$15, $E$9, 100%, $G$9) + CHOOSE(CONTROL!$C$38, 0.0369, 0)</f>
        <v>51.598300000000002</v>
      </c>
      <c r="J774" s="26">
        <f>386.9475</f>
        <v>386.94749999999999</v>
      </c>
    </row>
    <row r="775" spans="1:10" ht="15.75" x14ac:dyDescent="0.25">
      <c r="A775" s="13">
        <v>64893</v>
      </c>
      <c r="B775" s="10">
        <f>56.0376 * CHOOSE(CONTROL!$C$15, $E$9, 100%, $G$9) + CHOOSE(CONTROL!$C$38, 0.0278, 0)</f>
        <v>56.065399999999997</v>
      </c>
      <c r="C775" s="10">
        <f>51.6633 * CHOOSE(CONTROL!$C$15, $E$9, 100%, $G$9) + CHOOSE(CONTROL!$C$38, 0.0369, 0)</f>
        <v>51.700200000000002</v>
      </c>
      <c r="D775" s="10">
        <f>51.6555 * CHOOSE(CONTROL!$C$15, $E$9, 100%, $G$9) + CHOOSE(CONTROL!$C$38, 0.0369, 0)</f>
        <v>51.692400000000006</v>
      </c>
      <c r="E775" s="28">
        <f>55.8814 * CHOOSE(CONTROL!$C$15, $E$9, 100%, $G$9) + CHOOSE(CONTROL!$C$38, 0.0369, 0)</f>
        <v>55.918300000000002</v>
      </c>
      <c r="F775" s="27">
        <f>55.8814 * CHOOSE(CONTROL!$C$15, $E$9, 100%, $G$9) + CHOOSE(CONTROL!$C$38, 0.0278, 0)</f>
        <v>55.909199999999998</v>
      </c>
      <c r="G775" s="10">
        <f>51.6617 * CHOOSE(CONTROL!$C$15, $E$9, 100%, $G$9) + CHOOSE(CONTROL!$C$38, 0.0369, 0)</f>
        <v>51.698600000000006</v>
      </c>
      <c r="H775" s="10">
        <f>51.6617 * CHOOSE(CONTROL!$C$15, $E$9, 100%, $G$9) + CHOOSE(CONTROL!$C$38, 0.0369, 0)</f>
        <v>51.698600000000006</v>
      </c>
      <c r="I775" s="10">
        <f>51.6633 * CHOOSE(CONTROL!$C$15, $E$9, 100%, $G$9) + CHOOSE(CONTROL!$C$38, 0.0369, 0)</f>
        <v>51.700200000000002</v>
      </c>
      <c r="J775" s="26">
        <f>377.9395</f>
        <v>377.93950000000001</v>
      </c>
    </row>
    <row r="776" spans="1:10" ht="15.75" x14ac:dyDescent="0.25">
      <c r="A776" s="13">
        <v>64923</v>
      </c>
      <c r="B776" s="10">
        <f>56.3144 * CHOOSE(CONTROL!$C$15, $E$9, 100%, $G$9) + CHOOSE(CONTROL!$C$38, 0.0278, 0)</f>
        <v>56.342199999999998</v>
      </c>
      <c r="C776" s="10">
        <f>51.9401 * CHOOSE(CONTROL!$C$15, $E$9, 100%, $G$9) + CHOOSE(CONTROL!$C$38, 0.0369, 0)</f>
        <v>51.977000000000004</v>
      </c>
      <c r="D776" s="10">
        <f>51.9323 * CHOOSE(CONTROL!$C$15, $E$9, 100%, $G$9) + CHOOSE(CONTROL!$C$38, 0.0369, 0)</f>
        <v>51.969200000000001</v>
      </c>
      <c r="E776" s="28">
        <f>56.1582 * CHOOSE(CONTROL!$C$15, $E$9, 100%, $G$9) + CHOOSE(CONTROL!$C$38, 0.0369, 0)</f>
        <v>56.195100000000004</v>
      </c>
      <c r="F776" s="27">
        <f>56.1582 * CHOOSE(CONTROL!$C$15, $E$9, 100%, $G$9) + CHOOSE(CONTROL!$C$38, 0.0278, 0)</f>
        <v>56.186</v>
      </c>
      <c r="G776" s="10">
        <f>51.9385 * CHOOSE(CONTROL!$C$15, $E$9, 100%, $G$9) + CHOOSE(CONTROL!$C$38, 0.0369, 0)</f>
        <v>51.9754</v>
      </c>
      <c r="H776" s="10">
        <f>51.9385 * CHOOSE(CONTROL!$C$15, $E$9, 100%, $G$9) + CHOOSE(CONTROL!$C$38, 0.0369, 0)</f>
        <v>51.9754</v>
      </c>
      <c r="I776" s="10">
        <f>51.9401 * CHOOSE(CONTROL!$C$15, $E$9, 100%, $G$9) + CHOOSE(CONTROL!$C$38, 0.0369, 0)</f>
        <v>51.977000000000004</v>
      </c>
      <c r="J776" s="26">
        <f>365.3774</f>
        <v>365.37740000000002</v>
      </c>
    </row>
    <row r="777" spans="1:10" ht="15.75" x14ac:dyDescent="0.25">
      <c r="A777" s="13">
        <v>64954</v>
      </c>
      <c r="B777" s="10">
        <f>56.5462 * CHOOSE(CONTROL!$C$15, $E$9, 100%, $G$9) + CHOOSE(CONTROL!$C$38, 0.0256, 0)</f>
        <v>56.571799999999996</v>
      </c>
      <c r="C777" s="10">
        <f>52.1719 * CHOOSE(CONTROL!$C$15, $E$9, 100%, $G$9) + CHOOSE(CONTROL!$C$38, 0.0347, 0)</f>
        <v>52.206600000000002</v>
      </c>
      <c r="D777" s="10">
        <f>52.1641 * CHOOSE(CONTROL!$C$15, $E$9, 100%, $G$9) + CHOOSE(CONTROL!$C$38, 0.0347, 0)</f>
        <v>52.198799999999999</v>
      </c>
      <c r="E777" s="28">
        <f>56.39 * CHOOSE(CONTROL!$C$15, $E$9, 100%, $G$9) + CHOOSE(CONTROL!$C$38, 0.0347, 0)</f>
        <v>56.424700000000001</v>
      </c>
      <c r="F777" s="27">
        <f>56.39 * CHOOSE(CONTROL!$C$15, $E$9, 100%, $G$9) + CHOOSE(CONTROL!$C$38, 0.0256, 0)</f>
        <v>56.415599999999998</v>
      </c>
      <c r="G777" s="10">
        <f>52.1704 * CHOOSE(CONTROL!$C$15, $E$9, 100%, $G$9) + CHOOSE(CONTROL!$C$38, 0.0347, 0)</f>
        <v>52.205100000000002</v>
      </c>
      <c r="H777" s="10">
        <f>52.1704 * CHOOSE(CONTROL!$C$15, $E$9, 100%, $G$9) + CHOOSE(CONTROL!$C$38, 0.0347, 0)</f>
        <v>52.205100000000002</v>
      </c>
      <c r="I777" s="10">
        <f>52.1719 * CHOOSE(CONTROL!$C$15, $E$9, 100%, $G$9) + CHOOSE(CONTROL!$C$38, 0.0347, 0)</f>
        <v>52.206600000000002</v>
      </c>
      <c r="J777" s="26">
        <f>352.7423</f>
        <v>352.7423</v>
      </c>
    </row>
    <row r="778" spans="1:10" ht="15.75" x14ac:dyDescent="0.25">
      <c r="A778" s="13">
        <v>64984</v>
      </c>
      <c r="B778" s="10">
        <f>56.7397 * CHOOSE(CONTROL!$C$15, $E$9, 100%, $G$9) + CHOOSE(CONTROL!$C$38, 0.0256, 0)</f>
        <v>56.765299999999996</v>
      </c>
      <c r="C778" s="10">
        <f>52.3654 * CHOOSE(CONTROL!$C$15, $E$9, 100%, $G$9) + CHOOSE(CONTROL!$C$38, 0.0347, 0)</f>
        <v>52.400100000000002</v>
      </c>
      <c r="D778" s="10">
        <f>52.3575 * CHOOSE(CONTROL!$C$15, $E$9, 100%, $G$9) + CHOOSE(CONTROL!$C$38, 0.0347, 0)</f>
        <v>52.392200000000003</v>
      </c>
      <c r="E778" s="28">
        <f>56.5834 * CHOOSE(CONTROL!$C$15, $E$9, 100%, $G$9) + CHOOSE(CONTROL!$C$38, 0.0347, 0)</f>
        <v>56.618099999999998</v>
      </c>
      <c r="F778" s="27">
        <f>56.5834 * CHOOSE(CONTROL!$C$15, $E$9, 100%, $G$9) + CHOOSE(CONTROL!$C$38, 0.0256, 0)</f>
        <v>56.608999999999995</v>
      </c>
      <c r="G778" s="10">
        <f>52.3638 * CHOOSE(CONTROL!$C$15, $E$9, 100%, $G$9) + CHOOSE(CONTROL!$C$38, 0.0347, 0)</f>
        <v>52.398499999999999</v>
      </c>
      <c r="H778" s="10">
        <f>52.3638 * CHOOSE(CONTROL!$C$15, $E$9, 100%, $G$9) + CHOOSE(CONTROL!$C$38, 0.0347, 0)</f>
        <v>52.398499999999999</v>
      </c>
      <c r="I778" s="10">
        <f>52.3654 * CHOOSE(CONTROL!$C$15, $E$9, 100%, $G$9) + CHOOSE(CONTROL!$C$38, 0.0347, 0)</f>
        <v>52.400100000000002</v>
      </c>
      <c r="J778" s="26">
        <f>350.2289</f>
        <v>350.22890000000001</v>
      </c>
    </row>
    <row r="779" spans="1:10" ht="15.75" x14ac:dyDescent="0.25">
      <c r="A779" s="13">
        <v>65015</v>
      </c>
      <c r="B779" s="10">
        <f>57.3358 * CHOOSE(CONTROL!$C$15, $E$9, 100%, $G$9) + CHOOSE(CONTROL!$C$38, 0.0256, 0)</f>
        <v>57.361399999999996</v>
      </c>
      <c r="C779" s="10">
        <f>52.9614 * CHOOSE(CONTROL!$C$15, $E$9, 100%, $G$9) + CHOOSE(CONTROL!$C$38, 0.0347, 0)</f>
        <v>52.996099999999998</v>
      </c>
      <c r="D779" s="10">
        <f>52.9536 * CHOOSE(CONTROL!$C$15, $E$9, 100%, $G$9) + CHOOSE(CONTROL!$C$38, 0.0347, 0)</f>
        <v>52.988300000000002</v>
      </c>
      <c r="E779" s="28">
        <f>57.1795 * CHOOSE(CONTROL!$C$15, $E$9, 100%, $G$9) + CHOOSE(CONTROL!$C$38, 0.0347, 0)</f>
        <v>57.214199999999998</v>
      </c>
      <c r="F779" s="27">
        <f>57.1795 * CHOOSE(CONTROL!$C$15, $E$9, 100%, $G$9) + CHOOSE(CONTROL!$C$38, 0.0256, 0)</f>
        <v>57.205099999999995</v>
      </c>
      <c r="G779" s="10">
        <f>52.9599 * CHOOSE(CONTROL!$C$15, $E$9, 100%, $G$9) + CHOOSE(CONTROL!$C$38, 0.0347, 0)</f>
        <v>52.994599999999998</v>
      </c>
      <c r="H779" s="10">
        <f>52.9599 * CHOOSE(CONTROL!$C$15, $E$9, 100%, $G$9) + CHOOSE(CONTROL!$C$38, 0.0347, 0)</f>
        <v>52.994599999999998</v>
      </c>
      <c r="I779" s="10">
        <f>52.9614 * CHOOSE(CONTROL!$C$15, $E$9, 100%, $G$9) + CHOOSE(CONTROL!$C$38, 0.0347, 0)</f>
        <v>52.996099999999998</v>
      </c>
      <c r="J779" s="26">
        <f>339.8359</f>
        <v>339.83589999999998</v>
      </c>
    </row>
    <row r="780" spans="1:10" ht="15.75" x14ac:dyDescent="0.25">
      <c r="A780" s="13">
        <v>65046</v>
      </c>
      <c r="B780" s="10">
        <f>58.7987 * CHOOSE(CONTROL!$C$15, $E$9, 100%, $G$9) + CHOOSE(CONTROL!$C$38, 0.0256, 0)</f>
        <v>58.824299999999994</v>
      </c>
      <c r="C780" s="10">
        <f>54.3499 * CHOOSE(CONTROL!$C$15, $E$9, 100%, $G$9) + CHOOSE(CONTROL!$C$38, 0.0347, 0)</f>
        <v>54.384599999999999</v>
      </c>
      <c r="D780" s="10">
        <f>54.3421 * CHOOSE(CONTROL!$C$15, $E$9, 100%, $G$9) + CHOOSE(CONTROL!$C$38, 0.0347, 0)</f>
        <v>54.376800000000003</v>
      </c>
      <c r="E780" s="28">
        <f>58.6425 * CHOOSE(CONTROL!$C$15, $E$9, 100%, $G$9) + CHOOSE(CONTROL!$C$38, 0.0347, 0)</f>
        <v>58.677199999999999</v>
      </c>
      <c r="F780" s="27">
        <f>58.6425 * CHOOSE(CONTROL!$C$15, $E$9, 100%, $G$9) + CHOOSE(CONTROL!$C$38, 0.0256, 0)</f>
        <v>58.668099999999995</v>
      </c>
      <c r="G780" s="10">
        <f>54.3483 * CHOOSE(CONTROL!$C$15, $E$9, 100%, $G$9) + CHOOSE(CONTROL!$C$38, 0.0347, 0)</f>
        <v>54.383000000000003</v>
      </c>
      <c r="H780" s="10">
        <f>54.3483 * CHOOSE(CONTROL!$C$15, $E$9, 100%, $G$9) + CHOOSE(CONTROL!$C$38, 0.0347, 0)</f>
        <v>54.383000000000003</v>
      </c>
      <c r="I780" s="10">
        <f>54.3499 * CHOOSE(CONTROL!$C$15, $E$9, 100%, $G$9) + CHOOSE(CONTROL!$C$38, 0.0347, 0)</f>
        <v>54.384599999999999</v>
      </c>
      <c r="J780" s="26">
        <f>337.5595</f>
        <v>337.55950000000001</v>
      </c>
    </row>
    <row r="781" spans="1:10" ht="15.75" x14ac:dyDescent="0.25">
      <c r="A781" s="13">
        <v>65074</v>
      </c>
      <c r="B781" s="10">
        <f>59.0195 * CHOOSE(CONTROL!$C$15, $E$9, 100%, $G$9) + CHOOSE(CONTROL!$C$38, 0.0256, 0)</f>
        <v>59.045099999999998</v>
      </c>
      <c r="C781" s="10">
        <f>54.5706 * CHOOSE(CONTROL!$C$15, $E$9, 100%, $G$9) + CHOOSE(CONTROL!$C$38, 0.0347, 0)</f>
        <v>54.6053</v>
      </c>
      <c r="D781" s="10">
        <f>54.5628 * CHOOSE(CONTROL!$C$15, $E$9, 100%, $G$9) + CHOOSE(CONTROL!$C$38, 0.0347, 0)</f>
        <v>54.597500000000004</v>
      </c>
      <c r="E781" s="28">
        <f>58.8632 * CHOOSE(CONTROL!$C$15, $E$9, 100%, $G$9) + CHOOSE(CONTROL!$C$38, 0.0347, 0)</f>
        <v>58.8979</v>
      </c>
      <c r="F781" s="27">
        <f>58.8632 * CHOOSE(CONTROL!$C$15, $E$9, 100%, $G$9) + CHOOSE(CONTROL!$C$38, 0.0256, 0)</f>
        <v>58.888799999999996</v>
      </c>
      <c r="G781" s="10">
        <f>54.5691 * CHOOSE(CONTROL!$C$15, $E$9, 100%, $G$9) + CHOOSE(CONTROL!$C$38, 0.0347, 0)</f>
        <v>54.6038</v>
      </c>
      <c r="H781" s="10">
        <f>54.5691 * CHOOSE(CONTROL!$C$15, $E$9, 100%, $G$9) + CHOOSE(CONTROL!$C$38, 0.0347, 0)</f>
        <v>54.6038</v>
      </c>
      <c r="I781" s="10">
        <f>54.5706 * CHOOSE(CONTROL!$C$15, $E$9, 100%, $G$9) + CHOOSE(CONTROL!$C$38, 0.0347, 0)</f>
        <v>54.6053</v>
      </c>
      <c r="J781" s="26">
        <f>336.6212</f>
        <v>336.62119999999999</v>
      </c>
    </row>
    <row r="782" spans="1:10" ht="15.75" x14ac:dyDescent="0.25">
      <c r="A782" s="13">
        <v>65105</v>
      </c>
      <c r="B782" s="10">
        <f>58.5085 * CHOOSE(CONTROL!$C$15, $E$9, 100%, $G$9) + CHOOSE(CONTROL!$C$38, 0.0256, 0)</f>
        <v>58.534099999999995</v>
      </c>
      <c r="C782" s="10">
        <f>54.0596 * CHOOSE(CONTROL!$C$15, $E$9, 100%, $G$9) + CHOOSE(CONTROL!$C$38, 0.0347, 0)</f>
        <v>54.094300000000004</v>
      </c>
      <c r="D782" s="10">
        <f>54.0518 * CHOOSE(CONTROL!$C$15, $E$9, 100%, $G$9) + CHOOSE(CONTROL!$C$38, 0.0347, 0)</f>
        <v>54.086500000000001</v>
      </c>
      <c r="E782" s="28">
        <f>58.3522 * CHOOSE(CONTROL!$C$15, $E$9, 100%, $G$9) + CHOOSE(CONTROL!$C$38, 0.0347, 0)</f>
        <v>58.386900000000004</v>
      </c>
      <c r="F782" s="27">
        <f>58.3522 * CHOOSE(CONTROL!$C$15, $E$9, 100%, $G$9) + CHOOSE(CONTROL!$C$38, 0.0256, 0)</f>
        <v>58.377800000000001</v>
      </c>
      <c r="G782" s="10">
        <f>54.058 * CHOOSE(CONTROL!$C$15, $E$9, 100%, $G$9) + CHOOSE(CONTROL!$C$38, 0.0347, 0)</f>
        <v>54.092700000000001</v>
      </c>
      <c r="H782" s="10">
        <f>54.058 * CHOOSE(CONTROL!$C$15, $E$9, 100%, $G$9) + CHOOSE(CONTROL!$C$38, 0.0347, 0)</f>
        <v>54.092700000000001</v>
      </c>
      <c r="I782" s="10">
        <f>54.0596 * CHOOSE(CONTROL!$C$15, $E$9, 100%, $G$9) + CHOOSE(CONTROL!$C$38, 0.0347, 0)</f>
        <v>54.094300000000004</v>
      </c>
      <c r="J782" s="26">
        <f>354.3631</f>
        <v>354.36309999999997</v>
      </c>
    </row>
    <row r="783" spans="1:10" ht="15.75" x14ac:dyDescent="0.25">
      <c r="A783" s="13">
        <v>65135</v>
      </c>
      <c r="B783" s="10">
        <f>58.0133 * CHOOSE(CONTROL!$C$15, $E$9, 100%, $G$9) + CHOOSE(CONTROL!$C$38, 0.0256, 0)</f>
        <v>58.038899999999998</v>
      </c>
      <c r="C783" s="10">
        <f>53.5644 * CHOOSE(CONTROL!$C$15, $E$9, 100%, $G$9) + CHOOSE(CONTROL!$C$38, 0.0347, 0)</f>
        <v>53.5991</v>
      </c>
      <c r="D783" s="10">
        <f>53.5566 * CHOOSE(CONTROL!$C$15, $E$9, 100%, $G$9) + CHOOSE(CONTROL!$C$38, 0.0347, 0)</f>
        <v>53.591300000000004</v>
      </c>
      <c r="E783" s="28">
        <f>57.857 * CHOOSE(CONTROL!$C$15, $E$9, 100%, $G$9) + CHOOSE(CONTROL!$C$38, 0.0347, 0)</f>
        <v>57.8917</v>
      </c>
      <c r="F783" s="27">
        <f>57.857 * CHOOSE(CONTROL!$C$15, $E$9, 100%, $G$9) + CHOOSE(CONTROL!$C$38, 0.0256, 0)</f>
        <v>57.882599999999996</v>
      </c>
      <c r="G783" s="10">
        <f>53.5629 * CHOOSE(CONTROL!$C$15, $E$9, 100%, $G$9) + CHOOSE(CONTROL!$C$38, 0.0347, 0)</f>
        <v>53.5976</v>
      </c>
      <c r="H783" s="10">
        <f>53.5629 * CHOOSE(CONTROL!$C$15, $E$9, 100%, $G$9) + CHOOSE(CONTROL!$C$38, 0.0347, 0)</f>
        <v>53.5976</v>
      </c>
      <c r="I783" s="10">
        <f>53.5644 * CHOOSE(CONTROL!$C$15, $E$9, 100%, $G$9) + CHOOSE(CONTROL!$C$38, 0.0347, 0)</f>
        <v>53.5991</v>
      </c>
      <c r="J783" s="26">
        <f>377.37</f>
        <v>377.37</v>
      </c>
    </row>
    <row r="784" spans="1:10" ht="15.75" x14ac:dyDescent="0.25">
      <c r="A784" s="13">
        <v>65166</v>
      </c>
      <c r="B784" s="10">
        <f>57.4972 * CHOOSE(CONTROL!$C$15, $E$9, 100%, $G$9) + CHOOSE(CONTROL!$C$38, 0.0278, 0)</f>
        <v>57.524999999999999</v>
      </c>
      <c r="C784" s="10">
        <f>53.0483 * CHOOSE(CONTROL!$C$15, $E$9, 100%, $G$9) + CHOOSE(CONTROL!$C$38, 0.0369, 0)</f>
        <v>53.0852</v>
      </c>
      <c r="D784" s="10">
        <f>53.0405 * CHOOSE(CONTROL!$C$15, $E$9, 100%, $G$9) + CHOOSE(CONTROL!$C$38, 0.0369, 0)</f>
        <v>53.077400000000004</v>
      </c>
      <c r="E784" s="28">
        <f>57.3409 * CHOOSE(CONTROL!$C$15, $E$9, 100%, $G$9) + CHOOSE(CONTROL!$C$38, 0.0369, 0)</f>
        <v>57.377800000000001</v>
      </c>
      <c r="F784" s="27">
        <f>57.3409 * CHOOSE(CONTROL!$C$15, $E$9, 100%, $G$9) + CHOOSE(CONTROL!$C$38, 0.0278, 0)</f>
        <v>57.368699999999997</v>
      </c>
      <c r="G784" s="10">
        <f>53.0468 * CHOOSE(CONTROL!$C$15, $E$9, 100%, $G$9) + CHOOSE(CONTROL!$C$38, 0.0369, 0)</f>
        <v>53.0837</v>
      </c>
      <c r="H784" s="10">
        <f>53.0468 * CHOOSE(CONTROL!$C$15, $E$9, 100%, $G$9) + CHOOSE(CONTROL!$C$38, 0.0369, 0)</f>
        <v>53.0837</v>
      </c>
      <c r="I784" s="10">
        <f>53.0483 * CHOOSE(CONTROL!$C$15, $E$9, 100%, $G$9) + CHOOSE(CONTROL!$C$38, 0.0369, 0)</f>
        <v>53.0852</v>
      </c>
      <c r="J784" s="26">
        <f>390.0338</f>
        <v>390.03379999999999</v>
      </c>
    </row>
    <row r="785" spans="1:10" ht="15.75" x14ac:dyDescent="0.25">
      <c r="A785" s="13">
        <v>65196</v>
      </c>
      <c r="B785" s="10">
        <f>57.1353 * CHOOSE(CONTROL!$C$15, $E$9, 100%, $G$9) + CHOOSE(CONTROL!$C$38, 0.0278, 0)</f>
        <v>57.1631</v>
      </c>
      <c r="C785" s="10">
        <f>52.6865 * CHOOSE(CONTROL!$C$15, $E$9, 100%, $G$9) + CHOOSE(CONTROL!$C$38, 0.0369, 0)</f>
        <v>52.723400000000005</v>
      </c>
      <c r="D785" s="10">
        <f>52.6787 * CHOOSE(CONTROL!$C$15, $E$9, 100%, $G$9) + CHOOSE(CONTROL!$C$38, 0.0369, 0)</f>
        <v>52.715600000000002</v>
      </c>
      <c r="E785" s="28">
        <f>56.9791 * CHOOSE(CONTROL!$C$15, $E$9, 100%, $G$9) + CHOOSE(CONTROL!$C$38, 0.0369, 0)</f>
        <v>57.016000000000005</v>
      </c>
      <c r="F785" s="27">
        <f>56.9791 * CHOOSE(CONTROL!$C$15, $E$9, 100%, $G$9) + CHOOSE(CONTROL!$C$38, 0.0278, 0)</f>
        <v>57.006900000000002</v>
      </c>
      <c r="G785" s="10">
        <f>52.6849 * CHOOSE(CONTROL!$C$15, $E$9, 100%, $G$9) + CHOOSE(CONTROL!$C$38, 0.0369, 0)</f>
        <v>52.721800000000002</v>
      </c>
      <c r="H785" s="10">
        <f>52.6849 * CHOOSE(CONTROL!$C$15, $E$9, 100%, $G$9) + CHOOSE(CONTROL!$C$38, 0.0369, 0)</f>
        <v>52.721800000000002</v>
      </c>
      <c r="I785" s="10">
        <f>52.6865 * CHOOSE(CONTROL!$C$15, $E$9, 100%, $G$9) + CHOOSE(CONTROL!$C$38, 0.0369, 0)</f>
        <v>52.723400000000005</v>
      </c>
      <c r="J785" s="26">
        <f>395.6538</f>
        <v>395.65379999999999</v>
      </c>
    </row>
    <row r="786" spans="1:10" ht="15.75" x14ac:dyDescent="0.25">
      <c r="A786" s="13">
        <v>65227</v>
      </c>
      <c r="B786" s="10">
        <f>56.9288 * CHOOSE(CONTROL!$C$15, $E$9, 100%, $G$9) + CHOOSE(CONTROL!$C$38, 0.0278, 0)</f>
        <v>56.956600000000002</v>
      </c>
      <c r="C786" s="10">
        <f>52.48 * CHOOSE(CONTROL!$C$15, $E$9, 100%, $G$9) + CHOOSE(CONTROL!$C$38, 0.0369, 0)</f>
        <v>52.5169</v>
      </c>
      <c r="D786" s="10">
        <f>52.4722 * CHOOSE(CONTROL!$C$15, $E$9, 100%, $G$9) + CHOOSE(CONTROL!$C$38, 0.0369, 0)</f>
        <v>52.509100000000004</v>
      </c>
      <c r="E786" s="28">
        <f>56.7726 * CHOOSE(CONTROL!$C$15, $E$9, 100%, $G$9) + CHOOSE(CONTROL!$C$38, 0.0369, 0)</f>
        <v>56.8095</v>
      </c>
      <c r="F786" s="27">
        <f>56.7726 * CHOOSE(CONTROL!$C$15, $E$9, 100%, $G$9) + CHOOSE(CONTROL!$C$38, 0.0278, 0)</f>
        <v>56.800399999999996</v>
      </c>
      <c r="G786" s="10">
        <f>52.4784 * CHOOSE(CONTROL!$C$15, $E$9, 100%, $G$9) + CHOOSE(CONTROL!$C$38, 0.0369, 0)</f>
        <v>52.515300000000003</v>
      </c>
      <c r="H786" s="10">
        <f>52.4784 * CHOOSE(CONTROL!$C$15, $E$9, 100%, $G$9) + CHOOSE(CONTROL!$C$38, 0.0369, 0)</f>
        <v>52.515300000000003</v>
      </c>
      <c r="I786" s="10">
        <f>52.48 * CHOOSE(CONTROL!$C$15, $E$9, 100%, $G$9) + CHOOSE(CONTROL!$C$38, 0.0369, 0)</f>
        <v>52.5169</v>
      </c>
      <c r="J786" s="26">
        <f>393.8034</f>
        <v>393.80340000000001</v>
      </c>
    </row>
    <row r="787" spans="1:10" ht="15.75" x14ac:dyDescent="0.25">
      <c r="A787" s="13">
        <v>65258</v>
      </c>
      <c r="B787" s="10">
        <f>57.0308 * CHOOSE(CONTROL!$C$15, $E$9, 100%, $G$9) + CHOOSE(CONTROL!$C$38, 0.0278, 0)</f>
        <v>57.058599999999998</v>
      </c>
      <c r="C787" s="10">
        <f>52.5819 * CHOOSE(CONTROL!$C$15, $E$9, 100%, $G$9) + CHOOSE(CONTROL!$C$38, 0.0369, 0)</f>
        <v>52.6188</v>
      </c>
      <c r="D787" s="10">
        <f>52.5741 * CHOOSE(CONTROL!$C$15, $E$9, 100%, $G$9) + CHOOSE(CONTROL!$C$38, 0.0369, 0)</f>
        <v>52.611000000000004</v>
      </c>
      <c r="E787" s="28">
        <f>56.8745 * CHOOSE(CONTROL!$C$15, $E$9, 100%, $G$9) + CHOOSE(CONTROL!$C$38, 0.0369, 0)</f>
        <v>56.9114</v>
      </c>
      <c r="F787" s="27">
        <f>56.8745 * CHOOSE(CONTROL!$C$15, $E$9, 100%, $G$9) + CHOOSE(CONTROL!$C$38, 0.0278, 0)</f>
        <v>56.902299999999997</v>
      </c>
      <c r="G787" s="10">
        <f>52.5803 * CHOOSE(CONTROL!$C$15, $E$9, 100%, $G$9) + CHOOSE(CONTROL!$C$38, 0.0369, 0)</f>
        <v>52.617200000000004</v>
      </c>
      <c r="H787" s="10">
        <f>52.5803 * CHOOSE(CONTROL!$C$15, $E$9, 100%, $G$9) + CHOOSE(CONTROL!$C$38, 0.0369, 0)</f>
        <v>52.617200000000004</v>
      </c>
      <c r="I787" s="10">
        <f>52.5819 * CHOOSE(CONTROL!$C$15, $E$9, 100%, $G$9) + CHOOSE(CONTROL!$C$38, 0.0369, 0)</f>
        <v>52.6188</v>
      </c>
      <c r="J787" s="26">
        <f>384.6359</f>
        <v>384.63589999999999</v>
      </c>
    </row>
    <row r="788" spans="1:10" ht="15.75" x14ac:dyDescent="0.25">
      <c r="A788" s="13">
        <v>65288</v>
      </c>
      <c r="B788" s="10">
        <f>57.3075 * CHOOSE(CONTROL!$C$15, $E$9, 100%, $G$9) + CHOOSE(CONTROL!$C$38, 0.0278, 0)</f>
        <v>57.335299999999997</v>
      </c>
      <c r="C788" s="10">
        <f>52.8587 * CHOOSE(CONTROL!$C$15, $E$9, 100%, $G$9) + CHOOSE(CONTROL!$C$38, 0.0369, 0)</f>
        <v>52.895600000000002</v>
      </c>
      <c r="D788" s="10">
        <f>52.8509 * CHOOSE(CONTROL!$C$15, $E$9, 100%, $G$9) + CHOOSE(CONTROL!$C$38, 0.0369, 0)</f>
        <v>52.887800000000006</v>
      </c>
      <c r="E788" s="28">
        <f>57.1513 * CHOOSE(CONTROL!$C$15, $E$9, 100%, $G$9) + CHOOSE(CONTROL!$C$38, 0.0369, 0)</f>
        <v>57.188200000000002</v>
      </c>
      <c r="F788" s="27">
        <f>57.1513 * CHOOSE(CONTROL!$C$15, $E$9, 100%, $G$9) + CHOOSE(CONTROL!$C$38, 0.0278, 0)</f>
        <v>57.179099999999998</v>
      </c>
      <c r="G788" s="10">
        <f>52.8571 * CHOOSE(CONTROL!$C$15, $E$9, 100%, $G$9) + CHOOSE(CONTROL!$C$38, 0.0369, 0)</f>
        <v>52.894000000000005</v>
      </c>
      <c r="H788" s="10">
        <f>52.8571 * CHOOSE(CONTROL!$C$15, $E$9, 100%, $G$9) + CHOOSE(CONTROL!$C$38, 0.0369, 0)</f>
        <v>52.894000000000005</v>
      </c>
      <c r="I788" s="10">
        <f>52.8587 * CHOOSE(CONTROL!$C$15, $E$9, 100%, $G$9) + CHOOSE(CONTROL!$C$38, 0.0369, 0)</f>
        <v>52.895600000000002</v>
      </c>
      <c r="J788" s="26">
        <f>371.8512</f>
        <v>371.85120000000001</v>
      </c>
    </row>
    <row r="789" spans="1:10" ht="15.75" x14ac:dyDescent="0.25">
      <c r="A789" s="13">
        <v>65319</v>
      </c>
      <c r="B789" s="10">
        <f>57.5394 * CHOOSE(CONTROL!$C$15, $E$9, 100%, $G$9) + CHOOSE(CONTROL!$C$38, 0.0256, 0)</f>
        <v>57.564999999999998</v>
      </c>
      <c r="C789" s="10">
        <f>53.0905 * CHOOSE(CONTROL!$C$15, $E$9, 100%, $G$9) + CHOOSE(CONTROL!$C$38, 0.0347, 0)</f>
        <v>53.1252</v>
      </c>
      <c r="D789" s="10">
        <f>53.0827 * CHOOSE(CONTROL!$C$15, $E$9, 100%, $G$9) + CHOOSE(CONTROL!$C$38, 0.0347, 0)</f>
        <v>53.117400000000004</v>
      </c>
      <c r="E789" s="28">
        <f>57.3831 * CHOOSE(CONTROL!$C$15, $E$9, 100%, $G$9) + CHOOSE(CONTROL!$C$38, 0.0347, 0)</f>
        <v>57.4178</v>
      </c>
      <c r="F789" s="27">
        <f>57.3831 * CHOOSE(CONTROL!$C$15, $E$9, 100%, $G$9) + CHOOSE(CONTROL!$C$38, 0.0256, 0)</f>
        <v>57.408699999999996</v>
      </c>
      <c r="G789" s="10">
        <f>53.089 * CHOOSE(CONTROL!$C$15, $E$9, 100%, $G$9) + CHOOSE(CONTROL!$C$38, 0.0347, 0)</f>
        <v>53.123699999999999</v>
      </c>
      <c r="H789" s="10">
        <f>53.089 * CHOOSE(CONTROL!$C$15, $E$9, 100%, $G$9) + CHOOSE(CONTROL!$C$38, 0.0347, 0)</f>
        <v>53.123699999999999</v>
      </c>
      <c r="I789" s="10">
        <f>53.0905 * CHOOSE(CONTROL!$C$15, $E$9, 100%, $G$9) + CHOOSE(CONTROL!$C$38, 0.0347, 0)</f>
        <v>53.1252</v>
      </c>
      <c r="J789" s="26">
        <f>358.9922</f>
        <v>358.99220000000003</v>
      </c>
    </row>
    <row r="790" spans="1:10" ht="15.75" x14ac:dyDescent="0.25">
      <c r="A790" s="13">
        <v>65349</v>
      </c>
      <c r="B790" s="10">
        <f>57.7328 * CHOOSE(CONTROL!$C$15, $E$9, 100%, $G$9) + CHOOSE(CONTROL!$C$38, 0.0256, 0)</f>
        <v>57.758399999999995</v>
      </c>
      <c r="C790" s="10">
        <f>53.284 * CHOOSE(CONTROL!$C$15, $E$9, 100%, $G$9) + CHOOSE(CONTROL!$C$38, 0.0347, 0)</f>
        <v>53.3187</v>
      </c>
      <c r="D790" s="10">
        <f>53.2762 * CHOOSE(CONTROL!$C$15, $E$9, 100%, $G$9) + CHOOSE(CONTROL!$C$38, 0.0347, 0)</f>
        <v>53.310900000000004</v>
      </c>
      <c r="E790" s="28">
        <f>57.5766 * CHOOSE(CONTROL!$C$15, $E$9, 100%, $G$9) + CHOOSE(CONTROL!$C$38, 0.0347, 0)</f>
        <v>57.6113</v>
      </c>
      <c r="F790" s="27">
        <f>57.5766 * CHOOSE(CONTROL!$C$15, $E$9, 100%, $G$9) + CHOOSE(CONTROL!$C$38, 0.0256, 0)</f>
        <v>57.602199999999996</v>
      </c>
      <c r="G790" s="10">
        <f>53.2824 * CHOOSE(CONTROL!$C$15, $E$9, 100%, $G$9) + CHOOSE(CONTROL!$C$38, 0.0347, 0)</f>
        <v>53.317100000000003</v>
      </c>
      <c r="H790" s="10">
        <f>53.2824 * CHOOSE(CONTROL!$C$15, $E$9, 100%, $G$9) + CHOOSE(CONTROL!$C$38, 0.0347, 0)</f>
        <v>53.317100000000003</v>
      </c>
      <c r="I790" s="10">
        <f>53.284 * CHOOSE(CONTROL!$C$15, $E$9, 100%, $G$9) + CHOOSE(CONTROL!$C$38, 0.0347, 0)</f>
        <v>53.3187</v>
      </c>
      <c r="J790" s="26">
        <f>356.4343</f>
        <v>356.43430000000001</v>
      </c>
    </row>
    <row r="791" spans="1:10" ht="15.75" x14ac:dyDescent="0.25">
      <c r="A791" s="13">
        <v>65380</v>
      </c>
      <c r="B791" s="10">
        <f>58.3289 * CHOOSE(CONTROL!$C$15, $E$9, 100%, $G$9) + CHOOSE(CONTROL!$C$38, 0.0256, 0)</f>
        <v>58.354499999999994</v>
      </c>
      <c r="C791" s="10">
        <f>53.88 * CHOOSE(CONTROL!$C$15, $E$9, 100%, $G$9) + CHOOSE(CONTROL!$C$38, 0.0347, 0)</f>
        <v>53.914700000000003</v>
      </c>
      <c r="D791" s="10">
        <f>53.8722 * CHOOSE(CONTROL!$C$15, $E$9, 100%, $G$9) + CHOOSE(CONTROL!$C$38, 0.0347, 0)</f>
        <v>53.9069</v>
      </c>
      <c r="E791" s="28">
        <f>58.1726 * CHOOSE(CONTROL!$C$15, $E$9, 100%, $G$9) + CHOOSE(CONTROL!$C$38, 0.0347, 0)</f>
        <v>58.207300000000004</v>
      </c>
      <c r="F791" s="27">
        <f>58.1726 * CHOOSE(CONTROL!$C$15, $E$9, 100%, $G$9) + CHOOSE(CONTROL!$C$38, 0.0256, 0)</f>
        <v>58.1982</v>
      </c>
      <c r="G791" s="10">
        <f>53.8785 * CHOOSE(CONTROL!$C$15, $E$9, 100%, $G$9) + CHOOSE(CONTROL!$C$38, 0.0347, 0)</f>
        <v>53.913200000000003</v>
      </c>
      <c r="H791" s="10">
        <f>53.8785 * CHOOSE(CONTROL!$C$15, $E$9, 100%, $G$9) + CHOOSE(CONTROL!$C$38, 0.0347, 0)</f>
        <v>53.913200000000003</v>
      </c>
      <c r="I791" s="10">
        <f>53.88 * CHOOSE(CONTROL!$C$15, $E$9, 100%, $G$9) + CHOOSE(CONTROL!$C$38, 0.0347, 0)</f>
        <v>53.914700000000003</v>
      </c>
      <c r="J791" s="26">
        <f>345.8571</f>
        <v>345.8571</v>
      </c>
    </row>
    <row r="792" spans="1:10" ht="15.75" x14ac:dyDescent="0.25">
      <c r="A792" s="13">
        <v>65411</v>
      </c>
      <c r="B792" s="10">
        <f>59.8094 * CHOOSE(CONTROL!$C$15, $E$9, 100%, $G$9) + CHOOSE(CONTROL!$C$38, 0.0256, 0)</f>
        <v>59.834999999999994</v>
      </c>
      <c r="C792" s="10">
        <f>55.2847 * CHOOSE(CONTROL!$C$15, $E$9, 100%, $G$9) + CHOOSE(CONTROL!$C$38, 0.0347, 0)</f>
        <v>55.319400000000002</v>
      </c>
      <c r="D792" s="10">
        <f>55.2769 * CHOOSE(CONTROL!$C$15, $E$9, 100%, $G$9) + CHOOSE(CONTROL!$C$38, 0.0347, 0)</f>
        <v>55.311599999999999</v>
      </c>
      <c r="E792" s="28">
        <f>59.6532 * CHOOSE(CONTROL!$C$15, $E$9, 100%, $G$9) + CHOOSE(CONTROL!$C$38, 0.0347, 0)</f>
        <v>59.687899999999999</v>
      </c>
      <c r="F792" s="27">
        <f>59.6532 * CHOOSE(CONTROL!$C$15, $E$9, 100%, $G$9) + CHOOSE(CONTROL!$C$38, 0.0256, 0)</f>
        <v>59.678799999999995</v>
      </c>
      <c r="G792" s="10">
        <f>55.2832 * CHOOSE(CONTROL!$C$15, $E$9, 100%, $G$9) + CHOOSE(CONTROL!$C$38, 0.0347, 0)</f>
        <v>55.317900000000002</v>
      </c>
      <c r="H792" s="10">
        <f>55.2832 * CHOOSE(CONTROL!$C$15, $E$9, 100%, $G$9) + CHOOSE(CONTROL!$C$38, 0.0347, 0)</f>
        <v>55.317900000000002</v>
      </c>
      <c r="I792" s="10">
        <f>55.2847 * CHOOSE(CONTROL!$C$15, $E$9, 100%, $G$9) + CHOOSE(CONTROL!$C$38, 0.0347, 0)</f>
        <v>55.319400000000002</v>
      </c>
      <c r="J792" s="26">
        <f>343.5404</f>
        <v>343.54039999999998</v>
      </c>
    </row>
    <row r="793" spans="1:10" ht="15.75" x14ac:dyDescent="0.25">
      <c r="A793" s="13">
        <v>65439</v>
      </c>
      <c r="B793" s="10">
        <f>60.0302 * CHOOSE(CONTROL!$C$15, $E$9, 100%, $G$9) + CHOOSE(CONTROL!$C$38, 0.0256, 0)</f>
        <v>60.055799999999998</v>
      </c>
      <c r="C793" s="10">
        <f>55.5055 * CHOOSE(CONTROL!$C$15, $E$9, 100%, $G$9) + CHOOSE(CONTROL!$C$38, 0.0347, 0)</f>
        <v>55.540199999999999</v>
      </c>
      <c r="D793" s="10">
        <f>55.4977 * CHOOSE(CONTROL!$C$15, $E$9, 100%, $G$9) + CHOOSE(CONTROL!$C$38, 0.0347, 0)</f>
        <v>55.532400000000003</v>
      </c>
      <c r="E793" s="28">
        <f>59.8739 * CHOOSE(CONTROL!$C$15, $E$9, 100%, $G$9) + CHOOSE(CONTROL!$C$38, 0.0347, 0)</f>
        <v>59.9086</v>
      </c>
      <c r="F793" s="27">
        <f>59.8739 * CHOOSE(CONTROL!$C$15, $E$9, 100%, $G$9) + CHOOSE(CONTROL!$C$38, 0.0256, 0)</f>
        <v>59.899499999999996</v>
      </c>
      <c r="G793" s="10">
        <f>55.5039 * CHOOSE(CONTROL!$C$15, $E$9, 100%, $G$9) + CHOOSE(CONTROL!$C$38, 0.0347, 0)</f>
        <v>55.538600000000002</v>
      </c>
      <c r="H793" s="10">
        <f>55.5039 * CHOOSE(CONTROL!$C$15, $E$9, 100%, $G$9) + CHOOSE(CONTROL!$C$38, 0.0347, 0)</f>
        <v>55.538600000000002</v>
      </c>
      <c r="I793" s="10">
        <f>55.5055 * CHOOSE(CONTROL!$C$15, $E$9, 100%, $G$9) + CHOOSE(CONTROL!$C$38, 0.0347, 0)</f>
        <v>55.540199999999999</v>
      </c>
      <c r="J793" s="26">
        <f>342.5855</f>
        <v>342.58550000000002</v>
      </c>
    </row>
    <row r="794" spans="1:10" ht="15.75" x14ac:dyDescent="0.25">
      <c r="A794" s="13">
        <v>65470</v>
      </c>
      <c r="B794" s="10">
        <f>59.5191 * CHOOSE(CONTROL!$C$15, $E$9, 100%, $G$9) + CHOOSE(CONTROL!$C$38, 0.0256, 0)</f>
        <v>59.544699999999999</v>
      </c>
      <c r="C794" s="10">
        <f>54.9944 * CHOOSE(CONTROL!$C$15, $E$9, 100%, $G$9) + CHOOSE(CONTROL!$C$38, 0.0347, 0)</f>
        <v>55.0291</v>
      </c>
      <c r="D794" s="10">
        <f>54.9866 * CHOOSE(CONTROL!$C$15, $E$9, 100%, $G$9) + CHOOSE(CONTROL!$C$38, 0.0347, 0)</f>
        <v>55.021300000000004</v>
      </c>
      <c r="E794" s="28">
        <f>59.3629 * CHOOSE(CONTROL!$C$15, $E$9, 100%, $G$9) + CHOOSE(CONTROL!$C$38, 0.0347, 0)</f>
        <v>59.397600000000004</v>
      </c>
      <c r="F794" s="27">
        <f>59.3629 * CHOOSE(CONTROL!$C$15, $E$9, 100%, $G$9) + CHOOSE(CONTROL!$C$38, 0.0256, 0)</f>
        <v>59.388500000000001</v>
      </c>
      <c r="G794" s="10">
        <f>54.9929 * CHOOSE(CONTROL!$C$15, $E$9, 100%, $G$9) + CHOOSE(CONTROL!$C$38, 0.0347, 0)</f>
        <v>55.0276</v>
      </c>
      <c r="H794" s="10">
        <f>54.9929 * CHOOSE(CONTROL!$C$15, $E$9, 100%, $G$9) + CHOOSE(CONTROL!$C$38, 0.0347, 0)</f>
        <v>55.0276</v>
      </c>
      <c r="I794" s="10">
        <f>54.9944 * CHOOSE(CONTROL!$C$15, $E$9, 100%, $G$9) + CHOOSE(CONTROL!$C$38, 0.0347, 0)</f>
        <v>55.0291</v>
      </c>
      <c r="J794" s="26">
        <f>360.6417</f>
        <v>360.64170000000001</v>
      </c>
    </row>
    <row r="795" spans="1:10" ht="15.75" x14ac:dyDescent="0.25">
      <c r="A795" s="13">
        <v>65500</v>
      </c>
      <c r="B795" s="10">
        <f>59.024 * CHOOSE(CONTROL!$C$15, $E$9, 100%, $G$9) + CHOOSE(CONTROL!$C$38, 0.0256, 0)</f>
        <v>59.049599999999998</v>
      </c>
      <c r="C795" s="10">
        <f>54.4993 * CHOOSE(CONTROL!$C$15, $E$9, 100%, $G$9) + CHOOSE(CONTROL!$C$38, 0.0347, 0)</f>
        <v>54.533999999999999</v>
      </c>
      <c r="D795" s="10">
        <f>54.4915 * CHOOSE(CONTROL!$C$15, $E$9, 100%, $G$9) + CHOOSE(CONTROL!$C$38, 0.0347, 0)</f>
        <v>54.526200000000003</v>
      </c>
      <c r="E795" s="28">
        <f>58.8677 * CHOOSE(CONTROL!$C$15, $E$9, 100%, $G$9) + CHOOSE(CONTROL!$C$38, 0.0347, 0)</f>
        <v>58.9024</v>
      </c>
      <c r="F795" s="27">
        <f>58.8677 * CHOOSE(CONTROL!$C$15, $E$9, 100%, $G$9) + CHOOSE(CONTROL!$C$38, 0.0256, 0)</f>
        <v>58.893299999999996</v>
      </c>
      <c r="G795" s="10">
        <f>54.4977 * CHOOSE(CONTROL!$C$15, $E$9, 100%, $G$9) + CHOOSE(CONTROL!$C$38, 0.0347, 0)</f>
        <v>54.532400000000003</v>
      </c>
      <c r="H795" s="10">
        <f>54.4977 * CHOOSE(CONTROL!$C$15, $E$9, 100%, $G$9) + CHOOSE(CONTROL!$C$38, 0.0347, 0)</f>
        <v>54.532400000000003</v>
      </c>
      <c r="I795" s="10">
        <f>54.4993 * CHOOSE(CONTROL!$C$15, $E$9, 100%, $G$9) + CHOOSE(CONTROL!$C$38, 0.0347, 0)</f>
        <v>54.533999999999999</v>
      </c>
      <c r="J795" s="26">
        <f>384.0563</f>
        <v>384.05630000000002</v>
      </c>
    </row>
    <row r="796" spans="1:10" ht="15.75" x14ac:dyDescent="0.25">
      <c r="A796" s="13">
        <v>65531</v>
      </c>
      <c r="B796" s="10">
        <f>58.5078 * CHOOSE(CONTROL!$C$15, $E$9, 100%, $G$9) + CHOOSE(CONTROL!$C$38, 0.0278, 0)</f>
        <v>58.535600000000002</v>
      </c>
      <c r="C796" s="10">
        <f>53.9831 * CHOOSE(CONTROL!$C$15, $E$9, 100%, $G$9) + CHOOSE(CONTROL!$C$38, 0.0369, 0)</f>
        <v>54.02</v>
      </c>
      <c r="D796" s="10">
        <f>53.9753 * CHOOSE(CONTROL!$C$15, $E$9, 100%, $G$9) + CHOOSE(CONTROL!$C$38, 0.0369, 0)</f>
        <v>54.0122</v>
      </c>
      <c r="E796" s="28">
        <f>58.3516 * CHOOSE(CONTROL!$C$15, $E$9, 100%, $G$9) + CHOOSE(CONTROL!$C$38, 0.0369, 0)</f>
        <v>58.388500000000001</v>
      </c>
      <c r="F796" s="27">
        <f>58.3516 * CHOOSE(CONTROL!$C$15, $E$9, 100%, $G$9) + CHOOSE(CONTROL!$C$38, 0.0278, 0)</f>
        <v>58.379399999999997</v>
      </c>
      <c r="G796" s="10">
        <f>53.9816 * CHOOSE(CONTROL!$C$15, $E$9, 100%, $G$9) + CHOOSE(CONTROL!$C$38, 0.0369, 0)</f>
        <v>54.018500000000003</v>
      </c>
      <c r="H796" s="10">
        <f>53.9816 * CHOOSE(CONTROL!$C$15, $E$9, 100%, $G$9) + CHOOSE(CONTROL!$C$38, 0.0369, 0)</f>
        <v>54.018500000000003</v>
      </c>
      <c r="I796" s="10">
        <f>53.9831 * CHOOSE(CONTROL!$C$15, $E$9, 100%, $G$9) + CHOOSE(CONTROL!$C$38, 0.0369, 0)</f>
        <v>54.02</v>
      </c>
      <c r="J796" s="26">
        <f>396.9445</f>
        <v>396.94450000000001</v>
      </c>
    </row>
    <row r="797" spans="1:10" ht="15.75" x14ac:dyDescent="0.25">
      <c r="A797" s="13">
        <v>65561</v>
      </c>
      <c r="B797" s="10">
        <f>58.146 * CHOOSE(CONTROL!$C$15, $E$9, 100%, $G$9) + CHOOSE(CONTROL!$C$38, 0.0278, 0)</f>
        <v>58.1738</v>
      </c>
      <c r="C797" s="10">
        <f>53.6213 * CHOOSE(CONTROL!$C$15, $E$9, 100%, $G$9) + CHOOSE(CONTROL!$C$38, 0.0369, 0)</f>
        <v>53.658200000000001</v>
      </c>
      <c r="D797" s="10">
        <f>53.6135 * CHOOSE(CONTROL!$C$15, $E$9, 100%, $G$9) + CHOOSE(CONTROL!$C$38, 0.0369, 0)</f>
        <v>53.650400000000005</v>
      </c>
      <c r="E797" s="28">
        <f>57.9898 * CHOOSE(CONTROL!$C$15, $E$9, 100%, $G$9) + CHOOSE(CONTROL!$C$38, 0.0369, 0)</f>
        <v>58.026700000000005</v>
      </c>
      <c r="F797" s="27">
        <f>57.9898 * CHOOSE(CONTROL!$C$15, $E$9, 100%, $G$9) + CHOOSE(CONTROL!$C$38, 0.0278, 0)</f>
        <v>58.017600000000002</v>
      </c>
      <c r="G797" s="10">
        <f>53.6198 * CHOOSE(CONTROL!$C$15, $E$9, 100%, $G$9) + CHOOSE(CONTROL!$C$38, 0.0369, 0)</f>
        <v>53.656700000000001</v>
      </c>
      <c r="H797" s="10">
        <f>53.6198 * CHOOSE(CONTROL!$C$15, $E$9, 100%, $G$9) + CHOOSE(CONTROL!$C$38, 0.0369, 0)</f>
        <v>53.656700000000001</v>
      </c>
      <c r="I797" s="10">
        <f>53.6213 * CHOOSE(CONTROL!$C$15, $E$9, 100%, $G$9) + CHOOSE(CONTROL!$C$38, 0.0369, 0)</f>
        <v>53.658200000000001</v>
      </c>
      <c r="J797" s="26">
        <f>402.664</f>
        <v>402.66399999999999</v>
      </c>
    </row>
    <row r="798" spans="1:10" ht="15.75" x14ac:dyDescent="0.25">
      <c r="A798" s="13">
        <v>65592</v>
      </c>
      <c r="B798" s="10">
        <f>57.9395 * CHOOSE(CONTROL!$C$15, $E$9, 100%, $G$9) + CHOOSE(CONTROL!$C$38, 0.0278, 0)</f>
        <v>57.967300000000002</v>
      </c>
      <c r="C798" s="10">
        <f>53.4148 * CHOOSE(CONTROL!$C$15, $E$9, 100%, $G$9) + CHOOSE(CONTROL!$C$38, 0.0369, 0)</f>
        <v>53.451700000000002</v>
      </c>
      <c r="D798" s="10">
        <f>53.407 * CHOOSE(CONTROL!$C$15, $E$9, 100%, $G$9) + CHOOSE(CONTROL!$C$38, 0.0369, 0)</f>
        <v>53.443899999999999</v>
      </c>
      <c r="E798" s="28">
        <f>57.7833 * CHOOSE(CONTROL!$C$15, $E$9, 100%, $G$9) + CHOOSE(CONTROL!$C$38, 0.0369, 0)</f>
        <v>57.8202</v>
      </c>
      <c r="F798" s="27">
        <f>57.7833 * CHOOSE(CONTROL!$C$15, $E$9, 100%, $G$9) + CHOOSE(CONTROL!$C$38, 0.0278, 0)</f>
        <v>57.811099999999996</v>
      </c>
      <c r="G798" s="10">
        <f>53.4133 * CHOOSE(CONTROL!$C$15, $E$9, 100%, $G$9) + CHOOSE(CONTROL!$C$38, 0.0369, 0)</f>
        <v>53.450200000000002</v>
      </c>
      <c r="H798" s="10">
        <f>53.4133 * CHOOSE(CONTROL!$C$15, $E$9, 100%, $G$9) + CHOOSE(CONTROL!$C$38, 0.0369, 0)</f>
        <v>53.450200000000002</v>
      </c>
      <c r="I798" s="10">
        <f>53.4148 * CHOOSE(CONTROL!$C$15, $E$9, 100%, $G$9) + CHOOSE(CONTROL!$C$38, 0.0369, 0)</f>
        <v>53.451700000000002</v>
      </c>
      <c r="J798" s="26">
        <f>400.7809</f>
        <v>400.78089999999997</v>
      </c>
    </row>
    <row r="799" spans="1:10" ht="15.75" x14ac:dyDescent="0.25">
      <c r="A799" s="13">
        <v>65623</v>
      </c>
      <c r="B799" s="10">
        <f>58.0414 * CHOOSE(CONTROL!$C$15, $E$9, 100%, $G$9) + CHOOSE(CONTROL!$C$38, 0.0278, 0)</f>
        <v>58.069200000000002</v>
      </c>
      <c r="C799" s="10">
        <f>53.5167 * CHOOSE(CONTROL!$C$15, $E$9, 100%, $G$9) + CHOOSE(CONTROL!$C$38, 0.0369, 0)</f>
        <v>53.553600000000003</v>
      </c>
      <c r="D799" s="10">
        <f>53.5089 * CHOOSE(CONTROL!$C$15, $E$9, 100%, $G$9) + CHOOSE(CONTROL!$C$38, 0.0369, 0)</f>
        <v>53.5458</v>
      </c>
      <c r="E799" s="28">
        <f>57.8852 * CHOOSE(CONTROL!$C$15, $E$9, 100%, $G$9) + CHOOSE(CONTROL!$C$38, 0.0369, 0)</f>
        <v>57.9221</v>
      </c>
      <c r="F799" s="27">
        <f>57.8852 * CHOOSE(CONTROL!$C$15, $E$9, 100%, $G$9) + CHOOSE(CONTROL!$C$38, 0.0278, 0)</f>
        <v>57.912999999999997</v>
      </c>
      <c r="G799" s="10">
        <f>53.5152 * CHOOSE(CONTROL!$C$15, $E$9, 100%, $G$9) + CHOOSE(CONTROL!$C$38, 0.0369, 0)</f>
        <v>53.552100000000003</v>
      </c>
      <c r="H799" s="10">
        <f>53.5152 * CHOOSE(CONTROL!$C$15, $E$9, 100%, $G$9) + CHOOSE(CONTROL!$C$38, 0.0369, 0)</f>
        <v>53.552100000000003</v>
      </c>
      <c r="I799" s="10">
        <f>53.5167 * CHOOSE(CONTROL!$C$15, $E$9, 100%, $G$9) + CHOOSE(CONTROL!$C$38, 0.0369, 0)</f>
        <v>53.553600000000003</v>
      </c>
      <c r="J799" s="26">
        <f>391.4509</f>
        <v>391.45089999999999</v>
      </c>
    </row>
    <row r="800" spans="1:10" ht="15.75" x14ac:dyDescent="0.25">
      <c r="A800" s="13">
        <v>65653</v>
      </c>
      <c r="B800" s="10">
        <f>58.3182 * CHOOSE(CONTROL!$C$15, $E$9, 100%, $G$9) + CHOOSE(CONTROL!$C$38, 0.0278, 0)</f>
        <v>58.345999999999997</v>
      </c>
      <c r="C800" s="10">
        <f>53.7935 * CHOOSE(CONTROL!$C$15, $E$9, 100%, $G$9) + CHOOSE(CONTROL!$C$38, 0.0369, 0)</f>
        <v>53.830400000000004</v>
      </c>
      <c r="D800" s="10">
        <f>53.7857 * CHOOSE(CONTROL!$C$15, $E$9, 100%, $G$9) + CHOOSE(CONTROL!$C$38, 0.0369, 0)</f>
        <v>53.822600000000001</v>
      </c>
      <c r="E800" s="28">
        <f>58.162 * CHOOSE(CONTROL!$C$15, $E$9, 100%, $G$9) + CHOOSE(CONTROL!$C$38, 0.0369, 0)</f>
        <v>58.198900000000002</v>
      </c>
      <c r="F800" s="27">
        <f>58.162 * CHOOSE(CONTROL!$C$15, $E$9, 100%, $G$9) + CHOOSE(CONTROL!$C$38, 0.0278, 0)</f>
        <v>58.189799999999998</v>
      </c>
      <c r="G800" s="10">
        <f>53.792 * CHOOSE(CONTROL!$C$15, $E$9, 100%, $G$9) + CHOOSE(CONTROL!$C$38, 0.0369, 0)</f>
        <v>53.828900000000004</v>
      </c>
      <c r="H800" s="10">
        <f>53.792 * CHOOSE(CONTROL!$C$15, $E$9, 100%, $G$9) + CHOOSE(CONTROL!$C$38, 0.0369, 0)</f>
        <v>53.828900000000004</v>
      </c>
      <c r="I800" s="10">
        <f>53.7935 * CHOOSE(CONTROL!$C$15, $E$9, 100%, $G$9) + CHOOSE(CONTROL!$C$38, 0.0369, 0)</f>
        <v>53.830400000000004</v>
      </c>
      <c r="J800" s="26">
        <f>378.4397</f>
        <v>378.43970000000002</v>
      </c>
    </row>
    <row r="801" spans="1:10" ht="15.75" x14ac:dyDescent="0.25">
      <c r="A801" s="13">
        <v>65684</v>
      </c>
      <c r="B801" s="10">
        <f>58.55 * CHOOSE(CONTROL!$C$15, $E$9, 100%, $G$9) + CHOOSE(CONTROL!$C$38, 0.0256, 0)</f>
        <v>58.575599999999994</v>
      </c>
      <c r="C801" s="10">
        <f>54.0254 * CHOOSE(CONTROL!$C$15, $E$9, 100%, $G$9) + CHOOSE(CONTROL!$C$38, 0.0347, 0)</f>
        <v>54.060099999999998</v>
      </c>
      <c r="D801" s="10">
        <f>54.0175 * CHOOSE(CONTROL!$C$15, $E$9, 100%, $G$9) + CHOOSE(CONTROL!$C$38, 0.0347, 0)</f>
        <v>54.052199999999999</v>
      </c>
      <c r="E801" s="28">
        <f>58.3938 * CHOOSE(CONTROL!$C$15, $E$9, 100%, $G$9) + CHOOSE(CONTROL!$C$38, 0.0347, 0)</f>
        <v>58.4285</v>
      </c>
      <c r="F801" s="27">
        <f>58.3938 * CHOOSE(CONTROL!$C$15, $E$9, 100%, $G$9) + CHOOSE(CONTROL!$C$38, 0.0256, 0)</f>
        <v>58.419399999999996</v>
      </c>
      <c r="G801" s="10">
        <f>54.0238 * CHOOSE(CONTROL!$C$15, $E$9, 100%, $G$9) + CHOOSE(CONTROL!$C$38, 0.0347, 0)</f>
        <v>54.058500000000002</v>
      </c>
      <c r="H801" s="10">
        <f>54.0238 * CHOOSE(CONTROL!$C$15, $E$9, 100%, $G$9) + CHOOSE(CONTROL!$C$38, 0.0347, 0)</f>
        <v>54.058500000000002</v>
      </c>
      <c r="I801" s="10">
        <f>54.0254 * CHOOSE(CONTROL!$C$15, $E$9, 100%, $G$9) + CHOOSE(CONTROL!$C$38, 0.0347, 0)</f>
        <v>54.060099999999998</v>
      </c>
      <c r="J801" s="26">
        <f>365.3529</f>
        <v>365.35289999999998</v>
      </c>
    </row>
    <row r="802" spans="1:10" ht="15.75" x14ac:dyDescent="0.25">
      <c r="A802" s="13">
        <v>65714</v>
      </c>
      <c r="B802" s="10">
        <f>58.7435 * CHOOSE(CONTROL!$C$15, $E$9, 100%, $G$9) + CHOOSE(CONTROL!$C$38, 0.0256, 0)</f>
        <v>58.769099999999995</v>
      </c>
      <c r="C802" s="10">
        <f>54.2188 * CHOOSE(CONTROL!$C$15, $E$9, 100%, $G$9) + CHOOSE(CONTROL!$C$38, 0.0347, 0)</f>
        <v>54.253500000000003</v>
      </c>
      <c r="D802" s="10">
        <f>54.211 * CHOOSE(CONTROL!$C$15, $E$9, 100%, $G$9) + CHOOSE(CONTROL!$C$38, 0.0347, 0)</f>
        <v>54.245699999999999</v>
      </c>
      <c r="E802" s="28">
        <f>58.5872 * CHOOSE(CONTROL!$C$15, $E$9, 100%, $G$9) + CHOOSE(CONTROL!$C$38, 0.0347, 0)</f>
        <v>58.621900000000004</v>
      </c>
      <c r="F802" s="27">
        <f>58.5872 * CHOOSE(CONTROL!$C$15, $E$9, 100%, $G$9) + CHOOSE(CONTROL!$C$38, 0.0256, 0)</f>
        <v>58.6128</v>
      </c>
      <c r="G802" s="10">
        <f>54.2172 * CHOOSE(CONTROL!$C$15, $E$9, 100%, $G$9) + CHOOSE(CONTROL!$C$38, 0.0347, 0)</f>
        <v>54.251899999999999</v>
      </c>
      <c r="H802" s="10">
        <f>54.2172 * CHOOSE(CONTROL!$C$15, $E$9, 100%, $G$9) + CHOOSE(CONTROL!$C$38, 0.0347, 0)</f>
        <v>54.251899999999999</v>
      </c>
      <c r="I802" s="10">
        <f>54.2188 * CHOOSE(CONTROL!$C$15, $E$9, 100%, $G$9) + CHOOSE(CONTROL!$C$38, 0.0347, 0)</f>
        <v>54.253500000000003</v>
      </c>
      <c r="J802" s="26">
        <f>362.7497</f>
        <v>362.74970000000002</v>
      </c>
    </row>
    <row r="803" spans="1:10" ht="15.75" x14ac:dyDescent="0.25">
      <c r="A803" s="13">
        <v>65745</v>
      </c>
      <c r="B803" s="10">
        <f>59.3396 * CHOOSE(CONTROL!$C$15, $E$9, 100%, $G$9) + CHOOSE(CONTROL!$C$38, 0.0256, 0)</f>
        <v>59.365199999999994</v>
      </c>
      <c r="C803" s="10">
        <f>54.8149 * CHOOSE(CONTROL!$C$15, $E$9, 100%, $G$9) + CHOOSE(CONTROL!$C$38, 0.0347, 0)</f>
        <v>54.849600000000002</v>
      </c>
      <c r="D803" s="10">
        <f>54.8071 * CHOOSE(CONTROL!$C$15, $E$9, 100%, $G$9) + CHOOSE(CONTROL!$C$38, 0.0347, 0)</f>
        <v>54.841799999999999</v>
      </c>
      <c r="E803" s="28">
        <f>59.1833 * CHOOSE(CONTROL!$C$15, $E$9, 100%, $G$9) + CHOOSE(CONTROL!$C$38, 0.0347, 0)</f>
        <v>59.218000000000004</v>
      </c>
      <c r="F803" s="27">
        <f>59.1833 * CHOOSE(CONTROL!$C$15, $E$9, 100%, $G$9) + CHOOSE(CONTROL!$C$38, 0.0256, 0)</f>
        <v>59.2089</v>
      </c>
      <c r="G803" s="10">
        <f>54.8133 * CHOOSE(CONTROL!$C$15, $E$9, 100%, $G$9) + CHOOSE(CONTROL!$C$38, 0.0347, 0)</f>
        <v>54.847999999999999</v>
      </c>
      <c r="H803" s="10">
        <f>54.8133 * CHOOSE(CONTROL!$C$15, $E$9, 100%, $G$9) + CHOOSE(CONTROL!$C$38, 0.0347, 0)</f>
        <v>54.847999999999999</v>
      </c>
      <c r="I803" s="10">
        <f>54.8149 * CHOOSE(CONTROL!$C$15, $E$9, 100%, $G$9) + CHOOSE(CONTROL!$C$38, 0.0347, 0)</f>
        <v>54.849600000000002</v>
      </c>
      <c r="J803" s="26">
        <f>351.985</f>
        <v>351.98500000000001</v>
      </c>
    </row>
    <row r="804" spans="1:10" ht="15.75" x14ac:dyDescent="0.25">
      <c r="A804" s="13">
        <v>65776</v>
      </c>
      <c r="B804" s="10">
        <f>60.8379 * CHOOSE(CONTROL!$C$15, $E$9, 100%, $G$9) + CHOOSE(CONTROL!$C$38, 0.0256, 0)</f>
        <v>60.863499999999995</v>
      </c>
      <c r="C804" s="10">
        <f>56.2361 * CHOOSE(CONTROL!$C$15, $E$9, 100%, $G$9) + CHOOSE(CONTROL!$C$38, 0.0347, 0)</f>
        <v>56.270800000000001</v>
      </c>
      <c r="D804" s="10">
        <f>56.2283 * CHOOSE(CONTROL!$C$15, $E$9, 100%, $G$9) + CHOOSE(CONTROL!$C$38, 0.0347, 0)</f>
        <v>56.262999999999998</v>
      </c>
      <c r="E804" s="28">
        <f>60.6817 * CHOOSE(CONTROL!$C$15, $E$9, 100%, $G$9) + CHOOSE(CONTROL!$C$38, 0.0347, 0)</f>
        <v>60.7164</v>
      </c>
      <c r="F804" s="27">
        <f>60.6817 * CHOOSE(CONTROL!$C$15, $E$9, 100%, $G$9) + CHOOSE(CONTROL!$C$38, 0.0256, 0)</f>
        <v>60.707299999999996</v>
      </c>
      <c r="G804" s="10">
        <f>56.2345 * CHOOSE(CONTROL!$C$15, $E$9, 100%, $G$9) + CHOOSE(CONTROL!$C$38, 0.0347, 0)</f>
        <v>56.269199999999998</v>
      </c>
      <c r="H804" s="10">
        <f>56.2345 * CHOOSE(CONTROL!$C$15, $E$9, 100%, $G$9) + CHOOSE(CONTROL!$C$38, 0.0347, 0)</f>
        <v>56.269199999999998</v>
      </c>
      <c r="I804" s="10">
        <f>56.2361 * CHOOSE(CONTROL!$C$15, $E$9, 100%, $G$9) + CHOOSE(CONTROL!$C$38, 0.0347, 0)</f>
        <v>56.270800000000001</v>
      </c>
      <c r="J804" s="26">
        <f>349.6273</f>
        <v>349.62729999999999</v>
      </c>
    </row>
    <row r="805" spans="1:10" ht="15.75" x14ac:dyDescent="0.25">
      <c r="A805" s="13">
        <v>65805</v>
      </c>
      <c r="B805" s="10">
        <f>61.0587 * CHOOSE(CONTROL!$C$15, $E$9, 100%, $G$9) + CHOOSE(CONTROL!$C$38, 0.0256, 0)</f>
        <v>61.084299999999999</v>
      </c>
      <c r="C805" s="10">
        <f>56.4568 * CHOOSE(CONTROL!$C$15, $E$9, 100%, $G$9) + CHOOSE(CONTROL!$C$38, 0.0347, 0)</f>
        <v>56.491500000000002</v>
      </c>
      <c r="D805" s="10">
        <f>56.449 * CHOOSE(CONTROL!$C$15, $E$9, 100%, $G$9) + CHOOSE(CONTROL!$C$38, 0.0347, 0)</f>
        <v>56.483699999999999</v>
      </c>
      <c r="E805" s="28">
        <f>60.9024 * CHOOSE(CONTROL!$C$15, $E$9, 100%, $G$9) + CHOOSE(CONTROL!$C$38, 0.0347, 0)</f>
        <v>60.937100000000001</v>
      </c>
      <c r="F805" s="27">
        <f>60.9024 * CHOOSE(CONTROL!$C$15, $E$9, 100%, $G$9) + CHOOSE(CONTROL!$C$38, 0.0256, 0)</f>
        <v>60.927999999999997</v>
      </c>
      <c r="G805" s="10">
        <f>56.4553 * CHOOSE(CONTROL!$C$15, $E$9, 100%, $G$9) + CHOOSE(CONTROL!$C$38, 0.0347, 0)</f>
        <v>56.49</v>
      </c>
      <c r="H805" s="10">
        <f>56.4553 * CHOOSE(CONTROL!$C$15, $E$9, 100%, $G$9) + CHOOSE(CONTROL!$C$38, 0.0347, 0)</f>
        <v>56.49</v>
      </c>
      <c r="I805" s="10">
        <f>56.4568 * CHOOSE(CONTROL!$C$15, $E$9, 100%, $G$9) + CHOOSE(CONTROL!$C$38, 0.0347, 0)</f>
        <v>56.491500000000002</v>
      </c>
      <c r="J805" s="26">
        <f>348.6554</f>
        <v>348.65539999999999</v>
      </c>
    </row>
    <row r="806" spans="1:10" ht="15.75" x14ac:dyDescent="0.25">
      <c r="A806" s="13">
        <v>65836</v>
      </c>
      <c r="B806" s="10">
        <f>60.5477 * CHOOSE(CONTROL!$C$15, $E$9, 100%, $G$9) + CHOOSE(CONTROL!$C$38, 0.0256, 0)</f>
        <v>60.573299999999996</v>
      </c>
      <c r="C806" s="10">
        <f>55.9458 * CHOOSE(CONTROL!$C$15, $E$9, 100%, $G$9) + CHOOSE(CONTROL!$C$38, 0.0347, 0)</f>
        <v>55.980499999999999</v>
      </c>
      <c r="D806" s="10">
        <f>55.938 * CHOOSE(CONTROL!$C$15, $E$9, 100%, $G$9) + CHOOSE(CONTROL!$C$38, 0.0347, 0)</f>
        <v>55.972700000000003</v>
      </c>
      <c r="E806" s="28">
        <f>60.3914 * CHOOSE(CONTROL!$C$15, $E$9, 100%, $G$9) + CHOOSE(CONTROL!$C$38, 0.0347, 0)</f>
        <v>60.426099999999998</v>
      </c>
      <c r="F806" s="27">
        <f>60.3914 * CHOOSE(CONTROL!$C$15, $E$9, 100%, $G$9) + CHOOSE(CONTROL!$C$38, 0.0256, 0)</f>
        <v>60.416999999999994</v>
      </c>
      <c r="G806" s="10">
        <f>55.9442 * CHOOSE(CONTROL!$C$15, $E$9, 100%, $G$9) + CHOOSE(CONTROL!$C$38, 0.0347, 0)</f>
        <v>55.978900000000003</v>
      </c>
      <c r="H806" s="10">
        <f>55.9442 * CHOOSE(CONTROL!$C$15, $E$9, 100%, $G$9) + CHOOSE(CONTROL!$C$38, 0.0347, 0)</f>
        <v>55.978900000000003</v>
      </c>
      <c r="I806" s="10">
        <f>55.9458 * CHOOSE(CONTROL!$C$15, $E$9, 100%, $G$9) + CHOOSE(CONTROL!$C$38, 0.0347, 0)</f>
        <v>55.980499999999999</v>
      </c>
      <c r="J806" s="26">
        <f>367.0316</f>
        <v>367.03160000000003</v>
      </c>
    </row>
    <row r="807" spans="1:10" ht="15.75" x14ac:dyDescent="0.25">
      <c r="A807" s="13">
        <v>65866</v>
      </c>
      <c r="B807" s="10">
        <f>60.0525 * CHOOSE(CONTROL!$C$15, $E$9, 100%, $G$9) + CHOOSE(CONTROL!$C$38, 0.0256, 0)</f>
        <v>60.078099999999999</v>
      </c>
      <c r="C807" s="10">
        <f>55.4506 * CHOOSE(CONTROL!$C$15, $E$9, 100%, $G$9) + CHOOSE(CONTROL!$C$38, 0.0347, 0)</f>
        <v>55.485300000000002</v>
      </c>
      <c r="D807" s="10">
        <f>55.4428 * CHOOSE(CONTROL!$C$15, $E$9, 100%, $G$9) + CHOOSE(CONTROL!$C$38, 0.0347, 0)</f>
        <v>55.477499999999999</v>
      </c>
      <c r="E807" s="28">
        <f>59.8962 * CHOOSE(CONTROL!$C$15, $E$9, 100%, $G$9) + CHOOSE(CONTROL!$C$38, 0.0347, 0)</f>
        <v>59.930900000000001</v>
      </c>
      <c r="F807" s="27">
        <f>59.8962 * CHOOSE(CONTROL!$C$15, $E$9, 100%, $G$9) + CHOOSE(CONTROL!$C$38, 0.0256, 0)</f>
        <v>59.921799999999998</v>
      </c>
      <c r="G807" s="10">
        <f>55.4491 * CHOOSE(CONTROL!$C$15, $E$9, 100%, $G$9) + CHOOSE(CONTROL!$C$38, 0.0347, 0)</f>
        <v>55.483800000000002</v>
      </c>
      <c r="H807" s="10">
        <f>55.4491 * CHOOSE(CONTROL!$C$15, $E$9, 100%, $G$9) + CHOOSE(CONTROL!$C$38, 0.0347, 0)</f>
        <v>55.483800000000002</v>
      </c>
      <c r="I807" s="10">
        <f>55.4506 * CHOOSE(CONTROL!$C$15, $E$9, 100%, $G$9) + CHOOSE(CONTROL!$C$38, 0.0347, 0)</f>
        <v>55.485300000000002</v>
      </c>
      <c r="J807" s="26">
        <f>390.8611</f>
        <v>390.86110000000002</v>
      </c>
    </row>
    <row r="808" spans="1:10" ht="15.75" x14ac:dyDescent="0.25">
      <c r="A808" s="13">
        <v>65897</v>
      </c>
      <c r="B808" s="10">
        <f>59.5364 * CHOOSE(CONTROL!$C$15, $E$9, 100%, $G$9) + CHOOSE(CONTROL!$C$38, 0.0278, 0)</f>
        <v>59.5642</v>
      </c>
      <c r="C808" s="10">
        <f>54.9345 * CHOOSE(CONTROL!$C$15, $E$9, 100%, $G$9) + CHOOSE(CONTROL!$C$38, 0.0369, 0)</f>
        <v>54.971400000000003</v>
      </c>
      <c r="D808" s="10">
        <f>54.9267 * CHOOSE(CONTROL!$C$15, $E$9, 100%, $G$9) + CHOOSE(CONTROL!$C$38, 0.0369, 0)</f>
        <v>54.9636</v>
      </c>
      <c r="E808" s="28">
        <f>59.3801 * CHOOSE(CONTROL!$C$15, $E$9, 100%, $G$9) + CHOOSE(CONTROL!$C$38, 0.0369, 0)</f>
        <v>59.417000000000002</v>
      </c>
      <c r="F808" s="27">
        <f>59.3801 * CHOOSE(CONTROL!$C$15, $E$9, 100%, $G$9) + CHOOSE(CONTROL!$C$38, 0.0278, 0)</f>
        <v>59.407899999999998</v>
      </c>
      <c r="G808" s="10">
        <f>54.9329 * CHOOSE(CONTROL!$C$15, $E$9, 100%, $G$9) + CHOOSE(CONTROL!$C$38, 0.0369, 0)</f>
        <v>54.969799999999999</v>
      </c>
      <c r="H808" s="10">
        <f>54.9329 * CHOOSE(CONTROL!$C$15, $E$9, 100%, $G$9) + CHOOSE(CONTROL!$C$38, 0.0369, 0)</f>
        <v>54.969799999999999</v>
      </c>
      <c r="I808" s="10">
        <f>54.9345 * CHOOSE(CONTROL!$C$15, $E$9, 100%, $G$9) + CHOOSE(CONTROL!$C$38, 0.0369, 0)</f>
        <v>54.971400000000003</v>
      </c>
      <c r="J808" s="26">
        <f>403.9776</f>
        <v>403.9776</v>
      </c>
    </row>
    <row r="809" spans="1:10" ht="15.75" x14ac:dyDescent="0.25">
      <c r="A809" s="13">
        <v>65927</v>
      </c>
      <c r="B809" s="10">
        <f>59.1745 * CHOOSE(CONTROL!$C$15, $E$9, 100%, $G$9) + CHOOSE(CONTROL!$C$38, 0.0278, 0)</f>
        <v>59.202300000000001</v>
      </c>
      <c r="C809" s="10">
        <f>54.5727 * CHOOSE(CONTROL!$C$15, $E$9, 100%, $G$9) + CHOOSE(CONTROL!$C$38, 0.0369, 0)</f>
        <v>54.6096</v>
      </c>
      <c r="D809" s="10">
        <f>54.5649 * CHOOSE(CONTROL!$C$15, $E$9, 100%, $G$9) + CHOOSE(CONTROL!$C$38, 0.0369, 0)</f>
        <v>54.601800000000004</v>
      </c>
      <c r="E809" s="28">
        <f>59.0183 * CHOOSE(CONTROL!$C$15, $E$9, 100%, $G$9) + CHOOSE(CONTROL!$C$38, 0.0369, 0)</f>
        <v>59.055200000000006</v>
      </c>
      <c r="F809" s="27">
        <f>59.0183 * CHOOSE(CONTROL!$C$15, $E$9, 100%, $G$9) + CHOOSE(CONTROL!$C$38, 0.0278, 0)</f>
        <v>59.046100000000003</v>
      </c>
      <c r="G809" s="10">
        <f>54.5711 * CHOOSE(CONTROL!$C$15, $E$9, 100%, $G$9) + CHOOSE(CONTROL!$C$38, 0.0369, 0)</f>
        <v>54.608000000000004</v>
      </c>
      <c r="H809" s="10">
        <f>54.5711 * CHOOSE(CONTROL!$C$15, $E$9, 100%, $G$9) + CHOOSE(CONTROL!$C$38, 0.0369, 0)</f>
        <v>54.608000000000004</v>
      </c>
      <c r="I809" s="10">
        <f>54.5727 * CHOOSE(CONTROL!$C$15, $E$9, 100%, $G$9) + CHOOSE(CONTROL!$C$38, 0.0369, 0)</f>
        <v>54.6096</v>
      </c>
      <c r="J809" s="26">
        <f>409.7985</f>
        <v>409.79849999999999</v>
      </c>
    </row>
    <row r="810" spans="1:10" ht="15.75" x14ac:dyDescent="0.25">
      <c r="A810" s="13">
        <v>65958</v>
      </c>
      <c r="B810" s="10">
        <f>58.9681 * CHOOSE(CONTROL!$C$15, $E$9, 100%, $G$9) + CHOOSE(CONTROL!$C$38, 0.0278, 0)</f>
        <v>58.995899999999999</v>
      </c>
      <c r="C810" s="10">
        <f>54.3662 * CHOOSE(CONTROL!$C$15, $E$9, 100%, $G$9) + CHOOSE(CONTROL!$C$38, 0.0369, 0)</f>
        <v>54.403100000000002</v>
      </c>
      <c r="D810" s="10">
        <f>54.3584 * CHOOSE(CONTROL!$C$15, $E$9, 100%, $G$9) + CHOOSE(CONTROL!$C$38, 0.0369, 0)</f>
        <v>54.395300000000006</v>
      </c>
      <c r="E810" s="28">
        <f>58.8118 * CHOOSE(CONTROL!$C$15, $E$9, 100%, $G$9) + CHOOSE(CONTROL!$C$38, 0.0369, 0)</f>
        <v>58.848700000000001</v>
      </c>
      <c r="F810" s="27">
        <f>58.8118 * CHOOSE(CONTROL!$C$15, $E$9, 100%, $G$9) + CHOOSE(CONTROL!$C$38, 0.0278, 0)</f>
        <v>58.839599999999997</v>
      </c>
      <c r="G810" s="10">
        <f>54.3646 * CHOOSE(CONTROL!$C$15, $E$9, 100%, $G$9) + CHOOSE(CONTROL!$C$38, 0.0369, 0)</f>
        <v>54.401500000000006</v>
      </c>
      <c r="H810" s="10">
        <f>54.3646 * CHOOSE(CONTROL!$C$15, $E$9, 100%, $G$9) + CHOOSE(CONTROL!$C$38, 0.0369, 0)</f>
        <v>54.401500000000006</v>
      </c>
      <c r="I810" s="10">
        <f>54.3662 * CHOOSE(CONTROL!$C$15, $E$9, 100%, $G$9) + CHOOSE(CONTROL!$C$38, 0.0369, 0)</f>
        <v>54.403100000000002</v>
      </c>
      <c r="J810" s="26">
        <f>407.882</f>
        <v>407.88200000000001</v>
      </c>
    </row>
    <row r="811" spans="1:10" ht="15.75" x14ac:dyDescent="0.25">
      <c r="A811" s="13">
        <v>65989</v>
      </c>
      <c r="B811" s="10">
        <f>59.07 * CHOOSE(CONTROL!$C$15, $E$9, 100%, $G$9) + CHOOSE(CONTROL!$C$38, 0.0278, 0)</f>
        <v>59.097799999999999</v>
      </c>
      <c r="C811" s="10">
        <f>54.4681 * CHOOSE(CONTROL!$C$15, $E$9, 100%, $G$9) + CHOOSE(CONTROL!$C$38, 0.0369, 0)</f>
        <v>54.505000000000003</v>
      </c>
      <c r="D811" s="10">
        <f>54.4603 * CHOOSE(CONTROL!$C$15, $E$9, 100%, $G$9) + CHOOSE(CONTROL!$C$38, 0.0369, 0)</f>
        <v>54.497199999999999</v>
      </c>
      <c r="E811" s="28">
        <f>58.9137 * CHOOSE(CONTROL!$C$15, $E$9, 100%, $G$9) + CHOOSE(CONTROL!$C$38, 0.0369, 0)</f>
        <v>58.950600000000001</v>
      </c>
      <c r="F811" s="27">
        <f>58.9137 * CHOOSE(CONTROL!$C$15, $E$9, 100%, $G$9) + CHOOSE(CONTROL!$C$38, 0.0278, 0)</f>
        <v>58.941499999999998</v>
      </c>
      <c r="G811" s="10">
        <f>54.4665 * CHOOSE(CONTROL!$C$15, $E$9, 100%, $G$9) + CHOOSE(CONTROL!$C$38, 0.0369, 0)</f>
        <v>54.503400000000006</v>
      </c>
      <c r="H811" s="10">
        <f>54.4665 * CHOOSE(CONTROL!$C$15, $E$9, 100%, $G$9) + CHOOSE(CONTROL!$C$38, 0.0369, 0)</f>
        <v>54.503400000000006</v>
      </c>
      <c r="I811" s="10">
        <f>54.4681 * CHOOSE(CONTROL!$C$15, $E$9, 100%, $G$9) + CHOOSE(CONTROL!$C$38, 0.0369, 0)</f>
        <v>54.505000000000003</v>
      </c>
      <c r="J811" s="26">
        <f>398.3867</f>
        <v>398.38670000000002</v>
      </c>
    </row>
    <row r="812" spans="1:10" ht="15.75" x14ac:dyDescent="0.25">
      <c r="A812" s="13">
        <v>66019</v>
      </c>
      <c r="B812" s="10">
        <f>59.3468 * CHOOSE(CONTROL!$C$15, $E$9, 100%, $G$9) + CHOOSE(CONTROL!$C$38, 0.0278, 0)</f>
        <v>59.374600000000001</v>
      </c>
      <c r="C812" s="10">
        <f>54.7449 * CHOOSE(CONTROL!$C$15, $E$9, 100%, $G$9) + CHOOSE(CONTROL!$C$38, 0.0369, 0)</f>
        <v>54.781800000000004</v>
      </c>
      <c r="D812" s="10">
        <f>54.7371 * CHOOSE(CONTROL!$C$15, $E$9, 100%, $G$9) + CHOOSE(CONTROL!$C$38, 0.0369, 0)</f>
        <v>54.774000000000001</v>
      </c>
      <c r="E812" s="28">
        <f>59.1905 * CHOOSE(CONTROL!$C$15, $E$9, 100%, $G$9) + CHOOSE(CONTROL!$C$38, 0.0369, 0)</f>
        <v>59.227400000000003</v>
      </c>
      <c r="F812" s="27">
        <f>59.1905 * CHOOSE(CONTROL!$C$15, $E$9, 100%, $G$9) + CHOOSE(CONTROL!$C$38, 0.0278, 0)</f>
        <v>59.218299999999999</v>
      </c>
      <c r="G812" s="10">
        <f>54.7433 * CHOOSE(CONTROL!$C$15, $E$9, 100%, $G$9) + CHOOSE(CONTROL!$C$38, 0.0369, 0)</f>
        <v>54.780200000000001</v>
      </c>
      <c r="H812" s="10">
        <f>54.7433 * CHOOSE(CONTROL!$C$15, $E$9, 100%, $G$9) + CHOOSE(CONTROL!$C$38, 0.0369, 0)</f>
        <v>54.780200000000001</v>
      </c>
      <c r="I812" s="10">
        <f>54.7449 * CHOOSE(CONTROL!$C$15, $E$9, 100%, $G$9) + CHOOSE(CONTROL!$C$38, 0.0369, 0)</f>
        <v>54.781800000000004</v>
      </c>
      <c r="J812" s="26">
        <f>385.145</f>
        <v>385.14499999999998</v>
      </c>
    </row>
    <row r="813" spans="1:10" ht="15.75" x14ac:dyDescent="0.25">
      <c r="A813" s="13">
        <v>66050</v>
      </c>
      <c r="B813" s="10">
        <f>59.5786 * CHOOSE(CONTROL!$C$15, $E$9, 100%, $G$9) + CHOOSE(CONTROL!$C$38, 0.0256, 0)</f>
        <v>59.604199999999999</v>
      </c>
      <c r="C813" s="10">
        <f>54.9767 * CHOOSE(CONTROL!$C$15, $E$9, 100%, $G$9) + CHOOSE(CONTROL!$C$38, 0.0347, 0)</f>
        <v>55.011400000000002</v>
      </c>
      <c r="D813" s="10">
        <f>54.9689 * CHOOSE(CONTROL!$C$15, $E$9, 100%, $G$9) + CHOOSE(CONTROL!$C$38, 0.0347, 0)</f>
        <v>55.003599999999999</v>
      </c>
      <c r="E813" s="28">
        <f>59.4223 * CHOOSE(CONTROL!$C$15, $E$9, 100%, $G$9) + CHOOSE(CONTROL!$C$38, 0.0347, 0)</f>
        <v>59.457000000000001</v>
      </c>
      <c r="F813" s="27">
        <f>59.4223 * CHOOSE(CONTROL!$C$15, $E$9, 100%, $G$9) + CHOOSE(CONTROL!$C$38, 0.0256, 0)</f>
        <v>59.447899999999997</v>
      </c>
      <c r="G813" s="10">
        <f>54.9751 * CHOOSE(CONTROL!$C$15, $E$9, 100%, $G$9) + CHOOSE(CONTROL!$C$38, 0.0347, 0)</f>
        <v>55.009799999999998</v>
      </c>
      <c r="H813" s="10">
        <f>54.9751 * CHOOSE(CONTROL!$C$15, $E$9, 100%, $G$9) + CHOOSE(CONTROL!$C$38, 0.0347, 0)</f>
        <v>55.009799999999998</v>
      </c>
      <c r="I813" s="10">
        <f>54.9767 * CHOOSE(CONTROL!$C$15, $E$9, 100%, $G$9) + CHOOSE(CONTROL!$C$38, 0.0347, 0)</f>
        <v>55.011400000000002</v>
      </c>
      <c r="J813" s="26">
        <f>371.8263</f>
        <v>371.8263</v>
      </c>
    </row>
    <row r="814" spans="1:10" ht="15.75" x14ac:dyDescent="0.25">
      <c r="A814" s="13">
        <v>66080</v>
      </c>
      <c r="B814" s="10">
        <f>59.772 * CHOOSE(CONTROL!$C$15, $E$9, 100%, $G$9) + CHOOSE(CONTROL!$C$38, 0.0256, 0)</f>
        <v>59.797599999999996</v>
      </c>
      <c r="C814" s="10">
        <f>55.1701 * CHOOSE(CONTROL!$C$15, $E$9, 100%, $G$9) + CHOOSE(CONTROL!$C$38, 0.0347, 0)</f>
        <v>55.204799999999999</v>
      </c>
      <c r="D814" s="10">
        <f>55.1623 * CHOOSE(CONTROL!$C$15, $E$9, 100%, $G$9) + CHOOSE(CONTROL!$C$38, 0.0347, 0)</f>
        <v>55.197000000000003</v>
      </c>
      <c r="E814" s="28">
        <f>59.6158 * CHOOSE(CONTROL!$C$15, $E$9, 100%, $G$9) + CHOOSE(CONTROL!$C$38, 0.0347, 0)</f>
        <v>59.650500000000001</v>
      </c>
      <c r="F814" s="27">
        <f>59.6158 * CHOOSE(CONTROL!$C$15, $E$9, 100%, $G$9) + CHOOSE(CONTROL!$C$38, 0.0256, 0)</f>
        <v>59.641399999999997</v>
      </c>
      <c r="G814" s="10">
        <f>55.1686 * CHOOSE(CONTROL!$C$15, $E$9, 100%, $G$9) + CHOOSE(CONTROL!$C$38, 0.0347, 0)</f>
        <v>55.203299999999999</v>
      </c>
      <c r="H814" s="10">
        <f>55.1686 * CHOOSE(CONTROL!$C$15, $E$9, 100%, $G$9) + CHOOSE(CONTROL!$C$38, 0.0347, 0)</f>
        <v>55.203299999999999</v>
      </c>
      <c r="I814" s="10">
        <f>55.1701 * CHOOSE(CONTROL!$C$15, $E$9, 100%, $G$9) + CHOOSE(CONTROL!$C$38, 0.0347, 0)</f>
        <v>55.204799999999999</v>
      </c>
      <c r="J814" s="26">
        <f>369.1769</f>
        <v>369.17689999999999</v>
      </c>
    </row>
    <row r="815" spans="1:10" ht="15.75" x14ac:dyDescent="0.25">
      <c r="A815" s="13">
        <v>66111</v>
      </c>
      <c r="B815" s="10">
        <f>60.3681 * CHOOSE(CONTROL!$C$15, $E$9, 100%, $G$9) + CHOOSE(CONTROL!$C$38, 0.0256, 0)</f>
        <v>60.393699999999995</v>
      </c>
      <c r="C815" s="10">
        <f>55.7662 * CHOOSE(CONTROL!$C$15, $E$9, 100%, $G$9) + CHOOSE(CONTROL!$C$38, 0.0347, 0)</f>
        <v>55.800899999999999</v>
      </c>
      <c r="D815" s="10">
        <f>55.7584 * CHOOSE(CONTROL!$C$15, $E$9, 100%, $G$9) + CHOOSE(CONTROL!$C$38, 0.0347, 0)</f>
        <v>55.793100000000003</v>
      </c>
      <c r="E815" s="28">
        <f>60.2118 * CHOOSE(CONTROL!$C$15, $E$9, 100%, $G$9) + CHOOSE(CONTROL!$C$38, 0.0347, 0)</f>
        <v>60.246499999999997</v>
      </c>
      <c r="F815" s="27">
        <f>60.2118 * CHOOSE(CONTROL!$C$15, $E$9, 100%, $G$9) + CHOOSE(CONTROL!$C$38, 0.0256, 0)</f>
        <v>60.237399999999994</v>
      </c>
      <c r="G815" s="10">
        <f>55.7647 * CHOOSE(CONTROL!$C$15, $E$9, 100%, $G$9) + CHOOSE(CONTROL!$C$38, 0.0347, 0)</f>
        <v>55.799399999999999</v>
      </c>
      <c r="H815" s="10">
        <f>55.7647 * CHOOSE(CONTROL!$C$15, $E$9, 100%, $G$9) + CHOOSE(CONTROL!$C$38, 0.0347, 0)</f>
        <v>55.799399999999999</v>
      </c>
      <c r="I815" s="10">
        <f>55.7662 * CHOOSE(CONTROL!$C$15, $E$9, 100%, $G$9) + CHOOSE(CONTROL!$C$38, 0.0347, 0)</f>
        <v>55.800899999999999</v>
      </c>
      <c r="J815" s="26">
        <f>358.2216</f>
        <v>358.22160000000002</v>
      </c>
    </row>
    <row r="816" spans="1:10" ht="15.75" x14ac:dyDescent="0.25">
      <c r="A816" s="13">
        <v>66142</v>
      </c>
      <c r="B816" s="10">
        <f>61.8846 * CHOOSE(CONTROL!$C$15, $E$9, 100%, $G$9) + CHOOSE(CONTROL!$C$38, 0.0256, 0)</f>
        <v>61.910199999999996</v>
      </c>
      <c r="C816" s="10">
        <f>57.2042 * CHOOSE(CONTROL!$C$15, $E$9, 100%, $G$9) + CHOOSE(CONTROL!$C$38, 0.0347, 0)</f>
        <v>57.238900000000001</v>
      </c>
      <c r="D816" s="10">
        <f>57.1964 * CHOOSE(CONTROL!$C$15, $E$9, 100%, $G$9) + CHOOSE(CONTROL!$C$38, 0.0347, 0)</f>
        <v>57.231099999999998</v>
      </c>
      <c r="E816" s="28">
        <f>61.7284 * CHOOSE(CONTROL!$C$15, $E$9, 100%, $G$9) + CHOOSE(CONTROL!$C$38, 0.0347, 0)</f>
        <v>61.763100000000001</v>
      </c>
      <c r="F816" s="27">
        <f>61.7284 * CHOOSE(CONTROL!$C$15, $E$9, 100%, $G$9) + CHOOSE(CONTROL!$C$38, 0.0256, 0)</f>
        <v>61.753999999999998</v>
      </c>
      <c r="G816" s="10">
        <f>57.2027 * CHOOSE(CONTROL!$C$15, $E$9, 100%, $G$9) + CHOOSE(CONTROL!$C$38, 0.0347, 0)</f>
        <v>57.237400000000001</v>
      </c>
      <c r="H816" s="10">
        <f>57.2027 * CHOOSE(CONTROL!$C$15, $E$9, 100%, $G$9) + CHOOSE(CONTROL!$C$38, 0.0347, 0)</f>
        <v>57.237400000000001</v>
      </c>
      <c r="I816" s="10">
        <f>57.2042 * CHOOSE(CONTROL!$C$15, $E$9, 100%, $G$9) + CHOOSE(CONTROL!$C$38, 0.0347, 0)</f>
        <v>57.238900000000001</v>
      </c>
      <c r="J816" s="26">
        <f>355.822</f>
        <v>355.822</v>
      </c>
    </row>
    <row r="817" spans="1:10" ht="15.75" x14ac:dyDescent="0.25">
      <c r="A817" s="13">
        <v>66170</v>
      </c>
      <c r="B817" s="10">
        <f>62.1054 * CHOOSE(CONTROL!$C$15, $E$9, 100%, $G$9) + CHOOSE(CONTROL!$C$38, 0.0256, 0)</f>
        <v>62.131</v>
      </c>
      <c r="C817" s="10">
        <f>57.425 * CHOOSE(CONTROL!$C$15, $E$9, 100%, $G$9) + CHOOSE(CONTROL!$C$38, 0.0347, 0)</f>
        <v>57.459699999999998</v>
      </c>
      <c r="D817" s="10">
        <f>57.4172 * CHOOSE(CONTROL!$C$15, $E$9, 100%, $G$9) + CHOOSE(CONTROL!$C$38, 0.0347, 0)</f>
        <v>57.451900000000002</v>
      </c>
      <c r="E817" s="28">
        <f>61.9492 * CHOOSE(CONTROL!$C$15, $E$9, 100%, $G$9) + CHOOSE(CONTROL!$C$38, 0.0347, 0)</f>
        <v>61.983899999999998</v>
      </c>
      <c r="F817" s="27">
        <f>61.9492 * CHOOSE(CONTROL!$C$15, $E$9, 100%, $G$9) + CHOOSE(CONTROL!$C$38, 0.0256, 0)</f>
        <v>61.974799999999995</v>
      </c>
      <c r="G817" s="10">
        <f>57.4234 * CHOOSE(CONTROL!$C$15, $E$9, 100%, $G$9) + CHOOSE(CONTROL!$C$38, 0.0347, 0)</f>
        <v>57.458100000000002</v>
      </c>
      <c r="H817" s="10">
        <f>57.4234 * CHOOSE(CONTROL!$C$15, $E$9, 100%, $G$9) + CHOOSE(CONTROL!$C$38, 0.0347, 0)</f>
        <v>57.458100000000002</v>
      </c>
      <c r="I817" s="10">
        <f>57.425 * CHOOSE(CONTROL!$C$15, $E$9, 100%, $G$9) + CHOOSE(CONTROL!$C$38, 0.0347, 0)</f>
        <v>57.459699999999998</v>
      </c>
      <c r="J817" s="26">
        <f>354.833</f>
        <v>354.83300000000003</v>
      </c>
    </row>
    <row r="818" spans="1:10" ht="15.75" x14ac:dyDescent="0.25">
      <c r="A818" s="13">
        <v>66201</v>
      </c>
      <c r="B818" s="10">
        <f>61.5944 * CHOOSE(CONTROL!$C$15, $E$9, 100%, $G$9) + CHOOSE(CONTROL!$C$38, 0.0256, 0)</f>
        <v>61.62</v>
      </c>
      <c r="C818" s="10">
        <f>56.914 * CHOOSE(CONTROL!$C$15, $E$9, 100%, $G$9) + CHOOSE(CONTROL!$C$38, 0.0347, 0)</f>
        <v>56.948700000000002</v>
      </c>
      <c r="D818" s="10">
        <f>56.9061 * CHOOSE(CONTROL!$C$15, $E$9, 100%, $G$9) + CHOOSE(CONTROL!$C$38, 0.0347, 0)</f>
        <v>56.940800000000003</v>
      </c>
      <c r="E818" s="28">
        <f>61.4381 * CHOOSE(CONTROL!$C$15, $E$9, 100%, $G$9) + CHOOSE(CONTROL!$C$38, 0.0347, 0)</f>
        <v>61.472799999999999</v>
      </c>
      <c r="F818" s="27">
        <f>61.4381 * CHOOSE(CONTROL!$C$15, $E$9, 100%, $G$9) + CHOOSE(CONTROL!$C$38, 0.0256, 0)</f>
        <v>61.463699999999996</v>
      </c>
      <c r="G818" s="10">
        <f>56.9124 * CHOOSE(CONTROL!$C$15, $E$9, 100%, $G$9) + CHOOSE(CONTROL!$C$38, 0.0347, 0)</f>
        <v>56.947099999999999</v>
      </c>
      <c r="H818" s="10">
        <f>56.9124 * CHOOSE(CONTROL!$C$15, $E$9, 100%, $G$9) + CHOOSE(CONTROL!$C$38, 0.0347, 0)</f>
        <v>56.947099999999999</v>
      </c>
      <c r="I818" s="10">
        <f>56.914 * CHOOSE(CONTROL!$C$15, $E$9, 100%, $G$9) + CHOOSE(CONTROL!$C$38, 0.0347, 0)</f>
        <v>56.948700000000002</v>
      </c>
      <c r="J818" s="26">
        <f>373.5347</f>
        <v>373.53469999999999</v>
      </c>
    </row>
    <row r="819" spans="1:10" ht="15.75" x14ac:dyDescent="0.25">
      <c r="A819" s="13">
        <v>66231</v>
      </c>
      <c r="B819" s="10">
        <f>61.0992 * CHOOSE(CONTROL!$C$15, $E$9, 100%, $G$9) + CHOOSE(CONTROL!$C$38, 0.0256, 0)</f>
        <v>61.1248</v>
      </c>
      <c r="C819" s="10">
        <f>56.4188 * CHOOSE(CONTROL!$C$15, $E$9, 100%, $G$9) + CHOOSE(CONTROL!$C$38, 0.0347, 0)</f>
        <v>56.453499999999998</v>
      </c>
      <c r="D819" s="10">
        <f>56.411 * CHOOSE(CONTROL!$C$15, $E$9, 100%, $G$9) + CHOOSE(CONTROL!$C$38, 0.0347, 0)</f>
        <v>56.445700000000002</v>
      </c>
      <c r="E819" s="28">
        <f>60.9429 * CHOOSE(CONTROL!$C$15, $E$9, 100%, $G$9) + CHOOSE(CONTROL!$C$38, 0.0347, 0)</f>
        <v>60.977600000000002</v>
      </c>
      <c r="F819" s="27">
        <f>60.9429 * CHOOSE(CONTROL!$C$15, $E$9, 100%, $G$9) + CHOOSE(CONTROL!$C$38, 0.0256, 0)</f>
        <v>60.968499999999999</v>
      </c>
      <c r="G819" s="10">
        <f>56.4172 * CHOOSE(CONTROL!$C$15, $E$9, 100%, $G$9) + CHOOSE(CONTROL!$C$38, 0.0347, 0)</f>
        <v>56.451900000000002</v>
      </c>
      <c r="H819" s="10">
        <f>56.4172 * CHOOSE(CONTROL!$C$15, $E$9, 100%, $G$9) + CHOOSE(CONTROL!$C$38, 0.0347, 0)</f>
        <v>56.451900000000002</v>
      </c>
      <c r="I819" s="10">
        <f>56.4188 * CHOOSE(CONTROL!$C$15, $E$9, 100%, $G$9) + CHOOSE(CONTROL!$C$38, 0.0347, 0)</f>
        <v>56.453499999999998</v>
      </c>
      <c r="J819" s="26">
        <f>397.7864</f>
        <v>397.78640000000001</v>
      </c>
    </row>
    <row r="820" spans="1:10" ht="15.75" x14ac:dyDescent="0.25">
      <c r="A820" s="13">
        <v>66262</v>
      </c>
      <c r="B820" s="10">
        <f>60.5831 * CHOOSE(CONTROL!$C$15, $E$9, 100%, $G$9) + CHOOSE(CONTROL!$C$38, 0.0278, 0)</f>
        <v>60.610900000000001</v>
      </c>
      <c r="C820" s="10">
        <f>55.9027 * CHOOSE(CONTROL!$C$15, $E$9, 100%, $G$9) + CHOOSE(CONTROL!$C$38, 0.0369, 0)</f>
        <v>55.939600000000006</v>
      </c>
      <c r="D820" s="10">
        <f>55.8948 * CHOOSE(CONTROL!$C$15, $E$9, 100%, $G$9) + CHOOSE(CONTROL!$C$38, 0.0369, 0)</f>
        <v>55.931699999999999</v>
      </c>
      <c r="E820" s="28">
        <f>60.4268 * CHOOSE(CONTROL!$C$15, $E$9, 100%, $G$9) + CHOOSE(CONTROL!$C$38, 0.0369, 0)</f>
        <v>60.463700000000003</v>
      </c>
      <c r="F820" s="27">
        <f>60.4268 * CHOOSE(CONTROL!$C$15, $E$9, 100%, $G$9) + CHOOSE(CONTROL!$C$38, 0.0278, 0)</f>
        <v>60.454599999999999</v>
      </c>
      <c r="G820" s="10">
        <f>55.9011 * CHOOSE(CONTROL!$C$15, $E$9, 100%, $G$9) + CHOOSE(CONTROL!$C$38, 0.0369, 0)</f>
        <v>55.938000000000002</v>
      </c>
      <c r="H820" s="10">
        <f>55.9011 * CHOOSE(CONTROL!$C$15, $E$9, 100%, $G$9) + CHOOSE(CONTROL!$C$38, 0.0369, 0)</f>
        <v>55.938000000000002</v>
      </c>
      <c r="I820" s="10">
        <f>55.9027 * CHOOSE(CONTROL!$C$15, $E$9, 100%, $G$9) + CHOOSE(CONTROL!$C$38, 0.0369, 0)</f>
        <v>55.939600000000006</v>
      </c>
      <c r="J820" s="26">
        <f>411.1353</f>
        <v>411.13529999999997</v>
      </c>
    </row>
    <row r="821" spans="1:10" ht="15.75" x14ac:dyDescent="0.25">
      <c r="A821" s="13">
        <v>66292</v>
      </c>
      <c r="B821" s="10">
        <f>60.2212 * CHOOSE(CONTROL!$C$15, $E$9, 100%, $G$9) + CHOOSE(CONTROL!$C$38, 0.0278, 0)</f>
        <v>60.249000000000002</v>
      </c>
      <c r="C821" s="10">
        <f>55.5408 * CHOOSE(CONTROL!$C$15, $E$9, 100%, $G$9) + CHOOSE(CONTROL!$C$38, 0.0369, 0)</f>
        <v>55.5777</v>
      </c>
      <c r="D821" s="10">
        <f>55.533 * CHOOSE(CONTROL!$C$15, $E$9, 100%, $G$9) + CHOOSE(CONTROL!$C$38, 0.0369, 0)</f>
        <v>55.569900000000004</v>
      </c>
      <c r="E821" s="28">
        <f>60.065 * CHOOSE(CONTROL!$C$15, $E$9, 100%, $G$9) + CHOOSE(CONTROL!$C$38, 0.0369, 0)</f>
        <v>60.101900000000001</v>
      </c>
      <c r="F821" s="27">
        <f>60.065 * CHOOSE(CONTROL!$C$15, $E$9, 100%, $G$9) + CHOOSE(CONTROL!$C$38, 0.0278, 0)</f>
        <v>60.092799999999997</v>
      </c>
      <c r="G821" s="10">
        <f>55.5393 * CHOOSE(CONTROL!$C$15, $E$9, 100%, $G$9) + CHOOSE(CONTROL!$C$38, 0.0369, 0)</f>
        <v>55.5762</v>
      </c>
      <c r="H821" s="10">
        <f>55.5393 * CHOOSE(CONTROL!$C$15, $E$9, 100%, $G$9) + CHOOSE(CONTROL!$C$38, 0.0369, 0)</f>
        <v>55.5762</v>
      </c>
      <c r="I821" s="10">
        <f>55.5408 * CHOOSE(CONTROL!$C$15, $E$9, 100%, $G$9) + CHOOSE(CONTROL!$C$38, 0.0369, 0)</f>
        <v>55.5777</v>
      </c>
      <c r="J821" s="26">
        <f>417.0593</f>
        <v>417.05930000000001</v>
      </c>
    </row>
    <row r="822" spans="1:10" ht="15.75" x14ac:dyDescent="0.25">
      <c r="A822" s="13">
        <v>66323</v>
      </c>
      <c r="B822" s="10">
        <f>60.0148 * CHOOSE(CONTROL!$C$15, $E$9, 100%, $G$9) + CHOOSE(CONTROL!$C$38, 0.0278, 0)</f>
        <v>60.0426</v>
      </c>
      <c r="C822" s="10">
        <f>55.3343 * CHOOSE(CONTROL!$C$15, $E$9, 100%, $G$9) + CHOOSE(CONTROL!$C$38, 0.0369, 0)</f>
        <v>55.371200000000002</v>
      </c>
      <c r="D822" s="10">
        <f>55.3265 * CHOOSE(CONTROL!$C$15, $E$9, 100%, $G$9) + CHOOSE(CONTROL!$C$38, 0.0369, 0)</f>
        <v>55.363400000000006</v>
      </c>
      <c r="E822" s="28">
        <f>59.8585 * CHOOSE(CONTROL!$C$15, $E$9, 100%, $G$9) + CHOOSE(CONTROL!$C$38, 0.0369, 0)</f>
        <v>59.895400000000002</v>
      </c>
      <c r="F822" s="27">
        <f>59.8585 * CHOOSE(CONTROL!$C$15, $E$9, 100%, $G$9) + CHOOSE(CONTROL!$C$38, 0.0278, 0)</f>
        <v>59.886299999999999</v>
      </c>
      <c r="G822" s="10">
        <f>55.3328 * CHOOSE(CONTROL!$C$15, $E$9, 100%, $G$9) + CHOOSE(CONTROL!$C$38, 0.0369, 0)</f>
        <v>55.369700000000002</v>
      </c>
      <c r="H822" s="10">
        <f>55.3328 * CHOOSE(CONTROL!$C$15, $E$9, 100%, $G$9) + CHOOSE(CONTROL!$C$38, 0.0369, 0)</f>
        <v>55.369700000000002</v>
      </c>
      <c r="I822" s="10">
        <f>55.3343 * CHOOSE(CONTROL!$C$15, $E$9, 100%, $G$9) + CHOOSE(CONTROL!$C$38, 0.0369, 0)</f>
        <v>55.371200000000002</v>
      </c>
      <c r="J822" s="26">
        <f>415.1089</f>
        <v>415.10890000000001</v>
      </c>
    </row>
    <row r="823" spans="1:10" ht="15.75" x14ac:dyDescent="0.25">
      <c r="A823" s="13">
        <v>66354</v>
      </c>
      <c r="B823" s="10">
        <f>60.1167 * CHOOSE(CONTROL!$C$15, $E$9, 100%, $G$9) + CHOOSE(CONTROL!$C$38, 0.0278, 0)</f>
        <v>60.144500000000001</v>
      </c>
      <c r="C823" s="10">
        <f>55.4362 * CHOOSE(CONTROL!$C$15, $E$9, 100%, $G$9) + CHOOSE(CONTROL!$C$38, 0.0369, 0)</f>
        <v>55.473100000000002</v>
      </c>
      <c r="D823" s="10">
        <f>55.4284 * CHOOSE(CONTROL!$C$15, $E$9, 100%, $G$9) + CHOOSE(CONTROL!$C$38, 0.0369, 0)</f>
        <v>55.465300000000006</v>
      </c>
      <c r="E823" s="28">
        <f>59.9604 * CHOOSE(CONTROL!$C$15, $E$9, 100%, $G$9) + CHOOSE(CONTROL!$C$38, 0.0369, 0)</f>
        <v>59.997300000000003</v>
      </c>
      <c r="F823" s="27">
        <f>59.9604 * CHOOSE(CONTROL!$C$15, $E$9, 100%, $G$9) + CHOOSE(CONTROL!$C$38, 0.0278, 0)</f>
        <v>59.988199999999999</v>
      </c>
      <c r="G823" s="10">
        <f>55.4347 * CHOOSE(CONTROL!$C$15, $E$9, 100%, $G$9) + CHOOSE(CONTROL!$C$38, 0.0369, 0)</f>
        <v>55.471600000000002</v>
      </c>
      <c r="H823" s="10">
        <f>55.4347 * CHOOSE(CONTROL!$C$15, $E$9, 100%, $G$9) + CHOOSE(CONTROL!$C$38, 0.0369, 0)</f>
        <v>55.471600000000002</v>
      </c>
      <c r="I823" s="10">
        <f>55.4362 * CHOOSE(CONTROL!$C$15, $E$9, 100%, $G$9) + CHOOSE(CONTROL!$C$38, 0.0369, 0)</f>
        <v>55.473100000000002</v>
      </c>
      <c r="J823" s="26">
        <f>405.4453</f>
        <v>405.44529999999997</v>
      </c>
    </row>
    <row r="824" spans="1:10" ht="15.75" x14ac:dyDescent="0.25">
      <c r="A824" s="13">
        <v>66384</v>
      </c>
      <c r="B824" s="10">
        <f>60.3935 * CHOOSE(CONTROL!$C$15, $E$9, 100%, $G$9) + CHOOSE(CONTROL!$C$38, 0.0278, 0)</f>
        <v>60.421300000000002</v>
      </c>
      <c r="C824" s="10">
        <f>55.713 * CHOOSE(CONTROL!$C$15, $E$9, 100%, $G$9) + CHOOSE(CONTROL!$C$38, 0.0369, 0)</f>
        <v>55.749900000000004</v>
      </c>
      <c r="D824" s="10">
        <f>55.7052 * CHOOSE(CONTROL!$C$15, $E$9, 100%, $G$9) + CHOOSE(CONTROL!$C$38, 0.0369, 0)</f>
        <v>55.742100000000001</v>
      </c>
      <c r="E824" s="28">
        <f>60.2372 * CHOOSE(CONTROL!$C$15, $E$9, 100%, $G$9) + CHOOSE(CONTROL!$C$38, 0.0369, 0)</f>
        <v>60.274100000000004</v>
      </c>
      <c r="F824" s="27">
        <f>60.2372 * CHOOSE(CONTROL!$C$15, $E$9, 100%, $G$9) + CHOOSE(CONTROL!$C$38, 0.0278, 0)</f>
        <v>60.265000000000001</v>
      </c>
      <c r="G824" s="10">
        <f>55.7115 * CHOOSE(CONTROL!$C$15, $E$9, 100%, $G$9) + CHOOSE(CONTROL!$C$38, 0.0369, 0)</f>
        <v>55.748400000000004</v>
      </c>
      <c r="H824" s="10">
        <f>55.7115 * CHOOSE(CONTROL!$C$15, $E$9, 100%, $G$9) + CHOOSE(CONTROL!$C$38, 0.0369, 0)</f>
        <v>55.748400000000004</v>
      </c>
      <c r="I824" s="10">
        <f>55.713 * CHOOSE(CONTROL!$C$15, $E$9, 100%, $G$9) + CHOOSE(CONTROL!$C$38, 0.0369, 0)</f>
        <v>55.749900000000004</v>
      </c>
      <c r="J824" s="26">
        <f>391.969</f>
        <v>391.96899999999999</v>
      </c>
    </row>
    <row r="825" spans="1:10" ht="15.75" x14ac:dyDescent="0.25">
      <c r="A825" s="13">
        <v>66415</v>
      </c>
      <c r="B825" s="10">
        <f>60.6253 * CHOOSE(CONTROL!$C$15, $E$9, 100%, $G$9) + CHOOSE(CONTROL!$C$38, 0.0256, 0)</f>
        <v>60.6509</v>
      </c>
      <c r="C825" s="10">
        <f>55.9449 * CHOOSE(CONTROL!$C$15, $E$9, 100%, $G$9) + CHOOSE(CONTROL!$C$38, 0.0347, 0)</f>
        <v>55.979599999999998</v>
      </c>
      <c r="D825" s="10">
        <f>55.9371 * CHOOSE(CONTROL!$C$15, $E$9, 100%, $G$9) + CHOOSE(CONTROL!$C$38, 0.0347, 0)</f>
        <v>55.971800000000002</v>
      </c>
      <c r="E825" s="28">
        <f>60.469 * CHOOSE(CONTROL!$C$15, $E$9, 100%, $G$9) + CHOOSE(CONTROL!$C$38, 0.0347, 0)</f>
        <v>60.503700000000002</v>
      </c>
      <c r="F825" s="27">
        <f>60.469 * CHOOSE(CONTROL!$C$15, $E$9, 100%, $G$9) + CHOOSE(CONTROL!$C$38, 0.0256, 0)</f>
        <v>60.494599999999998</v>
      </c>
      <c r="G825" s="10">
        <f>55.9433 * CHOOSE(CONTROL!$C$15, $E$9, 100%, $G$9) + CHOOSE(CONTROL!$C$38, 0.0347, 0)</f>
        <v>55.978000000000002</v>
      </c>
      <c r="H825" s="10">
        <f>55.9433 * CHOOSE(CONTROL!$C$15, $E$9, 100%, $G$9) + CHOOSE(CONTROL!$C$38, 0.0347, 0)</f>
        <v>55.978000000000002</v>
      </c>
      <c r="I825" s="10">
        <f>55.9449 * CHOOSE(CONTROL!$C$15, $E$9, 100%, $G$9) + CHOOSE(CONTROL!$C$38, 0.0347, 0)</f>
        <v>55.979599999999998</v>
      </c>
      <c r="J825" s="26">
        <f>378.4143</f>
        <v>378.41430000000003</v>
      </c>
    </row>
    <row r="826" spans="1:10" ht="15.75" x14ac:dyDescent="0.25">
      <c r="A826" s="13">
        <v>66445</v>
      </c>
      <c r="B826" s="10">
        <f>60.8187 * CHOOSE(CONTROL!$C$15, $E$9, 100%, $G$9) + CHOOSE(CONTROL!$C$38, 0.0256, 0)</f>
        <v>60.844299999999997</v>
      </c>
      <c r="C826" s="10">
        <f>56.1383 * CHOOSE(CONTROL!$C$15, $E$9, 100%, $G$9) + CHOOSE(CONTROL!$C$38, 0.0347, 0)</f>
        <v>56.173000000000002</v>
      </c>
      <c r="D826" s="10">
        <f>56.1305 * CHOOSE(CONTROL!$C$15, $E$9, 100%, $G$9) + CHOOSE(CONTROL!$C$38, 0.0347, 0)</f>
        <v>56.165199999999999</v>
      </c>
      <c r="E826" s="28">
        <f>60.6625 * CHOOSE(CONTROL!$C$15, $E$9, 100%, $G$9) + CHOOSE(CONTROL!$C$38, 0.0347, 0)</f>
        <v>60.697200000000002</v>
      </c>
      <c r="F826" s="27">
        <f>60.6625 * CHOOSE(CONTROL!$C$15, $E$9, 100%, $G$9) + CHOOSE(CONTROL!$C$38, 0.0256, 0)</f>
        <v>60.688099999999999</v>
      </c>
      <c r="G826" s="10">
        <f>56.1367 * CHOOSE(CONTROL!$C$15, $E$9, 100%, $G$9) + CHOOSE(CONTROL!$C$38, 0.0347, 0)</f>
        <v>56.171399999999998</v>
      </c>
      <c r="H826" s="10">
        <f>56.1367 * CHOOSE(CONTROL!$C$15, $E$9, 100%, $G$9) + CHOOSE(CONTROL!$C$38, 0.0347, 0)</f>
        <v>56.171399999999998</v>
      </c>
      <c r="I826" s="10">
        <f>56.1383 * CHOOSE(CONTROL!$C$15, $E$9, 100%, $G$9) + CHOOSE(CONTROL!$C$38, 0.0347, 0)</f>
        <v>56.173000000000002</v>
      </c>
      <c r="J826" s="26">
        <f>375.718</f>
        <v>375.71800000000002</v>
      </c>
    </row>
    <row r="827" spans="1:10" ht="15.75" x14ac:dyDescent="0.25">
      <c r="A827" s="13">
        <v>66476</v>
      </c>
      <c r="B827" s="10">
        <f>61.4148 * CHOOSE(CONTROL!$C$15, $E$9, 100%, $G$9) + CHOOSE(CONTROL!$C$38, 0.0256, 0)</f>
        <v>61.440399999999997</v>
      </c>
      <c r="C827" s="10">
        <f>56.7344 * CHOOSE(CONTROL!$C$15, $E$9, 100%, $G$9) + CHOOSE(CONTROL!$C$38, 0.0347, 0)</f>
        <v>56.769100000000002</v>
      </c>
      <c r="D827" s="10">
        <f>56.7266 * CHOOSE(CONTROL!$C$15, $E$9, 100%, $G$9) + CHOOSE(CONTROL!$C$38, 0.0347, 0)</f>
        <v>56.761299999999999</v>
      </c>
      <c r="E827" s="28">
        <f>61.2585 * CHOOSE(CONTROL!$C$15, $E$9, 100%, $G$9) + CHOOSE(CONTROL!$C$38, 0.0347, 0)</f>
        <v>61.293199999999999</v>
      </c>
      <c r="F827" s="27">
        <f>61.2585 * CHOOSE(CONTROL!$C$15, $E$9, 100%, $G$9) + CHOOSE(CONTROL!$C$38, 0.0256, 0)</f>
        <v>61.284099999999995</v>
      </c>
      <c r="G827" s="10">
        <f>56.7328 * CHOOSE(CONTROL!$C$15, $E$9, 100%, $G$9) + CHOOSE(CONTROL!$C$38, 0.0347, 0)</f>
        <v>56.767499999999998</v>
      </c>
      <c r="H827" s="10">
        <f>56.7328 * CHOOSE(CONTROL!$C$15, $E$9, 100%, $G$9) + CHOOSE(CONTROL!$C$38, 0.0347, 0)</f>
        <v>56.767499999999998</v>
      </c>
      <c r="I827" s="10">
        <f>56.7344 * CHOOSE(CONTROL!$C$15, $E$9, 100%, $G$9) + CHOOSE(CONTROL!$C$38, 0.0347, 0)</f>
        <v>56.769100000000002</v>
      </c>
      <c r="J827" s="26">
        <f>364.5686</f>
        <v>364.5686</v>
      </c>
    </row>
    <row r="828" spans="1:10" ht="15.75" x14ac:dyDescent="0.25">
      <c r="A828" s="13">
        <v>66507</v>
      </c>
      <c r="B828" s="10">
        <f>62.9498 * CHOOSE(CONTROL!$C$15, $E$9, 100%, $G$9) + CHOOSE(CONTROL!$C$38, 0.0256, 0)</f>
        <v>62.9754</v>
      </c>
      <c r="C828" s="10">
        <f>58.1895 * CHOOSE(CONTROL!$C$15, $E$9, 100%, $G$9) + CHOOSE(CONTROL!$C$38, 0.0347, 0)</f>
        <v>58.224200000000003</v>
      </c>
      <c r="D828" s="10">
        <f>58.1817 * CHOOSE(CONTROL!$C$15, $E$9, 100%, $G$9) + CHOOSE(CONTROL!$C$38, 0.0347, 0)</f>
        <v>58.2164</v>
      </c>
      <c r="E828" s="28">
        <f>62.7936 * CHOOSE(CONTROL!$C$15, $E$9, 100%, $G$9) + CHOOSE(CONTROL!$C$38, 0.0347, 0)</f>
        <v>62.828299999999999</v>
      </c>
      <c r="F828" s="27">
        <f>62.7936 * CHOOSE(CONTROL!$C$15, $E$9, 100%, $G$9) + CHOOSE(CONTROL!$C$38, 0.0256, 0)</f>
        <v>62.819199999999995</v>
      </c>
      <c r="G828" s="10">
        <f>58.1879 * CHOOSE(CONTROL!$C$15, $E$9, 100%, $G$9) + CHOOSE(CONTROL!$C$38, 0.0347, 0)</f>
        <v>58.2226</v>
      </c>
      <c r="H828" s="10">
        <f>58.1879 * CHOOSE(CONTROL!$C$15, $E$9, 100%, $G$9) + CHOOSE(CONTROL!$C$38, 0.0347, 0)</f>
        <v>58.2226</v>
      </c>
      <c r="I828" s="10">
        <f>58.1895 * CHOOSE(CONTROL!$C$15, $E$9, 100%, $G$9) + CHOOSE(CONTROL!$C$38, 0.0347, 0)</f>
        <v>58.224200000000003</v>
      </c>
      <c r="J828" s="26">
        <f>362.1265</f>
        <v>362.12650000000002</v>
      </c>
    </row>
    <row r="829" spans="1:10" ht="15.75" x14ac:dyDescent="0.25">
      <c r="A829" s="13">
        <v>66535</v>
      </c>
      <c r="B829" s="10">
        <f>63.1706 * CHOOSE(CONTROL!$C$15, $E$9, 100%, $G$9) + CHOOSE(CONTROL!$C$38, 0.0256, 0)</f>
        <v>63.196199999999997</v>
      </c>
      <c r="C829" s="10">
        <f>58.4102 * CHOOSE(CONTROL!$C$15, $E$9, 100%, $G$9) + CHOOSE(CONTROL!$C$38, 0.0347, 0)</f>
        <v>58.444900000000004</v>
      </c>
      <c r="D829" s="10">
        <f>58.4024 * CHOOSE(CONTROL!$C$15, $E$9, 100%, $G$9) + CHOOSE(CONTROL!$C$38, 0.0347, 0)</f>
        <v>58.437100000000001</v>
      </c>
      <c r="E829" s="28">
        <f>63.0144 * CHOOSE(CONTROL!$C$15, $E$9, 100%, $G$9) + CHOOSE(CONTROL!$C$38, 0.0347, 0)</f>
        <v>63.049100000000003</v>
      </c>
      <c r="F829" s="27">
        <f>63.0144 * CHOOSE(CONTROL!$C$15, $E$9, 100%, $G$9) + CHOOSE(CONTROL!$C$38, 0.0256, 0)</f>
        <v>63.04</v>
      </c>
      <c r="G829" s="10">
        <f>58.4087 * CHOOSE(CONTROL!$C$15, $E$9, 100%, $G$9) + CHOOSE(CONTROL!$C$38, 0.0347, 0)</f>
        <v>58.443400000000004</v>
      </c>
      <c r="H829" s="10">
        <f>58.4087 * CHOOSE(CONTROL!$C$15, $E$9, 100%, $G$9) + CHOOSE(CONTROL!$C$38, 0.0347, 0)</f>
        <v>58.443400000000004</v>
      </c>
      <c r="I829" s="10">
        <f>58.4102 * CHOOSE(CONTROL!$C$15, $E$9, 100%, $G$9) + CHOOSE(CONTROL!$C$38, 0.0347, 0)</f>
        <v>58.444900000000004</v>
      </c>
      <c r="J829" s="26">
        <f>361.1199</f>
        <v>361.11989999999997</v>
      </c>
    </row>
    <row r="830" spans="1:10" ht="15.75" x14ac:dyDescent="0.25">
      <c r="A830" s="13">
        <v>66566</v>
      </c>
      <c r="B830" s="10">
        <f>62.6596 * CHOOSE(CONTROL!$C$15, $E$9, 100%, $G$9) + CHOOSE(CONTROL!$C$38, 0.0256, 0)</f>
        <v>62.685199999999995</v>
      </c>
      <c r="C830" s="10">
        <f>57.8992 * CHOOSE(CONTROL!$C$15, $E$9, 100%, $G$9) + CHOOSE(CONTROL!$C$38, 0.0347, 0)</f>
        <v>57.933900000000001</v>
      </c>
      <c r="D830" s="10">
        <f>57.8914 * CHOOSE(CONTROL!$C$15, $E$9, 100%, $G$9) + CHOOSE(CONTROL!$C$38, 0.0347, 0)</f>
        <v>57.926099999999998</v>
      </c>
      <c r="E830" s="28">
        <f>62.5033 * CHOOSE(CONTROL!$C$15, $E$9, 100%, $G$9) + CHOOSE(CONTROL!$C$38, 0.0347, 0)</f>
        <v>62.538000000000004</v>
      </c>
      <c r="F830" s="27">
        <f>62.5033 * CHOOSE(CONTROL!$C$15, $E$9, 100%, $G$9) + CHOOSE(CONTROL!$C$38, 0.0256, 0)</f>
        <v>62.5289</v>
      </c>
      <c r="G830" s="10">
        <f>57.8977 * CHOOSE(CONTROL!$C$15, $E$9, 100%, $G$9) + CHOOSE(CONTROL!$C$38, 0.0347, 0)</f>
        <v>57.932400000000001</v>
      </c>
      <c r="H830" s="10">
        <f>57.8977 * CHOOSE(CONTROL!$C$15, $E$9, 100%, $G$9) + CHOOSE(CONTROL!$C$38, 0.0347, 0)</f>
        <v>57.932400000000001</v>
      </c>
      <c r="I830" s="10">
        <f>57.8992 * CHOOSE(CONTROL!$C$15, $E$9, 100%, $G$9) + CHOOSE(CONTROL!$C$38, 0.0347, 0)</f>
        <v>57.933900000000001</v>
      </c>
      <c r="J830" s="26">
        <f>380.153</f>
        <v>380.15300000000002</v>
      </c>
    </row>
    <row r="831" spans="1:10" ht="15.75" x14ac:dyDescent="0.25">
      <c r="A831" s="13">
        <v>66596</v>
      </c>
      <c r="B831" s="10">
        <f>62.1644 * CHOOSE(CONTROL!$C$15, $E$9, 100%, $G$9) + CHOOSE(CONTROL!$C$38, 0.0256, 0)</f>
        <v>62.19</v>
      </c>
      <c r="C831" s="10">
        <f>57.404 * CHOOSE(CONTROL!$C$15, $E$9, 100%, $G$9) + CHOOSE(CONTROL!$C$38, 0.0347, 0)</f>
        <v>57.438700000000004</v>
      </c>
      <c r="D831" s="10">
        <f>57.3962 * CHOOSE(CONTROL!$C$15, $E$9, 100%, $G$9) + CHOOSE(CONTROL!$C$38, 0.0347, 0)</f>
        <v>57.430900000000001</v>
      </c>
      <c r="E831" s="28">
        <f>62.0081 * CHOOSE(CONTROL!$C$15, $E$9, 100%, $G$9) + CHOOSE(CONTROL!$C$38, 0.0347, 0)</f>
        <v>62.0428</v>
      </c>
      <c r="F831" s="27">
        <f>62.0081 * CHOOSE(CONTROL!$C$15, $E$9, 100%, $G$9) + CHOOSE(CONTROL!$C$38, 0.0256, 0)</f>
        <v>62.033699999999996</v>
      </c>
      <c r="G831" s="10">
        <f>57.4025 * CHOOSE(CONTROL!$C$15, $E$9, 100%, $G$9) + CHOOSE(CONTROL!$C$38, 0.0347, 0)</f>
        <v>57.437200000000004</v>
      </c>
      <c r="H831" s="10">
        <f>57.4025 * CHOOSE(CONTROL!$C$15, $E$9, 100%, $G$9) + CHOOSE(CONTROL!$C$38, 0.0347, 0)</f>
        <v>57.437200000000004</v>
      </c>
      <c r="I831" s="10">
        <f>57.404 * CHOOSE(CONTROL!$C$15, $E$9, 100%, $G$9) + CHOOSE(CONTROL!$C$38, 0.0347, 0)</f>
        <v>57.438700000000004</v>
      </c>
      <c r="J831" s="26">
        <f>404.8344</f>
        <v>404.83440000000002</v>
      </c>
    </row>
    <row r="832" spans="1:10" ht="15.75" x14ac:dyDescent="0.25">
      <c r="A832" s="13">
        <v>66627</v>
      </c>
      <c r="B832" s="10">
        <f>61.6483 * CHOOSE(CONTROL!$C$15, $E$9, 100%, $G$9) + CHOOSE(CONTROL!$C$38, 0.0278, 0)</f>
        <v>61.676099999999998</v>
      </c>
      <c r="C832" s="10">
        <f>56.8879 * CHOOSE(CONTROL!$C$15, $E$9, 100%, $G$9) + CHOOSE(CONTROL!$C$38, 0.0369, 0)</f>
        <v>56.924800000000005</v>
      </c>
      <c r="D832" s="10">
        <f>56.8801 * CHOOSE(CONTROL!$C$15, $E$9, 100%, $G$9) + CHOOSE(CONTROL!$C$38, 0.0369, 0)</f>
        <v>56.917000000000002</v>
      </c>
      <c r="E832" s="28">
        <f>61.492 * CHOOSE(CONTROL!$C$15, $E$9, 100%, $G$9) + CHOOSE(CONTROL!$C$38, 0.0369, 0)</f>
        <v>61.5289</v>
      </c>
      <c r="F832" s="27">
        <f>61.492 * CHOOSE(CONTROL!$C$15, $E$9, 100%, $G$9) + CHOOSE(CONTROL!$C$38, 0.0278, 0)</f>
        <v>61.519799999999996</v>
      </c>
      <c r="G832" s="10">
        <f>56.8864 * CHOOSE(CONTROL!$C$15, $E$9, 100%, $G$9) + CHOOSE(CONTROL!$C$38, 0.0369, 0)</f>
        <v>56.923300000000005</v>
      </c>
      <c r="H832" s="10">
        <f>56.8864 * CHOOSE(CONTROL!$C$15, $E$9, 100%, $G$9) + CHOOSE(CONTROL!$C$38, 0.0369, 0)</f>
        <v>56.923300000000005</v>
      </c>
      <c r="I832" s="10">
        <f>56.8879 * CHOOSE(CONTROL!$C$15, $E$9, 100%, $G$9) + CHOOSE(CONTROL!$C$38, 0.0369, 0)</f>
        <v>56.924800000000005</v>
      </c>
      <c r="J832" s="26">
        <f>418.4199</f>
        <v>418.41989999999998</v>
      </c>
    </row>
    <row r="833" spans="1:10" ht="15.75" x14ac:dyDescent="0.25">
      <c r="A833" s="13">
        <v>66657</v>
      </c>
      <c r="B833" s="10">
        <f>61.2864 * CHOOSE(CONTROL!$C$15, $E$9, 100%, $G$9) + CHOOSE(CONTROL!$C$38, 0.0278, 0)</f>
        <v>61.3142</v>
      </c>
      <c r="C833" s="10">
        <f>56.5261 * CHOOSE(CONTROL!$C$15, $E$9, 100%, $G$9) + CHOOSE(CONTROL!$C$38, 0.0369, 0)</f>
        <v>56.563000000000002</v>
      </c>
      <c r="D833" s="10">
        <f>56.5183 * CHOOSE(CONTROL!$C$15, $E$9, 100%, $G$9) + CHOOSE(CONTROL!$C$38, 0.0369, 0)</f>
        <v>56.555200000000006</v>
      </c>
      <c r="E833" s="28">
        <f>61.1302 * CHOOSE(CONTROL!$C$15, $E$9, 100%, $G$9) + CHOOSE(CONTROL!$C$38, 0.0369, 0)</f>
        <v>61.167100000000005</v>
      </c>
      <c r="F833" s="27">
        <f>61.1302 * CHOOSE(CONTROL!$C$15, $E$9, 100%, $G$9) + CHOOSE(CONTROL!$C$38, 0.0278, 0)</f>
        <v>61.158000000000001</v>
      </c>
      <c r="G833" s="10">
        <f>56.5245 * CHOOSE(CONTROL!$C$15, $E$9, 100%, $G$9) + CHOOSE(CONTROL!$C$38, 0.0369, 0)</f>
        <v>56.561400000000006</v>
      </c>
      <c r="H833" s="10">
        <f>56.5245 * CHOOSE(CONTROL!$C$15, $E$9, 100%, $G$9) + CHOOSE(CONTROL!$C$38, 0.0369, 0)</f>
        <v>56.561400000000006</v>
      </c>
      <c r="I833" s="10">
        <f>56.5261 * CHOOSE(CONTROL!$C$15, $E$9, 100%, $G$9) + CHOOSE(CONTROL!$C$38, 0.0369, 0)</f>
        <v>56.563000000000002</v>
      </c>
      <c r="J833" s="26">
        <f>424.4488</f>
        <v>424.44880000000001</v>
      </c>
    </row>
    <row r="834" spans="1:10" ht="15.75" x14ac:dyDescent="0.25">
      <c r="A834" s="13">
        <v>66688</v>
      </c>
      <c r="B834" s="10">
        <f>61.08 * CHOOSE(CONTROL!$C$15, $E$9, 100%, $G$9) + CHOOSE(CONTROL!$C$38, 0.0278, 0)</f>
        <v>61.107799999999997</v>
      </c>
      <c r="C834" s="10">
        <f>56.3196 * CHOOSE(CONTROL!$C$15, $E$9, 100%, $G$9) + CHOOSE(CONTROL!$C$38, 0.0369, 0)</f>
        <v>56.356500000000004</v>
      </c>
      <c r="D834" s="10">
        <f>56.3118 * CHOOSE(CONTROL!$C$15, $E$9, 100%, $G$9) + CHOOSE(CONTROL!$C$38, 0.0369, 0)</f>
        <v>56.348700000000001</v>
      </c>
      <c r="E834" s="28">
        <f>60.9237 * CHOOSE(CONTROL!$C$15, $E$9, 100%, $G$9) + CHOOSE(CONTROL!$C$38, 0.0369, 0)</f>
        <v>60.960599999999999</v>
      </c>
      <c r="F834" s="27">
        <f>60.9237 * CHOOSE(CONTROL!$C$15, $E$9, 100%, $G$9) + CHOOSE(CONTROL!$C$38, 0.0278, 0)</f>
        <v>60.951499999999996</v>
      </c>
      <c r="G834" s="10">
        <f>56.318 * CHOOSE(CONTROL!$C$15, $E$9, 100%, $G$9) + CHOOSE(CONTROL!$C$38, 0.0369, 0)</f>
        <v>56.354900000000001</v>
      </c>
      <c r="H834" s="10">
        <f>56.318 * CHOOSE(CONTROL!$C$15, $E$9, 100%, $G$9) + CHOOSE(CONTROL!$C$38, 0.0369, 0)</f>
        <v>56.354900000000001</v>
      </c>
      <c r="I834" s="10">
        <f>56.3196 * CHOOSE(CONTROL!$C$15, $E$9, 100%, $G$9) + CHOOSE(CONTROL!$C$38, 0.0369, 0)</f>
        <v>56.356500000000004</v>
      </c>
      <c r="J834" s="26">
        <f>422.4638</f>
        <v>422.46379999999999</v>
      </c>
    </row>
    <row r="835" spans="1:10" ht="15.75" x14ac:dyDescent="0.25">
      <c r="A835" s="13">
        <v>66719</v>
      </c>
      <c r="B835" s="10">
        <f>61.1819 * CHOOSE(CONTROL!$C$15, $E$9, 100%, $G$9) + CHOOSE(CONTROL!$C$38, 0.0278, 0)</f>
        <v>61.209699999999998</v>
      </c>
      <c r="C835" s="10">
        <f>56.4215 * CHOOSE(CONTROL!$C$15, $E$9, 100%, $G$9) + CHOOSE(CONTROL!$C$38, 0.0369, 0)</f>
        <v>56.458400000000005</v>
      </c>
      <c r="D835" s="10">
        <f>56.4137 * CHOOSE(CONTROL!$C$15, $E$9, 100%, $G$9) + CHOOSE(CONTROL!$C$38, 0.0369, 0)</f>
        <v>56.450600000000001</v>
      </c>
      <c r="E835" s="28">
        <f>61.0256 * CHOOSE(CONTROL!$C$15, $E$9, 100%, $G$9) + CHOOSE(CONTROL!$C$38, 0.0369, 0)</f>
        <v>61.0625</v>
      </c>
      <c r="F835" s="27">
        <f>61.0256 * CHOOSE(CONTROL!$C$15, $E$9, 100%, $G$9) + CHOOSE(CONTROL!$C$38, 0.0278, 0)</f>
        <v>61.053399999999996</v>
      </c>
      <c r="G835" s="10">
        <f>56.4199 * CHOOSE(CONTROL!$C$15, $E$9, 100%, $G$9) + CHOOSE(CONTROL!$C$38, 0.0369, 0)</f>
        <v>56.456800000000001</v>
      </c>
      <c r="H835" s="10">
        <f>56.4199 * CHOOSE(CONTROL!$C$15, $E$9, 100%, $G$9) + CHOOSE(CONTROL!$C$38, 0.0369, 0)</f>
        <v>56.456800000000001</v>
      </c>
      <c r="I835" s="10">
        <f>56.4215 * CHOOSE(CONTROL!$C$15, $E$9, 100%, $G$9) + CHOOSE(CONTROL!$C$38, 0.0369, 0)</f>
        <v>56.458400000000005</v>
      </c>
      <c r="J835" s="26">
        <f>412.629</f>
        <v>412.62900000000002</v>
      </c>
    </row>
    <row r="836" spans="1:10" ht="15.75" x14ac:dyDescent="0.25">
      <c r="A836" s="13">
        <v>66749</v>
      </c>
      <c r="B836" s="10">
        <f>61.4587 * CHOOSE(CONTROL!$C$15, $E$9, 100%, $G$9) + CHOOSE(CONTROL!$C$38, 0.0278, 0)</f>
        <v>61.486499999999999</v>
      </c>
      <c r="C836" s="10">
        <f>56.6983 * CHOOSE(CONTROL!$C$15, $E$9, 100%, $G$9) + CHOOSE(CONTROL!$C$38, 0.0369, 0)</f>
        <v>56.735200000000006</v>
      </c>
      <c r="D836" s="10">
        <f>56.6905 * CHOOSE(CONTROL!$C$15, $E$9, 100%, $G$9) + CHOOSE(CONTROL!$C$38, 0.0369, 0)</f>
        <v>56.727400000000003</v>
      </c>
      <c r="E836" s="28">
        <f>61.3024 * CHOOSE(CONTROL!$C$15, $E$9, 100%, $G$9) + CHOOSE(CONTROL!$C$38, 0.0369, 0)</f>
        <v>61.339300000000001</v>
      </c>
      <c r="F836" s="27">
        <f>61.3024 * CHOOSE(CONTROL!$C$15, $E$9, 100%, $G$9) + CHOOSE(CONTROL!$C$38, 0.0278, 0)</f>
        <v>61.330199999999998</v>
      </c>
      <c r="G836" s="10">
        <f>56.6967 * CHOOSE(CONTROL!$C$15, $E$9, 100%, $G$9) + CHOOSE(CONTROL!$C$38, 0.0369, 0)</f>
        <v>56.733600000000003</v>
      </c>
      <c r="H836" s="10">
        <f>56.6967 * CHOOSE(CONTROL!$C$15, $E$9, 100%, $G$9) + CHOOSE(CONTROL!$C$38, 0.0369, 0)</f>
        <v>56.733600000000003</v>
      </c>
      <c r="I836" s="10">
        <f>56.6983 * CHOOSE(CONTROL!$C$15, $E$9, 100%, $G$9) + CHOOSE(CONTROL!$C$38, 0.0369, 0)</f>
        <v>56.735200000000006</v>
      </c>
      <c r="J836" s="26">
        <f>398.914</f>
        <v>398.91399999999999</v>
      </c>
    </row>
    <row r="837" spans="1:10" ht="15.75" x14ac:dyDescent="0.25">
      <c r="A837" s="13">
        <v>66780</v>
      </c>
      <c r="B837" s="10">
        <f>61.6905 * CHOOSE(CONTROL!$C$15, $E$9, 100%, $G$9) + CHOOSE(CONTROL!$C$38, 0.0256, 0)</f>
        <v>61.716099999999997</v>
      </c>
      <c r="C837" s="10">
        <f>56.9301 * CHOOSE(CONTROL!$C$15, $E$9, 100%, $G$9) + CHOOSE(CONTROL!$C$38, 0.0347, 0)</f>
        <v>56.964800000000004</v>
      </c>
      <c r="D837" s="10">
        <f>56.9223 * CHOOSE(CONTROL!$C$15, $E$9, 100%, $G$9) + CHOOSE(CONTROL!$C$38, 0.0347, 0)</f>
        <v>56.957000000000001</v>
      </c>
      <c r="E837" s="28">
        <f>61.5342 * CHOOSE(CONTROL!$C$15, $E$9, 100%, $G$9) + CHOOSE(CONTROL!$C$38, 0.0347, 0)</f>
        <v>61.568899999999999</v>
      </c>
      <c r="F837" s="27">
        <f>61.5342 * CHOOSE(CONTROL!$C$15, $E$9, 100%, $G$9) + CHOOSE(CONTROL!$C$38, 0.0256, 0)</f>
        <v>61.559799999999996</v>
      </c>
      <c r="G837" s="10">
        <f>56.9286 * CHOOSE(CONTROL!$C$15, $E$9, 100%, $G$9) + CHOOSE(CONTROL!$C$38, 0.0347, 0)</f>
        <v>56.963300000000004</v>
      </c>
      <c r="H837" s="10">
        <f>56.9286 * CHOOSE(CONTROL!$C$15, $E$9, 100%, $G$9) + CHOOSE(CONTROL!$C$38, 0.0347, 0)</f>
        <v>56.963300000000004</v>
      </c>
      <c r="I837" s="10">
        <f>56.9301 * CHOOSE(CONTROL!$C$15, $E$9, 100%, $G$9) + CHOOSE(CONTROL!$C$38, 0.0347, 0)</f>
        <v>56.964800000000004</v>
      </c>
      <c r="J837" s="26">
        <f>385.1191</f>
        <v>385.1191</v>
      </c>
    </row>
    <row r="838" spans="1:10" ht="15.75" x14ac:dyDescent="0.25">
      <c r="A838" s="13">
        <v>66810</v>
      </c>
      <c r="B838" s="10">
        <f>61.8839 * CHOOSE(CONTROL!$C$15, $E$9, 100%, $G$9) + CHOOSE(CONTROL!$C$38, 0.0256, 0)</f>
        <v>61.909499999999994</v>
      </c>
      <c r="C838" s="10">
        <f>57.1236 * CHOOSE(CONTROL!$C$15, $E$9, 100%, $G$9) + CHOOSE(CONTROL!$C$38, 0.0347, 0)</f>
        <v>57.158300000000004</v>
      </c>
      <c r="D838" s="10">
        <f>57.1158 * CHOOSE(CONTROL!$C$15, $E$9, 100%, $G$9) + CHOOSE(CONTROL!$C$38, 0.0347, 0)</f>
        <v>57.150500000000001</v>
      </c>
      <c r="E838" s="28">
        <f>61.7277 * CHOOSE(CONTROL!$C$15, $E$9, 100%, $G$9) + CHOOSE(CONTROL!$C$38, 0.0347, 0)</f>
        <v>61.7624</v>
      </c>
      <c r="F838" s="27">
        <f>61.7277 * CHOOSE(CONTROL!$C$15, $E$9, 100%, $G$9) + CHOOSE(CONTROL!$C$38, 0.0256, 0)</f>
        <v>61.753299999999996</v>
      </c>
      <c r="G838" s="10">
        <f>57.122 * CHOOSE(CONTROL!$C$15, $E$9, 100%, $G$9) + CHOOSE(CONTROL!$C$38, 0.0347, 0)</f>
        <v>57.156700000000001</v>
      </c>
      <c r="H838" s="10">
        <f>57.122 * CHOOSE(CONTROL!$C$15, $E$9, 100%, $G$9) + CHOOSE(CONTROL!$C$38, 0.0347, 0)</f>
        <v>57.156700000000001</v>
      </c>
      <c r="I838" s="10">
        <f>57.1236 * CHOOSE(CONTROL!$C$15, $E$9, 100%, $G$9) + CHOOSE(CONTROL!$C$38, 0.0347, 0)</f>
        <v>57.158300000000004</v>
      </c>
      <c r="J838" s="26">
        <f>382.375</f>
        <v>382.375</v>
      </c>
    </row>
    <row r="839" spans="1:10" ht="15.75" x14ac:dyDescent="0.25">
      <c r="A839" s="13">
        <v>66841</v>
      </c>
      <c r="B839" s="10">
        <f>62.48 * CHOOSE(CONTROL!$C$15, $E$9, 100%, $G$9) + CHOOSE(CONTROL!$C$38, 0.0256, 0)</f>
        <v>62.505599999999994</v>
      </c>
      <c r="C839" s="10">
        <f>57.7196 * CHOOSE(CONTROL!$C$15, $E$9, 100%, $G$9) + CHOOSE(CONTROL!$C$38, 0.0347, 0)</f>
        <v>57.754300000000001</v>
      </c>
      <c r="D839" s="10">
        <f>57.7118 * CHOOSE(CONTROL!$C$15, $E$9, 100%, $G$9) + CHOOSE(CONTROL!$C$38, 0.0347, 0)</f>
        <v>57.746499999999997</v>
      </c>
      <c r="E839" s="28">
        <f>62.3237 * CHOOSE(CONTROL!$C$15, $E$9, 100%, $G$9) + CHOOSE(CONTROL!$C$38, 0.0347, 0)</f>
        <v>62.358400000000003</v>
      </c>
      <c r="F839" s="27">
        <f>62.3237 * CHOOSE(CONTROL!$C$15, $E$9, 100%, $G$9) + CHOOSE(CONTROL!$C$38, 0.0256, 0)</f>
        <v>62.349299999999999</v>
      </c>
      <c r="G839" s="10">
        <f>57.7181 * CHOOSE(CONTROL!$C$15, $E$9, 100%, $G$9) + CHOOSE(CONTROL!$C$38, 0.0347, 0)</f>
        <v>57.752800000000001</v>
      </c>
      <c r="H839" s="10">
        <f>57.7181 * CHOOSE(CONTROL!$C$15, $E$9, 100%, $G$9) + CHOOSE(CONTROL!$C$38, 0.0347, 0)</f>
        <v>57.752800000000001</v>
      </c>
      <c r="I839" s="10">
        <f>57.7196 * CHOOSE(CONTROL!$C$15, $E$9, 100%, $G$9) + CHOOSE(CONTROL!$C$38, 0.0347, 0)</f>
        <v>57.754300000000001</v>
      </c>
      <c r="J839" s="26">
        <f>371.028</f>
        <v>371.02800000000002</v>
      </c>
    </row>
    <row r="840" spans="1:10" ht="15.75" x14ac:dyDescent="0.25">
      <c r="A840" s="13">
        <v>66872</v>
      </c>
      <c r="B840" s="10">
        <f>64.0339 * CHOOSE(CONTROL!$C$15, $E$9, 100%, $G$9) + CHOOSE(CONTROL!$C$38, 0.0256, 0)</f>
        <v>64.0595</v>
      </c>
      <c r="C840" s="10">
        <f>59.1922 * CHOOSE(CONTROL!$C$15, $E$9, 100%, $G$9) + CHOOSE(CONTROL!$C$38, 0.0347, 0)</f>
        <v>59.226900000000001</v>
      </c>
      <c r="D840" s="10">
        <f>59.1843 * CHOOSE(CONTROL!$C$15, $E$9, 100%, $G$9) + CHOOSE(CONTROL!$C$38, 0.0347, 0)</f>
        <v>59.219000000000001</v>
      </c>
      <c r="E840" s="28">
        <f>63.8776 * CHOOSE(CONTROL!$C$15, $E$9, 100%, $G$9) + CHOOSE(CONTROL!$C$38, 0.0347, 0)</f>
        <v>63.912300000000002</v>
      </c>
      <c r="F840" s="27">
        <f>63.8776 * CHOOSE(CONTROL!$C$15, $E$9, 100%, $G$9) + CHOOSE(CONTROL!$C$38, 0.0256, 0)</f>
        <v>63.903199999999998</v>
      </c>
      <c r="G840" s="10">
        <f>59.1906 * CHOOSE(CONTROL!$C$15, $E$9, 100%, $G$9) + CHOOSE(CONTROL!$C$38, 0.0347, 0)</f>
        <v>59.225300000000004</v>
      </c>
      <c r="H840" s="10">
        <f>59.1906 * CHOOSE(CONTROL!$C$15, $E$9, 100%, $G$9) + CHOOSE(CONTROL!$C$38, 0.0347, 0)</f>
        <v>59.225300000000004</v>
      </c>
      <c r="I840" s="10">
        <f>59.1922 * CHOOSE(CONTROL!$C$15, $E$9, 100%, $G$9) + CHOOSE(CONTROL!$C$38, 0.0347, 0)</f>
        <v>59.226900000000001</v>
      </c>
      <c r="J840" s="26">
        <f>368.5427</f>
        <v>368.54270000000002</v>
      </c>
    </row>
    <row r="841" spans="1:10" ht="15.75" x14ac:dyDescent="0.25">
      <c r="A841" s="13">
        <v>66900</v>
      </c>
      <c r="B841" s="10">
        <f>64.2546 * CHOOSE(CONTROL!$C$15, $E$9, 100%, $G$9) + CHOOSE(CONTROL!$C$38, 0.0256, 0)</f>
        <v>64.280199999999994</v>
      </c>
      <c r="C841" s="10">
        <f>59.4129 * CHOOSE(CONTROL!$C$15, $E$9, 100%, $G$9) + CHOOSE(CONTROL!$C$38, 0.0347, 0)</f>
        <v>59.447600000000001</v>
      </c>
      <c r="D841" s="10">
        <f>59.4051 * CHOOSE(CONTROL!$C$15, $E$9, 100%, $G$9) + CHOOSE(CONTROL!$C$38, 0.0347, 0)</f>
        <v>59.439799999999998</v>
      </c>
      <c r="E841" s="28">
        <f>64.0984 * CHOOSE(CONTROL!$C$15, $E$9, 100%, $G$9) + CHOOSE(CONTROL!$C$38, 0.0347, 0)</f>
        <v>64.133099999999999</v>
      </c>
      <c r="F841" s="27">
        <f>64.0984 * CHOOSE(CONTROL!$C$15, $E$9, 100%, $G$9) + CHOOSE(CONTROL!$C$38, 0.0256, 0)</f>
        <v>64.123999999999995</v>
      </c>
      <c r="G841" s="10">
        <f>59.4114 * CHOOSE(CONTROL!$C$15, $E$9, 100%, $G$9) + CHOOSE(CONTROL!$C$38, 0.0347, 0)</f>
        <v>59.446100000000001</v>
      </c>
      <c r="H841" s="10">
        <f>59.4114 * CHOOSE(CONTROL!$C$15, $E$9, 100%, $G$9) + CHOOSE(CONTROL!$C$38, 0.0347, 0)</f>
        <v>59.446100000000001</v>
      </c>
      <c r="I841" s="10">
        <f>59.4129 * CHOOSE(CONTROL!$C$15, $E$9, 100%, $G$9) + CHOOSE(CONTROL!$C$38, 0.0347, 0)</f>
        <v>59.447600000000001</v>
      </c>
      <c r="J841" s="26">
        <f>367.5183</f>
        <v>367.51830000000001</v>
      </c>
    </row>
    <row r="842" spans="1:10" ht="15.75" x14ac:dyDescent="0.25">
      <c r="A842" s="13">
        <v>66931</v>
      </c>
      <c r="B842" s="10">
        <f>63.7436 * CHOOSE(CONTROL!$C$15, $E$9, 100%, $G$9) + CHOOSE(CONTROL!$C$38, 0.0256, 0)</f>
        <v>63.769199999999998</v>
      </c>
      <c r="C842" s="10">
        <f>58.9019 * CHOOSE(CONTROL!$C$15, $E$9, 100%, $G$9) + CHOOSE(CONTROL!$C$38, 0.0347, 0)</f>
        <v>58.936599999999999</v>
      </c>
      <c r="D842" s="10">
        <f>58.8941 * CHOOSE(CONTROL!$C$15, $E$9, 100%, $G$9) + CHOOSE(CONTROL!$C$38, 0.0347, 0)</f>
        <v>58.928800000000003</v>
      </c>
      <c r="E842" s="28">
        <f>63.5873 * CHOOSE(CONTROL!$C$15, $E$9, 100%, $G$9) + CHOOSE(CONTROL!$C$38, 0.0347, 0)</f>
        <v>63.622</v>
      </c>
      <c r="F842" s="27">
        <f>63.5873 * CHOOSE(CONTROL!$C$15, $E$9, 100%, $G$9) + CHOOSE(CONTROL!$C$38, 0.0256, 0)</f>
        <v>63.612899999999996</v>
      </c>
      <c r="G842" s="10">
        <f>58.9003 * CHOOSE(CONTROL!$C$15, $E$9, 100%, $G$9) + CHOOSE(CONTROL!$C$38, 0.0347, 0)</f>
        <v>58.935000000000002</v>
      </c>
      <c r="H842" s="10">
        <f>58.9003 * CHOOSE(CONTROL!$C$15, $E$9, 100%, $G$9) + CHOOSE(CONTROL!$C$38, 0.0347, 0)</f>
        <v>58.935000000000002</v>
      </c>
      <c r="I842" s="10">
        <f>58.9019 * CHOOSE(CONTROL!$C$15, $E$9, 100%, $G$9) + CHOOSE(CONTROL!$C$38, 0.0347, 0)</f>
        <v>58.936599999999999</v>
      </c>
      <c r="J842" s="26">
        <f>386.8886</f>
        <v>386.8886</v>
      </c>
    </row>
    <row r="843" spans="1:10" ht="15.75" x14ac:dyDescent="0.25">
      <c r="A843" s="13">
        <v>66961</v>
      </c>
      <c r="B843" s="10">
        <f>63.2484 * CHOOSE(CONTROL!$C$15, $E$9, 100%, $G$9) + CHOOSE(CONTROL!$C$38, 0.0256, 0)</f>
        <v>63.273999999999994</v>
      </c>
      <c r="C843" s="10">
        <f>58.4067 * CHOOSE(CONTROL!$C$15, $E$9, 100%, $G$9) + CHOOSE(CONTROL!$C$38, 0.0347, 0)</f>
        <v>58.441400000000002</v>
      </c>
      <c r="D843" s="10">
        <f>58.3989 * CHOOSE(CONTROL!$C$15, $E$9, 100%, $G$9) + CHOOSE(CONTROL!$C$38, 0.0347, 0)</f>
        <v>58.433599999999998</v>
      </c>
      <c r="E843" s="28">
        <f>63.0922 * CHOOSE(CONTROL!$C$15, $E$9, 100%, $G$9) + CHOOSE(CONTROL!$C$38, 0.0347, 0)</f>
        <v>63.126899999999999</v>
      </c>
      <c r="F843" s="27">
        <f>63.0922 * CHOOSE(CONTROL!$C$15, $E$9, 100%, $G$9) + CHOOSE(CONTROL!$C$38, 0.0256, 0)</f>
        <v>63.117799999999995</v>
      </c>
      <c r="G843" s="10">
        <f>58.4051 * CHOOSE(CONTROL!$C$15, $E$9, 100%, $G$9) + CHOOSE(CONTROL!$C$38, 0.0347, 0)</f>
        <v>58.439799999999998</v>
      </c>
      <c r="H843" s="10">
        <f>58.4051 * CHOOSE(CONTROL!$C$15, $E$9, 100%, $G$9) + CHOOSE(CONTROL!$C$38, 0.0347, 0)</f>
        <v>58.439799999999998</v>
      </c>
      <c r="I843" s="10">
        <f>58.4067 * CHOOSE(CONTROL!$C$15, $E$9, 100%, $G$9) + CHOOSE(CONTROL!$C$38, 0.0347, 0)</f>
        <v>58.441400000000002</v>
      </c>
      <c r="J843" s="26">
        <f>412.0073</f>
        <v>412.00729999999999</v>
      </c>
    </row>
    <row r="844" spans="1:10" ht="15.75" x14ac:dyDescent="0.25">
      <c r="A844" s="13">
        <v>66992</v>
      </c>
      <c r="B844" s="10">
        <f>62.7323 * CHOOSE(CONTROL!$C$15, $E$9, 100%, $G$9) + CHOOSE(CONTROL!$C$38, 0.0278, 0)</f>
        <v>62.760100000000001</v>
      </c>
      <c r="C844" s="10">
        <f>57.8906 * CHOOSE(CONTROL!$C$15, $E$9, 100%, $G$9) + CHOOSE(CONTROL!$C$38, 0.0369, 0)</f>
        <v>57.927500000000002</v>
      </c>
      <c r="D844" s="10">
        <f>57.8828 * CHOOSE(CONTROL!$C$15, $E$9, 100%, $G$9) + CHOOSE(CONTROL!$C$38, 0.0369, 0)</f>
        <v>57.919700000000006</v>
      </c>
      <c r="E844" s="28">
        <f>62.576 * CHOOSE(CONTROL!$C$15, $E$9, 100%, $G$9) + CHOOSE(CONTROL!$C$38, 0.0369, 0)</f>
        <v>62.612900000000003</v>
      </c>
      <c r="F844" s="27">
        <f>62.576 * CHOOSE(CONTROL!$C$15, $E$9, 100%, $G$9) + CHOOSE(CONTROL!$C$38, 0.0278, 0)</f>
        <v>62.6038</v>
      </c>
      <c r="G844" s="10">
        <f>57.889 * CHOOSE(CONTROL!$C$15, $E$9, 100%, $G$9) + CHOOSE(CONTROL!$C$38, 0.0369, 0)</f>
        <v>57.925900000000006</v>
      </c>
      <c r="H844" s="10">
        <f>57.889 * CHOOSE(CONTROL!$C$15, $E$9, 100%, $G$9) + CHOOSE(CONTROL!$C$38, 0.0369, 0)</f>
        <v>57.925900000000006</v>
      </c>
      <c r="I844" s="10">
        <f>57.8906 * CHOOSE(CONTROL!$C$15, $E$9, 100%, $G$9) + CHOOSE(CONTROL!$C$38, 0.0369, 0)</f>
        <v>57.927500000000002</v>
      </c>
      <c r="J844" s="26">
        <f>425.8335</f>
        <v>425.83350000000002</v>
      </c>
    </row>
    <row r="845" spans="1:10" ht="15.75" x14ac:dyDescent="0.25">
      <c r="A845" s="13">
        <v>67022</v>
      </c>
      <c r="B845" s="10">
        <f>62.3705 * CHOOSE(CONTROL!$C$15, $E$9, 100%, $G$9) + CHOOSE(CONTROL!$C$38, 0.0278, 0)</f>
        <v>62.398299999999999</v>
      </c>
      <c r="C845" s="10">
        <f>57.5288 * CHOOSE(CONTROL!$C$15, $E$9, 100%, $G$9) + CHOOSE(CONTROL!$C$38, 0.0369, 0)</f>
        <v>57.5657</v>
      </c>
      <c r="D845" s="10">
        <f>57.521 * CHOOSE(CONTROL!$C$15, $E$9, 100%, $G$9) + CHOOSE(CONTROL!$C$38, 0.0369, 0)</f>
        <v>57.557900000000004</v>
      </c>
      <c r="E845" s="28">
        <f>62.2142 * CHOOSE(CONTROL!$C$15, $E$9, 100%, $G$9) + CHOOSE(CONTROL!$C$38, 0.0369, 0)</f>
        <v>62.251100000000001</v>
      </c>
      <c r="F845" s="27">
        <f>62.2142 * CHOOSE(CONTROL!$C$15, $E$9, 100%, $G$9) + CHOOSE(CONTROL!$C$38, 0.0278, 0)</f>
        <v>62.241999999999997</v>
      </c>
      <c r="G845" s="10">
        <f>57.5272 * CHOOSE(CONTROL!$C$15, $E$9, 100%, $G$9) + CHOOSE(CONTROL!$C$38, 0.0369, 0)</f>
        <v>57.564100000000003</v>
      </c>
      <c r="H845" s="10">
        <f>57.5272 * CHOOSE(CONTROL!$C$15, $E$9, 100%, $G$9) + CHOOSE(CONTROL!$C$38, 0.0369, 0)</f>
        <v>57.564100000000003</v>
      </c>
      <c r="I845" s="10">
        <f>57.5288 * CHOOSE(CONTROL!$C$15, $E$9, 100%, $G$9) + CHOOSE(CONTROL!$C$38, 0.0369, 0)</f>
        <v>57.5657</v>
      </c>
      <c r="J845" s="26">
        <f>431.9693</f>
        <v>431.96929999999998</v>
      </c>
    </row>
    <row r="846" spans="1:10" ht="15.75" x14ac:dyDescent="0.25">
      <c r="A846" s="13">
        <v>67053</v>
      </c>
      <c r="B846" s="10">
        <f>62.164 * CHOOSE(CONTROL!$C$15, $E$9, 100%, $G$9) + CHOOSE(CONTROL!$C$38, 0.0278, 0)</f>
        <v>62.191800000000001</v>
      </c>
      <c r="C846" s="10">
        <f>57.3223 * CHOOSE(CONTROL!$C$15, $E$9, 100%, $G$9) + CHOOSE(CONTROL!$C$38, 0.0369, 0)</f>
        <v>57.359200000000001</v>
      </c>
      <c r="D846" s="10">
        <f>57.3145 * CHOOSE(CONTROL!$C$15, $E$9, 100%, $G$9) + CHOOSE(CONTROL!$C$38, 0.0369, 0)</f>
        <v>57.351400000000005</v>
      </c>
      <c r="E846" s="28">
        <f>62.0077 * CHOOSE(CONTROL!$C$15, $E$9, 100%, $G$9) + CHOOSE(CONTROL!$C$38, 0.0369, 0)</f>
        <v>62.044600000000003</v>
      </c>
      <c r="F846" s="27">
        <f>62.0077 * CHOOSE(CONTROL!$C$15, $E$9, 100%, $G$9) + CHOOSE(CONTROL!$C$38, 0.0278, 0)</f>
        <v>62.035499999999999</v>
      </c>
      <c r="G846" s="10">
        <f>57.3207 * CHOOSE(CONTROL!$C$15, $E$9, 100%, $G$9) + CHOOSE(CONTROL!$C$38, 0.0369, 0)</f>
        <v>57.357600000000005</v>
      </c>
      <c r="H846" s="10">
        <f>57.3207 * CHOOSE(CONTROL!$C$15, $E$9, 100%, $G$9) + CHOOSE(CONTROL!$C$38, 0.0369, 0)</f>
        <v>57.357600000000005</v>
      </c>
      <c r="I846" s="10">
        <f>57.3223 * CHOOSE(CONTROL!$C$15, $E$9, 100%, $G$9) + CHOOSE(CONTROL!$C$38, 0.0369, 0)</f>
        <v>57.359200000000001</v>
      </c>
      <c r="J846" s="26">
        <f>429.9491</f>
        <v>429.94909999999999</v>
      </c>
    </row>
    <row r="847" spans="1:10" ht="15.75" x14ac:dyDescent="0.25">
      <c r="A847" s="13">
        <v>67084</v>
      </c>
      <c r="B847" s="10">
        <f>62.2659 * CHOOSE(CONTROL!$C$15, $E$9, 100%, $G$9) + CHOOSE(CONTROL!$C$38, 0.0278, 0)</f>
        <v>62.293700000000001</v>
      </c>
      <c r="C847" s="10">
        <f>57.4242 * CHOOSE(CONTROL!$C$15, $E$9, 100%, $G$9) + CHOOSE(CONTROL!$C$38, 0.0369, 0)</f>
        <v>57.461100000000002</v>
      </c>
      <c r="D847" s="10">
        <f>57.4164 * CHOOSE(CONTROL!$C$15, $E$9, 100%, $G$9) + CHOOSE(CONTROL!$C$38, 0.0369, 0)</f>
        <v>57.453300000000006</v>
      </c>
      <c r="E847" s="28">
        <f>62.1096 * CHOOSE(CONTROL!$C$15, $E$9, 100%, $G$9) + CHOOSE(CONTROL!$C$38, 0.0369, 0)</f>
        <v>62.146500000000003</v>
      </c>
      <c r="F847" s="27">
        <f>62.1096 * CHOOSE(CONTROL!$C$15, $E$9, 100%, $G$9) + CHOOSE(CONTROL!$C$38, 0.0278, 0)</f>
        <v>62.1374</v>
      </c>
      <c r="G847" s="10">
        <f>57.4226 * CHOOSE(CONTROL!$C$15, $E$9, 100%, $G$9) + CHOOSE(CONTROL!$C$38, 0.0369, 0)</f>
        <v>57.459500000000006</v>
      </c>
      <c r="H847" s="10">
        <f>57.4226 * CHOOSE(CONTROL!$C$15, $E$9, 100%, $G$9) + CHOOSE(CONTROL!$C$38, 0.0369, 0)</f>
        <v>57.459500000000006</v>
      </c>
      <c r="I847" s="10">
        <f>57.4242 * CHOOSE(CONTROL!$C$15, $E$9, 100%, $G$9) + CHOOSE(CONTROL!$C$38, 0.0369, 0)</f>
        <v>57.461100000000002</v>
      </c>
      <c r="J847" s="26">
        <f>419.9401</f>
        <v>419.94009999999997</v>
      </c>
    </row>
    <row r="848" spans="1:10" ht="15.75" x14ac:dyDescent="0.25">
      <c r="A848" s="13">
        <v>67114</v>
      </c>
      <c r="B848" s="10">
        <f>62.5427 * CHOOSE(CONTROL!$C$15, $E$9, 100%, $G$9) + CHOOSE(CONTROL!$C$38, 0.0278, 0)</f>
        <v>62.570500000000003</v>
      </c>
      <c r="C848" s="10">
        <f>57.701 * CHOOSE(CONTROL!$C$15, $E$9, 100%, $G$9) + CHOOSE(CONTROL!$C$38, 0.0369, 0)</f>
        <v>57.737900000000003</v>
      </c>
      <c r="D848" s="10">
        <f>57.6932 * CHOOSE(CONTROL!$C$15, $E$9, 100%, $G$9) + CHOOSE(CONTROL!$C$38, 0.0369, 0)</f>
        <v>57.7301</v>
      </c>
      <c r="E848" s="28">
        <f>62.3864 * CHOOSE(CONTROL!$C$15, $E$9, 100%, $G$9) + CHOOSE(CONTROL!$C$38, 0.0369, 0)</f>
        <v>62.423300000000005</v>
      </c>
      <c r="F848" s="27">
        <f>62.3864 * CHOOSE(CONTROL!$C$15, $E$9, 100%, $G$9) + CHOOSE(CONTROL!$C$38, 0.0278, 0)</f>
        <v>62.414200000000001</v>
      </c>
      <c r="G848" s="10">
        <f>57.6994 * CHOOSE(CONTROL!$C$15, $E$9, 100%, $G$9) + CHOOSE(CONTROL!$C$38, 0.0369, 0)</f>
        <v>57.7363</v>
      </c>
      <c r="H848" s="10">
        <f>57.6994 * CHOOSE(CONTROL!$C$15, $E$9, 100%, $G$9) + CHOOSE(CONTROL!$C$38, 0.0369, 0)</f>
        <v>57.7363</v>
      </c>
      <c r="I848" s="10">
        <f>57.701 * CHOOSE(CONTROL!$C$15, $E$9, 100%, $G$9) + CHOOSE(CONTROL!$C$38, 0.0369, 0)</f>
        <v>57.737900000000003</v>
      </c>
      <c r="J848" s="26">
        <f>405.982</f>
        <v>405.98200000000003</v>
      </c>
    </row>
    <row r="849" spans="1:10" ht="15.75" x14ac:dyDescent="0.25">
      <c r="A849" s="13">
        <v>67145</v>
      </c>
      <c r="B849" s="10">
        <f>62.7745 * CHOOSE(CONTROL!$C$15, $E$9, 100%, $G$9) + CHOOSE(CONTROL!$C$38, 0.0256, 0)</f>
        <v>62.8001</v>
      </c>
      <c r="C849" s="10">
        <f>57.9328 * CHOOSE(CONTROL!$C$15, $E$9, 100%, $G$9) + CHOOSE(CONTROL!$C$38, 0.0347, 0)</f>
        <v>57.967500000000001</v>
      </c>
      <c r="D849" s="10">
        <f>57.925 * CHOOSE(CONTROL!$C$15, $E$9, 100%, $G$9) + CHOOSE(CONTROL!$C$38, 0.0347, 0)</f>
        <v>57.959699999999998</v>
      </c>
      <c r="E849" s="28">
        <f>62.6183 * CHOOSE(CONTROL!$C$15, $E$9, 100%, $G$9) + CHOOSE(CONTROL!$C$38, 0.0347, 0)</f>
        <v>62.652999999999999</v>
      </c>
      <c r="F849" s="27">
        <f>62.6183 * CHOOSE(CONTROL!$C$15, $E$9, 100%, $G$9) + CHOOSE(CONTROL!$C$38, 0.0256, 0)</f>
        <v>62.643899999999995</v>
      </c>
      <c r="G849" s="10">
        <f>57.9312 * CHOOSE(CONTROL!$C$15, $E$9, 100%, $G$9) + CHOOSE(CONTROL!$C$38, 0.0347, 0)</f>
        <v>57.965899999999998</v>
      </c>
      <c r="H849" s="10">
        <f>57.9312 * CHOOSE(CONTROL!$C$15, $E$9, 100%, $G$9) + CHOOSE(CONTROL!$C$38, 0.0347, 0)</f>
        <v>57.965899999999998</v>
      </c>
      <c r="I849" s="10">
        <f>57.9328 * CHOOSE(CONTROL!$C$15, $E$9, 100%, $G$9) + CHOOSE(CONTROL!$C$38, 0.0347, 0)</f>
        <v>57.967500000000001</v>
      </c>
      <c r="J849" s="26">
        <f>391.9427</f>
        <v>391.9427</v>
      </c>
    </row>
    <row r="850" spans="1:10" ht="15.75" x14ac:dyDescent="0.25">
      <c r="A850" s="13">
        <v>67175</v>
      </c>
      <c r="B850" s="10">
        <f>62.9679 * CHOOSE(CONTROL!$C$15, $E$9, 100%, $G$9) + CHOOSE(CONTROL!$C$38, 0.0256, 0)</f>
        <v>62.993499999999997</v>
      </c>
      <c r="C850" s="10">
        <f>58.1262 * CHOOSE(CONTROL!$C$15, $E$9, 100%, $G$9) + CHOOSE(CONTROL!$C$38, 0.0347, 0)</f>
        <v>58.160899999999998</v>
      </c>
      <c r="D850" s="10">
        <f>58.1184 * CHOOSE(CONTROL!$C$15, $E$9, 100%, $G$9) + CHOOSE(CONTROL!$C$38, 0.0347, 0)</f>
        <v>58.153100000000002</v>
      </c>
      <c r="E850" s="28">
        <f>62.8117 * CHOOSE(CONTROL!$C$15, $E$9, 100%, $G$9) + CHOOSE(CONTROL!$C$38, 0.0347, 0)</f>
        <v>62.846400000000003</v>
      </c>
      <c r="F850" s="27">
        <f>62.8117 * CHOOSE(CONTROL!$C$15, $E$9, 100%, $G$9) + CHOOSE(CONTROL!$C$38, 0.0256, 0)</f>
        <v>62.837299999999999</v>
      </c>
      <c r="G850" s="10">
        <f>58.1247 * CHOOSE(CONTROL!$C$15, $E$9, 100%, $G$9) + CHOOSE(CONTROL!$C$38, 0.0347, 0)</f>
        <v>58.159399999999998</v>
      </c>
      <c r="H850" s="10">
        <f>58.1247 * CHOOSE(CONTROL!$C$15, $E$9, 100%, $G$9) + CHOOSE(CONTROL!$C$38, 0.0347, 0)</f>
        <v>58.159399999999998</v>
      </c>
      <c r="I850" s="10">
        <f>58.1262 * CHOOSE(CONTROL!$C$15, $E$9, 100%, $G$9) + CHOOSE(CONTROL!$C$38, 0.0347, 0)</f>
        <v>58.160899999999998</v>
      </c>
      <c r="J850" s="26">
        <f>389.15</f>
        <v>389.15</v>
      </c>
    </row>
    <row r="851" spans="1:10" ht="15.75" x14ac:dyDescent="0.25">
      <c r="A851" s="13">
        <v>67206</v>
      </c>
      <c r="B851" s="10">
        <f>63.564 * CHOOSE(CONTROL!$C$15, $E$9, 100%, $G$9) + CHOOSE(CONTROL!$C$38, 0.0256, 0)</f>
        <v>63.589599999999997</v>
      </c>
      <c r="C851" s="10">
        <f>58.7223 * CHOOSE(CONTROL!$C$15, $E$9, 100%, $G$9) + CHOOSE(CONTROL!$C$38, 0.0347, 0)</f>
        <v>58.756999999999998</v>
      </c>
      <c r="D851" s="10">
        <f>58.7145 * CHOOSE(CONTROL!$C$15, $E$9, 100%, $G$9) + CHOOSE(CONTROL!$C$38, 0.0347, 0)</f>
        <v>58.749200000000002</v>
      </c>
      <c r="E851" s="28">
        <f>63.4078 * CHOOSE(CONTROL!$C$15, $E$9, 100%, $G$9) + CHOOSE(CONTROL!$C$38, 0.0347, 0)</f>
        <v>63.442500000000003</v>
      </c>
      <c r="F851" s="27">
        <f>63.4078 * CHOOSE(CONTROL!$C$15, $E$9, 100%, $G$9) + CHOOSE(CONTROL!$C$38, 0.0256, 0)</f>
        <v>63.433399999999999</v>
      </c>
      <c r="G851" s="10">
        <f>58.7208 * CHOOSE(CONTROL!$C$15, $E$9, 100%, $G$9) + CHOOSE(CONTROL!$C$38, 0.0347, 0)</f>
        <v>58.755499999999998</v>
      </c>
      <c r="H851" s="10">
        <f>58.7208 * CHOOSE(CONTROL!$C$15, $E$9, 100%, $G$9) + CHOOSE(CONTROL!$C$38, 0.0347, 0)</f>
        <v>58.755499999999998</v>
      </c>
      <c r="I851" s="10">
        <f>58.7223 * CHOOSE(CONTROL!$C$15, $E$9, 100%, $G$9) + CHOOSE(CONTROL!$C$38, 0.0347, 0)</f>
        <v>58.756999999999998</v>
      </c>
      <c r="J851" s="26">
        <f>377.6019</f>
        <v>377.6019</v>
      </c>
    </row>
    <row r="852" spans="1:10" ht="15.75" x14ac:dyDescent="0.25">
      <c r="A852" s="13">
        <v>67237</v>
      </c>
      <c r="B852" s="10">
        <f>65.137 * CHOOSE(CONTROL!$C$15, $E$9, 100%, $G$9) + CHOOSE(CONTROL!$C$38, 0.0256, 0)</f>
        <v>65.162599999999998</v>
      </c>
      <c r="C852" s="10">
        <f>60.2125 * CHOOSE(CONTROL!$C$15, $E$9, 100%, $G$9) + CHOOSE(CONTROL!$C$38, 0.0347, 0)</f>
        <v>60.247199999999999</v>
      </c>
      <c r="D852" s="10">
        <f>60.2047 * CHOOSE(CONTROL!$C$15, $E$9, 100%, $G$9) + CHOOSE(CONTROL!$C$38, 0.0347, 0)</f>
        <v>60.239400000000003</v>
      </c>
      <c r="E852" s="28">
        <f>64.9808 * CHOOSE(CONTROL!$C$15, $E$9, 100%, $G$9) + CHOOSE(CONTROL!$C$38, 0.0347, 0)</f>
        <v>65.015500000000003</v>
      </c>
      <c r="F852" s="27">
        <f>64.9808 * CHOOSE(CONTROL!$C$15, $E$9, 100%, $G$9) + CHOOSE(CONTROL!$C$38, 0.0256, 0)</f>
        <v>65.006399999999999</v>
      </c>
      <c r="G852" s="10">
        <f>60.211 * CHOOSE(CONTROL!$C$15, $E$9, 100%, $G$9) + CHOOSE(CONTROL!$C$38, 0.0347, 0)</f>
        <v>60.245699999999999</v>
      </c>
      <c r="H852" s="10">
        <f>60.211 * CHOOSE(CONTROL!$C$15, $E$9, 100%, $G$9) + CHOOSE(CONTROL!$C$38, 0.0347, 0)</f>
        <v>60.245699999999999</v>
      </c>
      <c r="I852" s="10">
        <f>60.2125 * CHOOSE(CONTROL!$C$15, $E$9, 100%, $G$9) + CHOOSE(CONTROL!$C$38, 0.0347, 0)</f>
        <v>60.247199999999999</v>
      </c>
      <c r="J852" s="26">
        <f>375.0726</f>
        <v>375.07260000000002</v>
      </c>
    </row>
    <row r="853" spans="1:10" ht="15.75" x14ac:dyDescent="0.25">
      <c r="A853" s="13">
        <v>67266</v>
      </c>
      <c r="B853" s="10">
        <f>65.3578 * CHOOSE(CONTROL!$C$15, $E$9, 100%, $G$9) + CHOOSE(CONTROL!$C$38, 0.0256, 0)</f>
        <v>65.383399999999995</v>
      </c>
      <c r="C853" s="10">
        <f>60.4333 * CHOOSE(CONTROL!$C$15, $E$9, 100%, $G$9) + CHOOSE(CONTROL!$C$38, 0.0347, 0)</f>
        <v>60.468000000000004</v>
      </c>
      <c r="D853" s="10">
        <f>60.4255 * CHOOSE(CONTROL!$C$15, $E$9, 100%, $G$9) + CHOOSE(CONTROL!$C$38, 0.0347, 0)</f>
        <v>60.4602</v>
      </c>
      <c r="E853" s="28">
        <f>65.2015 * CHOOSE(CONTROL!$C$15, $E$9, 100%, $G$9) + CHOOSE(CONTROL!$C$38, 0.0347, 0)</f>
        <v>65.236199999999997</v>
      </c>
      <c r="F853" s="27">
        <f>65.2015 * CHOOSE(CONTROL!$C$15, $E$9, 100%, $G$9) + CHOOSE(CONTROL!$C$38, 0.0256, 0)</f>
        <v>65.227099999999993</v>
      </c>
      <c r="G853" s="10">
        <f>60.4317 * CHOOSE(CONTROL!$C$15, $E$9, 100%, $G$9) + CHOOSE(CONTROL!$C$38, 0.0347, 0)</f>
        <v>60.4664</v>
      </c>
      <c r="H853" s="10">
        <f>60.4317 * CHOOSE(CONTROL!$C$15, $E$9, 100%, $G$9) + CHOOSE(CONTROL!$C$38, 0.0347, 0)</f>
        <v>60.4664</v>
      </c>
      <c r="I853" s="10">
        <f>60.4333 * CHOOSE(CONTROL!$C$15, $E$9, 100%, $G$9) + CHOOSE(CONTROL!$C$38, 0.0347, 0)</f>
        <v>60.468000000000004</v>
      </c>
      <c r="J853" s="26">
        <f>374.03</f>
        <v>374.03</v>
      </c>
    </row>
    <row r="854" spans="1:10" ht="15.75" x14ac:dyDescent="0.25">
      <c r="A854" s="13">
        <v>67297</v>
      </c>
      <c r="B854" s="10">
        <f>64.8468 * CHOOSE(CONTROL!$C$15, $E$9, 100%, $G$9) + CHOOSE(CONTROL!$C$38, 0.0256, 0)</f>
        <v>64.872399999999999</v>
      </c>
      <c r="C854" s="10">
        <f>59.9223 * CHOOSE(CONTROL!$C$15, $E$9, 100%, $G$9) + CHOOSE(CONTROL!$C$38, 0.0347, 0)</f>
        <v>59.957000000000001</v>
      </c>
      <c r="D854" s="10">
        <f>59.9145 * CHOOSE(CONTROL!$C$15, $E$9, 100%, $G$9) + CHOOSE(CONTROL!$C$38, 0.0347, 0)</f>
        <v>59.949199999999998</v>
      </c>
      <c r="E854" s="28">
        <f>64.6905 * CHOOSE(CONTROL!$C$15, $E$9, 100%, $G$9) + CHOOSE(CONTROL!$C$38, 0.0347, 0)</f>
        <v>64.725200000000001</v>
      </c>
      <c r="F854" s="27">
        <f>64.6905 * CHOOSE(CONTROL!$C$15, $E$9, 100%, $G$9) + CHOOSE(CONTROL!$C$38, 0.0256, 0)</f>
        <v>64.716099999999997</v>
      </c>
      <c r="G854" s="10">
        <f>59.9207 * CHOOSE(CONTROL!$C$15, $E$9, 100%, $G$9) + CHOOSE(CONTROL!$C$38, 0.0347, 0)</f>
        <v>59.955399999999997</v>
      </c>
      <c r="H854" s="10">
        <f>59.9207 * CHOOSE(CONTROL!$C$15, $E$9, 100%, $G$9) + CHOOSE(CONTROL!$C$38, 0.0347, 0)</f>
        <v>59.955399999999997</v>
      </c>
      <c r="I854" s="10">
        <f>59.9223 * CHOOSE(CONTROL!$C$15, $E$9, 100%, $G$9) + CHOOSE(CONTROL!$C$38, 0.0347, 0)</f>
        <v>59.957000000000001</v>
      </c>
      <c r="J854" s="26">
        <f>393.7436</f>
        <v>393.74360000000001</v>
      </c>
    </row>
    <row r="855" spans="1:10" ht="15.75" x14ac:dyDescent="0.25">
      <c r="A855" s="13">
        <v>67327</v>
      </c>
      <c r="B855" s="10">
        <f>64.3516 * CHOOSE(CONTROL!$C$15, $E$9, 100%, $G$9) + CHOOSE(CONTROL!$C$38, 0.0256, 0)</f>
        <v>64.377200000000002</v>
      </c>
      <c r="C855" s="10">
        <f>59.4271 * CHOOSE(CONTROL!$C$15, $E$9, 100%, $G$9) + CHOOSE(CONTROL!$C$38, 0.0347, 0)</f>
        <v>59.461800000000004</v>
      </c>
      <c r="D855" s="10">
        <f>59.4193 * CHOOSE(CONTROL!$C$15, $E$9, 100%, $G$9) + CHOOSE(CONTROL!$C$38, 0.0347, 0)</f>
        <v>59.454000000000001</v>
      </c>
      <c r="E855" s="28">
        <f>64.1953 * CHOOSE(CONTROL!$C$15, $E$9, 100%, $G$9) + CHOOSE(CONTROL!$C$38, 0.0347, 0)</f>
        <v>64.23</v>
      </c>
      <c r="F855" s="27">
        <f>64.1953 * CHOOSE(CONTROL!$C$15, $E$9, 100%, $G$9) + CHOOSE(CONTROL!$C$38, 0.0256, 0)</f>
        <v>64.2209</v>
      </c>
      <c r="G855" s="10">
        <f>59.4255 * CHOOSE(CONTROL!$C$15, $E$9, 100%, $G$9) + CHOOSE(CONTROL!$C$38, 0.0347, 0)</f>
        <v>59.4602</v>
      </c>
      <c r="H855" s="10">
        <f>59.4255 * CHOOSE(CONTROL!$C$15, $E$9, 100%, $G$9) + CHOOSE(CONTROL!$C$38, 0.0347, 0)</f>
        <v>59.4602</v>
      </c>
      <c r="I855" s="10">
        <f>59.4271 * CHOOSE(CONTROL!$C$15, $E$9, 100%, $G$9) + CHOOSE(CONTROL!$C$38, 0.0347, 0)</f>
        <v>59.461800000000004</v>
      </c>
      <c r="J855" s="26">
        <f>419.3073</f>
        <v>419.3073</v>
      </c>
    </row>
    <row r="856" spans="1:10" ht="15.75" x14ac:dyDescent="0.25">
      <c r="A856" s="13">
        <v>67358</v>
      </c>
      <c r="B856" s="10">
        <f>63.8355 * CHOOSE(CONTROL!$C$15, $E$9, 100%, $G$9) + CHOOSE(CONTROL!$C$38, 0.0278, 0)</f>
        <v>63.863300000000002</v>
      </c>
      <c r="C856" s="10">
        <f>58.911 * CHOOSE(CONTROL!$C$15, $E$9, 100%, $G$9) + CHOOSE(CONTROL!$C$38, 0.0369, 0)</f>
        <v>58.947900000000004</v>
      </c>
      <c r="D856" s="10">
        <f>58.9032 * CHOOSE(CONTROL!$C$15, $E$9, 100%, $G$9) + CHOOSE(CONTROL!$C$38, 0.0369, 0)</f>
        <v>58.940100000000001</v>
      </c>
      <c r="E856" s="28">
        <f>63.6792 * CHOOSE(CONTROL!$C$15, $E$9, 100%, $G$9) + CHOOSE(CONTROL!$C$38, 0.0369, 0)</f>
        <v>63.716100000000004</v>
      </c>
      <c r="F856" s="27">
        <f>63.6792 * CHOOSE(CONTROL!$C$15, $E$9, 100%, $G$9) + CHOOSE(CONTROL!$C$38, 0.0278, 0)</f>
        <v>63.707000000000001</v>
      </c>
      <c r="G856" s="10">
        <f>58.9094 * CHOOSE(CONTROL!$C$15, $E$9, 100%, $G$9) + CHOOSE(CONTROL!$C$38, 0.0369, 0)</f>
        <v>58.946300000000001</v>
      </c>
      <c r="H856" s="10">
        <f>58.9094 * CHOOSE(CONTROL!$C$15, $E$9, 100%, $G$9) + CHOOSE(CONTROL!$C$38, 0.0369, 0)</f>
        <v>58.946300000000001</v>
      </c>
      <c r="I856" s="10">
        <f>58.911 * CHOOSE(CONTROL!$C$15, $E$9, 100%, $G$9) + CHOOSE(CONTROL!$C$38, 0.0369, 0)</f>
        <v>58.947900000000004</v>
      </c>
      <c r="J856" s="26">
        <f>433.3784</f>
        <v>433.3784</v>
      </c>
    </row>
    <row r="857" spans="1:10" ht="15.75" x14ac:dyDescent="0.25">
      <c r="A857" s="13">
        <v>67388</v>
      </c>
      <c r="B857" s="10">
        <f>63.4736 * CHOOSE(CONTROL!$C$15, $E$9, 100%, $G$9) + CHOOSE(CONTROL!$C$38, 0.0278, 0)</f>
        <v>63.501399999999997</v>
      </c>
      <c r="C857" s="10">
        <f>58.5492 * CHOOSE(CONTROL!$C$15, $E$9, 100%, $G$9) + CHOOSE(CONTROL!$C$38, 0.0369, 0)</f>
        <v>58.586100000000002</v>
      </c>
      <c r="D857" s="10">
        <f>58.5413 * CHOOSE(CONTROL!$C$15, $E$9, 100%, $G$9) + CHOOSE(CONTROL!$C$38, 0.0369, 0)</f>
        <v>58.578200000000002</v>
      </c>
      <c r="E857" s="28">
        <f>63.3174 * CHOOSE(CONTROL!$C$15, $E$9, 100%, $G$9) + CHOOSE(CONTROL!$C$38, 0.0369, 0)</f>
        <v>63.354300000000002</v>
      </c>
      <c r="F857" s="27">
        <f>63.3174 * CHOOSE(CONTROL!$C$15, $E$9, 100%, $G$9) + CHOOSE(CONTROL!$C$38, 0.0278, 0)</f>
        <v>63.345199999999998</v>
      </c>
      <c r="G857" s="10">
        <f>58.5476 * CHOOSE(CONTROL!$C$15, $E$9, 100%, $G$9) + CHOOSE(CONTROL!$C$38, 0.0369, 0)</f>
        <v>58.584500000000006</v>
      </c>
      <c r="H857" s="10">
        <f>58.5476 * CHOOSE(CONTROL!$C$15, $E$9, 100%, $G$9) + CHOOSE(CONTROL!$C$38, 0.0369, 0)</f>
        <v>58.584500000000006</v>
      </c>
      <c r="I857" s="10">
        <f>58.5492 * CHOOSE(CONTROL!$C$15, $E$9, 100%, $G$9) + CHOOSE(CONTROL!$C$38, 0.0369, 0)</f>
        <v>58.586100000000002</v>
      </c>
      <c r="J857" s="26">
        <f>439.623</f>
        <v>439.62299999999999</v>
      </c>
    </row>
    <row r="858" spans="1:10" ht="15.75" x14ac:dyDescent="0.25">
      <c r="A858" s="13">
        <v>67419</v>
      </c>
      <c r="B858" s="10">
        <f>63.2671 * CHOOSE(CONTROL!$C$15, $E$9, 100%, $G$9) + CHOOSE(CONTROL!$C$38, 0.0278, 0)</f>
        <v>63.294899999999998</v>
      </c>
      <c r="C858" s="10">
        <f>58.3427 * CHOOSE(CONTROL!$C$15, $E$9, 100%, $G$9) + CHOOSE(CONTROL!$C$38, 0.0369, 0)</f>
        <v>58.379600000000003</v>
      </c>
      <c r="D858" s="10">
        <f>58.3348 * CHOOSE(CONTROL!$C$15, $E$9, 100%, $G$9) + CHOOSE(CONTROL!$C$38, 0.0369, 0)</f>
        <v>58.371700000000004</v>
      </c>
      <c r="E858" s="28">
        <f>63.1109 * CHOOSE(CONTROL!$C$15, $E$9, 100%, $G$9) + CHOOSE(CONTROL!$C$38, 0.0369, 0)</f>
        <v>63.147800000000004</v>
      </c>
      <c r="F858" s="27">
        <f>63.1109 * CHOOSE(CONTROL!$C$15, $E$9, 100%, $G$9) + CHOOSE(CONTROL!$C$38, 0.0278, 0)</f>
        <v>63.1387</v>
      </c>
      <c r="G858" s="10">
        <f>58.3411 * CHOOSE(CONTROL!$C$15, $E$9, 100%, $G$9) + CHOOSE(CONTROL!$C$38, 0.0369, 0)</f>
        <v>58.378</v>
      </c>
      <c r="H858" s="10">
        <f>58.3411 * CHOOSE(CONTROL!$C$15, $E$9, 100%, $G$9) + CHOOSE(CONTROL!$C$38, 0.0369, 0)</f>
        <v>58.378</v>
      </c>
      <c r="I858" s="10">
        <f>58.3427 * CHOOSE(CONTROL!$C$15, $E$9, 100%, $G$9) + CHOOSE(CONTROL!$C$38, 0.0369, 0)</f>
        <v>58.379600000000003</v>
      </c>
      <c r="J858" s="26">
        <f>437.567</f>
        <v>437.56700000000001</v>
      </c>
    </row>
    <row r="859" spans="1:10" ht="15.75" x14ac:dyDescent="0.25">
      <c r="A859" s="13">
        <v>67450</v>
      </c>
      <c r="B859" s="10">
        <f>63.3691 * CHOOSE(CONTROL!$C$15, $E$9, 100%, $G$9) + CHOOSE(CONTROL!$C$38, 0.0278, 0)</f>
        <v>63.396900000000002</v>
      </c>
      <c r="C859" s="10">
        <f>58.4446 * CHOOSE(CONTROL!$C$15, $E$9, 100%, $G$9) + CHOOSE(CONTROL!$C$38, 0.0369, 0)</f>
        <v>58.481500000000004</v>
      </c>
      <c r="D859" s="10">
        <f>58.4368 * CHOOSE(CONTROL!$C$15, $E$9, 100%, $G$9) + CHOOSE(CONTROL!$C$38, 0.0369, 0)</f>
        <v>58.473700000000001</v>
      </c>
      <c r="E859" s="28">
        <f>63.2128 * CHOOSE(CONTROL!$C$15, $E$9, 100%, $G$9) + CHOOSE(CONTROL!$C$38, 0.0369, 0)</f>
        <v>63.249700000000004</v>
      </c>
      <c r="F859" s="27">
        <f>63.2128 * CHOOSE(CONTROL!$C$15, $E$9, 100%, $G$9) + CHOOSE(CONTROL!$C$38, 0.0278, 0)</f>
        <v>63.240600000000001</v>
      </c>
      <c r="G859" s="10">
        <f>58.443 * CHOOSE(CONTROL!$C$15, $E$9, 100%, $G$9) + CHOOSE(CONTROL!$C$38, 0.0369, 0)</f>
        <v>58.479900000000001</v>
      </c>
      <c r="H859" s="10">
        <f>58.443 * CHOOSE(CONTROL!$C$15, $E$9, 100%, $G$9) + CHOOSE(CONTROL!$C$38, 0.0369, 0)</f>
        <v>58.479900000000001</v>
      </c>
      <c r="I859" s="10">
        <f>58.4446 * CHOOSE(CONTROL!$C$15, $E$9, 100%, $G$9) + CHOOSE(CONTROL!$C$38, 0.0369, 0)</f>
        <v>58.481500000000004</v>
      </c>
      <c r="J859" s="26">
        <f>427.3806</f>
        <v>427.38060000000002</v>
      </c>
    </row>
    <row r="860" spans="1:10" ht="15.75" x14ac:dyDescent="0.25">
      <c r="A860" s="13">
        <v>67480</v>
      </c>
      <c r="B860" s="10">
        <f>63.6459 * CHOOSE(CONTROL!$C$15, $E$9, 100%, $G$9) + CHOOSE(CONTROL!$C$38, 0.0278, 0)</f>
        <v>63.673699999999997</v>
      </c>
      <c r="C860" s="10">
        <f>58.7214 * CHOOSE(CONTROL!$C$15, $E$9, 100%, $G$9) + CHOOSE(CONTROL!$C$38, 0.0369, 0)</f>
        <v>58.758300000000006</v>
      </c>
      <c r="D860" s="10">
        <f>58.7136 * CHOOSE(CONTROL!$C$15, $E$9, 100%, $G$9) + CHOOSE(CONTROL!$C$38, 0.0369, 0)</f>
        <v>58.750500000000002</v>
      </c>
      <c r="E860" s="28">
        <f>63.4896 * CHOOSE(CONTROL!$C$15, $E$9, 100%, $G$9) + CHOOSE(CONTROL!$C$38, 0.0369, 0)</f>
        <v>63.526500000000006</v>
      </c>
      <c r="F860" s="27">
        <f>63.4896 * CHOOSE(CONTROL!$C$15, $E$9, 100%, $G$9) + CHOOSE(CONTROL!$C$38, 0.0278, 0)</f>
        <v>63.517400000000002</v>
      </c>
      <c r="G860" s="10">
        <f>58.7198 * CHOOSE(CONTROL!$C$15, $E$9, 100%, $G$9) + CHOOSE(CONTROL!$C$38, 0.0369, 0)</f>
        <v>58.756700000000002</v>
      </c>
      <c r="H860" s="10">
        <f>58.7198 * CHOOSE(CONTROL!$C$15, $E$9, 100%, $G$9) + CHOOSE(CONTROL!$C$38, 0.0369, 0)</f>
        <v>58.756700000000002</v>
      </c>
      <c r="I860" s="10">
        <f>58.7214 * CHOOSE(CONTROL!$C$15, $E$9, 100%, $G$9) + CHOOSE(CONTROL!$C$38, 0.0369, 0)</f>
        <v>58.758300000000006</v>
      </c>
      <c r="J860" s="26">
        <f>413.1752</f>
        <v>413.17520000000002</v>
      </c>
    </row>
    <row r="861" spans="1:10" ht="15.75" x14ac:dyDescent="0.25">
      <c r="A861" s="13">
        <v>67511</v>
      </c>
      <c r="B861" s="10">
        <f>63.8777 * CHOOSE(CONTROL!$C$15, $E$9, 100%, $G$9) + CHOOSE(CONTROL!$C$38, 0.0256, 0)</f>
        <v>63.903299999999994</v>
      </c>
      <c r="C861" s="10">
        <f>58.9532 * CHOOSE(CONTROL!$C$15, $E$9, 100%, $G$9) + CHOOSE(CONTROL!$C$38, 0.0347, 0)</f>
        <v>58.987900000000003</v>
      </c>
      <c r="D861" s="10">
        <f>58.9454 * CHOOSE(CONTROL!$C$15, $E$9, 100%, $G$9) + CHOOSE(CONTROL!$C$38, 0.0347, 0)</f>
        <v>58.9801</v>
      </c>
      <c r="E861" s="28">
        <f>63.7214 * CHOOSE(CONTROL!$C$15, $E$9, 100%, $G$9) + CHOOSE(CONTROL!$C$38, 0.0347, 0)</f>
        <v>63.756100000000004</v>
      </c>
      <c r="F861" s="27">
        <f>63.7214 * CHOOSE(CONTROL!$C$15, $E$9, 100%, $G$9) + CHOOSE(CONTROL!$C$38, 0.0256, 0)</f>
        <v>63.747</v>
      </c>
      <c r="G861" s="10">
        <f>58.9516 * CHOOSE(CONTROL!$C$15, $E$9, 100%, $G$9) + CHOOSE(CONTROL!$C$38, 0.0347, 0)</f>
        <v>58.9863</v>
      </c>
      <c r="H861" s="10">
        <f>58.9516 * CHOOSE(CONTROL!$C$15, $E$9, 100%, $G$9) + CHOOSE(CONTROL!$C$38, 0.0347, 0)</f>
        <v>58.9863</v>
      </c>
      <c r="I861" s="10">
        <f>58.9532 * CHOOSE(CONTROL!$C$15, $E$9, 100%, $G$9) + CHOOSE(CONTROL!$C$38, 0.0347, 0)</f>
        <v>58.987900000000003</v>
      </c>
      <c r="J861" s="26">
        <f>398.8872</f>
        <v>398.88720000000001</v>
      </c>
    </row>
    <row r="862" spans="1:10" ht="15.75" x14ac:dyDescent="0.25">
      <c r="A862" s="13">
        <v>67541</v>
      </c>
      <c r="B862" s="10">
        <f>64.0711 * CHOOSE(CONTROL!$C$15, $E$9, 100%, $G$9) + CHOOSE(CONTROL!$C$38, 0.0256, 0)</f>
        <v>64.096699999999998</v>
      </c>
      <c r="C862" s="10">
        <f>59.1466 * CHOOSE(CONTROL!$C$15, $E$9, 100%, $G$9) + CHOOSE(CONTROL!$C$38, 0.0347, 0)</f>
        <v>59.1813</v>
      </c>
      <c r="D862" s="10">
        <f>59.1388 * CHOOSE(CONTROL!$C$15, $E$9, 100%, $G$9) + CHOOSE(CONTROL!$C$38, 0.0347, 0)</f>
        <v>59.173500000000004</v>
      </c>
      <c r="E862" s="28">
        <f>63.9149 * CHOOSE(CONTROL!$C$15, $E$9, 100%, $G$9) + CHOOSE(CONTROL!$C$38, 0.0347, 0)</f>
        <v>63.949600000000004</v>
      </c>
      <c r="F862" s="27">
        <f>63.9149 * CHOOSE(CONTROL!$C$15, $E$9, 100%, $G$9) + CHOOSE(CONTROL!$C$38, 0.0256, 0)</f>
        <v>63.9405</v>
      </c>
      <c r="G862" s="10">
        <f>59.1451 * CHOOSE(CONTROL!$C$15, $E$9, 100%, $G$9) + CHOOSE(CONTROL!$C$38, 0.0347, 0)</f>
        <v>59.1798</v>
      </c>
      <c r="H862" s="10">
        <f>59.1451 * CHOOSE(CONTROL!$C$15, $E$9, 100%, $G$9) + CHOOSE(CONTROL!$C$38, 0.0347, 0)</f>
        <v>59.1798</v>
      </c>
      <c r="I862" s="10">
        <f>59.1466 * CHOOSE(CONTROL!$C$15, $E$9, 100%, $G$9) + CHOOSE(CONTROL!$C$38, 0.0347, 0)</f>
        <v>59.1813</v>
      </c>
      <c r="J862" s="26">
        <f>396.045</f>
        <v>396.04500000000002</v>
      </c>
    </row>
    <row r="863" spans="1:10" ht="15.75" x14ac:dyDescent="0.25">
      <c r="A863" s="13">
        <v>67572</v>
      </c>
      <c r="B863" s="10">
        <f>64.6672 * CHOOSE(CONTROL!$C$15, $E$9, 100%, $G$9) + CHOOSE(CONTROL!$C$38, 0.0256, 0)</f>
        <v>64.692799999999991</v>
      </c>
      <c r="C863" s="10">
        <f>59.7427 * CHOOSE(CONTROL!$C$15, $E$9, 100%, $G$9) + CHOOSE(CONTROL!$C$38, 0.0347, 0)</f>
        <v>59.7774</v>
      </c>
      <c r="D863" s="10">
        <f>59.7349 * CHOOSE(CONTROL!$C$15, $E$9, 100%, $G$9) + CHOOSE(CONTROL!$C$38, 0.0347, 0)</f>
        <v>59.769600000000004</v>
      </c>
      <c r="E863" s="28">
        <f>64.5109 * CHOOSE(CONTROL!$C$15, $E$9, 100%, $G$9) + CHOOSE(CONTROL!$C$38, 0.0347, 0)</f>
        <v>64.545600000000007</v>
      </c>
      <c r="F863" s="27">
        <f>64.5109 * CHOOSE(CONTROL!$C$15, $E$9, 100%, $G$9) + CHOOSE(CONTROL!$C$38, 0.0256, 0)</f>
        <v>64.536500000000004</v>
      </c>
      <c r="G863" s="10">
        <f>59.7411 * CHOOSE(CONTROL!$C$15, $E$9, 100%, $G$9) + CHOOSE(CONTROL!$C$38, 0.0347, 0)</f>
        <v>59.775800000000004</v>
      </c>
      <c r="H863" s="10">
        <f>59.7411 * CHOOSE(CONTROL!$C$15, $E$9, 100%, $G$9) + CHOOSE(CONTROL!$C$38, 0.0347, 0)</f>
        <v>59.775800000000004</v>
      </c>
      <c r="I863" s="10">
        <f>59.7427 * CHOOSE(CONTROL!$C$15, $E$9, 100%, $G$9) + CHOOSE(CONTROL!$C$38, 0.0347, 0)</f>
        <v>59.7774</v>
      </c>
      <c r="J863" s="26">
        <f>384.2923</f>
        <v>384.29230000000001</v>
      </c>
    </row>
    <row r="864" spans="1:10" ht="15.75" x14ac:dyDescent="0.25">
      <c r="A864" s="13">
        <v>67603</v>
      </c>
      <c r="B864" s="10">
        <f>66.2597 * CHOOSE(CONTROL!$C$15, $E$9, 100%, $G$9) + CHOOSE(CONTROL!$C$38, 0.0256, 0)</f>
        <v>66.285299999999992</v>
      </c>
      <c r="C864" s="10">
        <f>61.251 * CHOOSE(CONTROL!$C$15, $E$9, 100%, $G$9) + CHOOSE(CONTROL!$C$38, 0.0347, 0)</f>
        <v>61.285699999999999</v>
      </c>
      <c r="D864" s="10">
        <f>61.2432 * CHOOSE(CONTROL!$C$15, $E$9, 100%, $G$9) + CHOOSE(CONTROL!$C$38, 0.0347, 0)</f>
        <v>61.277900000000002</v>
      </c>
      <c r="E864" s="28">
        <f>66.1034 * CHOOSE(CONTROL!$C$15, $E$9, 100%, $G$9) + CHOOSE(CONTROL!$C$38, 0.0347, 0)</f>
        <v>66.138099999999994</v>
      </c>
      <c r="F864" s="27">
        <f>66.1034 * CHOOSE(CONTROL!$C$15, $E$9, 100%, $G$9) + CHOOSE(CONTROL!$C$38, 0.0256, 0)</f>
        <v>66.128999999999991</v>
      </c>
      <c r="G864" s="10">
        <f>61.2494 * CHOOSE(CONTROL!$C$15, $E$9, 100%, $G$9) + CHOOSE(CONTROL!$C$38, 0.0347, 0)</f>
        <v>61.284100000000002</v>
      </c>
      <c r="H864" s="10">
        <f>61.2494 * CHOOSE(CONTROL!$C$15, $E$9, 100%, $G$9) + CHOOSE(CONTROL!$C$38, 0.0347, 0)</f>
        <v>61.284100000000002</v>
      </c>
      <c r="I864" s="10">
        <f>61.251 * CHOOSE(CONTROL!$C$15, $E$9, 100%, $G$9) + CHOOSE(CONTROL!$C$38, 0.0347, 0)</f>
        <v>61.285699999999999</v>
      </c>
      <c r="J864" s="26">
        <f>381.7182</f>
        <v>381.71820000000002</v>
      </c>
    </row>
    <row r="865" spans="1:10" ht="15.75" x14ac:dyDescent="0.25">
      <c r="A865" s="13">
        <v>67631</v>
      </c>
      <c r="B865" s="10">
        <f>66.4805 * CHOOSE(CONTROL!$C$15, $E$9, 100%, $G$9) + CHOOSE(CONTROL!$C$38, 0.0256, 0)</f>
        <v>66.506100000000004</v>
      </c>
      <c r="C865" s="10">
        <f>61.4717 * CHOOSE(CONTROL!$C$15, $E$9, 100%, $G$9) + CHOOSE(CONTROL!$C$38, 0.0347, 0)</f>
        <v>61.506399999999999</v>
      </c>
      <c r="D865" s="10">
        <f>61.4639 * CHOOSE(CONTROL!$C$15, $E$9, 100%, $G$9) + CHOOSE(CONTROL!$C$38, 0.0347, 0)</f>
        <v>61.498600000000003</v>
      </c>
      <c r="E865" s="28">
        <f>66.3242 * CHOOSE(CONTROL!$C$15, $E$9, 100%, $G$9) + CHOOSE(CONTROL!$C$38, 0.0347, 0)</f>
        <v>66.358900000000006</v>
      </c>
      <c r="F865" s="27">
        <f>66.3242 * CHOOSE(CONTROL!$C$15, $E$9, 100%, $G$9) + CHOOSE(CONTROL!$C$38, 0.0256, 0)</f>
        <v>66.349800000000002</v>
      </c>
      <c r="G865" s="10">
        <f>61.4702 * CHOOSE(CONTROL!$C$15, $E$9, 100%, $G$9) + CHOOSE(CONTROL!$C$38, 0.0347, 0)</f>
        <v>61.504899999999999</v>
      </c>
      <c r="H865" s="10">
        <f>61.4702 * CHOOSE(CONTROL!$C$15, $E$9, 100%, $G$9) + CHOOSE(CONTROL!$C$38, 0.0347, 0)</f>
        <v>61.504899999999999</v>
      </c>
      <c r="I865" s="10">
        <f>61.4717 * CHOOSE(CONTROL!$C$15, $E$9, 100%, $G$9) + CHOOSE(CONTROL!$C$38, 0.0347, 0)</f>
        <v>61.506399999999999</v>
      </c>
      <c r="J865" s="26">
        <f>380.6571</f>
        <v>380.65710000000001</v>
      </c>
    </row>
    <row r="866" spans="1:10" ht="15.75" x14ac:dyDescent="0.25">
      <c r="A866" s="13">
        <v>67662</v>
      </c>
      <c r="B866" s="10">
        <f>65.9694 * CHOOSE(CONTROL!$C$15, $E$9, 100%, $G$9) + CHOOSE(CONTROL!$C$38, 0.0256, 0)</f>
        <v>65.99499999999999</v>
      </c>
      <c r="C866" s="10">
        <f>60.9607 * CHOOSE(CONTROL!$C$15, $E$9, 100%, $G$9) + CHOOSE(CONTROL!$C$38, 0.0347, 0)</f>
        <v>60.995400000000004</v>
      </c>
      <c r="D866" s="10">
        <f>60.9529 * CHOOSE(CONTROL!$C$15, $E$9, 100%, $G$9) + CHOOSE(CONTROL!$C$38, 0.0347, 0)</f>
        <v>60.9876</v>
      </c>
      <c r="E866" s="28">
        <f>65.8132 * CHOOSE(CONTROL!$C$15, $E$9, 100%, $G$9) + CHOOSE(CONTROL!$C$38, 0.0347, 0)</f>
        <v>65.847899999999996</v>
      </c>
      <c r="F866" s="27">
        <f>65.8132 * CHOOSE(CONTROL!$C$15, $E$9, 100%, $G$9) + CHOOSE(CONTROL!$C$38, 0.0256, 0)</f>
        <v>65.838799999999992</v>
      </c>
      <c r="G866" s="10">
        <f>60.9591 * CHOOSE(CONTROL!$C$15, $E$9, 100%, $G$9) + CHOOSE(CONTROL!$C$38, 0.0347, 0)</f>
        <v>60.9938</v>
      </c>
      <c r="H866" s="10">
        <f>60.9591 * CHOOSE(CONTROL!$C$15, $E$9, 100%, $G$9) + CHOOSE(CONTROL!$C$38, 0.0347, 0)</f>
        <v>60.9938</v>
      </c>
      <c r="I866" s="10">
        <f>60.9607 * CHOOSE(CONTROL!$C$15, $E$9, 100%, $G$9) + CHOOSE(CONTROL!$C$38, 0.0347, 0)</f>
        <v>60.995400000000004</v>
      </c>
      <c r="J866" s="26">
        <f>400.72</f>
        <v>400.72</v>
      </c>
    </row>
    <row r="867" spans="1:10" ht="15.75" x14ac:dyDescent="0.25">
      <c r="A867" s="13">
        <v>67692</v>
      </c>
      <c r="B867" s="10">
        <f>65.4742 * CHOOSE(CONTROL!$C$15, $E$9, 100%, $G$9) + CHOOSE(CONTROL!$C$38, 0.0256, 0)</f>
        <v>65.499799999999993</v>
      </c>
      <c r="C867" s="10">
        <f>60.4655 * CHOOSE(CONTROL!$C$15, $E$9, 100%, $G$9) + CHOOSE(CONTROL!$C$38, 0.0347, 0)</f>
        <v>60.5002</v>
      </c>
      <c r="D867" s="10">
        <f>60.4577 * CHOOSE(CONTROL!$C$15, $E$9, 100%, $G$9) + CHOOSE(CONTROL!$C$38, 0.0347, 0)</f>
        <v>60.492400000000004</v>
      </c>
      <c r="E867" s="28">
        <f>65.318 * CHOOSE(CONTROL!$C$15, $E$9, 100%, $G$9) + CHOOSE(CONTROL!$C$38, 0.0347, 0)</f>
        <v>65.352699999999999</v>
      </c>
      <c r="F867" s="27">
        <f>65.318 * CHOOSE(CONTROL!$C$15, $E$9, 100%, $G$9) + CHOOSE(CONTROL!$C$38, 0.0256, 0)</f>
        <v>65.343599999999995</v>
      </c>
      <c r="G867" s="10">
        <f>60.464 * CHOOSE(CONTROL!$C$15, $E$9, 100%, $G$9) + CHOOSE(CONTROL!$C$38, 0.0347, 0)</f>
        <v>60.498699999999999</v>
      </c>
      <c r="H867" s="10">
        <f>60.464 * CHOOSE(CONTROL!$C$15, $E$9, 100%, $G$9) + CHOOSE(CONTROL!$C$38, 0.0347, 0)</f>
        <v>60.498699999999999</v>
      </c>
      <c r="I867" s="10">
        <f>60.4655 * CHOOSE(CONTROL!$C$15, $E$9, 100%, $G$9) + CHOOSE(CONTROL!$C$38, 0.0347, 0)</f>
        <v>60.5002</v>
      </c>
      <c r="J867" s="26">
        <f>426.7367</f>
        <v>426.73669999999998</v>
      </c>
    </row>
    <row r="868" spans="1:10" ht="15.75" x14ac:dyDescent="0.25">
      <c r="A868" s="13">
        <v>67723</v>
      </c>
      <c r="B868" s="10">
        <f>64.9581 * CHOOSE(CONTROL!$C$15, $E$9, 100%, $G$9) + CHOOSE(CONTROL!$C$38, 0.0278, 0)</f>
        <v>64.985900000000001</v>
      </c>
      <c r="C868" s="10">
        <f>59.9494 * CHOOSE(CONTROL!$C$15, $E$9, 100%, $G$9) + CHOOSE(CONTROL!$C$38, 0.0369, 0)</f>
        <v>59.9863</v>
      </c>
      <c r="D868" s="10">
        <f>59.9416 * CHOOSE(CONTROL!$C$15, $E$9, 100%, $G$9) + CHOOSE(CONTROL!$C$38, 0.0369, 0)</f>
        <v>59.978500000000004</v>
      </c>
      <c r="E868" s="28">
        <f>64.8019 * CHOOSE(CONTROL!$C$15, $E$9, 100%, $G$9) + CHOOSE(CONTROL!$C$38, 0.0369, 0)</f>
        <v>64.838800000000006</v>
      </c>
      <c r="F868" s="27">
        <f>64.8019 * CHOOSE(CONTROL!$C$15, $E$9, 100%, $G$9) + CHOOSE(CONTROL!$C$38, 0.0278, 0)</f>
        <v>64.829700000000003</v>
      </c>
      <c r="G868" s="10">
        <f>59.9478 * CHOOSE(CONTROL!$C$15, $E$9, 100%, $G$9) + CHOOSE(CONTROL!$C$38, 0.0369, 0)</f>
        <v>59.984700000000004</v>
      </c>
      <c r="H868" s="10">
        <f>59.9478 * CHOOSE(CONTROL!$C$15, $E$9, 100%, $G$9) + CHOOSE(CONTROL!$C$38, 0.0369, 0)</f>
        <v>59.984700000000004</v>
      </c>
      <c r="I868" s="10">
        <f>59.9494 * CHOOSE(CONTROL!$C$15, $E$9, 100%, $G$9) + CHOOSE(CONTROL!$C$38, 0.0369, 0)</f>
        <v>59.9863</v>
      </c>
      <c r="J868" s="26">
        <f>441.0571</f>
        <v>441.05709999999999</v>
      </c>
    </row>
    <row r="869" spans="1:10" ht="15.75" x14ac:dyDescent="0.25">
      <c r="A869" s="13">
        <v>67753</v>
      </c>
      <c r="B869" s="10">
        <f>64.5963 * CHOOSE(CONTROL!$C$15, $E$9, 100%, $G$9) + CHOOSE(CONTROL!$C$38, 0.0278, 0)</f>
        <v>64.624099999999999</v>
      </c>
      <c r="C869" s="10">
        <f>59.5876 * CHOOSE(CONTROL!$C$15, $E$9, 100%, $G$9) + CHOOSE(CONTROL!$C$38, 0.0369, 0)</f>
        <v>59.624500000000005</v>
      </c>
      <c r="D869" s="10">
        <f>59.5798 * CHOOSE(CONTROL!$C$15, $E$9, 100%, $G$9) + CHOOSE(CONTROL!$C$38, 0.0369, 0)</f>
        <v>59.616700000000002</v>
      </c>
      <c r="E869" s="28">
        <f>64.4401 * CHOOSE(CONTROL!$C$15, $E$9, 100%, $G$9) + CHOOSE(CONTROL!$C$38, 0.0369, 0)</f>
        <v>64.477000000000004</v>
      </c>
      <c r="F869" s="27">
        <f>64.4401 * CHOOSE(CONTROL!$C$15, $E$9, 100%, $G$9) + CHOOSE(CONTROL!$C$38, 0.0278, 0)</f>
        <v>64.4679</v>
      </c>
      <c r="G869" s="10">
        <f>59.586 * CHOOSE(CONTROL!$C$15, $E$9, 100%, $G$9) + CHOOSE(CONTROL!$C$38, 0.0369, 0)</f>
        <v>59.622900000000001</v>
      </c>
      <c r="H869" s="10">
        <f>59.586 * CHOOSE(CONTROL!$C$15, $E$9, 100%, $G$9) + CHOOSE(CONTROL!$C$38, 0.0369, 0)</f>
        <v>59.622900000000001</v>
      </c>
      <c r="I869" s="10">
        <f>59.5876 * CHOOSE(CONTROL!$C$15, $E$9, 100%, $G$9) + CHOOSE(CONTROL!$C$38, 0.0369, 0)</f>
        <v>59.624500000000005</v>
      </c>
      <c r="J869" s="26">
        <f>447.4122</f>
        <v>447.41219999999998</v>
      </c>
    </row>
    <row r="870" spans="1:10" ht="15.75" x14ac:dyDescent="0.25">
      <c r="A870" s="13">
        <v>67784</v>
      </c>
      <c r="B870" s="10">
        <f>64.3898 * CHOOSE(CONTROL!$C$15, $E$9, 100%, $G$9) + CHOOSE(CONTROL!$C$38, 0.0278, 0)</f>
        <v>64.417599999999993</v>
      </c>
      <c r="C870" s="10">
        <f>59.3811 * CHOOSE(CONTROL!$C$15, $E$9, 100%, $G$9) + CHOOSE(CONTROL!$C$38, 0.0369, 0)</f>
        <v>59.418000000000006</v>
      </c>
      <c r="D870" s="10">
        <f>59.3733 * CHOOSE(CONTROL!$C$15, $E$9, 100%, $G$9) + CHOOSE(CONTROL!$C$38, 0.0369, 0)</f>
        <v>59.410200000000003</v>
      </c>
      <c r="E870" s="28">
        <f>64.2336 * CHOOSE(CONTROL!$C$15, $E$9, 100%, $G$9) + CHOOSE(CONTROL!$C$38, 0.0369, 0)</f>
        <v>64.270499999999998</v>
      </c>
      <c r="F870" s="27">
        <f>64.2336 * CHOOSE(CONTROL!$C$15, $E$9, 100%, $G$9) + CHOOSE(CONTROL!$C$38, 0.0278, 0)</f>
        <v>64.261399999999995</v>
      </c>
      <c r="G870" s="10">
        <f>59.3795 * CHOOSE(CONTROL!$C$15, $E$9, 100%, $G$9) + CHOOSE(CONTROL!$C$38, 0.0369, 0)</f>
        <v>59.416400000000003</v>
      </c>
      <c r="H870" s="10">
        <f>59.3795 * CHOOSE(CONTROL!$C$15, $E$9, 100%, $G$9) + CHOOSE(CONTROL!$C$38, 0.0369, 0)</f>
        <v>59.416400000000003</v>
      </c>
      <c r="I870" s="10">
        <f>59.3811 * CHOOSE(CONTROL!$C$15, $E$9, 100%, $G$9) + CHOOSE(CONTROL!$C$38, 0.0369, 0)</f>
        <v>59.418000000000006</v>
      </c>
      <c r="J870" s="26">
        <f>445.3198</f>
        <v>445.31979999999999</v>
      </c>
    </row>
    <row r="871" spans="1:10" ht="15.75" x14ac:dyDescent="0.25">
      <c r="A871" s="13">
        <v>67815</v>
      </c>
      <c r="B871" s="10">
        <f>64.4917 * CHOOSE(CONTROL!$C$15, $E$9, 100%, $G$9) + CHOOSE(CONTROL!$C$38, 0.0278, 0)</f>
        <v>64.519499999999994</v>
      </c>
      <c r="C871" s="10">
        <f>59.483 * CHOOSE(CONTROL!$C$15, $E$9, 100%, $G$9) + CHOOSE(CONTROL!$C$38, 0.0369, 0)</f>
        <v>59.5199</v>
      </c>
      <c r="D871" s="10">
        <f>59.4752 * CHOOSE(CONTROL!$C$15, $E$9, 100%, $G$9) + CHOOSE(CONTROL!$C$38, 0.0369, 0)</f>
        <v>59.512100000000004</v>
      </c>
      <c r="E871" s="28">
        <f>64.3355 * CHOOSE(CONTROL!$C$15, $E$9, 100%, $G$9) + CHOOSE(CONTROL!$C$38, 0.0369, 0)</f>
        <v>64.372399999999999</v>
      </c>
      <c r="F871" s="27">
        <f>64.3355 * CHOOSE(CONTROL!$C$15, $E$9, 100%, $G$9) + CHOOSE(CONTROL!$C$38, 0.0278, 0)</f>
        <v>64.363299999999995</v>
      </c>
      <c r="G871" s="10">
        <f>59.4814 * CHOOSE(CONTROL!$C$15, $E$9, 100%, $G$9) + CHOOSE(CONTROL!$C$38, 0.0369, 0)</f>
        <v>59.518300000000004</v>
      </c>
      <c r="H871" s="10">
        <f>59.4814 * CHOOSE(CONTROL!$C$15, $E$9, 100%, $G$9) + CHOOSE(CONTROL!$C$38, 0.0369, 0)</f>
        <v>59.518300000000004</v>
      </c>
      <c r="I871" s="10">
        <f>59.483 * CHOOSE(CONTROL!$C$15, $E$9, 100%, $G$9) + CHOOSE(CONTROL!$C$38, 0.0369, 0)</f>
        <v>59.5199</v>
      </c>
      <c r="J871" s="26">
        <f>434.953</f>
        <v>434.95299999999997</v>
      </c>
    </row>
    <row r="872" spans="1:10" ht="15.75" x14ac:dyDescent="0.25">
      <c r="A872" s="13">
        <v>67845</v>
      </c>
      <c r="B872" s="10">
        <f>64.7685 * CHOOSE(CONTROL!$C$15, $E$9, 100%, $G$9) + CHOOSE(CONTROL!$C$38, 0.0278, 0)</f>
        <v>64.796300000000002</v>
      </c>
      <c r="C872" s="10">
        <f>59.7598 * CHOOSE(CONTROL!$C$15, $E$9, 100%, $G$9) + CHOOSE(CONTROL!$C$38, 0.0369, 0)</f>
        <v>59.796700000000001</v>
      </c>
      <c r="D872" s="10">
        <f>59.752 * CHOOSE(CONTROL!$C$15, $E$9, 100%, $G$9) + CHOOSE(CONTROL!$C$38, 0.0369, 0)</f>
        <v>59.788900000000005</v>
      </c>
      <c r="E872" s="28">
        <f>64.6123 * CHOOSE(CONTROL!$C$15, $E$9, 100%, $G$9) + CHOOSE(CONTROL!$C$38, 0.0369, 0)</f>
        <v>64.649200000000008</v>
      </c>
      <c r="F872" s="27">
        <f>64.6123 * CHOOSE(CONTROL!$C$15, $E$9, 100%, $G$9) + CHOOSE(CONTROL!$C$38, 0.0278, 0)</f>
        <v>64.640100000000004</v>
      </c>
      <c r="G872" s="10">
        <f>59.7582 * CHOOSE(CONTROL!$C$15, $E$9, 100%, $G$9) + CHOOSE(CONTROL!$C$38, 0.0369, 0)</f>
        <v>59.795100000000005</v>
      </c>
      <c r="H872" s="10">
        <f>59.7582 * CHOOSE(CONTROL!$C$15, $E$9, 100%, $G$9) + CHOOSE(CONTROL!$C$38, 0.0369, 0)</f>
        <v>59.795100000000005</v>
      </c>
      <c r="I872" s="10">
        <f>59.7598 * CHOOSE(CONTROL!$C$15, $E$9, 100%, $G$9) + CHOOSE(CONTROL!$C$38, 0.0369, 0)</f>
        <v>59.796700000000001</v>
      </c>
      <c r="J872" s="26">
        <f>420.4959</f>
        <v>420.49590000000001</v>
      </c>
    </row>
    <row r="873" spans="1:10" ht="15.75" x14ac:dyDescent="0.25">
      <c r="A873" s="13">
        <v>67876</v>
      </c>
      <c r="B873" s="10">
        <f>65.0003 * CHOOSE(CONTROL!$C$15, $E$9, 100%, $G$9) + CHOOSE(CONTROL!$C$38, 0.0256, 0)</f>
        <v>65.025899999999993</v>
      </c>
      <c r="C873" s="10">
        <f>59.9916 * CHOOSE(CONTROL!$C$15, $E$9, 100%, $G$9) + CHOOSE(CONTROL!$C$38, 0.0347, 0)</f>
        <v>60.026299999999999</v>
      </c>
      <c r="D873" s="10">
        <f>59.9838 * CHOOSE(CONTROL!$C$15, $E$9, 100%, $G$9) + CHOOSE(CONTROL!$C$38, 0.0347, 0)</f>
        <v>60.018500000000003</v>
      </c>
      <c r="E873" s="28">
        <f>64.8441 * CHOOSE(CONTROL!$C$15, $E$9, 100%, $G$9) + CHOOSE(CONTROL!$C$38, 0.0347, 0)</f>
        <v>64.878799999999998</v>
      </c>
      <c r="F873" s="27">
        <f>64.8441 * CHOOSE(CONTROL!$C$15, $E$9, 100%, $G$9) + CHOOSE(CONTROL!$C$38, 0.0256, 0)</f>
        <v>64.869699999999995</v>
      </c>
      <c r="G873" s="10">
        <f>59.99 * CHOOSE(CONTROL!$C$15, $E$9, 100%, $G$9) + CHOOSE(CONTROL!$C$38, 0.0347, 0)</f>
        <v>60.024700000000003</v>
      </c>
      <c r="H873" s="10">
        <f>59.99 * CHOOSE(CONTROL!$C$15, $E$9, 100%, $G$9) + CHOOSE(CONTROL!$C$38, 0.0347, 0)</f>
        <v>60.024700000000003</v>
      </c>
      <c r="I873" s="10">
        <f>59.9916 * CHOOSE(CONTROL!$C$15, $E$9, 100%, $G$9) + CHOOSE(CONTROL!$C$38, 0.0347, 0)</f>
        <v>60.026299999999999</v>
      </c>
      <c r="J873" s="26">
        <f>405.9547</f>
        <v>405.9547</v>
      </c>
    </row>
    <row r="874" spans="1:10" ht="15.75" x14ac:dyDescent="0.25">
      <c r="A874" s="13">
        <v>67906</v>
      </c>
      <c r="B874" s="10">
        <f>65.1938 * CHOOSE(CONTROL!$C$15, $E$9, 100%, $G$9) + CHOOSE(CONTROL!$C$38, 0.0256, 0)</f>
        <v>65.219399999999993</v>
      </c>
      <c r="C874" s="10">
        <f>60.185 * CHOOSE(CONTROL!$C$15, $E$9, 100%, $G$9) + CHOOSE(CONTROL!$C$38, 0.0347, 0)</f>
        <v>60.219700000000003</v>
      </c>
      <c r="D874" s="10">
        <f>60.1772 * CHOOSE(CONTROL!$C$15, $E$9, 100%, $G$9) + CHOOSE(CONTROL!$C$38, 0.0347, 0)</f>
        <v>60.2119</v>
      </c>
      <c r="E874" s="28">
        <f>65.0375 * CHOOSE(CONTROL!$C$15, $E$9, 100%, $G$9) + CHOOSE(CONTROL!$C$38, 0.0347, 0)</f>
        <v>65.072199999999995</v>
      </c>
      <c r="F874" s="27">
        <f>65.0375 * CHOOSE(CONTROL!$C$15, $E$9, 100%, $G$9) + CHOOSE(CONTROL!$C$38, 0.0256, 0)</f>
        <v>65.063099999999991</v>
      </c>
      <c r="G874" s="10">
        <f>60.1835 * CHOOSE(CONTROL!$C$15, $E$9, 100%, $G$9) + CHOOSE(CONTROL!$C$38, 0.0347, 0)</f>
        <v>60.218200000000003</v>
      </c>
      <c r="H874" s="10">
        <f>60.1835 * CHOOSE(CONTROL!$C$15, $E$9, 100%, $G$9) + CHOOSE(CONTROL!$C$38, 0.0347, 0)</f>
        <v>60.218200000000003</v>
      </c>
      <c r="I874" s="10">
        <f>60.185 * CHOOSE(CONTROL!$C$15, $E$9, 100%, $G$9) + CHOOSE(CONTROL!$C$38, 0.0347, 0)</f>
        <v>60.219700000000003</v>
      </c>
      <c r="J874" s="26">
        <f>403.0622</f>
        <v>403.06220000000002</v>
      </c>
    </row>
    <row r="875" spans="1:10" ht="15.75" x14ac:dyDescent="0.25">
      <c r="A875" s="13">
        <v>67937</v>
      </c>
      <c r="B875" s="10">
        <f>65.7899 * CHOOSE(CONTROL!$C$15, $E$9, 100%, $G$9) + CHOOSE(CONTROL!$C$38, 0.0256, 0)</f>
        <v>65.8155</v>
      </c>
      <c r="C875" s="10">
        <f>60.7811 * CHOOSE(CONTROL!$C$15, $E$9, 100%, $G$9) + CHOOSE(CONTROL!$C$38, 0.0347, 0)</f>
        <v>60.815800000000003</v>
      </c>
      <c r="D875" s="10">
        <f>60.7733 * CHOOSE(CONTROL!$C$15, $E$9, 100%, $G$9) + CHOOSE(CONTROL!$C$38, 0.0347, 0)</f>
        <v>60.808</v>
      </c>
      <c r="E875" s="28">
        <f>65.6336 * CHOOSE(CONTROL!$C$15, $E$9, 100%, $G$9) + CHOOSE(CONTROL!$C$38, 0.0347, 0)</f>
        <v>65.668300000000002</v>
      </c>
      <c r="F875" s="27">
        <f>65.6336 * CHOOSE(CONTROL!$C$15, $E$9, 100%, $G$9) + CHOOSE(CONTROL!$C$38, 0.0256, 0)</f>
        <v>65.659199999999998</v>
      </c>
      <c r="G875" s="10">
        <f>60.7796 * CHOOSE(CONTROL!$C$15, $E$9, 100%, $G$9) + CHOOSE(CONTROL!$C$38, 0.0347, 0)</f>
        <v>60.814300000000003</v>
      </c>
      <c r="H875" s="10">
        <f>60.7796 * CHOOSE(CONTROL!$C$15, $E$9, 100%, $G$9) + CHOOSE(CONTROL!$C$38, 0.0347, 0)</f>
        <v>60.814300000000003</v>
      </c>
      <c r="I875" s="10">
        <f>60.7811 * CHOOSE(CONTROL!$C$15, $E$9, 100%, $G$9) + CHOOSE(CONTROL!$C$38, 0.0347, 0)</f>
        <v>60.815800000000003</v>
      </c>
      <c r="J875" s="26">
        <f>391.1013</f>
        <v>391.10129999999998</v>
      </c>
    </row>
    <row r="876" spans="1:10" ht="15.75" x14ac:dyDescent="0.25">
      <c r="A876" s="13">
        <v>67968</v>
      </c>
      <c r="B876" s="10">
        <f>67.4022 * CHOOSE(CONTROL!$C$15, $E$9, 100%, $G$9) + CHOOSE(CONTROL!$C$38, 0.0256, 0)</f>
        <v>67.427799999999991</v>
      </c>
      <c r="C876" s="10">
        <f>62.3077 * CHOOSE(CONTROL!$C$15, $E$9, 100%, $G$9) + CHOOSE(CONTROL!$C$38, 0.0347, 0)</f>
        <v>62.342399999999998</v>
      </c>
      <c r="D876" s="10">
        <f>62.2999 * CHOOSE(CONTROL!$C$15, $E$9, 100%, $G$9) + CHOOSE(CONTROL!$C$38, 0.0347, 0)</f>
        <v>62.334600000000002</v>
      </c>
      <c r="E876" s="28">
        <f>67.2459 * CHOOSE(CONTROL!$C$15, $E$9, 100%, $G$9) + CHOOSE(CONTROL!$C$38, 0.0347, 0)</f>
        <v>67.280600000000007</v>
      </c>
      <c r="F876" s="27">
        <f>67.2459 * CHOOSE(CONTROL!$C$15, $E$9, 100%, $G$9) + CHOOSE(CONTROL!$C$38, 0.0256, 0)</f>
        <v>67.271500000000003</v>
      </c>
      <c r="G876" s="10">
        <f>62.3062 * CHOOSE(CONTROL!$C$15, $E$9, 100%, $G$9) + CHOOSE(CONTROL!$C$38, 0.0347, 0)</f>
        <v>62.340899999999998</v>
      </c>
      <c r="H876" s="10">
        <f>62.3062 * CHOOSE(CONTROL!$C$15, $E$9, 100%, $G$9) + CHOOSE(CONTROL!$C$38, 0.0347, 0)</f>
        <v>62.340899999999998</v>
      </c>
      <c r="I876" s="10">
        <f>62.3077 * CHOOSE(CONTROL!$C$15, $E$9, 100%, $G$9) + CHOOSE(CONTROL!$C$38, 0.0347, 0)</f>
        <v>62.342399999999998</v>
      </c>
      <c r="J876" s="26">
        <f>388.4815</f>
        <v>388.48149999999998</v>
      </c>
    </row>
    <row r="877" spans="1:10" ht="15.75" x14ac:dyDescent="0.25">
      <c r="A877" s="13">
        <v>67996</v>
      </c>
      <c r="B877" s="10">
        <f>67.623 * CHOOSE(CONTROL!$C$15, $E$9, 100%, $G$9) + CHOOSE(CONTROL!$C$38, 0.0256, 0)</f>
        <v>67.648600000000002</v>
      </c>
      <c r="C877" s="10">
        <f>62.5285 * CHOOSE(CONTROL!$C$15, $E$9, 100%, $G$9) + CHOOSE(CONTROL!$C$38, 0.0347, 0)</f>
        <v>62.563200000000002</v>
      </c>
      <c r="D877" s="10">
        <f>62.5207 * CHOOSE(CONTROL!$C$15, $E$9, 100%, $G$9) + CHOOSE(CONTROL!$C$38, 0.0347, 0)</f>
        <v>62.555399999999999</v>
      </c>
      <c r="E877" s="28">
        <f>67.4667 * CHOOSE(CONTROL!$C$15, $E$9, 100%, $G$9) + CHOOSE(CONTROL!$C$38, 0.0347, 0)</f>
        <v>67.501400000000004</v>
      </c>
      <c r="F877" s="27">
        <f>67.4667 * CHOOSE(CONTROL!$C$15, $E$9, 100%, $G$9) + CHOOSE(CONTROL!$C$38, 0.0256, 0)</f>
        <v>67.4923</v>
      </c>
      <c r="G877" s="10">
        <f>62.5269 * CHOOSE(CONTROL!$C$15, $E$9, 100%, $G$9) + CHOOSE(CONTROL!$C$38, 0.0347, 0)</f>
        <v>62.561599999999999</v>
      </c>
      <c r="H877" s="10">
        <f>62.5269 * CHOOSE(CONTROL!$C$15, $E$9, 100%, $G$9) + CHOOSE(CONTROL!$C$38, 0.0347, 0)</f>
        <v>62.561599999999999</v>
      </c>
      <c r="I877" s="10">
        <f>62.5285 * CHOOSE(CONTROL!$C$15, $E$9, 100%, $G$9) + CHOOSE(CONTROL!$C$38, 0.0347, 0)</f>
        <v>62.563200000000002</v>
      </c>
      <c r="J877" s="26">
        <f>387.4016</f>
        <v>387.40159999999997</v>
      </c>
    </row>
    <row r="878" spans="1:10" ht="15.75" x14ac:dyDescent="0.25">
      <c r="A878" s="13">
        <v>68027</v>
      </c>
      <c r="B878" s="10">
        <f>67.1119 * CHOOSE(CONTROL!$C$15, $E$9, 100%, $G$9) + CHOOSE(CONTROL!$C$38, 0.0256, 0)</f>
        <v>67.137500000000003</v>
      </c>
      <c r="C878" s="10">
        <f>62.0175 * CHOOSE(CONTROL!$C$15, $E$9, 100%, $G$9) + CHOOSE(CONTROL!$C$38, 0.0347, 0)</f>
        <v>62.052199999999999</v>
      </c>
      <c r="D878" s="10">
        <f>62.0096 * CHOOSE(CONTROL!$C$15, $E$9, 100%, $G$9) + CHOOSE(CONTROL!$C$38, 0.0347, 0)</f>
        <v>62.0443</v>
      </c>
      <c r="E878" s="28">
        <f>66.9557 * CHOOSE(CONTROL!$C$15, $E$9, 100%, $G$9) + CHOOSE(CONTROL!$C$38, 0.0347, 0)</f>
        <v>66.990399999999994</v>
      </c>
      <c r="F878" s="27">
        <f>66.9557 * CHOOSE(CONTROL!$C$15, $E$9, 100%, $G$9) + CHOOSE(CONTROL!$C$38, 0.0256, 0)</f>
        <v>66.98129999999999</v>
      </c>
      <c r="G878" s="10">
        <f>62.0159 * CHOOSE(CONTROL!$C$15, $E$9, 100%, $G$9) + CHOOSE(CONTROL!$C$38, 0.0347, 0)</f>
        <v>62.050600000000003</v>
      </c>
      <c r="H878" s="10">
        <f>62.0159 * CHOOSE(CONTROL!$C$15, $E$9, 100%, $G$9) + CHOOSE(CONTROL!$C$38, 0.0347, 0)</f>
        <v>62.050600000000003</v>
      </c>
      <c r="I878" s="10">
        <f>62.0175 * CHOOSE(CONTROL!$C$15, $E$9, 100%, $G$9) + CHOOSE(CONTROL!$C$38, 0.0347, 0)</f>
        <v>62.052199999999999</v>
      </c>
      <c r="J878" s="26">
        <f>407.82</f>
        <v>407.82</v>
      </c>
    </row>
    <row r="879" spans="1:10" ht="15.75" x14ac:dyDescent="0.25">
      <c r="A879" s="13">
        <v>68057</v>
      </c>
      <c r="B879" s="10">
        <f>66.6167 * CHOOSE(CONTROL!$C$15, $E$9, 100%, $G$9) + CHOOSE(CONTROL!$C$38, 0.0256, 0)</f>
        <v>66.642299999999992</v>
      </c>
      <c r="C879" s="10">
        <f>61.5223 * CHOOSE(CONTROL!$C$15, $E$9, 100%, $G$9) + CHOOSE(CONTROL!$C$38, 0.0347, 0)</f>
        <v>61.557000000000002</v>
      </c>
      <c r="D879" s="10">
        <f>61.5145 * CHOOSE(CONTROL!$C$15, $E$9, 100%, $G$9) + CHOOSE(CONTROL!$C$38, 0.0347, 0)</f>
        <v>61.549199999999999</v>
      </c>
      <c r="E879" s="28">
        <f>66.4605 * CHOOSE(CONTROL!$C$15, $E$9, 100%, $G$9) + CHOOSE(CONTROL!$C$38, 0.0347, 0)</f>
        <v>66.495199999999997</v>
      </c>
      <c r="F879" s="27">
        <f>66.4605 * CHOOSE(CONTROL!$C$15, $E$9, 100%, $G$9) + CHOOSE(CONTROL!$C$38, 0.0256, 0)</f>
        <v>66.486099999999993</v>
      </c>
      <c r="G879" s="10">
        <f>61.5207 * CHOOSE(CONTROL!$C$15, $E$9, 100%, $G$9) + CHOOSE(CONTROL!$C$38, 0.0347, 0)</f>
        <v>61.555399999999999</v>
      </c>
      <c r="H879" s="10">
        <f>61.5207 * CHOOSE(CONTROL!$C$15, $E$9, 100%, $G$9) + CHOOSE(CONTROL!$C$38, 0.0347, 0)</f>
        <v>61.555399999999999</v>
      </c>
      <c r="I879" s="10">
        <f>61.5223 * CHOOSE(CONTROL!$C$15, $E$9, 100%, $G$9) + CHOOSE(CONTROL!$C$38, 0.0347, 0)</f>
        <v>61.557000000000002</v>
      </c>
      <c r="J879" s="26">
        <f>434.2976</f>
        <v>434.29759999999999</v>
      </c>
    </row>
    <row r="880" spans="1:10" ht="15.75" x14ac:dyDescent="0.25">
      <c r="A880" s="13">
        <v>68088</v>
      </c>
      <c r="B880" s="10">
        <f>66.1006 * CHOOSE(CONTROL!$C$15, $E$9, 100%, $G$9) + CHOOSE(CONTROL!$C$38, 0.0278, 0)</f>
        <v>66.128399999999999</v>
      </c>
      <c r="C880" s="10">
        <f>61.0062 * CHOOSE(CONTROL!$C$15, $E$9, 100%, $G$9) + CHOOSE(CONTROL!$C$38, 0.0369, 0)</f>
        <v>61.043100000000003</v>
      </c>
      <c r="D880" s="10">
        <f>60.9984 * CHOOSE(CONTROL!$C$15, $E$9, 100%, $G$9) + CHOOSE(CONTROL!$C$38, 0.0369, 0)</f>
        <v>61.035299999999999</v>
      </c>
      <c r="E880" s="28">
        <f>65.9444 * CHOOSE(CONTROL!$C$15, $E$9, 100%, $G$9) + CHOOSE(CONTROL!$C$38, 0.0369, 0)</f>
        <v>65.981300000000005</v>
      </c>
      <c r="F880" s="27">
        <f>65.9444 * CHOOSE(CONTROL!$C$15, $E$9, 100%, $G$9) + CHOOSE(CONTROL!$C$38, 0.0278, 0)</f>
        <v>65.972200000000001</v>
      </c>
      <c r="G880" s="10">
        <f>61.0046 * CHOOSE(CONTROL!$C$15, $E$9, 100%, $G$9) + CHOOSE(CONTROL!$C$38, 0.0369, 0)</f>
        <v>61.041500000000006</v>
      </c>
      <c r="H880" s="10">
        <f>61.0046 * CHOOSE(CONTROL!$C$15, $E$9, 100%, $G$9) + CHOOSE(CONTROL!$C$38, 0.0369, 0)</f>
        <v>61.041500000000006</v>
      </c>
      <c r="I880" s="10">
        <f>61.0062 * CHOOSE(CONTROL!$C$15, $E$9, 100%, $G$9) + CHOOSE(CONTROL!$C$38, 0.0369, 0)</f>
        <v>61.043100000000003</v>
      </c>
      <c r="J880" s="26">
        <f>448.8718</f>
        <v>448.87180000000001</v>
      </c>
    </row>
    <row r="881" spans="1:10" ht="15.75" x14ac:dyDescent="0.25">
      <c r="A881" s="13">
        <v>68118</v>
      </c>
      <c r="B881" s="10">
        <f>65.7388 * CHOOSE(CONTROL!$C$15, $E$9, 100%, $G$9) + CHOOSE(CONTROL!$C$38, 0.0278, 0)</f>
        <v>65.766599999999997</v>
      </c>
      <c r="C881" s="10">
        <f>60.6443 * CHOOSE(CONTROL!$C$15, $E$9, 100%, $G$9) + CHOOSE(CONTROL!$C$38, 0.0369, 0)</f>
        <v>60.681200000000004</v>
      </c>
      <c r="D881" s="10">
        <f>60.6365 * CHOOSE(CONTROL!$C$15, $E$9, 100%, $G$9) + CHOOSE(CONTROL!$C$38, 0.0369, 0)</f>
        <v>60.673400000000001</v>
      </c>
      <c r="E881" s="28">
        <f>65.5825 * CHOOSE(CONTROL!$C$15, $E$9, 100%, $G$9) + CHOOSE(CONTROL!$C$38, 0.0369, 0)</f>
        <v>65.619399999999999</v>
      </c>
      <c r="F881" s="27">
        <f>65.5825 * CHOOSE(CONTROL!$C$15, $E$9, 100%, $G$9) + CHOOSE(CONTROL!$C$38, 0.0278, 0)</f>
        <v>65.610299999999995</v>
      </c>
      <c r="G881" s="10">
        <f>60.6428 * CHOOSE(CONTROL!$C$15, $E$9, 100%, $G$9) + CHOOSE(CONTROL!$C$38, 0.0369, 0)</f>
        <v>60.679700000000004</v>
      </c>
      <c r="H881" s="10">
        <f>60.6428 * CHOOSE(CONTROL!$C$15, $E$9, 100%, $G$9) + CHOOSE(CONTROL!$C$38, 0.0369, 0)</f>
        <v>60.679700000000004</v>
      </c>
      <c r="I881" s="10">
        <f>60.6443 * CHOOSE(CONTROL!$C$15, $E$9, 100%, $G$9) + CHOOSE(CONTROL!$C$38, 0.0369, 0)</f>
        <v>60.681200000000004</v>
      </c>
      <c r="J881" s="26">
        <f>455.3395</f>
        <v>455.33949999999999</v>
      </c>
    </row>
    <row r="882" spans="1:10" ht="15.75" x14ac:dyDescent="0.25">
      <c r="A882" s="13">
        <v>68149</v>
      </c>
      <c r="B882" s="10">
        <f>65.5323 * CHOOSE(CONTROL!$C$15, $E$9, 100%, $G$9) + CHOOSE(CONTROL!$C$38, 0.0278, 0)</f>
        <v>65.560100000000006</v>
      </c>
      <c r="C882" s="10">
        <f>60.4378 * CHOOSE(CONTROL!$C$15, $E$9, 100%, $G$9) + CHOOSE(CONTROL!$C$38, 0.0369, 0)</f>
        <v>60.474700000000006</v>
      </c>
      <c r="D882" s="10">
        <f>60.43 * CHOOSE(CONTROL!$C$15, $E$9, 100%, $G$9) + CHOOSE(CONTROL!$C$38, 0.0369, 0)</f>
        <v>60.466900000000003</v>
      </c>
      <c r="E882" s="28">
        <f>65.3761 * CHOOSE(CONTROL!$C$15, $E$9, 100%, $G$9) + CHOOSE(CONTROL!$C$38, 0.0369, 0)</f>
        <v>65.412999999999997</v>
      </c>
      <c r="F882" s="27">
        <f>65.3761 * CHOOSE(CONTROL!$C$15, $E$9, 100%, $G$9) + CHOOSE(CONTROL!$C$38, 0.0278, 0)</f>
        <v>65.403899999999993</v>
      </c>
      <c r="G882" s="10">
        <f>60.4363 * CHOOSE(CONTROL!$C$15, $E$9, 100%, $G$9) + CHOOSE(CONTROL!$C$38, 0.0369, 0)</f>
        <v>60.473200000000006</v>
      </c>
      <c r="H882" s="10">
        <f>60.4363 * CHOOSE(CONTROL!$C$15, $E$9, 100%, $G$9) + CHOOSE(CONTROL!$C$38, 0.0369, 0)</f>
        <v>60.473200000000006</v>
      </c>
      <c r="I882" s="10">
        <f>60.4378 * CHOOSE(CONTROL!$C$15, $E$9, 100%, $G$9) + CHOOSE(CONTROL!$C$38, 0.0369, 0)</f>
        <v>60.474700000000006</v>
      </c>
      <c r="J882" s="26">
        <f>453.2101</f>
        <v>453.21010000000001</v>
      </c>
    </row>
    <row r="883" spans="1:10" ht="15.75" x14ac:dyDescent="0.25">
      <c r="A883" s="13">
        <v>68180</v>
      </c>
      <c r="B883" s="10">
        <f>65.6342 * CHOOSE(CONTROL!$C$15, $E$9, 100%, $G$9) + CHOOSE(CONTROL!$C$38, 0.0278, 0)</f>
        <v>65.662000000000006</v>
      </c>
      <c r="C883" s="10">
        <f>60.5398 * CHOOSE(CONTROL!$C$15, $E$9, 100%, $G$9) + CHOOSE(CONTROL!$C$38, 0.0369, 0)</f>
        <v>60.576700000000002</v>
      </c>
      <c r="D883" s="10">
        <f>60.5319 * CHOOSE(CONTROL!$C$15, $E$9, 100%, $G$9) + CHOOSE(CONTROL!$C$38, 0.0369, 0)</f>
        <v>60.568800000000003</v>
      </c>
      <c r="E883" s="28">
        <f>65.478 * CHOOSE(CONTROL!$C$15, $E$9, 100%, $G$9) + CHOOSE(CONTROL!$C$38, 0.0369, 0)</f>
        <v>65.514899999999997</v>
      </c>
      <c r="F883" s="27">
        <f>65.478 * CHOOSE(CONTROL!$C$15, $E$9, 100%, $G$9) + CHOOSE(CONTROL!$C$38, 0.0278, 0)</f>
        <v>65.505799999999994</v>
      </c>
      <c r="G883" s="10">
        <f>60.5382 * CHOOSE(CONTROL!$C$15, $E$9, 100%, $G$9) + CHOOSE(CONTROL!$C$38, 0.0369, 0)</f>
        <v>60.575100000000006</v>
      </c>
      <c r="H883" s="10">
        <f>60.5382 * CHOOSE(CONTROL!$C$15, $E$9, 100%, $G$9) + CHOOSE(CONTROL!$C$38, 0.0369, 0)</f>
        <v>60.575100000000006</v>
      </c>
      <c r="I883" s="10">
        <f>60.5398 * CHOOSE(CONTROL!$C$15, $E$9, 100%, $G$9) + CHOOSE(CONTROL!$C$38, 0.0369, 0)</f>
        <v>60.576700000000002</v>
      </c>
      <c r="J883" s="26">
        <f>442.6595</f>
        <v>442.65949999999998</v>
      </c>
    </row>
    <row r="884" spans="1:10" ht="15.75" x14ac:dyDescent="0.25">
      <c r="A884" s="13">
        <v>68210</v>
      </c>
      <c r="B884" s="10">
        <f>65.911 * CHOOSE(CONTROL!$C$15, $E$9, 100%, $G$9) + CHOOSE(CONTROL!$C$38, 0.0278, 0)</f>
        <v>65.938800000000001</v>
      </c>
      <c r="C884" s="10">
        <f>60.8165 * CHOOSE(CONTROL!$C$15, $E$9, 100%, $G$9) + CHOOSE(CONTROL!$C$38, 0.0369, 0)</f>
        <v>60.853400000000001</v>
      </c>
      <c r="D884" s="10">
        <f>60.8087 * CHOOSE(CONTROL!$C$15, $E$9, 100%, $G$9) + CHOOSE(CONTROL!$C$38, 0.0369, 0)</f>
        <v>60.845600000000005</v>
      </c>
      <c r="E884" s="28">
        <f>65.7548 * CHOOSE(CONTROL!$C$15, $E$9, 100%, $G$9) + CHOOSE(CONTROL!$C$38, 0.0369, 0)</f>
        <v>65.791700000000006</v>
      </c>
      <c r="F884" s="27">
        <f>65.7548 * CHOOSE(CONTROL!$C$15, $E$9, 100%, $G$9) + CHOOSE(CONTROL!$C$38, 0.0278, 0)</f>
        <v>65.782600000000002</v>
      </c>
      <c r="G884" s="10">
        <f>60.815 * CHOOSE(CONTROL!$C$15, $E$9, 100%, $G$9) + CHOOSE(CONTROL!$C$38, 0.0369, 0)</f>
        <v>60.851900000000001</v>
      </c>
      <c r="H884" s="10">
        <f>60.815 * CHOOSE(CONTROL!$C$15, $E$9, 100%, $G$9) + CHOOSE(CONTROL!$C$38, 0.0369, 0)</f>
        <v>60.851900000000001</v>
      </c>
      <c r="I884" s="10">
        <f>60.8165 * CHOOSE(CONTROL!$C$15, $E$9, 100%, $G$9) + CHOOSE(CONTROL!$C$38, 0.0369, 0)</f>
        <v>60.853400000000001</v>
      </c>
      <c r="J884" s="26">
        <f>427.9463</f>
        <v>427.94630000000001</v>
      </c>
    </row>
    <row r="885" spans="1:10" ht="15.75" x14ac:dyDescent="0.25">
      <c r="A885" s="13">
        <v>68241</v>
      </c>
      <c r="B885" s="10">
        <f>66.1428 * CHOOSE(CONTROL!$C$15, $E$9, 100%, $G$9) + CHOOSE(CONTROL!$C$38, 0.0256, 0)</f>
        <v>66.168399999999991</v>
      </c>
      <c r="C885" s="10">
        <f>61.0484 * CHOOSE(CONTROL!$C$15, $E$9, 100%, $G$9) + CHOOSE(CONTROL!$C$38, 0.0347, 0)</f>
        <v>61.083100000000002</v>
      </c>
      <c r="D885" s="10">
        <f>61.0406 * CHOOSE(CONTROL!$C$15, $E$9, 100%, $G$9) + CHOOSE(CONTROL!$C$38, 0.0347, 0)</f>
        <v>61.075299999999999</v>
      </c>
      <c r="E885" s="28">
        <f>65.9866 * CHOOSE(CONTROL!$C$15, $E$9, 100%, $G$9) + CHOOSE(CONTROL!$C$38, 0.0347, 0)</f>
        <v>66.021299999999997</v>
      </c>
      <c r="F885" s="27">
        <f>65.9866 * CHOOSE(CONTROL!$C$15, $E$9, 100%, $G$9) + CHOOSE(CONTROL!$C$38, 0.0256, 0)</f>
        <v>66.012199999999993</v>
      </c>
      <c r="G885" s="10">
        <f>61.0468 * CHOOSE(CONTROL!$C$15, $E$9, 100%, $G$9) + CHOOSE(CONTROL!$C$38, 0.0347, 0)</f>
        <v>61.081499999999998</v>
      </c>
      <c r="H885" s="10">
        <f>61.0468 * CHOOSE(CONTROL!$C$15, $E$9, 100%, $G$9) + CHOOSE(CONTROL!$C$38, 0.0347, 0)</f>
        <v>61.081499999999998</v>
      </c>
      <c r="I885" s="10">
        <f>61.0484 * CHOOSE(CONTROL!$C$15, $E$9, 100%, $G$9) + CHOOSE(CONTROL!$C$38, 0.0347, 0)</f>
        <v>61.083100000000002</v>
      </c>
      <c r="J885" s="26">
        <f>413.1475</f>
        <v>413.14749999999998</v>
      </c>
    </row>
    <row r="886" spans="1:10" ht="15.75" x14ac:dyDescent="0.25">
      <c r="A886" s="13">
        <v>68271</v>
      </c>
      <c r="B886" s="10">
        <f>66.3363 * CHOOSE(CONTROL!$C$15, $E$9, 100%, $G$9) + CHOOSE(CONTROL!$C$38, 0.0256, 0)</f>
        <v>66.361899999999991</v>
      </c>
      <c r="C886" s="10">
        <f>61.2418 * CHOOSE(CONTROL!$C$15, $E$9, 100%, $G$9) + CHOOSE(CONTROL!$C$38, 0.0347, 0)</f>
        <v>61.276499999999999</v>
      </c>
      <c r="D886" s="10">
        <f>61.234 * CHOOSE(CONTROL!$C$15, $E$9, 100%, $G$9) + CHOOSE(CONTROL!$C$38, 0.0347, 0)</f>
        <v>61.268700000000003</v>
      </c>
      <c r="E886" s="28">
        <f>66.18 * CHOOSE(CONTROL!$C$15, $E$9, 100%, $G$9) + CHOOSE(CONTROL!$C$38, 0.0347, 0)</f>
        <v>66.214700000000008</v>
      </c>
      <c r="F886" s="27">
        <f>66.18 * CHOOSE(CONTROL!$C$15, $E$9, 100%, $G$9) + CHOOSE(CONTROL!$C$38, 0.0256, 0)</f>
        <v>66.205600000000004</v>
      </c>
      <c r="G886" s="10">
        <f>61.2403 * CHOOSE(CONTROL!$C$15, $E$9, 100%, $G$9) + CHOOSE(CONTROL!$C$38, 0.0347, 0)</f>
        <v>61.274999999999999</v>
      </c>
      <c r="H886" s="10">
        <f>61.2403 * CHOOSE(CONTROL!$C$15, $E$9, 100%, $G$9) + CHOOSE(CONTROL!$C$38, 0.0347, 0)</f>
        <v>61.274999999999999</v>
      </c>
      <c r="I886" s="10">
        <f>61.2418 * CHOOSE(CONTROL!$C$15, $E$9, 100%, $G$9) + CHOOSE(CONTROL!$C$38, 0.0347, 0)</f>
        <v>61.276499999999999</v>
      </c>
      <c r="J886" s="26">
        <f>410.2037</f>
        <v>410.20370000000003</v>
      </c>
    </row>
    <row r="887" spans="1:10" ht="15.75" x14ac:dyDescent="0.25">
      <c r="A887" s="13">
        <v>68302</v>
      </c>
      <c r="B887" s="10">
        <f>66.9323 * CHOOSE(CONTROL!$C$15, $E$9, 100%, $G$9) + CHOOSE(CONTROL!$C$38, 0.0256, 0)</f>
        <v>66.957899999999995</v>
      </c>
      <c r="C887" s="10">
        <f>61.8379 * CHOOSE(CONTROL!$C$15, $E$9, 100%, $G$9) + CHOOSE(CONTROL!$C$38, 0.0347, 0)</f>
        <v>61.872599999999998</v>
      </c>
      <c r="D887" s="10">
        <f>61.8301 * CHOOSE(CONTROL!$C$15, $E$9, 100%, $G$9) + CHOOSE(CONTROL!$C$38, 0.0347, 0)</f>
        <v>61.864800000000002</v>
      </c>
      <c r="E887" s="28">
        <f>66.7761 * CHOOSE(CONTROL!$C$15, $E$9, 100%, $G$9) + CHOOSE(CONTROL!$C$38, 0.0347, 0)</f>
        <v>66.8108</v>
      </c>
      <c r="F887" s="27">
        <f>66.7761 * CHOOSE(CONTROL!$C$15, $E$9, 100%, $G$9) + CHOOSE(CONTROL!$C$38, 0.0256, 0)</f>
        <v>66.801699999999997</v>
      </c>
      <c r="G887" s="10">
        <f>61.8363 * CHOOSE(CONTROL!$C$15, $E$9, 100%, $G$9) + CHOOSE(CONTROL!$C$38, 0.0347, 0)</f>
        <v>61.871000000000002</v>
      </c>
      <c r="H887" s="10">
        <f>61.8363 * CHOOSE(CONTROL!$C$15, $E$9, 100%, $G$9) + CHOOSE(CONTROL!$C$38, 0.0347, 0)</f>
        <v>61.871000000000002</v>
      </c>
      <c r="I887" s="10">
        <f>61.8379 * CHOOSE(CONTROL!$C$15, $E$9, 100%, $G$9) + CHOOSE(CONTROL!$C$38, 0.0347, 0)</f>
        <v>61.872599999999998</v>
      </c>
      <c r="J887" s="26">
        <f>398.0308</f>
        <v>398.0308</v>
      </c>
    </row>
    <row r="888" spans="1:10" ht="15.75" x14ac:dyDescent="0.25">
      <c r="A888" s="13">
        <v>68333</v>
      </c>
      <c r="B888" s="10">
        <f>68.5649 * CHOOSE(CONTROL!$C$15, $E$9, 100%, $G$9) + CHOOSE(CONTROL!$C$38, 0.0256, 0)</f>
        <v>68.590499999999992</v>
      </c>
      <c r="C888" s="10">
        <f>63.3832 * CHOOSE(CONTROL!$C$15, $E$9, 100%, $G$9) + CHOOSE(CONTROL!$C$38, 0.0347, 0)</f>
        <v>63.417900000000003</v>
      </c>
      <c r="D888" s="10">
        <f>63.3754 * CHOOSE(CONTROL!$C$15, $E$9, 100%, $G$9) + CHOOSE(CONTROL!$C$38, 0.0347, 0)</f>
        <v>63.4101</v>
      </c>
      <c r="E888" s="28">
        <f>68.4086 * CHOOSE(CONTROL!$C$15, $E$9, 100%, $G$9) + CHOOSE(CONTROL!$C$38, 0.0347, 0)</f>
        <v>68.443300000000008</v>
      </c>
      <c r="F888" s="27">
        <f>68.4086 * CHOOSE(CONTROL!$C$15, $E$9, 100%, $G$9) + CHOOSE(CONTROL!$C$38, 0.0256, 0)</f>
        <v>68.434200000000004</v>
      </c>
      <c r="G888" s="10">
        <f>63.3816 * CHOOSE(CONTROL!$C$15, $E$9, 100%, $G$9) + CHOOSE(CONTROL!$C$38, 0.0347, 0)</f>
        <v>63.4163</v>
      </c>
      <c r="H888" s="10">
        <f>63.3816 * CHOOSE(CONTROL!$C$15, $E$9, 100%, $G$9) + CHOOSE(CONTROL!$C$38, 0.0347, 0)</f>
        <v>63.4163</v>
      </c>
      <c r="I888" s="10">
        <f>63.3832 * CHOOSE(CONTROL!$C$15, $E$9, 100%, $G$9) + CHOOSE(CONTROL!$C$38, 0.0347, 0)</f>
        <v>63.417900000000003</v>
      </c>
      <c r="J888" s="26">
        <f>395.3647</f>
        <v>395.36470000000003</v>
      </c>
    </row>
    <row r="889" spans="1:10" ht="15.75" x14ac:dyDescent="0.25">
      <c r="A889" s="13">
        <v>68361</v>
      </c>
      <c r="B889" s="10">
        <f>68.7856 * CHOOSE(CONTROL!$C$15, $E$9, 100%, $G$9) + CHOOSE(CONTROL!$C$38, 0.0256, 0)</f>
        <v>68.811199999999999</v>
      </c>
      <c r="C889" s="10">
        <f>63.6039 * CHOOSE(CONTROL!$C$15, $E$9, 100%, $G$9) + CHOOSE(CONTROL!$C$38, 0.0347, 0)</f>
        <v>63.638600000000004</v>
      </c>
      <c r="D889" s="10">
        <f>63.5961 * CHOOSE(CONTROL!$C$15, $E$9, 100%, $G$9) + CHOOSE(CONTROL!$C$38, 0.0347, 0)</f>
        <v>63.630800000000001</v>
      </c>
      <c r="E889" s="28">
        <f>68.6294 * CHOOSE(CONTROL!$C$15, $E$9, 100%, $G$9) + CHOOSE(CONTROL!$C$38, 0.0347, 0)</f>
        <v>68.664100000000005</v>
      </c>
      <c r="F889" s="27">
        <f>68.6294 * CHOOSE(CONTROL!$C$15, $E$9, 100%, $G$9) + CHOOSE(CONTROL!$C$38, 0.0256, 0)</f>
        <v>68.655000000000001</v>
      </c>
      <c r="G889" s="10">
        <f>63.6024 * CHOOSE(CONTROL!$C$15, $E$9, 100%, $G$9) + CHOOSE(CONTROL!$C$38, 0.0347, 0)</f>
        <v>63.637100000000004</v>
      </c>
      <c r="H889" s="10">
        <f>63.6024 * CHOOSE(CONTROL!$C$15, $E$9, 100%, $G$9) + CHOOSE(CONTROL!$C$38, 0.0347, 0)</f>
        <v>63.637100000000004</v>
      </c>
      <c r="I889" s="10">
        <f>63.6039 * CHOOSE(CONTROL!$C$15, $E$9, 100%, $G$9) + CHOOSE(CONTROL!$C$38, 0.0347, 0)</f>
        <v>63.638600000000004</v>
      </c>
      <c r="J889" s="26">
        <f>394.2657</f>
        <v>394.26569999999998</v>
      </c>
    </row>
    <row r="890" spans="1:10" ht="15.75" x14ac:dyDescent="0.25">
      <c r="A890" s="13">
        <v>68392</v>
      </c>
      <c r="B890" s="10">
        <f>68.2746 * CHOOSE(CONTROL!$C$15, $E$9, 100%, $G$9) + CHOOSE(CONTROL!$C$38, 0.0256, 0)</f>
        <v>68.300200000000004</v>
      </c>
      <c r="C890" s="10">
        <f>63.0929 * CHOOSE(CONTROL!$C$15, $E$9, 100%, $G$9) + CHOOSE(CONTROL!$C$38, 0.0347, 0)</f>
        <v>63.127600000000001</v>
      </c>
      <c r="D890" s="10">
        <f>63.0851 * CHOOSE(CONTROL!$C$15, $E$9, 100%, $G$9) + CHOOSE(CONTROL!$C$38, 0.0347, 0)</f>
        <v>63.119799999999998</v>
      </c>
      <c r="E890" s="28">
        <f>68.1184 * CHOOSE(CONTROL!$C$15, $E$9, 100%, $G$9) + CHOOSE(CONTROL!$C$38, 0.0347, 0)</f>
        <v>68.153099999999995</v>
      </c>
      <c r="F890" s="27">
        <f>68.1184 * CHOOSE(CONTROL!$C$15, $E$9, 100%, $G$9) + CHOOSE(CONTROL!$C$38, 0.0256, 0)</f>
        <v>68.143999999999991</v>
      </c>
      <c r="G890" s="10">
        <f>63.0913 * CHOOSE(CONTROL!$C$15, $E$9, 100%, $G$9) + CHOOSE(CONTROL!$C$38, 0.0347, 0)</f>
        <v>63.125999999999998</v>
      </c>
      <c r="H890" s="10">
        <f>63.0913 * CHOOSE(CONTROL!$C$15, $E$9, 100%, $G$9) + CHOOSE(CONTROL!$C$38, 0.0347, 0)</f>
        <v>63.125999999999998</v>
      </c>
      <c r="I890" s="10">
        <f>63.0929 * CHOOSE(CONTROL!$C$15, $E$9, 100%, $G$9) + CHOOSE(CONTROL!$C$38, 0.0347, 0)</f>
        <v>63.127600000000001</v>
      </c>
      <c r="J890" s="26">
        <f>415.0458</f>
        <v>415.04579999999999</v>
      </c>
    </row>
    <row r="891" spans="1:10" ht="15.75" x14ac:dyDescent="0.25">
      <c r="A891" s="13">
        <v>68422</v>
      </c>
      <c r="B891" s="10">
        <f>67.7794 * CHOOSE(CONTROL!$C$15, $E$9, 100%, $G$9) + CHOOSE(CONTROL!$C$38, 0.0256, 0)</f>
        <v>67.804999999999993</v>
      </c>
      <c r="C891" s="10">
        <f>62.5977 * CHOOSE(CONTROL!$C$15, $E$9, 100%, $G$9) + CHOOSE(CONTROL!$C$38, 0.0347, 0)</f>
        <v>62.632400000000004</v>
      </c>
      <c r="D891" s="10">
        <f>62.5899 * CHOOSE(CONTROL!$C$15, $E$9, 100%, $G$9) + CHOOSE(CONTROL!$C$38, 0.0347, 0)</f>
        <v>62.624600000000001</v>
      </c>
      <c r="E891" s="28">
        <f>67.6232 * CHOOSE(CONTROL!$C$15, $E$9, 100%, $G$9) + CHOOSE(CONTROL!$C$38, 0.0347, 0)</f>
        <v>67.657899999999998</v>
      </c>
      <c r="F891" s="27">
        <f>67.6232 * CHOOSE(CONTROL!$C$15, $E$9, 100%, $G$9) + CHOOSE(CONTROL!$C$38, 0.0256, 0)</f>
        <v>67.648799999999994</v>
      </c>
      <c r="G891" s="10">
        <f>62.5962 * CHOOSE(CONTROL!$C$15, $E$9, 100%, $G$9) + CHOOSE(CONTROL!$C$38, 0.0347, 0)</f>
        <v>62.630900000000004</v>
      </c>
      <c r="H891" s="10">
        <f>62.5962 * CHOOSE(CONTROL!$C$15, $E$9, 100%, $G$9) + CHOOSE(CONTROL!$C$38, 0.0347, 0)</f>
        <v>62.630900000000004</v>
      </c>
      <c r="I891" s="10">
        <f>62.5977 * CHOOSE(CONTROL!$C$15, $E$9, 100%, $G$9) + CHOOSE(CONTROL!$C$38, 0.0347, 0)</f>
        <v>62.632400000000004</v>
      </c>
      <c r="J891" s="26">
        <f>441.9926</f>
        <v>441.99259999999998</v>
      </c>
    </row>
    <row r="892" spans="1:10" ht="15.75" x14ac:dyDescent="0.25">
      <c r="A892" s="13">
        <v>68453</v>
      </c>
      <c r="B892" s="10">
        <f>67.2633 * CHOOSE(CONTROL!$C$15, $E$9, 100%, $G$9) + CHOOSE(CONTROL!$C$38, 0.0278, 0)</f>
        <v>67.2911</v>
      </c>
      <c r="C892" s="10">
        <f>62.0816 * CHOOSE(CONTROL!$C$15, $E$9, 100%, $G$9) + CHOOSE(CONTROL!$C$38, 0.0369, 0)</f>
        <v>62.118500000000004</v>
      </c>
      <c r="D892" s="10">
        <f>62.0738 * CHOOSE(CONTROL!$C$15, $E$9, 100%, $G$9) + CHOOSE(CONTROL!$C$38, 0.0369, 0)</f>
        <v>62.110700000000001</v>
      </c>
      <c r="E892" s="28">
        <f>67.1071 * CHOOSE(CONTROL!$C$15, $E$9, 100%, $G$9) + CHOOSE(CONTROL!$C$38, 0.0369, 0)</f>
        <v>67.144000000000005</v>
      </c>
      <c r="F892" s="27">
        <f>67.1071 * CHOOSE(CONTROL!$C$15, $E$9, 100%, $G$9) + CHOOSE(CONTROL!$C$38, 0.0278, 0)</f>
        <v>67.134900000000002</v>
      </c>
      <c r="G892" s="10">
        <f>62.08 * CHOOSE(CONTROL!$C$15, $E$9, 100%, $G$9) + CHOOSE(CONTROL!$C$38, 0.0369, 0)</f>
        <v>62.116900000000001</v>
      </c>
      <c r="H892" s="10">
        <f>62.08 * CHOOSE(CONTROL!$C$15, $E$9, 100%, $G$9) + CHOOSE(CONTROL!$C$38, 0.0369, 0)</f>
        <v>62.116900000000001</v>
      </c>
      <c r="I892" s="10">
        <f>62.0816 * CHOOSE(CONTROL!$C$15, $E$9, 100%, $G$9) + CHOOSE(CONTROL!$C$38, 0.0369, 0)</f>
        <v>62.118500000000004</v>
      </c>
      <c r="J892" s="26">
        <f>456.8249</f>
        <v>456.82490000000001</v>
      </c>
    </row>
    <row r="893" spans="1:10" ht="15.75" x14ac:dyDescent="0.25">
      <c r="A893" s="13">
        <v>68483</v>
      </c>
      <c r="B893" s="10">
        <f>66.9015 * CHOOSE(CONTROL!$C$15, $E$9, 100%, $G$9) + CHOOSE(CONTROL!$C$38, 0.0278, 0)</f>
        <v>66.929299999999998</v>
      </c>
      <c r="C893" s="10">
        <f>61.7198 * CHOOSE(CONTROL!$C$15, $E$9, 100%, $G$9) + CHOOSE(CONTROL!$C$38, 0.0369, 0)</f>
        <v>61.756700000000002</v>
      </c>
      <c r="D893" s="10">
        <f>61.712 * CHOOSE(CONTROL!$C$15, $E$9, 100%, $G$9) + CHOOSE(CONTROL!$C$38, 0.0369, 0)</f>
        <v>61.748900000000006</v>
      </c>
      <c r="E893" s="28">
        <f>66.7452 * CHOOSE(CONTROL!$C$15, $E$9, 100%, $G$9) + CHOOSE(CONTROL!$C$38, 0.0369, 0)</f>
        <v>66.7821</v>
      </c>
      <c r="F893" s="27">
        <f>66.7452 * CHOOSE(CONTROL!$C$15, $E$9, 100%, $G$9) + CHOOSE(CONTROL!$C$38, 0.0278, 0)</f>
        <v>66.772999999999996</v>
      </c>
      <c r="G893" s="10">
        <f>61.7182 * CHOOSE(CONTROL!$C$15, $E$9, 100%, $G$9) + CHOOSE(CONTROL!$C$38, 0.0369, 0)</f>
        <v>61.755100000000006</v>
      </c>
      <c r="H893" s="10">
        <f>61.7182 * CHOOSE(CONTROL!$C$15, $E$9, 100%, $G$9) + CHOOSE(CONTROL!$C$38, 0.0369, 0)</f>
        <v>61.755100000000006</v>
      </c>
      <c r="I893" s="10">
        <f>61.7198 * CHOOSE(CONTROL!$C$15, $E$9, 100%, $G$9) + CHOOSE(CONTROL!$C$38, 0.0369, 0)</f>
        <v>61.756700000000002</v>
      </c>
      <c r="J893" s="26">
        <f>463.4073</f>
        <v>463.40730000000002</v>
      </c>
    </row>
    <row r="894" spans="1:10" ht="15.75" x14ac:dyDescent="0.25">
      <c r="A894" s="13">
        <v>68514</v>
      </c>
      <c r="B894" s="10">
        <f>66.695 * CHOOSE(CONTROL!$C$15, $E$9, 100%, $G$9) + CHOOSE(CONTROL!$C$38, 0.0278, 0)</f>
        <v>66.722799999999992</v>
      </c>
      <c r="C894" s="10">
        <f>61.5133 * CHOOSE(CONTROL!$C$15, $E$9, 100%, $G$9) + CHOOSE(CONTROL!$C$38, 0.0369, 0)</f>
        <v>61.550200000000004</v>
      </c>
      <c r="D894" s="10">
        <f>61.5055 * CHOOSE(CONTROL!$C$15, $E$9, 100%, $G$9) + CHOOSE(CONTROL!$C$38, 0.0369, 0)</f>
        <v>61.542400000000001</v>
      </c>
      <c r="E894" s="28">
        <f>66.5387 * CHOOSE(CONTROL!$C$15, $E$9, 100%, $G$9) + CHOOSE(CONTROL!$C$38, 0.0369, 0)</f>
        <v>66.575600000000009</v>
      </c>
      <c r="F894" s="27">
        <f>66.5387 * CHOOSE(CONTROL!$C$15, $E$9, 100%, $G$9) + CHOOSE(CONTROL!$C$38, 0.0278, 0)</f>
        <v>66.566500000000005</v>
      </c>
      <c r="G894" s="10">
        <f>61.5117 * CHOOSE(CONTROL!$C$15, $E$9, 100%, $G$9) + CHOOSE(CONTROL!$C$38, 0.0369, 0)</f>
        <v>61.5486</v>
      </c>
      <c r="H894" s="10">
        <f>61.5117 * CHOOSE(CONTROL!$C$15, $E$9, 100%, $G$9) + CHOOSE(CONTROL!$C$38, 0.0369, 0)</f>
        <v>61.5486</v>
      </c>
      <c r="I894" s="10">
        <f>61.5133 * CHOOSE(CONTROL!$C$15, $E$9, 100%, $G$9) + CHOOSE(CONTROL!$C$38, 0.0369, 0)</f>
        <v>61.550200000000004</v>
      </c>
      <c r="J894" s="26">
        <f>461.2401</f>
        <v>461.24009999999998</v>
      </c>
    </row>
    <row r="895" spans="1:10" ht="15.75" x14ac:dyDescent="0.25">
      <c r="A895" s="13">
        <v>68545</v>
      </c>
      <c r="B895" s="10">
        <f>66.7969 * CHOOSE(CONTROL!$C$15, $E$9, 100%, $G$9) + CHOOSE(CONTROL!$C$38, 0.0278, 0)</f>
        <v>66.824699999999993</v>
      </c>
      <c r="C895" s="10">
        <f>61.6152 * CHOOSE(CONTROL!$C$15, $E$9, 100%, $G$9) + CHOOSE(CONTROL!$C$38, 0.0369, 0)</f>
        <v>61.652100000000004</v>
      </c>
      <c r="D895" s="10">
        <f>61.6074 * CHOOSE(CONTROL!$C$15, $E$9, 100%, $G$9) + CHOOSE(CONTROL!$C$38, 0.0369, 0)</f>
        <v>61.644300000000001</v>
      </c>
      <c r="E895" s="28">
        <f>66.6407 * CHOOSE(CONTROL!$C$15, $E$9, 100%, $G$9) + CHOOSE(CONTROL!$C$38, 0.0369, 0)</f>
        <v>66.677599999999998</v>
      </c>
      <c r="F895" s="27">
        <f>66.6407 * CHOOSE(CONTROL!$C$15, $E$9, 100%, $G$9) + CHOOSE(CONTROL!$C$38, 0.0278, 0)</f>
        <v>66.668499999999995</v>
      </c>
      <c r="G895" s="10">
        <f>61.6136 * CHOOSE(CONTROL!$C$15, $E$9, 100%, $G$9) + CHOOSE(CONTROL!$C$38, 0.0369, 0)</f>
        <v>61.650500000000001</v>
      </c>
      <c r="H895" s="10">
        <f>61.6136 * CHOOSE(CONTROL!$C$15, $E$9, 100%, $G$9) + CHOOSE(CONTROL!$C$38, 0.0369, 0)</f>
        <v>61.650500000000001</v>
      </c>
      <c r="I895" s="10">
        <f>61.6152 * CHOOSE(CONTROL!$C$15, $E$9, 100%, $G$9) + CHOOSE(CONTROL!$C$38, 0.0369, 0)</f>
        <v>61.652100000000004</v>
      </c>
      <c r="J895" s="26">
        <f>450.5026</f>
        <v>450.50259999999997</v>
      </c>
    </row>
    <row r="896" spans="1:10" ht="15.75" x14ac:dyDescent="0.25">
      <c r="A896" s="13">
        <v>68575</v>
      </c>
      <c r="B896" s="10">
        <f>67.0737 * CHOOSE(CONTROL!$C$15, $E$9, 100%, $G$9) + CHOOSE(CONTROL!$C$38, 0.0278, 0)</f>
        <v>67.101500000000001</v>
      </c>
      <c r="C896" s="10">
        <f>61.892 * CHOOSE(CONTROL!$C$15, $E$9, 100%, $G$9) + CHOOSE(CONTROL!$C$38, 0.0369, 0)</f>
        <v>61.928900000000006</v>
      </c>
      <c r="D896" s="10">
        <f>61.8842 * CHOOSE(CONTROL!$C$15, $E$9, 100%, $G$9) + CHOOSE(CONTROL!$C$38, 0.0369, 0)</f>
        <v>61.921100000000003</v>
      </c>
      <c r="E896" s="28">
        <f>66.9175 * CHOOSE(CONTROL!$C$15, $E$9, 100%, $G$9) + CHOOSE(CONTROL!$C$38, 0.0369, 0)</f>
        <v>66.954400000000007</v>
      </c>
      <c r="F896" s="27">
        <f>66.9175 * CHOOSE(CONTROL!$C$15, $E$9, 100%, $G$9) + CHOOSE(CONTROL!$C$38, 0.0278, 0)</f>
        <v>66.945300000000003</v>
      </c>
      <c r="G896" s="10">
        <f>61.8904 * CHOOSE(CONTROL!$C$15, $E$9, 100%, $G$9) + CHOOSE(CONTROL!$C$38, 0.0369, 0)</f>
        <v>61.927300000000002</v>
      </c>
      <c r="H896" s="10">
        <f>61.8904 * CHOOSE(CONTROL!$C$15, $E$9, 100%, $G$9) + CHOOSE(CONTROL!$C$38, 0.0369, 0)</f>
        <v>61.927300000000002</v>
      </c>
      <c r="I896" s="10">
        <f>61.892 * CHOOSE(CONTROL!$C$15, $E$9, 100%, $G$9) + CHOOSE(CONTROL!$C$38, 0.0369, 0)</f>
        <v>61.928900000000006</v>
      </c>
      <c r="J896" s="26">
        <f>435.5287</f>
        <v>435.52870000000001</v>
      </c>
    </row>
    <row r="897" spans="1:10" ht="15.75" x14ac:dyDescent="0.25">
      <c r="A897" s="13">
        <v>68606</v>
      </c>
      <c r="B897" s="10">
        <f>67.3055 * CHOOSE(CONTROL!$C$15, $E$9, 100%, $G$9) + CHOOSE(CONTROL!$C$38, 0.0256, 0)</f>
        <v>67.331099999999992</v>
      </c>
      <c r="C897" s="10">
        <f>62.1238 * CHOOSE(CONTROL!$C$15, $E$9, 100%, $G$9) + CHOOSE(CONTROL!$C$38, 0.0347, 0)</f>
        <v>62.158500000000004</v>
      </c>
      <c r="D897" s="10">
        <f>62.116 * CHOOSE(CONTROL!$C$15, $E$9, 100%, $G$9) + CHOOSE(CONTROL!$C$38, 0.0347, 0)</f>
        <v>62.150700000000001</v>
      </c>
      <c r="E897" s="28">
        <f>67.1493 * CHOOSE(CONTROL!$C$15, $E$9, 100%, $G$9) + CHOOSE(CONTROL!$C$38, 0.0347, 0)</f>
        <v>67.183999999999997</v>
      </c>
      <c r="F897" s="27">
        <f>67.1493 * CHOOSE(CONTROL!$C$15, $E$9, 100%, $G$9) + CHOOSE(CONTROL!$C$38, 0.0256, 0)</f>
        <v>67.174899999999994</v>
      </c>
      <c r="G897" s="10">
        <f>62.1222 * CHOOSE(CONTROL!$C$15, $E$9, 100%, $G$9) + CHOOSE(CONTROL!$C$38, 0.0347, 0)</f>
        <v>62.1569</v>
      </c>
      <c r="H897" s="10">
        <f>62.1222 * CHOOSE(CONTROL!$C$15, $E$9, 100%, $G$9) + CHOOSE(CONTROL!$C$38, 0.0347, 0)</f>
        <v>62.1569</v>
      </c>
      <c r="I897" s="10">
        <f>62.1238 * CHOOSE(CONTROL!$C$15, $E$9, 100%, $G$9) + CHOOSE(CONTROL!$C$38, 0.0347, 0)</f>
        <v>62.158500000000004</v>
      </c>
      <c r="J897" s="26">
        <f>420.4676</f>
        <v>420.4676</v>
      </c>
    </row>
    <row r="898" spans="1:10" ht="15.75" x14ac:dyDescent="0.25">
      <c r="A898" s="13">
        <v>68636</v>
      </c>
      <c r="B898" s="10">
        <f>67.499 * CHOOSE(CONTROL!$C$15, $E$9, 100%, $G$9) + CHOOSE(CONTROL!$C$38, 0.0256, 0)</f>
        <v>67.524599999999992</v>
      </c>
      <c r="C898" s="10">
        <f>62.3172 * CHOOSE(CONTROL!$C$15, $E$9, 100%, $G$9) + CHOOSE(CONTROL!$C$38, 0.0347, 0)</f>
        <v>62.351900000000001</v>
      </c>
      <c r="D898" s="10">
        <f>62.3094 * CHOOSE(CONTROL!$C$15, $E$9, 100%, $G$9) + CHOOSE(CONTROL!$C$38, 0.0347, 0)</f>
        <v>62.344099999999997</v>
      </c>
      <c r="E898" s="28">
        <f>67.3427 * CHOOSE(CONTROL!$C$15, $E$9, 100%, $G$9) + CHOOSE(CONTROL!$C$38, 0.0347, 0)</f>
        <v>67.377399999999994</v>
      </c>
      <c r="F898" s="27">
        <f>67.3427 * CHOOSE(CONTROL!$C$15, $E$9, 100%, $G$9) + CHOOSE(CONTROL!$C$38, 0.0256, 0)</f>
        <v>67.368299999999991</v>
      </c>
      <c r="G898" s="10">
        <f>62.3157 * CHOOSE(CONTROL!$C$15, $E$9, 100%, $G$9) + CHOOSE(CONTROL!$C$38, 0.0347, 0)</f>
        <v>62.3504</v>
      </c>
      <c r="H898" s="10">
        <f>62.3157 * CHOOSE(CONTROL!$C$15, $E$9, 100%, $G$9) + CHOOSE(CONTROL!$C$38, 0.0347, 0)</f>
        <v>62.3504</v>
      </c>
      <c r="I898" s="10">
        <f>62.3172 * CHOOSE(CONTROL!$C$15, $E$9, 100%, $G$9) + CHOOSE(CONTROL!$C$38, 0.0347, 0)</f>
        <v>62.351900000000001</v>
      </c>
      <c r="J898" s="26">
        <f>417.4717</f>
        <v>417.4717</v>
      </c>
    </row>
    <row r="899" spans="1:10" ht="15.75" x14ac:dyDescent="0.25">
      <c r="A899" s="13">
        <v>68667</v>
      </c>
      <c r="B899" s="10">
        <f>68.095 * CHOOSE(CONTROL!$C$15, $E$9, 100%, $G$9) + CHOOSE(CONTROL!$C$38, 0.0256, 0)</f>
        <v>68.120599999999996</v>
      </c>
      <c r="C899" s="10">
        <f>62.9133 * CHOOSE(CONTROL!$C$15, $E$9, 100%, $G$9) + CHOOSE(CONTROL!$C$38, 0.0347, 0)</f>
        <v>62.948</v>
      </c>
      <c r="D899" s="10">
        <f>62.9055 * CHOOSE(CONTROL!$C$15, $E$9, 100%, $G$9) + CHOOSE(CONTROL!$C$38, 0.0347, 0)</f>
        <v>62.940200000000004</v>
      </c>
      <c r="E899" s="28">
        <f>67.9388 * CHOOSE(CONTROL!$C$15, $E$9, 100%, $G$9) + CHOOSE(CONTROL!$C$38, 0.0347, 0)</f>
        <v>67.973500000000001</v>
      </c>
      <c r="F899" s="27">
        <f>67.9388 * CHOOSE(CONTROL!$C$15, $E$9, 100%, $G$9) + CHOOSE(CONTROL!$C$38, 0.0256, 0)</f>
        <v>67.964399999999998</v>
      </c>
      <c r="G899" s="10">
        <f>62.9118 * CHOOSE(CONTROL!$C$15, $E$9, 100%, $G$9) + CHOOSE(CONTROL!$C$38, 0.0347, 0)</f>
        <v>62.9465</v>
      </c>
      <c r="H899" s="10">
        <f>62.9118 * CHOOSE(CONTROL!$C$15, $E$9, 100%, $G$9) + CHOOSE(CONTROL!$C$38, 0.0347, 0)</f>
        <v>62.9465</v>
      </c>
      <c r="I899" s="10">
        <f>62.9133 * CHOOSE(CONTROL!$C$15, $E$9, 100%, $G$9) + CHOOSE(CONTROL!$C$38, 0.0347, 0)</f>
        <v>62.948</v>
      </c>
      <c r="J899" s="26">
        <f>405.0832</f>
        <v>405.08319999999998</v>
      </c>
    </row>
    <row r="900" spans="1:10" ht="15.75" x14ac:dyDescent="0.25">
      <c r="A900" s="13">
        <v>68698</v>
      </c>
      <c r="B900" s="10">
        <f>69.7481 * CHOOSE(CONTROL!$C$15, $E$9, 100%, $G$9) + CHOOSE(CONTROL!$C$38, 0.0256, 0)</f>
        <v>69.773699999999991</v>
      </c>
      <c r="C900" s="10">
        <f>64.4776 * CHOOSE(CONTROL!$C$15, $E$9, 100%, $G$9) + CHOOSE(CONTROL!$C$38, 0.0347, 0)</f>
        <v>64.512299999999996</v>
      </c>
      <c r="D900" s="10">
        <f>64.4698 * CHOOSE(CONTROL!$C$15, $E$9, 100%, $G$9) + CHOOSE(CONTROL!$C$38, 0.0347, 0)</f>
        <v>64.504500000000007</v>
      </c>
      <c r="E900" s="28">
        <f>69.5919 * CHOOSE(CONTROL!$C$15, $E$9, 100%, $G$9) + CHOOSE(CONTROL!$C$38, 0.0347, 0)</f>
        <v>69.626599999999996</v>
      </c>
      <c r="F900" s="27">
        <f>69.5919 * CHOOSE(CONTROL!$C$15, $E$9, 100%, $G$9) + CHOOSE(CONTROL!$C$38, 0.0256, 0)</f>
        <v>69.617499999999993</v>
      </c>
      <c r="G900" s="10">
        <f>64.476 * CHOOSE(CONTROL!$C$15, $E$9, 100%, $G$9) + CHOOSE(CONTROL!$C$38, 0.0347, 0)</f>
        <v>64.5107</v>
      </c>
      <c r="H900" s="10">
        <f>64.476 * CHOOSE(CONTROL!$C$15, $E$9, 100%, $G$9) + CHOOSE(CONTROL!$C$38, 0.0347, 0)</f>
        <v>64.5107</v>
      </c>
      <c r="I900" s="10">
        <f>64.4776 * CHOOSE(CONTROL!$C$15, $E$9, 100%, $G$9) + CHOOSE(CONTROL!$C$38, 0.0347, 0)</f>
        <v>64.512299999999996</v>
      </c>
      <c r="J900" s="26">
        <f>402.3698</f>
        <v>402.3698</v>
      </c>
    </row>
    <row r="901" spans="1:10" ht="15.75" x14ac:dyDescent="0.25">
      <c r="A901" s="13">
        <v>68727</v>
      </c>
      <c r="B901" s="10">
        <f>69.9689 * CHOOSE(CONTROL!$C$15, $E$9, 100%, $G$9) + CHOOSE(CONTROL!$C$38, 0.0256, 0)</f>
        <v>69.994500000000002</v>
      </c>
      <c r="C901" s="10">
        <f>64.6984 * CHOOSE(CONTROL!$C$15, $E$9, 100%, $G$9) + CHOOSE(CONTROL!$C$38, 0.0347, 0)</f>
        <v>64.733100000000007</v>
      </c>
      <c r="D901" s="10">
        <f>64.6905 * CHOOSE(CONTROL!$C$15, $E$9, 100%, $G$9) + CHOOSE(CONTROL!$C$38, 0.0347, 0)</f>
        <v>64.725200000000001</v>
      </c>
      <c r="E901" s="28">
        <f>69.8126 * CHOOSE(CONTROL!$C$15, $E$9, 100%, $G$9) + CHOOSE(CONTROL!$C$38, 0.0347, 0)</f>
        <v>69.847300000000004</v>
      </c>
      <c r="F901" s="27">
        <f>69.8126 * CHOOSE(CONTROL!$C$15, $E$9, 100%, $G$9) + CHOOSE(CONTROL!$C$38, 0.0256, 0)</f>
        <v>69.838200000000001</v>
      </c>
      <c r="G901" s="10">
        <f>64.6968 * CHOOSE(CONTROL!$C$15, $E$9, 100%, $G$9) + CHOOSE(CONTROL!$C$38, 0.0347, 0)</f>
        <v>64.731499999999997</v>
      </c>
      <c r="H901" s="10">
        <f>64.6968 * CHOOSE(CONTROL!$C$15, $E$9, 100%, $G$9) + CHOOSE(CONTROL!$C$38, 0.0347, 0)</f>
        <v>64.731499999999997</v>
      </c>
      <c r="I901" s="10">
        <f>64.6984 * CHOOSE(CONTROL!$C$15, $E$9, 100%, $G$9) + CHOOSE(CONTROL!$C$38, 0.0347, 0)</f>
        <v>64.733100000000007</v>
      </c>
      <c r="J901" s="26">
        <f>401.2513</f>
        <v>401.25130000000001</v>
      </c>
    </row>
    <row r="902" spans="1:10" ht="15.75" x14ac:dyDescent="0.25">
      <c r="A902" s="13">
        <v>68758</v>
      </c>
      <c r="B902" s="10">
        <f>69.4578 * CHOOSE(CONTROL!$C$15, $E$9, 100%, $G$9) + CHOOSE(CONTROL!$C$38, 0.0256, 0)</f>
        <v>69.483400000000003</v>
      </c>
      <c r="C902" s="10">
        <f>64.1873 * CHOOSE(CONTROL!$C$15, $E$9, 100%, $G$9) + CHOOSE(CONTROL!$C$38, 0.0347, 0)</f>
        <v>64.221999999999994</v>
      </c>
      <c r="D902" s="10">
        <f>64.1795 * CHOOSE(CONTROL!$C$15, $E$9, 100%, $G$9) + CHOOSE(CONTROL!$C$38, 0.0347, 0)</f>
        <v>64.214200000000005</v>
      </c>
      <c r="E902" s="28">
        <f>69.3016 * CHOOSE(CONTROL!$C$15, $E$9, 100%, $G$9) + CHOOSE(CONTROL!$C$38, 0.0347, 0)</f>
        <v>69.336299999999994</v>
      </c>
      <c r="F902" s="27">
        <f>69.3016 * CHOOSE(CONTROL!$C$15, $E$9, 100%, $G$9) + CHOOSE(CONTROL!$C$38, 0.0256, 0)</f>
        <v>69.327199999999991</v>
      </c>
      <c r="G902" s="10">
        <f>64.1858 * CHOOSE(CONTROL!$C$15, $E$9, 100%, $G$9) + CHOOSE(CONTROL!$C$38, 0.0347, 0)</f>
        <v>64.220500000000001</v>
      </c>
      <c r="H902" s="10">
        <f>64.1858 * CHOOSE(CONTROL!$C$15, $E$9, 100%, $G$9) + CHOOSE(CONTROL!$C$38, 0.0347, 0)</f>
        <v>64.220500000000001</v>
      </c>
      <c r="I902" s="10">
        <f>64.1873 * CHOOSE(CONTROL!$C$15, $E$9, 100%, $G$9) + CHOOSE(CONTROL!$C$38, 0.0347, 0)</f>
        <v>64.221999999999994</v>
      </c>
      <c r="J902" s="26">
        <f>422.3996</f>
        <v>422.39960000000002</v>
      </c>
    </row>
    <row r="903" spans="1:10" ht="15.75" x14ac:dyDescent="0.25">
      <c r="A903" s="13">
        <v>68788</v>
      </c>
      <c r="B903" s="10">
        <f>68.9627 * CHOOSE(CONTROL!$C$15, $E$9, 100%, $G$9) + CHOOSE(CONTROL!$C$38, 0.0256, 0)</f>
        <v>68.988299999999995</v>
      </c>
      <c r="C903" s="10">
        <f>63.6922 * CHOOSE(CONTROL!$C$15, $E$9, 100%, $G$9) + CHOOSE(CONTROL!$C$38, 0.0347, 0)</f>
        <v>63.726900000000001</v>
      </c>
      <c r="D903" s="10">
        <f>63.6843 * CHOOSE(CONTROL!$C$15, $E$9, 100%, $G$9) + CHOOSE(CONTROL!$C$38, 0.0347, 0)</f>
        <v>63.719000000000001</v>
      </c>
      <c r="E903" s="28">
        <f>68.8064 * CHOOSE(CONTROL!$C$15, $E$9, 100%, $G$9) + CHOOSE(CONTROL!$C$38, 0.0347, 0)</f>
        <v>68.841099999999997</v>
      </c>
      <c r="F903" s="27">
        <f>68.8064 * CHOOSE(CONTROL!$C$15, $E$9, 100%, $G$9) + CHOOSE(CONTROL!$C$38, 0.0256, 0)</f>
        <v>68.831999999999994</v>
      </c>
      <c r="G903" s="10">
        <f>63.6906 * CHOOSE(CONTROL!$C$15, $E$9, 100%, $G$9) + CHOOSE(CONTROL!$C$38, 0.0347, 0)</f>
        <v>63.725300000000004</v>
      </c>
      <c r="H903" s="10">
        <f>63.6906 * CHOOSE(CONTROL!$C$15, $E$9, 100%, $G$9) + CHOOSE(CONTROL!$C$38, 0.0347, 0)</f>
        <v>63.725300000000004</v>
      </c>
      <c r="I903" s="10">
        <f>63.6922 * CHOOSE(CONTROL!$C$15, $E$9, 100%, $G$9) + CHOOSE(CONTROL!$C$38, 0.0347, 0)</f>
        <v>63.726900000000001</v>
      </c>
      <c r="J903" s="26">
        <f>449.8238</f>
        <v>449.82380000000001</v>
      </c>
    </row>
    <row r="904" spans="1:10" ht="15.75" x14ac:dyDescent="0.25">
      <c r="A904" s="13">
        <v>68819</v>
      </c>
      <c r="B904" s="10">
        <f>68.4465 * CHOOSE(CONTROL!$C$15, $E$9, 100%, $G$9) + CHOOSE(CONTROL!$C$38, 0.0278, 0)</f>
        <v>68.474299999999999</v>
      </c>
      <c r="C904" s="10">
        <f>63.176 * CHOOSE(CONTROL!$C$15, $E$9, 100%, $G$9) + CHOOSE(CONTROL!$C$38, 0.0369, 0)</f>
        <v>63.212900000000005</v>
      </c>
      <c r="D904" s="10">
        <f>63.1682 * CHOOSE(CONTROL!$C$15, $E$9, 100%, $G$9) + CHOOSE(CONTROL!$C$38, 0.0369, 0)</f>
        <v>63.205100000000002</v>
      </c>
      <c r="E904" s="28">
        <f>68.2903 * CHOOSE(CONTROL!$C$15, $E$9, 100%, $G$9) + CHOOSE(CONTROL!$C$38, 0.0369, 0)</f>
        <v>68.327200000000005</v>
      </c>
      <c r="F904" s="27">
        <f>68.2903 * CHOOSE(CONTROL!$C$15, $E$9, 100%, $G$9) + CHOOSE(CONTROL!$C$38, 0.0278, 0)</f>
        <v>68.318100000000001</v>
      </c>
      <c r="G904" s="10">
        <f>63.1745 * CHOOSE(CONTROL!$C$15, $E$9, 100%, $G$9) + CHOOSE(CONTROL!$C$38, 0.0369, 0)</f>
        <v>63.211400000000005</v>
      </c>
      <c r="H904" s="10">
        <f>63.1745 * CHOOSE(CONTROL!$C$15, $E$9, 100%, $G$9) + CHOOSE(CONTROL!$C$38, 0.0369, 0)</f>
        <v>63.211400000000005</v>
      </c>
      <c r="I904" s="10">
        <f>63.176 * CHOOSE(CONTROL!$C$15, $E$9, 100%, $G$9) + CHOOSE(CONTROL!$C$38, 0.0369, 0)</f>
        <v>63.212900000000005</v>
      </c>
      <c r="J904" s="26">
        <f>464.919</f>
        <v>464.91899999999998</v>
      </c>
    </row>
    <row r="905" spans="1:10" ht="15.75" x14ac:dyDescent="0.25">
      <c r="A905" s="13">
        <v>68849</v>
      </c>
      <c r="B905" s="10">
        <f>68.0847 * CHOOSE(CONTROL!$C$15, $E$9, 100%, $G$9) + CHOOSE(CONTROL!$C$38, 0.0278, 0)</f>
        <v>68.112499999999997</v>
      </c>
      <c r="C905" s="10">
        <f>62.8142 * CHOOSE(CONTROL!$C$15, $E$9, 100%, $G$9) + CHOOSE(CONTROL!$C$38, 0.0369, 0)</f>
        <v>62.851100000000002</v>
      </c>
      <c r="D905" s="10">
        <f>62.8064 * CHOOSE(CONTROL!$C$15, $E$9, 100%, $G$9) + CHOOSE(CONTROL!$C$38, 0.0369, 0)</f>
        <v>62.843299999999999</v>
      </c>
      <c r="E905" s="28">
        <f>67.9285 * CHOOSE(CONTROL!$C$15, $E$9, 100%, $G$9) + CHOOSE(CONTROL!$C$38, 0.0369, 0)</f>
        <v>67.965400000000002</v>
      </c>
      <c r="F905" s="27">
        <f>67.9285 * CHOOSE(CONTROL!$C$15, $E$9, 100%, $G$9) + CHOOSE(CONTROL!$C$38, 0.0278, 0)</f>
        <v>67.956299999999999</v>
      </c>
      <c r="G905" s="10">
        <f>62.8126 * CHOOSE(CONTROL!$C$15, $E$9, 100%, $G$9) + CHOOSE(CONTROL!$C$38, 0.0369, 0)</f>
        <v>62.849500000000006</v>
      </c>
      <c r="H905" s="10">
        <f>62.8126 * CHOOSE(CONTROL!$C$15, $E$9, 100%, $G$9) + CHOOSE(CONTROL!$C$38, 0.0369, 0)</f>
        <v>62.849500000000006</v>
      </c>
      <c r="I905" s="10">
        <f>62.8142 * CHOOSE(CONTROL!$C$15, $E$9, 100%, $G$9) + CHOOSE(CONTROL!$C$38, 0.0369, 0)</f>
        <v>62.851100000000002</v>
      </c>
      <c r="J905" s="26">
        <f>471.618</f>
        <v>471.61799999999999</v>
      </c>
    </row>
    <row r="906" spans="1:10" ht="15.75" x14ac:dyDescent="0.25">
      <c r="A906" s="13">
        <v>68880</v>
      </c>
      <c r="B906" s="10">
        <f>67.8782 * CHOOSE(CONTROL!$C$15, $E$9, 100%, $G$9) + CHOOSE(CONTROL!$C$38, 0.0278, 0)</f>
        <v>67.906000000000006</v>
      </c>
      <c r="C906" s="10">
        <f>62.6077 * CHOOSE(CONTROL!$C$15, $E$9, 100%, $G$9) + CHOOSE(CONTROL!$C$38, 0.0369, 0)</f>
        <v>62.644600000000004</v>
      </c>
      <c r="D906" s="10">
        <f>62.5999 * CHOOSE(CONTROL!$C$15, $E$9, 100%, $G$9) + CHOOSE(CONTROL!$C$38, 0.0369, 0)</f>
        <v>62.636800000000001</v>
      </c>
      <c r="E906" s="28">
        <f>67.722 * CHOOSE(CONTROL!$C$15, $E$9, 100%, $G$9) + CHOOSE(CONTROL!$C$38, 0.0369, 0)</f>
        <v>67.758899999999997</v>
      </c>
      <c r="F906" s="27">
        <f>67.722 * CHOOSE(CONTROL!$C$15, $E$9, 100%, $G$9) + CHOOSE(CONTROL!$C$38, 0.0278, 0)</f>
        <v>67.749799999999993</v>
      </c>
      <c r="G906" s="10">
        <f>62.6062 * CHOOSE(CONTROL!$C$15, $E$9, 100%, $G$9) + CHOOSE(CONTROL!$C$38, 0.0369, 0)</f>
        <v>62.643100000000004</v>
      </c>
      <c r="H906" s="10">
        <f>62.6062 * CHOOSE(CONTROL!$C$15, $E$9, 100%, $G$9) + CHOOSE(CONTROL!$C$38, 0.0369, 0)</f>
        <v>62.643100000000004</v>
      </c>
      <c r="I906" s="10">
        <f>62.6077 * CHOOSE(CONTROL!$C$15, $E$9, 100%, $G$9) + CHOOSE(CONTROL!$C$38, 0.0369, 0)</f>
        <v>62.644600000000004</v>
      </c>
      <c r="J906" s="26">
        <f>469.4124</f>
        <v>469.41239999999999</v>
      </c>
    </row>
    <row r="907" spans="1:10" ht="15.75" x14ac:dyDescent="0.25">
      <c r="A907" s="13">
        <v>68911</v>
      </c>
      <c r="B907" s="10">
        <f>67.9801 * CHOOSE(CONTROL!$C$15, $E$9, 100%, $G$9) + CHOOSE(CONTROL!$C$38, 0.0278, 0)</f>
        <v>68.007899999999992</v>
      </c>
      <c r="C907" s="10">
        <f>62.7096 * CHOOSE(CONTROL!$C$15, $E$9, 100%, $G$9) + CHOOSE(CONTROL!$C$38, 0.0369, 0)</f>
        <v>62.746500000000005</v>
      </c>
      <c r="D907" s="10">
        <f>62.7018 * CHOOSE(CONTROL!$C$15, $E$9, 100%, $G$9) + CHOOSE(CONTROL!$C$38, 0.0369, 0)</f>
        <v>62.738700000000001</v>
      </c>
      <c r="E907" s="28">
        <f>67.8239 * CHOOSE(CONTROL!$C$15, $E$9, 100%, $G$9) + CHOOSE(CONTROL!$C$38, 0.0369, 0)</f>
        <v>67.860799999999998</v>
      </c>
      <c r="F907" s="27">
        <f>67.8239 * CHOOSE(CONTROL!$C$15, $E$9, 100%, $G$9) + CHOOSE(CONTROL!$C$38, 0.0278, 0)</f>
        <v>67.851699999999994</v>
      </c>
      <c r="G907" s="10">
        <f>62.7081 * CHOOSE(CONTROL!$C$15, $E$9, 100%, $G$9) + CHOOSE(CONTROL!$C$38, 0.0369, 0)</f>
        <v>62.745000000000005</v>
      </c>
      <c r="H907" s="10">
        <f>62.7081 * CHOOSE(CONTROL!$C$15, $E$9, 100%, $G$9) + CHOOSE(CONTROL!$C$38, 0.0369, 0)</f>
        <v>62.745000000000005</v>
      </c>
      <c r="I907" s="10">
        <f>62.7096 * CHOOSE(CONTROL!$C$15, $E$9, 100%, $G$9) + CHOOSE(CONTROL!$C$38, 0.0369, 0)</f>
        <v>62.746500000000005</v>
      </c>
      <c r="J907" s="26">
        <f>458.4847</f>
        <v>458.48469999999998</v>
      </c>
    </row>
    <row r="908" spans="1:10" ht="15.75" x14ac:dyDescent="0.25">
      <c r="A908" s="13">
        <v>68941</v>
      </c>
      <c r="B908" s="10">
        <f>68.2569 * CHOOSE(CONTROL!$C$15, $E$9, 100%, $G$9) + CHOOSE(CONTROL!$C$38, 0.0278, 0)</f>
        <v>68.284700000000001</v>
      </c>
      <c r="C908" s="10">
        <f>62.9864 * CHOOSE(CONTROL!$C$15, $E$9, 100%, $G$9) + CHOOSE(CONTROL!$C$38, 0.0369, 0)</f>
        <v>63.023300000000006</v>
      </c>
      <c r="D908" s="10">
        <f>62.9786 * CHOOSE(CONTROL!$C$15, $E$9, 100%, $G$9) + CHOOSE(CONTROL!$C$38, 0.0369, 0)</f>
        <v>63.015500000000003</v>
      </c>
      <c r="E908" s="28">
        <f>68.1007 * CHOOSE(CONTROL!$C$15, $E$9, 100%, $G$9) + CHOOSE(CONTROL!$C$38, 0.0369, 0)</f>
        <v>68.137600000000006</v>
      </c>
      <c r="F908" s="27">
        <f>68.1007 * CHOOSE(CONTROL!$C$15, $E$9, 100%, $G$9) + CHOOSE(CONTROL!$C$38, 0.0278, 0)</f>
        <v>68.128500000000003</v>
      </c>
      <c r="G908" s="10">
        <f>62.9849 * CHOOSE(CONTROL!$C$15, $E$9, 100%, $G$9) + CHOOSE(CONTROL!$C$38, 0.0369, 0)</f>
        <v>63.021800000000006</v>
      </c>
      <c r="H908" s="10">
        <f>62.9849 * CHOOSE(CONTROL!$C$15, $E$9, 100%, $G$9) + CHOOSE(CONTROL!$C$38, 0.0369, 0)</f>
        <v>63.021800000000006</v>
      </c>
      <c r="I908" s="10">
        <f>62.9864 * CHOOSE(CONTROL!$C$15, $E$9, 100%, $G$9) + CHOOSE(CONTROL!$C$38, 0.0369, 0)</f>
        <v>63.023300000000006</v>
      </c>
      <c r="J908" s="26">
        <f>443.2454</f>
        <v>443.24540000000002</v>
      </c>
    </row>
    <row r="909" spans="1:10" ht="15.75" x14ac:dyDescent="0.25">
      <c r="A909" s="13">
        <v>68972</v>
      </c>
      <c r="B909" s="10">
        <f>68.4888 * CHOOSE(CONTROL!$C$15, $E$9, 100%, $G$9) + CHOOSE(CONTROL!$C$38, 0.0256, 0)</f>
        <v>68.514399999999995</v>
      </c>
      <c r="C909" s="10">
        <f>63.2182 * CHOOSE(CONTROL!$C$15, $E$9, 100%, $G$9) + CHOOSE(CONTROL!$C$38, 0.0347, 0)</f>
        <v>63.252900000000004</v>
      </c>
      <c r="D909" s="10">
        <f>63.2104 * CHOOSE(CONTROL!$C$15, $E$9, 100%, $G$9) + CHOOSE(CONTROL!$C$38, 0.0347, 0)</f>
        <v>63.245100000000001</v>
      </c>
      <c r="E909" s="28">
        <f>68.3325 * CHOOSE(CONTROL!$C$15, $E$9, 100%, $G$9) + CHOOSE(CONTROL!$C$38, 0.0347, 0)</f>
        <v>68.367199999999997</v>
      </c>
      <c r="F909" s="27">
        <f>68.3325 * CHOOSE(CONTROL!$C$15, $E$9, 100%, $G$9) + CHOOSE(CONTROL!$C$38, 0.0256, 0)</f>
        <v>68.358099999999993</v>
      </c>
      <c r="G909" s="10">
        <f>63.2167 * CHOOSE(CONTROL!$C$15, $E$9, 100%, $G$9) + CHOOSE(CONTROL!$C$38, 0.0347, 0)</f>
        <v>63.251400000000004</v>
      </c>
      <c r="H909" s="10">
        <f>63.2167 * CHOOSE(CONTROL!$C$15, $E$9, 100%, $G$9) + CHOOSE(CONTROL!$C$38, 0.0347, 0)</f>
        <v>63.251400000000004</v>
      </c>
      <c r="I909" s="10">
        <f>63.2182 * CHOOSE(CONTROL!$C$15, $E$9, 100%, $G$9) + CHOOSE(CONTROL!$C$38, 0.0347, 0)</f>
        <v>63.252900000000004</v>
      </c>
      <c r="J909" s="26">
        <f>427.9175</f>
        <v>427.91750000000002</v>
      </c>
    </row>
    <row r="910" spans="1:10" ht="15.75" x14ac:dyDescent="0.25">
      <c r="A910" s="13">
        <v>69002</v>
      </c>
      <c r="B910" s="10">
        <f>68.6822 * CHOOSE(CONTROL!$C$15, $E$9, 100%, $G$9) + CHOOSE(CONTROL!$C$38, 0.0256, 0)</f>
        <v>68.707799999999992</v>
      </c>
      <c r="C910" s="10">
        <f>63.4117 * CHOOSE(CONTROL!$C$15, $E$9, 100%, $G$9) + CHOOSE(CONTROL!$C$38, 0.0347, 0)</f>
        <v>63.446400000000004</v>
      </c>
      <c r="D910" s="10">
        <f>63.4039 * CHOOSE(CONTROL!$C$15, $E$9, 100%, $G$9) + CHOOSE(CONTROL!$C$38, 0.0347, 0)</f>
        <v>63.438600000000001</v>
      </c>
      <c r="E910" s="28">
        <f>68.5259 * CHOOSE(CONTROL!$C$15, $E$9, 100%, $G$9) + CHOOSE(CONTROL!$C$38, 0.0347, 0)</f>
        <v>68.560599999999994</v>
      </c>
      <c r="F910" s="27">
        <f>68.5259 * CHOOSE(CONTROL!$C$15, $E$9, 100%, $G$9) + CHOOSE(CONTROL!$C$38, 0.0256, 0)</f>
        <v>68.55149999999999</v>
      </c>
      <c r="G910" s="10">
        <f>63.4101 * CHOOSE(CONTROL!$C$15, $E$9, 100%, $G$9) + CHOOSE(CONTROL!$C$38, 0.0347, 0)</f>
        <v>63.444800000000001</v>
      </c>
      <c r="H910" s="10">
        <f>63.4101 * CHOOSE(CONTROL!$C$15, $E$9, 100%, $G$9) + CHOOSE(CONTROL!$C$38, 0.0347, 0)</f>
        <v>63.444800000000001</v>
      </c>
      <c r="I910" s="10">
        <f>63.4117 * CHOOSE(CONTROL!$C$15, $E$9, 100%, $G$9) + CHOOSE(CONTROL!$C$38, 0.0347, 0)</f>
        <v>63.446400000000004</v>
      </c>
      <c r="J910" s="26">
        <f>424.8685</f>
        <v>424.86849999999998</v>
      </c>
    </row>
    <row r="911" spans="1:10" ht="15.75" x14ac:dyDescent="0.25">
      <c r="A911" s="13">
        <v>69033</v>
      </c>
      <c r="B911" s="10">
        <f>69.2783 * CHOOSE(CONTROL!$C$15, $E$9, 100%, $G$9) + CHOOSE(CONTROL!$C$38, 0.0256, 0)</f>
        <v>69.303899999999999</v>
      </c>
      <c r="C911" s="10">
        <f>64.0078 * CHOOSE(CONTROL!$C$15, $E$9, 100%, $G$9) + CHOOSE(CONTROL!$C$38, 0.0347, 0)</f>
        <v>64.042500000000004</v>
      </c>
      <c r="D911" s="10">
        <f>63.9999 * CHOOSE(CONTROL!$C$15, $E$9, 100%, $G$9) + CHOOSE(CONTROL!$C$38, 0.0347, 0)</f>
        <v>64.034599999999998</v>
      </c>
      <c r="E911" s="28">
        <f>69.122 * CHOOSE(CONTROL!$C$15, $E$9, 100%, $G$9) + CHOOSE(CONTROL!$C$38, 0.0347, 0)</f>
        <v>69.156700000000001</v>
      </c>
      <c r="F911" s="27">
        <f>69.122 * CHOOSE(CONTROL!$C$15, $E$9, 100%, $G$9) + CHOOSE(CONTROL!$C$38, 0.0256, 0)</f>
        <v>69.147599999999997</v>
      </c>
      <c r="G911" s="10">
        <f>64.0062 * CHOOSE(CONTROL!$C$15, $E$9, 100%, $G$9) + CHOOSE(CONTROL!$C$38, 0.0347, 0)</f>
        <v>64.040900000000008</v>
      </c>
      <c r="H911" s="10">
        <f>64.0062 * CHOOSE(CONTROL!$C$15, $E$9, 100%, $G$9) + CHOOSE(CONTROL!$C$38, 0.0347, 0)</f>
        <v>64.040900000000008</v>
      </c>
      <c r="I911" s="10">
        <f>64.0078 * CHOOSE(CONTROL!$C$15, $E$9, 100%, $G$9) + CHOOSE(CONTROL!$C$38, 0.0347, 0)</f>
        <v>64.042500000000004</v>
      </c>
      <c r="J911" s="26">
        <f>412.2605</f>
        <v>412.26049999999998</v>
      </c>
    </row>
    <row r="912" spans="1:10" ht="15.75" x14ac:dyDescent="0.25">
      <c r="A912" s="13">
        <v>69064</v>
      </c>
      <c r="B912" s="10">
        <f>70.9522 * CHOOSE(CONTROL!$C$15, $E$9, 100%, $G$9) + CHOOSE(CONTROL!$C$38, 0.0256, 0)</f>
        <v>70.977800000000002</v>
      </c>
      <c r="C912" s="10">
        <f>65.5914 * CHOOSE(CONTROL!$C$15, $E$9, 100%, $G$9) + CHOOSE(CONTROL!$C$38, 0.0347, 0)</f>
        <v>65.626099999999994</v>
      </c>
      <c r="D912" s="10">
        <f>65.5836 * CHOOSE(CONTROL!$C$15, $E$9, 100%, $G$9) + CHOOSE(CONTROL!$C$38, 0.0347, 0)</f>
        <v>65.618300000000005</v>
      </c>
      <c r="E912" s="28">
        <f>70.796 * CHOOSE(CONTROL!$C$15, $E$9, 100%, $G$9) + CHOOSE(CONTROL!$C$38, 0.0347, 0)</f>
        <v>70.830700000000007</v>
      </c>
      <c r="F912" s="27">
        <f>70.796 * CHOOSE(CONTROL!$C$15, $E$9, 100%, $G$9) + CHOOSE(CONTROL!$C$38, 0.0256, 0)</f>
        <v>70.821600000000004</v>
      </c>
      <c r="G912" s="10">
        <f>65.5898 * CHOOSE(CONTROL!$C$15, $E$9, 100%, $G$9) + CHOOSE(CONTROL!$C$38, 0.0347, 0)</f>
        <v>65.624499999999998</v>
      </c>
      <c r="H912" s="10">
        <f>65.5898 * CHOOSE(CONTROL!$C$15, $E$9, 100%, $G$9) + CHOOSE(CONTROL!$C$38, 0.0347, 0)</f>
        <v>65.624499999999998</v>
      </c>
      <c r="I912" s="10">
        <f>65.5914 * CHOOSE(CONTROL!$C$15, $E$9, 100%, $G$9) + CHOOSE(CONTROL!$C$38, 0.0347, 0)</f>
        <v>65.626099999999994</v>
      </c>
      <c r="J912" s="26">
        <f>409.499</f>
        <v>409.49900000000002</v>
      </c>
    </row>
    <row r="913" spans="1:10" ht="15.75" x14ac:dyDescent="0.25">
      <c r="A913" s="13">
        <v>69092</v>
      </c>
      <c r="B913" s="10">
        <f>71.173 * CHOOSE(CONTROL!$C$15, $E$9, 100%, $G$9) + CHOOSE(CONTROL!$C$38, 0.0256, 0)</f>
        <v>71.198599999999999</v>
      </c>
      <c r="C913" s="10">
        <f>65.8121 * CHOOSE(CONTROL!$C$15, $E$9, 100%, $G$9) + CHOOSE(CONTROL!$C$38, 0.0347, 0)</f>
        <v>65.846800000000002</v>
      </c>
      <c r="D913" s="10">
        <f>65.8043 * CHOOSE(CONTROL!$C$15, $E$9, 100%, $G$9) + CHOOSE(CONTROL!$C$38, 0.0347, 0)</f>
        <v>65.838999999999999</v>
      </c>
      <c r="E913" s="28">
        <f>71.0168 * CHOOSE(CONTROL!$C$15, $E$9, 100%, $G$9) + CHOOSE(CONTROL!$C$38, 0.0347, 0)</f>
        <v>71.051500000000004</v>
      </c>
      <c r="F913" s="27">
        <f>71.0168 * CHOOSE(CONTROL!$C$15, $E$9, 100%, $G$9) + CHOOSE(CONTROL!$C$38, 0.0256, 0)</f>
        <v>71.042400000000001</v>
      </c>
      <c r="G913" s="10">
        <f>65.8106 * CHOOSE(CONTROL!$C$15, $E$9, 100%, $G$9) + CHOOSE(CONTROL!$C$38, 0.0347, 0)</f>
        <v>65.845299999999995</v>
      </c>
      <c r="H913" s="10">
        <f>65.8106 * CHOOSE(CONTROL!$C$15, $E$9, 100%, $G$9) + CHOOSE(CONTROL!$C$38, 0.0347, 0)</f>
        <v>65.845299999999995</v>
      </c>
      <c r="I913" s="10">
        <f>65.8121 * CHOOSE(CONTROL!$C$15, $E$9, 100%, $G$9) + CHOOSE(CONTROL!$C$38, 0.0347, 0)</f>
        <v>65.846800000000002</v>
      </c>
      <c r="J913" s="26">
        <f>408.3607</f>
        <v>408.36070000000001</v>
      </c>
    </row>
    <row r="914" spans="1:10" ht="15.75" x14ac:dyDescent="0.25">
      <c r="A914" s="13">
        <v>69123</v>
      </c>
      <c r="B914" s="10">
        <f>70.662 * CHOOSE(CONTROL!$C$15, $E$9, 100%, $G$9) + CHOOSE(CONTROL!$C$38, 0.0256, 0)</f>
        <v>70.687600000000003</v>
      </c>
      <c r="C914" s="10">
        <f>65.3011 * CHOOSE(CONTROL!$C$15, $E$9, 100%, $G$9) + CHOOSE(CONTROL!$C$38, 0.0347, 0)</f>
        <v>65.335800000000006</v>
      </c>
      <c r="D914" s="10">
        <f>65.2933 * CHOOSE(CONTROL!$C$15, $E$9, 100%, $G$9) + CHOOSE(CONTROL!$C$38, 0.0347, 0)</f>
        <v>65.328000000000003</v>
      </c>
      <c r="E914" s="28">
        <f>70.5057 * CHOOSE(CONTROL!$C$15, $E$9, 100%, $G$9) + CHOOSE(CONTROL!$C$38, 0.0347, 0)</f>
        <v>70.540400000000005</v>
      </c>
      <c r="F914" s="27">
        <f>70.5057 * CHOOSE(CONTROL!$C$15, $E$9, 100%, $G$9) + CHOOSE(CONTROL!$C$38, 0.0256, 0)</f>
        <v>70.531300000000002</v>
      </c>
      <c r="G914" s="10">
        <f>65.2995 * CHOOSE(CONTROL!$C$15, $E$9, 100%, $G$9) + CHOOSE(CONTROL!$C$38, 0.0347, 0)</f>
        <v>65.334199999999996</v>
      </c>
      <c r="H914" s="10">
        <f>65.2995 * CHOOSE(CONTROL!$C$15, $E$9, 100%, $G$9) + CHOOSE(CONTROL!$C$38, 0.0347, 0)</f>
        <v>65.334199999999996</v>
      </c>
      <c r="I914" s="10">
        <f>65.3011 * CHOOSE(CONTROL!$C$15, $E$9, 100%, $G$9) + CHOOSE(CONTROL!$C$38, 0.0347, 0)</f>
        <v>65.335800000000006</v>
      </c>
      <c r="J914" s="26">
        <f>429.8837</f>
        <v>429.88369999999998</v>
      </c>
    </row>
    <row r="915" spans="1:10" ht="15.75" x14ac:dyDescent="0.25">
      <c r="A915" s="13">
        <v>69153</v>
      </c>
      <c r="B915" s="10">
        <f>70.1668 * CHOOSE(CONTROL!$C$15, $E$9, 100%, $G$9) + CHOOSE(CONTROL!$C$38, 0.0256, 0)</f>
        <v>70.192399999999992</v>
      </c>
      <c r="C915" s="10">
        <f>64.8059 * CHOOSE(CONTROL!$C$15, $E$9, 100%, $G$9) + CHOOSE(CONTROL!$C$38, 0.0347, 0)</f>
        <v>64.840599999999995</v>
      </c>
      <c r="D915" s="10">
        <f>64.7981 * CHOOSE(CONTROL!$C$15, $E$9, 100%, $G$9) + CHOOSE(CONTROL!$C$38, 0.0347, 0)</f>
        <v>64.832800000000006</v>
      </c>
      <c r="E915" s="28">
        <f>70.0105 * CHOOSE(CONTROL!$C$15, $E$9, 100%, $G$9) + CHOOSE(CONTROL!$C$38, 0.0347, 0)</f>
        <v>70.045199999999994</v>
      </c>
      <c r="F915" s="27">
        <f>70.0105 * CHOOSE(CONTROL!$C$15, $E$9, 100%, $G$9) + CHOOSE(CONTROL!$C$38, 0.0256, 0)</f>
        <v>70.03609999999999</v>
      </c>
      <c r="G915" s="10">
        <f>64.8044 * CHOOSE(CONTROL!$C$15, $E$9, 100%, $G$9) + CHOOSE(CONTROL!$C$38, 0.0347, 0)</f>
        <v>64.839100000000002</v>
      </c>
      <c r="H915" s="10">
        <f>64.8044 * CHOOSE(CONTROL!$C$15, $E$9, 100%, $G$9) + CHOOSE(CONTROL!$C$38, 0.0347, 0)</f>
        <v>64.839100000000002</v>
      </c>
      <c r="I915" s="10">
        <f>64.8059 * CHOOSE(CONTROL!$C$15, $E$9, 100%, $G$9) + CHOOSE(CONTROL!$C$38, 0.0347, 0)</f>
        <v>64.840599999999995</v>
      </c>
      <c r="J915" s="26">
        <f>457.7939</f>
        <v>457.79390000000001</v>
      </c>
    </row>
    <row r="916" spans="1:10" ht="15.75" x14ac:dyDescent="0.25">
      <c r="A916" s="13">
        <v>69184</v>
      </c>
      <c r="B916" s="10">
        <f>69.6507 * CHOOSE(CONTROL!$C$15, $E$9, 100%, $G$9) + CHOOSE(CONTROL!$C$38, 0.0278, 0)</f>
        <v>69.6785</v>
      </c>
      <c r="C916" s="10">
        <f>64.2898 * CHOOSE(CONTROL!$C$15, $E$9, 100%, $G$9) + CHOOSE(CONTROL!$C$38, 0.0369, 0)</f>
        <v>64.326700000000002</v>
      </c>
      <c r="D916" s="10">
        <f>64.282 * CHOOSE(CONTROL!$C$15, $E$9, 100%, $G$9) + CHOOSE(CONTROL!$C$38, 0.0369, 0)</f>
        <v>64.318899999999999</v>
      </c>
      <c r="E916" s="28">
        <f>69.4944 * CHOOSE(CONTROL!$C$15, $E$9, 100%, $G$9) + CHOOSE(CONTROL!$C$38, 0.0369, 0)</f>
        <v>69.531300000000002</v>
      </c>
      <c r="F916" s="27">
        <f>69.4944 * CHOOSE(CONTROL!$C$15, $E$9, 100%, $G$9) + CHOOSE(CONTROL!$C$38, 0.0278, 0)</f>
        <v>69.522199999999998</v>
      </c>
      <c r="G916" s="10">
        <f>64.2882 * CHOOSE(CONTROL!$C$15, $E$9, 100%, $G$9) + CHOOSE(CONTROL!$C$38, 0.0369, 0)</f>
        <v>64.325100000000006</v>
      </c>
      <c r="H916" s="10">
        <f>64.2882 * CHOOSE(CONTROL!$C$15, $E$9, 100%, $G$9) + CHOOSE(CONTROL!$C$38, 0.0369, 0)</f>
        <v>64.325100000000006</v>
      </c>
      <c r="I916" s="10">
        <f>64.2898 * CHOOSE(CONTROL!$C$15, $E$9, 100%, $G$9) + CHOOSE(CONTROL!$C$38, 0.0369, 0)</f>
        <v>64.326700000000002</v>
      </c>
      <c r="J916" s="26">
        <f>473.1565</f>
        <v>473.15649999999999</v>
      </c>
    </row>
    <row r="917" spans="1:10" ht="15.75" x14ac:dyDescent="0.25">
      <c r="A917" s="13">
        <v>69214</v>
      </c>
      <c r="B917" s="10">
        <f>69.2888 * CHOOSE(CONTROL!$C$15, $E$9, 100%, $G$9) + CHOOSE(CONTROL!$C$38, 0.0278, 0)</f>
        <v>69.316599999999994</v>
      </c>
      <c r="C917" s="10">
        <f>63.928 * CHOOSE(CONTROL!$C$15, $E$9, 100%, $G$9) + CHOOSE(CONTROL!$C$38, 0.0369, 0)</f>
        <v>63.9649</v>
      </c>
      <c r="D917" s="10">
        <f>63.9202 * CHOOSE(CONTROL!$C$15, $E$9, 100%, $G$9) + CHOOSE(CONTROL!$C$38, 0.0369, 0)</f>
        <v>63.957100000000004</v>
      </c>
      <c r="E917" s="28">
        <f>69.1326 * CHOOSE(CONTROL!$C$15, $E$9, 100%, $G$9) + CHOOSE(CONTROL!$C$38, 0.0369, 0)</f>
        <v>69.169499999999999</v>
      </c>
      <c r="F917" s="27">
        <f>69.1326 * CHOOSE(CONTROL!$C$15, $E$9, 100%, $G$9) + CHOOSE(CONTROL!$C$38, 0.0278, 0)</f>
        <v>69.160399999999996</v>
      </c>
      <c r="G917" s="10">
        <f>63.9264 * CHOOSE(CONTROL!$C$15, $E$9, 100%, $G$9) + CHOOSE(CONTROL!$C$38, 0.0369, 0)</f>
        <v>63.963300000000004</v>
      </c>
      <c r="H917" s="10">
        <f>63.9264 * CHOOSE(CONTROL!$C$15, $E$9, 100%, $G$9) + CHOOSE(CONTROL!$C$38, 0.0369, 0)</f>
        <v>63.963300000000004</v>
      </c>
      <c r="I917" s="10">
        <f>63.928 * CHOOSE(CONTROL!$C$15, $E$9, 100%, $G$9) + CHOOSE(CONTROL!$C$38, 0.0369, 0)</f>
        <v>63.9649</v>
      </c>
      <c r="J917" s="26">
        <f>479.9742</f>
        <v>479.9742</v>
      </c>
    </row>
    <row r="918" spans="1:10" ht="15.75" x14ac:dyDescent="0.25">
      <c r="A918" s="13">
        <v>69245</v>
      </c>
      <c r="B918" s="10">
        <f>69.0824 * CHOOSE(CONTROL!$C$15, $E$9, 100%, $G$9) + CHOOSE(CONTROL!$C$38, 0.0278, 0)</f>
        <v>69.110200000000006</v>
      </c>
      <c r="C918" s="10">
        <f>63.7215 * CHOOSE(CONTROL!$C$15, $E$9, 100%, $G$9) + CHOOSE(CONTROL!$C$38, 0.0369, 0)</f>
        <v>63.758400000000002</v>
      </c>
      <c r="D918" s="10">
        <f>63.7137 * CHOOSE(CONTROL!$C$15, $E$9, 100%, $G$9) + CHOOSE(CONTROL!$C$38, 0.0369, 0)</f>
        <v>63.750600000000006</v>
      </c>
      <c r="E918" s="28">
        <f>68.9261 * CHOOSE(CONTROL!$C$15, $E$9, 100%, $G$9) + CHOOSE(CONTROL!$C$38, 0.0369, 0)</f>
        <v>68.963000000000008</v>
      </c>
      <c r="F918" s="27">
        <f>68.9261 * CHOOSE(CONTROL!$C$15, $E$9, 100%, $G$9) + CHOOSE(CONTROL!$C$38, 0.0278, 0)</f>
        <v>68.953900000000004</v>
      </c>
      <c r="G918" s="10">
        <f>63.7199 * CHOOSE(CONTROL!$C$15, $E$9, 100%, $G$9) + CHOOSE(CONTROL!$C$38, 0.0369, 0)</f>
        <v>63.756800000000005</v>
      </c>
      <c r="H918" s="10">
        <f>63.7199 * CHOOSE(CONTROL!$C$15, $E$9, 100%, $G$9) + CHOOSE(CONTROL!$C$38, 0.0369, 0)</f>
        <v>63.756800000000005</v>
      </c>
      <c r="I918" s="10">
        <f>63.7215 * CHOOSE(CONTROL!$C$15, $E$9, 100%, $G$9) + CHOOSE(CONTROL!$C$38, 0.0369, 0)</f>
        <v>63.758400000000002</v>
      </c>
      <c r="J918" s="26">
        <f>477.7295</f>
        <v>477.72949999999997</v>
      </c>
    </row>
    <row r="919" spans="1:10" ht="15.75" x14ac:dyDescent="0.25">
      <c r="A919" s="13">
        <v>69276</v>
      </c>
      <c r="B919" s="10">
        <f>69.1843 * CHOOSE(CONTROL!$C$15, $E$9, 100%, $G$9) + CHOOSE(CONTROL!$C$38, 0.0278, 0)</f>
        <v>69.212099999999992</v>
      </c>
      <c r="C919" s="10">
        <f>63.8234 * CHOOSE(CONTROL!$C$15, $E$9, 100%, $G$9) + CHOOSE(CONTROL!$C$38, 0.0369, 0)</f>
        <v>63.860300000000002</v>
      </c>
      <c r="D919" s="10">
        <f>63.8156 * CHOOSE(CONTROL!$C$15, $E$9, 100%, $G$9) + CHOOSE(CONTROL!$C$38, 0.0369, 0)</f>
        <v>63.852500000000006</v>
      </c>
      <c r="E919" s="28">
        <f>69.028 * CHOOSE(CONTROL!$C$15, $E$9, 100%, $G$9) + CHOOSE(CONTROL!$C$38, 0.0369, 0)</f>
        <v>69.064900000000009</v>
      </c>
      <c r="F919" s="27">
        <f>69.028 * CHOOSE(CONTROL!$C$15, $E$9, 100%, $G$9) + CHOOSE(CONTROL!$C$38, 0.0278, 0)</f>
        <v>69.055800000000005</v>
      </c>
      <c r="G919" s="10">
        <f>63.8218 * CHOOSE(CONTROL!$C$15, $E$9, 100%, $G$9) + CHOOSE(CONTROL!$C$38, 0.0369, 0)</f>
        <v>63.858700000000006</v>
      </c>
      <c r="H919" s="10">
        <f>63.8218 * CHOOSE(CONTROL!$C$15, $E$9, 100%, $G$9) + CHOOSE(CONTROL!$C$38, 0.0369, 0)</f>
        <v>63.858700000000006</v>
      </c>
      <c r="I919" s="10">
        <f>63.8234 * CHOOSE(CONTROL!$C$15, $E$9, 100%, $G$9) + CHOOSE(CONTROL!$C$38, 0.0369, 0)</f>
        <v>63.860300000000002</v>
      </c>
      <c r="J919" s="26">
        <f>466.6081</f>
        <v>466.60809999999998</v>
      </c>
    </row>
    <row r="920" spans="1:10" ht="15.75" x14ac:dyDescent="0.25">
      <c r="A920" s="13">
        <v>69306</v>
      </c>
      <c r="B920" s="10">
        <f>69.4611 * CHOOSE(CONTROL!$C$15, $E$9, 100%, $G$9) + CHOOSE(CONTROL!$C$38, 0.0278, 0)</f>
        <v>69.488900000000001</v>
      </c>
      <c r="C920" s="10">
        <f>64.1002 * CHOOSE(CONTROL!$C$15, $E$9, 100%, $G$9) + CHOOSE(CONTROL!$C$38, 0.0369, 0)</f>
        <v>64.137100000000004</v>
      </c>
      <c r="D920" s="10">
        <f>64.0924 * CHOOSE(CONTROL!$C$15, $E$9, 100%, $G$9) + CHOOSE(CONTROL!$C$38, 0.0369, 0)</f>
        <v>64.129300000000001</v>
      </c>
      <c r="E920" s="28">
        <f>69.3048 * CHOOSE(CONTROL!$C$15, $E$9, 100%, $G$9) + CHOOSE(CONTROL!$C$38, 0.0369, 0)</f>
        <v>69.341700000000003</v>
      </c>
      <c r="F920" s="27">
        <f>69.3048 * CHOOSE(CONTROL!$C$15, $E$9, 100%, $G$9) + CHOOSE(CONTROL!$C$38, 0.0278, 0)</f>
        <v>69.332599999999999</v>
      </c>
      <c r="G920" s="10">
        <f>64.0986 * CHOOSE(CONTROL!$C$15, $E$9, 100%, $G$9) + CHOOSE(CONTROL!$C$38, 0.0369, 0)</f>
        <v>64.135500000000008</v>
      </c>
      <c r="H920" s="10">
        <f>64.0986 * CHOOSE(CONTROL!$C$15, $E$9, 100%, $G$9) + CHOOSE(CONTROL!$C$38, 0.0369, 0)</f>
        <v>64.135500000000008</v>
      </c>
      <c r="I920" s="10">
        <f>64.1002 * CHOOSE(CONTROL!$C$15, $E$9, 100%, $G$9) + CHOOSE(CONTROL!$C$38, 0.0369, 0)</f>
        <v>64.137100000000004</v>
      </c>
      <c r="J920" s="26">
        <f>451.0989</f>
        <v>451.09890000000001</v>
      </c>
    </row>
    <row r="921" spans="1:10" ht="15.75" x14ac:dyDescent="0.25">
      <c r="A921" s="13">
        <v>69337</v>
      </c>
      <c r="B921" s="10">
        <f>69.6929 * CHOOSE(CONTROL!$C$15, $E$9, 100%, $G$9) + CHOOSE(CONTROL!$C$38, 0.0256, 0)</f>
        <v>69.718499999999992</v>
      </c>
      <c r="C921" s="10">
        <f>64.332 * CHOOSE(CONTROL!$C$15, $E$9, 100%, $G$9) + CHOOSE(CONTROL!$C$38, 0.0347, 0)</f>
        <v>64.366699999999994</v>
      </c>
      <c r="D921" s="10">
        <f>64.3242 * CHOOSE(CONTROL!$C$15, $E$9, 100%, $G$9) + CHOOSE(CONTROL!$C$38, 0.0347, 0)</f>
        <v>64.358900000000006</v>
      </c>
      <c r="E921" s="28">
        <f>69.5366 * CHOOSE(CONTROL!$C$15, $E$9, 100%, $G$9) + CHOOSE(CONTROL!$C$38, 0.0347, 0)</f>
        <v>69.571300000000008</v>
      </c>
      <c r="F921" s="27">
        <f>69.5366 * CHOOSE(CONTROL!$C$15, $E$9, 100%, $G$9) + CHOOSE(CONTROL!$C$38, 0.0256, 0)</f>
        <v>69.562200000000004</v>
      </c>
      <c r="G921" s="10">
        <f>64.3305 * CHOOSE(CONTROL!$C$15, $E$9, 100%, $G$9) + CHOOSE(CONTROL!$C$38, 0.0347, 0)</f>
        <v>64.365200000000002</v>
      </c>
      <c r="H921" s="10">
        <f>64.3305 * CHOOSE(CONTROL!$C$15, $E$9, 100%, $G$9) + CHOOSE(CONTROL!$C$38, 0.0347, 0)</f>
        <v>64.365200000000002</v>
      </c>
      <c r="I921" s="10">
        <f>64.332 * CHOOSE(CONTROL!$C$15, $E$9, 100%, $G$9) + CHOOSE(CONTROL!$C$38, 0.0347, 0)</f>
        <v>64.366699999999994</v>
      </c>
      <c r="J921" s="26">
        <f>435.4994</f>
        <v>435.49939999999998</v>
      </c>
    </row>
    <row r="922" spans="1:10" ht="15.75" x14ac:dyDescent="0.25">
      <c r="A922" s="13">
        <v>69367</v>
      </c>
      <c r="B922" s="10">
        <f>69.8863 * CHOOSE(CONTROL!$C$15, $E$9, 100%, $G$9) + CHOOSE(CONTROL!$C$38, 0.0256, 0)</f>
        <v>69.911900000000003</v>
      </c>
      <c r="C922" s="10">
        <f>64.5255 * CHOOSE(CONTROL!$C$15, $E$9, 100%, $G$9) + CHOOSE(CONTROL!$C$38, 0.0347, 0)</f>
        <v>64.560199999999995</v>
      </c>
      <c r="D922" s="10">
        <f>64.5176 * CHOOSE(CONTROL!$C$15, $E$9, 100%, $G$9) + CHOOSE(CONTROL!$C$38, 0.0347, 0)</f>
        <v>64.552300000000002</v>
      </c>
      <c r="E922" s="28">
        <f>69.7301 * CHOOSE(CONTROL!$C$15, $E$9, 100%, $G$9) + CHOOSE(CONTROL!$C$38, 0.0347, 0)</f>
        <v>69.764799999999994</v>
      </c>
      <c r="F922" s="27">
        <f>69.7301 * CHOOSE(CONTROL!$C$15, $E$9, 100%, $G$9) + CHOOSE(CONTROL!$C$38, 0.0256, 0)</f>
        <v>69.75569999999999</v>
      </c>
      <c r="G922" s="10">
        <f>64.5239 * CHOOSE(CONTROL!$C$15, $E$9, 100%, $G$9) + CHOOSE(CONTROL!$C$38, 0.0347, 0)</f>
        <v>64.558599999999998</v>
      </c>
      <c r="H922" s="10">
        <f>64.5239 * CHOOSE(CONTROL!$C$15, $E$9, 100%, $G$9) + CHOOSE(CONTROL!$C$38, 0.0347, 0)</f>
        <v>64.558599999999998</v>
      </c>
      <c r="I922" s="10">
        <f>64.5255 * CHOOSE(CONTROL!$C$15, $E$9, 100%, $G$9) + CHOOSE(CONTROL!$C$38, 0.0347, 0)</f>
        <v>64.560199999999995</v>
      </c>
      <c r="J922" s="26">
        <f>432.3964</f>
        <v>432.39640000000003</v>
      </c>
    </row>
    <row r="923" spans="1:10" ht="15.75" x14ac:dyDescent="0.25">
      <c r="A923" s="13">
        <v>69398</v>
      </c>
      <c r="B923" s="10">
        <f>70.4824 * CHOOSE(CONTROL!$C$15, $E$9, 100%, $G$9) + CHOOSE(CONTROL!$C$38, 0.0256, 0)</f>
        <v>70.507999999999996</v>
      </c>
      <c r="C923" s="10">
        <f>65.1215 * CHOOSE(CONTROL!$C$15, $E$9, 100%, $G$9) + CHOOSE(CONTROL!$C$38, 0.0347, 0)</f>
        <v>65.156199999999998</v>
      </c>
      <c r="D923" s="10">
        <f>65.1137 * CHOOSE(CONTROL!$C$15, $E$9, 100%, $G$9) + CHOOSE(CONTROL!$C$38, 0.0347, 0)</f>
        <v>65.148399999999995</v>
      </c>
      <c r="E923" s="28">
        <f>70.3261 * CHOOSE(CONTROL!$C$15, $E$9, 100%, $G$9) + CHOOSE(CONTROL!$C$38, 0.0347, 0)</f>
        <v>70.360799999999998</v>
      </c>
      <c r="F923" s="27">
        <f>70.3261 * CHOOSE(CONTROL!$C$15, $E$9, 100%, $G$9) + CHOOSE(CONTROL!$C$38, 0.0256, 0)</f>
        <v>70.351699999999994</v>
      </c>
      <c r="G923" s="10">
        <f>65.12 * CHOOSE(CONTROL!$C$15, $E$9, 100%, $G$9) + CHOOSE(CONTROL!$C$38, 0.0347, 0)</f>
        <v>65.154700000000005</v>
      </c>
      <c r="H923" s="10">
        <f>65.12 * CHOOSE(CONTROL!$C$15, $E$9, 100%, $G$9) + CHOOSE(CONTROL!$C$38, 0.0347, 0)</f>
        <v>65.154700000000005</v>
      </c>
      <c r="I923" s="10">
        <f>65.1215 * CHOOSE(CONTROL!$C$15, $E$9, 100%, $G$9) + CHOOSE(CONTROL!$C$38, 0.0347, 0)</f>
        <v>65.156199999999998</v>
      </c>
      <c r="J923" s="26">
        <f>419.565</f>
        <v>419.565</v>
      </c>
    </row>
    <row r="924" spans="1:10" ht="15.75" x14ac:dyDescent="0.25">
      <c r="A924" s="13">
        <v>69429</v>
      </c>
      <c r="B924" s="10">
        <f>72.1776 * CHOOSE(CONTROL!$C$15, $E$9, 100%, $G$9) + CHOOSE(CONTROL!$C$38, 0.0256, 0)</f>
        <v>72.203199999999995</v>
      </c>
      <c r="C924" s="10">
        <f>66.7248 * CHOOSE(CONTROL!$C$15, $E$9, 100%, $G$9) + CHOOSE(CONTROL!$C$38, 0.0347, 0)</f>
        <v>66.759500000000003</v>
      </c>
      <c r="D924" s="10">
        <f>66.717 * CHOOSE(CONTROL!$C$15, $E$9, 100%, $G$9) + CHOOSE(CONTROL!$C$38, 0.0347, 0)</f>
        <v>66.7517</v>
      </c>
      <c r="E924" s="28">
        <f>72.0214 * CHOOSE(CONTROL!$C$15, $E$9, 100%, $G$9) + CHOOSE(CONTROL!$C$38, 0.0347, 0)</f>
        <v>72.056100000000001</v>
      </c>
      <c r="F924" s="27">
        <f>72.0214 * CHOOSE(CONTROL!$C$15, $E$9, 100%, $G$9) + CHOOSE(CONTROL!$C$38, 0.0256, 0)</f>
        <v>72.046999999999997</v>
      </c>
      <c r="G924" s="10">
        <f>66.7233 * CHOOSE(CONTROL!$C$15, $E$9, 100%, $G$9) + CHOOSE(CONTROL!$C$38, 0.0347, 0)</f>
        <v>66.757999999999996</v>
      </c>
      <c r="H924" s="10">
        <f>66.7233 * CHOOSE(CONTROL!$C$15, $E$9, 100%, $G$9) + CHOOSE(CONTROL!$C$38, 0.0347, 0)</f>
        <v>66.757999999999996</v>
      </c>
      <c r="I924" s="10">
        <f>66.7248 * CHOOSE(CONTROL!$C$15, $E$9, 100%, $G$9) + CHOOSE(CONTROL!$C$38, 0.0347, 0)</f>
        <v>66.759500000000003</v>
      </c>
      <c r="J924" s="26">
        <f>416.7545</f>
        <v>416.75450000000001</v>
      </c>
    </row>
    <row r="925" spans="1:10" ht="15.75" x14ac:dyDescent="0.25">
      <c r="A925" s="13">
        <v>69457</v>
      </c>
      <c r="B925" s="10">
        <f>72.3984 * CHOOSE(CONTROL!$C$15, $E$9, 100%, $G$9) + CHOOSE(CONTROL!$C$38, 0.0256, 0)</f>
        <v>72.423999999999992</v>
      </c>
      <c r="C925" s="10">
        <f>66.9456 * CHOOSE(CONTROL!$C$15, $E$9, 100%, $G$9) + CHOOSE(CONTROL!$C$38, 0.0347, 0)</f>
        <v>66.9803</v>
      </c>
      <c r="D925" s="10">
        <f>66.9378 * CHOOSE(CONTROL!$C$15, $E$9, 100%, $G$9) + CHOOSE(CONTROL!$C$38, 0.0347, 0)</f>
        <v>66.972499999999997</v>
      </c>
      <c r="E925" s="28">
        <f>72.2422 * CHOOSE(CONTROL!$C$15, $E$9, 100%, $G$9) + CHOOSE(CONTROL!$C$38, 0.0347, 0)</f>
        <v>72.276899999999998</v>
      </c>
      <c r="F925" s="27">
        <f>72.2422 * CHOOSE(CONTROL!$C$15, $E$9, 100%, $G$9) + CHOOSE(CONTROL!$C$38, 0.0256, 0)</f>
        <v>72.267799999999994</v>
      </c>
      <c r="G925" s="10">
        <f>66.944 * CHOOSE(CONTROL!$C$15, $E$9, 100%, $G$9) + CHOOSE(CONTROL!$C$38, 0.0347, 0)</f>
        <v>66.978700000000003</v>
      </c>
      <c r="H925" s="10">
        <f>66.944 * CHOOSE(CONTROL!$C$15, $E$9, 100%, $G$9) + CHOOSE(CONTROL!$C$38, 0.0347, 0)</f>
        <v>66.978700000000003</v>
      </c>
      <c r="I925" s="10">
        <f>66.9456 * CHOOSE(CONTROL!$C$15, $E$9, 100%, $G$9) + CHOOSE(CONTROL!$C$38, 0.0347, 0)</f>
        <v>66.9803</v>
      </c>
      <c r="J925" s="26">
        <f>415.5961</f>
        <v>415.59609999999998</v>
      </c>
    </row>
    <row r="926" spans="1:10" ht="15.75" x14ac:dyDescent="0.25">
      <c r="A926" s="13">
        <v>69488</v>
      </c>
      <c r="B926" s="10">
        <f>71.8874 * CHOOSE(CONTROL!$C$15, $E$9, 100%, $G$9) + CHOOSE(CONTROL!$C$38, 0.0256, 0)</f>
        <v>71.912999999999997</v>
      </c>
      <c r="C926" s="10">
        <f>66.4346 * CHOOSE(CONTROL!$C$15, $E$9, 100%, $G$9) + CHOOSE(CONTROL!$C$38, 0.0347, 0)</f>
        <v>66.469300000000004</v>
      </c>
      <c r="D926" s="10">
        <f>66.4267 * CHOOSE(CONTROL!$C$15, $E$9, 100%, $G$9) + CHOOSE(CONTROL!$C$38, 0.0347, 0)</f>
        <v>66.461399999999998</v>
      </c>
      <c r="E926" s="28">
        <f>71.7311 * CHOOSE(CONTROL!$C$15, $E$9, 100%, $G$9) + CHOOSE(CONTROL!$C$38, 0.0347, 0)</f>
        <v>71.765799999999999</v>
      </c>
      <c r="F926" s="27">
        <f>71.7311 * CHOOSE(CONTROL!$C$15, $E$9, 100%, $G$9) + CHOOSE(CONTROL!$C$38, 0.0256, 0)</f>
        <v>71.756699999999995</v>
      </c>
      <c r="G926" s="10">
        <f>66.433 * CHOOSE(CONTROL!$C$15, $E$9, 100%, $G$9) + CHOOSE(CONTROL!$C$38, 0.0347, 0)</f>
        <v>66.467700000000008</v>
      </c>
      <c r="H926" s="10">
        <f>66.433 * CHOOSE(CONTROL!$C$15, $E$9, 100%, $G$9) + CHOOSE(CONTROL!$C$38, 0.0347, 0)</f>
        <v>66.467700000000008</v>
      </c>
      <c r="I926" s="10">
        <f>66.4346 * CHOOSE(CONTROL!$C$15, $E$9, 100%, $G$9) + CHOOSE(CONTROL!$C$38, 0.0347, 0)</f>
        <v>66.469300000000004</v>
      </c>
      <c r="J926" s="26">
        <f>437.5004</f>
        <v>437.50040000000001</v>
      </c>
    </row>
    <row r="927" spans="1:10" ht="15.75" x14ac:dyDescent="0.25">
      <c r="A927" s="13">
        <v>69518</v>
      </c>
      <c r="B927" s="10">
        <f>71.3922 * CHOOSE(CONTROL!$C$15, $E$9, 100%, $G$9) + CHOOSE(CONTROL!$C$38, 0.0256, 0)</f>
        <v>71.4178</v>
      </c>
      <c r="C927" s="10">
        <f>65.9394 * CHOOSE(CONTROL!$C$15, $E$9, 100%, $G$9) + CHOOSE(CONTROL!$C$38, 0.0347, 0)</f>
        <v>65.974100000000007</v>
      </c>
      <c r="D927" s="10">
        <f>65.9316 * CHOOSE(CONTROL!$C$15, $E$9, 100%, $G$9) + CHOOSE(CONTROL!$C$38, 0.0347, 0)</f>
        <v>65.966300000000004</v>
      </c>
      <c r="E927" s="28">
        <f>71.2359 * CHOOSE(CONTROL!$C$15, $E$9, 100%, $G$9) + CHOOSE(CONTROL!$C$38, 0.0347, 0)</f>
        <v>71.270600000000002</v>
      </c>
      <c r="F927" s="27">
        <f>71.2359 * CHOOSE(CONTROL!$C$15, $E$9, 100%, $G$9) + CHOOSE(CONTROL!$C$38, 0.0256, 0)</f>
        <v>71.261499999999998</v>
      </c>
      <c r="G927" s="10">
        <f>65.9378 * CHOOSE(CONTROL!$C$15, $E$9, 100%, $G$9) + CHOOSE(CONTROL!$C$38, 0.0347, 0)</f>
        <v>65.972499999999997</v>
      </c>
      <c r="H927" s="10">
        <f>65.9378 * CHOOSE(CONTROL!$C$15, $E$9, 100%, $G$9) + CHOOSE(CONTROL!$C$38, 0.0347, 0)</f>
        <v>65.972499999999997</v>
      </c>
      <c r="I927" s="10">
        <f>65.9394 * CHOOSE(CONTROL!$C$15, $E$9, 100%, $G$9) + CHOOSE(CONTROL!$C$38, 0.0347, 0)</f>
        <v>65.974100000000007</v>
      </c>
      <c r="J927" s="26">
        <f>465.9051</f>
        <v>465.9051</v>
      </c>
    </row>
    <row r="928" spans="1:10" ht="15.75" x14ac:dyDescent="0.25">
      <c r="A928" s="13">
        <v>69549</v>
      </c>
      <c r="B928" s="10">
        <f>70.8761 * CHOOSE(CONTROL!$C$15, $E$9, 100%, $G$9) + CHOOSE(CONTROL!$C$38, 0.0278, 0)</f>
        <v>70.903899999999993</v>
      </c>
      <c r="C928" s="10">
        <f>65.4233 * CHOOSE(CONTROL!$C$15, $E$9, 100%, $G$9) + CHOOSE(CONTROL!$C$38, 0.0369, 0)</f>
        <v>65.4602</v>
      </c>
      <c r="D928" s="10">
        <f>65.4154 * CHOOSE(CONTROL!$C$15, $E$9, 100%, $G$9) + CHOOSE(CONTROL!$C$38, 0.0369, 0)</f>
        <v>65.452300000000008</v>
      </c>
      <c r="E928" s="28">
        <f>70.7198 * CHOOSE(CONTROL!$C$15, $E$9, 100%, $G$9) + CHOOSE(CONTROL!$C$38, 0.0369, 0)</f>
        <v>70.756700000000009</v>
      </c>
      <c r="F928" s="27">
        <f>70.7198 * CHOOSE(CONTROL!$C$15, $E$9, 100%, $G$9) + CHOOSE(CONTROL!$C$38, 0.0278, 0)</f>
        <v>70.747600000000006</v>
      </c>
      <c r="G928" s="10">
        <f>65.4217 * CHOOSE(CONTROL!$C$15, $E$9, 100%, $G$9) + CHOOSE(CONTROL!$C$38, 0.0369, 0)</f>
        <v>65.458600000000004</v>
      </c>
      <c r="H928" s="10">
        <f>65.4217 * CHOOSE(CONTROL!$C$15, $E$9, 100%, $G$9) + CHOOSE(CONTROL!$C$38, 0.0369, 0)</f>
        <v>65.458600000000004</v>
      </c>
      <c r="I928" s="10">
        <f>65.4233 * CHOOSE(CONTROL!$C$15, $E$9, 100%, $G$9) + CHOOSE(CONTROL!$C$38, 0.0369, 0)</f>
        <v>65.4602</v>
      </c>
      <c r="J928" s="26">
        <f>481.5399</f>
        <v>481.53989999999999</v>
      </c>
    </row>
    <row r="929" spans="1:10" ht="15.75" x14ac:dyDescent="0.25">
      <c r="A929" s="13">
        <v>69579</v>
      </c>
      <c r="B929" s="10">
        <f>70.5143 * CHOOSE(CONTROL!$C$15, $E$9, 100%, $G$9) + CHOOSE(CONTROL!$C$38, 0.0278, 0)</f>
        <v>70.542100000000005</v>
      </c>
      <c r="C929" s="10">
        <f>65.0614 * CHOOSE(CONTROL!$C$15, $E$9, 100%, $G$9) + CHOOSE(CONTROL!$C$38, 0.0369, 0)</f>
        <v>65.098300000000009</v>
      </c>
      <c r="D929" s="10">
        <f>65.0536 * CHOOSE(CONTROL!$C$15, $E$9, 100%, $G$9) + CHOOSE(CONTROL!$C$38, 0.0369, 0)</f>
        <v>65.090500000000006</v>
      </c>
      <c r="E929" s="28">
        <f>70.358 * CHOOSE(CONTROL!$C$15, $E$9, 100%, $G$9) + CHOOSE(CONTROL!$C$38, 0.0369, 0)</f>
        <v>70.394900000000007</v>
      </c>
      <c r="F929" s="27">
        <f>70.358 * CHOOSE(CONTROL!$C$15, $E$9, 100%, $G$9) + CHOOSE(CONTROL!$C$38, 0.0278, 0)</f>
        <v>70.385800000000003</v>
      </c>
      <c r="G929" s="10">
        <f>65.0599 * CHOOSE(CONTROL!$C$15, $E$9, 100%, $G$9) + CHOOSE(CONTROL!$C$38, 0.0369, 0)</f>
        <v>65.096800000000002</v>
      </c>
      <c r="H929" s="10">
        <f>65.0599 * CHOOSE(CONTROL!$C$15, $E$9, 100%, $G$9) + CHOOSE(CONTROL!$C$38, 0.0369, 0)</f>
        <v>65.096800000000002</v>
      </c>
      <c r="I929" s="10">
        <f>65.0614 * CHOOSE(CONTROL!$C$15, $E$9, 100%, $G$9) + CHOOSE(CONTROL!$C$38, 0.0369, 0)</f>
        <v>65.098300000000009</v>
      </c>
      <c r="J929" s="26">
        <f>488.4784</f>
        <v>488.47840000000002</v>
      </c>
    </row>
    <row r="930" spans="1:10" ht="15.75" x14ac:dyDescent="0.25">
      <c r="A930" s="13">
        <v>69610</v>
      </c>
      <c r="B930" s="10">
        <f>70.3078 * CHOOSE(CONTROL!$C$15, $E$9, 100%, $G$9) + CHOOSE(CONTROL!$C$38, 0.0278, 0)</f>
        <v>70.335599999999999</v>
      </c>
      <c r="C930" s="10">
        <f>64.8549 * CHOOSE(CONTROL!$C$15, $E$9, 100%, $G$9) + CHOOSE(CONTROL!$C$38, 0.0369, 0)</f>
        <v>64.891800000000003</v>
      </c>
      <c r="D930" s="10">
        <f>64.8471 * CHOOSE(CONTROL!$C$15, $E$9, 100%, $G$9) + CHOOSE(CONTROL!$C$38, 0.0369, 0)</f>
        <v>64.884</v>
      </c>
      <c r="E930" s="28">
        <f>70.1515 * CHOOSE(CONTROL!$C$15, $E$9, 100%, $G$9) + CHOOSE(CONTROL!$C$38, 0.0369, 0)</f>
        <v>70.188400000000001</v>
      </c>
      <c r="F930" s="27">
        <f>70.1515 * CHOOSE(CONTROL!$C$15, $E$9, 100%, $G$9) + CHOOSE(CONTROL!$C$38, 0.0278, 0)</f>
        <v>70.179299999999998</v>
      </c>
      <c r="G930" s="10">
        <f>64.8534 * CHOOSE(CONTROL!$C$15, $E$9, 100%, $G$9) + CHOOSE(CONTROL!$C$38, 0.0369, 0)</f>
        <v>64.890299999999996</v>
      </c>
      <c r="H930" s="10">
        <f>64.8534 * CHOOSE(CONTROL!$C$15, $E$9, 100%, $G$9) + CHOOSE(CONTROL!$C$38, 0.0369, 0)</f>
        <v>64.890299999999996</v>
      </c>
      <c r="I930" s="10">
        <f>64.8549 * CHOOSE(CONTROL!$C$15, $E$9, 100%, $G$9) + CHOOSE(CONTROL!$C$38, 0.0369, 0)</f>
        <v>64.891800000000003</v>
      </c>
      <c r="J930" s="26">
        <f>486.1939</f>
        <v>486.19389999999999</v>
      </c>
    </row>
    <row r="931" spans="1:10" ht="15.75" x14ac:dyDescent="0.25">
      <c r="A931" s="13">
        <v>69641</v>
      </c>
      <c r="B931" s="10">
        <f>70.4097 * CHOOSE(CONTROL!$C$15, $E$9, 100%, $G$9) + CHOOSE(CONTROL!$C$38, 0.0278, 0)</f>
        <v>70.4375</v>
      </c>
      <c r="C931" s="10">
        <f>64.9568 * CHOOSE(CONTROL!$C$15, $E$9, 100%, $G$9) + CHOOSE(CONTROL!$C$38, 0.0369, 0)</f>
        <v>64.993700000000004</v>
      </c>
      <c r="D931" s="10">
        <f>64.949 * CHOOSE(CONTROL!$C$15, $E$9, 100%, $G$9) + CHOOSE(CONTROL!$C$38, 0.0369, 0)</f>
        <v>64.985900000000001</v>
      </c>
      <c r="E931" s="28">
        <f>70.2534 * CHOOSE(CONTROL!$C$15, $E$9, 100%, $G$9) + CHOOSE(CONTROL!$C$38, 0.0369, 0)</f>
        <v>70.290300000000002</v>
      </c>
      <c r="F931" s="27">
        <f>70.2534 * CHOOSE(CONTROL!$C$15, $E$9, 100%, $G$9) + CHOOSE(CONTROL!$C$38, 0.0278, 0)</f>
        <v>70.281199999999998</v>
      </c>
      <c r="G931" s="10">
        <f>64.9553 * CHOOSE(CONTROL!$C$15, $E$9, 100%, $G$9) + CHOOSE(CONTROL!$C$38, 0.0369, 0)</f>
        <v>64.992199999999997</v>
      </c>
      <c r="H931" s="10">
        <f>64.9553 * CHOOSE(CONTROL!$C$15, $E$9, 100%, $G$9) + CHOOSE(CONTROL!$C$38, 0.0369, 0)</f>
        <v>64.992199999999997</v>
      </c>
      <c r="I931" s="10">
        <f>64.9568 * CHOOSE(CONTROL!$C$15, $E$9, 100%, $G$9) + CHOOSE(CONTROL!$C$38, 0.0369, 0)</f>
        <v>64.993700000000004</v>
      </c>
      <c r="J931" s="26">
        <f>474.8756</f>
        <v>474.87560000000002</v>
      </c>
    </row>
    <row r="932" spans="1:10" ht="15.75" x14ac:dyDescent="0.25">
      <c r="A932" s="13">
        <v>69671</v>
      </c>
      <c r="B932" s="10">
        <f>70.6865 * CHOOSE(CONTROL!$C$15, $E$9, 100%, $G$9) + CHOOSE(CONTROL!$C$38, 0.0278, 0)</f>
        <v>70.714299999999994</v>
      </c>
      <c r="C932" s="10">
        <f>65.2336 * CHOOSE(CONTROL!$C$15, $E$9, 100%, $G$9) + CHOOSE(CONTROL!$C$38, 0.0369, 0)</f>
        <v>65.270499999999998</v>
      </c>
      <c r="D932" s="10">
        <f>65.2258 * CHOOSE(CONTROL!$C$15, $E$9, 100%, $G$9) + CHOOSE(CONTROL!$C$38, 0.0369, 0)</f>
        <v>65.262700000000009</v>
      </c>
      <c r="E932" s="28">
        <f>70.5302 * CHOOSE(CONTROL!$C$15, $E$9, 100%, $G$9) + CHOOSE(CONTROL!$C$38, 0.0369, 0)</f>
        <v>70.567099999999996</v>
      </c>
      <c r="F932" s="27">
        <f>70.5302 * CHOOSE(CONTROL!$C$15, $E$9, 100%, $G$9) + CHOOSE(CONTROL!$C$38, 0.0278, 0)</f>
        <v>70.557999999999993</v>
      </c>
      <c r="G932" s="10">
        <f>65.2321 * CHOOSE(CONTROL!$C$15, $E$9, 100%, $G$9) + CHOOSE(CONTROL!$C$38, 0.0369, 0)</f>
        <v>65.269000000000005</v>
      </c>
      <c r="H932" s="10">
        <f>65.2321 * CHOOSE(CONTROL!$C$15, $E$9, 100%, $G$9) + CHOOSE(CONTROL!$C$38, 0.0369, 0)</f>
        <v>65.269000000000005</v>
      </c>
      <c r="I932" s="10">
        <f>65.2336 * CHOOSE(CONTROL!$C$15, $E$9, 100%, $G$9) + CHOOSE(CONTROL!$C$38, 0.0369, 0)</f>
        <v>65.270499999999998</v>
      </c>
      <c r="J932" s="26">
        <f>459.0915</f>
        <v>459.0915</v>
      </c>
    </row>
    <row r="933" spans="1:10" ht="15.75" x14ac:dyDescent="0.25">
      <c r="A933" s="13">
        <v>69702</v>
      </c>
      <c r="B933" s="10">
        <f>70.9183 * CHOOSE(CONTROL!$C$15, $E$9, 100%, $G$9) + CHOOSE(CONTROL!$C$38, 0.0256, 0)</f>
        <v>70.943899999999999</v>
      </c>
      <c r="C933" s="10">
        <f>65.4655 * CHOOSE(CONTROL!$C$15, $E$9, 100%, $G$9) + CHOOSE(CONTROL!$C$38, 0.0347, 0)</f>
        <v>65.500200000000007</v>
      </c>
      <c r="D933" s="10">
        <f>65.4577 * CHOOSE(CONTROL!$C$15, $E$9, 100%, $G$9) + CHOOSE(CONTROL!$C$38, 0.0347, 0)</f>
        <v>65.492400000000004</v>
      </c>
      <c r="E933" s="28">
        <f>70.762 * CHOOSE(CONTROL!$C$15, $E$9, 100%, $G$9) + CHOOSE(CONTROL!$C$38, 0.0347, 0)</f>
        <v>70.796700000000001</v>
      </c>
      <c r="F933" s="27">
        <f>70.762 * CHOOSE(CONTROL!$C$15, $E$9, 100%, $G$9) + CHOOSE(CONTROL!$C$38, 0.0256, 0)</f>
        <v>70.787599999999998</v>
      </c>
      <c r="G933" s="10">
        <f>65.4639 * CHOOSE(CONTROL!$C$15, $E$9, 100%, $G$9) + CHOOSE(CONTROL!$C$38, 0.0347, 0)</f>
        <v>65.498599999999996</v>
      </c>
      <c r="H933" s="10">
        <f>65.4639 * CHOOSE(CONTROL!$C$15, $E$9, 100%, $G$9) + CHOOSE(CONTROL!$C$38, 0.0347, 0)</f>
        <v>65.498599999999996</v>
      </c>
      <c r="I933" s="10">
        <f>65.4655 * CHOOSE(CONTROL!$C$15, $E$9, 100%, $G$9) + CHOOSE(CONTROL!$C$38, 0.0347, 0)</f>
        <v>65.500200000000007</v>
      </c>
      <c r="J933" s="26">
        <f>443.2157</f>
        <v>443.21570000000003</v>
      </c>
    </row>
    <row r="934" spans="1:10" ht="15.75" x14ac:dyDescent="0.25">
      <c r="A934" s="13">
        <v>69732</v>
      </c>
      <c r="B934" s="10">
        <f>71.1117 * CHOOSE(CONTROL!$C$15, $E$9, 100%, $G$9) + CHOOSE(CONTROL!$C$38, 0.0256, 0)</f>
        <v>71.137299999999996</v>
      </c>
      <c r="C934" s="10">
        <f>65.6589 * CHOOSE(CONTROL!$C$15, $E$9, 100%, $G$9) + CHOOSE(CONTROL!$C$38, 0.0347, 0)</f>
        <v>65.693600000000004</v>
      </c>
      <c r="D934" s="10">
        <f>65.6511 * CHOOSE(CONTROL!$C$15, $E$9, 100%, $G$9) + CHOOSE(CONTROL!$C$38, 0.0347, 0)</f>
        <v>65.6858</v>
      </c>
      <c r="E934" s="28">
        <f>70.9555 * CHOOSE(CONTROL!$C$15, $E$9, 100%, $G$9) + CHOOSE(CONTROL!$C$38, 0.0347, 0)</f>
        <v>70.990200000000002</v>
      </c>
      <c r="F934" s="27">
        <f>70.9555 * CHOOSE(CONTROL!$C$15, $E$9, 100%, $G$9) + CHOOSE(CONTROL!$C$38, 0.0256, 0)</f>
        <v>70.981099999999998</v>
      </c>
      <c r="G934" s="10">
        <f>65.6573 * CHOOSE(CONTROL!$C$15, $E$9, 100%, $G$9) + CHOOSE(CONTROL!$C$38, 0.0347, 0)</f>
        <v>65.692000000000007</v>
      </c>
      <c r="H934" s="10">
        <f>65.6573 * CHOOSE(CONTROL!$C$15, $E$9, 100%, $G$9) + CHOOSE(CONTROL!$C$38, 0.0347, 0)</f>
        <v>65.692000000000007</v>
      </c>
      <c r="I934" s="10">
        <f>65.6589 * CHOOSE(CONTROL!$C$15, $E$9, 100%, $G$9) + CHOOSE(CONTROL!$C$38, 0.0347, 0)</f>
        <v>65.693600000000004</v>
      </c>
      <c r="J934" s="26">
        <f>440.0576</f>
        <v>440.05759999999998</v>
      </c>
    </row>
    <row r="935" spans="1:10" ht="15.75" x14ac:dyDescent="0.25">
      <c r="A935" s="13">
        <v>69763</v>
      </c>
      <c r="B935" s="10">
        <f>71.7078 * CHOOSE(CONTROL!$C$15, $E$9, 100%, $G$9) + CHOOSE(CONTROL!$C$38, 0.0256, 0)</f>
        <v>71.733400000000003</v>
      </c>
      <c r="C935" s="10">
        <f>66.255 * CHOOSE(CONTROL!$C$15, $E$9, 100%, $G$9) + CHOOSE(CONTROL!$C$38, 0.0347, 0)</f>
        <v>66.289699999999996</v>
      </c>
      <c r="D935" s="10">
        <f>66.2472 * CHOOSE(CONTROL!$C$15, $E$9, 100%, $G$9) + CHOOSE(CONTROL!$C$38, 0.0347, 0)</f>
        <v>66.281900000000007</v>
      </c>
      <c r="E935" s="28">
        <f>71.5516 * CHOOSE(CONTROL!$C$15, $E$9, 100%, $G$9) + CHOOSE(CONTROL!$C$38, 0.0347, 0)</f>
        <v>71.586299999999994</v>
      </c>
      <c r="F935" s="27">
        <f>71.5516 * CHOOSE(CONTROL!$C$15, $E$9, 100%, $G$9) + CHOOSE(CONTROL!$C$38, 0.0256, 0)</f>
        <v>71.577199999999991</v>
      </c>
      <c r="G935" s="10">
        <f>66.2534 * CHOOSE(CONTROL!$C$15, $E$9, 100%, $G$9) + CHOOSE(CONTROL!$C$38, 0.0347, 0)</f>
        <v>66.2881</v>
      </c>
      <c r="H935" s="10">
        <f>66.2534 * CHOOSE(CONTROL!$C$15, $E$9, 100%, $G$9) + CHOOSE(CONTROL!$C$38, 0.0347, 0)</f>
        <v>66.2881</v>
      </c>
      <c r="I935" s="10">
        <f>66.255 * CHOOSE(CONTROL!$C$15, $E$9, 100%, $G$9) + CHOOSE(CONTROL!$C$38, 0.0347, 0)</f>
        <v>66.289699999999996</v>
      </c>
      <c r="J935" s="26">
        <f>426.9989</f>
        <v>426.99889999999999</v>
      </c>
    </row>
    <row r="936" spans="1:10" ht="15.75" x14ac:dyDescent="0.25">
      <c r="A936" s="13">
        <v>69794</v>
      </c>
      <c r="B936" s="10">
        <f>73.4247 * CHOOSE(CONTROL!$C$15, $E$9, 100%, $G$9) + CHOOSE(CONTROL!$C$38, 0.0256, 0)</f>
        <v>73.450299999999999</v>
      </c>
      <c r="C936" s="10">
        <f>67.8783 * CHOOSE(CONTROL!$C$15, $E$9, 100%, $G$9) + CHOOSE(CONTROL!$C$38, 0.0347, 0)</f>
        <v>67.912999999999997</v>
      </c>
      <c r="D936" s="10">
        <f>67.8705 * CHOOSE(CONTROL!$C$15, $E$9, 100%, $G$9) + CHOOSE(CONTROL!$C$38, 0.0347, 0)</f>
        <v>67.905200000000008</v>
      </c>
      <c r="E936" s="28">
        <f>73.2685 * CHOOSE(CONTROL!$C$15, $E$9, 100%, $G$9) + CHOOSE(CONTROL!$C$38, 0.0347, 0)</f>
        <v>73.303200000000004</v>
      </c>
      <c r="F936" s="27">
        <f>73.2685 * CHOOSE(CONTROL!$C$15, $E$9, 100%, $G$9) + CHOOSE(CONTROL!$C$38, 0.0256, 0)</f>
        <v>73.2941</v>
      </c>
      <c r="G936" s="10">
        <f>67.8767 * CHOOSE(CONTROL!$C$15, $E$9, 100%, $G$9) + CHOOSE(CONTROL!$C$38, 0.0347, 0)</f>
        <v>67.9114</v>
      </c>
      <c r="H936" s="10">
        <f>67.8767 * CHOOSE(CONTROL!$C$15, $E$9, 100%, $G$9) + CHOOSE(CONTROL!$C$38, 0.0347, 0)</f>
        <v>67.9114</v>
      </c>
      <c r="I936" s="10">
        <f>67.8783 * CHOOSE(CONTROL!$C$15, $E$9, 100%, $G$9) + CHOOSE(CONTROL!$C$38, 0.0347, 0)</f>
        <v>67.912999999999997</v>
      </c>
      <c r="J936" s="26">
        <f>424.1387</f>
        <v>424.13869999999997</v>
      </c>
    </row>
    <row r="937" spans="1:10" ht="15.75" x14ac:dyDescent="0.25">
      <c r="A937" s="13">
        <v>69822</v>
      </c>
      <c r="B937" s="10">
        <f>73.6455 * CHOOSE(CONTROL!$C$15, $E$9, 100%, $G$9) + CHOOSE(CONTROL!$C$38, 0.0256, 0)</f>
        <v>73.671099999999996</v>
      </c>
      <c r="C937" s="10">
        <f>68.0991 * CHOOSE(CONTROL!$C$15, $E$9, 100%, $G$9) + CHOOSE(CONTROL!$C$38, 0.0347, 0)</f>
        <v>68.133800000000008</v>
      </c>
      <c r="D937" s="10">
        <f>68.0913 * CHOOSE(CONTROL!$C$15, $E$9, 100%, $G$9) + CHOOSE(CONTROL!$C$38, 0.0347, 0)</f>
        <v>68.126000000000005</v>
      </c>
      <c r="E937" s="28">
        <f>73.4892 * CHOOSE(CONTROL!$C$15, $E$9, 100%, $G$9) + CHOOSE(CONTROL!$C$38, 0.0347, 0)</f>
        <v>73.523899999999998</v>
      </c>
      <c r="F937" s="27">
        <f>73.4892 * CHOOSE(CONTROL!$C$15, $E$9, 100%, $G$9) + CHOOSE(CONTROL!$C$38, 0.0256, 0)</f>
        <v>73.514799999999994</v>
      </c>
      <c r="G937" s="10">
        <f>68.0975 * CHOOSE(CONTROL!$C$15, $E$9, 100%, $G$9) + CHOOSE(CONTROL!$C$38, 0.0347, 0)</f>
        <v>68.132199999999997</v>
      </c>
      <c r="H937" s="10">
        <f>68.0975 * CHOOSE(CONTROL!$C$15, $E$9, 100%, $G$9) + CHOOSE(CONTROL!$C$38, 0.0347, 0)</f>
        <v>68.132199999999997</v>
      </c>
      <c r="I937" s="10">
        <f>68.0991 * CHOOSE(CONTROL!$C$15, $E$9, 100%, $G$9) + CHOOSE(CONTROL!$C$38, 0.0347, 0)</f>
        <v>68.133800000000008</v>
      </c>
      <c r="J937" s="26">
        <f>422.9597</f>
        <v>422.9597</v>
      </c>
    </row>
    <row r="938" spans="1:10" ht="15.75" x14ac:dyDescent="0.25">
      <c r="A938" s="13">
        <v>69853</v>
      </c>
      <c r="B938" s="10">
        <f>73.1344 * CHOOSE(CONTROL!$C$15, $E$9, 100%, $G$9) + CHOOSE(CONTROL!$C$38, 0.0256, 0)</f>
        <v>73.16</v>
      </c>
      <c r="C938" s="10">
        <f>67.588 * CHOOSE(CONTROL!$C$15, $E$9, 100%, $G$9) + CHOOSE(CONTROL!$C$38, 0.0347, 0)</f>
        <v>67.622699999999995</v>
      </c>
      <c r="D938" s="10">
        <f>67.5802 * CHOOSE(CONTROL!$C$15, $E$9, 100%, $G$9) + CHOOSE(CONTROL!$C$38, 0.0347, 0)</f>
        <v>67.614900000000006</v>
      </c>
      <c r="E938" s="28">
        <f>72.9782 * CHOOSE(CONTROL!$C$15, $E$9, 100%, $G$9) + CHOOSE(CONTROL!$C$38, 0.0347, 0)</f>
        <v>73.012900000000002</v>
      </c>
      <c r="F938" s="27">
        <f>72.9782 * CHOOSE(CONTROL!$C$15, $E$9, 100%, $G$9) + CHOOSE(CONTROL!$C$38, 0.0256, 0)</f>
        <v>73.003799999999998</v>
      </c>
      <c r="G938" s="10">
        <f>67.5865 * CHOOSE(CONTROL!$C$15, $E$9, 100%, $G$9) + CHOOSE(CONTROL!$C$38, 0.0347, 0)</f>
        <v>67.621200000000002</v>
      </c>
      <c r="H938" s="10">
        <f>67.5865 * CHOOSE(CONTROL!$C$15, $E$9, 100%, $G$9) + CHOOSE(CONTROL!$C$38, 0.0347, 0)</f>
        <v>67.621200000000002</v>
      </c>
      <c r="I938" s="10">
        <f>67.588 * CHOOSE(CONTROL!$C$15, $E$9, 100%, $G$9) + CHOOSE(CONTROL!$C$38, 0.0347, 0)</f>
        <v>67.622699999999995</v>
      </c>
      <c r="J938" s="26">
        <f>445.2521</f>
        <v>445.25209999999998</v>
      </c>
    </row>
    <row r="939" spans="1:10" ht="15.75" x14ac:dyDescent="0.25">
      <c r="A939" s="13">
        <v>69883</v>
      </c>
      <c r="B939" s="10">
        <f>72.6393 * CHOOSE(CONTROL!$C$15, $E$9, 100%, $G$9) + CHOOSE(CONTROL!$C$38, 0.0256, 0)</f>
        <v>72.664900000000003</v>
      </c>
      <c r="C939" s="10">
        <f>67.0929 * CHOOSE(CONTROL!$C$15, $E$9, 100%, $G$9) + CHOOSE(CONTROL!$C$38, 0.0347, 0)</f>
        <v>67.127600000000001</v>
      </c>
      <c r="D939" s="10">
        <f>67.085 * CHOOSE(CONTROL!$C$15, $E$9, 100%, $G$9) + CHOOSE(CONTROL!$C$38, 0.0347, 0)</f>
        <v>67.119699999999995</v>
      </c>
      <c r="E939" s="28">
        <f>72.483 * CHOOSE(CONTROL!$C$15, $E$9, 100%, $G$9) + CHOOSE(CONTROL!$C$38, 0.0347, 0)</f>
        <v>72.517700000000005</v>
      </c>
      <c r="F939" s="27">
        <f>72.483 * CHOOSE(CONTROL!$C$15, $E$9, 100%, $G$9) + CHOOSE(CONTROL!$C$38, 0.0256, 0)</f>
        <v>72.508600000000001</v>
      </c>
      <c r="G939" s="10">
        <f>67.0913 * CHOOSE(CONTROL!$C$15, $E$9, 100%, $G$9) + CHOOSE(CONTROL!$C$38, 0.0347, 0)</f>
        <v>67.126000000000005</v>
      </c>
      <c r="H939" s="10">
        <f>67.0913 * CHOOSE(CONTROL!$C$15, $E$9, 100%, $G$9) + CHOOSE(CONTROL!$C$38, 0.0347, 0)</f>
        <v>67.126000000000005</v>
      </c>
      <c r="I939" s="10">
        <f>67.0929 * CHOOSE(CONTROL!$C$15, $E$9, 100%, $G$9) + CHOOSE(CONTROL!$C$38, 0.0347, 0)</f>
        <v>67.127600000000001</v>
      </c>
      <c r="J939" s="26">
        <f>474.1601</f>
        <v>474.1601</v>
      </c>
    </row>
    <row r="940" spans="1:10" ht="15.75" x14ac:dyDescent="0.25">
      <c r="A940" s="13">
        <v>69914</v>
      </c>
      <c r="B940" s="10">
        <f>72.1231 * CHOOSE(CONTROL!$C$15, $E$9, 100%, $G$9) + CHOOSE(CONTROL!$C$38, 0.0278, 0)</f>
        <v>72.150899999999993</v>
      </c>
      <c r="C940" s="10">
        <f>66.5767 * CHOOSE(CONTROL!$C$15, $E$9, 100%, $G$9) + CHOOSE(CONTROL!$C$38, 0.0369, 0)</f>
        <v>66.613600000000005</v>
      </c>
      <c r="D940" s="10">
        <f>66.5689 * CHOOSE(CONTROL!$C$15, $E$9, 100%, $G$9) + CHOOSE(CONTROL!$C$38, 0.0369, 0)</f>
        <v>66.605800000000002</v>
      </c>
      <c r="E940" s="28">
        <f>71.9669 * CHOOSE(CONTROL!$C$15, $E$9, 100%, $G$9) + CHOOSE(CONTROL!$C$38, 0.0369, 0)</f>
        <v>72.003799999999998</v>
      </c>
      <c r="F940" s="27">
        <f>71.9669 * CHOOSE(CONTROL!$C$15, $E$9, 100%, $G$9) + CHOOSE(CONTROL!$C$38, 0.0278, 0)</f>
        <v>71.994699999999995</v>
      </c>
      <c r="G940" s="10">
        <f>66.5752 * CHOOSE(CONTROL!$C$15, $E$9, 100%, $G$9) + CHOOSE(CONTROL!$C$38, 0.0369, 0)</f>
        <v>66.612099999999998</v>
      </c>
      <c r="H940" s="10">
        <f>66.5752 * CHOOSE(CONTROL!$C$15, $E$9, 100%, $G$9) + CHOOSE(CONTROL!$C$38, 0.0369, 0)</f>
        <v>66.612099999999998</v>
      </c>
      <c r="I940" s="10">
        <f>66.5767 * CHOOSE(CONTROL!$C$15, $E$9, 100%, $G$9) + CHOOSE(CONTROL!$C$38, 0.0369, 0)</f>
        <v>66.613600000000005</v>
      </c>
      <c r="J940" s="26">
        <f>490.0719</f>
        <v>490.07190000000003</v>
      </c>
    </row>
    <row r="941" spans="1:10" ht="15.75" x14ac:dyDescent="0.25">
      <c r="A941" s="13">
        <v>69944</v>
      </c>
      <c r="B941" s="10">
        <f>71.7613 * CHOOSE(CONTROL!$C$15, $E$9, 100%, $G$9) + CHOOSE(CONTROL!$C$38, 0.0278, 0)</f>
        <v>71.789100000000005</v>
      </c>
      <c r="C941" s="10">
        <f>66.2149 * CHOOSE(CONTROL!$C$15, $E$9, 100%, $G$9) + CHOOSE(CONTROL!$C$38, 0.0369, 0)</f>
        <v>66.251800000000003</v>
      </c>
      <c r="D941" s="10">
        <f>66.2071 * CHOOSE(CONTROL!$C$15, $E$9, 100%, $G$9) + CHOOSE(CONTROL!$C$38, 0.0369, 0)</f>
        <v>66.244</v>
      </c>
      <c r="E941" s="28">
        <f>71.6051 * CHOOSE(CONTROL!$C$15, $E$9, 100%, $G$9) + CHOOSE(CONTROL!$C$38, 0.0369, 0)</f>
        <v>71.641999999999996</v>
      </c>
      <c r="F941" s="27">
        <f>71.6051 * CHOOSE(CONTROL!$C$15, $E$9, 100%, $G$9) + CHOOSE(CONTROL!$C$38, 0.0278, 0)</f>
        <v>71.632899999999992</v>
      </c>
      <c r="G941" s="10">
        <f>66.2133 * CHOOSE(CONTROL!$C$15, $E$9, 100%, $G$9) + CHOOSE(CONTROL!$C$38, 0.0369, 0)</f>
        <v>66.250200000000007</v>
      </c>
      <c r="H941" s="10">
        <f>66.2133 * CHOOSE(CONTROL!$C$15, $E$9, 100%, $G$9) + CHOOSE(CONTROL!$C$38, 0.0369, 0)</f>
        <v>66.250200000000007</v>
      </c>
      <c r="I941" s="10">
        <f>66.2149 * CHOOSE(CONTROL!$C$15, $E$9, 100%, $G$9) + CHOOSE(CONTROL!$C$38, 0.0369, 0)</f>
        <v>66.251800000000003</v>
      </c>
      <c r="J941" s="26">
        <f>497.1333</f>
        <v>497.13330000000002</v>
      </c>
    </row>
    <row r="942" spans="1:10" ht="15.75" x14ac:dyDescent="0.25">
      <c r="A942" s="13">
        <v>69975</v>
      </c>
      <c r="B942" s="10">
        <f>71.5548 * CHOOSE(CONTROL!$C$15, $E$9, 100%, $G$9) + CHOOSE(CONTROL!$C$38, 0.0278, 0)</f>
        <v>71.582599999999999</v>
      </c>
      <c r="C942" s="10">
        <f>66.0084 * CHOOSE(CONTROL!$C$15, $E$9, 100%, $G$9) + CHOOSE(CONTROL!$C$38, 0.0369, 0)</f>
        <v>66.045299999999997</v>
      </c>
      <c r="D942" s="10">
        <f>66.0006 * CHOOSE(CONTROL!$C$15, $E$9, 100%, $G$9) + CHOOSE(CONTROL!$C$38, 0.0369, 0)</f>
        <v>66.037500000000009</v>
      </c>
      <c r="E942" s="28">
        <f>71.3986 * CHOOSE(CONTROL!$C$15, $E$9, 100%, $G$9) + CHOOSE(CONTROL!$C$38, 0.0369, 0)</f>
        <v>71.435500000000005</v>
      </c>
      <c r="F942" s="27">
        <f>71.3986 * CHOOSE(CONTROL!$C$15, $E$9, 100%, $G$9) + CHOOSE(CONTROL!$C$38, 0.0278, 0)</f>
        <v>71.426400000000001</v>
      </c>
      <c r="G942" s="10">
        <f>66.0069 * CHOOSE(CONTROL!$C$15, $E$9, 100%, $G$9) + CHOOSE(CONTROL!$C$38, 0.0369, 0)</f>
        <v>66.043800000000005</v>
      </c>
      <c r="H942" s="10">
        <f>66.0069 * CHOOSE(CONTROL!$C$15, $E$9, 100%, $G$9) + CHOOSE(CONTROL!$C$38, 0.0369, 0)</f>
        <v>66.043800000000005</v>
      </c>
      <c r="I942" s="10">
        <f>66.0084 * CHOOSE(CONTROL!$C$15, $E$9, 100%, $G$9) + CHOOSE(CONTROL!$C$38, 0.0369, 0)</f>
        <v>66.045299999999997</v>
      </c>
      <c r="J942" s="26">
        <f>494.8084</f>
        <v>494.80840000000001</v>
      </c>
    </row>
    <row r="943" spans="1:10" ht="15.75" x14ac:dyDescent="0.25">
      <c r="A943" s="13">
        <v>70006</v>
      </c>
      <c r="B943" s="10">
        <f>71.6567 * CHOOSE(CONTROL!$C$15, $E$9, 100%, $G$9) + CHOOSE(CONTROL!$C$38, 0.0278, 0)</f>
        <v>71.6845</v>
      </c>
      <c r="C943" s="10">
        <f>66.1103 * CHOOSE(CONTROL!$C$15, $E$9, 100%, $G$9) + CHOOSE(CONTROL!$C$38, 0.0369, 0)</f>
        <v>66.147199999999998</v>
      </c>
      <c r="D943" s="10">
        <f>66.1025 * CHOOSE(CONTROL!$C$15, $E$9, 100%, $G$9) + CHOOSE(CONTROL!$C$38, 0.0369, 0)</f>
        <v>66.139400000000009</v>
      </c>
      <c r="E943" s="28">
        <f>71.5005 * CHOOSE(CONTROL!$C$15, $E$9, 100%, $G$9) + CHOOSE(CONTROL!$C$38, 0.0369, 0)</f>
        <v>71.537400000000005</v>
      </c>
      <c r="F943" s="27">
        <f>71.5005 * CHOOSE(CONTROL!$C$15, $E$9, 100%, $G$9) + CHOOSE(CONTROL!$C$38, 0.0278, 0)</f>
        <v>71.528300000000002</v>
      </c>
      <c r="G943" s="10">
        <f>66.1088 * CHOOSE(CONTROL!$C$15, $E$9, 100%, $G$9) + CHOOSE(CONTROL!$C$38, 0.0369, 0)</f>
        <v>66.145700000000005</v>
      </c>
      <c r="H943" s="10">
        <f>66.1088 * CHOOSE(CONTROL!$C$15, $E$9, 100%, $G$9) + CHOOSE(CONTROL!$C$38, 0.0369, 0)</f>
        <v>66.145700000000005</v>
      </c>
      <c r="I943" s="10">
        <f>66.1103 * CHOOSE(CONTROL!$C$15, $E$9, 100%, $G$9) + CHOOSE(CONTROL!$C$38, 0.0369, 0)</f>
        <v>66.147199999999998</v>
      </c>
      <c r="J943" s="26">
        <f>483.2895</f>
        <v>483.28949999999998</v>
      </c>
    </row>
    <row r="944" spans="1:10" ht="15.75" x14ac:dyDescent="0.25">
      <c r="A944" s="13">
        <v>70036</v>
      </c>
      <c r="B944" s="10">
        <f>71.9335 * CHOOSE(CONTROL!$C$15, $E$9, 100%, $G$9) + CHOOSE(CONTROL!$C$38, 0.0278, 0)</f>
        <v>71.961299999999994</v>
      </c>
      <c r="C944" s="10">
        <f>66.3871 * CHOOSE(CONTROL!$C$15, $E$9, 100%, $G$9) + CHOOSE(CONTROL!$C$38, 0.0369, 0)</f>
        <v>66.424000000000007</v>
      </c>
      <c r="D944" s="10">
        <f>66.3793 * CHOOSE(CONTROL!$C$15, $E$9, 100%, $G$9) + CHOOSE(CONTROL!$C$38, 0.0369, 0)</f>
        <v>66.416200000000003</v>
      </c>
      <c r="E944" s="28">
        <f>71.7773 * CHOOSE(CONTROL!$C$15, $E$9, 100%, $G$9) + CHOOSE(CONTROL!$C$38, 0.0369, 0)</f>
        <v>71.8142</v>
      </c>
      <c r="F944" s="27">
        <f>71.7773 * CHOOSE(CONTROL!$C$15, $E$9, 100%, $G$9) + CHOOSE(CONTROL!$C$38, 0.0278, 0)</f>
        <v>71.805099999999996</v>
      </c>
      <c r="G944" s="10">
        <f>66.3856 * CHOOSE(CONTROL!$C$15, $E$9, 100%, $G$9) + CHOOSE(CONTROL!$C$38, 0.0369, 0)</f>
        <v>66.422499999999999</v>
      </c>
      <c r="H944" s="10">
        <f>66.3856 * CHOOSE(CONTROL!$C$15, $E$9, 100%, $G$9) + CHOOSE(CONTROL!$C$38, 0.0369, 0)</f>
        <v>66.422499999999999</v>
      </c>
      <c r="I944" s="10">
        <f>66.3871 * CHOOSE(CONTROL!$C$15, $E$9, 100%, $G$9) + CHOOSE(CONTROL!$C$38, 0.0369, 0)</f>
        <v>66.424000000000007</v>
      </c>
      <c r="J944" s="26">
        <f>467.2257</f>
        <v>467.22570000000002</v>
      </c>
    </row>
    <row r="945" spans="1:10" ht="15.75" x14ac:dyDescent="0.25">
      <c r="A945" s="13">
        <v>70067</v>
      </c>
      <c r="B945" s="10">
        <f>72.1654 * CHOOSE(CONTROL!$C$15, $E$9, 100%, $G$9) + CHOOSE(CONTROL!$C$38, 0.0256, 0)</f>
        <v>72.191000000000003</v>
      </c>
      <c r="C945" s="10">
        <f>66.6189 * CHOOSE(CONTROL!$C$15, $E$9, 100%, $G$9) + CHOOSE(CONTROL!$C$38, 0.0347, 0)</f>
        <v>66.653599999999997</v>
      </c>
      <c r="D945" s="10">
        <f>66.6111 * CHOOSE(CONTROL!$C$15, $E$9, 100%, $G$9) + CHOOSE(CONTROL!$C$38, 0.0347, 0)</f>
        <v>66.645799999999994</v>
      </c>
      <c r="E945" s="28">
        <f>72.0091 * CHOOSE(CONTROL!$C$15, $E$9, 100%, $G$9) + CHOOSE(CONTROL!$C$38, 0.0347, 0)</f>
        <v>72.043800000000005</v>
      </c>
      <c r="F945" s="27">
        <f>72.0091 * CHOOSE(CONTROL!$C$15, $E$9, 100%, $G$9) + CHOOSE(CONTROL!$C$38, 0.0256, 0)</f>
        <v>72.034700000000001</v>
      </c>
      <c r="G945" s="10">
        <f>66.6174 * CHOOSE(CONTROL!$C$15, $E$9, 100%, $G$9) + CHOOSE(CONTROL!$C$38, 0.0347, 0)</f>
        <v>66.652100000000004</v>
      </c>
      <c r="H945" s="10">
        <f>66.6174 * CHOOSE(CONTROL!$C$15, $E$9, 100%, $G$9) + CHOOSE(CONTROL!$C$38, 0.0347, 0)</f>
        <v>66.652100000000004</v>
      </c>
      <c r="I945" s="10">
        <f>66.6189 * CHOOSE(CONTROL!$C$15, $E$9, 100%, $G$9) + CHOOSE(CONTROL!$C$38, 0.0347, 0)</f>
        <v>66.653599999999997</v>
      </c>
      <c r="J945" s="26">
        <f>451.0686</f>
        <v>451.0686</v>
      </c>
    </row>
    <row r="946" spans="1:10" ht="15.75" x14ac:dyDescent="0.25">
      <c r="A946" s="13">
        <v>70097</v>
      </c>
      <c r="B946" s="10">
        <f>72.3588 * CHOOSE(CONTROL!$C$15, $E$9, 100%, $G$9) + CHOOSE(CONTROL!$C$38, 0.0256, 0)</f>
        <v>72.384399999999999</v>
      </c>
      <c r="C946" s="10">
        <f>66.8124 * CHOOSE(CONTROL!$C$15, $E$9, 100%, $G$9) + CHOOSE(CONTROL!$C$38, 0.0347, 0)</f>
        <v>66.847099999999998</v>
      </c>
      <c r="D946" s="10">
        <f>66.8046 * CHOOSE(CONTROL!$C$15, $E$9, 100%, $G$9) + CHOOSE(CONTROL!$C$38, 0.0347, 0)</f>
        <v>66.839299999999994</v>
      </c>
      <c r="E946" s="28">
        <f>72.2025 * CHOOSE(CONTROL!$C$15, $E$9, 100%, $G$9) + CHOOSE(CONTROL!$C$38, 0.0347, 0)</f>
        <v>72.237200000000001</v>
      </c>
      <c r="F946" s="27">
        <f>72.2025 * CHOOSE(CONTROL!$C$15, $E$9, 100%, $G$9) + CHOOSE(CONTROL!$C$38, 0.0256, 0)</f>
        <v>72.228099999999998</v>
      </c>
      <c r="G946" s="10">
        <f>66.8108 * CHOOSE(CONTROL!$C$15, $E$9, 100%, $G$9) + CHOOSE(CONTROL!$C$38, 0.0347, 0)</f>
        <v>66.845500000000001</v>
      </c>
      <c r="H946" s="10">
        <f>66.8108 * CHOOSE(CONTROL!$C$15, $E$9, 100%, $G$9) + CHOOSE(CONTROL!$C$38, 0.0347, 0)</f>
        <v>66.845500000000001</v>
      </c>
      <c r="I946" s="10">
        <f>66.8124 * CHOOSE(CONTROL!$C$15, $E$9, 100%, $G$9) + CHOOSE(CONTROL!$C$38, 0.0347, 0)</f>
        <v>66.847099999999998</v>
      </c>
      <c r="J946" s="26">
        <f>447.8546</f>
        <v>447.8546</v>
      </c>
    </row>
    <row r="947" spans="1:10" ht="15.75" x14ac:dyDescent="0.25">
      <c r="A947" s="13">
        <v>70128</v>
      </c>
      <c r="B947" s="10">
        <f>72.9549 * CHOOSE(CONTROL!$C$15, $E$9, 100%, $G$9) + CHOOSE(CONTROL!$C$38, 0.0256, 0)</f>
        <v>72.980499999999992</v>
      </c>
      <c r="C947" s="10">
        <f>67.4085 * CHOOSE(CONTROL!$C$15, $E$9, 100%, $G$9) + CHOOSE(CONTROL!$C$38, 0.0347, 0)</f>
        <v>67.443200000000004</v>
      </c>
      <c r="D947" s="10">
        <f>67.4006 * CHOOSE(CONTROL!$C$15, $E$9, 100%, $G$9) + CHOOSE(CONTROL!$C$38, 0.0347, 0)</f>
        <v>67.435299999999998</v>
      </c>
      <c r="E947" s="28">
        <f>72.7986 * CHOOSE(CONTROL!$C$15, $E$9, 100%, $G$9) + CHOOSE(CONTROL!$C$38, 0.0347, 0)</f>
        <v>72.833299999999994</v>
      </c>
      <c r="F947" s="27">
        <f>72.7986 * CHOOSE(CONTROL!$C$15, $E$9, 100%, $G$9) + CHOOSE(CONTROL!$C$38, 0.0256, 0)</f>
        <v>72.82419999999999</v>
      </c>
      <c r="G947" s="10">
        <f>67.4069 * CHOOSE(CONTROL!$C$15, $E$9, 100%, $G$9) + CHOOSE(CONTROL!$C$38, 0.0347, 0)</f>
        <v>67.441599999999994</v>
      </c>
      <c r="H947" s="10">
        <f>67.4069 * CHOOSE(CONTROL!$C$15, $E$9, 100%, $G$9) + CHOOSE(CONTROL!$C$38, 0.0347, 0)</f>
        <v>67.441599999999994</v>
      </c>
      <c r="I947" s="10">
        <f>67.4085 * CHOOSE(CONTROL!$C$15, $E$9, 100%, $G$9) + CHOOSE(CONTROL!$C$38, 0.0347, 0)</f>
        <v>67.443200000000004</v>
      </c>
      <c r="J947" s="26">
        <f>434.5645</f>
        <v>434.56450000000001</v>
      </c>
    </row>
    <row r="948" spans="1:10" ht="15.75" x14ac:dyDescent="0.25">
      <c r="A948" s="13">
        <v>70159</v>
      </c>
      <c r="B948" s="10">
        <f>74.6938 * CHOOSE(CONTROL!$C$15, $E$9, 100%, $G$9) + CHOOSE(CONTROL!$C$38, 0.0256, 0)</f>
        <v>74.719399999999993</v>
      </c>
      <c r="C948" s="10">
        <f>69.0522 * CHOOSE(CONTROL!$C$15, $E$9, 100%, $G$9) + CHOOSE(CONTROL!$C$38, 0.0347, 0)</f>
        <v>69.0869</v>
      </c>
      <c r="D948" s="10">
        <f>69.0443 * CHOOSE(CONTROL!$C$15, $E$9, 100%, $G$9) + CHOOSE(CONTROL!$C$38, 0.0347, 0)</f>
        <v>69.079000000000008</v>
      </c>
      <c r="E948" s="28">
        <f>74.5376 * CHOOSE(CONTROL!$C$15, $E$9, 100%, $G$9) + CHOOSE(CONTROL!$C$38, 0.0347, 0)</f>
        <v>74.572299999999998</v>
      </c>
      <c r="F948" s="27">
        <f>74.5376 * CHOOSE(CONTROL!$C$15, $E$9, 100%, $G$9) + CHOOSE(CONTROL!$C$38, 0.0256, 0)</f>
        <v>74.563199999999995</v>
      </c>
      <c r="G948" s="10">
        <f>69.0506 * CHOOSE(CONTROL!$C$15, $E$9, 100%, $G$9) + CHOOSE(CONTROL!$C$38, 0.0347, 0)</f>
        <v>69.085300000000004</v>
      </c>
      <c r="H948" s="10">
        <f>69.0506 * CHOOSE(CONTROL!$C$15, $E$9, 100%, $G$9) + CHOOSE(CONTROL!$C$38, 0.0347, 0)</f>
        <v>69.085300000000004</v>
      </c>
      <c r="I948" s="10">
        <f>69.0522 * CHOOSE(CONTROL!$C$15, $E$9, 100%, $G$9) + CHOOSE(CONTROL!$C$38, 0.0347, 0)</f>
        <v>69.0869</v>
      </c>
      <c r="J948" s="26">
        <f>431.6536</f>
        <v>431.65359999999998</v>
      </c>
    </row>
    <row r="949" spans="1:10" ht="15.75" x14ac:dyDescent="0.25">
      <c r="A949" s="13">
        <v>70188</v>
      </c>
      <c r="B949" s="10">
        <f>74.9146 * CHOOSE(CONTROL!$C$15, $E$9, 100%, $G$9) + CHOOSE(CONTROL!$C$38, 0.0256, 0)</f>
        <v>74.94019999999999</v>
      </c>
      <c r="C949" s="10">
        <f>69.2729 * CHOOSE(CONTROL!$C$15, $E$9, 100%, $G$9) + CHOOSE(CONTROL!$C$38, 0.0347, 0)</f>
        <v>69.307600000000008</v>
      </c>
      <c r="D949" s="10">
        <f>69.2651 * CHOOSE(CONTROL!$C$15, $E$9, 100%, $G$9) + CHOOSE(CONTROL!$C$38, 0.0347, 0)</f>
        <v>69.299800000000005</v>
      </c>
      <c r="E949" s="28">
        <f>74.7583 * CHOOSE(CONTROL!$C$15, $E$9, 100%, $G$9) + CHOOSE(CONTROL!$C$38, 0.0347, 0)</f>
        <v>74.793000000000006</v>
      </c>
      <c r="F949" s="27">
        <f>74.7583 * CHOOSE(CONTROL!$C$15, $E$9, 100%, $G$9) + CHOOSE(CONTROL!$C$38, 0.0256, 0)</f>
        <v>74.783900000000003</v>
      </c>
      <c r="G949" s="10">
        <f>69.2714 * CHOOSE(CONTROL!$C$15, $E$9, 100%, $G$9) + CHOOSE(CONTROL!$C$38, 0.0347, 0)</f>
        <v>69.306100000000001</v>
      </c>
      <c r="H949" s="10">
        <f>69.2714 * CHOOSE(CONTROL!$C$15, $E$9, 100%, $G$9) + CHOOSE(CONTROL!$C$38, 0.0347, 0)</f>
        <v>69.306100000000001</v>
      </c>
      <c r="I949" s="10">
        <f>69.2729 * CHOOSE(CONTROL!$C$15, $E$9, 100%, $G$9) + CHOOSE(CONTROL!$C$38, 0.0347, 0)</f>
        <v>69.307600000000008</v>
      </c>
      <c r="J949" s="26">
        <f>430.4537</f>
        <v>430.45370000000003</v>
      </c>
    </row>
    <row r="950" spans="1:10" ht="15.75" x14ac:dyDescent="0.25">
      <c r="A950" s="13">
        <v>70219</v>
      </c>
      <c r="B950" s="10">
        <f>74.4035 * CHOOSE(CONTROL!$C$15, $E$9, 100%, $G$9) + CHOOSE(CONTROL!$C$38, 0.0256, 0)</f>
        <v>74.429099999999991</v>
      </c>
      <c r="C950" s="10">
        <f>68.7619 * CHOOSE(CONTROL!$C$15, $E$9, 100%, $G$9) + CHOOSE(CONTROL!$C$38, 0.0347, 0)</f>
        <v>68.796599999999998</v>
      </c>
      <c r="D950" s="10">
        <f>68.7541 * CHOOSE(CONTROL!$C$15, $E$9, 100%, $G$9) + CHOOSE(CONTROL!$C$38, 0.0347, 0)</f>
        <v>68.788799999999995</v>
      </c>
      <c r="E950" s="28">
        <f>74.2473 * CHOOSE(CONTROL!$C$15, $E$9, 100%, $G$9) + CHOOSE(CONTROL!$C$38, 0.0347, 0)</f>
        <v>74.281999999999996</v>
      </c>
      <c r="F950" s="27">
        <f>74.2473 * CHOOSE(CONTROL!$C$15, $E$9, 100%, $G$9) + CHOOSE(CONTROL!$C$38, 0.0256, 0)</f>
        <v>74.272899999999993</v>
      </c>
      <c r="G950" s="10">
        <f>68.7603 * CHOOSE(CONTROL!$C$15, $E$9, 100%, $G$9) + CHOOSE(CONTROL!$C$38, 0.0347, 0)</f>
        <v>68.795000000000002</v>
      </c>
      <c r="H950" s="10">
        <f>68.7603 * CHOOSE(CONTROL!$C$15, $E$9, 100%, $G$9) + CHOOSE(CONTROL!$C$38, 0.0347, 0)</f>
        <v>68.795000000000002</v>
      </c>
      <c r="I950" s="10">
        <f>68.7619 * CHOOSE(CONTROL!$C$15, $E$9, 100%, $G$9) + CHOOSE(CONTROL!$C$38, 0.0347, 0)</f>
        <v>68.796599999999998</v>
      </c>
      <c r="J950" s="26">
        <f>453.1411</f>
        <v>453.14109999999999</v>
      </c>
    </row>
    <row r="951" spans="1:10" ht="15.75" x14ac:dyDescent="0.25">
      <c r="A951" s="13">
        <v>70249</v>
      </c>
      <c r="B951" s="10">
        <f>73.9084 * CHOOSE(CONTROL!$C$15, $E$9, 100%, $G$9) + CHOOSE(CONTROL!$C$38, 0.0256, 0)</f>
        <v>73.933999999999997</v>
      </c>
      <c r="C951" s="10">
        <f>68.2667 * CHOOSE(CONTROL!$C$15, $E$9, 100%, $G$9) + CHOOSE(CONTROL!$C$38, 0.0347, 0)</f>
        <v>68.301400000000001</v>
      </c>
      <c r="D951" s="10">
        <f>68.2589 * CHOOSE(CONTROL!$C$15, $E$9, 100%, $G$9) + CHOOSE(CONTROL!$C$38, 0.0347, 0)</f>
        <v>68.293599999999998</v>
      </c>
      <c r="E951" s="28">
        <f>73.7521 * CHOOSE(CONTROL!$C$15, $E$9, 100%, $G$9) + CHOOSE(CONTROL!$C$38, 0.0347, 0)</f>
        <v>73.786799999999999</v>
      </c>
      <c r="F951" s="27">
        <f>73.7521 * CHOOSE(CONTROL!$C$15, $E$9, 100%, $G$9) + CHOOSE(CONTROL!$C$38, 0.0256, 0)</f>
        <v>73.777699999999996</v>
      </c>
      <c r="G951" s="10">
        <f>68.2651 * CHOOSE(CONTROL!$C$15, $E$9, 100%, $G$9) + CHOOSE(CONTROL!$C$38, 0.0347, 0)</f>
        <v>68.299800000000005</v>
      </c>
      <c r="H951" s="10">
        <f>68.2651 * CHOOSE(CONTROL!$C$15, $E$9, 100%, $G$9) + CHOOSE(CONTROL!$C$38, 0.0347, 0)</f>
        <v>68.299800000000005</v>
      </c>
      <c r="I951" s="10">
        <f>68.2667 * CHOOSE(CONTROL!$C$15, $E$9, 100%, $G$9) + CHOOSE(CONTROL!$C$38, 0.0347, 0)</f>
        <v>68.301400000000001</v>
      </c>
      <c r="J951" s="26">
        <f>482.5613</f>
        <v>482.56130000000002</v>
      </c>
    </row>
    <row r="952" spans="1:10" ht="15.75" x14ac:dyDescent="0.25">
      <c r="A952" s="13">
        <v>70280</v>
      </c>
      <c r="B952" s="10">
        <f>73.3922 * CHOOSE(CONTROL!$C$15, $E$9, 100%, $G$9) + CHOOSE(CONTROL!$C$38, 0.0278, 0)</f>
        <v>73.42</v>
      </c>
      <c r="C952" s="10">
        <f>67.7506 * CHOOSE(CONTROL!$C$15, $E$9, 100%, $G$9) + CHOOSE(CONTROL!$C$38, 0.0369, 0)</f>
        <v>67.787500000000009</v>
      </c>
      <c r="D952" s="10">
        <f>67.7428 * CHOOSE(CONTROL!$C$15, $E$9, 100%, $G$9) + CHOOSE(CONTROL!$C$38, 0.0369, 0)</f>
        <v>67.779700000000005</v>
      </c>
      <c r="E952" s="28">
        <f>73.236 * CHOOSE(CONTROL!$C$15, $E$9, 100%, $G$9) + CHOOSE(CONTROL!$C$38, 0.0369, 0)</f>
        <v>73.272900000000007</v>
      </c>
      <c r="F952" s="27">
        <f>73.236 * CHOOSE(CONTROL!$C$15, $E$9, 100%, $G$9) + CHOOSE(CONTROL!$C$38, 0.0278, 0)</f>
        <v>73.263800000000003</v>
      </c>
      <c r="G952" s="10">
        <f>67.749 * CHOOSE(CONTROL!$C$15, $E$9, 100%, $G$9) + CHOOSE(CONTROL!$C$38, 0.0369, 0)</f>
        <v>67.785899999999998</v>
      </c>
      <c r="H952" s="10">
        <f>67.749 * CHOOSE(CONTROL!$C$15, $E$9, 100%, $G$9) + CHOOSE(CONTROL!$C$38, 0.0369, 0)</f>
        <v>67.785899999999998</v>
      </c>
      <c r="I952" s="10">
        <f>67.7506 * CHOOSE(CONTROL!$C$15, $E$9, 100%, $G$9) + CHOOSE(CONTROL!$C$38, 0.0369, 0)</f>
        <v>67.787500000000009</v>
      </c>
      <c r="J952" s="26">
        <f>498.7551</f>
        <v>498.75510000000003</v>
      </c>
    </row>
    <row r="953" spans="1:10" ht="15.75" x14ac:dyDescent="0.25">
      <c r="A953" s="13">
        <v>70310</v>
      </c>
      <c r="B953" s="10">
        <f>73.0304 * CHOOSE(CONTROL!$C$15, $E$9, 100%, $G$9) + CHOOSE(CONTROL!$C$38, 0.0278, 0)</f>
        <v>73.058199999999999</v>
      </c>
      <c r="C953" s="10">
        <f>67.3888 * CHOOSE(CONTROL!$C$15, $E$9, 100%, $G$9) + CHOOSE(CONTROL!$C$38, 0.0369, 0)</f>
        <v>67.425700000000006</v>
      </c>
      <c r="D953" s="10">
        <f>67.3809 * CHOOSE(CONTROL!$C$15, $E$9, 100%, $G$9) + CHOOSE(CONTROL!$C$38, 0.0369, 0)</f>
        <v>67.4178</v>
      </c>
      <c r="E953" s="28">
        <f>72.8742 * CHOOSE(CONTROL!$C$15, $E$9, 100%, $G$9) + CHOOSE(CONTROL!$C$38, 0.0369, 0)</f>
        <v>72.911100000000005</v>
      </c>
      <c r="F953" s="27">
        <f>72.8742 * CHOOSE(CONTROL!$C$15, $E$9, 100%, $G$9) + CHOOSE(CONTROL!$C$38, 0.0278, 0)</f>
        <v>72.902000000000001</v>
      </c>
      <c r="G953" s="10">
        <f>67.3872 * CHOOSE(CONTROL!$C$15, $E$9, 100%, $G$9) + CHOOSE(CONTROL!$C$38, 0.0369, 0)</f>
        <v>67.42410000000001</v>
      </c>
      <c r="H953" s="10">
        <f>67.3872 * CHOOSE(CONTROL!$C$15, $E$9, 100%, $G$9) + CHOOSE(CONTROL!$C$38, 0.0369, 0)</f>
        <v>67.42410000000001</v>
      </c>
      <c r="I953" s="10">
        <f>67.3888 * CHOOSE(CONTROL!$C$15, $E$9, 100%, $G$9) + CHOOSE(CONTROL!$C$38, 0.0369, 0)</f>
        <v>67.425700000000006</v>
      </c>
      <c r="J953" s="26">
        <f>505.9416</f>
        <v>505.94159999999999</v>
      </c>
    </row>
    <row r="954" spans="1:10" ht="15.75" x14ac:dyDescent="0.25">
      <c r="A954" s="13">
        <v>70341</v>
      </c>
      <c r="B954" s="10">
        <f>72.8239 * CHOOSE(CONTROL!$C$15, $E$9, 100%, $G$9) + CHOOSE(CONTROL!$C$38, 0.0278, 0)</f>
        <v>72.851699999999994</v>
      </c>
      <c r="C954" s="10">
        <f>67.1823 * CHOOSE(CONTROL!$C$15, $E$9, 100%, $G$9) + CHOOSE(CONTROL!$C$38, 0.0369, 0)</f>
        <v>67.219200000000001</v>
      </c>
      <c r="D954" s="10">
        <f>67.1745 * CHOOSE(CONTROL!$C$15, $E$9, 100%, $G$9) + CHOOSE(CONTROL!$C$38, 0.0369, 0)</f>
        <v>67.211399999999998</v>
      </c>
      <c r="E954" s="28">
        <f>72.6677 * CHOOSE(CONTROL!$C$15, $E$9, 100%, $G$9) + CHOOSE(CONTROL!$C$38, 0.0369, 0)</f>
        <v>72.704599999999999</v>
      </c>
      <c r="F954" s="27">
        <f>72.6677 * CHOOSE(CONTROL!$C$15, $E$9, 100%, $G$9) + CHOOSE(CONTROL!$C$38, 0.0278, 0)</f>
        <v>72.695499999999996</v>
      </c>
      <c r="G954" s="10">
        <f>67.1807 * CHOOSE(CONTROL!$C$15, $E$9, 100%, $G$9) + CHOOSE(CONTROL!$C$38, 0.0369, 0)</f>
        <v>67.217600000000004</v>
      </c>
      <c r="H954" s="10">
        <f>67.1807 * CHOOSE(CONTROL!$C$15, $E$9, 100%, $G$9) + CHOOSE(CONTROL!$C$38, 0.0369, 0)</f>
        <v>67.217600000000004</v>
      </c>
      <c r="I954" s="10">
        <f>67.1823 * CHOOSE(CONTROL!$C$15, $E$9, 100%, $G$9) + CHOOSE(CONTROL!$C$38, 0.0369, 0)</f>
        <v>67.219200000000001</v>
      </c>
      <c r="J954" s="26">
        <f>503.5755</f>
        <v>503.57549999999998</v>
      </c>
    </row>
    <row r="955" spans="1:10" ht="15.75" x14ac:dyDescent="0.25">
      <c r="A955" s="13">
        <v>70372</v>
      </c>
      <c r="B955" s="10">
        <f>72.9258 * CHOOSE(CONTROL!$C$15, $E$9, 100%, $G$9) + CHOOSE(CONTROL!$C$38, 0.0278, 0)</f>
        <v>72.953599999999994</v>
      </c>
      <c r="C955" s="10">
        <f>67.2842 * CHOOSE(CONTROL!$C$15, $E$9, 100%, $G$9) + CHOOSE(CONTROL!$C$38, 0.0369, 0)</f>
        <v>67.321100000000001</v>
      </c>
      <c r="D955" s="10">
        <f>67.2764 * CHOOSE(CONTROL!$C$15, $E$9, 100%, $G$9) + CHOOSE(CONTROL!$C$38, 0.0369, 0)</f>
        <v>67.313299999999998</v>
      </c>
      <c r="E955" s="28">
        <f>72.7696 * CHOOSE(CONTROL!$C$15, $E$9, 100%, $G$9) + CHOOSE(CONTROL!$C$38, 0.0369, 0)</f>
        <v>72.8065</v>
      </c>
      <c r="F955" s="27">
        <f>72.7696 * CHOOSE(CONTROL!$C$15, $E$9, 100%, $G$9) + CHOOSE(CONTROL!$C$38, 0.0278, 0)</f>
        <v>72.797399999999996</v>
      </c>
      <c r="G955" s="10">
        <f>67.2826 * CHOOSE(CONTROL!$C$15, $E$9, 100%, $G$9) + CHOOSE(CONTROL!$C$38, 0.0369, 0)</f>
        <v>67.319500000000005</v>
      </c>
      <c r="H955" s="10">
        <f>67.2826 * CHOOSE(CONTROL!$C$15, $E$9, 100%, $G$9) + CHOOSE(CONTROL!$C$38, 0.0369, 0)</f>
        <v>67.319500000000005</v>
      </c>
      <c r="I955" s="10">
        <f>67.2842 * CHOOSE(CONTROL!$C$15, $E$9, 100%, $G$9) + CHOOSE(CONTROL!$C$38, 0.0369, 0)</f>
        <v>67.321100000000001</v>
      </c>
      <c r="J955" s="26">
        <f>491.8524</f>
        <v>491.85239999999999</v>
      </c>
    </row>
    <row r="956" spans="1:10" ht="15.75" x14ac:dyDescent="0.25">
      <c r="A956" s="13">
        <v>70402</v>
      </c>
      <c r="B956" s="10">
        <f>73.2026 * CHOOSE(CONTROL!$C$15, $E$9, 100%, $G$9) + CHOOSE(CONTROL!$C$38, 0.0278, 0)</f>
        <v>73.230400000000003</v>
      </c>
      <c r="C956" s="10">
        <f>67.561 * CHOOSE(CONTROL!$C$15, $E$9, 100%, $G$9) + CHOOSE(CONTROL!$C$38, 0.0369, 0)</f>
        <v>67.59790000000001</v>
      </c>
      <c r="D956" s="10">
        <f>67.5532 * CHOOSE(CONTROL!$C$15, $E$9, 100%, $G$9) + CHOOSE(CONTROL!$C$38, 0.0369, 0)</f>
        <v>67.590100000000007</v>
      </c>
      <c r="E956" s="28">
        <f>73.0464 * CHOOSE(CONTROL!$C$15, $E$9, 100%, $G$9) + CHOOSE(CONTROL!$C$38, 0.0369, 0)</f>
        <v>73.083300000000008</v>
      </c>
      <c r="F956" s="27">
        <f>73.0464 * CHOOSE(CONTROL!$C$15, $E$9, 100%, $G$9) + CHOOSE(CONTROL!$C$38, 0.0278, 0)</f>
        <v>73.074200000000005</v>
      </c>
      <c r="G956" s="10">
        <f>67.5594 * CHOOSE(CONTROL!$C$15, $E$9, 100%, $G$9) + CHOOSE(CONTROL!$C$38, 0.0369, 0)</f>
        <v>67.596299999999999</v>
      </c>
      <c r="H956" s="10">
        <f>67.5594 * CHOOSE(CONTROL!$C$15, $E$9, 100%, $G$9) + CHOOSE(CONTROL!$C$38, 0.0369, 0)</f>
        <v>67.596299999999999</v>
      </c>
      <c r="I956" s="10">
        <f>67.561 * CHOOSE(CONTROL!$C$15, $E$9, 100%, $G$9) + CHOOSE(CONTROL!$C$38, 0.0369, 0)</f>
        <v>67.59790000000001</v>
      </c>
      <c r="J956" s="26">
        <f>475.5041</f>
        <v>475.50409999999999</v>
      </c>
    </row>
    <row r="957" spans="1:10" ht="15.75" x14ac:dyDescent="0.25">
      <c r="A957" s="13">
        <v>70433</v>
      </c>
      <c r="B957" s="10">
        <f>73.4344 * CHOOSE(CONTROL!$C$15, $E$9, 100%, $G$9) + CHOOSE(CONTROL!$C$38, 0.0256, 0)</f>
        <v>73.459999999999994</v>
      </c>
      <c r="C957" s="10">
        <f>67.7928 * CHOOSE(CONTROL!$C$15, $E$9, 100%, $G$9) + CHOOSE(CONTROL!$C$38, 0.0347, 0)</f>
        <v>67.827500000000001</v>
      </c>
      <c r="D957" s="10">
        <f>67.785 * CHOOSE(CONTROL!$C$15, $E$9, 100%, $G$9) + CHOOSE(CONTROL!$C$38, 0.0347, 0)</f>
        <v>67.819699999999997</v>
      </c>
      <c r="E957" s="28">
        <f>73.2782 * CHOOSE(CONTROL!$C$15, $E$9, 100%, $G$9) + CHOOSE(CONTROL!$C$38, 0.0347, 0)</f>
        <v>73.312899999999999</v>
      </c>
      <c r="F957" s="27">
        <f>73.2782 * CHOOSE(CONTROL!$C$15, $E$9, 100%, $G$9) + CHOOSE(CONTROL!$C$38, 0.0256, 0)</f>
        <v>73.303799999999995</v>
      </c>
      <c r="G957" s="10">
        <f>67.7912 * CHOOSE(CONTROL!$C$15, $E$9, 100%, $G$9) + CHOOSE(CONTROL!$C$38, 0.0347, 0)</f>
        <v>67.825900000000004</v>
      </c>
      <c r="H957" s="10">
        <f>67.7912 * CHOOSE(CONTROL!$C$15, $E$9, 100%, $G$9) + CHOOSE(CONTROL!$C$38, 0.0347, 0)</f>
        <v>67.825900000000004</v>
      </c>
      <c r="I957" s="10">
        <f>67.7928 * CHOOSE(CONTROL!$C$15, $E$9, 100%, $G$9) + CHOOSE(CONTROL!$C$38, 0.0347, 0)</f>
        <v>67.827500000000001</v>
      </c>
      <c r="J957" s="26">
        <f>459.0607</f>
        <v>459.0607</v>
      </c>
    </row>
    <row r="958" spans="1:10" ht="15.75" x14ac:dyDescent="0.25">
      <c r="A958" s="13">
        <v>70463</v>
      </c>
      <c r="B958" s="10">
        <f>73.6279 * CHOOSE(CONTROL!$C$15, $E$9, 100%, $G$9) + CHOOSE(CONTROL!$C$38, 0.0256, 0)</f>
        <v>73.653499999999994</v>
      </c>
      <c r="C958" s="10">
        <f>67.9862 * CHOOSE(CONTROL!$C$15, $E$9, 100%, $G$9) + CHOOSE(CONTROL!$C$38, 0.0347, 0)</f>
        <v>68.020899999999997</v>
      </c>
      <c r="D958" s="10">
        <f>67.9784 * CHOOSE(CONTROL!$C$15, $E$9, 100%, $G$9) + CHOOSE(CONTROL!$C$38, 0.0347, 0)</f>
        <v>68.013099999999994</v>
      </c>
      <c r="E958" s="28">
        <f>73.4716 * CHOOSE(CONTROL!$C$15, $E$9, 100%, $G$9) + CHOOSE(CONTROL!$C$38, 0.0347, 0)</f>
        <v>73.506299999999996</v>
      </c>
      <c r="F958" s="27">
        <f>73.4716 * CHOOSE(CONTROL!$C$15, $E$9, 100%, $G$9) + CHOOSE(CONTROL!$C$38, 0.0256, 0)</f>
        <v>73.497199999999992</v>
      </c>
      <c r="G958" s="10">
        <f>67.9847 * CHOOSE(CONTROL!$C$15, $E$9, 100%, $G$9) + CHOOSE(CONTROL!$C$38, 0.0347, 0)</f>
        <v>68.019400000000005</v>
      </c>
      <c r="H958" s="10">
        <f>67.9847 * CHOOSE(CONTROL!$C$15, $E$9, 100%, $G$9) + CHOOSE(CONTROL!$C$38, 0.0347, 0)</f>
        <v>68.019400000000005</v>
      </c>
      <c r="I958" s="10">
        <f>67.9862 * CHOOSE(CONTROL!$C$15, $E$9, 100%, $G$9) + CHOOSE(CONTROL!$C$38, 0.0347, 0)</f>
        <v>68.020899999999997</v>
      </c>
      <c r="J958" s="26">
        <f>455.7898</f>
        <v>455.78980000000001</v>
      </c>
    </row>
    <row r="959" spans="1:10" ht="15.75" x14ac:dyDescent="0.25">
      <c r="A959" s="13">
        <v>70494</v>
      </c>
      <c r="B959" s="10">
        <f>74.224 * CHOOSE(CONTROL!$C$15, $E$9, 100%, $G$9) + CHOOSE(CONTROL!$C$38, 0.0256, 0)</f>
        <v>74.249600000000001</v>
      </c>
      <c r="C959" s="10">
        <f>68.5823 * CHOOSE(CONTROL!$C$15, $E$9, 100%, $G$9) + CHOOSE(CONTROL!$C$38, 0.0347, 0)</f>
        <v>68.617000000000004</v>
      </c>
      <c r="D959" s="10">
        <f>68.5745 * CHOOSE(CONTROL!$C$15, $E$9, 100%, $G$9) + CHOOSE(CONTROL!$C$38, 0.0347, 0)</f>
        <v>68.609200000000001</v>
      </c>
      <c r="E959" s="28">
        <f>74.0677 * CHOOSE(CONTROL!$C$15, $E$9, 100%, $G$9) + CHOOSE(CONTROL!$C$38, 0.0347, 0)</f>
        <v>74.102400000000003</v>
      </c>
      <c r="F959" s="27">
        <f>74.0677 * CHOOSE(CONTROL!$C$15, $E$9, 100%, $G$9) + CHOOSE(CONTROL!$C$38, 0.0256, 0)</f>
        <v>74.093299999999999</v>
      </c>
      <c r="G959" s="10">
        <f>68.5807 * CHOOSE(CONTROL!$C$15, $E$9, 100%, $G$9) + CHOOSE(CONTROL!$C$38, 0.0347, 0)</f>
        <v>68.615399999999994</v>
      </c>
      <c r="H959" s="10">
        <f>68.5807 * CHOOSE(CONTROL!$C$15, $E$9, 100%, $G$9) + CHOOSE(CONTROL!$C$38, 0.0347, 0)</f>
        <v>68.615399999999994</v>
      </c>
      <c r="I959" s="10">
        <f>68.5823 * CHOOSE(CONTROL!$C$15, $E$9, 100%, $G$9) + CHOOSE(CONTROL!$C$38, 0.0347, 0)</f>
        <v>68.617000000000004</v>
      </c>
      <c r="J959" s="26">
        <f>442.2642</f>
        <v>442.26420000000002</v>
      </c>
    </row>
    <row r="960" spans="1:10" ht="15.75" x14ac:dyDescent="0.25">
      <c r="A960" s="13">
        <v>70525</v>
      </c>
      <c r="B960" s="10">
        <f>75.9853 * CHOOSE(CONTROL!$C$15, $E$9, 100%, $G$9) + CHOOSE(CONTROL!$C$38, 0.0256, 0)</f>
        <v>76.010899999999992</v>
      </c>
      <c r="C960" s="10">
        <f>70.2468 * CHOOSE(CONTROL!$C$15, $E$9, 100%, $G$9) + CHOOSE(CONTROL!$C$38, 0.0347, 0)</f>
        <v>70.281499999999994</v>
      </c>
      <c r="D960" s="10">
        <f>70.2389 * CHOOSE(CONTROL!$C$15, $E$9, 100%, $G$9) + CHOOSE(CONTROL!$C$38, 0.0347, 0)</f>
        <v>70.273600000000002</v>
      </c>
      <c r="E960" s="28">
        <f>75.8291 * CHOOSE(CONTROL!$C$15, $E$9, 100%, $G$9) + CHOOSE(CONTROL!$C$38, 0.0347, 0)</f>
        <v>75.863799999999998</v>
      </c>
      <c r="F960" s="27">
        <f>75.8291 * CHOOSE(CONTROL!$C$15, $E$9, 100%, $G$9) + CHOOSE(CONTROL!$C$38, 0.0256, 0)</f>
        <v>75.854699999999994</v>
      </c>
      <c r="G960" s="10">
        <f>70.2452 * CHOOSE(CONTROL!$C$15, $E$9, 100%, $G$9) + CHOOSE(CONTROL!$C$38, 0.0347, 0)</f>
        <v>70.279899999999998</v>
      </c>
      <c r="H960" s="10">
        <f>70.2452 * CHOOSE(CONTROL!$C$15, $E$9, 100%, $G$9) + CHOOSE(CONTROL!$C$38, 0.0347, 0)</f>
        <v>70.279899999999998</v>
      </c>
      <c r="I960" s="10">
        <f>70.2468 * CHOOSE(CONTROL!$C$15, $E$9, 100%, $G$9) + CHOOSE(CONTROL!$C$38, 0.0347, 0)</f>
        <v>70.281499999999994</v>
      </c>
      <c r="J960" s="26">
        <f>439.3017</f>
        <v>439.30169999999998</v>
      </c>
    </row>
    <row r="961" spans="1:10" ht="15.75" x14ac:dyDescent="0.25">
      <c r="A961" s="13">
        <v>70553</v>
      </c>
      <c r="B961" s="10">
        <f>76.2061 * CHOOSE(CONTROL!$C$15, $E$9, 100%, $G$9) + CHOOSE(CONTROL!$C$38, 0.0256, 0)</f>
        <v>76.231700000000004</v>
      </c>
      <c r="C961" s="10">
        <f>70.4675 * CHOOSE(CONTROL!$C$15, $E$9, 100%, $G$9) + CHOOSE(CONTROL!$C$38, 0.0347, 0)</f>
        <v>70.502200000000002</v>
      </c>
      <c r="D961" s="10">
        <f>70.4597 * CHOOSE(CONTROL!$C$15, $E$9, 100%, $G$9) + CHOOSE(CONTROL!$C$38, 0.0347, 0)</f>
        <v>70.494399999999999</v>
      </c>
      <c r="E961" s="28">
        <f>76.0498 * CHOOSE(CONTROL!$C$15, $E$9, 100%, $G$9) + CHOOSE(CONTROL!$C$38, 0.0347, 0)</f>
        <v>76.084500000000006</v>
      </c>
      <c r="F961" s="27">
        <f>76.0498 * CHOOSE(CONTROL!$C$15, $E$9, 100%, $G$9) + CHOOSE(CONTROL!$C$38, 0.0256, 0)</f>
        <v>76.075400000000002</v>
      </c>
      <c r="G961" s="10">
        <f>70.466 * CHOOSE(CONTROL!$C$15, $E$9, 100%, $G$9) + CHOOSE(CONTROL!$C$38, 0.0347, 0)</f>
        <v>70.500699999999995</v>
      </c>
      <c r="H961" s="10">
        <f>70.466 * CHOOSE(CONTROL!$C$15, $E$9, 100%, $G$9) + CHOOSE(CONTROL!$C$38, 0.0347, 0)</f>
        <v>70.500699999999995</v>
      </c>
      <c r="I961" s="10">
        <f>70.4675 * CHOOSE(CONTROL!$C$15, $E$9, 100%, $G$9) + CHOOSE(CONTROL!$C$38, 0.0347, 0)</f>
        <v>70.502200000000002</v>
      </c>
      <c r="J961" s="26">
        <f>438.0806</f>
        <v>438.0806</v>
      </c>
    </row>
    <row r="962" spans="1:10" ht="15.75" x14ac:dyDescent="0.25">
      <c r="A962" s="13">
        <v>70584</v>
      </c>
      <c r="B962" s="10">
        <f>75.695 * CHOOSE(CONTROL!$C$15, $E$9, 100%, $G$9) + CHOOSE(CONTROL!$C$38, 0.0256, 0)</f>
        <v>75.72059999999999</v>
      </c>
      <c r="C962" s="10">
        <f>69.9565 * CHOOSE(CONTROL!$C$15, $E$9, 100%, $G$9) + CHOOSE(CONTROL!$C$38, 0.0347, 0)</f>
        <v>69.991200000000006</v>
      </c>
      <c r="D962" s="10">
        <f>69.9487 * CHOOSE(CONTROL!$C$15, $E$9, 100%, $G$9) + CHOOSE(CONTROL!$C$38, 0.0347, 0)</f>
        <v>69.983400000000003</v>
      </c>
      <c r="E962" s="28">
        <f>75.5388 * CHOOSE(CONTROL!$C$15, $E$9, 100%, $G$9) + CHOOSE(CONTROL!$C$38, 0.0347, 0)</f>
        <v>75.573499999999996</v>
      </c>
      <c r="F962" s="27">
        <f>75.5388 * CHOOSE(CONTROL!$C$15, $E$9, 100%, $G$9) + CHOOSE(CONTROL!$C$38, 0.0256, 0)</f>
        <v>75.564399999999992</v>
      </c>
      <c r="G962" s="10">
        <f>69.9549 * CHOOSE(CONTROL!$C$15, $E$9, 100%, $G$9) + CHOOSE(CONTROL!$C$38, 0.0347, 0)</f>
        <v>69.989599999999996</v>
      </c>
      <c r="H962" s="10">
        <f>69.9549 * CHOOSE(CONTROL!$C$15, $E$9, 100%, $G$9) + CHOOSE(CONTROL!$C$38, 0.0347, 0)</f>
        <v>69.989599999999996</v>
      </c>
      <c r="I962" s="10">
        <f>69.9565 * CHOOSE(CONTROL!$C$15, $E$9, 100%, $G$9) + CHOOSE(CONTROL!$C$38, 0.0347, 0)</f>
        <v>69.991200000000006</v>
      </c>
      <c r="J962" s="26">
        <f>461.1699</f>
        <v>461.16989999999998</v>
      </c>
    </row>
    <row r="963" spans="1:10" ht="15.75" x14ac:dyDescent="0.25">
      <c r="A963" s="13">
        <v>70614</v>
      </c>
      <c r="B963" s="10">
        <f>75.1999 * CHOOSE(CONTROL!$C$15, $E$9, 100%, $G$9) + CHOOSE(CONTROL!$C$38, 0.0256, 0)</f>
        <v>75.225499999999997</v>
      </c>
      <c r="C963" s="10">
        <f>69.4613 * CHOOSE(CONTROL!$C$15, $E$9, 100%, $G$9) + CHOOSE(CONTROL!$C$38, 0.0347, 0)</f>
        <v>69.495999999999995</v>
      </c>
      <c r="D963" s="10">
        <f>69.4535 * CHOOSE(CONTROL!$C$15, $E$9, 100%, $G$9) + CHOOSE(CONTROL!$C$38, 0.0347, 0)</f>
        <v>69.488200000000006</v>
      </c>
      <c r="E963" s="28">
        <f>75.0436 * CHOOSE(CONTROL!$C$15, $E$9, 100%, $G$9) + CHOOSE(CONTROL!$C$38, 0.0347, 0)</f>
        <v>75.078299999999999</v>
      </c>
      <c r="F963" s="27">
        <f>75.0436 * CHOOSE(CONTROL!$C$15, $E$9, 100%, $G$9) + CHOOSE(CONTROL!$C$38, 0.0256, 0)</f>
        <v>75.069199999999995</v>
      </c>
      <c r="G963" s="10">
        <f>69.4597 * CHOOSE(CONTROL!$C$15, $E$9, 100%, $G$9) + CHOOSE(CONTROL!$C$38, 0.0347, 0)</f>
        <v>69.494399999999999</v>
      </c>
      <c r="H963" s="10">
        <f>69.4597 * CHOOSE(CONTROL!$C$15, $E$9, 100%, $G$9) + CHOOSE(CONTROL!$C$38, 0.0347, 0)</f>
        <v>69.494399999999999</v>
      </c>
      <c r="I963" s="10">
        <f>69.4613 * CHOOSE(CONTROL!$C$15, $E$9, 100%, $G$9) + CHOOSE(CONTROL!$C$38, 0.0347, 0)</f>
        <v>69.495999999999995</v>
      </c>
      <c r="J963" s="26">
        <f>491.1113</f>
        <v>491.11130000000003</v>
      </c>
    </row>
    <row r="964" spans="1:10" ht="15.75" x14ac:dyDescent="0.25">
      <c r="A964" s="13">
        <v>70645</v>
      </c>
      <c r="B964" s="10">
        <f>74.6838 * CHOOSE(CONTROL!$C$15, $E$9, 100%, $G$9) + CHOOSE(CONTROL!$C$38, 0.0278, 0)</f>
        <v>74.711600000000004</v>
      </c>
      <c r="C964" s="10">
        <f>68.9452 * CHOOSE(CONTROL!$C$15, $E$9, 100%, $G$9) + CHOOSE(CONTROL!$C$38, 0.0369, 0)</f>
        <v>68.982100000000003</v>
      </c>
      <c r="D964" s="10">
        <f>68.9374 * CHOOSE(CONTROL!$C$15, $E$9, 100%, $G$9) + CHOOSE(CONTROL!$C$38, 0.0369, 0)</f>
        <v>68.974299999999999</v>
      </c>
      <c r="E964" s="28">
        <f>74.5275 * CHOOSE(CONTROL!$C$15, $E$9, 100%, $G$9) + CHOOSE(CONTROL!$C$38, 0.0369, 0)</f>
        <v>74.564400000000006</v>
      </c>
      <c r="F964" s="27">
        <f>74.5275 * CHOOSE(CONTROL!$C$15, $E$9, 100%, $G$9) + CHOOSE(CONTROL!$C$38, 0.0278, 0)</f>
        <v>74.555300000000003</v>
      </c>
      <c r="G964" s="10">
        <f>68.9436 * CHOOSE(CONTROL!$C$15, $E$9, 100%, $G$9) + CHOOSE(CONTROL!$C$38, 0.0369, 0)</f>
        <v>68.980500000000006</v>
      </c>
      <c r="H964" s="10">
        <f>68.9436 * CHOOSE(CONTROL!$C$15, $E$9, 100%, $G$9) + CHOOSE(CONTROL!$C$38, 0.0369, 0)</f>
        <v>68.980500000000006</v>
      </c>
      <c r="I964" s="10">
        <f>68.9452 * CHOOSE(CONTROL!$C$15, $E$9, 100%, $G$9) + CHOOSE(CONTROL!$C$38, 0.0369, 0)</f>
        <v>68.982100000000003</v>
      </c>
      <c r="J964" s="26">
        <f>507.5921</f>
        <v>507.59210000000002</v>
      </c>
    </row>
    <row r="965" spans="1:10" ht="15.75" x14ac:dyDescent="0.25">
      <c r="A965" s="13">
        <v>70675</v>
      </c>
      <c r="B965" s="10">
        <f>74.3219 * CHOOSE(CONTROL!$C$15, $E$9, 100%, $G$9) + CHOOSE(CONTROL!$C$38, 0.0278, 0)</f>
        <v>74.349699999999999</v>
      </c>
      <c r="C965" s="10">
        <f>68.5834 * CHOOSE(CONTROL!$C$15, $E$9, 100%, $G$9) + CHOOSE(CONTROL!$C$38, 0.0369, 0)</f>
        <v>68.6203</v>
      </c>
      <c r="D965" s="10">
        <f>68.5755 * CHOOSE(CONTROL!$C$15, $E$9, 100%, $G$9) + CHOOSE(CONTROL!$C$38, 0.0369, 0)</f>
        <v>68.612400000000008</v>
      </c>
      <c r="E965" s="28">
        <f>74.1657 * CHOOSE(CONTROL!$C$15, $E$9, 100%, $G$9) + CHOOSE(CONTROL!$C$38, 0.0369, 0)</f>
        <v>74.202600000000004</v>
      </c>
      <c r="F965" s="27">
        <f>74.1657 * CHOOSE(CONTROL!$C$15, $E$9, 100%, $G$9) + CHOOSE(CONTROL!$C$38, 0.0278, 0)</f>
        <v>74.1935</v>
      </c>
      <c r="G965" s="10">
        <f>68.5818 * CHOOSE(CONTROL!$C$15, $E$9, 100%, $G$9) + CHOOSE(CONTROL!$C$38, 0.0369, 0)</f>
        <v>68.618700000000004</v>
      </c>
      <c r="H965" s="10">
        <f>68.5818 * CHOOSE(CONTROL!$C$15, $E$9, 100%, $G$9) + CHOOSE(CONTROL!$C$38, 0.0369, 0)</f>
        <v>68.618700000000004</v>
      </c>
      <c r="I965" s="10">
        <f>68.5834 * CHOOSE(CONTROL!$C$15, $E$9, 100%, $G$9) + CHOOSE(CONTROL!$C$38, 0.0369, 0)</f>
        <v>68.6203</v>
      </c>
      <c r="J965" s="26">
        <f>514.9059</f>
        <v>514.90589999999997</v>
      </c>
    </row>
    <row r="966" spans="1:10" ht="15.75" x14ac:dyDescent="0.25">
      <c r="A966" s="13">
        <v>70706</v>
      </c>
      <c r="B966" s="10">
        <f>74.1154 * CHOOSE(CONTROL!$C$15, $E$9, 100%, $G$9) + CHOOSE(CONTROL!$C$38, 0.0278, 0)</f>
        <v>74.143199999999993</v>
      </c>
      <c r="C966" s="10">
        <f>68.3769 * CHOOSE(CONTROL!$C$15, $E$9, 100%, $G$9) + CHOOSE(CONTROL!$C$38, 0.0369, 0)</f>
        <v>68.413800000000009</v>
      </c>
      <c r="D966" s="10">
        <f>68.3691 * CHOOSE(CONTROL!$C$15, $E$9, 100%, $G$9) + CHOOSE(CONTROL!$C$38, 0.0369, 0)</f>
        <v>68.406000000000006</v>
      </c>
      <c r="E966" s="28">
        <f>73.9592 * CHOOSE(CONTROL!$C$15, $E$9, 100%, $G$9) + CHOOSE(CONTROL!$C$38, 0.0369, 0)</f>
        <v>73.996099999999998</v>
      </c>
      <c r="F966" s="27">
        <f>73.9592 * CHOOSE(CONTROL!$C$15, $E$9, 100%, $G$9) + CHOOSE(CONTROL!$C$38, 0.0278, 0)</f>
        <v>73.986999999999995</v>
      </c>
      <c r="G966" s="10">
        <f>68.3753 * CHOOSE(CONTROL!$C$15, $E$9, 100%, $G$9) + CHOOSE(CONTROL!$C$38, 0.0369, 0)</f>
        <v>68.412199999999999</v>
      </c>
      <c r="H966" s="10">
        <f>68.3753 * CHOOSE(CONTROL!$C$15, $E$9, 100%, $G$9) + CHOOSE(CONTROL!$C$38, 0.0369, 0)</f>
        <v>68.412199999999999</v>
      </c>
      <c r="I966" s="10">
        <f>68.3769 * CHOOSE(CONTROL!$C$15, $E$9, 100%, $G$9) + CHOOSE(CONTROL!$C$38, 0.0369, 0)</f>
        <v>68.413800000000009</v>
      </c>
      <c r="J966" s="26">
        <f>512.4979</f>
        <v>512.49789999999996</v>
      </c>
    </row>
    <row r="967" spans="1:10" ht="15.75" x14ac:dyDescent="0.25">
      <c r="A967" s="13">
        <v>70737</v>
      </c>
      <c r="B967" s="10">
        <f>74.2173 * CHOOSE(CONTROL!$C$15, $E$9, 100%, $G$9) + CHOOSE(CONTROL!$C$38, 0.0278, 0)</f>
        <v>74.245099999999994</v>
      </c>
      <c r="C967" s="10">
        <f>68.4788 * CHOOSE(CONTROL!$C$15, $E$9, 100%, $G$9) + CHOOSE(CONTROL!$C$38, 0.0369, 0)</f>
        <v>68.51570000000001</v>
      </c>
      <c r="D967" s="10">
        <f>68.471 * CHOOSE(CONTROL!$C$15, $E$9, 100%, $G$9) + CHOOSE(CONTROL!$C$38, 0.0369, 0)</f>
        <v>68.507900000000006</v>
      </c>
      <c r="E967" s="28">
        <f>74.0611 * CHOOSE(CONTROL!$C$15, $E$9, 100%, $G$9) + CHOOSE(CONTROL!$C$38, 0.0369, 0)</f>
        <v>74.097999999999999</v>
      </c>
      <c r="F967" s="27">
        <f>74.0611 * CHOOSE(CONTROL!$C$15, $E$9, 100%, $G$9) + CHOOSE(CONTROL!$C$38, 0.0278, 0)</f>
        <v>74.088899999999995</v>
      </c>
      <c r="G967" s="10">
        <f>68.4772 * CHOOSE(CONTROL!$C$15, $E$9, 100%, $G$9) + CHOOSE(CONTROL!$C$38, 0.0369, 0)</f>
        <v>68.514099999999999</v>
      </c>
      <c r="H967" s="10">
        <f>68.4772 * CHOOSE(CONTROL!$C$15, $E$9, 100%, $G$9) + CHOOSE(CONTROL!$C$38, 0.0369, 0)</f>
        <v>68.514099999999999</v>
      </c>
      <c r="I967" s="10">
        <f>68.4788 * CHOOSE(CONTROL!$C$15, $E$9, 100%, $G$9) + CHOOSE(CONTROL!$C$38, 0.0369, 0)</f>
        <v>68.51570000000001</v>
      </c>
      <c r="J967" s="26">
        <f>500.5671</f>
        <v>500.56709999999998</v>
      </c>
    </row>
    <row r="968" spans="1:10" ht="15.75" x14ac:dyDescent="0.25">
      <c r="A968" s="13">
        <v>70767</v>
      </c>
      <c r="B968" s="10">
        <f>74.4941 * CHOOSE(CONTROL!$C$15, $E$9, 100%, $G$9) + CHOOSE(CONTROL!$C$38, 0.0278, 0)</f>
        <v>74.521900000000002</v>
      </c>
      <c r="C968" s="10">
        <f>68.7556 * CHOOSE(CONTROL!$C$15, $E$9, 100%, $G$9) + CHOOSE(CONTROL!$C$38, 0.0369, 0)</f>
        <v>68.792500000000004</v>
      </c>
      <c r="D968" s="10">
        <f>68.7478 * CHOOSE(CONTROL!$C$15, $E$9, 100%, $G$9) + CHOOSE(CONTROL!$C$38, 0.0369, 0)</f>
        <v>68.784700000000001</v>
      </c>
      <c r="E968" s="28">
        <f>74.3379 * CHOOSE(CONTROL!$C$15, $E$9, 100%, $G$9) + CHOOSE(CONTROL!$C$38, 0.0369, 0)</f>
        <v>74.374800000000008</v>
      </c>
      <c r="F968" s="27">
        <f>74.3379 * CHOOSE(CONTROL!$C$15, $E$9, 100%, $G$9) + CHOOSE(CONTROL!$C$38, 0.0278, 0)</f>
        <v>74.365700000000004</v>
      </c>
      <c r="G968" s="10">
        <f>68.754 * CHOOSE(CONTROL!$C$15, $E$9, 100%, $G$9) + CHOOSE(CONTROL!$C$38, 0.0369, 0)</f>
        <v>68.790900000000008</v>
      </c>
      <c r="H968" s="10">
        <f>68.754 * CHOOSE(CONTROL!$C$15, $E$9, 100%, $G$9) + CHOOSE(CONTROL!$C$38, 0.0369, 0)</f>
        <v>68.790900000000008</v>
      </c>
      <c r="I968" s="10">
        <f>68.7556 * CHOOSE(CONTROL!$C$15, $E$9, 100%, $G$9) + CHOOSE(CONTROL!$C$38, 0.0369, 0)</f>
        <v>68.792500000000004</v>
      </c>
      <c r="J968" s="26">
        <f>483.9291</f>
        <v>483.92910000000001</v>
      </c>
    </row>
    <row r="969" spans="1:10" ht="15.75" x14ac:dyDescent="0.25">
      <c r="A969" s="13">
        <v>70798</v>
      </c>
      <c r="B969" s="10">
        <f>74.726 * CHOOSE(CONTROL!$C$15, $E$9, 100%, $G$9) + CHOOSE(CONTROL!$C$38, 0.0256, 0)</f>
        <v>74.751599999999996</v>
      </c>
      <c r="C969" s="10">
        <f>68.9874 * CHOOSE(CONTROL!$C$15, $E$9, 100%, $G$9) + CHOOSE(CONTROL!$C$38, 0.0347, 0)</f>
        <v>69.022099999999995</v>
      </c>
      <c r="D969" s="10">
        <f>68.9796 * CHOOSE(CONTROL!$C$15, $E$9, 100%, $G$9) + CHOOSE(CONTROL!$C$38, 0.0347, 0)</f>
        <v>69.014300000000006</v>
      </c>
      <c r="E969" s="28">
        <f>74.5697 * CHOOSE(CONTROL!$C$15, $E$9, 100%, $G$9) + CHOOSE(CONTROL!$C$38, 0.0347, 0)</f>
        <v>74.604399999999998</v>
      </c>
      <c r="F969" s="27">
        <f>74.5697 * CHOOSE(CONTROL!$C$15, $E$9, 100%, $G$9) + CHOOSE(CONTROL!$C$38, 0.0256, 0)</f>
        <v>74.595299999999995</v>
      </c>
      <c r="G969" s="10">
        <f>68.9858 * CHOOSE(CONTROL!$C$15, $E$9, 100%, $G$9) + CHOOSE(CONTROL!$C$38, 0.0347, 0)</f>
        <v>69.020499999999998</v>
      </c>
      <c r="H969" s="10">
        <f>68.9858 * CHOOSE(CONTROL!$C$15, $E$9, 100%, $G$9) + CHOOSE(CONTROL!$C$38, 0.0347, 0)</f>
        <v>69.020499999999998</v>
      </c>
      <c r="I969" s="10">
        <f>68.9874 * CHOOSE(CONTROL!$C$15, $E$9, 100%, $G$9) + CHOOSE(CONTROL!$C$38, 0.0347, 0)</f>
        <v>69.022099999999995</v>
      </c>
      <c r="J969" s="26">
        <f>467.1944</f>
        <v>467.19439999999997</v>
      </c>
    </row>
    <row r="970" spans="1:10" ht="15.75" x14ac:dyDescent="0.25">
      <c r="A970" s="13">
        <v>70828</v>
      </c>
      <c r="B970" s="10">
        <f>74.9194 * CHOOSE(CONTROL!$C$15, $E$9, 100%, $G$9) + CHOOSE(CONTROL!$C$38, 0.0256, 0)</f>
        <v>74.944999999999993</v>
      </c>
      <c r="C970" s="10">
        <f>69.1808 * CHOOSE(CONTROL!$C$15, $E$9, 100%, $G$9) + CHOOSE(CONTROL!$C$38, 0.0347, 0)</f>
        <v>69.215500000000006</v>
      </c>
      <c r="D970" s="10">
        <f>69.173 * CHOOSE(CONTROL!$C$15, $E$9, 100%, $G$9) + CHOOSE(CONTROL!$C$38, 0.0347, 0)</f>
        <v>69.207700000000003</v>
      </c>
      <c r="E970" s="28">
        <f>74.7631 * CHOOSE(CONTROL!$C$15, $E$9, 100%, $G$9) + CHOOSE(CONTROL!$C$38, 0.0347, 0)</f>
        <v>74.797799999999995</v>
      </c>
      <c r="F970" s="27">
        <f>74.7631 * CHOOSE(CONTROL!$C$15, $E$9, 100%, $G$9) + CHOOSE(CONTROL!$C$38, 0.0256, 0)</f>
        <v>74.788699999999992</v>
      </c>
      <c r="G970" s="10">
        <f>69.1793 * CHOOSE(CONTROL!$C$15, $E$9, 100%, $G$9) + CHOOSE(CONTROL!$C$38, 0.0347, 0)</f>
        <v>69.213999999999999</v>
      </c>
      <c r="H970" s="10">
        <f>69.1793 * CHOOSE(CONTROL!$C$15, $E$9, 100%, $G$9) + CHOOSE(CONTROL!$C$38, 0.0347, 0)</f>
        <v>69.213999999999999</v>
      </c>
      <c r="I970" s="10">
        <f>69.1808 * CHOOSE(CONTROL!$C$15, $E$9, 100%, $G$9) + CHOOSE(CONTROL!$C$38, 0.0347, 0)</f>
        <v>69.215500000000006</v>
      </c>
      <c r="J970" s="26">
        <f>463.8655</f>
        <v>463.8655</v>
      </c>
    </row>
    <row r="971" spans="1:10" ht="15.75" x14ac:dyDescent="0.25">
      <c r="A971" s="13">
        <v>70859</v>
      </c>
      <c r="B971" s="10">
        <f>75.5155 * CHOOSE(CONTROL!$C$15, $E$9, 100%, $G$9) + CHOOSE(CONTROL!$C$38, 0.0256, 0)</f>
        <v>75.5411</v>
      </c>
      <c r="C971" s="10">
        <f>69.7769 * CHOOSE(CONTROL!$C$15, $E$9, 100%, $G$9) + CHOOSE(CONTROL!$C$38, 0.0347, 0)</f>
        <v>69.811599999999999</v>
      </c>
      <c r="D971" s="10">
        <f>69.7691 * CHOOSE(CONTROL!$C$15, $E$9, 100%, $G$9) + CHOOSE(CONTROL!$C$38, 0.0347, 0)</f>
        <v>69.803799999999995</v>
      </c>
      <c r="E971" s="28">
        <f>75.3592 * CHOOSE(CONTROL!$C$15, $E$9, 100%, $G$9) + CHOOSE(CONTROL!$C$38, 0.0347, 0)</f>
        <v>75.393900000000002</v>
      </c>
      <c r="F971" s="27">
        <f>75.3592 * CHOOSE(CONTROL!$C$15, $E$9, 100%, $G$9) + CHOOSE(CONTROL!$C$38, 0.0256, 0)</f>
        <v>75.384799999999998</v>
      </c>
      <c r="G971" s="10">
        <f>69.7753 * CHOOSE(CONTROL!$C$15, $E$9, 100%, $G$9) + CHOOSE(CONTROL!$C$38, 0.0347, 0)</f>
        <v>69.81</v>
      </c>
      <c r="H971" s="10">
        <f>69.7753 * CHOOSE(CONTROL!$C$15, $E$9, 100%, $G$9) + CHOOSE(CONTROL!$C$38, 0.0347, 0)</f>
        <v>69.81</v>
      </c>
      <c r="I971" s="10">
        <f>69.7769 * CHOOSE(CONTROL!$C$15, $E$9, 100%, $G$9) + CHOOSE(CONTROL!$C$38, 0.0347, 0)</f>
        <v>69.811599999999999</v>
      </c>
      <c r="J971" s="26">
        <f>450.1002</f>
        <v>450.10019999999997</v>
      </c>
    </row>
    <row r="972" spans="1:10" ht="15.75" x14ac:dyDescent="0.25">
      <c r="A972" s="13">
        <v>70890</v>
      </c>
      <c r="B972" s="10">
        <f>77.2996 * CHOOSE(CONTROL!$C$15, $E$9, 100%, $G$9) + CHOOSE(CONTROL!$C$38, 0.0256, 0)</f>
        <v>77.325199999999995</v>
      </c>
      <c r="C972" s="10">
        <f>71.4625 * CHOOSE(CONTROL!$C$15, $E$9, 100%, $G$9) + CHOOSE(CONTROL!$C$38, 0.0347, 0)</f>
        <v>71.497200000000007</v>
      </c>
      <c r="D972" s="10">
        <f>71.4546 * CHOOSE(CONTROL!$C$15, $E$9, 100%, $G$9) + CHOOSE(CONTROL!$C$38, 0.0347, 0)</f>
        <v>71.4893</v>
      </c>
      <c r="E972" s="28">
        <f>77.1434 * CHOOSE(CONTROL!$C$15, $E$9, 100%, $G$9) + CHOOSE(CONTROL!$C$38, 0.0347, 0)</f>
        <v>77.178100000000001</v>
      </c>
      <c r="F972" s="27">
        <f>77.1434 * CHOOSE(CONTROL!$C$15, $E$9, 100%, $G$9) + CHOOSE(CONTROL!$C$38, 0.0256, 0)</f>
        <v>77.168999999999997</v>
      </c>
      <c r="G972" s="10">
        <f>71.4609 * CHOOSE(CONTROL!$C$15, $E$9, 100%, $G$9) + CHOOSE(CONTROL!$C$38, 0.0347, 0)</f>
        <v>71.495599999999996</v>
      </c>
      <c r="H972" s="10">
        <f>71.4609 * CHOOSE(CONTROL!$C$15, $E$9, 100%, $G$9) + CHOOSE(CONTROL!$C$38, 0.0347, 0)</f>
        <v>71.495599999999996</v>
      </c>
      <c r="I972" s="10">
        <f>71.4625 * CHOOSE(CONTROL!$C$15, $E$9, 100%, $G$9) + CHOOSE(CONTROL!$C$38, 0.0347, 0)</f>
        <v>71.497200000000007</v>
      </c>
      <c r="J972" s="26">
        <f>447.0853</f>
        <v>447.08530000000002</v>
      </c>
    </row>
    <row r="973" spans="1:10" ht="15.75" x14ac:dyDescent="0.25">
      <c r="A973" s="13">
        <v>70918</v>
      </c>
      <c r="B973" s="10">
        <f>77.5204 * CHOOSE(CONTROL!$C$15, $E$9, 100%, $G$9) + CHOOSE(CONTROL!$C$38, 0.0256, 0)</f>
        <v>77.545999999999992</v>
      </c>
      <c r="C973" s="10">
        <f>71.6832 * CHOOSE(CONTROL!$C$15, $E$9, 100%, $G$9) + CHOOSE(CONTROL!$C$38, 0.0347, 0)</f>
        <v>71.7179</v>
      </c>
      <c r="D973" s="10">
        <f>71.6754 * CHOOSE(CONTROL!$C$15, $E$9, 100%, $G$9) + CHOOSE(CONTROL!$C$38, 0.0347, 0)</f>
        <v>71.710099999999997</v>
      </c>
      <c r="E973" s="28">
        <f>77.3642 * CHOOSE(CONTROL!$C$15, $E$9, 100%, $G$9) + CHOOSE(CONTROL!$C$38, 0.0347, 0)</f>
        <v>77.398899999999998</v>
      </c>
      <c r="F973" s="27">
        <f>77.3642 * CHOOSE(CONTROL!$C$15, $E$9, 100%, $G$9) + CHOOSE(CONTROL!$C$38, 0.0256, 0)</f>
        <v>77.389799999999994</v>
      </c>
      <c r="G973" s="10">
        <f>71.6817 * CHOOSE(CONTROL!$C$15, $E$9, 100%, $G$9) + CHOOSE(CONTROL!$C$38, 0.0347, 0)</f>
        <v>71.716400000000007</v>
      </c>
      <c r="H973" s="10">
        <f>71.6817 * CHOOSE(CONTROL!$C$15, $E$9, 100%, $G$9) + CHOOSE(CONTROL!$C$38, 0.0347, 0)</f>
        <v>71.716400000000007</v>
      </c>
      <c r="I973" s="10">
        <f>71.6832 * CHOOSE(CONTROL!$C$15, $E$9, 100%, $G$9) + CHOOSE(CONTROL!$C$38, 0.0347, 0)</f>
        <v>71.7179</v>
      </c>
      <c r="J973" s="26">
        <f>445.8425</f>
        <v>445.84249999999997</v>
      </c>
    </row>
    <row r="974" spans="1:10" ht="15.75" x14ac:dyDescent="0.25">
      <c r="A974" s="13">
        <v>70949</v>
      </c>
      <c r="B974" s="10">
        <f>77.0094 * CHOOSE(CONTROL!$C$15, $E$9, 100%, $G$9) + CHOOSE(CONTROL!$C$38, 0.0256, 0)</f>
        <v>77.034999999999997</v>
      </c>
      <c r="C974" s="10">
        <f>71.1722 * CHOOSE(CONTROL!$C$15, $E$9, 100%, $G$9) + CHOOSE(CONTROL!$C$38, 0.0347, 0)</f>
        <v>71.206900000000005</v>
      </c>
      <c r="D974" s="10">
        <f>71.1644 * CHOOSE(CONTROL!$C$15, $E$9, 100%, $G$9) + CHOOSE(CONTROL!$C$38, 0.0347, 0)</f>
        <v>71.199100000000001</v>
      </c>
      <c r="E974" s="28">
        <f>76.8531 * CHOOSE(CONTROL!$C$15, $E$9, 100%, $G$9) + CHOOSE(CONTROL!$C$38, 0.0347, 0)</f>
        <v>76.887799999999999</v>
      </c>
      <c r="F974" s="27">
        <f>76.8531 * CHOOSE(CONTROL!$C$15, $E$9, 100%, $G$9) + CHOOSE(CONTROL!$C$38, 0.0256, 0)</f>
        <v>76.878699999999995</v>
      </c>
      <c r="G974" s="10">
        <f>71.1706 * CHOOSE(CONTROL!$C$15, $E$9, 100%, $G$9) + CHOOSE(CONTROL!$C$38, 0.0347, 0)</f>
        <v>71.205299999999994</v>
      </c>
      <c r="H974" s="10">
        <f>71.1706 * CHOOSE(CONTROL!$C$15, $E$9, 100%, $G$9) + CHOOSE(CONTROL!$C$38, 0.0347, 0)</f>
        <v>71.205299999999994</v>
      </c>
      <c r="I974" s="10">
        <f>71.1722 * CHOOSE(CONTROL!$C$15, $E$9, 100%, $G$9) + CHOOSE(CONTROL!$C$38, 0.0347, 0)</f>
        <v>71.206900000000005</v>
      </c>
      <c r="J974" s="26">
        <f>469.341</f>
        <v>469.34100000000001</v>
      </c>
    </row>
    <row r="975" spans="1:10" ht="15.75" x14ac:dyDescent="0.25">
      <c r="A975" s="13">
        <v>70979</v>
      </c>
      <c r="B975" s="10">
        <f>76.5142 * CHOOSE(CONTROL!$C$15, $E$9, 100%, $G$9) + CHOOSE(CONTROL!$C$38, 0.0256, 0)</f>
        <v>76.5398</v>
      </c>
      <c r="C975" s="10">
        <f>70.677 * CHOOSE(CONTROL!$C$15, $E$9, 100%, $G$9) + CHOOSE(CONTROL!$C$38, 0.0347, 0)</f>
        <v>70.711700000000008</v>
      </c>
      <c r="D975" s="10">
        <f>70.6692 * CHOOSE(CONTROL!$C$15, $E$9, 100%, $G$9) + CHOOSE(CONTROL!$C$38, 0.0347, 0)</f>
        <v>70.703900000000004</v>
      </c>
      <c r="E975" s="28">
        <f>76.3579 * CHOOSE(CONTROL!$C$15, $E$9, 100%, $G$9) + CHOOSE(CONTROL!$C$38, 0.0347, 0)</f>
        <v>76.392600000000002</v>
      </c>
      <c r="F975" s="27">
        <f>76.3579 * CHOOSE(CONTROL!$C$15, $E$9, 100%, $G$9) + CHOOSE(CONTROL!$C$38, 0.0256, 0)</f>
        <v>76.383499999999998</v>
      </c>
      <c r="G975" s="10">
        <f>70.6754 * CHOOSE(CONTROL!$C$15, $E$9, 100%, $G$9) + CHOOSE(CONTROL!$C$38, 0.0347, 0)</f>
        <v>70.710099999999997</v>
      </c>
      <c r="H975" s="10">
        <f>70.6754 * CHOOSE(CONTROL!$C$15, $E$9, 100%, $G$9) + CHOOSE(CONTROL!$C$38, 0.0347, 0)</f>
        <v>70.710099999999997</v>
      </c>
      <c r="I975" s="10">
        <f>70.677 * CHOOSE(CONTROL!$C$15, $E$9, 100%, $G$9) + CHOOSE(CONTROL!$C$38, 0.0347, 0)</f>
        <v>70.711700000000008</v>
      </c>
      <c r="J975" s="26">
        <f>499.8129</f>
        <v>499.81290000000001</v>
      </c>
    </row>
    <row r="976" spans="1:10" ht="15.75" x14ac:dyDescent="0.25">
      <c r="A976" s="13">
        <v>71010</v>
      </c>
      <c r="B976" s="10">
        <f>75.9981 * CHOOSE(CONTROL!$C$15, $E$9, 100%, $G$9) + CHOOSE(CONTROL!$C$38, 0.0278, 0)</f>
        <v>76.025899999999993</v>
      </c>
      <c r="C976" s="10">
        <f>70.1609 * CHOOSE(CONTROL!$C$15, $E$9, 100%, $G$9) + CHOOSE(CONTROL!$C$38, 0.0369, 0)</f>
        <v>70.197800000000001</v>
      </c>
      <c r="D976" s="10">
        <f>70.1531 * CHOOSE(CONTROL!$C$15, $E$9, 100%, $G$9) + CHOOSE(CONTROL!$C$38, 0.0369, 0)</f>
        <v>70.19</v>
      </c>
      <c r="E976" s="28">
        <f>75.8418 * CHOOSE(CONTROL!$C$15, $E$9, 100%, $G$9) + CHOOSE(CONTROL!$C$38, 0.0369, 0)</f>
        <v>75.878700000000009</v>
      </c>
      <c r="F976" s="27">
        <f>75.8418 * CHOOSE(CONTROL!$C$15, $E$9, 100%, $G$9) + CHOOSE(CONTROL!$C$38, 0.0278, 0)</f>
        <v>75.869600000000005</v>
      </c>
      <c r="G976" s="10">
        <f>70.1593 * CHOOSE(CONTROL!$C$15, $E$9, 100%, $G$9) + CHOOSE(CONTROL!$C$38, 0.0369, 0)</f>
        <v>70.196200000000005</v>
      </c>
      <c r="H976" s="10">
        <f>70.1593 * CHOOSE(CONTROL!$C$15, $E$9, 100%, $G$9) + CHOOSE(CONTROL!$C$38, 0.0369, 0)</f>
        <v>70.196200000000005</v>
      </c>
      <c r="I976" s="10">
        <f>70.1609 * CHOOSE(CONTROL!$C$15, $E$9, 100%, $G$9) + CHOOSE(CONTROL!$C$38, 0.0369, 0)</f>
        <v>70.197800000000001</v>
      </c>
      <c r="J976" s="26">
        <f>516.5856</f>
        <v>516.5856</v>
      </c>
    </row>
    <row r="977" spans="1:10" ht="15.75" x14ac:dyDescent="0.25">
      <c r="A977" s="13">
        <v>71040</v>
      </c>
      <c r="B977" s="10">
        <f>75.6363 * CHOOSE(CONTROL!$C$15, $E$9, 100%, $G$9) + CHOOSE(CONTROL!$C$38, 0.0278, 0)</f>
        <v>75.664100000000005</v>
      </c>
      <c r="C977" s="10">
        <f>69.7991 * CHOOSE(CONTROL!$C$15, $E$9, 100%, $G$9) + CHOOSE(CONTROL!$C$38, 0.0369, 0)</f>
        <v>69.835999999999999</v>
      </c>
      <c r="D977" s="10">
        <f>69.7913 * CHOOSE(CONTROL!$C$15, $E$9, 100%, $G$9) + CHOOSE(CONTROL!$C$38, 0.0369, 0)</f>
        <v>69.82820000000001</v>
      </c>
      <c r="E977" s="28">
        <f>75.48 * CHOOSE(CONTROL!$C$15, $E$9, 100%, $G$9) + CHOOSE(CONTROL!$C$38, 0.0369, 0)</f>
        <v>75.516900000000007</v>
      </c>
      <c r="F977" s="27">
        <f>75.48 * CHOOSE(CONTROL!$C$15, $E$9, 100%, $G$9) + CHOOSE(CONTROL!$C$38, 0.0278, 0)</f>
        <v>75.507800000000003</v>
      </c>
      <c r="G977" s="10">
        <f>69.7975 * CHOOSE(CONTROL!$C$15, $E$9, 100%, $G$9) + CHOOSE(CONTROL!$C$38, 0.0369, 0)</f>
        <v>69.834400000000002</v>
      </c>
      <c r="H977" s="10">
        <f>69.7975 * CHOOSE(CONTROL!$C$15, $E$9, 100%, $G$9) + CHOOSE(CONTROL!$C$38, 0.0369, 0)</f>
        <v>69.834400000000002</v>
      </c>
      <c r="I977" s="10">
        <f>69.7991 * CHOOSE(CONTROL!$C$15, $E$9, 100%, $G$9) + CHOOSE(CONTROL!$C$38, 0.0369, 0)</f>
        <v>69.835999999999999</v>
      </c>
      <c r="J977" s="26">
        <f>524.0291</f>
        <v>524.02909999999997</v>
      </c>
    </row>
    <row r="978" spans="1:10" ht="15.75" x14ac:dyDescent="0.25">
      <c r="A978" s="13">
        <v>71071</v>
      </c>
      <c r="B978" s="10">
        <f>75.4298 * CHOOSE(CONTROL!$C$15, $E$9, 100%, $G$9) + CHOOSE(CONTROL!$C$38, 0.0278, 0)</f>
        <v>75.457599999999999</v>
      </c>
      <c r="C978" s="10">
        <f>69.5926 * CHOOSE(CONTROL!$C$15, $E$9, 100%, $G$9) + CHOOSE(CONTROL!$C$38, 0.0369, 0)</f>
        <v>69.629500000000007</v>
      </c>
      <c r="D978" s="10">
        <f>69.5848 * CHOOSE(CONTROL!$C$15, $E$9, 100%, $G$9) + CHOOSE(CONTROL!$C$38, 0.0369, 0)</f>
        <v>69.621700000000004</v>
      </c>
      <c r="E978" s="28">
        <f>75.2735 * CHOOSE(CONTROL!$C$15, $E$9, 100%, $G$9) + CHOOSE(CONTROL!$C$38, 0.0369, 0)</f>
        <v>75.310400000000001</v>
      </c>
      <c r="F978" s="27">
        <f>75.2735 * CHOOSE(CONTROL!$C$15, $E$9, 100%, $G$9) + CHOOSE(CONTROL!$C$38, 0.0278, 0)</f>
        <v>75.301299999999998</v>
      </c>
      <c r="G978" s="10">
        <f>69.591 * CHOOSE(CONTROL!$C$15, $E$9, 100%, $G$9) + CHOOSE(CONTROL!$C$38, 0.0369, 0)</f>
        <v>69.627899999999997</v>
      </c>
      <c r="H978" s="10">
        <f>69.591 * CHOOSE(CONTROL!$C$15, $E$9, 100%, $G$9) + CHOOSE(CONTROL!$C$38, 0.0369, 0)</f>
        <v>69.627899999999997</v>
      </c>
      <c r="I978" s="10">
        <f>69.5926 * CHOOSE(CONTROL!$C$15, $E$9, 100%, $G$9) + CHOOSE(CONTROL!$C$38, 0.0369, 0)</f>
        <v>69.629500000000007</v>
      </c>
      <c r="J978" s="26">
        <f>521.5784</f>
        <v>521.57839999999999</v>
      </c>
    </row>
    <row r="979" spans="1:10" ht="15.75" x14ac:dyDescent="0.25">
      <c r="A979" s="13">
        <v>71102</v>
      </c>
      <c r="B979" s="10">
        <f>75.5317 * CHOOSE(CONTROL!$C$15, $E$9, 100%, $G$9) + CHOOSE(CONTROL!$C$38, 0.0278, 0)</f>
        <v>75.5595</v>
      </c>
      <c r="C979" s="10">
        <f>69.6945 * CHOOSE(CONTROL!$C$15, $E$9, 100%, $G$9) + CHOOSE(CONTROL!$C$38, 0.0369, 0)</f>
        <v>69.731400000000008</v>
      </c>
      <c r="D979" s="10">
        <f>69.6867 * CHOOSE(CONTROL!$C$15, $E$9, 100%, $G$9) + CHOOSE(CONTROL!$C$38, 0.0369, 0)</f>
        <v>69.723600000000005</v>
      </c>
      <c r="E979" s="28">
        <f>75.3754 * CHOOSE(CONTROL!$C$15, $E$9, 100%, $G$9) + CHOOSE(CONTROL!$C$38, 0.0369, 0)</f>
        <v>75.412300000000002</v>
      </c>
      <c r="F979" s="27">
        <f>75.3754 * CHOOSE(CONTROL!$C$15, $E$9, 100%, $G$9) + CHOOSE(CONTROL!$C$38, 0.0278, 0)</f>
        <v>75.403199999999998</v>
      </c>
      <c r="G979" s="10">
        <f>69.6929 * CHOOSE(CONTROL!$C$15, $E$9, 100%, $G$9) + CHOOSE(CONTROL!$C$38, 0.0369, 0)</f>
        <v>69.729799999999997</v>
      </c>
      <c r="H979" s="10">
        <f>69.6929 * CHOOSE(CONTROL!$C$15, $E$9, 100%, $G$9) + CHOOSE(CONTROL!$C$38, 0.0369, 0)</f>
        <v>69.729799999999997</v>
      </c>
      <c r="I979" s="10">
        <f>69.6945 * CHOOSE(CONTROL!$C$15, $E$9, 100%, $G$9) + CHOOSE(CONTROL!$C$38, 0.0369, 0)</f>
        <v>69.731400000000008</v>
      </c>
      <c r="J979" s="26">
        <f>509.4362</f>
        <v>509.43619999999999</v>
      </c>
    </row>
    <row r="980" spans="1:10" ht="15.75" x14ac:dyDescent="0.25">
      <c r="A980" s="13">
        <v>71132</v>
      </c>
      <c r="B980" s="10">
        <f>75.8085 * CHOOSE(CONTROL!$C$15, $E$9, 100%, $G$9) + CHOOSE(CONTROL!$C$38, 0.0278, 0)</f>
        <v>75.836299999999994</v>
      </c>
      <c r="C980" s="10">
        <f>69.9713 * CHOOSE(CONTROL!$C$15, $E$9, 100%, $G$9) + CHOOSE(CONTROL!$C$38, 0.0369, 0)</f>
        <v>70.008200000000002</v>
      </c>
      <c r="D980" s="10">
        <f>69.9635 * CHOOSE(CONTROL!$C$15, $E$9, 100%, $G$9) + CHOOSE(CONTROL!$C$38, 0.0369, 0)</f>
        <v>70.000399999999999</v>
      </c>
      <c r="E980" s="28">
        <f>75.6522 * CHOOSE(CONTROL!$C$15, $E$9, 100%, $G$9) + CHOOSE(CONTROL!$C$38, 0.0369, 0)</f>
        <v>75.689099999999996</v>
      </c>
      <c r="F980" s="27">
        <f>75.6522 * CHOOSE(CONTROL!$C$15, $E$9, 100%, $G$9) + CHOOSE(CONTROL!$C$38, 0.0278, 0)</f>
        <v>75.679999999999993</v>
      </c>
      <c r="G980" s="10">
        <f>69.9697 * CHOOSE(CONTROL!$C$15, $E$9, 100%, $G$9) + CHOOSE(CONTROL!$C$38, 0.0369, 0)</f>
        <v>70.006600000000006</v>
      </c>
      <c r="H980" s="10">
        <f>69.9697 * CHOOSE(CONTROL!$C$15, $E$9, 100%, $G$9) + CHOOSE(CONTROL!$C$38, 0.0369, 0)</f>
        <v>70.006600000000006</v>
      </c>
      <c r="I980" s="10">
        <f>69.9713 * CHOOSE(CONTROL!$C$15, $E$9, 100%, $G$9) + CHOOSE(CONTROL!$C$38, 0.0369, 0)</f>
        <v>70.008200000000002</v>
      </c>
      <c r="J980" s="26">
        <f>492.5034</f>
        <v>492.5034</v>
      </c>
    </row>
    <row r="981" spans="1:10" ht="15.75" x14ac:dyDescent="0.25">
      <c r="A981" s="13">
        <v>71163</v>
      </c>
      <c r="B981" s="10">
        <f>76.0403 * CHOOSE(CONTROL!$C$15, $E$9, 100%, $G$9) + CHOOSE(CONTROL!$C$38, 0.0256, 0)</f>
        <v>76.065899999999999</v>
      </c>
      <c r="C981" s="10">
        <f>70.2031 * CHOOSE(CONTROL!$C$15, $E$9, 100%, $G$9) + CHOOSE(CONTROL!$C$38, 0.0347, 0)</f>
        <v>70.237800000000007</v>
      </c>
      <c r="D981" s="10">
        <f>70.1953 * CHOOSE(CONTROL!$C$15, $E$9, 100%, $G$9) + CHOOSE(CONTROL!$C$38, 0.0347, 0)</f>
        <v>70.23</v>
      </c>
      <c r="E981" s="28">
        <f>75.884 * CHOOSE(CONTROL!$C$15, $E$9, 100%, $G$9) + CHOOSE(CONTROL!$C$38, 0.0347, 0)</f>
        <v>75.918700000000001</v>
      </c>
      <c r="F981" s="27">
        <f>75.884 * CHOOSE(CONTROL!$C$15, $E$9, 100%, $G$9) + CHOOSE(CONTROL!$C$38, 0.0256, 0)</f>
        <v>75.909599999999998</v>
      </c>
      <c r="G981" s="10">
        <f>70.2015 * CHOOSE(CONTROL!$C$15, $E$9, 100%, $G$9) + CHOOSE(CONTROL!$C$38, 0.0347, 0)</f>
        <v>70.236199999999997</v>
      </c>
      <c r="H981" s="10">
        <f>70.2015 * CHOOSE(CONTROL!$C$15, $E$9, 100%, $G$9) + CHOOSE(CONTROL!$C$38, 0.0347, 0)</f>
        <v>70.236199999999997</v>
      </c>
      <c r="I981" s="10">
        <f>70.2031 * CHOOSE(CONTROL!$C$15, $E$9, 100%, $G$9) + CHOOSE(CONTROL!$C$38, 0.0347, 0)</f>
        <v>70.237800000000007</v>
      </c>
      <c r="J981" s="26">
        <f>475.4722</f>
        <v>475.47219999999999</v>
      </c>
    </row>
    <row r="982" spans="1:10" ht="15.75" x14ac:dyDescent="0.25">
      <c r="A982" s="13">
        <v>71193</v>
      </c>
      <c r="B982" s="10">
        <f>76.2337 * CHOOSE(CONTROL!$C$15, $E$9, 100%, $G$9) + CHOOSE(CONTROL!$C$38, 0.0256, 0)</f>
        <v>76.259299999999996</v>
      </c>
      <c r="C982" s="10">
        <f>70.3965 * CHOOSE(CONTROL!$C$15, $E$9, 100%, $G$9) + CHOOSE(CONTROL!$C$38, 0.0347, 0)</f>
        <v>70.431200000000004</v>
      </c>
      <c r="D982" s="10">
        <f>70.3887 * CHOOSE(CONTROL!$C$15, $E$9, 100%, $G$9) + CHOOSE(CONTROL!$C$38, 0.0347, 0)</f>
        <v>70.423400000000001</v>
      </c>
      <c r="E982" s="28">
        <f>76.0775 * CHOOSE(CONTROL!$C$15, $E$9, 100%, $G$9) + CHOOSE(CONTROL!$C$38, 0.0347, 0)</f>
        <v>76.112200000000001</v>
      </c>
      <c r="F982" s="27">
        <f>76.0775 * CHOOSE(CONTROL!$C$15, $E$9, 100%, $G$9) + CHOOSE(CONTROL!$C$38, 0.0256, 0)</f>
        <v>76.103099999999998</v>
      </c>
      <c r="G982" s="10">
        <f>70.395 * CHOOSE(CONTROL!$C$15, $E$9, 100%, $G$9) + CHOOSE(CONTROL!$C$38, 0.0347, 0)</f>
        <v>70.429699999999997</v>
      </c>
      <c r="H982" s="10">
        <f>70.395 * CHOOSE(CONTROL!$C$15, $E$9, 100%, $G$9) + CHOOSE(CONTROL!$C$38, 0.0347, 0)</f>
        <v>70.429699999999997</v>
      </c>
      <c r="I982" s="10">
        <f>70.3965 * CHOOSE(CONTROL!$C$15, $E$9, 100%, $G$9) + CHOOSE(CONTROL!$C$38, 0.0347, 0)</f>
        <v>70.431200000000004</v>
      </c>
      <c r="J982" s="26">
        <f>472.0843</f>
        <v>472.08429999999998</v>
      </c>
    </row>
    <row r="983" spans="1:10" ht="15.75" x14ac:dyDescent="0.25">
      <c r="A983" s="13">
        <v>71224</v>
      </c>
      <c r="B983" s="10">
        <f>76.8298 * CHOOSE(CONTROL!$C$15, $E$9, 100%, $G$9) + CHOOSE(CONTROL!$C$38, 0.0256, 0)</f>
        <v>76.855400000000003</v>
      </c>
      <c r="C983" s="10">
        <f>70.9926 * CHOOSE(CONTROL!$C$15, $E$9, 100%, $G$9) + CHOOSE(CONTROL!$C$38, 0.0347, 0)</f>
        <v>71.027299999999997</v>
      </c>
      <c r="D983" s="10">
        <f>70.9848 * CHOOSE(CONTROL!$C$15, $E$9, 100%, $G$9) + CHOOSE(CONTROL!$C$38, 0.0347, 0)</f>
        <v>71.019500000000008</v>
      </c>
      <c r="E983" s="28">
        <f>76.6736 * CHOOSE(CONTROL!$C$15, $E$9, 100%, $G$9) + CHOOSE(CONTROL!$C$38, 0.0347, 0)</f>
        <v>76.708299999999994</v>
      </c>
      <c r="F983" s="27">
        <f>76.6736 * CHOOSE(CONTROL!$C$15, $E$9, 100%, $G$9) + CHOOSE(CONTROL!$C$38, 0.0256, 0)</f>
        <v>76.69919999999999</v>
      </c>
      <c r="G983" s="10">
        <f>70.9911 * CHOOSE(CONTROL!$C$15, $E$9, 100%, $G$9) + CHOOSE(CONTROL!$C$38, 0.0347, 0)</f>
        <v>71.025800000000004</v>
      </c>
      <c r="H983" s="10">
        <f>70.9911 * CHOOSE(CONTROL!$C$15, $E$9, 100%, $G$9) + CHOOSE(CONTROL!$C$38, 0.0347, 0)</f>
        <v>71.025800000000004</v>
      </c>
      <c r="I983" s="10">
        <f>70.9926 * CHOOSE(CONTROL!$C$15, $E$9, 100%, $G$9) + CHOOSE(CONTROL!$C$38, 0.0347, 0)</f>
        <v>71.027299999999997</v>
      </c>
      <c r="J983" s="26">
        <f>458.0752</f>
        <v>458.0752</v>
      </c>
    </row>
    <row r="984" spans="1:10" ht="15.75" x14ac:dyDescent="0.25">
      <c r="A984" s="13">
        <v>71255</v>
      </c>
      <c r="B984" s="10">
        <f>78.6372 * CHOOSE(CONTROL!$C$15, $E$9, 100%, $G$9) + CHOOSE(CONTROL!$C$38, 0.0256, 0)</f>
        <v>78.662800000000004</v>
      </c>
      <c r="C984" s="10">
        <f>72.6996 * CHOOSE(CONTROL!$C$15, $E$9, 100%, $G$9) + CHOOSE(CONTROL!$C$38, 0.0347, 0)</f>
        <v>72.734300000000005</v>
      </c>
      <c r="D984" s="10">
        <f>72.6918 * CHOOSE(CONTROL!$C$15, $E$9, 100%, $G$9) + CHOOSE(CONTROL!$C$38, 0.0347, 0)</f>
        <v>72.726500000000001</v>
      </c>
      <c r="E984" s="28">
        <f>78.481 * CHOOSE(CONTROL!$C$15, $E$9, 100%, $G$9) + CHOOSE(CONTROL!$C$38, 0.0347, 0)</f>
        <v>78.515699999999995</v>
      </c>
      <c r="F984" s="27">
        <f>78.481 * CHOOSE(CONTROL!$C$15, $E$9, 100%, $G$9) + CHOOSE(CONTROL!$C$38, 0.0256, 0)</f>
        <v>78.506599999999992</v>
      </c>
      <c r="G984" s="10">
        <f>72.6981 * CHOOSE(CONTROL!$C$15, $E$9, 100%, $G$9) + CHOOSE(CONTROL!$C$38, 0.0347, 0)</f>
        <v>72.732799999999997</v>
      </c>
      <c r="H984" s="10">
        <f>72.6981 * CHOOSE(CONTROL!$C$15, $E$9, 100%, $G$9) + CHOOSE(CONTROL!$C$38, 0.0347, 0)</f>
        <v>72.732799999999997</v>
      </c>
      <c r="I984" s="10">
        <f>72.6996 * CHOOSE(CONTROL!$C$15, $E$9, 100%, $G$9) + CHOOSE(CONTROL!$C$38, 0.0347, 0)</f>
        <v>72.734300000000005</v>
      </c>
      <c r="J984" s="26">
        <f>455.0068</f>
        <v>455.0068</v>
      </c>
    </row>
    <row r="985" spans="1:10" ht="15.75" x14ac:dyDescent="0.25">
      <c r="A985" s="13">
        <v>71283</v>
      </c>
      <c r="B985" s="10">
        <f>78.858 * CHOOSE(CONTROL!$C$15, $E$9, 100%, $G$9) + CHOOSE(CONTROL!$C$38, 0.0256, 0)</f>
        <v>78.883600000000001</v>
      </c>
      <c r="C985" s="10">
        <f>72.9204 * CHOOSE(CONTROL!$C$15, $E$9, 100%, $G$9) + CHOOSE(CONTROL!$C$38, 0.0347, 0)</f>
        <v>72.955100000000002</v>
      </c>
      <c r="D985" s="10">
        <f>72.9126 * CHOOSE(CONTROL!$C$15, $E$9, 100%, $G$9) + CHOOSE(CONTROL!$C$38, 0.0347, 0)</f>
        <v>72.947299999999998</v>
      </c>
      <c r="E985" s="28">
        <f>78.7017 * CHOOSE(CONTROL!$C$15, $E$9, 100%, $G$9) + CHOOSE(CONTROL!$C$38, 0.0347, 0)</f>
        <v>78.736400000000003</v>
      </c>
      <c r="F985" s="27">
        <f>78.7017 * CHOOSE(CONTROL!$C$15, $E$9, 100%, $G$9) + CHOOSE(CONTROL!$C$38, 0.0256, 0)</f>
        <v>78.7273</v>
      </c>
      <c r="G985" s="10">
        <f>72.9188 * CHOOSE(CONTROL!$C$15, $E$9, 100%, $G$9) + CHOOSE(CONTROL!$C$38, 0.0347, 0)</f>
        <v>72.953500000000005</v>
      </c>
      <c r="H985" s="10">
        <f>72.9188 * CHOOSE(CONTROL!$C$15, $E$9, 100%, $G$9) + CHOOSE(CONTROL!$C$38, 0.0347, 0)</f>
        <v>72.953500000000005</v>
      </c>
      <c r="I985" s="10">
        <f>72.9204 * CHOOSE(CONTROL!$C$15, $E$9, 100%, $G$9) + CHOOSE(CONTROL!$C$38, 0.0347, 0)</f>
        <v>72.955100000000002</v>
      </c>
      <c r="J985" s="26">
        <f>453.742</f>
        <v>453.74200000000002</v>
      </c>
    </row>
    <row r="986" spans="1:10" ht="15.75" x14ac:dyDescent="0.25">
      <c r="A986" s="13">
        <v>71314</v>
      </c>
      <c r="B986" s="10">
        <f>78.3469 * CHOOSE(CONTROL!$C$15, $E$9, 100%, $G$9) + CHOOSE(CONTROL!$C$38, 0.0256, 0)</f>
        <v>78.372500000000002</v>
      </c>
      <c r="C986" s="10">
        <f>72.4094 * CHOOSE(CONTROL!$C$15, $E$9, 100%, $G$9) + CHOOSE(CONTROL!$C$38, 0.0347, 0)</f>
        <v>72.444100000000006</v>
      </c>
      <c r="D986" s="10">
        <f>72.4016 * CHOOSE(CONTROL!$C$15, $E$9, 100%, $G$9) + CHOOSE(CONTROL!$C$38, 0.0347, 0)</f>
        <v>72.436300000000003</v>
      </c>
      <c r="E986" s="28">
        <f>78.1907 * CHOOSE(CONTROL!$C$15, $E$9, 100%, $G$9) + CHOOSE(CONTROL!$C$38, 0.0347, 0)</f>
        <v>78.225400000000008</v>
      </c>
      <c r="F986" s="27">
        <f>78.1907 * CHOOSE(CONTROL!$C$15, $E$9, 100%, $G$9) + CHOOSE(CONTROL!$C$38, 0.0256, 0)</f>
        <v>78.216300000000004</v>
      </c>
      <c r="G986" s="10">
        <f>72.4078 * CHOOSE(CONTROL!$C$15, $E$9, 100%, $G$9) + CHOOSE(CONTROL!$C$38, 0.0347, 0)</f>
        <v>72.442499999999995</v>
      </c>
      <c r="H986" s="10">
        <f>72.4078 * CHOOSE(CONTROL!$C$15, $E$9, 100%, $G$9) + CHOOSE(CONTROL!$C$38, 0.0347, 0)</f>
        <v>72.442499999999995</v>
      </c>
      <c r="I986" s="10">
        <f>72.4094 * CHOOSE(CONTROL!$C$15, $E$9, 100%, $G$9) + CHOOSE(CONTROL!$C$38, 0.0347, 0)</f>
        <v>72.444100000000006</v>
      </c>
      <c r="J986" s="26">
        <f>477.6568</f>
        <v>477.65679999999998</v>
      </c>
    </row>
    <row r="987" spans="1:10" ht="15.75" x14ac:dyDescent="0.25">
      <c r="A987" s="13">
        <v>71344</v>
      </c>
      <c r="B987" s="10">
        <f>77.8518 * CHOOSE(CONTROL!$C$15, $E$9, 100%, $G$9) + CHOOSE(CONTROL!$C$38, 0.0256, 0)</f>
        <v>77.877399999999994</v>
      </c>
      <c r="C987" s="10">
        <f>71.9142 * CHOOSE(CONTROL!$C$15, $E$9, 100%, $G$9) + CHOOSE(CONTROL!$C$38, 0.0347, 0)</f>
        <v>71.948899999999995</v>
      </c>
      <c r="D987" s="10">
        <f>71.9064 * CHOOSE(CONTROL!$C$15, $E$9, 100%, $G$9) + CHOOSE(CONTROL!$C$38, 0.0347, 0)</f>
        <v>71.941100000000006</v>
      </c>
      <c r="E987" s="28">
        <f>77.6955 * CHOOSE(CONTROL!$C$15, $E$9, 100%, $G$9) + CHOOSE(CONTROL!$C$38, 0.0347, 0)</f>
        <v>77.730199999999996</v>
      </c>
      <c r="F987" s="27">
        <f>77.6955 * CHOOSE(CONTROL!$C$15, $E$9, 100%, $G$9) + CHOOSE(CONTROL!$C$38, 0.0256, 0)</f>
        <v>77.721099999999993</v>
      </c>
      <c r="G987" s="10">
        <f>71.9126 * CHOOSE(CONTROL!$C$15, $E$9, 100%, $G$9) + CHOOSE(CONTROL!$C$38, 0.0347, 0)</f>
        <v>71.947299999999998</v>
      </c>
      <c r="H987" s="10">
        <f>71.9126 * CHOOSE(CONTROL!$C$15, $E$9, 100%, $G$9) + CHOOSE(CONTROL!$C$38, 0.0347, 0)</f>
        <v>71.947299999999998</v>
      </c>
      <c r="I987" s="10">
        <f>71.9142 * CHOOSE(CONTROL!$C$15, $E$9, 100%, $G$9) + CHOOSE(CONTROL!$C$38, 0.0347, 0)</f>
        <v>71.948899999999995</v>
      </c>
      <c r="J987" s="26">
        <f>508.6687</f>
        <v>508.6687</v>
      </c>
    </row>
    <row r="988" spans="1:10" ht="15.75" x14ac:dyDescent="0.25">
      <c r="A988" s="13">
        <v>71375</v>
      </c>
      <c r="B988" s="10">
        <f>77.3356 * CHOOSE(CONTROL!$C$15, $E$9, 100%, $G$9) + CHOOSE(CONTROL!$C$38, 0.0278, 0)</f>
        <v>77.363399999999999</v>
      </c>
      <c r="C988" s="10">
        <f>71.3981 * CHOOSE(CONTROL!$C$15, $E$9, 100%, $G$9) + CHOOSE(CONTROL!$C$38, 0.0369, 0)</f>
        <v>71.435000000000002</v>
      </c>
      <c r="D988" s="10">
        <f>71.3903 * CHOOSE(CONTROL!$C$15, $E$9, 100%, $G$9) + CHOOSE(CONTROL!$C$38, 0.0369, 0)</f>
        <v>71.427199999999999</v>
      </c>
      <c r="E988" s="28">
        <f>77.1794 * CHOOSE(CONTROL!$C$15, $E$9, 100%, $G$9) + CHOOSE(CONTROL!$C$38, 0.0369, 0)</f>
        <v>77.216300000000004</v>
      </c>
      <c r="F988" s="27">
        <f>77.1794 * CHOOSE(CONTROL!$C$15, $E$9, 100%, $G$9) + CHOOSE(CONTROL!$C$38, 0.0278, 0)</f>
        <v>77.2072</v>
      </c>
      <c r="G988" s="10">
        <f>71.3965 * CHOOSE(CONTROL!$C$15, $E$9, 100%, $G$9) + CHOOSE(CONTROL!$C$38, 0.0369, 0)</f>
        <v>71.433400000000006</v>
      </c>
      <c r="H988" s="10">
        <f>71.3965 * CHOOSE(CONTROL!$C$15, $E$9, 100%, $G$9) + CHOOSE(CONTROL!$C$38, 0.0369, 0)</f>
        <v>71.433400000000006</v>
      </c>
      <c r="I988" s="10">
        <f>71.3981 * CHOOSE(CONTROL!$C$15, $E$9, 100%, $G$9) + CHOOSE(CONTROL!$C$38, 0.0369, 0)</f>
        <v>71.435000000000002</v>
      </c>
      <c r="J988" s="26">
        <f>525.7386</f>
        <v>525.73860000000002</v>
      </c>
    </row>
    <row r="989" spans="1:10" ht="15.75" x14ac:dyDescent="0.25">
      <c r="A989" s="13">
        <v>71405</v>
      </c>
      <c r="B989" s="10">
        <f>76.9738 * CHOOSE(CONTROL!$C$15, $E$9, 100%, $G$9) + CHOOSE(CONTROL!$C$38, 0.0278, 0)</f>
        <v>77.001599999999996</v>
      </c>
      <c r="C989" s="10">
        <f>71.0362 * CHOOSE(CONTROL!$C$15, $E$9, 100%, $G$9) + CHOOSE(CONTROL!$C$38, 0.0369, 0)</f>
        <v>71.073099999999997</v>
      </c>
      <c r="D989" s="10">
        <f>71.0284 * CHOOSE(CONTROL!$C$15, $E$9, 100%, $G$9) + CHOOSE(CONTROL!$C$38, 0.0369, 0)</f>
        <v>71.065300000000008</v>
      </c>
      <c r="E989" s="28">
        <f>76.8176 * CHOOSE(CONTROL!$C$15, $E$9, 100%, $G$9) + CHOOSE(CONTROL!$C$38, 0.0369, 0)</f>
        <v>76.854500000000002</v>
      </c>
      <c r="F989" s="27">
        <f>76.8176 * CHOOSE(CONTROL!$C$15, $E$9, 100%, $G$9) + CHOOSE(CONTROL!$C$38, 0.0278, 0)</f>
        <v>76.845399999999998</v>
      </c>
      <c r="G989" s="10">
        <f>71.0347 * CHOOSE(CONTROL!$C$15, $E$9, 100%, $G$9) + CHOOSE(CONTROL!$C$38, 0.0369, 0)</f>
        <v>71.071600000000004</v>
      </c>
      <c r="H989" s="10">
        <f>71.0347 * CHOOSE(CONTROL!$C$15, $E$9, 100%, $G$9) + CHOOSE(CONTROL!$C$38, 0.0369, 0)</f>
        <v>71.071600000000004</v>
      </c>
      <c r="I989" s="10">
        <f>71.0362 * CHOOSE(CONTROL!$C$15, $E$9, 100%, $G$9) + CHOOSE(CONTROL!$C$38, 0.0369, 0)</f>
        <v>71.073099999999997</v>
      </c>
      <c r="J989" s="26">
        <f>533.3139</f>
        <v>533.31389999999999</v>
      </c>
    </row>
    <row r="990" spans="1:10" ht="15.75" x14ac:dyDescent="0.25">
      <c r="A990" s="13">
        <v>71436</v>
      </c>
      <c r="B990" s="10">
        <f>76.7673 * CHOOSE(CONTROL!$C$15, $E$9, 100%, $G$9) + CHOOSE(CONTROL!$C$38, 0.0278, 0)</f>
        <v>76.795100000000005</v>
      </c>
      <c r="C990" s="10">
        <f>70.8298 * CHOOSE(CONTROL!$C$15, $E$9, 100%, $G$9) + CHOOSE(CONTROL!$C$38, 0.0369, 0)</f>
        <v>70.866700000000009</v>
      </c>
      <c r="D990" s="10">
        <f>70.8219 * CHOOSE(CONTROL!$C$15, $E$9, 100%, $G$9) + CHOOSE(CONTROL!$C$38, 0.0369, 0)</f>
        <v>70.858800000000002</v>
      </c>
      <c r="E990" s="28">
        <f>76.6111 * CHOOSE(CONTROL!$C$15, $E$9, 100%, $G$9) + CHOOSE(CONTROL!$C$38, 0.0369, 0)</f>
        <v>76.647999999999996</v>
      </c>
      <c r="F990" s="27">
        <f>76.6111 * CHOOSE(CONTROL!$C$15, $E$9, 100%, $G$9) + CHOOSE(CONTROL!$C$38, 0.0278, 0)</f>
        <v>76.638899999999992</v>
      </c>
      <c r="G990" s="10">
        <f>70.8282 * CHOOSE(CONTROL!$C$15, $E$9, 100%, $G$9) + CHOOSE(CONTROL!$C$38, 0.0369, 0)</f>
        <v>70.865099999999998</v>
      </c>
      <c r="H990" s="10">
        <f>70.8282 * CHOOSE(CONTROL!$C$15, $E$9, 100%, $G$9) + CHOOSE(CONTROL!$C$38, 0.0369, 0)</f>
        <v>70.865099999999998</v>
      </c>
      <c r="I990" s="10">
        <f>70.8298 * CHOOSE(CONTROL!$C$15, $E$9, 100%, $G$9) + CHOOSE(CONTROL!$C$38, 0.0369, 0)</f>
        <v>70.866700000000009</v>
      </c>
      <c r="J990" s="26">
        <f>530.8197</f>
        <v>530.81970000000001</v>
      </c>
    </row>
    <row r="991" spans="1:10" ht="15.75" x14ac:dyDescent="0.25">
      <c r="A991" s="13">
        <v>71467</v>
      </c>
      <c r="B991" s="10">
        <f>76.8692 * CHOOSE(CONTROL!$C$15, $E$9, 100%, $G$9) + CHOOSE(CONTROL!$C$38, 0.0278, 0)</f>
        <v>76.897000000000006</v>
      </c>
      <c r="C991" s="10">
        <f>70.9317 * CHOOSE(CONTROL!$C$15, $E$9, 100%, $G$9) + CHOOSE(CONTROL!$C$38, 0.0369, 0)</f>
        <v>70.968600000000009</v>
      </c>
      <c r="D991" s="10">
        <f>70.9239 * CHOOSE(CONTROL!$C$15, $E$9, 100%, $G$9) + CHOOSE(CONTROL!$C$38, 0.0369, 0)</f>
        <v>70.960800000000006</v>
      </c>
      <c r="E991" s="28">
        <f>76.713 * CHOOSE(CONTROL!$C$15, $E$9, 100%, $G$9) + CHOOSE(CONTROL!$C$38, 0.0369, 0)</f>
        <v>76.749899999999997</v>
      </c>
      <c r="F991" s="27">
        <f>76.713 * CHOOSE(CONTROL!$C$15, $E$9, 100%, $G$9) + CHOOSE(CONTROL!$C$38, 0.0278, 0)</f>
        <v>76.740799999999993</v>
      </c>
      <c r="G991" s="10">
        <f>70.9301 * CHOOSE(CONTROL!$C$15, $E$9, 100%, $G$9) + CHOOSE(CONTROL!$C$38, 0.0369, 0)</f>
        <v>70.966999999999999</v>
      </c>
      <c r="H991" s="10">
        <f>70.9301 * CHOOSE(CONTROL!$C$15, $E$9, 100%, $G$9) + CHOOSE(CONTROL!$C$38, 0.0369, 0)</f>
        <v>70.966999999999999</v>
      </c>
      <c r="I991" s="10">
        <f>70.9317 * CHOOSE(CONTROL!$C$15, $E$9, 100%, $G$9) + CHOOSE(CONTROL!$C$38, 0.0369, 0)</f>
        <v>70.968600000000009</v>
      </c>
      <c r="J991" s="26">
        <f>518.4625</f>
        <v>518.46249999999998</v>
      </c>
    </row>
    <row r="992" spans="1:10" ht="15.75" x14ac:dyDescent="0.25">
      <c r="A992" s="13">
        <v>71497</v>
      </c>
      <c r="B992" s="10">
        <f>77.146 * CHOOSE(CONTROL!$C$15, $E$9, 100%, $G$9) + CHOOSE(CONTROL!$C$38, 0.0278, 0)</f>
        <v>77.1738</v>
      </c>
      <c r="C992" s="10">
        <f>71.2085 * CHOOSE(CONTROL!$C$15, $E$9, 100%, $G$9) + CHOOSE(CONTROL!$C$38, 0.0369, 0)</f>
        <v>71.245400000000004</v>
      </c>
      <c r="D992" s="10">
        <f>71.2007 * CHOOSE(CONTROL!$C$15, $E$9, 100%, $G$9) + CHOOSE(CONTROL!$C$38, 0.0369, 0)</f>
        <v>71.2376</v>
      </c>
      <c r="E992" s="28">
        <f>76.9898 * CHOOSE(CONTROL!$C$15, $E$9, 100%, $G$9) + CHOOSE(CONTROL!$C$38, 0.0369, 0)</f>
        <v>77.026700000000005</v>
      </c>
      <c r="F992" s="27">
        <f>76.9898 * CHOOSE(CONTROL!$C$15, $E$9, 100%, $G$9) + CHOOSE(CONTROL!$C$38, 0.0278, 0)</f>
        <v>77.017600000000002</v>
      </c>
      <c r="G992" s="10">
        <f>71.2069 * CHOOSE(CONTROL!$C$15, $E$9, 100%, $G$9) + CHOOSE(CONTROL!$C$38, 0.0369, 0)</f>
        <v>71.243800000000007</v>
      </c>
      <c r="H992" s="10">
        <f>71.2069 * CHOOSE(CONTROL!$C$15, $E$9, 100%, $G$9) + CHOOSE(CONTROL!$C$38, 0.0369, 0)</f>
        <v>71.243800000000007</v>
      </c>
      <c r="I992" s="10">
        <f>71.2085 * CHOOSE(CONTROL!$C$15, $E$9, 100%, $G$9) + CHOOSE(CONTROL!$C$38, 0.0369, 0)</f>
        <v>71.245400000000004</v>
      </c>
      <c r="J992" s="26">
        <f>501.2297</f>
        <v>501.22969999999998</v>
      </c>
    </row>
    <row r="993" spans="1:10" ht="15.75" x14ac:dyDescent="0.25">
      <c r="A993" s="13">
        <v>71528</v>
      </c>
      <c r="B993" s="10">
        <f>77.3778 * CHOOSE(CONTROL!$C$15, $E$9, 100%, $G$9) + CHOOSE(CONTROL!$C$38, 0.0256, 0)</f>
        <v>77.403399999999991</v>
      </c>
      <c r="C993" s="10">
        <f>71.4403 * CHOOSE(CONTROL!$C$15, $E$9, 100%, $G$9) + CHOOSE(CONTROL!$C$38, 0.0347, 0)</f>
        <v>71.474999999999994</v>
      </c>
      <c r="D993" s="10">
        <f>71.4325 * CHOOSE(CONTROL!$C$15, $E$9, 100%, $G$9) + CHOOSE(CONTROL!$C$38, 0.0347, 0)</f>
        <v>71.467200000000005</v>
      </c>
      <c r="E993" s="28">
        <f>77.2216 * CHOOSE(CONTROL!$C$15, $E$9, 100%, $G$9) + CHOOSE(CONTROL!$C$38, 0.0347, 0)</f>
        <v>77.256299999999996</v>
      </c>
      <c r="F993" s="27">
        <f>77.2216 * CHOOSE(CONTROL!$C$15, $E$9, 100%, $G$9) + CHOOSE(CONTROL!$C$38, 0.0256, 0)</f>
        <v>77.247199999999992</v>
      </c>
      <c r="G993" s="10">
        <f>71.4387 * CHOOSE(CONTROL!$C$15, $E$9, 100%, $G$9) + CHOOSE(CONTROL!$C$38, 0.0347, 0)</f>
        <v>71.473399999999998</v>
      </c>
      <c r="H993" s="10">
        <f>71.4387 * CHOOSE(CONTROL!$C$15, $E$9, 100%, $G$9) + CHOOSE(CONTROL!$C$38, 0.0347, 0)</f>
        <v>71.473399999999998</v>
      </c>
      <c r="I993" s="10">
        <f>71.4403 * CHOOSE(CONTROL!$C$15, $E$9, 100%, $G$9) + CHOOSE(CONTROL!$C$38, 0.0347, 0)</f>
        <v>71.474999999999994</v>
      </c>
      <c r="J993" s="26">
        <f>483.8966</f>
        <v>483.89659999999998</v>
      </c>
    </row>
    <row r="994" spans="1:10" ht="15.75" x14ac:dyDescent="0.25">
      <c r="A994" s="13">
        <v>71558</v>
      </c>
      <c r="B994" s="10">
        <f>77.5713 * CHOOSE(CONTROL!$C$15, $E$9, 100%, $G$9) + CHOOSE(CONTROL!$C$38, 0.0256, 0)</f>
        <v>77.596899999999991</v>
      </c>
      <c r="C994" s="10">
        <f>71.6337 * CHOOSE(CONTROL!$C$15, $E$9, 100%, $G$9) + CHOOSE(CONTROL!$C$38, 0.0347, 0)</f>
        <v>71.668400000000005</v>
      </c>
      <c r="D994" s="10">
        <f>71.6259 * CHOOSE(CONTROL!$C$15, $E$9, 100%, $G$9) + CHOOSE(CONTROL!$C$38, 0.0347, 0)</f>
        <v>71.660600000000002</v>
      </c>
      <c r="E994" s="28">
        <f>77.415 * CHOOSE(CONTROL!$C$15, $E$9, 100%, $G$9) + CHOOSE(CONTROL!$C$38, 0.0347, 0)</f>
        <v>77.449700000000007</v>
      </c>
      <c r="F994" s="27">
        <f>77.415 * CHOOSE(CONTROL!$C$15, $E$9, 100%, $G$9) + CHOOSE(CONTROL!$C$38, 0.0256, 0)</f>
        <v>77.440600000000003</v>
      </c>
      <c r="G994" s="10">
        <f>71.6322 * CHOOSE(CONTROL!$C$15, $E$9, 100%, $G$9) + CHOOSE(CONTROL!$C$38, 0.0347, 0)</f>
        <v>71.666899999999998</v>
      </c>
      <c r="H994" s="10">
        <f>71.6322 * CHOOSE(CONTROL!$C$15, $E$9, 100%, $G$9) + CHOOSE(CONTROL!$C$38, 0.0347, 0)</f>
        <v>71.666899999999998</v>
      </c>
      <c r="I994" s="10">
        <f>71.6337 * CHOOSE(CONTROL!$C$15, $E$9, 100%, $G$9) + CHOOSE(CONTROL!$C$38, 0.0347, 0)</f>
        <v>71.668400000000005</v>
      </c>
      <c r="J994" s="26">
        <f>480.4488</f>
        <v>480.44880000000001</v>
      </c>
    </row>
    <row r="995" spans="1:10" ht="15.75" x14ac:dyDescent="0.25">
      <c r="A995" s="13">
        <v>71589</v>
      </c>
      <c r="B995" s="10">
        <f>78.1674 * CHOOSE(CONTROL!$C$15, $E$9, 100%, $G$9) + CHOOSE(CONTROL!$C$38, 0.0256, 0)</f>
        <v>78.192999999999998</v>
      </c>
      <c r="C995" s="10">
        <f>72.2298 * CHOOSE(CONTROL!$C$15, $E$9, 100%, $G$9) + CHOOSE(CONTROL!$C$38, 0.0347, 0)</f>
        <v>72.264499999999998</v>
      </c>
      <c r="D995" s="10">
        <f>72.222 * CHOOSE(CONTROL!$C$15, $E$9, 100%, $G$9) + CHOOSE(CONTROL!$C$38, 0.0347, 0)</f>
        <v>72.256699999999995</v>
      </c>
      <c r="E995" s="28">
        <f>78.0111 * CHOOSE(CONTROL!$C$15, $E$9, 100%, $G$9) + CHOOSE(CONTROL!$C$38, 0.0347, 0)</f>
        <v>78.0458</v>
      </c>
      <c r="F995" s="27">
        <f>78.0111 * CHOOSE(CONTROL!$C$15, $E$9, 100%, $G$9) + CHOOSE(CONTROL!$C$38, 0.0256, 0)</f>
        <v>78.036699999999996</v>
      </c>
      <c r="G995" s="10">
        <f>72.2282 * CHOOSE(CONTROL!$C$15, $E$9, 100%, $G$9) + CHOOSE(CONTROL!$C$38, 0.0347, 0)</f>
        <v>72.262900000000002</v>
      </c>
      <c r="H995" s="10">
        <f>72.2282 * CHOOSE(CONTROL!$C$15, $E$9, 100%, $G$9) + CHOOSE(CONTROL!$C$38, 0.0347, 0)</f>
        <v>72.262900000000002</v>
      </c>
      <c r="I995" s="10">
        <f>72.2298 * CHOOSE(CONTROL!$C$15, $E$9, 100%, $G$9) + CHOOSE(CONTROL!$C$38, 0.0347, 0)</f>
        <v>72.264499999999998</v>
      </c>
      <c r="J995" s="26">
        <f>466.1914</f>
        <v>466.19139999999999</v>
      </c>
    </row>
    <row r="996" spans="1:10" ht="15.75" x14ac:dyDescent="0.25">
      <c r="A996" s="13">
        <v>71620</v>
      </c>
      <c r="B996" s="10">
        <f>79.9984 * CHOOSE(CONTROL!$C$15, $E$9, 100%, $G$9) + CHOOSE(CONTROL!$C$38, 0.0256, 0)</f>
        <v>80.024000000000001</v>
      </c>
      <c r="C996" s="10">
        <f>73.9587 * CHOOSE(CONTROL!$C$15, $E$9, 100%, $G$9) + CHOOSE(CONTROL!$C$38, 0.0347, 0)</f>
        <v>73.993399999999994</v>
      </c>
      <c r="D996" s="10">
        <f>73.9509 * CHOOSE(CONTROL!$C$15, $E$9, 100%, $G$9) + CHOOSE(CONTROL!$C$38, 0.0347, 0)</f>
        <v>73.985600000000005</v>
      </c>
      <c r="E996" s="28">
        <f>79.8421 * CHOOSE(CONTROL!$C$15, $E$9, 100%, $G$9) + CHOOSE(CONTROL!$C$38, 0.0347, 0)</f>
        <v>79.876800000000003</v>
      </c>
      <c r="F996" s="27">
        <f>79.8421 * CHOOSE(CONTROL!$C$15, $E$9, 100%, $G$9) + CHOOSE(CONTROL!$C$38, 0.0256, 0)</f>
        <v>79.867699999999999</v>
      </c>
      <c r="G996" s="10">
        <f>73.9571 * CHOOSE(CONTROL!$C$15, $E$9, 100%, $G$9) + CHOOSE(CONTROL!$C$38, 0.0347, 0)</f>
        <v>73.991799999999998</v>
      </c>
      <c r="H996" s="10">
        <f>73.9571 * CHOOSE(CONTROL!$C$15, $E$9, 100%, $G$9) + CHOOSE(CONTROL!$C$38, 0.0347, 0)</f>
        <v>73.991799999999998</v>
      </c>
      <c r="I996" s="10">
        <f>73.9587 * CHOOSE(CONTROL!$C$15, $E$9, 100%, $G$9) + CHOOSE(CONTROL!$C$38, 0.0347, 0)</f>
        <v>73.993399999999994</v>
      </c>
      <c r="J996" s="26">
        <f>463.0686</f>
        <v>463.0686</v>
      </c>
    </row>
    <row r="997" spans="1:10" ht="15.75" x14ac:dyDescent="0.25">
      <c r="A997" s="13">
        <v>71649</v>
      </c>
      <c r="B997" s="10">
        <f>80.2192 * CHOOSE(CONTROL!$C$15, $E$9, 100%, $G$9) + CHOOSE(CONTROL!$C$38, 0.0256, 0)</f>
        <v>80.244799999999998</v>
      </c>
      <c r="C997" s="10">
        <f>74.1794 * CHOOSE(CONTROL!$C$15, $E$9, 100%, $G$9) + CHOOSE(CONTROL!$C$38, 0.0347, 0)</f>
        <v>74.214100000000002</v>
      </c>
      <c r="D997" s="10">
        <f>74.1716 * CHOOSE(CONTROL!$C$15, $E$9, 100%, $G$9) + CHOOSE(CONTROL!$C$38, 0.0347, 0)</f>
        <v>74.206299999999999</v>
      </c>
      <c r="E997" s="28">
        <f>80.0629 * CHOOSE(CONTROL!$C$15, $E$9, 100%, $G$9) + CHOOSE(CONTROL!$C$38, 0.0347, 0)</f>
        <v>80.0976</v>
      </c>
      <c r="F997" s="27">
        <f>80.0629 * CHOOSE(CONTROL!$C$15, $E$9, 100%, $G$9) + CHOOSE(CONTROL!$C$38, 0.0256, 0)</f>
        <v>80.088499999999996</v>
      </c>
      <c r="G997" s="10">
        <f>74.1779 * CHOOSE(CONTROL!$C$15, $E$9, 100%, $G$9) + CHOOSE(CONTROL!$C$38, 0.0347, 0)</f>
        <v>74.212599999999995</v>
      </c>
      <c r="H997" s="10">
        <f>74.1779 * CHOOSE(CONTROL!$C$15, $E$9, 100%, $G$9) + CHOOSE(CONTROL!$C$38, 0.0347, 0)</f>
        <v>74.212599999999995</v>
      </c>
      <c r="I997" s="10">
        <f>74.1794 * CHOOSE(CONTROL!$C$15, $E$9, 100%, $G$9) + CHOOSE(CONTROL!$C$38, 0.0347, 0)</f>
        <v>74.214100000000002</v>
      </c>
      <c r="J997" s="26">
        <f>461.7815</f>
        <v>461.78149999999999</v>
      </c>
    </row>
    <row r="998" spans="1:10" ht="15.75" x14ac:dyDescent="0.25">
      <c r="A998" s="13">
        <v>71680</v>
      </c>
      <c r="B998" s="10">
        <f>79.7081 * CHOOSE(CONTROL!$C$15, $E$9, 100%, $G$9) + CHOOSE(CONTROL!$C$38, 0.0256, 0)</f>
        <v>79.733699999999999</v>
      </c>
      <c r="C998" s="10">
        <f>73.6684 * CHOOSE(CONTROL!$C$15, $E$9, 100%, $G$9) + CHOOSE(CONTROL!$C$38, 0.0347, 0)</f>
        <v>73.703100000000006</v>
      </c>
      <c r="D998" s="10">
        <f>73.6606 * CHOOSE(CONTROL!$C$15, $E$9, 100%, $G$9) + CHOOSE(CONTROL!$C$38, 0.0347, 0)</f>
        <v>73.695300000000003</v>
      </c>
      <c r="E998" s="28">
        <f>79.5519 * CHOOSE(CONTROL!$C$15, $E$9, 100%, $G$9) + CHOOSE(CONTROL!$C$38, 0.0347, 0)</f>
        <v>79.586600000000004</v>
      </c>
      <c r="F998" s="27">
        <f>79.5519 * CHOOSE(CONTROL!$C$15, $E$9, 100%, $G$9) + CHOOSE(CONTROL!$C$38, 0.0256, 0)</f>
        <v>79.577500000000001</v>
      </c>
      <c r="G998" s="10">
        <f>73.6669 * CHOOSE(CONTROL!$C$15, $E$9, 100%, $G$9) + CHOOSE(CONTROL!$C$38, 0.0347, 0)</f>
        <v>73.701599999999999</v>
      </c>
      <c r="H998" s="10">
        <f>73.6669 * CHOOSE(CONTROL!$C$15, $E$9, 100%, $G$9) + CHOOSE(CONTROL!$C$38, 0.0347, 0)</f>
        <v>73.701599999999999</v>
      </c>
      <c r="I998" s="10">
        <f>73.6684 * CHOOSE(CONTROL!$C$15, $E$9, 100%, $G$9) + CHOOSE(CONTROL!$C$38, 0.0347, 0)</f>
        <v>73.703100000000006</v>
      </c>
      <c r="J998" s="26">
        <f>486.12</f>
        <v>486.12</v>
      </c>
    </row>
    <row r="999" spans="1:10" ht="15.75" x14ac:dyDescent="0.25">
      <c r="A999" s="13">
        <v>71710</v>
      </c>
      <c r="B999" s="10">
        <f>79.2129 * CHOOSE(CONTROL!$C$15, $E$9, 100%, $G$9) + CHOOSE(CONTROL!$C$38, 0.0256, 0)</f>
        <v>79.238500000000002</v>
      </c>
      <c r="C999" s="10">
        <f>73.1732 * CHOOSE(CONTROL!$C$15, $E$9, 100%, $G$9) + CHOOSE(CONTROL!$C$38, 0.0347, 0)</f>
        <v>73.207899999999995</v>
      </c>
      <c r="D999" s="10">
        <f>73.1654 * CHOOSE(CONTROL!$C$15, $E$9, 100%, $G$9) + CHOOSE(CONTROL!$C$38, 0.0347, 0)</f>
        <v>73.200100000000006</v>
      </c>
      <c r="E999" s="28">
        <f>79.0567 * CHOOSE(CONTROL!$C$15, $E$9, 100%, $G$9) + CHOOSE(CONTROL!$C$38, 0.0347, 0)</f>
        <v>79.091400000000007</v>
      </c>
      <c r="F999" s="27">
        <f>79.0567 * CHOOSE(CONTROL!$C$15, $E$9, 100%, $G$9) + CHOOSE(CONTROL!$C$38, 0.0256, 0)</f>
        <v>79.082300000000004</v>
      </c>
      <c r="G999" s="10">
        <f>73.1717 * CHOOSE(CONTROL!$C$15, $E$9, 100%, $G$9) + CHOOSE(CONTROL!$C$38, 0.0347, 0)</f>
        <v>73.206400000000002</v>
      </c>
      <c r="H999" s="10">
        <f>73.1717 * CHOOSE(CONTROL!$C$15, $E$9, 100%, $G$9) + CHOOSE(CONTROL!$C$38, 0.0347, 0)</f>
        <v>73.206400000000002</v>
      </c>
      <c r="I999" s="10">
        <f>73.1732 * CHOOSE(CONTROL!$C$15, $E$9, 100%, $G$9) + CHOOSE(CONTROL!$C$38, 0.0347, 0)</f>
        <v>73.207899999999995</v>
      </c>
      <c r="J999" s="26">
        <f>517.6813</f>
        <v>517.68129999999996</v>
      </c>
    </row>
    <row r="1000" spans="1:10" ht="15.75" x14ac:dyDescent="0.25">
      <c r="A1000" s="13">
        <v>71741</v>
      </c>
      <c r="B1000" s="10">
        <f>78.6968 * CHOOSE(CONTROL!$C$15, $E$9, 100%, $G$9) + CHOOSE(CONTROL!$C$38, 0.0278, 0)</f>
        <v>78.724599999999995</v>
      </c>
      <c r="C1000" s="10">
        <f>72.6571 * CHOOSE(CONTROL!$C$15, $E$9, 100%, $G$9) + CHOOSE(CONTROL!$C$38, 0.0369, 0)</f>
        <v>72.694000000000003</v>
      </c>
      <c r="D1000" s="10">
        <f>72.6493 * CHOOSE(CONTROL!$C$15, $E$9, 100%, $G$9) + CHOOSE(CONTROL!$C$38, 0.0369, 0)</f>
        <v>72.686199999999999</v>
      </c>
      <c r="E1000" s="28">
        <f>78.5406 * CHOOSE(CONTROL!$C$15, $E$9, 100%, $G$9) + CHOOSE(CONTROL!$C$38, 0.0369, 0)</f>
        <v>78.577500000000001</v>
      </c>
      <c r="F1000" s="27">
        <f>78.5406 * CHOOSE(CONTROL!$C$15, $E$9, 100%, $G$9) + CHOOSE(CONTROL!$C$38, 0.0278, 0)</f>
        <v>78.568399999999997</v>
      </c>
      <c r="G1000" s="10">
        <f>72.6556 * CHOOSE(CONTROL!$C$15, $E$9, 100%, $G$9) + CHOOSE(CONTROL!$C$38, 0.0369, 0)</f>
        <v>72.69250000000001</v>
      </c>
      <c r="H1000" s="10">
        <f>72.6556 * CHOOSE(CONTROL!$C$15, $E$9, 100%, $G$9) + CHOOSE(CONTROL!$C$38, 0.0369, 0)</f>
        <v>72.69250000000001</v>
      </c>
      <c r="I1000" s="10">
        <f>72.6571 * CHOOSE(CONTROL!$C$15, $E$9, 100%, $G$9) + CHOOSE(CONTROL!$C$38, 0.0369, 0)</f>
        <v>72.694000000000003</v>
      </c>
      <c r="J1000" s="26">
        <f>535.0537</f>
        <v>535.05370000000005</v>
      </c>
    </row>
    <row r="1001" spans="1:10" ht="15.75" x14ac:dyDescent="0.25">
      <c r="A1001" s="13">
        <v>71771</v>
      </c>
      <c r="B1001" s="10">
        <f>78.335 * CHOOSE(CONTROL!$C$15, $E$9, 100%, $G$9) + CHOOSE(CONTROL!$C$38, 0.0278, 0)</f>
        <v>78.362799999999993</v>
      </c>
      <c r="C1001" s="10">
        <f>72.2953 * CHOOSE(CONTROL!$C$15, $E$9, 100%, $G$9) + CHOOSE(CONTROL!$C$38, 0.0369, 0)</f>
        <v>72.3322</v>
      </c>
      <c r="D1001" s="10">
        <f>72.2875 * CHOOSE(CONTROL!$C$15, $E$9, 100%, $G$9) + CHOOSE(CONTROL!$C$38, 0.0369, 0)</f>
        <v>72.324399999999997</v>
      </c>
      <c r="E1001" s="28">
        <f>78.1787 * CHOOSE(CONTROL!$C$15, $E$9, 100%, $G$9) + CHOOSE(CONTROL!$C$38, 0.0369, 0)</f>
        <v>78.215600000000009</v>
      </c>
      <c r="F1001" s="27">
        <f>78.1787 * CHOOSE(CONTROL!$C$15, $E$9, 100%, $G$9) + CHOOSE(CONTROL!$C$38, 0.0278, 0)</f>
        <v>78.206500000000005</v>
      </c>
      <c r="G1001" s="10">
        <f>72.2937 * CHOOSE(CONTROL!$C$15, $E$9, 100%, $G$9) + CHOOSE(CONTROL!$C$38, 0.0369, 0)</f>
        <v>72.330600000000004</v>
      </c>
      <c r="H1001" s="10">
        <f>72.2937 * CHOOSE(CONTROL!$C$15, $E$9, 100%, $G$9) + CHOOSE(CONTROL!$C$38, 0.0369, 0)</f>
        <v>72.330600000000004</v>
      </c>
      <c r="I1001" s="10">
        <f>72.2953 * CHOOSE(CONTROL!$C$15, $E$9, 100%, $G$9) + CHOOSE(CONTROL!$C$38, 0.0369, 0)</f>
        <v>72.3322</v>
      </c>
      <c r="J1001" s="26">
        <f>542.7632</f>
        <v>542.76319999999998</v>
      </c>
    </row>
    <row r="1002" spans="1:10" ht="15.75" x14ac:dyDescent="0.25">
      <c r="A1002" s="13">
        <v>71802</v>
      </c>
      <c r="B1002" s="10">
        <f>78.1285 * CHOOSE(CONTROL!$C$15, $E$9, 100%, $G$9) + CHOOSE(CONTROL!$C$38, 0.0278, 0)</f>
        <v>78.156300000000002</v>
      </c>
      <c r="C1002" s="10">
        <f>72.0888 * CHOOSE(CONTROL!$C$15, $E$9, 100%, $G$9) + CHOOSE(CONTROL!$C$38, 0.0369, 0)</f>
        <v>72.125700000000009</v>
      </c>
      <c r="D1002" s="10">
        <f>72.081 * CHOOSE(CONTROL!$C$15, $E$9, 100%, $G$9) + CHOOSE(CONTROL!$C$38, 0.0369, 0)</f>
        <v>72.117900000000006</v>
      </c>
      <c r="E1002" s="28">
        <f>77.9723 * CHOOSE(CONTROL!$C$15, $E$9, 100%, $G$9) + CHOOSE(CONTROL!$C$38, 0.0369, 0)</f>
        <v>78.009200000000007</v>
      </c>
      <c r="F1002" s="27">
        <f>77.9723 * CHOOSE(CONTROL!$C$15, $E$9, 100%, $G$9) + CHOOSE(CONTROL!$C$38, 0.0278, 0)</f>
        <v>78.000100000000003</v>
      </c>
      <c r="G1002" s="10">
        <f>72.0872 * CHOOSE(CONTROL!$C$15, $E$9, 100%, $G$9) + CHOOSE(CONTROL!$C$38, 0.0369, 0)</f>
        <v>72.124099999999999</v>
      </c>
      <c r="H1002" s="10">
        <f>72.0872 * CHOOSE(CONTROL!$C$15, $E$9, 100%, $G$9) + CHOOSE(CONTROL!$C$38, 0.0369, 0)</f>
        <v>72.124099999999999</v>
      </c>
      <c r="I1002" s="10">
        <f>72.0888 * CHOOSE(CONTROL!$C$15, $E$9, 100%, $G$9) + CHOOSE(CONTROL!$C$38, 0.0369, 0)</f>
        <v>72.125700000000009</v>
      </c>
      <c r="J1002" s="26">
        <f>540.2249</f>
        <v>540.22490000000005</v>
      </c>
    </row>
    <row r="1003" spans="1:10" ht="15.75" x14ac:dyDescent="0.25">
      <c r="A1003" s="13">
        <v>71833</v>
      </c>
      <c r="B1003" s="10">
        <f>78.2304 * CHOOSE(CONTROL!$C$15, $E$9, 100%, $G$9) + CHOOSE(CONTROL!$C$38, 0.0278, 0)</f>
        <v>78.258200000000002</v>
      </c>
      <c r="C1003" s="10">
        <f>72.1907 * CHOOSE(CONTROL!$C$15, $E$9, 100%, $G$9) + CHOOSE(CONTROL!$C$38, 0.0369, 0)</f>
        <v>72.22760000000001</v>
      </c>
      <c r="D1003" s="10">
        <f>72.1829 * CHOOSE(CONTROL!$C$15, $E$9, 100%, $G$9) + CHOOSE(CONTROL!$C$38, 0.0369, 0)</f>
        <v>72.219800000000006</v>
      </c>
      <c r="E1003" s="28">
        <f>78.0742 * CHOOSE(CONTROL!$C$15, $E$9, 100%, $G$9) + CHOOSE(CONTROL!$C$38, 0.0369, 0)</f>
        <v>78.111100000000008</v>
      </c>
      <c r="F1003" s="27">
        <f>78.0742 * CHOOSE(CONTROL!$C$15, $E$9, 100%, $G$9) + CHOOSE(CONTROL!$C$38, 0.0278, 0)</f>
        <v>78.102000000000004</v>
      </c>
      <c r="G1003" s="10">
        <f>72.1891 * CHOOSE(CONTROL!$C$15, $E$9, 100%, $G$9) + CHOOSE(CONTROL!$C$38, 0.0369, 0)</f>
        <v>72.225999999999999</v>
      </c>
      <c r="H1003" s="10">
        <f>72.1891 * CHOOSE(CONTROL!$C$15, $E$9, 100%, $G$9) + CHOOSE(CONTROL!$C$38, 0.0369, 0)</f>
        <v>72.225999999999999</v>
      </c>
      <c r="I1003" s="10">
        <f>72.1907 * CHOOSE(CONTROL!$C$15, $E$9, 100%, $G$9) + CHOOSE(CONTROL!$C$38, 0.0369, 0)</f>
        <v>72.22760000000001</v>
      </c>
      <c r="J1003" s="26">
        <f>527.6487</f>
        <v>527.64869999999996</v>
      </c>
    </row>
    <row r="1004" spans="1:10" ht="15.75" x14ac:dyDescent="0.25">
      <c r="A1004" s="13">
        <v>71863</v>
      </c>
      <c r="B1004" s="10">
        <f>78.5072 * CHOOSE(CONTROL!$C$15, $E$9, 100%, $G$9) + CHOOSE(CONTROL!$C$38, 0.0278, 0)</f>
        <v>78.534999999999997</v>
      </c>
      <c r="C1004" s="10">
        <f>72.4675 * CHOOSE(CONTROL!$C$15, $E$9, 100%, $G$9) + CHOOSE(CONTROL!$C$38, 0.0369, 0)</f>
        <v>72.504400000000004</v>
      </c>
      <c r="D1004" s="10">
        <f>72.4597 * CHOOSE(CONTROL!$C$15, $E$9, 100%, $G$9) + CHOOSE(CONTROL!$C$38, 0.0369, 0)</f>
        <v>72.496600000000001</v>
      </c>
      <c r="E1004" s="28">
        <f>78.351 * CHOOSE(CONTROL!$C$15, $E$9, 100%, $G$9) + CHOOSE(CONTROL!$C$38, 0.0369, 0)</f>
        <v>78.387900000000002</v>
      </c>
      <c r="F1004" s="27">
        <f>78.351 * CHOOSE(CONTROL!$C$15, $E$9, 100%, $G$9) + CHOOSE(CONTROL!$C$38, 0.0278, 0)</f>
        <v>78.378799999999998</v>
      </c>
      <c r="G1004" s="10">
        <f>72.4659 * CHOOSE(CONTROL!$C$15, $E$9, 100%, $G$9) + CHOOSE(CONTROL!$C$38, 0.0369, 0)</f>
        <v>72.502800000000008</v>
      </c>
      <c r="H1004" s="10">
        <f>72.4659 * CHOOSE(CONTROL!$C$15, $E$9, 100%, $G$9) + CHOOSE(CONTROL!$C$38, 0.0369, 0)</f>
        <v>72.502800000000008</v>
      </c>
      <c r="I1004" s="10">
        <f>72.4675 * CHOOSE(CONTROL!$C$15, $E$9, 100%, $G$9) + CHOOSE(CONTROL!$C$38, 0.0369, 0)</f>
        <v>72.504400000000004</v>
      </c>
      <c r="J1004" s="26">
        <f>510.1105</f>
        <v>510.1105</v>
      </c>
    </row>
    <row r="1005" spans="1:10" ht="15.75" x14ac:dyDescent="0.25">
      <c r="A1005" s="13">
        <v>71894</v>
      </c>
      <c r="B1005" s="10">
        <f>78.739 * CHOOSE(CONTROL!$C$15, $E$9, 100%, $G$9) + CHOOSE(CONTROL!$C$38, 0.0256, 0)</f>
        <v>78.764600000000002</v>
      </c>
      <c r="C1005" s="10">
        <f>72.6993 * CHOOSE(CONTROL!$C$15, $E$9, 100%, $G$9) + CHOOSE(CONTROL!$C$38, 0.0347, 0)</f>
        <v>72.733999999999995</v>
      </c>
      <c r="D1005" s="10">
        <f>72.6915 * CHOOSE(CONTROL!$C$15, $E$9, 100%, $G$9) + CHOOSE(CONTROL!$C$38, 0.0347, 0)</f>
        <v>72.726200000000006</v>
      </c>
      <c r="E1005" s="28">
        <f>78.5828 * CHOOSE(CONTROL!$C$15, $E$9, 100%, $G$9) + CHOOSE(CONTROL!$C$38, 0.0347, 0)</f>
        <v>78.617500000000007</v>
      </c>
      <c r="F1005" s="27">
        <f>78.5828 * CHOOSE(CONTROL!$C$15, $E$9, 100%, $G$9) + CHOOSE(CONTROL!$C$38, 0.0256, 0)</f>
        <v>78.608400000000003</v>
      </c>
      <c r="G1005" s="10">
        <f>72.6978 * CHOOSE(CONTROL!$C$15, $E$9, 100%, $G$9) + CHOOSE(CONTROL!$C$38, 0.0347, 0)</f>
        <v>72.732500000000002</v>
      </c>
      <c r="H1005" s="10">
        <f>72.6978 * CHOOSE(CONTROL!$C$15, $E$9, 100%, $G$9) + CHOOSE(CONTROL!$C$38, 0.0347, 0)</f>
        <v>72.732500000000002</v>
      </c>
      <c r="I1005" s="10">
        <f>72.6993 * CHOOSE(CONTROL!$C$15, $E$9, 100%, $G$9) + CHOOSE(CONTROL!$C$38, 0.0347, 0)</f>
        <v>72.733999999999995</v>
      </c>
      <c r="J1005" s="26">
        <f>492.4704</f>
        <v>492.47039999999998</v>
      </c>
    </row>
    <row r="1006" spans="1:10" ht="15.75" x14ac:dyDescent="0.25">
      <c r="A1006" s="13">
        <v>71924</v>
      </c>
      <c r="B1006" s="10">
        <f>78.9325 * CHOOSE(CONTROL!$C$15, $E$9, 100%, $G$9) + CHOOSE(CONTROL!$C$38, 0.0256, 0)</f>
        <v>78.958100000000002</v>
      </c>
      <c r="C1006" s="10">
        <f>72.8928 * CHOOSE(CONTROL!$C$15, $E$9, 100%, $G$9) + CHOOSE(CONTROL!$C$38, 0.0347, 0)</f>
        <v>72.927499999999995</v>
      </c>
      <c r="D1006" s="10">
        <f>72.885 * CHOOSE(CONTROL!$C$15, $E$9, 100%, $G$9) + CHOOSE(CONTROL!$C$38, 0.0347, 0)</f>
        <v>72.919700000000006</v>
      </c>
      <c r="E1006" s="28">
        <f>78.7762 * CHOOSE(CONTROL!$C$15, $E$9, 100%, $G$9) + CHOOSE(CONTROL!$C$38, 0.0347, 0)</f>
        <v>78.810900000000004</v>
      </c>
      <c r="F1006" s="27">
        <f>78.7762 * CHOOSE(CONTROL!$C$15, $E$9, 100%, $G$9) + CHOOSE(CONTROL!$C$38, 0.0256, 0)</f>
        <v>78.8018</v>
      </c>
      <c r="G1006" s="10">
        <f>72.8912 * CHOOSE(CONTROL!$C$15, $E$9, 100%, $G$9) + CHOOSE(CONTROL!$C$38, 0.0347, 0)</f>
        <v>72.925899999999999</v>
      </c>
      <c r="H1006" s="10">
        <f>72.8912 * CHOOSE(CONTROL!$C$15, $E$9, 100%, $G$9) + CHOOSE(CONTROL!$C$38, 0.0347, 0)</f>
        <v>72.925899999999999</v>
      </c>
      <c r="I1006" s="10">
        <f>72.8928 * CHOOSE(CONTROL!$C$15, $E$9, 100%, $G$9) + CHOOSE(CONTROL!$C$38, 0.0347, 0)</f>
        <v>72.927499999999995</v>
      </c>
      <c r="J1006" s="26">
        <f>488.9614</f>
        <v>488.96140000000003</v>
      </c>
    </row>
    <row r="1007" spans="1:10" ht="15.75" x14ac:dyDescent="0.25">
      <c r="A1007" s="13">
        <v>71955</v>
      </c>
      <c r="B1007" s="10">
        <f>79.5285 * CHOOSE(CONTROL!$C$15, $E$9, 100%, $G$9) + CHOOSE(CONTROL!$C$38, 0.0256, 0)</f>
        <v>79.554099999999991</v>
      </c>
      <c r="C1007" s="10">
        <f>73.4888 * CHOOSE(CONTROL!$C$15, $E$9, 100%, $G$9) + CHOOSE(CONTROL!$C$38, 0.0347, 0)</f>
        <v>73.523499999999999</v>
      </c>
      <c r="D1007" s="10">
        <f>73.481 * CHOOSE(CONTROL!$C$15, $E$9, 100%, $G$9) + CHOOSE(CONTROL!$C$38, 0.0347, 0)</f>
        <v>73.515699999999995</v>
      </c>
      <c r="E1007" s="28">
        <f>79.3723 * CHOOSE(CONTROL!$C$15, $E$9, 100%, $G$9) + CHOOSE(CONTROL!$C$38, 0.0347, 0)</f>
        <v>79.406999999999996</v>
      </c>
      <c r="F1007" s="27">
        <f>79.3723 * CHOOSE(CONTROL!$C$15, $E$9, 100%, $G$9) + CHOOSE(CONTROL!$C$38, 0.0256, 0)</f>
        <v>79.397899999999993</v>
      </c>
      <c r="G1007" s="10">
        <f>73.4873 * CHOOSE(CONTROL!$C$15, $E$9, 100%, $G$9) + CHOOSE(CONTROL!$C$38, 0.0347, 0)</f>
        <v>73.522000000000006</v>
      </c>
      <c r="H1007" s="10">
        <f>73.4873 * CHOOSE(CONTROL!$C$15, $E$9, 100%, $G$9) + CHOOSE(CONTROL!$C$38, 0.0347, 0)</f>
        <v>73.522000000000006</v>
      </c>
      <c r="I1007" s="10">
        <f>73.4888 * CHOOSE(CONTROL!$C$15, $E$9, 100%, $G$9) + CHOOSE(CONTROL!$C$38, 0.0347, 0)</f>
        <v>73.523499999999999</v>
      </c>
      <c r="J1007" s="26">
        <f>474.4514</f>
        <v>474.45139999999998</v>
      </c>
    </row>
    <row r="1008" spans="1:10" ht="15.75" x14ac:dyDescent="0.25">
      <c r="A1008" s="13">
        <v>71986</v>
      </c>
      <c r="B1008" s="10">
        <f>81.3836 * CHOOSE(CONTROL!$C$15, $E$9, 100%, $G$9) + CHOOSE(CONTROL!$C$38, 0.0256, 0)</f>
        <v>81.409199999999998</v>
      </c>
      <c r="C1008" s="10">
        <f>75.24 * CHOOSE(CONTROL!$C$15, $E$9, 100%, $G$9) + CHOOSE(CONTROL!$C$38, 0.0347, 0)</f>
        <v>75.274699999999996</v>
      </c>
      <c r="D1008" s="10">
        <f>75.2322 * CHOOSE(CONTROL!$C$15, $E$9, 100%, $G$9) + CHOOSE(CONTROL!$C$38, 0.0347, 0)</f>
        <v>75.266900000000007</v>
      </c>
      <c r="E1008" s="28">
        <f>81.2274 * CHOOSE(CONTROL!$C$15, $E$9, 100%, $G$9) + CHOOSE(CONTROL!$C$38, 0.0347, 0)</f>
        <v>81.262100000000004</v>
      </c>
      <c r="F1008" s="27">
        <f>81.2274 * CHOOSE(CONTROL!$C$15, $E$9, 100%, $G$9) + CHOOSE(CONTROL!$C$38, 0.0256, 0)</f>
        <v>81.253</v>
      </c>
      <c r="G1008" s="10">
        <f>75.2384 * CHOOSE(CONTROL!$C$15, $E$9, 100%, $G$9) + CHOOSE(CONTROL!$C$38, 0.0347, 0)</f>
        <v>75.273099999999999</v>
      </c>
      <c r="H1008" s="10">
        <f>75.2384 * CHOOSE(CONTROL!$C$15, $E$9, 100%, $G$9) + CHOOSE(CONTROL!$C$38, 0.0347, 0)</f>
        <v>75.273099999999999</v>
      </c>
      <c r="I1008" s="10">
        <f>75.24 * CHOOSE(CONTROL!$C$15, $E$9, 100%, $G$9) + CHOOSE(CONTROL!$C$38, 0.0347, 0)</f>
        <v>75.274699999999996</v>
      </c>
      <c r="J1008" s="26">
        <f>471.2733</f>
        <v>471.27330000000001</v>
      </c>
    </row>
    <row r="1009" spans="1:10" ht="15.75" x14ac:dyDescent="0.25">
      <c r="A1009" s="13">
        <v>72014</v>
      </c>
      <c r="B1009" s="10">
        <f>81.6044 * CHOOSE(CONTROL!$C$15, $E$9, 100%, $G$9) + CHOOSE(CONTROL!$C$38, 0.0256, 0)</f>
        <v>81.63</v>
      </c>
      <c r="C1009" s="10">
        <f>75.4607 * CHOOSE(CONTROL!$C$15, $E$9, 100%, $G$9) + CHOOSE(CONTROL!$C$38, 0.0347, 0)</f>
        <v>75.495400000000004</v>
      </c>
      <c r="D1009" s="10">
        <f>75.4529 * CHOOSE(CONTROL!$C$15, $E$9, 100%, $G$9) + CHOOSE(CONTROL!$C$38, 0.0347, 0)</f>
        <v>75.4876</v>
      </c>
      <c r="E1009" s="28">
        <f>81.4481 * CHOOSE(CONTROL!$C$15, $E$9, 100%, $G$9) + CHOOSE(CONTROL!$C$38, 0.0347, 0)</f>
        <v>81.482799999999997</v>
      </c>
      <c r="F1009" s="27">
        <f>81.4481 * CHOOSE(CONTROL!$C$15, $E$9, 100%, $G$9) + CHOOSE(CONTROL!$C$38, 0.0256, 0)</f>
        <v>81.473699999999994</v>
      </c>
      <c r="G1009" s="10">
        <f>75.4592 * CHOOSE(CONTROL!$C$15, $E$9, 100%, $G$9) + CHOOSE(CONTROL!$C$38, 0.0347, 0)</f>
        <v>75.493899999999996</v>
      </c>
      <c r="H1009" s="10">
        <f>75.4592 * CHOOSE(CONTROL!$C$15, $E$9, 100%, $G$9) + CHOOSE(CONTROL!$C$38, 0.0347, 0)</f>
        <v>75.493899999999996</v>
      </c>
      <c r="I1009" s="10">
        <f>75.4607 * CHOOSE(CONTROL!$C$15, $E$9, 100%, $G$9) + CHOOSE(CONTROL!$C$38, 0.0347, 0)</f>
        <v>75.495400000000004</v>
      </c>
      <c r="J1009" s="26">
        <f>469.9634</f>
        <v>469.96339999999998</v>
      </c>
    </row>
    <row r="1010" spans="1:10" ht="15.75" x14ac:dyDescent="0.25">
      <c r="A1010" s="13">
        <v>72045</v>
      </c>
      <c r="B1010" s="10">
        <f>81.0934 * CHOOSE(CONTROL!$C$15, $E$9, 100%, $G$9) + CHOOSE(CONTROL!$C$38, 0.0256, 0)</f>
        <v>81.119</v>
      </c>
      <c r="C1010" s="10">
        <f>74.9497 * CHOOSE(CONTROL!$C$15, $E$9, 100%, $G$9) + CHOOSE(CONTROL!$C$38, 0.0347, 0)</f>
        <v>74.984400000000008</v>
      </c>
      <c r="D1010" s="10">
        <f>74.9419 * CHOOSE(CONTROL!$C$15, $E$9, 100%, $G$9) + CHOOSE(CONTROL!$C$38, 0.0347, 0)</f>
        <v>74.976600000000005</v>
      </c>
      <c r="E1010" s="28">
        <f>80.9371 * CHOOSE(CONTROL!$C$15, $E$9, 100%, $G$9) + CHOOSE(CONTROL!$C$38, 0.0347, 0)</f>
        <v>80.971800000000002</v>
      </c>
      <c r="F1010" s="27">
        <f>80.9371 * CHOOSE(CONTROL!$C$15, $E$9, 100%, $G$9) + CHOOSE(CONTROL!$C$38, 0.0256, 0)</f>
        <v>80.962699999999998</v>
      </c>
      <c r="G1010" s="10">
        <f>74.9481 * CHOOSE(CONTROL!$C$15, $E$9, 100%, $G$9) + CHOOSE(CONTROL!$C$38, 0.0347, 0)</f>
        <v>74.982799999999997</v>
      </c>
      <c r="H1010" s="10">
        <f>74.9481 * CHOOSE(CONTROL!$C$15, $E$9, 100%, $G$9) + CHOOSE(CONTROL!$C$38, 0.0347, 0)</f>
        <v>74.982799999999997</v>
      </c>
      <c r="I1010" s="10">
        <f>74.9497 * CHOOSE(CONTROL!$C$15, $E$9, 100%, $G$9) + CHOOSE(CONTROL!$C$38, 0.0347, 0)</f>
        <v>74.984400000000008</v>
      </c>
      <c r="J1010" s="26">
        <f>494.7331</f>
        <v>494.73309999999998</v>
      </c>
    </row>
    <row r="1011" spans="1:10" ht="15.75" x14ac:dyDescent="0.25">
      <c r="A1011" s="13">
        <v>72075</v>
      </c>
      <c r="B1011" s="10">
        <f>80.5982 * CHOOSE(CONTROL!$C$15, $E$9, 100%, $G$9) + CHOOSE(CONTROL!$C$38, 0.0256, 0)</f>
        <v>80.623800000000003</v>
      </c>
      <c r="C1011" s="10">
        <f>74.4545 * CHOOSE(CONTROL!$C$15, $E$9, 100%, $G$9) + CHOOSE(CONTROL!$C$38, 0.0347, 0)</f>
        <v>74.489199999999997</v>
      </c>
      <c r="D1011" s="10">
        <f>74.4467 * CHOOSE(CONTROL!$C$15, $E$9, 100%, $G$9) + CHOOSE(CONTROL!$C$38, 0.0347, 0)</f>
        <v>74.481400000000008</v>
      </c>
      <c r="E1011" s="28">
        <f>80.4419 * CHOOSE(CONTROL!$C$15, $E$9, 100%, $G$9) + CHOOSE(CONTROL!$C$38, 0.0347, 0)</f>
        <v>80.476600000000005</v>
      </c>
      <c r="F1011" s="27">
        <f>80.4419 * CHOOSE(CONTROL!$C$15, $E$9, 100%, $G$9) + CHOOSE(CONTROL!$C$38, 0.0256, 0)</f>
        <v>80.467500000000001</v>
      </c>
      <c r="G1011" s="10">
        <f>74.453 * CHOOSE(CONTROL!$C$15, $E$9, 100%, $G$9) + CHOOSE(CONTROL!$C$38, 0.0347, 0)</f>
        <v>74.487700000000004</v>
      </c>
      <c r="H1011" s="10">
        <f>74.453 * CHOOSE(CONTROL!$C$15, $E$9, 100%, $G$9) + CHOOSE(CONTROL!$C$38, 0.0347, 0)</f>
        <v>74.487700000000004</v>
      </c>
      <c r="I1011" s="10">
        <f>74.4545 * CHOOSE(CONTROL!$C$15, $E$9, 100%, $G$9) + CHOOSE(CONTROL!$C$38, 0.0347, 0)</f>
        <v>74.489199999999997</v>
      </c>
      <c r="J1011" s="26">
        <f>526.8536</f>
        <v>526.85360000000003</v>
      </c>
    </row>
    <row r="1012" spans="1:10" ht="15.75" x14ac:dyDescent="0.25">
      <c r="A1012" s="13">
        <v>72106</v>
      </c>
      <c r="B1012" s="10">
        <f>80.0821 * CHOOSE(CONTROL!$C$15, $E$9, 100%, $G$9) + CHOOSE(CONTROL!$C$38, 0.0278, 0)</f>
        <v>80.109899999999996</v>
      </c>
      <c r="C1012" s="10">
        <f>73.9384 * CHOOSE(CONTROL!$C$15, $E$9, 100%, $G$9) + CHOOSE(CONTROL!$C$38, 0.0369, 0)</f>
        <v>73.975300000000004</v>
      </c>
      <c r="D1012" s="10">
        <f>73.9306 * CHOOSE(CONTROL!$C$15, $E$9, 100%, $G$9) + CHOOSE(CONTROL!$C$38, 0.0369, 0)</f>
        <v>73.967500000000001</v>
      </c>
      <c r="E1012" s="28">
        <f>79.9258 * CHOOSE(CONTROL!$C$15, $E$9, 100%, $G$9) + CHOOSE(CONTROL!$C$38, 0.0369, 0)</f>
        <v>79.962699999999998</v>
      </c>
      <c r="F1012" s="27">
        <f>79.9258 * CHOOSE(CONTROL!$C$15, $E$9, 100%, $G$9) + CHOOSE(CONTROL!$C$38, 0.0278, 0)</f>
        <v>79.953599999999994</v>
      </c>
      <c r="G1012" s="10">
        <f>73.9368 * CHOOSE(CONTROL!$C$15, $E$9, 100%, $G$9) + CHOOSE(CONTROL!$C$38, 0.0369, 0)</f>
        <v>73.973700000000008</v>
      </c>
      <c r="H1012" s="10">
        <f>73.9368 * CHOOSE(CONTROL!$C$15, $E$9, 100%, $G$9) + CHOOSE(CONTROL!$C$38, 0.0369, 0)</f>
        <v>73.973700000000008</v>
      </c>
      <c r="I1012" s="10">
        <f>73.9384 * CHOOSE(CONTROL!$C$15, $E$9, 100%, $G$9) + CHOOSE(CONTROL!$C$38, 0.0369, 0)</f>
        <v>73.975300000000004</v>
      </c>
      <c r="J1012" s="26">
        <f>544.5338</f>
        <v>544.53380000000004</v>
      </c>
    </row>
    <row r="1013" spans="1:10" ht="15.75" x14ac:dyDescent="0.25">
      <c r="A1013" s="13">
        <v>72136</v>
      </c>
      <c r="B1013" s="10">
        <f>79.7202 * CHOOSE(CONTROL!$C$15, $E$9, 100%, $G$9) + CHOOSE(CONTROL!$C$38, 0.0278, 0)</f>
        <v>79.748000000000005</v>
      </c>
      <c r="C1013" s="10">
        <f>73.5766 * CHOOSE(CONTROL!$C$15, $E$9, 100%, $G$9) + CHOOSE(CONTROL!$C$38, 0.0369, 0)</f>
        <v>73.613500000000002</v>
      </c>
      <c r="D1013" s="10">
        <f>73.5688 * CHOOSE(CONTROL!$C$15, $E$9, 100%, $G$9) + CHOOSE(CONTROL!$C$38, 0.0369, 0)</f>
        <v>73.605699999999999</v>
      </c>
      <c r="E1013" s="28">
        <f>79.564 * CHOOSE(CONTROL!$C$15, $E$9, 100%, $G$9) + CHOOSE(CONTROL!$C$38, 0.0369, 0)</f>
        <v>79.600899999999996</v>
      </c>
      <c r="F1013" s="27">
        <f>79.564 * CHOOSE(CONTROL!$C$15, $E$9, 100%, $G$9) + CHOOSE(CONTROL!$C$38, 0.0278, 0)</f>
        <v>79.591799999999992</v>
      </c>
      <c r="G1013" s="10">
        <f>73.575 * CHOOSE(CONTROL!$C$15, $E$9, 100%, $G$9) + CHOOSE(CONTROL!$C$38, 0.0369, 0)</f>
        <v>73.611900000000006</v>
      </c>
      <c r="H1013" s="10">
        <f>73.575 * CHOOSE(CONTROL!$C$15, $E$9, 100%, $G$9) + CHOOSE(CONTROL!$C$38, 0.0369, 0)</f>
        <v>73.611900000000006</v>
      </c>
      <c r="I1013" s="10">
        <f>73.5766 * CHOOSE(CONTROL!$C$15, $E$9, 100%, $G$9) + CHOOSE(CONTROL!$C$38, 0.0369, 0)</f>
        <v>73.613500000000002</v>
      </c>
      <c r="J1013" s="26">
        <f>552.3799</f>
        <v>552.37990000000002</v>
      </c>
    </row>
    <row r="1014" spans="1:10" ht="15.75" x14ac:dyDescent="0.25">
      <c r="A1014" s="13">
        <v>72167</v>
      </c>
      <c r="B1014" s="10">
        <f>79.5137 * CHOOSE(CONTROL!$C$15, $E$9, 100%, $G$9) + CHOOSE(CONTROL!$C$38, 0.0278, 0)</f>
        <v>79.541499999999999</v>
      </c>
      <c r="C1014" s="10">
        <f>73.3701 * CHOOSE(CONTROL!$C$15, $E$9, 100%, $G$9) + CHOOSE(CONTROL!$C$38, 0.0369, 0)</f>
        <v>73.406999999999996</v>
      </c>
      <c r="D1014" s="10">
        <f>73.3623 * CHOOSE(CONTROL!$C$15, $E$9, 100%, $G$9) + CHOOSE(CONTROL!$C$38, 0.0369, 0)</f>
        <v>73.399200000000008</v>
      </c>
      <c r="E1014" s="28">
        <f>79.3575 * CHOOSE(CONTROL!$C$15, $E$9, 100%, $G$9) + CHOOSE(CONTROL!$C$38, 0.0369, 0)</f>
        <v>79.394400000000005</v>
      </c>
      <c r="F1014" s="27">
        <f>79.3575 * CHOOSE(CONTROL!$C$15, $E$9, 100%, $G$9) + CHOOSE(CONTROL!$C$38, 0.0278, 0)</f>
        <v>79.385300000000001</v>
      </c>
      <c r="G1014" s="10">
        <f>73.3685 * CHOOSE(CONTROL!$C$15, $E$9, 100%, $G$9) + CHOOSE(CONTROL!$C$38, 0.0369, 0)</f>
        <v>73.4054</v>
      </c>
      <c r="H1014" s="10">
        <f>73.3685 * CHOOSE(CONTROL!$C$15, $E$9, 100%, $G$9) + CHOOSE(CONTROL!$C$38, 0.0369, 0)</f>
        <v>73.4054</v>
      </c>
      <c r="I1014" s="10">
        <f>73.3701 * CHOOSE(CONTROL!$C$15, $E$9, 100%, $G$9) + CHOOSE(CONTROL!$C$38, 0.0369, 0)</f>
        <v>73.406999999999996</v>
      </c>
      <c r="J1014" s="26">
        <f>549.7966</f>
        <v>549.79660000000001</v>
      </c>
    </row>
    <row r="1015" spans="1:10" ht="15.75" x14ac:dyDescent="0.25">
      <c r="A1015" s="13">
        <v>72198</v>
      </c>
      <c r="B1015" s="10">
        <f>79.6157 * CHOOSE(CONTROL!$C$15, $E$9, 100%, $G$9) + CHOOSE(CONTROL!$C$38, 0.0278, 0)</f>
        <v>79.643500000000003</v>
      </c>
      <c r="C1015" s="10">
        <f>73.472 * CHOOSE(CONTROL!$C$15, $E$9, 100%, $G$9) + CHOOSE(CONTROL!$C$38, 0.0369, 0)</f>
        <v>73.508899999999997</v>
      </c>
      <c r="D1015" s="10">
        <f>73.4642 * CHOOSE(CONTROL!$C$15, $E$9, 100%, $G$9) + CHOOSE(CONTROL!$C$38, 0.0369, 0)</f>
        <v>73.501100000000008</v>
      </c>
      <c r="E1015" s="28">
        <f>79.4594 * CHOOSE(CONTROL!$C$15, $E$9, 100%, $G$9) + CHOOSE(CONTROL!$C$38, 0.0369, 0)</f>
        <v>79.496300000000005</v>
      </c>
      <c r="F1015" s="27">
        <f>79.4594 * CHOOSE(CONTROL!$C$15, $E$9, 100%, $G$9) + CHOOSE(CONTROL!$C$38, 0.0278, 0)</f>
        <v>79.487200000000001</v>
      </c>
      <c r="G1015" s="10">
        <f>73.4704 * CHOOSE(CONTROL!$C$15, $E$9, 100%, $G$9) + CHOOSE(CONTROL!$C$38, 0.0369, 0)</f>
        <v>73.507300000000001</v>
      </c>
      <c r="H1015" s="10">
        <f>73.4704 * CHOOSE(CONTROL!$C$15, $E$9, 100%, $G$9) + CHOOSE(CONTROL!$C$38, 0.0369, 0)</f>
        <v>73.507300000000001</v>
      </c>
      <c r="I1015" s="10">
        <f>73.472 * CHOOSE(CONTROL!$C$15, $E$9, 100%, $G$9) + CHOOSE(CONTROL!$C$38, 0.0369, 0)</f>
        <v>73.508899999999997</v>
      </c>
      <c r="J1015" s="26">
        <f>536.9976</f>
        <v>536.99760000000003</v>
      </c>
    </row>
    <row r="1016" spans="1:10" ht="15.75" x14ac:dyDescent="0.25">
      <c r="A1016" s="13">
        <v>72228</v>
      </c>
      <c r="B1016" s="10">
        <f>79.8925 * CHOOSE(CONTROL!$C$15, $E$9, 100%, $G$9) + CHOOSE(CONTROL!$C$38, 0.0278, 0)</f>
        <v>79.920299999999997</v>
      </c>
      <c r="C1016" s="10">
        <f>73.7488 * CHOOSE(CONTROL!$C$15, $E$9, 100%, $G$9) + CHOOSE(CONTROL!$C$38, 0.0369, 0)</f>
        <v>73.785700000000006</v>
      </c>
      <c r="D1016" s="10">
        <f>73.741 * CHOOSE(CONTROL!$C$15, $E$9, 100%, $G$9) + CHOOSE(CONTROL!$C$38, 0.0369, 0)</f>
        <v>73.777900000000002</v>
      </c>
      <c r="E1016" s="28">
        <f>79.7362 * CHOOSE(CONTROL!$C$15, $E$9, 100%, $G$9) + CHOOSE(CONTROL!$C$38, 0.0369, 0)</f>
        <v>79.773099999999999</v>
      </c>
      <c r="F1016" s="27">
        <f>79.7362 * CHOOSE(CONTROL!$C$15, $E$9, 100%, $G$9) + CHOOSE(CONTROL!$C$38, 0.0278, 0)</f>
        <v>79.763999999999996</v>
      </c>
      <c r="G1016" s="10">
        <f>73.7472 * CHOOSE(CONTROL!$C$15, $E$9, 100%, $G$9) + CHOOSE(CONTROL!$C$38, 0.0369, 0)</f>
        <v>73.784100000000009</v>
      </c>
      <c r="H1016" s="10">
        <f>73.7472 * CHOOSE(CONTROL!$C$15, $E$9, 100%, $G$9) + CHOOSE(CONTROL!$C$38, 0.0369, 0)</f>
        <v>73.784100000000009</v>
      </c>
      <c r="I1016" s="10">
        <f>73.7488 * CHOOSE(CONTROL!$C$15, $E$9, 100%, $G$9) + CHOOSE(CONTROL!$C$38, 0.0369, 0)</f>
        <v>73.785700000000006</v>
      </c>
      <c r="J1016" s="26">
        <f>519.1487</f>
        <v>519.14869999999996</v>
      </c>
    </row>
    <row r="1017" spans="1:10" ht="15.75" x14ac:dyDescent="0.25">
      <c r="A1017" s="13">
        <v>72259</v>
      </c>
      <c r="B1017" s="10">
        <f>80.1243 * CHOOSE(CONTROL!$C$15, $E$9, 100%, $G$9) + CHOOSE(CONTROL!$C$38, 0.0256, 0)</f>
        <v>80.149900000000002</v>
      </c>
      <c r="C1017" s="10">
        <f>73.9806 * CHOOSE(CONTROL!$C$15, $E$9, 100%, $G$9) + CHOOSE(CONTROL!$C$38, 0.0347, 0)</f>
        <v>74.015299999999996</v>
      </c>
      <c r="D1017" s="10">
        <f>73.9728 * CHOOSE(CONTROL!$C$15, $E$9, 100%, $G$9) + CHOOSE(CONTROL!$C$38, 0.0347, 0)</f>
        <v>74.007500000000007</v>
      </c>
      <c r="E1017" s="28">
        <f>79.968 * CHOOSE(CONTROL!$C$15, $E$9, 100%, $G$9) + CHOOSE(CONTROL!$C$38, 0.0347, 0)</f>
        <v>80.002700000000004</v>
      </c>
      <c r="F1017" s="27">
        <f>79.968 * CHOOSE(CONTROL!$C$15, $E$9, 100%, $G$9) + CHOOSE(CONTROL!$C$38, 0.0256, 0)</f>
        <v>79.993600000000001</v>
      </c>
      <c r="G1017" s="10">
        <f>73.9791 * CHOOSE(CONTROL!$C$15, $E$9, 100%, $G$9) + CHOOSE(CONTROL!$C$38, 0.0347, 0)</f>
        <v>74.013800000000003</v>
      </c>
      <c r="H1017" s="10">
        <f>73.9791 * CHOOSE(CONTROL!$C$15, $E$9, 100%, $G$9) + CHOOSE(CONTROL!$C$38, 0.0347, 0)</f>
        <v>74.013800000000003</v>
      </c>
      <c r="I1017" s="10">
        <f>73.9806 * CHOOSE(CONTROL!$C$15, $E$9, 100%, $G$9) + CHOOSE(CONTROL!$C$38, 0.0347, 0)</f>
        <v>74.015299999999996</v>
      </c>
      <c r="J1017" s="26">
        <f>501.196</f>
        <v>501.19600000000003</v>
      </c>
    </row>
    <row r="1018" spans="1:10" ht="15.75" x14ac:dyDescent="0.25">
      <c r="A1018" s="13">
        <v>72289</v>
      </c>
      <c r="B1018" s="10">
        <f>80.3177 * CHOOSE(CONTROL!$C$15, $E$9, 100%, $G$9) + CHOOSE(CONTROL!$C$38, 0.0256, 0)</f>
        <v>80.343299999999999</v>
      </c>
      <c r="C1018" s="10">
        <f>74.1741 * CHOOSE(CONTROL!$C$15, $E$9, 100%, $G$9) + CHOOSE(CONTROL!$C$38, 0.0347, 0)</f>
        <v>74.208799999999997</v>
      </c>
      <c r="D1018" s="10">
        <f>74.1662 * CHOOSE(CONTROL!$C$15, $E$9, 100%, $G$9) + CHOOSE(CONTROL!$C$38, 0.0347, 0)</f>
        <v>74.200900000000004</v>
      </c>
      <c r="E1018" s="28">
        <f>80.1615 * CHOOSE(CONTROL!$C$15, $E$9, 100%, $G$9) + CHOOSE(CONTROL!$C$38, 0.0347, 0)</f>
        <v>80.196200000000005</v>
      </c>
      <c r="F1018" s="27">
        <f>80.1615 * CHOOSE(CONTROL!$C$15, $E$9, 100%, $G$9) + CHOOSE(CONTROL!$C$38, 0.0256, 0)</f>
        <v>80.187100000000001</v>
      </c>
      <c r="G1018" s="10">
        <f>74.1725 * CHOOSE(CONTROL!$C$15, $E$9, 100%, $G$9) + CHOOSE(CONTROL!$C$38, 0.0347, 0)</f>
        <v>74.2072</v>
      </c>
      <c r="H1018" s="10">
        <f>74.1725 * CHOOSE(CONTROL!$C$15, $E$9, 100%, $G$9) + CHOOSE(CONTROL!$C$38, 0.0347, 0)</f>
        <v>74.2072</v>
      </c>
      <c r="I1018" s="10">
        <f>74.1741 * CHOOSE(CONTROL!$C$15, $E$9, 100%, $G$9) + CHOOSE(CONTROL!$C$38, 0.0347, 0)</f>
        <v>74.208799999999997</v>
      </c>
      <c r="J1018" s="26">
        <f>497.6249</f>
        <v>497.62490000000003</v>
      </c>
    </row>
    <row r="1019" spans="1:10" ht="15.75" x14ac:dyDescent="0.25">
      <c r="A1019" s="13">
        <v>72320</v>
      </c>
      <c r="B1019" s="10">
        <f>80.9138 * CHOOSE(CONTROL!$C$15, $E$9, 100%, $G$9) + CHOOSE(CONTROL!$C$38, 0.0256, 0)</f>
        <v>80.939399999999992</v>
      </c>
      <c r="C1019" s="10">
        <f>74.7701 * CHOOSE(CONTROL!$C$15, $E$9, 100%, $G$9) + CHOOSE(CONTROL!$C$38, 0.0347, 0)</f>
        <v>74.8048</v>
      </c>
      <c r="D1019" s="10">
        <f>74.7623 * CHOOSE(CONTROL!$C$15, $E$9, 100%, $G$9) + CHOOSE(CONTROL!$C$38, 0.0347, 0)</f>
        <v>74.796999999999997</v>
      </c>
      <c r="E1019" s="28">
        <f>80.7575 * CHOOSE(CONTROL!$C$15, $E$9, 100%, $G$9) + CHOOSE(CONTROL!$C$38, 0.0347, 0)</f>
        <v>80.792199999999994</v>
      </c>
      <c r="F1019" s="27">
        <f>80.7575 * CHOOSE(CONTROL!$C$15, $E$9, 100%, $G$9) + CHOOSE(CONTROL!$C$38, 0.0256, 0)</f>
        <v>80.78309999999999</v>
      </c>
      <c r="G1019" s="10">
        <f>74.7686 * CHOOSE(CONTROL!$C$15, $E$9, 100%, $G$9) + CHOOSE(CONTROL!$C$38, 0.0347, 0)</f>
        <v>74.803300000000007</v>
      </c>
      <c r="H1019" s="10">
        <f>74.7686 * CHOOSE(CONTROL!$C$15, $E$9, 100%, $G$9) + CHOOSE(CONTROL!$C$38, 0.0347, 0)</f>
        <v>74.803300000000007</v>
      </c>
      <c r="I1019" s="10">
        <f>74.7701 * CHOOSE(CONTROL!$C$15, $E$9, 100%, $G$9) + CHOOSE(CONTROL!$C$38, 0.0347, 0)</f>
        <v>74.8048</v>
      </c>
      <c r="J1019" s="26">
        <f>482.8578</f>
        <v>482.8578</v>
      </c>
    </row>
    <row r="1020" spans="1:10" ht="15.75" x14ac:dyDescent="0.25">
      <c r="A1020" s="13">
        <v>72351</v>
      </c>
      <c r="B1020" s="10">
        <f>82.7933 * CHOOSE(CONTROL!$C$15, $E$9, 100%, $G$9) + CHOOSE(CONTROL!$C$38, 0.0256, 0)</f>
        <v>82.818899999999999</v>
      </c>
      <c r="C1020" s="10">
        <f>76.5439 * CHOOSE(CONTROL!$C$15, $E$9, 100%, $G$9) + CHOOSE(CONTROL!$C$38, 0.0347, 0)</f>
        <v>76.578599999999994</v>
      </c>
      <c r="D1020" s="10">
        <f>76.5361 * CHOOSE(CONTROL!$C$15, $E$9, 100%, $G$9) + CHOOSE(CONTROL!$C$38, 0.0347, 0)</f>
        <v>76.570800000000006</v>
      </c>
      <c r="E1020" s="28">
        <f>82.6371 * CHOOSE(CONTROL!$C$15, $E$9, 100%, $G$9) + CHOOSE(CONTROL!$C$38, 0.0347, 0)</f>
        <v>82.671800000000005</v>
      </c>
      <c r="F1020" s="27">
        <f>82.6371 * CHOOSE(CONTROL!$C$15, $E$9, 100%, $G$9) + CHOOSE(CONTROL!$C$38, 0.0256, 0)</f>
        <v>82.662700000000001</v>
      </c>
      <c r="G1020" s="10">
        <f>76.5423 * CHOOSE(CONTROL!$C$15, $E$9, 100%, $G$9) + CHOOSE(CONTROL!$C$38, 0.0347, 0)</f>
        <v>76.576999999999998</v>
      </c>
      <c r="H1020" s="10">
        <f>76.5423 * CHOOSE(CONTROL!$C$15, $E$9, 100%, $G$9) + CHOOSE(CONTROL!$C$38, 0.0347, 0)</f>
        <v>76.576999999999998</v>
      </c>
      <c r="I1020" s="10">
        <f>76.5439 * CHOOSE(CONTROL!$C$15, $E$9, 100%, $G$9) + CHOOSE(CONTROL!$C$38, 0.0347, 0)</f>
        <v>76.578599999999994</v>
      </c>
      <c r="J1020" s="26">
        <f>479.6234</f>
        <v>479.6234</v>
      </c>
    </row>
    <row r="1021" spans="1:10" ht="15.75" x14ac:dyDescent="0.25">
      <c r="A1021" s="13">
        <v>72379</v>
      </c>
      <c r="B1021" s="10">
        <f>83.0141 * CHOOSE(CONTROL!$C$15, $E$9, 100%, $G$9) + CHOOSE(CONTROL!$C$38, 0.0256, 0)</f>
        <v>83.039699999999996</v>
      </c>
      <c r="C1021" s="10">
        <f>76.7647 * CHOOSE(CONTROL!$C$15, $E$9, 100%, $G$9) + CHOOSE(CONTROL!$C$38, 0.0347, 0)</f>
        <v>76.799400000000006</v>
      </c>
      <c r="D1021" s="10">
        <f>76.7568 * CHOOSE(CONTROL!$C$15, $E$9, 100%, $G$9) + CHOOSE(CONTROL!$C$38, 0.0347, 0)</f>
        <v>76.791499999999999</v>
      </c>
      <c r="E1021" s="28">
        <f>82.8579 * CHOOSE(CONTROL!$C$15, $E$9, 100%, $G$9) + CHOOSE(CONTROL!$C$38, 0.0347, 0)</f>
        <v>82.892600000000002</v>
      </c>
      <c r="F1021" s="27">
        <f>82.8579 * CHOOSE(CONTROL!$C$15, $E$9, 100%, $G$9) + CHOOSE(CONTROL!$C$38, 0.0256, 0)</f>
        <v>82.883499999999998</v>
      </c>
      <c r="G1021" s="10">
        <f>76.7631 * CHOOSE(CONTROL!$C$15, $E$9, 100%, $G$9) + CHOOSE(CONTROL!$C$38, 0.0347, 0)</f>
        <v>76.797799999999995</v>
      </c>
      <c r="H1021" s="10">
        <f>76.7631 * CHOOSE(CONTROL!$C$15, $E$9, 100%, $G$9) + CHOOSE(CONTROL!$C$38, 0.0347, 0)</f>
        <v>76.797799999999995</v>
      </c>
      <c r="I1021" s="10">
        <f>76.7647 * CHOOSE(CONTROL!$C$15, $E$9, 100%, $G$9) + CHOOSE(CONTROL!$C$38, 0.0347, 0)</f>
        <v>76.799400000000006</v>
      </c>
      <c r="J1021" s="26">
        <f>478.2902</f>
        <v>478.29020000000003</v>
      </c>
    </row>
    <row r="1022" spans="1:10" ht="15.75" x14ac:dyDescent="0.25">
      <c r="A1022" s="13">
        <v>72410</v>
      </c>
      <c r="B1022" s="10">
        <f>82.5031 * CHOOSE(CONTROL!$C$15, $E$9, 100%, $G$9) + CHOOSE(CONTROL!$C$38, 0.0256, 0)</f>
        <v>82.528700000000001</v>
      </c>
      <c r="C1022" s="10">
        <f>76.2536 * CHOOSE(CONTROL!$C$15, $E$9, 100%, $G$9) + CHOOSE(CONTROL!$C$38, 0.0347, 0)</f>
        <v>76.288300000000007</v>
      </c>
      <c r="D1022" s="10">
        <f>76.2458 * CHOOSE(CONTROL!$C$15, $E$9, 100%, $G$9) + CHOOSE(CONTROL!$C$38, 0.0347, 0)</f>
        <v>76.280500000000004</v>
      </c>
      <c r="E1022" s="28">
        <f>82.3468 * CHOOSE(CONTROL!$C$15, $E$9, 100%, $G$9) + CHOOSE(CONTROL!$C$38, 0.0347, 0)</f>
        <v>82.381500000000003</v>
      </c>
      <c r="F1022" s="27">
        <f>82.3468 * CHOOSE(CONTROL!$C$15, $E$9, 100%, $G$9) + CHOOSE(CONTROL!$C$38, 0.0256, 0)</f>
        <v>82.372399999999999</v>
      </c>
      <c r="G1022" s="10">
        <f>76.2521 * CHOOSE(CONTROL!$C$15, $E$9, 100%, $G$9) + CHOOSE(CONTROL!$C$38, 0.0347, 0)</f>
        <v>76.286799999999999</v>
      </c>
      <c r="H1022" s="10">
        <f>76.2521 * CHOOSE(CONTROL!$C$15, $E$9, 100%, $G$9) + CHOOSE(CONTROL!$C$38, 0.0347, 0)</f>
        <v>76.286799999999999</v>
      </c>
      <c r="I1022" s="10">
        <f>76.2536 * CHOOSE(CONTROL!$C$15, $E$9, 100%, $G$9) + CHOOSE(CONTROL!$C$38, 0.0347, 0)</f>
        <v>76.288300000000007</v>
      </c>
      <c r="J1022" s="26">
        <f>503.4989</f>
        <v>503.49889999999999</v>
      </c>
    </row>
    <row r="1023" spans="1:10" ht="15.75" x14ac:dyDescent="0.25">
      <c r="A1023" s="13">
        <v>72440</v>
      </c>
      <c r="B1023" s="10">
        <f>82.0079 * CHOOSE(CONTROL!$C$15, $E$9, 100%, $G$9) + CHOOSE(CONTROL!$C$38, 0.0256, 0)</f>
        <v>82.033500000000004</v>
      </c>
      <c r="C1023" s="10">
        <f>75.7585 * CHOOSE(CONTROL!$C$15, $E$9, 100%, $G$9) + CHOOSE(CONTROL!$C$38, 0.0347, 0)</f>
        <v>75.793199999999999</v>
      </c>
      <c r="D1023" s="10">
        <f>75.7506 * CHOOSE(CONTROL!$C$15, $E$9, 100%, $G$9) + CHOOSE(CONTROL!$C$38, 0.0347, 0)</f>
        <v>75.785300000000007</v>
      </c>
      <c r="E1023" s="28">
        <f>81.8516 * CHOOSE(CONTROL!$C$15, $E$9, 100%, $G$9) + CHOOSE(CONTROL!$C$38, 0.0347, 0)</f>
        <v>81.886300000000006</v>
      </c>
      <c r="F1023" s="27">
        <f>81.8516 * CHOOSE(CONTROL!$C$15, $E$9, 100%, $G$9) + CHOOSE(CONTROL!$C$38, 0.0256, 0)</f>
        <v>81.877200000000002</v>
      </c>
      <c r="G1023" s="10">
        <f>75.7569 * CHOOSE(CONTROL!$C$15, $E$9, 100%, $G$9) + CHOOSE(CONTROL!$C$38, 0.0347, 0)</f>
        <v>75.791600000000003</v>
      </c>
      <c r="H1023" s="10">
        <f>75.7569 * CHOOSE(CONTROL!$C$15, $E$9, 100%, $G$9) + CHOOSE(CONTROL!$C$38, 0.0347, 0)</f>
        <v>75.791600000000003</v>
      </c>
      <c r="I1023" s="10">
        <f>75.7585 * CHOOSE(CONTROL!$C$15, $E$9, 100%, $G$9) + CHOOSE(CONTROL!$C$38, 0.0347, 0)</f>
        <v>75.793199999999999</v>
      </c>
      <c r="J1023" s="26">
        <f>536.1885</f>
        <v>536.18849999999998</v>
      </c>
    </row>
    <row r="1024" spans="1:10" ht="15.75" x14ac:dyDescent="0.25">
      <c r="A1024" s="13">
        <v>72471</v>
      </c>
      <c r="B1024" s="10">
        <f>81.4918 * CHOOSE(CONTROL!$C$15, $E$9, 100%, $G$9) + CHOOSE(CONTROL!$C$38, 0.0278, 0)</f>
        <v>81.519599999999997</v>
      </c>
      <c r="C1024" s="10">
        <f>75.2423 * CHOOSE(CONTROL!$C$15, $E$9, 100%, $G$9) + CHOOSE(CONTROL!$C$38, 0.0369, 0)</f>
        <v>75.279200000000003</v>
      </c>
      <c r="D1024" s="10">
        <f>75.2345 * CHOOSE(CONTROL!$C$15, $E$9, 100%, $G$9) + CHOOSE(CONTROL!$C$38, 0.0369, 0)</f>
        <v>75.2714</v>
      </c>
      <c r="E1024" s="28">
        <f>81.3355 * CHOOSE(CONTROL!$C$15, $E$9, 100%, $G$9) + CHOOSE(CONTROL!$C$38, 0.0369, 0)</f>
        <v>81.372399999999999</v>
      </c>
      <c r="F1024" s="27">
        <f>81.3355 * CHOOSE(CONTROL!$C$15, $E$9, 100%, $G$9) + CHOOSE(CONTROL!$C$38, 0.0278, 0)</f>
        <v>81.363299999999995</v>
      </c>
      <c r="G1024" s="10">
        <f>75.2408 * CHOOSE(CONTROL!$C$15, $E$9, 100%, $G$9) + CHOOSE(CONTROL!$C$38, 0.0369, 0)</f>
        <v>75.277699999999996</v>
      </c>
      <c r="H1024" s="10">
        <f>75.2408 * CHOOSE(CONTROL!$C$15, $E$9, 100%, $G$9) + CHOOSE(CONTROL!$C$38, 0.0369, 0)</f>
        <v>75.277699999999996</v>
      </c>
      <c r="I1024" s="10">
        <f>75.2423 * CHOOSE(CONTROL!$C$15, $E$9, 100%, $G$9) + CHOOSE(CONTROL!$C$38, 0.0369, 0)</f>
        <v>75.279200000000003</v>
      </c>
      <c r="J1024" s="26">
        <f>554.1819</f>
        <v>554.18190000000004</v>
      </c>
    </row>
    <row r="1025" spans="1:10" ht="15.75" x14ac:dyDescent="0.25">
      <c r="A1025" s="13">
        <v>72501</v>
      </c>
      <c r="B1025" s="10">
        <f>81.1299 * CHOOSE(CONTROL!$C$15, $E$9, 100%, $G$9) + CHOOSE(CONTROL!$C$38, 0.0278, 0)</f>
        <v>81.157700000000006</v>
      </c>
      <c r="C1025" s="10">
        <f>74.8805 * CHOOSE(CONTROL!$C$15, $E$9, 100%, $G$9) + CHOOSE(CONTROL!$C$38, 0.0369, 0)</f>
        <v>74.917400000000001</v>
      </c>
      <c r="D1025" s="10">
        <f>74.8727 * CHOOSE(CONTROL!$C$15, $E$9, 100%, $G$9) + CHOOSE(CONTROL!$C$38, 0.0369, 0)</f>
        <v>74.909599999999998</v>
      </c>
      <c r="E1025" s="28">
        <f>80.9737 * CHOOSE(CONTROL!$C$15, $E$9, 100%, $G$9) + CHOOSE(CONTROL!$C$38, 0.0369, 0)</f>
        <v>81.010599999999997</v>
      </c>
      <c r="F1025" s="27">
        <f>80.9737 * CHOOSE(CONTROL!$C$15, $E$9, 100%, $G$9) + CHOOSE(CONTROL!$C$38, 0.0278, 0)</f>
        <v>81.001499999999993</v>
      </c>
      <c r="G1025" s="10">
        <f>74.8789 * CHOOSE(CONTROL!$C$15, $E$9, 100%, $G$9) + CHOOSE(CONTROL!$C$38, 0.0369, 0)</f>
        <v>74.915800000000004</v>
      </c>
      <c r="H1025" s="10">
        <f>74.8789 * CHOOSE(CONTROL!$C$15, $E$9, 100%, $G$9) + CHOOSE(CONTROL!$C$38, 0.0369, 0)</f>
        <v>74.915800000000004</v>
      </c>
      <c r="I1025" s="10">
        <f>74.8805 * CHOOSE(CONTROL!$C$15, $E$9, 100%, $G$9) + CHOOSE(CONTROL!$C$38, 0.0369, 0)</f>
        <v>74.917400000000001</v>
      </c>
      <c r="J1025" s="26">
        <f>562.1671</f>
        <v>562.1671</v>
      </c>
    </row>
    <row r="1026" spans="1:10" ht="15.75" x14ac:dyDescent="0.25">
      <c r="A1026" s="13">
        <v>72532</v>
      </c>
      <c r="B1026" s="10">
        <f>80.9235 * CHOOSE(CONTROL!$C$15, $E$9, 100%, $G$9) + CHOOSE(CONTROL!$C$38, 0.0278, 0)</f>
        <v>80.951300000000003</v>
      </c>
      <c r="C1026" s="10">
        <f>74.674 * CHOOSE(CONTROL!$C$15, $E$9, 100%, $G$9) + CHOOSE(CONTROL!$C$38, 0.0369, 0)</f>
        <v>74.710900000000009</v>
      </c>
      <c r="D1026" s="10">
        <f>74.6662 * CHOOSE(CONTROL!$C$15, $E$9, 100%, $G$9) + CHOOSE(CONTROL!$C$38, 0.0369, 0)</f>
        <v>74.703100000000006</v>
      </c>
      <c r="E1026" s="28">
        <f>80.7672 * CHOOSE(CONTROL!$C$15, $E$9, 100%, $G$9) + CHOOSE(CONTROL!$C$38, 0.0369, 0)</f>
        <v>80.804100000000005</v>
      </c>
      <c r="F1026" s="27">
        <f>80.7672 * CHOOSE(CONTROL!$C$15, $E$9, 100%, $G$9) + CHOOSE(CONTROL!$C$38, 0.0278, 0)</f>
        <v>80.795000000000002</v>
      </c>
      <c r="G1026" s="10">
        <f>74.6725 * CHOOSE(CONTROL!$C$15, $E$9, 100%, $G$9) + CHOOSE(CONTROL!$C$38, 0.0369, 0)</f>
        <v>74.709400000000002</v>
      </c>
      <c r="H1026" s="10">
        <f>74.6725 * CHOOSE(CONTROL!$C$15, $E$9, 100%, $G$9) + CHOOSE(CONTROL!$C$38, 0.0369, 0)</f>
        <v>74.709400000000002</v>
      </c>
      <c r="I1026" s="10">
        <f>74.674 * CHOOSE(CONTROL!$C$15, $E$9, 100%, $G$9) + CHOOSE(CONTROL!$C$38, 0.0369, 0)</f>
        <v>74.710900000000009</v>
      </c>
      <c r="J1026" s="26">
        <f>559.538</f>
        <v>559.53800000000001</v>
      </c>
    </row>
    <row r="1027" spans="1:10" ht="15.75" x14ac:dyDescent="0.25">
      <c r="A1027" s="13">
        <v>72563</v>
      </c>
      <c r="B1027" s="10">
        <f>81.0254 * CHOOSE(CONTROL!$C$15, $E$9, 100%, $G$9) + CHOOSE(CONTROL!$C$38, 0.0278, 0)</f>
        <v>81.053200000000004</v>
      </c>
      <c r="C1027" s="10">
        <f>74.7759 * CHOOSE(CONTROL!$C$15, $E$9, 100%, $G$9) + CHOOSE(CONTROL!$C$38, 0.0369, 0)</f>
        <v>74.812799999999996</v>
      </c>
      <c r="D1027" s="10">
        <f>74.7681 * CHOOSE(CONTROL!$C$15, $E$9, 100%, $G$9) + CHOOSE(CONTROL!$C$38, 0.0369, 0)</f>
        <v>74.805000000000007</v>
      </c>
      <c r="E1027" s="28">
        <f>80.8691 * CHOOSE(CONTROL!$C$15, $E$9, 100%, $G$9) + CHOOSE(CONTROL!$C$38, 0.0369, 0)</f>
        <v>80.906000000000006</v>
      </c>
      <c r="F1027" s="27">
        <f>80.8691 * CHOOSE(CONTROL!$C$15, $E$9, 100%, $G$9) + CHOOSE(CONTROL!$C$38, 0.0278, 0)</f>
        <v>80.896900000000002</v>
      </c>
      <c r="G1027" s="10">
        <f>74.7744 * CHOOSE(CONTROL!$C$15, $E$9, 100%, $G$9) + CHOOSE(CONTROL!$C$38, 0.0369, 0)</f>
        <v>74.811300000000003</v>
      </c>
      <c r="H1027" s="10">
        <f>74.7744 * CHOOSE(CONTROL!$C$15, $E$9, 100%, $G$9) + CHOOSE(CONTROL!$C$38, 0.0369, 0)</f>
        <v>74.811300000000003</v>
      </c>
      <c r="I1027" s="10">
        <f>74.7759 * CHOOSE(CONTROL!$C$15, $E$9, 100%, $G$9) + CHOOSE(CONTROL!$C$38, 0.0369, 0)</f>
        <v>74.812799999999996</v>
      </c>
      <c r="J1027" s="26">
        <f>546.5122</f>
        <v>546.51220000000001</v>
      </c>
    </row>
    <row r="1028" spans="1:10" ht="15.75" x14ac:dyDescent="0.25">
      <c r="A1028" s="13">
        <v>72593</v>
      </c>
      <c r="B1028" s="10">
        <f>81.3022 * CHOOSE(CONTROL!$C$15, $E$9, 100%, $G$9) + CHOOSE(CONTROL!$C$38, 0.0278, 0)</f>
        <v>81.33</v>
      </c>
      <c r="C1028" s="10">
        <f>75.0527 * CHOOSE(CONTROL!$C$15, $E$9, 100%, $G$9) + CHOOSE(CONTROL!$C$38, 0.0369, 0)</f>
        <v>75.089600000000004</v>
      </c>
      <c r="D1028" s="10">
        <f>75.0449 * CHOOSE(CONTROL!$C$15, $E$9, 100%, $G$9) + CHOOSE(CONTROL!$C$38, 0.0369, 0)</f>
        <v>75.081800000000001</v>
      </c>
      <c r="E1028" s="28">
        <f>81.1459 * CHOOSE(CONTROL!$C$15, $E$9, 100%, $G$9) + CHOOSE(CONTROL!$C$38, 0.0369, 0)</f>
        <v>81.1828</v>
      </c>
      <c r="F1028" s="27">
        <f>81.1459 * CHOOSE(CONTROL!$C$15, $E$9, 100%, $G$9) + CHOOSE(CONTROL!$C$38, 0.0278, 0)</f>
        <v>81.173699999999997</v>
      </c>
      <c r="G1028" s="10">
        <f>75.0512 * CHOOSE(CONTROL!$C$15, $E$9, 100%, $G$9) + CHOOSE(CONTROL!$C$38, 0.0369, 0)</f>
        <v>75.088099999999997</v>
      </c>
      <c r="H1028" s="10">
        <f>75.0512 * CHOOSE(CONTROL!$C$15, $E$9, 100%, $G$9) + CHOOSE(CONTROL!$C$38, 0.0369, 0)</f>
        <v>75.088099999999997</v>
      </c>
      <c r="I1028" s="10">
        <f>75.0527 * CHOOSE(CONTROL!$C$15, $E$9, 100%, $G$9) + CHOOSE(CONTROL!$C$38, 0.0369, 0)</f>
        <v>75.089600000000004</v>
      </c>
      <c r="J1028" s="26">
        <f>528.3471</f>
        <v>528.34709999999995</v>
      </c>
    </row>
    <row r="1029" spans="1:10" ht="15.75" x14ac:dyDescent="0.25">
      <c r="A1029" s="13">
        <v>72624</v>
      </c>
      <c r="B1029" s="10">
        <f>81.534 * CHOOSE(CONTROL!$C$15, $E$9, 100%, $G$9) + CHOOSE(CONTROL!$C$38, 0.0256, 0)</f>
        <v>81.559600000000003</v>
      </c>
      <c r="C1029" s="10">
        <f>75.2845 * CHOOSE(CONTROL!$C$15, $E$9, 100%, $G$9) + CHOOSE(CONTROL!$C$38, 0.0347, 0)</f>
        <v>75.319199999999995</v>
      </c>
      <c r="D1029" s="10">
        <f>75.2767 * CHOOSE(CONTROL!$C$15, $E$9, 100%, $G$9) + CHOOSE(CONTROL!$C$38, 0.0347, 0)</f>
        <v>75.311400000000006</v>
      </c>
      <c r="E1029" s="28">
        <f>81.3777 * CHOOSE(CONTROL!$C$15, $E$9, 100%, $G$9) + CHOOSE(CONTROL!$C$38, 0.0347, 0)</f>
        <v>81.412400000000005</v>
      </c>
      <c r="F1029" s="27">
        <f>81.3777 * CHOOSE(CONTROL!$C$15, $E$9, 100%, $G$9) + CHOOSE(CONTROL!$C$38, 0.0256, 0)</f>
        <v>81.403300000000002</v>
      </c>
      <c r="G1029" s="10">
        <f>75.283 * CHOOSE(CONTROL!$C$15, $E$9, 100%, $G$9) + CHOOSE(CONTROL!$C$38, 0.0347, 0)</f>
        <v>75.317700000000002</v>
      </c>
      <c r="H1029" s="10">
        <f>75.283 * CHOOSE(CONTROL!$C$15, $E$9, 100%, $G$9) + CHOOSE(CONTROL!$C$38, 0.0347, 0)</f>
        <v>75.317700000000002</v>
      </c>
      <c r="I1029" s="10">
        <f>75.2845 * CHOOSE(CONTROL!$C$15, $E$9, 100%, $G$9) + CHOOSE(CONTROL!$C$38, 0.0347, 0)</f>
        <v>75.319199999999995</v>
      </c>
      <c r="J1029" s="26">
        <f>510.0763</f>
        <v>510.0763</v>
      </c>
    </row>
    <row r="1030" spans="1:10" ht="15.75" x14ac:dyDescent="0.25">
      <c r="A1030" s="13">
        <v>72654</v>
      </c>
      <c r="B1030" s="10">
        <f>81.7274 * CHOOSE(CONTROL!$C$15, $E$9, 100%, $G$9) + CHOOSE(CONTROL!$C$38, 0.0256, 0)</f>
        <v>81.753</v>
      </c>
      <c r="C1030" s="10">
        <f>75.478 * CHOOSE(CONTROL!$C$15, $E$9, 100%, $G$9) + CHOOSE(CONTROL!$C$38, 0.0347, 0)</f>
        <v>75.512699999999995</v>
      </c>
      <c r="D1030" s="10">
        <f>75.4702 * CHOOSE(CONTROL!$C$15, $E$9, 100%, $G$9) + CHOOSE(CONTROL!$C$38, 0.0347, 0)</f>
        <v>75.504900000000006</v>
      </c>
      <c r="E1030" s="28">
        <f>81.5712 * CHOOSE(CONTROL!$C$15, $E$9, 100%, $G$9) + CHOOSE(CONTROL!$C$38, 0.0347, 0)</f>
        <v>81.605900000000005</v>
      </c>
      <c r="F1030" s="27">
        <f>81.5712 * CHOOSE(CONTROL!$C$15, $E$9, 100%, $G$9) + CHOOSE(CONTROL!$C$38, 0.0256, 0)</f>
        <v>81.596800000000002</v>
      </c>
      <c r="G1030" s="10">
        <f>75.4764 * CHOOSE(CONTROL!$C$15, $E$9, 100%, $G$9) + CHOOSE(CONTROL!$C$38, 0.0347, 0)</f>
        <v>75.511099999999999</v>
      </c>
      <c r="H1030" s="10">
        <f>75.4764 * CHOOSE(CONTROL!$C$15, $E$9, 100%, $G$9) + CHOOSE(CONTROL!$C$38, 0.0347, 0)</f>
        <v>75.511099999999999</v>
      </c>
      <c r="I1030" s="10">
        <f>75.478 * CHOOSE(CONTROL!$C$15, $E$9, 100%, $G$9) + CHOOSE(CONTROL!$C$38, 0.0347, 0)</f>
        <v>75.512699999999995</v>
      </c>
      <c r="J1030" s="26">
        <f>506.4418</f>
        <v>506.4418</v>
      </c>
    </row>
    <row r="1031" spans="1:10" ht="15.75" x14ac:dyDescent="0.25">
      <c r="A1031" s="13">
        <v>72685</v>
      </c>
      <c r="B1031" s="10">
        <f>82.3235 * CHOOSE(CONTROL!$C$15, $E$9, 100%, $G$9) + CHOOSE(CONTROL!$C$38, 0.0256, 0)</f>
        <v>82.349099999999993</v>
      </c>
      <c r="C1031" s="10">
        <f>76.0741 * CHOOSE(CONTROL!$C$15, $E$9, 100%, $G$9) + CHOOSE(CONTROL!$C$38, 0.0347, 0)</f>
        <v>76.108800000000002</v>
      </c>
      <c r="D1031" s="10">
        <f>76.0662 * CHOOSE(CONTROL!$C$15, $E$9, 100%, $G$9) + CHOOSE(CONTROL!$C$38, 0.0347, 0)</f>
        <v>76.100899999999996</v>
      </c>
      <c r="E1031" s="28">
        <f>82.1672 * CHOOSE(CONTROL!$C$15, $E$9, 100%, $G$9) + CHOOSE(CONTROL!$C$38, 0.0347, 0)</f>
        <v>82.201899999999995</v>
      </c>
      <c r="F1031" s="27">
        <f>82.1672 * CHOOSE(CONTROL!$C$15, $E$9, 100%, $G$9) + CHOOSE(CONTROL!$C$38, 0.0256, 0)</f>
        <v>82.192799999999991</v>
      </c>
      <c r="G1031" s="10">
        <f>76.0725 * CHOOSE(CONTROL!$C$15, $E$9, 100%, $G$9) + CHOOSE(CONTROL!$C$38, 0.0347, 0)</f>
        <v>76.107200000000006</v>
      </c>
      <c r="H1031" s="10">
        <f>76.0725 * CHOOSE(CONTROL!$C$15, $E$9, 100%, $G$9) + CHOOSE(CONTROL!$C$38, 0.0347, 0)</f>
        <v>76.107200000000006</v>
      </c>
      <c r="I1031" s="10">
        <f>76.0741 * CHOOSE(CONTROL!$C$15, $E$9, 100%, $G$9) + CHOOSE(CONTROL!$C$38, 0.0347, 0)</f>
        <v>76.108800000000002</v>
      </c>
      <c r="J1031" s="26">
        <f>491.4131</f>
        <v>491.41309999999999</v>
      </c>
    </row>
    <row r="1032" spans="1:10" ht="15.75" x14ac:dyDescent="0.25">
      <c r="A1032" s="13">
        <v>72716</v>
      </c>
      <c r="B1032" s="10">
        <f>84.228 * CHOOSE(CONTROL!$C$15, $E$9, 100%, $G$9) + CHOOSE(CONTROL!$C$38, 0.0256, 0)</f>
        <v>84.253599999999992</v>
      </c>
      <c r="C1032" s="10">
        <f>77.8709 * CHOOSE(CONTROL!$C$15, $E$9, 100%, $G$9) + CHOOSE(CONTROL!$C$38, 0.0347, 0)</f>
        <v>77.905600000000007</v>
      </c>
      <c r="D1032" s="10">
        <f>77.8631 * CHOOSE(CONTROL!$C$15, $E$9, 100%, $G$9) + CHOOSE(CONTROL!$C$38, 0.0347, 0)</f>
        <v>77.897800000000004</v>
      </c>
      <c r="E1032" s="28">
        <f>84.0717 * CHOOSE(CONTROL!$C$15, $E$9, 100%, $G$9) + CHOOSE(CONTROL!$C$38, 0.0347, 0)</f>
        <v>84.106400000000008</v>
      </c>
      <c r="F1032" s="27">
        <f>84.0717 * CHOOSE(CONTROL!$C$15, $E$9, 100%, $G$9) + CHOOSE(CONTROL!$C$38, 0.0256, 0)</f>
        <v>84.097300000000004</v>
      </c>
      <c r="G1032" s="10">
        <f>77.8693 * CHOOSE(CONTROL!$C$15, $E$9, 100%, $G$9) + CHOOSE(CONTROL!$C$38, 0.0347, 0)</f>
        <v>77.903999999999996</v>
      </c>
      <c r="H1032" s="10">
        <f>77.8693 * CHOOSE(CONTROL!$C$15, $E$9, 100%, $G$9) + CHOOSE(CONTROL!$C$38, 0.0347, 0)</f>
        <v>77.903999999999996</v>
      </c>
      <c r="I1032" s="10">
        <f>77.8709 * CHOOSE(CONTROL!$C$15, $E$9, 100%, $G$9) + CHOOSE(CONTROL!$C$38, 0.0347, 0)</f>
        <v>77.905600000000007</v>
      </c>
      <c r="J1032" s="26">
        <f>488.1214</f>
        <v>488.12139999999999</v>
      </c>
    </row>
    <row r="1033" spans="1:10" ht="15.75" x14ac:dyDescent="0.25">
      <c r="A1033" s="13">
        <v>72744</v>
      </c>
      <c r="B1033" s="10">
        <f>84.4487 * CHOOSE(CONTROL!$C$15, $E$9, 100%, $G$9) + CHOOSE(CONTROL!$C$38, 0.0256, 0)</f>
        <v>84.474299999999999</v>
      </c>
      <c r="C1033" s="10">
        <f>78.0916 * CHOOSE(CONTROL!$C$15, $E$9, 100%, $G$9) + CHOOSE(CONTROL!$C$38, 0.0347, 0)</f>
        <v>78.126300000000001</v>
      </c>
      <c r="D1033" s="10">
        <f>78.0838 * CHOOSE(CONTROL!$C$15, $E$9, 100%, $G$9) + CHOOSE(CONTROL!$C$38, 0.0347, 0)</f>
        <v>78.118499999999997</v>
      </c>
      <c r="E1033" s="28">
        <f>84.2925 * CHOOSE(CONTROL!$C$15, $E$9, 100%, $G$9) + CHOOSE(CONTROL!$C$38, 0.0347, 0)</f>
        <v>84.327200000000005</v>
      </c>
      <c r="F1033" s="27">
        <f>84.2925 * CHOOSE(CONTROL!$C$15, $E$9, 100%, $G$9) + CHOOSE(CONTROL!$C$38, 0.0256, 0)</f>
        <v>84.318100000000001</v>
      </c>
      <c r="G1033" s="10">
        <f>78.0901 * CHOOSE(CONTROL!$C$15, $E$9, 100%, $G$9) + CHOOSE(CONTROL!$C$38, 0.0347, 0)</f>
        <v>78.124800000000008</v>
      </c>
      <c r="H1033" s="10">
        <f>78.0901 * CHOOSE(CONTROL!$C$15, $E$9, 100%, $G$9) + CHOOSE(CONTROL!$C$38, 0.0347, 0)</f>
        <v>78.124800000000008</v>
      </c>
      <c r="I1033" s="10">
        <f>78.0916 * CHOOSE(CONTROL!$C$15, $E$9, 100%, $G$9) + CHOOSE(CONTROL!$C$38, 0.0347, 0)</f>
        <v>78.126300000000001</v>
      </c>
      <c r="J1033" s="26">
        <f>486.7646</f>
        <v>486.76459999999997</v>
      </c>
    </row>
    <row r="1034" spans="1:10" ht="15.75" x14ac:dyDescent="0.25">
      <c r="A1034" s="13">
        <v>72775</v>
      </c>
      <c r="B1034" s="10">
        <f>83.9377 * CHOOSE(CONTROL!$C$15, $E$9, 100%, $G$9) + CHOOSE(CONTROL!$C$38, 0.0256, 0)</f>
        <v>83.963300000000004</v>
      </c>
      <c r="C1034" s="10">
        <f>77.5806 * CHOOSE(CONTROL!$C$15, $E$9, 100%, $G$9) + CHOOSE(CONTROL!$C$38, 0.0347, 0)</f>
        <v>77.615300000000005</v>
      </c>
      <c r="D1034" s="10">
        <f>77.5728 * CHOOSE(CONTROL!$C$15, $E$9, 100%, $G$9) + CHOOSE(CONTROL!$C$38, 0.0347, 0)</f>
        <v>77.607500000000002</v>
      </c>
      <c r="E1034" s="28">
        <f>83.7814 * CHOOSE(CONTROL!$C$15, $E$9, 100%, $G$9) + CHOOSE(CONTROL!$C$38, 0.0347, 0)</f>
        <v>83.816100000000006</v>
      </c>
      <c r="F1034" s="27">
        <f>83.7814 * CHOOSE(CONTROL!$C$15, $E$9, 100%, $G$9) + CHOOSE(CONTROL!$C$38, 0.0256, 0)</f>
        <v>83.807000000000002</v>
      </c>
      <c r="G1034" s="10">
        <f>77.579 * CHOOSE(CONTROL!$C$15, $E$9, 100%, $G$9) + CHOOSE(CONTROL!$C$38, 0.0347, 0)</f>
        <v>77.613699999999994</v>
      </c>
      <c r="H1034" s="10">
        <f>77.579 * CHOOSE(CONTROL!$C$15, $E$9, 100%, $G$9) + CHOOSE(CONTROL!$C$38, 0.0347, 0)</f>
        <v>77.613699999999994</v>
      </c>
      <c r="I1034" s="10">
        <f>77.5806 * CHOOSE(CONTROL!$C$15, $E$9, 100%, $G$9) + CHOOSE(CONTROL!$C$38, 0.0347, 0)</f>
        <v>77.615300000000005</v>
      </c>
      <c r="J1034" s="26">
        <f>512.4199</f>
        <v>512.41989999999998</v>
      </c>
    </row>
    <row r="1035" spans="1:10" ht="15.75" x14ac:dyDescent="0.25">
      <c r="A1035" s="13">
        <v>72805</v>
      </c>
      <c r="B1035" s="10">
        <f>83.4425 * CHOOSE(CONTROL!$C$15, $E$9, 100%, $G$9) + CHOOSE(CONTROL!$C$38, 0.0256, 0)</f>
        <v>83.468099999999993</v>
      </c>
      <c r="C1035" s="10">
        <f>77.0854 * CHOOSE(CONTROL!$C$15, $E$9, 100%, $G$9) + CHOOSE(CONTROL!$C$38, 0.0347, 0)</f>
        <v>77.120100000000008</v>
      </c>
      <c r="D1035" s="10">
        <f>77.0776 * CHOOSE(CONTROL!$C$15, $E$9, 100%, $G$9) + CHOOSE(CONTROL!$C$38, 0.0347, 0)</f>
        <v>77.112300000000005</v>
      </c>
      <c r="E1035" s="28">
        <f>83.2863 * CHOOSE(CONTROL!$C$15, $E$9, 100%, $G$9) + CHOOSE(CONTROL!$C$38, 0.0347, 0)</f>
        <v>83.320999999999998</v>
      </c>
      <c r="F1035" s="27">
        <f>83.2863 * CHOOSE(CONTROL!$C$15, $E$9, 100%, $G$9) + CHOOSE(CONTROL!$C$38, 0.0256, 0)</f>
        <v>83.311899999999994</v>
      </c>
      <c r="G1035" s="10">
        <f>77.0839 * CHOOSE(CONTROL!$C$15, $E$9, 100%, $G$9) + CHOOSE(CONTROL!$C$38, 0.0347, 0)</f>
        <v>77.118600000000001</v>
      </c>
      <c r="H1035" s="10">
        <f>77.0839 * CHOOSE(CONTROL!$C$15, $E$9, 100%, $G$9) + CHOOSE(CONTROL!$C$38, 0.0347, 0)</f>
        <v>77.118600000000001</v>
      </c>
      <c r="I1035" s="10">
        <f>77.0854 * CHOOSE(CONTROL!$C$15, $E$9, 100%, $G$9) + CHOOSE(CONTROL!$C$38, 0.0347, 0)</f>
        <v>77.120100000000008</v>
      </c>
      <c r="J1035" s="26">
        <f>545.6887</f>
        <v>545.68870000000004</v>
      </c>
    </row>
    <row r="1036" spans="1:10" ht="15.75" x14ac:dyDescent="0.25">
      <c r="A1036" s="13">
        <v>72836</v>
      </c>
      <c r="B1036" s="10">
        <f>82.9264 * CHOOSE(CONTROL!$C$15, $E$9, 100%, $G$9) + CHOOSE(CONTROL!$C$38, 0.0278, 0)</f>
        <v>82.9542</v>
      </c>
      <c r="C1036" s="10">
        <f>76.5693 * CHOOSE(CONTROL!$C$15, $E$9, 100%, $G$9) + CHOOSE(CONTROL!$C$38, 0.0369, 0)</f>
        <v>76.606200000000001</v>
      </c>
      <c r="D1036" s="10">
        <f>76.5615 * CHOOSE(CONTROL!$C$15, $E$9, 100%, $G$9) + CHOOSE(CONTROL!$C$38, 0.0369, 0)</f>
        <v>76.598399999999998</v>
      </c>
      <c r="E1036" s="28">
        <f>82.7702 * CHOOSE(CONTROL!$C$15, $E$9, 100%, $G$9) + CHOOSE(CONTROL!$C$38, 0.0369, 0)</f>
        <v>82.807100000000005</v>
      </c>
      <c r="F1036" s="27">
        <f>82.7702 * CHOOSE(CONTROL!$C$15, $E$9, 100%, $G$9) + CHOOSE(CONTROL!$C$38, 0.0278, 0)</f>
        <v>82.798000000000002</v>
      </c>
      <c r="G1036" s="10">
        <f>76.5677 * CHOOSE(CONTROL!$C$15, $E$9, 100%, $G$9) + CHOOSE(CONTROL!$C$38, 0.0369, 0)</f>
        <v>76.604600000000005</v>
      </c>
      <c r="H1036" s="10">
        <f>76.5677 * CHOOSE(CONTROL!$C$15, $E$9, 100%, $G$9) + CHOOSE(CONTROL!$C$38, 0.0369, 0)</f>
        <v>76.604600000000005</v>
      </c>
      <c r="I1036" s="10">
        <f>76.5693 * CHOOSE(CONTROL!$C$15, $E$9, 100%, $G$9) + CHOOSE(CONTROL!$C$38, 0.0369, 0)</f>
        <v>76.606200000000001</v>
      </c>
      <c r="J1036" s="26">
        <f>564.001</f>
        <v>564.00099999999998</v>
      </c>
    </row>
    <row r="1037" spans="1:10" ht="15.75" x14ac:dyDescent="0.25">
      <c r="A1037" s="13">
        <v>72866</v>
      </c>
      <c r="B1037" s="10">
        <f>82.5646 * CHOOSE(CONTROL!$C$15, $E$9, 100%, $G$9) + CHOOSE(CONTROL!$C$38, 0.0278, 0)</f>
        <v>82.592399999999998</v>
      </c>
      <c r="C1037" s="10">
        <f>76.2075 * CHOOSE(CONTROL!$C$15, $E$9, 100%, $G$9) + CHOOSE(CONTROL!$C$38, 0.0369, 0)</f>
        <v>76.244399999999999</v>
      </c>
      <c r="D1037" s="10">
        <f>76.1997 * CHOOSE(CONTROL!$C$15, $E$9, 100%, $G$9) + CHOOSE(CONTROL!$C$38, 0.0369, 0)</f>
        <v>76.23660000000001</v>
      </c>
      <c r="E1037" s="28">
        <f>82.4083 * CHOOSE(CONTROL!$C$15, $E$9, 100%, $G$9) + CHOOSE(CONTROL!$C$38, 0.0369, 0)</f>
        <v>82.4452</v>
      </c>
      <c r="F1037" s="27">
        <f>82.4083 * CHOOSE(CONTROL!$C$15, $E$9, 100%, $G$9) + CHOOSE(CONTROL!$C$38, 0.0278, 0)</f>
        <v>82.436099999999996</v>
      </c>
      <c r="G1037" s="10">
        <f>76.2059 * CHOOSE(CONTROL!$C$15, $E$9, 100%, $G$9) + CHOOSE(CONTROL!$C$38, 0.0369, 0)</f>
        <v>76.242800000000003</v>
      </c>
      <c r="H1037" s="10">
        <f>76.2059 * CHOOSE(CONTROL!$C$15, $E$9, 100%, $G$9) + CHOOSE(CONTROL!$C$38, 0.0369, 0)</f>
        <v>76.242800000000003</v>
      </c>
      <c r="I1037" s="10">
        <f>76.2075 * CHOOSE(CONTROL!$C$15, $E$9, 100%, $G$9) + CHOOSE(CONTROL!$C$38, 0.0369, 0)</f>
        <v>76.244399999999999</v>
      </c>
      <c r="J1037" s="26">
        <f>572.1276</f>
        <v>572.12760000000003</v>
      </c>
    </row>
    <row r="1038" spans="1:10" ht="15.75" x14ac:dyDescent="0.25">
      <c r="A1038" s="13">
        <v>72897</v>
      </c>
      <c r="B1038" s="10">
        <f>82.3581 * CHOOSE(CONTROL!$C$15, $E$9, 100%, $G$9) + CHOOSE(CONTROL!$C$38, 0.0278, 0)</f>
        <v>82.385899999999992</v>
      </c>
      <c r="C1038" s="10">
        <f>76.001 * CHOOSE(CONTROL!$C$15, $E$9, 100%, $G$9) + CHOOSE(CONTROL!$C$38, 0.0369, 0)</f>
        <v>76.037900000000008</v>
      </c>
      <c r="D1038" s="10">
        <f>75.9932 * CHOOSE(CONTROL!$C$15, $E$9, 100%, $G$9) + CHOOSE(CONTROL!$C$38, 0.0369, 0)</f>
        <v>76.030100000000004</v>
      </c>
      <c r="E1038" s="28">
        <f>82.2018 * CHOOSE(CONTROL!$C$15, $E$9, 100%, $G$9) + CHOOSE(CONTROL!$C$38, 0.0369, 0)</f>
        <v>82.238700000000009</v>
      </c>
      <c r="F1038" s="27">
        <f>82.2018 * CHOOSE(CONTROL!$C$15, $E$9, 100%, $G$9) + CHOOSE(CONTROL!$C$38, 0.0278, 0)</f>
        <v>82.229600000000005</v>
      </c>
      <c r="G1038" s="10">
        <f>75.9994 * CHOOSE(CONTROL!$C$15, $E$9, 100%, $G$9) + CHOOSE(CONTROL!$C$38, 0.0369, 0)</f>
        <v>76.036299999999997</v>
      </c>
      <c r="H1038" s="10">
        <f>75.9994 * CHOOSE(CONTROL!$C$15, $E$9, 100%, $G$9) + CHOOSE(CONTROL!$C$38, 0.0369, 0)</f>
        <v>76.036299999999997</v>
      </c>
      <c r="I1038" s="10">
        <f>76.001 * CHOOSE(CONTROL!$C$15, $E$9, 100%, $G$9) + CHOOSE(CONTROL!$C$38, 0.0369, 0)</f>
        <v>76.037900000000008</v>
      </c>
      <c r="J1038" s="26">
        <f>569.4519</f>
        <v>569.45190000000002</v>
      </c>
    </row>
    <row r="1039" spans="1:10" ht="15.75" x14ac:dyDescent="0.25">
      <c r="A1039" s="13">
        <v>72928</v>
      </c>
      <c r="B1039" s="10">
        <f>82.46 * CHOOSE(CONTROL!$C$15, $E$9, 100%, $G$9) + CHOOSE(CONTROL!$C$38, 0.0278, 0)</f>
        <v>82.487799999999993</v>
      </c>
      <c r="C1039" s="10">
        <f>76.1029 * CHOOSE(CONTROL!$C$15, $E$9, 100%, $G$9) + CHOOSE(CONTROL!$C$38, 0.0369, 0)</f>
        <v>76.139800000000008</v>
      </c>
      <c r="D1039" s="10">
        <f>76.0951 * CHOOSE(CONTROL!$C$15, $E$9, 100%, $G$9) + CHOOSE(CONTROL!$C$38, 0.0369, 0)</f>
        <v>76.132000000000005</v>
      </c>
      <c r="E1039" s="28">
        <f>82.3037 * CHOOSE(CONTROL!$C$15, $E$9, 100%, $G$9) + CHOOSE(CONTROL!$C$38, 0.0369, 0)</f>
        <v>82.340600000000009</v>
      </c>
      <c r="F1039" s="27">
        <f>82.3037 * CHOOSE(CONTROL!$C$15, $E$9, 100%, $G$9) + CHOOSE(CONTROL!$C$38, 0.0278, 0)</f>
        <v>82.331500000000005</v>
      </c>
      <c r="G1039" s="10">
        <f>76.1013 * CHOOSE(CONTROL!$C$15, $E$9, 100%, $G$9) + CHOOSE(CONTROL!$C$38, 0.0369, 0)</f>
        <v>76.138199999999998</v>
      </c>
      <c r="H1039" s="10">
        <f>76.1013 * CHOOSE(CONTROL!$C$15, $E$9, 100%, $G$9) + CHOOSE(CONTROL!$C$38, 0.0369, 0)</f>
        <v>76.138199999999998</v>
      </c>
      <c r="I1039" s="10">
        <f>76.1029 * CHOOSE(CONTROL!$C$15, $E$9, 100%, $G$9) + CHOOSE(CONTROL!$C$38, 0.0369, 0)</f>
        <v>76.139800000000008</v>
      </c>
      <c r="J1039" s="26">
        <f>556.1953</f>
        <v>556.19529999999997</v>
      </c>
    </row>
    <row r="1040" spans="1:10" ht="15.75" x14ac:dyDescent="0.25">
      <c r="A1040" s="13">
        <v>72958</v>
      </c>
      <c r="B1040" s="10">
        <f>82.7368 * CHOOSE(CONTROL!$C$15, $E$9, 100%, $G$9) + CHOOSE(CONTROL!$C$38, 0.0278, 0)</f>
        <v>82.764600000000002</v>
      </c>
      <c r="C1040" s="10">
        <f>76.3797 * CHOOSE(CONTROL!$C$15, $E$9, 100%, $G$9) + CHOOSE(CONTROL!$C$38, 0.0369, 0)</f>
        <v>76.416600000000003</v>
      </c>
      <c r="D1040" s="10">
        <f>76.3719 * CHOOSE(CONTROL!$C$15, $E$9, 100%, $G$9) + CHOOSE(CONTROL!$C$38, 0.0369, 0)</f>
        <v>76.408799999999999</v>
      </c>
      <c r="E1040" s="28">
        <f>82.5805 * CHOOSE(CONTROL!$C$15, $E$9, 100%, $G$9) + CHOOSE(CONTROL!$C$38, 0.0369, 0)</f>
        <v>82.617400000000004</v>
      </c>
      <c r="F1040" s="27">
        <f>82.5805 * CHOOSE(CONTROL!$C$15, $E$9, 100%, $G$9) + CHOOSE(CONTROL!$C$38, 0.0278, 0)</f>
        <v>82.6083</v>
      </c>
      <c r="G1040" s="10">
        <f>76.3781 * CHOOSE(CONTROL!$C$15, $E$9, 100%, $G$9) + CHOOSE(CONTROL!$C$38, 0.0369, 0)</f>
        <v>76.415000000000006</v>
      </c>
      <c r="H1040" s="10">
        <f>76.3781 * CHOOSE(CONTROL!$C$15, $E$9, 100%, $G$9) + CHOOSE(CONTROL!$C$38, 0.0369, 0)</f>
        <v>76.415000000000006</v>
      </c>
      <c r="I1040" s="10">
        <f>76.3797 * CHOOSE(CONTROL!$C$15, $E$9, 100%, $G$9) + CHOOSE(CONTROL!$C$38, 0.0369, 0)</f>
        <v>76.416600000000003</v>
      </c>
      <c r="J1040" s="26">
        <f>537.7084</f>
        <v>537.70839999999998</v>
      </c>
    </row>
    <row r="1041" spans="1:10" ht="15.75" x14ac:dyDescent="0.25">
      <c r="A1041" s="13">
        <v>72989</v>
      </c>
      <c r="B1041" s="10">
        <f>82.9686 * CHOOSE(CONTROL!$C$15, $E$9, 100%, $G$9) + CHOOSE(CONTROL!$C$38, 0.0256, 0)</f>
        <v>82.994199999999992</v>
      </c>
      <c r="C1041" s="10">
        <f>76.6115 * CHOOSE(CONTROL!$C$15, $E$9, 100%, $G$9) + CHOOSE(CONTROL!$C$38, 0.0347, 0)</f>
        <v>76.646200000000007</v>
      </c>
      <c r="D1041" s="10">
        <f>76.6037 * CHOOSE(CONTROL!$C$15, $E$9, 100%, $G$9) + CHOOSE(CONTROL!$C$38, 0.0347, 0)</f>
        <v>76.638400000000004</v>
      </c>
      <c r="E1041" s="28">
        <f>82.8124 * CHOOSE(CONTROL!$C$15, $E$9, 100%, $G$9) + CHOOSE(CONTROL!$C$38, 0.0347, 0)</f>
        <v>82.847099999999998</v>
      </c>
      <c r="F1041" s="27">
        <f>82.8124 * CHOOSE(CONTROL!$C$15, $E$9, 100%, $G$9) + CHOOSE(CONTROL!$C$38, 0.0256, 0)</f>
        <v>82.837999999999994</v>
      </c>
      <c r="G1041" s="10">
        <f>76.6099 * CHOOSE(CONTROL!$C$15, $E$9, 100%, $G$9) + CHOOSE(CONTROL!$C$38, 0.0347, 0)</f>
        <v>76.644599999999997</v>
      </c>
      <c r="H1041" s="10">
        <f>76.6099 * CHOOSE(CONTROL!$C$15, $E$9, 100%, $G$9) + CHOOSE(CONTROL!$C$38, 0.0347, 0)</f>
        <v>76.644599999999997</v>
      </c>
      <c r="I1041" s="10">
        <f>76.6115 * CHOOSE(CONTROL!$C$15, $E$9, 100%, $G$9) + CHOOSE(CONTROL!$C$38, 0.0347, 0)</f>
        <v>76.646200000000007</v>
      </c>
      <c r="J1041" s="26">
        <f>519.1139</f>
        <v>519.11389999999994</v>
      </c>
    </row>
    <row r="1042" spans="1:10" ht="15.75" x14ac:dyDescent="0.25">
      <c r="A1042" s="13">
        <v>73019</v>
      </c>
      <c r="B1042" s="10">
        <f>83.162 * CHOOSE(CONTROL!$C$15, $E$9, 100%, $G$9) + CHOOSE(CONTROL!$C$38, 0.0256, 0)</f>
        <v>83.187600000000003</v>
      </c>
      <c r="C1042" s="10">
        <f>76.8049 * CHOOSE(CONTROL!$C$15, $E$9, 100%, $G$9) + CHOOSE(CONTROL!$C$38, 0.0347, 0)</f>
        <v>76.839600000000004</v>
      </c>
      <c r="D1042" s="10">
        <f>76.7971 * CHOOSE(CONTROL!$C$15, $E$9, 100%, $G$9) + CHOOSE(CONTROL!$C$38, 0.0347, 0)</f>
        <v>76.831800000000001</v>
      </c>
      <c r="E1042" s="28">
        <f>83.0058 * CHOOSE(CONTROL!$C$15, $E$9, 100%, $G$9) + CHOOSE(CONTROL!$C$38, 0.0347, 0)</f>
        <v>83.040499999999994</v>
      </c>
      <c r="F1042" s="27">
        <f>83.0058 * CHOOSE(CONTROL!$C$15, $E$9, 100%, $G$9) + CHOOSE(CONTROL!$C$38, 0.0256, 0)</f>
        <v>83.031399999999991</v>
      </c>
      <c r="G1042" s="10">
        <f>76.8034 * CHOOSE(CONTROL!$C$15, $E$9, 100%, $G$9) + CHOOSE(CONTROL!$C$38, 0.0347, 0)</f>
        <v>76.838099999999997</v>
      </c>
      <c r="H1042" s="10">
        <f>76.8034 * CHOOSE(CONTROL!$C$15, $E$9, 100%, $G$9) + CHOOSE(CONTROL!$C$38, 0.0347, 0)</f>
        <v>76.838099999999997</v>
      </c>
      <c r="I1042" s="10">
        <f>76.8049 * CHOOSE(CONTROL!$C$15, $E$9, 100%, $G$9) + CHOOSE(CONTROL!$C$38, 0.0347, 0)</f>
        <v>76.839600000000004</v>
      </c>
      <c r="J1042" s="26">
        <f>515.415</f>
        <v>515.41499999999996</v>
      </c>
    </row>
    <row r="1043" spans="1:10" ht="15.75" x14ac:dyDescent="0.25">
      <c r="A1043" s="13">
        <v>73050</v>
      </c>
      <c r="B1043" s="10">
        <f>83.7581 * CHOOSE(CONTROL!$C$15, $E$9, 100%, $G$9) + CHOOSE(CONTROL!$C$38, 0.0256, 0)</f>
        <v>83.783699999999996</v>
      </c>
      <c r="C1043" s="10">
        <f>77.401 * CHOOSE(CONTROL!$C$15, $E$9, 100%, $G$9) + CHOOSE(CONTROL!$C$38, 0.0347, 0)</f>
        <v>77.435699999999997</v>
      </c>
      <c r="D1043" s="10">
        <f>77.3932 * CHOOSE(CONTROL!$C$15, $E$9, 100%, $G$9) + CHOOSE(CONTROL!$C$38, 0.0347, 0)</f>
        <v>77.427899999999994</v>
      </c>
      <c r="E1043" s="28">
        <f>83.6019 * CHOOSE(CONTROL!$C$15, $E$9, 100%, $G$9) + CHOOSE(CONTROL!$C$38, 0.0347, 0)</f>
        <v>83.636600000000001</v>
      </c>
      <c r="F1043" s="27">
        <f>83.6019 * CHOOSE(CONTROL!$C$15, $E$9, 100%, $G$9) + CHOOSE(CONTROL!$C$38, 0.0256, 0)</f>
        <v>83.627499999999998</v>
      </c>
      <c r="G1043" s="10">
        <f>77.3995 * CHOOSE(CONTROL!$C$15, $E$9, 100%, $G$9) + CHOOSE(CONTROL!$C$38, 0.0347, 0)</f>
        <v>77.434200000000004</v>
      </c>
      <c r="H1043" s="10">
        <f>77.3995 * CHOOSE(CONTROL!$C$15, $E$9, 100%, $G$9) + CHOOSE(CONTROL!$C$38, 0.0347, 0)</f>
        <v>77.434200000000004</v>
      </c>
      <c r="I1043" s="10">
        <f>77.401 * CHOOSE(CONTROL!$C$15, $E$9, 100%, $G$9) + CHOOSE(CONTROL!$C$38, 0.0347, 0)</f>
        <v>77.435699999999997</v>
      </c>
      <c r="J1043" s="26">
        <f>500.1201</f>
        <v>500.12009999999998</v>
      </c>
    </row>
    <row r="1044" spans="1:10" ht="15.75" x14ac:dyDescent="0.25">
      <c r="A1044" s="13">
        <v>73081</v>
      </c>
      <c r="B1044" s="10">
        <f>85.6879 * CHOOSE(CONTROL!$C$15, $E$9, 100%, $G$9) + CHOOSE(CONTROL!$C$38, 0.0256, 0)</f>
        <v>85.713499999999996</v>
      </c>
      <c r="C1044" s="10">
        <f>79.2213 * CHOOSE(CONTROL!$C$15, $E$9, 100%, $G$9) + CHOOSE(CONTROL!$C$38, 0.0347, 0)</f>
        <v>79.256</v>
      </c>
      <c r="D1044" s="10">
        <f>79.2135 * CHOOSE(CONTROL!$C$15, $E$9, 100%, $G$9) + CHOOSE(CONTROL!$C$38, 0.0347, 0)</f>
        <v>79.248199999999997</v>
      </c>
      <c r="E1044" s="28">
        <f>85.5317 * CHOOSE(CONTROL!$C$15, $E$9, 100%, $G$9) + CHOOSE(CONTROL!$C$38, 0.0347, 0)</f>
        <v>85.566400000000002</v>
      </c>
      <c r="F1044" s="27">
        <f>85.5317 * CHOOSE(CONTROL!$C$15, $E$9, 100%, $G$9) + CHOOSE(CONTROL!$C$38, 0.0256, 0)</f>
        <v>85.557299999999998</v>
      </c>
      <c r="G1044" s="10">
        <f>79.2197 * CHOOSE(CONTROL!$C$15, $E$9, 100%, $G$9) + CHOOSE(CONTROL!$C$38, 0.0347, 0)</f>
        <v>79.254400000000004</v>
      </c>
      <c r="H1044" s="10">
        <f>79.2197 * CHOOSE(CONTROL!$C$15, $E$9, 100%, $G$9) + CHOOSE(CONTROL!$C$38, 0.0347, 0)</f>
        <v>79.254400000000004</v>
      </c>
      <c r="I1044" s="10">
        <f>79.2213 * CHOOSE(CONTROL!$C$15, $E$9, 100%, $G$9) + CHOOSE(CONTROL!$C$38, 0.0347, 0)</f>
        <v>79.256</v>
      </c>
      <c r="J1044" s="26">
        <f>496.77</f>
        <v>496.77</v>
      </c>
    </row>
    <row r="1045" spans="1:10" ht="15.75" x14ac:dyDescent="0.25">
      <c r="A1045" s="13">
        <v>73109</v>
      </c>
      <c r="B1045" s="10">
        <f>85.9087 * CHOOSE(CONTROL!$C$15, $E$9, 100%, $G$9) + CHOOSE(CONTROL!$C$38, 0.0256, 0)</f>
        <v>85.934299999999993</v>
      </c>
      <c r="C1045" s="10">
        <f>79.442 * CHOOSE(CONTROL!$C$15, $E$9, 100%, $G$9) + CHOOSE(CONTROL!$C$38, 0.0347, 0)</f>
        <v>79.476699999999994</v>
      </c>
      <c r="D1045" s="10">
        <f>79.4342 * CHOOSE(CONTROL!$C$15, $E$9, 100%, $G$9) + CHOOSE(CONTROL!$C$38, 0.0347, 0)</f>
        <v>79.468900000000005</v>
      </c>
      <c r="E1045" s="28">
        <f>85.7524 * CHOOSE(CONTROL!$C$15, $E$9, 100%, $G$9) + CHOOSE(CONTROL!$C$38, 0.0347, 0)</f>
        <v>85.787099999999995</v>
      </c>
      <c r="F1045" s="27">
        <f>85.7524 * CHOOSE(CONTROL!$C$15, $E$9, 100%, $G$9) + CHOOSE(CONTROL!$C$38, 0.0256, 0)</f>
        <v>85.777999999999992</v>
      </c>
      <c r="G1045" s="10">
        <f>79.4405 * CHOOSE(CONTROL!$C$15, $E$9, 100%, $G$9) + CHOOSE(CONTROL!$C$38, 0.0347, 0)</f>
        <v>79.475200000000001</v>
      </c>
      <c r="H1045" s="10">
        <f>79.4405 * CHOOSE(CONTROL!$C$15, $E$9, 100%, $G$9) + CHOOSE(CONTROL!$C$38, 0.0347, 0)</f>
        <v>79.475200000000001</v>
      </c>
      <c r="I1045" s="10">
        <f>79.442 * CHOOSE(CONTROL!$C$15, $E$9, 100%, $G$9) + CHOOSE(CONTROL!$C$38, 0.0347, 0)</f>
        <v>79.476699999999994</v>
      </c>
      <c r="J1045" s="26">
        <f>495.3892</f>
        <v>495.38920000000002</v>
      </c>
    </row>
    <row r="1046" spans="1:10" ht="15.75" x14ac:dyDescent="0.25">
      <c r="A1046" s="13">
        <v>73140</v>
      </c>
      <c r="B1046" s="10">
        <f>85.3977 * CHOOSE(CONTROL!$C$15, $E$9, 100%, $G$9) + CHOOSE(CONTROL!$C$38, 0.0256, 0)</f>
        <v>85.423299999999998</v>
      </c>
      <c r="C1046" s="10">
        <f>78.931 * CHOOSE(CONTROL!$C$15, $E$9, 100%, $G$9) + CHOOSE(CONTROL!$C$38, 0.0347, 0)</f>
        <v>78.965699999999998</v>
      </c>
      <c r="D1046" s="10">
        <f>78.9232 * CHOOSE(CONTROL!$C$15, $E$9, 100%, $G$9) + CHOOSE(CONTROL!$C$38, 0.0347, 0)</f>
        <v>78.957899999999995</v>
      </c>
      <c r="E1046" s="28">
        <f>85.2414 * CHOOSE(CONTROL!$C$15, $E$9, 100%, $G$9) + CHOOSE(CONTROL!$C$38, 0.0347, 0)</f>
        <v>85.2761</v>
      </c>
      <c r="F1046" s="27">
        <f>85.2414 * CHOOSE(CONTROL!$C$15, $E$9, 100%, $G$9) + CHOOSE(CONTROL!$C$38, 0.0256, 0)</f>
        <v>85.266999999999996</v>
      </c>
      <c r="G1046" s="10">
        <f>78.9294 * CHOOSE(CONTROL!$C$15, $E$9, 100%, $G$9) + CHOOSE(CONTROL!$C$38, 0.0347, 0)</f>
        <v>78.964100000000002</v>
      </c>
      <c r="H1046" s="10">
        <f>78.9294 * CHOOSE(CONTROL!$C$15, $E$9, 100%, $G$9) + CHOOSE(CONTROL!$C$38, 0.0347, 0)</f>
        <v>78.964100000000002</v>
      </c>
      <c r="I1046" s="10">
        <f>78.931 * CHOOSE(CONTROL!$C$15, $E$9, 100%, $G$9) + CHOOSE(CONTROL!$C$38, 0.0347, 0)</f>
        <v>78.965699999999998</v>
      </c>
      <c r="J1046" s="26">
        <f>521.499</f>
        <v>521.49900000000002</v>
      </c>
    </row>
    <row r="1047" spans="1:10" ht="15.75" x14ac:dyDescent="0.25">
      <c r="A1047" s="13">
        <v>73170</v>
      </c>
      <c r="B1047" s="10">
        <f>84.9025 * CHOOSE(CONTROL!$C$15, $E$9, 100%, $G$9) + CHOOSE(CONTROL!$C$38, 0.0256, 0)</f>
        <v>84.928100000000001</v>
      </c>
      <c r="C1047" s="10">
        <f>78.4358 * CHOOSE(CONTROL!$C$15, $E$9, 100%, $G$9) + CHOOSE(CONTROL!$C$38, 0.0347, 0)</f>
        <v>78.470500000000001</v>
      </c>
      <c r="D1047" s="10">
        <f>78.428 * CHOOSE(CONTROL!$C$15, $E$9, 100%, $G$9) + CHOOSE(CONTROL!$C$38, 0.0347, 0)</f>
        <v>78.462699999999998</v>
      </c>
      <c r="E1047" s="28">
        <f>84.7462 * CHOOSE(CONTROL!$C$15, $E$9, 100%, $G$9) + CHOOSE(CONTROL!$C$38, 0.0347, 0)</f>
        <v>84.780900000000003</v>
      </c>
      <c r="F1047" s="27">
        <f>84.7462 * CHOOSE(CONTROL!$C$15, $E$9, 100%, $G$9) + CHOOSE(CONTROL!$C$38, 0.0256, 0)</f>
        <v>84.771799999999999</v>
      </c>
      <c r="G1047" s="10">
        <f>78.4343 * CHOOSE(CONTROL!$C$15, $E$9, 100%, $G$9) + CHOOSE(CONTROL!$C$38, 0.0347, 0)</f>
        <v>78.468999999999994</v>
      </c>
      <c r="H1047" s="10">
        <f>78.4343 * CHOOSE(CONTROL!$C$15, $E$9, 100%, $G$9) + CHOOSE(CONTROL!$C$38, 0.0347, 0)</f>
        <v>78.468999999999994</v>
      </c>
      <c r="I1047" s="10">
        <f>78.4358 * CHOOSE(CONTROL!$C$15, $E$9, 100%, $G$9) + CHOOSE(CONTROL!$C$38, 0.0347, 0)</f>
        <v>78.470500000000001</v>
      </c>
      <c r="J1047" s="26">
        <f>555.3573</f>
        <v>555.35730000000001</v>
      </c>
    </row>
    <row r="1048" spans="1:10" ht="15.75" x14ac:dyDescent="0.25">
      <c r="A1048" s="13">
        <v>73201</v>
      </c>
      <c r="B1048" s="10">
        <f>84.3864 * CHOOSE(CONTROL!$C$15, $E$9, 100%, $G$9) + CHOOSE(CONTROL!$C$38, 0.0278, 0)</f>
        <v>84.414199999999994</v>
      </c>
      <c r="C1048" s="10">
        <f>77.9197 * CHOOSE(CONTROL!$C$15, $E$9, 100%, $G$9) + CHOOSE(CONTROL!$C$38, 0.0369, 0)</f>
        <v>77.956600000000009</v>
      </c>
      <c r="D1048" s="10">
        <f>77.9119 * CHOOSE(CONTROL!$C$15, $E$9, 100%, $G$9) + CHOOSE(CONTROL!$C$38, 0.0369, 0)</f>
        <v>77.948800000000006</v>
      </c>
      <c r="E1048" s="28">
        <f>84.2301 * CHOOSE(CONTROL!$C$15, $E$9, 100%, $G$9) + CHOOSE(CONTROL!$C$38, 0.0369, 0)</f>
        <v>84.266999999999996</v>
      </c>
      <c r="F1048" s="27">
        <f>84.2301 * CHOOSE(CONTROL!$C$15, $E$9, 100%, $G$9) + CHOOSE(CONTROL!$C$38, 0.0278, 0)</f>
        <v>84.257899999999992</v>
      </c>
      <c r="G1048" s="10">
        <f>77.9181 * CHOOSE(CONTROL!$C$15, $E$9, 100%, $G$9) + CHOOSE(CONTROL!$C$38, 0.0369, 0)</f>
        <v>77.954999999999998</v>
      </c>
      <c r="H1048" s="10">
        <f>77.9181 * CHOOSE(CONTROL!$C$15, $E$9, 100%, $G$9) + CHOOSE(CONTROL!$C$38, 0.0369, 0)</f>
        <v>77.954999999999998</v>
      </c>
      <c r="I1048" s="10">
        <f>77.9197 * CHOOSE(CONTROL!$C$15, $E$9, 100%, $G$9) + CHOOSE(CONTROL!$C$38, 0.0369, 0)</f>
        <v>77.956600000000009</v>
      </c>
      <c r="J1048" s="26">
        <f>573.994</f>
        <v>573.99400000000003</v>
      </c>
    </row>
    <row r="1049" spans="1:10" ht="15.75" x14ac:dyDescent="0.25">
      <c r="A1049" s="13">
        <v>73231</v>
      </c>
      <c r="B1049" s="10">
        <f>84.0245 * CHOOSE(CONTROL!$C$15, $E$9, 100%, $G$9) + CHOOSE(CONTROL!$C$38, 0.0278, 0)</f>
        <v>84.052300000000002</v>
      </c>
      <c r="C1049" s="10">
        <f>77.5579 * CHOOSE(CONTROL!$C$15, $E$9, 100%, $G$9) + CHOOSE(CONTROL!$C$38, 0.0369, 0)</f>
        <v>77.594800000000006</v>
      </c>
      <c r="D1049" s="10">
        <f>77.5501 * CHOOSE(CONTROL!$C$15, $E$9, 100%, $G$9) + CHOOSE(CONTROL!$C$38, 0.0369, 0)</f>
        <v>77.587000000000003</v>
      </c>
      <c r="E1049" s="28">
        <f>83.8683 * CHOOSE(CONTROL!$C$15, $E$9, 100%, $G$9) + CHOOSE(CONTROL!$C$38, 0.0369, 0)</f>
        <v>83.905200000000008</v>
      </c>
      <c r="F1049" s="27">
        <f>83.8683 * CHOOSE(CONTROL!$C$15, $E$9, 100%, $G$9) + CHOOSE(CONTROL!$C$38, 0.0278, 0)</f>
        <v>83.896100000000004</v>
      </c>
      <c r="G1049" s="10">
        <f>77.5563 * CHOOSE(CONTROL!$C$15, $E$9, 100%, $G$9) + CHOOSE(CONTROL!$C$38, 0.0369, 0)</f>
        <v>77.593199999999996</v>
      </c>
      <c r="H1049" s="10">
        <f>77.5563 * CHOOSE(CONTROL!$C$15, $E$9, 100%, $G$9) + CHOOSE(CONTROL!$C$38, 0.0369, 0)</f>
        <v>77.593199999999996</v>
      </c>
      <c r="I1049" s="10">
        <f>77.5579 * CHOOSE(CONTROL!$C$15, $E$9, 100%, $G$9) + CHOOSE(CONTROL!$C$38, 0.0369, 0)</f>
        <v>77.594800000000006</v>
      </c>
      <c r="J1049" s="26">
        <f>582.2646</f>
        <v>582.26459999999997</v>
      </c>
    </row>
    <row r="1050" spans="1:10" ht="15.75" x14ac:dyDescent="0.25">
      <c r="A1050" s="13">
        <v>73262</v>
      </c>
      <c r="B1050" s="10">
        <f>83.818 * CHOOSE(CONTROL!$C$15, $E$9, 100%, $G$9) + CHOOSE(CONTROL!$C$38, 0.0278, 0)</f>
        <v>83.845799999999997</v>
      </c>
      <c r="C1050" s="10">
        <f>77.3514 * CHOOSE(CONTROL!$C$15, $E$9, 100%, $G$9) + CHOOSE(CONTROL!$C$38, 0.0369, 0)</f>
        <v>77.388300000000001</v>
      </c>
      <c r="D1050" s="10">
        <f>77.3436 * CHOOSE(CONTROL!$C$15, $E$9, 100%, $G$9) + CHOOSE(CONTROL!$C$38, 0.0369, 0)</f>
        <v>77.380499999999998</v>
      </c>
      <c r="E1050" s="28">
        <f>83.6618 * CHOOSE(CONTROL!$C$15, $E$9, 100%, $G$9) + CHOOSE(CONTROL!$C$38, 0.0369, 0)</f>
        <v>83.698700000000002</v>
      </c>
      <c r="F1050" s="27">
        <f>83.6618 * CHOOSE(CONTROL!$C$15, $E$9, 100%, $G$9) + CHOOSE(CONTROL!$C$38, 0.0278, 0)</f>
        <v>83.689599999999999</v>
      </c>
      <c r="G1050" s="10">
        <f>77.3498 * CHOOSE(CONTROL!$C$15, $E$9, 100%, $G$9) + CHOOSE(CONTROL!$C$38, 0.0369, 0)</f>
        <v>77.386700000000005</v>
      </c>
      <c r="H1050" s="10">
        <f>77.3498 * CHOOSE(CONTROL!$C$15, $E$9, 100%, $G$9) + CHOOSE(CONTROL!$C$38, 0.0369, 0)</f>
        <v>77.386700000000005</v>
      </c>
      <c r="I1050" s="10">
        <f>77.3514 * CHOOSE(CONTROL!$C$15, $E$9, 100%, $G$9) + CHOOSE(CONTROL!$C$38, 0.0369, 0)</f>
        <v>77.388300000000001</v>
      </c>
      <c r="J1050" s="26">
        <f>579.5416</f>
        <v>579.54160000000002</v>
      </c>
    </row>
    <row r="1051" spans="1:10" ht="15.75" x14ac:dyDescent="0.25">
      <c r="A1051" s="13">
        <v>73293</v>
      </c>
      <c r="B1051" s="10">
        <f>83.92 * CHOOSE(CONTROL!$C$15, $E$9, 100%, $G$9) + CHOOSE(CONTROL!$C$38, 0.0278, 0)</f>
        <v>83.947800000000001</v>
      </c>
      <c r="C1051" s="10">
        <f>77.4533 * CHOOSE(CONTROL!$C$15, $E$9, 100%, $G$9) + CHOOSE(CONTROL!$C$38, 0.0369, 0)</f>
        <v>77.490200000000002</v>
      </c>
      <c r="D1051" s="10">
        <f>77.4455 * CHOOSE(CONTROL!$C$15, $E$9, 100%, $G$9) + CHOOSE(CONTROL!$C$38, 0.0369, 0)</f>
        <v>77.482399999999998</v>
      </c>
      <c r="E1051" s="28">
        <f>83.7637 * CHOOSE(CONTROL!$C$15, $E$9, 100%, $G$9) + CHOOSE(CONTROL!$C$38, 0.0369, 0)</f>
        <v>83.800600000000003</v>
      </c>
      <c r="F1051" s="27">
        <f>83.7637 * CHOOSE(CONTROL!$C$15, $E$9, 100%, $G$9) + CHOOSE(CONTROL!$C$38, 0.0278, 0)</f>
        <v>83.791499999999999</v>
      </c>
      <c r="G1051" s="10">
        <f>77.4517 * CHOOSE(CONTROL!$C$15, $E$9, 100%, $G$9) + CHOOSE(CONTROL!$C$38, 0.0369, 0)</f>
        <v>77.488600000000005</v>
      </c>
      <c r="H1051" s="10">
        <f>77.4517 * CHOOSE(CONTROL!$C$15, $E$9, 100%, $G$9) + CHOOSE(CONTROL!$C$38, 0.0369, 0)</f>
        <v>77.488600000000005</v>
      </c>
      <c r="I1051" s="10">
        <f>77.4533 * CHOOSE(CONTROL!$C$15, $E$9, 100%, $G$9) + CHOOSE(CONTROL!$C$38, 0.0369, 0)</f>
        <v>77.490200000000002</v>
      </c>
      <c r="J1051" s="26">
        <f>566.0501</f>
        <v>566.05010000000004</v>
      </c>
    </row>
    <row r="1052" spans="1:10" ht="15.75" x14ac:dyDescent="0.25">
      <c r="A1052" s="13">
        <v>73323</v>
      </c>
      <c r="B1052" s="10">
        <f>84.1968 * CHOOSE(CONTROL!$C$15, $E$9, 100%, $G$9) + CHOOSE(CONTROL!$C$38, 0.0278, 0)</f>
        <v>84.224599999999995</v>
      </c>
      <c r="C1052" s="10">
        <f>77.7301 * CHOOSE(CONTROL!$C$15, $E$9, 100%, $G$9) + CHOOSE(CONTROL!$C$38, 0.0369, 0)</f>
        <v>77.766999999999996</v>
      </c>
      <c r="D1052" s="10">
        <f>77.7223 * CHOOSE(CONTROL!$C$15, $E$9, 100%, $G$9) + CHOOSE(CONTROL!$C$38, 0.0369, 0)</f>
        <v>77.759200000000007</v>
      </c>
      <c r="E1052" s="28">
        <f>84.0405 * CHOOSE(CONTROL!$C$15, $E$9, 100%, $G$9) + CHOOSE(CONTROL!$C$38, 0.0369, 0)</f>
        <v>84.077399999999997</v>
      </c>
      <c r="F1052" s="27">
        <f>84.0405 * CHOOSE(CONTROL!$C$15, $E$9, 100%, $G$9) + CHOOSE(CONTROL!$C$38, 0.0278, 0)</f>
        <v>84.068299999999994</v>
      </c>
      <c r="G1052" s="10">
        <f>77.7285 * CHOOSE(CONTROL!$C$15, $E$9, 100%, $G$9) + CHOOSE(CONTROL!$C$38, 0.0369, 0)</f>
        <v>77.7654</v>
      </c>
      <c r="H1052" s="10">
        <f>77.7285 * CHOOSE(CONTROL!$C$15, $E$9, 100%, $G$9) + CHOOSE(CONTROL!$C$38, 0.0369, 0)</f>
        <v>77.7654</v>
      </c>
      <c r="I1052" s="10">
        <f>77.7301 * CHOOSE(CONTROL!$C$15, $E$9, 100%, $G$9) + CHOOSE(CONTROL!$C$38, 0.0369, 0)</f>
        <v>77.766999999999996</v>
      </c>
      <c r="J1052" s="26">
        <f>547.2355</f>
        <v>547.2355</v>
      </c>
    </row>
    <row r="1053" spans="1:10" ht="15.75" x14ac:dyDescent="0.25">
      <c r="A1053" s="13">
        <v>73354</v>
      </c>
      <c r="B1053" s="10">
        <f>84.4286 * CHOOSE(CONTROL!$C$15, $E$9, 100%, $G$9) + CHOOSE(CONTROL!$C$38, 0.0256, 0)</f>
        <v>84.4542</v>
      </c>
      <c r="C1053" s="10">
        <f>77.9619 * CHOOSE(CONTROL!$C$15, $E$9, 100%, $G$9) + CHOOSE(CONTROL!$C$38, 0.0347, 0)</f>
        <v>77.996600000000001</v>
      </c>
      <c r="D1053" s="10">
        <f>77.9541 * CHOOSE(CONTROL!$C$15, $E$9, 100%, $G$9) + CHOOSE(CONTROL!$C$38, 0.0347, 0)</f>
        <v>77.988799999999998</v>
      </c>
      <c r="E1053" s="28">
        <f>84.2723 * CHOOSE(CONTROL!$C$15, $E$9, 100%, $G$9) + CHOOSE(CONTROL!$C$38, 0.0347, 0)</f>
        <v>84.307000000000002</v>
      </c>
      <c r="F1053" s="27">
        <f>84.2723 * CHOOSE(CONTROL!$C$15, $E$9, 100%, $G$9) + CHOOSE(CONTROL!$C$38, 0.0256, 0)</f>
        <v>84.297899999999998</v>
      </c>
      <c r="G1053" s="10">
        <f>77.9604 * CHOOSE(CONTROL!$C$15, $E$9, 100%, $G$9) + CHOOSE(CONTROL!$C$38, 0.0347, 0)</f>
        <v>77.995100000000008</v>
      </c>
      <c r="H1053" s="10">
        <f>77.9604 * CHOOSE(CONTROL!$C$15, $E$9, 100%, $G$9) + CHOOSE(CONTROL!$C$38, 0.0347, 0)</f>
        <v>77.995100000000008</v>
      </c>
      <c r="I1053" s="10">
        <f>77.9619 * CHOOSE(CONTROL!$C$15, $E$9, 100%, $G$9) + CHOOSE(CONTROL!$C$38, 0.0347, 0)</f>
        <v>77.996600000000001</v>
      </c>
      <c r="J1053" s="26">
        <f>528.3116</f>
        <v>528.3116</v>
      </c>
    </row>
    <row r="1054" spans="1:10" ht="15.75" x14ac:dyDescent="0.25">
      <c r="A1054" s="13">
        <v>73384</v>
      </c>
      <c r="B1054" s="10">
        <f>84.622 * CHOOSE(CONTROL!$C$15, $E$9, 100%, $G$9) + CHOOSE(CONTROL!$C$38, 0.0256, 0)</f>
        <v>84.647599999999997</v>
      </c>
      <c r="C1054" s="10">
        <f>78.1554 * CHOOSE(CONTROL!$C$15, $E$9, 100%, $G$9) + CHOOSE(CONTROL!$C$38, 0.0347, 0)</f>
        <v>78.190100000000001</v>
      </c>
      <c r="D1054" s="10">
        <f>78.1475 * CHOOSE(CONTROL!$C$15, $E$9, 100%, $G$9) + CHOOSE(CONTROL!$C$38, 0.0347, 0)</f>
        <v>78.182199999999995</v>
      </c>
      <c r="E1054" s="28">
        <f>84.4658 * CHOOSE(CONTROL!$C$15, $E$9, 100%, $G$9) + CHOOSE(CONTROL!$C$38, 0.0347, 0)</f>
        <v>84.500500000000002</v>
      </c>
      <c r="F1054" s="27">
        <f>84.4658 * CHOOSE(CONTROL!$C$15, $E$9, 100%, $G$9) + CHOOSE(CONTROL!$C$38, 0.0256, 0)</f>
        <v>84.491399999999999</v>
      </c>
      <c r="G1054" s="10">
        <f>78.1538 * CHOOSE(CONTROL!$C$15, $E$9, 100%, $G$9) + CHOOSE(CONTROL!$C$38, 0.0347, 0)</f>
        <v>78.188500000000005</v>
      </c>
      <c r="H1054" s="10">
        <f>78.1538 * CHOOSE(CONTROL!$C$15, $E$9, 100%, $G$9) + CHOOSE(CONTROL!$C$38, 0.0347, 0)</f>
        <v>78.188500000000005</v>
      </c>
      <c r="I1054" s="10">
        <f>78.1554 * CHOOSE(CONTROL!$C$15, $E$9, 100%, $G$9) + CHOOSE(CONTROL!$C$38, 0.0347, 0)</f>
        <v>78.190100000000001</v>
      </c>
      <c r="J1054" s="26">
        <f>524.5472</f>
        <v>524.54719999999998</v>
      </c>
    </row>
    <row r="1055" spans="1:10" ht="15.75" x14ac:dyDescent="0.25">
      <c r="A1055" s="13">
        <v>73415</v>
      </c>
      <c r="B1055" s="10">
        <f>85.2181 * CHOOSE(CONTROL!$C$15, $E$9, 100%, $G$9) + CHOOSE(CONTROL!$C$38, 0.0256, 0)</f>
        <v>85.243700000000004</v>
      </c>
      <c r="C1055" s="10">
        <f>78.7514 * CHOOSE(CONTROL!$C$15, $E$9, 100%, $G$9) + CHOOSE(CONTROL!$C$38, 0.0347, 0)</f>
        <v>78.786100000000005</v>
      </c>
      <c r="D1055" s="10">
        <f>78.7436 * CHOOSE(CONTROL!$C$15, $E$9, 100%, $G$9) + CHOOSE(CONTROL!$C$38, 0.0347, 0)</f>
        <v>78.778300000000002</v>
      </c>
      <c r="E1055" s="28">
        <f>85.0618 * CHOOSE(CONTROL!$C$15, $E$9, 100%, $G$9) + CHOOSE(CONTROL!$C$38, 0.0347, 0)</f>
        <v>85.096500000000006</v>
      </c>
      <c r="F1055" s="27">
        <f>85.0618 * CHOOSE(CONTROL!$C$15, $E$9, 100%, $G$9) + CHOOSE(CONTROL!$C$38, 0.0256, 0)</f>
        <v>85.087400000000002</v>
      </c>
      <c r="G1055" s="10">
        <f>78.7499 * CHOOSE(CONTROL!$C$15, $E$9, 100%, $G$9) + CHOOSE(CONTROL!$C$38, 0.0347, 0)</f>
        <v>78.784599999999998</v>
      </c>
      <c r="H1055" s="10">
        <f>78.7499 * CHOOSE(CONTROL!$C$15, $E$9, 100%, $G$9) + CHOOSE(CONTROL!$C$38, 0.0347, 0)</f>
        <v>78.784599999999998</v>
      </c>
      <c r="I1055" s="10">
        <f>78.7514 * CHOOSE(CONTROL!$C$15, $E$9, 100%, $G$9) + CHOOSE(CONTROL!$C$38, 0.0347, 0)</f>
        <v>78.786100000000005</v>
      </c>
      <c r="J1055" s="26">
        <f>508.9812</f>
        <v>508.9812</v>
      </c>
    </row>
    <row r="1056" spans="1:10" ht="15" x14ac:dyDescent="0.2">
      <c r="A1056" s="12"/>
      <c r="B1056" s="10"/>
      <c r="C1056" s="10"/>
      <c r="D1056" s="10"/>
      <c r="E1056" s="10"/>
      <c r="F1056" s="10"/>
      <c r="G1056" s="10"/>
      <c r="H1056" s="10"/>
      <c r="I1056" s="10"/>
    </row>
    <row r="1057" spans="1:11" ht="15" x14ac:dyDescent="0.2">
      <c r="A1057" s="11">
        <v>2014</v>
      </c>
      <c r="B1057" s="10">
        <f t="shared" ref="B1057:J1057" si="0">AVERAGE(B12:B23)</f>
        <v>15.910974510928616</v>
      </c>
      <c r="C1057" s="10">
        <f t="shared" si="0"/>
        <v>15.539830015485919</v>
      </c>
      <c r="D1057" s="10">
        <f t="shared" si="0"/>
        <v>15.532002932152581</v>
      </c>
      <c r="E1057" s="10">
        <f t="shared" si="0"/>
        <v>15.763836525902583</v>
      </c>
      <c r="F1057" s="10">
        <f t="shared" si="0"/>
        <v>15.754749510928612</v>
      </c>
      <c r="G1057" s="10">
        <f t="shared" si="0"/>
        <v>15.538252932152586</v>
      </c>
      <c r="H1057" s="10">
        <f t="shared" si="0"/>
        <v>15.538252932152586</v>
      </c>
      <c r="I1057" s="10">
        <f t="shared" si="0"/>
        <v>15.539830015485919</v>
      </c>
      <c r="J1057" s="10">
        <f t="shared" si="0"/>
        <v>93.510833333333323</v>
      </c>
      <c r="K1057" s="10"/>
    </row>
    <row r="1058" spans="1:11" ht="15" x14ac:dyDescent="0.2">
      <c r="A1058" s="11">
        <v>2015</v>
      </c>
      <c r="B1058" s="10">
        <f t="shared" ref="B1058:J1058" si="1">AVERAGE(B24:B35)</f>
        <v>14.699916666666672</v>
      </c>
      <c r="C1058" s="10">
        <f t="shared" si="1"/>
        <v>14.579341666666666</v>
      </c>
      <c r="D1058" s="10">
        <f t="shared" si="1"/>
        <v>14.57154166666667</v>
      </c>
      <c r="E1058" s="10">
        <f t="shared" si="1"/>
        <v>14.552816666666665</v>
      </c>
      <c r="F1058" s="10">
        <f t="shared" si="1"/>
        <v>14.543716666666667</v>
      </c>
      <c r="G1058" s="10">
        <f t="shared" si="1"/>
        <v>14.577816666666665</v>
      </c>
      <c r="H1058" s="10">
        <f t="shared" si="1"/>
        <v>14.577816666666665</v>
      </c>
      <c r="I1058" s="10">
        <f t="shared" si="1"/>
        <v>14.579341666666666</v>
      </c>
      <c r="J1058" s="10">
        <f t="shared" si="1"/>
        <v>85.826666666666654</v>
      </c>
      <c r="K1058" s="10"/>
    </row>
    <row r="1059" spans="1:11" ht="15" x14ac:dyDescent="0.2">
      <c r="A1059" s="11">
        <v>2016</v>
      </c>
      <c r="B1059" s="10">
        <f t="shared" ref="B1059:J1059" si="2">AVERAGE(B36:B47)</f>
        <v>13.943808333333331</v>
      </c>
      <c r="C1059" s="10">
        <f t="shared" si="2"/>
        <v>13.856983333333334</v>
      </c>
      <c r="D1059" s="10">
        <f t="shared" si="2"/>
        <v>13.84915</v>
      </c>
      <c r="E1059" s="10">
        <f t="shared" si="2"/>
        <v>13.796641666666666</v>
      </c>
      <c r="F1059" s="10">
        <f t="shared" si="2"/>
        <v>13.787541666666664</v>
      </c>
      <c r="G1059" s="10">
        <f t="shared" si="2"/>
        <v>13.85541666666667</v>
      </c>
      <c r="H1059" s="10">
        <f t="shared" si="2"/>
        <v>13.85541666666667</v>
      </c>
      <c r="I1059" s="10">
        <f t="shared" si="2"/>
        <v>13.856983333333334</v>
      </c>
      <c r="J1059" s="10">
        <f t="shared" si="2"/>
        <v>80.987499999999997</v>
      </c>
      <c r="K1059" s="10"/>
    </row>
    <row r="1060" spans="1:11" ht="15" x14ac:dyDescent="0.2">
      <c r="A1060" s="11">
        <v>2017</v>
      </c>
      <c r="B1060" s="10">
        <f t="shared" ref="B1060:J1060" si="3">AVERAGE(B48:B59)</f>
        <v>14.102783333333335</v>
      </c>
      <c r="C1060" s="10">
        <f t="shared" si="3"/>
        <v>13.666991666666668</v>
      </c>
      <c r="D1060" s="10">
        <f t="shared" si="3"/>
        <v>13.659174999999999</v>
      </c>
      <c r="E1060" s="10">
        <f t="shared" si="3"/>
        <v>13.955616666666669</v>
      </c>
      <c r="F1060" s="10">
        <f t="shared" si="3"/>
        <v>13.946516666666666</v>
      </c>
      <c r="G1060" s="10">
        <f t="shared" si="3"/>
        <v>13.665416666666667</v>
      </c>
      <c r="H1060" s="10">
        <f t="shared" si="3"/>
        <v>13.665416666666667</v>
      </c>
      <c r="I1060" s="10">
        <f t="shared" si="3"/>
        <v>13.666991666666668</v>
      </c>
      <c r="J1060" s="10">
        <f t="shared" si="3"/>
        <v>84.42</v>
      </c>
      <c r="K1060" s="10"/>
    </row>
    <row r="1061" spans="1:11" ht="15" x14ac:dyDescent="0.2">
      <c r="A1061" s="11">
        <v>2018</v>
      </c>
      <c r="B1061" s="10">
        <f t="shared" ref="B1061:J1061" si="4">AVERAGE(B60:B71)</f>
        <v>14.315416666666669</v>
      </c>
      <c r="C1061" s="10">
        <f t="shared" si="4"/>
        <v>13.876241666666665</v>
      </c>
      <c r="D1061" s="10">
        <f t="shared" si="4"/>
        <v>13.868425000000002</v>
      </c>
      <c r="E1061" s="10">
        <f t="shared" si="4"/>
        <v>14.168283333333335</v>
      </c>
      <c r="F1061" s="10">
        <f t="shared" si="4"/>
        <v>14.159183333333333</v>
      </c>
      <c r="G1061" s="10">
        <f t="shared" si="4"/>
        <v>13.874691666666664</v>
      </c>
      <c r="H1061" s="10">
        <f t="shared" si="4"/>
        <v>13.874691666666664</v>
      </c>
      <c r="I1061" s="10">
        <f t="shared" si="4"/>
        <v>13.876241666666665</v>
      </c>
      <c r="J1061" s="10">
        <f t="shared" si="4"/>
        <v>86.460833333333326</v>
      </c>
      <c r="K1061" s="10"/>
    </row>
    <row r="1062" spans="1:11" ht="15" x14ac:dyDescent="0.2">
      <c r="A1062" s="11">
        <v>2019</v>
      </c>
      <c r="B1062" s="10">
        <f t="shared" ref="B1062:J1062" si="5">AVERAGE(B72:B83)</f>
        <v>16.071549999999998</v>
      </c>
      <c r="C1062" s="10">
        <f t="shared" si="5"/>
        <v>15.204366666666665</v>
      </c>
      <c r="D1062" s="10">
        <f t="shared" si="5"/>
        <v>15.19655</v>
      </c>
      <c r="E1062" s="10">
        <f t="shared" si="5"/>
        <v>15.924408333333332</v>
      </c>
      <c r="F1062" s="10">
        <f t="shared" si="5"/>
        <v>15.915308333333336</v>
      </c>
      <c r="G1062" s="10">
        <f t="shared" si="5"/>
        <v>15.202808333333335</v>
      </c>
      <c r="H1062" s="10">
        <f t="shared" si="5"/>
        <v>15.202808333333335</v>
      </c>
      <c r="I1062" s="10">
        <f t="shared" si="5"/>
        <v>15.204366666666665</v>
      </c>
      <c r="J1062" s="10">
        <f t="shared" si="5"/>
        <v>101.32</v>
      </c>
      <c r="K1062" s="10"/>
    </row>
    <row r="1063" spans="1:11" ht="15" x14ac:dyDescent="0.2">
      <c r="A1063" s="11">
        <v>2020</v>
      </c>
      <c r="B1063" s="10">
        <f t="shared" ref="B1063:J1063" si="6">AVERAGE(B84:B95)</f>
        <v>16.984441666666665</v>
      </c>
      <c r="C1063" s="10">
        <f t="shared" si="6"/>
        <v>15.946549999999997</v>
      </c>
      <c r="D1063" s="10">
        <f t="shared" si="6"/>
        <v>15.938733333333333</v>
      </c>
      <c r="E1063" s="10">
        <f t="shared" si="6"/>
        <v>16.837308333333336</v>
      </c>
      <c r="F1063" s="10">
        <f t="shared" si="6"/>
        <v>16.828208333333336</v>
      </c>
      <c r="G1063" s="10">
        <f t="shared" si="6"/>
        <v>15.944999999999999</v>
      </c>
      <c r="H1063" s="10">
        <f t="shared" si="6"/>
        <v>15.944999999999999</v>
      </c>
      <c r="I1063" s="10">
        <f t="shared" si="6"/>
        <v>15.946549999999997</v>
      </c>
      <c r="J1063" s="10">
        <f t="shared" si="6"/>
        <v>105.48999166666665</v>
      </c>
      <c r="K1063" s="10"/>
    </row>
    <row r="1064" spans="1:11" ht="15" x14ac:dyDescent="0.2">
      <c r="A1064" s="11">
        <v>2021</v>
      </c>
      <c r="B1064" s="10">
        <f t="shared" ref="B1064:J1064" si="7">AVERAGE(B96:B107)</f>
        <v>17.764408333333332</v>
      </c>
      <c r="C1064" s="10">
        <f t="shared" si="7"/>
        <v>16.496549999999999</v>
      </c>
      <c r="D1064" s="10">
        <f t="shared" si="7"/>
        <v>16.488733333333332</v>
      </c>
      <c r="E1064" s="10">
        <f t="shared" si="7"/>
        <v>17.617258333333336</v>
      </c>
      <c r="F1064" s="10">
        <f t="shared" si="7"/>
        <v>17.608158333333332</v>
      </c>
      <c r="G1064" s="10">
        <f t="shared" si="7"/>
        <v>16.495000000000001</v>
      </c>
      <c r="H1064" s="10">
        <f t="shared" si="7"/>
        <v>16.495000000000001</v>
      </c>
      <c r="I1064" s="10">
        <f t="shared" si="7"/>
        <v>16.496549999999999</v>
      </c>
      <c r="J1064" s="10">
        <f t="shared" si="7"/>
        <v>109.84999166666665</v>
      </c>
      <c r="K1064" s="10"/>
    </row>
    <row r="1065" spans="1:11" ht="15" x14ac:dyDescent="0.2">
      <c r="A1065" s="11">
        <v>2022</v>
      </c>
      <c r="B1065" s="10">
        <f t="shared" ref="B1065:J1065" si="8">AVERAGE(B108:B119)</f>
        <v>18.403416666666669</v>
      </c>
      <c r="C1065" s="10">
        <f t="shared" si="8"/>
        <v>17.041866666666667</v>
      </c>
      <c r="D1065" s="10">
        <f t="shared" si="8"/>
        <v>17.034049999999997</v>
      </c>
      <c r="E1065" s="10">
        <f t="shared" si="8"/>
        <v>18.256291666666669</v>
      </c>
      <c r="F1065" s="10">
        <f t="shared" si="8"/>
        <v>18.247191666666666</v>
      </c>
      <c r="G1065" s="10">
        <f t="shared" si="8"/>
        <v>17.040308333333332</v>
      </c>
      <c r="H1065" s="10">
        <f t="shared" si="8"/>
        <v>17.040308333333332</v>
      </c>
      <c r="I1065" s="10">
        <f t="shared" si="8"/>
        <v>17.041866666666667</v>
      </c>
      <c r="J1065" s="10">
        <f t="shared" si="8"/>
        <v>114.37999166666667</v>
      </c>
      <c r="K1065" s="10"/>
    </row>
    <row r="1066" spans="1:11" ht="15" x14ac:dyDescent="0.2">
      <c r="A1066" s="11">
        <v>2023</v>
      </c>
      <c r="B1066" s="10">
        <f t="shared" ref="B1066:J1066" si="9">AVERAGE(B120:B131)</f>
        <v>19.202616666666664</v>
      </c>
      <c r="C1066" s="10">
        <f t="shared" si="9"/>
        <v>17.665308333333332</v>
      </c>
      <c r="D1066" s="10">
        <f t="shared" si="9"/>
        <v>17.657500000000002</v>
      </c>
      <c r="E1066" s="10">
        <f t="shared" si="9"/>
        <v>19.055458333333331</v>
      </c>
      <c r="F1066" s="10">
        <f t="shared" si="9"/>
        <v>19.046358333333334</v>
      </c>
      <c r="G1066" s="10">
        <f t="shared" si="9"/>
        <v>17.663733333333337</v>
      </c>
      <c r="H1066" s="10">
        <f t="shared" si="9"/>
        <v>17.663733333333337</v>
      </c>
      <c r="I1066" s="10">
        <f t="shared" si="9"/>
        <v>17.665308333333332</v>
      </c>
      <c r="J1066" s="10">
        <f t="shared" si="9"/>
        <v>119.10000000000001</v>
      </c>
      <c r="K1066" s="10"/>
    </row>
    <row r="1067" spans="1:11" ht="15" x14ac:dyDescent="0.2">
      <c r="A1067" s="11">
        <v>2024</v>
      </c>
      <c r="B1067" s="10">
        <f t="shared" ref="B1067:J1067" si="10">AVERAGE(B132:B143)</f>
        <v>20.030616666666667</v>
      </c>
      <c r="C1067" s="10">
        <f t="shared" si="10"/>
        <v>18.316866666666666</v>
      </c>
      <c r="D1067" s="10">
        <f t="shared" si="10"/>
        <v>18.309049999999999</v>
      </c>
      <c r="E1067" s="10">
        <f t="shared" si="10"/>
        <v>19.883466666666667</v>
      </c>
      <c r="F1067" s="10">
        <f t="shared" si="10"/>
        <v>19.874366666666671</v>
      </c>
      <c r="G1067" s="10">
        <f t="shared" si="10"/>
        <v>18.315308333333334</v>
      </c>
      <c r="H1067" s="10">
        <f t="shared" si="10"/>
        <v>18.315308333333334</v>
      </c>
      <c r="I1067" s="10">
        <f t="shared" si="10"/>
        <v>18.316866666666666</v>
      </c>
      <c r="J1067" s="10">
        <f t="shared" si="10"/>
        <v>124.01000833333332</v>
      </c>
      <c r="K1067" s="10"/>
    </row>
    <row r="1068" spans="1:11" ht="15" x14ac:dyDescent="0.2">
      <c r="A1068" s="11">
        <v>2025</v>
      </c>
      <c r="B1068" s="10">
        <f t="shared" ref="B1068:J1068" si="11">AVERAGE(B144:B155)</f>
        <v>20.917891666666666</v>
      </c>
      <c r="C1068" s="10">
        <f t="shared" si="11"/>
        <v>19.026233333333334</v>
      </c>
      <c r="D1068" s="10">
        <f t="shared" si="11"/>
        <v>19.018416666666667</v>
      </c>
      <c r="E1068" s="10">
        <f t="shared" si="11"/>
        <v>20.770725000000002</v>
      </c>
      <c r="F1068" s="10">
        <f t="shared" si="11"/>
        <v>20.761624999999999</v>
      </c>
      <c r="G1068" s="10">
        <f t="shared" si="11"/>
        <v>19.024683333333332</v>
      </c>
      <c r="H1068" s="10">
        <f t="shared" si="11"/>
        <v>19.024683333333332</v>
      </c>
      <c r="I1068" s="10">
        <f t="shared" si="11"/>
        <v>19.026233333333334</v>
      </c>
      <c r="J1068" s="10">
        <f t="shared" si="11"/>
        <v>129.10999166666667</v>
      </c>
      <c r="K1068" s="10"/>
    </row>
    <row r="1069" spans="1:11" ht="15" x14ac:dyDescent="0.2">
      <c r="A1069" s="11">
        <v>2026</v>
      </c>
      <c r="B1069" s="10">
        <f t="shared" ref="B1069:J1069" si="12">AVERAGE(B156:B167)</f>
        <v>21.675416666666667</v>
      </c>
      <c r="C1069" s="10">
        <f t="shared" si="12"/>
        <v>19.765308333333333</v>
      </c>
      <c r="D1069" s="10">
        <f t="shared" si="12"/>
        <v>19.7575</v>
      </c>
      <c r="E1069" s="10">
        <f t="shared" si="12"/>
        <v>21.528283333333331</v>
      </c>
      <c r="F1069" s="10">
        <f t="shared" si="12"/>
        <v>21.519183333333334</v>
      </c>
      <c r="G1069" s="10">
        <f t="shared" si="12"/>
        <v>19.763733333333331</v>
      </c>
      <c r="H1069" s="10">
        <f t="shared" si="12"/>
        <v>19.763733333333331</v>
      </c>
      <c r="I1069" s="10">
        <f t="shared" si="12"/>
        <v>19.765308333333333</v>
      </c>
      <c r="J1069" s="10">
        <f t="shared" si="12"/>
        <v>134.42999166666669</v>
      </c>
      <c r="K1069" s="10"/>
    </row>
    <row r="1070" spans="1:11" ht="15" x14ac:dyDescent="0.2">
      <c r="A1070" s="11">
        <v>2027</v>
      </c>
      <c r="B1070" s="10">
        <f t="shared" ref="B1070:J1070" si="13">AVERAGE(B168:B179)</f>
        <v>22.484441666666669</v>
      </c>
      <c r="C1070" s="10">
        <f t="shared" si="13"/>
        <v>20.554608333333334</v>
      </c>
      <c r="D1070" s="10">
        <f t="shared" si="13"/>
        <v>20.546791666666664</v>
      </c>
      <c r="E1070" s="10">
        <f t="shared" si="13"/>
        <v>22.337308333333329</v>
      </c>
      <c r="F1070" s="10">
        <f t="shared" si="13"/>
        <v>22.328208333333336</v>
      </c>
      <c r="G1070" s="10">
        <f t="shared" si="13"/>
        <v>20.553024999999995</v>
      </c>
      <c r="H1070" s="10">
        <f t="shared" si="13"/>
        <v>20.553024999999995</v>
      </c>
      <c r="I1070" s="10">
        <f t="shared" si="13"/>
        <v>20.554608333333334</v>
      </c>
      <c r="J1070" s="10">
        <f t="shared" si="13"/>
        <v>139.96000833333335</v>
      </c>
      <c r="K1070" s="10"/>
    </row>
    <row r="1071" spans="1:11" ht="15" x14ac:dyDescent="0.2">
      <c r="A1071" s="11">
        <v>2028</v>
      </c>
      <c r="B1071" s="10">
        <f t="shared" ref="B1071:J1071" si="14">AVERAGE(B180:B191)</f>
        <v>23.403508333333335</v>
      </c>
      <c r="C1071" s="10">
        <f t="shared" si="14"/>
        <v>21.451233333333331</v>
      </c>
      <c r="D1071" s="10">
        <f t="shared" si="14"/>
        <v>21.443416666666664</v>
      </c>
      <c r="E1071" s="10">
        <f t="shared" si="14"/>
        <v>23.256358333333335</v>
      </c>
      <c r="F1071" s="10">
        <f t="shared" si="14"/>
        <v>23.247258333333335</v>
      </c>
      <c r="G1071" s="10">
        <f t="shared" si="14"/>
        <v>21.449683333333336</v>
      </c>
      <c r="H1071" s="10">
        <f t="shared" si="14"/>
        <v>21.449683333333336</v>
      </c>
      <c r="I1071" s="10">
        <f t="shared" si="14"/>
        <v>21.451233333333331</v>
      </c>
      <c r="J1071" s="10">
        <f t="shared" si="14"/>
        <v>145.71000833333335</v>
      </c>
      <c r="K1071" s="10"/>
    </row>
    <row r="1072" spans="1:11" ht="15" x14ac:dyDescent="0.2">
      <c r="A1072" s="11">
        <v>2029</v>
      </c>
      <c r="B1072" s="10">
        <f t="shared" ref="B1072:J1072" si="15">AVERAGE(B192:B203)</f>
        <v>24.343616666666666</v>
      </c>
      <c r="C1072" s="10">
        <f t="shared" si="15"/>
        <v>22.368416666666665</v>
      </c>
      <c r="D1072" s="10">
        <f t="shared" si="15"/>
        <v>22.360616666666669</v>
      </c>
      <c r="E1072" s="10">
        <f t="shared" si="15"/>
        <v>24.196483333333333</v>
      </c>
      <c r="F1072" s="10">
        <f t="shared" si="15"/>
        <v>24.187383333333329</v>
      </c>
      <c r="G1072" s="10">
        <f t="shared" si="15"/>
        <v>22.366866666666667</v>
      </c>
      <c r="H1072" s="10">
        <f t="shared" si="15"/>
        <v>22.366866666666667</v>
      </c>
      <c r="I1072" s="10">
        <f t="shared" si="15"/>
        <v>22.368416666666665</v>
      </c>
      <c r="J1072" s="10">
        <f t="shared" si="15"/>
        <v>151.69999166666668</v>
      </c>
      <c r="K1072" s="10"/>
    </row>
    <row r="1073" spans="1:11" ht="15" x14ac:dyDescent="0.2">
      <c r="A1073" s="11">
        <v>2030</v>
      </c>
      <c r="B1073" s="10">
        <f t="shared" ref="B1073:J1073" si="16">AVERAGE(B204:B215)</f>
        <v>25.322191666666669</v>
      </c>
      <c r="C1073" s="10">
        <f t="shared" si="16"/>
        <v>23.323116666666667</v>
      </c>
      <c r="D1073" s="10">
        <f t="shared" si="16"/>
        <v>23.315308333333334</v>
      </c>
      <c r="E1073" s="10">
        <f t="shared" si="16"/>
        <v>25.175016666666668</v>
      </c>
      <c r="F1073" s="10">
        <f t="shared" si="16"/>
        <v>25.165916666666664</v>
      </c>
      <c r="G1073" s="10">
        <f t="shared" si="16"/>
        <v>23.321549999999998</v>
      </c>
      <c r="H1073" s="10">
        <f t="shared" si="16"/>
        <v>23.321549999999998</v>
      </c>
      <c r="I1073" s="10">
        <f t="shared" si="16"/>
        <v>23.323116666666667</v>
      </c>
      <c r="J1073" s="10">
        <f t="shared" si="16"/>
        <v>157.93</v>
      </c>
      <c r="K1073" s="10"/>
    </row>
    <row r="1074" spans="1:11" ht="15" x14ac:dyDescent="0.2">
      <c r="A1074" s="11">
        <v>2031</v>
      </c>
      <c r="B1074" s="10">
        <f t="shared" ref="B1074:J1074" si="17">AVERAGE(B216:B227)</f>
        <v>25.758208333333339</v>
      </c>
      <c r="C1074" s="10">
        <f t="shared" si="17"/>
        <v>23.726416666666669</v>
      </c>
      <c r="D1074" s="10">
        <f t="shared" si="17"/>
        <v>23.718616666666666</v>
      </c>
      <c r="E1074" s="10">
        <f t="shared" si="17"/>
        <v>25.611058333333336</v>
      </c>
      <c r="F1074" s="10">
        <f t="shared" si="17"/>
        <v>25.601958333333329</v>
      </c>
      <c r="G1074" s="10">
        <f t="shared" si="17"/>
        <v>23.724858333333334</v>
      </c>
      <c r="H1074" s="10">
        <f t="shared" si="17"/>
        <v>23.724858333333334</v>
      </c>
      <c r="I1074" s="10">
        <f t="shared" si="17"/>
        <v>23.726416666666669</v>
      </c>
      <c r="J1074" s="10">
        <f t="shared" si="17"/>
        <v>160.72820833333336</v>
      </c>
      <c r="K1074" s="10"/>
    </row>
    <row r="1075" spans="1:11" ht="15" x14ac:dyDescent="0.2">
      <c r="A1075" s="11">
        <v>2032</v>
      </c>
      <c r="B1075" s="10">
        <f t="shared" ref="B1075:J1075" si="18">AVERAGE(B228:B239)</f>
        <v>26.201924999999999</v>
      </c>
      <c r="C1075" s="10">
        <f t="shared" si="18"/>
        <v>24.136849999999999</v>
      </c>
      <c r="D1075" s="10">
        <f t="shared" si="18"/>
        <v>24.129033333333336</v>
      </c>
      <c r="E1075" s="10">
        <f t="shared" si="18"/>
        <v>26.054791666666663</v>
      </c>
      <c r="F1075" s="10">
        <f t="shared" si="18"/>
        <v>26.045691666666666</v>
      </c>
      <c r="G1075" s="10">
        <f t="shared" si="18"/>
        <v>24.135299999999997</v>
      </c>
      <c r="H1075" s="10">
        <f t="shared" si="18"/>
        <v>24.135299999999997</v>
      </c>
      <c r="I1075" s="10">
        <f t="shared" si="18"/>
        <v>24.136849999999999</v>
      </c>
      <c r="J1075" s="10">
        <f t="shared" si="18"/>
        <v>163.57601666666667</v>
      </c>
      <c r="K1075" s="10"/>
    </row>
    <row r="1076" spans="1:11" ht="15" x14ac:dyDescent="0.2">
      <c r="A1076" s="11">
        <v>2033</v>
      </c>
      <c r="B1076" s="10">
        <f t="shared" ref="B1076:J1076" si="19">AVERAGE(B240:B251)</f>
        <v>26.653508333333331</v>
      </c>
      <c r="C1076" s="10">
        <f t="shared" si="19"/>
        <v>24.554525000000002</v>
      </c>
      <c r="D1076" s="10">
        <f t="shared" si="19"/>
        <v>24.546716666666669</v>
      </c>
      <c r="E1076" s="10">
        <f t="shared" si="19"/>
        <v>26.506358333333335</v>
      </c>
      <c r="F1076" s="10">
        <f t="shared" si="19"/>
        <v>26.497258333333338</v>
      </c>
      <c r="G1076" s="10">
        <f t="shared" si="19"/>
        <v>24.552983333333334</v>
      </c>
      <c r="H1076" s="10">
        <f t="shared" si="19"/>
        <v>24.552983333333334</v>
      </c>
      <c r="I1076" s="10">
        <f t="shared" si="19"/>
        <v>24.554525000000002</v>
      </c>
      <c r="J1076" s="10">
        <f t="shared" si="19"/>
        <v>166.47428333333332</v>
      </c>
      <c r="K1076" s="10"/>
    </row>
    <row r="1077" spans="1:11" ht="15" x14ac:dyDescent="0.2">
      <c r="A1077" s="11">
        <v>2034</v>
      </c>
      <c r="B1077" s="10">
        <f t="shared" ref="B1077:J1077" si="20">AVERAGE(B252:B263)</f>
        <v>27.113049999999998</v>
      </c>
      <c r="C1077" s="10">
        <f t="shared" si="20"/>
        <v>24.979608333333331</v>
      </c>
      <c r="D1077" s="10">
        <f t="shared" si="20"/>
        <v>24.971791666666661</v>
      </c>
      <c r="E1077" s="10">
        <f t="shared" si="20"/>
        <v>26.965908333333331</v>
      </c>
      <c r="F1077" s="10">
        <f t="shared" si="20"/>
        <v>26.956808333333338</v>
      </c>
      <c r="G1077" s="10">
        <f t="shared" si="20"/>
        <v>24.978025000000002</v>
      </c>
      <c r="H1077" s="10">
        <f t="shared" si="20"/>
        <v>24.978025000000002</v>
      </c>
      <c r="I1077" s="10">
        <f t="shared" si="20"/>
        <v>24.979608333333331</v>
      </c>
      <c r="J1077" s="10">
        <f t="shared" si="20"/>
        <v>169.42389166666666</v>
      </c>
      <c r="K1077" s="10"/>
    </row>
    <row r="1078" spans="1:11" ht="15" x14ac:dyDescent="0.2">
      <c r="A1078" s="11">
        <v>2035</v>
      </c>
      <c r="B1078" s="10">
        <f t="shared" ref="B1078:J1078" si="21">AVERAGE(B264:B275)</f>
        <v>27.58071666666666</v>
      </c>
      <c r="C1078" s="10">
        <f t="shared" si="21"/>
        <v>25.412183333333335</v>
      </c>
      <c r="D1078" s="10">
        <f t="shared" si="21"/>
        <v>25.404358333333334</v>
      </c>
      <c r="E1078" s="10">
        <f t="shared" si="21"/>
        <v>27.433575000000001</v>
      </c>
      <c r="F1078" s="10">
        <f t="shared" si="21"/>
        <v>27.424475000000001</v>
      </c>
      <c r="G1078" s="10">
        <f t="shared" si="21"/>
        <v>25.41061666666667</v>
      </c>
      <c r="H1078" s="10">
        <f t="shared" si="21"/>
        <v>25.41061666666667</v>
      </c>
      <c r="I1078" s="10">
        <f t="shared" si="21"/>
        <v>25.412183333333335</v>
      </c>
      <c r="J1078" s="10">
        <f t="shared" si="21"/>
        <v>172.42575833333331</v>
      </c>
      <c r="K1078" s="10"/>
    </row>
    <row r="1079" spans="1:11" ht="15" x14ac:dyDescent="0.2">
      <c r="A1079" s="11">
        <v>2036</v>
      </c>
      <c r="B1079" s="10">
        <f t="shared" ref="B1079:J1079" si="22">AVERAGE(B276:B287)</f>
        <v>28.056649999999994</v>
      </c>
      <c r="C1079" s="10">
        <f t="shared" si="22"/>
        <v>25.852400000000003</v>
      </c>
      <c r="D1079" s="10">
        <f t="shared" si="22"/>
        <v>25.844583333333336</v>
      </c>
      <c r="E1079" s="10">
        <f t="shared" si="22"/>
        <v>27.909508333333331</v>
      </c>
      <c r="F1079" s="10">
        <f t="shared" si="22"/>
        <v>27.900408333333335</v>
      </c>
      <c r="G1079" s="10">
        <f t="shared" si="22"/>
        <v>25.85081666666667</v>
      </c>
      <c r="H1079" s="10">
        <f t="shared" si="22"/>
        <v>25.85081666666667</v>
      </c>
      <c r="I1079" s="10">
        <f t="shared" si="22"/>
        <v>25.852400000000003</v>
      </c>
      <c r="J1079" s="10">
        <f t="shared" si="22"/>
        <v>175.48079166666665</v>
      </c>
      <c r="K1079" s="10"/>
    </row>
    <row r="1080" spans="1:11" ht="15" x14ac:dyDescent="0.2">
      <c r="A1080" s="11">
        <v>2037</v>
      </c>
      <c r="B1080" s="10">
        <f t="shared" ref="B1080:J1080" si="23">AVERAGE(B288:B299)</f>
        <v>28.541008333333338</v>
      </c>
      <c r="C1080" s="10">
        <f t="shared" si="23"/>
        <v>26.300391666666666</v>
      </c>
      <c r="D1080" s="10">
        <f t="shared" si="23"/>
        <v>26.292574999999999</v>
      </c>
      <c r="E1080" s="10">
        <f t="shared" si="23"/>
        <v>28.393841666666663</v>
      </c>
      <c r="F1080" s="10">
        <f t="shared" si="23"/>
        <v>28.384741666666667</v>
      </c>
      <c r="G1080" s="10">
        <f t="shared" si="23"/>
        <v>26.298816666666664</v>
      </c>
      <c r="H1080" s="10">
        <f t="shared" si="23"/>
        <v>26.298816666666664</v>
      </c>
      <c r="I1080" s="10">
        <f t="shared" si="23"/>
        <v>26.300391666666666</v>
      </c>
      <c r="J1080" s="10">
        <f t="shared" si="23"/>
        <v>178.59000833333334</v>
      </c>
      <c r="K1080" s="10"/>
    </row>
    <row r="1081" spans="1:11" ht="15" x14ac:dyDescent="0.2">
      <c r="A1081" s="11">
        <f t="shared" ref="A1081:A1112" si="24">A1080+1</f>
        <v>2038</v>
      </c>
      <c r="B1081" s="10">
        <f t="shared" ref="B1081:J1081" si="25">AVERAGE(B300:B311)</f>
        <v>29.033900000000003</v>
      </c>
      <c r="C1081" s="10">
        <f t="shared" si="25"/>
        <v>26.756308333333333</v>
      </c>
      <c r="D1081" s="10">
        <f t="shared" si="25"/>
        <v>26.748491666666666</v>
      </c>
      <c r="E1081" s="10">
        <f t="shared" si="25"/>
        <v>28.886733333333336</v>
      </c>
      <c r="F1081" s="10">
        <f t="shared" si="25"/>
        <v>28.877633333333332</v>
      </c>
      <c r="G1081" s="10">
        <f t="shared" si="25"/>
        <v>26.754725000000008</v>
      </c>
      <c r="H1081" s="10">
        <f t="shared" si="25"/>
        <v>26.754725000000008</v>
      </c>
      <c r="I1081" s="10">
        <f t="shared" si="25"/>
        <v>26.756308333333333</v>
      </c>
      <c r="J1081" s="10">
        <f t="shared" si="25"/>
        <v>181.75429166666666</v>
      </c>
    </row>
    <row r="1082" spans="1:11" ht="15" x14ac:dyDescent="0.2">
      <c r="A1082" s="11">
        <f t="shared" si="24"/>
        <v>2039</v>
      </c>
      <c r="B1082" s="10">
        <f t="shared" ref="B1082:J1082" si="26">AVERAGE(B312:B323)</f>
        <v>29.535508333333336</v>
      </c>
      <c r="C1082" s="10">
        <f t="shared" si="26"/>
        <v>27.220258333333334</v>
      </c>
      <c r="D1082" s="10">
        <f t="shared" si="26"/>
        <v>27.212441666666663</v>
      </c>
      <c r="E1082" s="10">
        <f t="shared" si="26"/>
        <v>29.388341666666665</v>
      </c>
      <c r="F1082" s="10">
        <f t="shared" si="26"/>
        <v>29.379241666666662</v>
      </c>
      <c r="G1082" s="10">
        <f t="shared" si="26"/>
        <v>27.218708333333336</v>
      </c>
      <c r="H1082" s="10">
        <f t="shared" si="26"/>
        <v>27.218708333333336</v>
      </c>
      <c r="I1082" s="10">
        <f t="shared" si="26"/>
        <v>27.220258333333334</v>
      </c>
      <c r="J1082" s="10">
        <f t="shared" si="26"/>
        <v>184.97461666666663</v>
      </c>
    </row>
    <row r="1083" spans="1:11" ht="15" x14ac:dyDescent="0.2">
      <c r="A1083" s="11">
        <f t="shared" si="24"/>
        <v>2040</v>
      </c>
      <c r="B1083" s="10">
        <f t="shared" ref="B1083:J1083" si="27">AVERAGE(B324:B335)</f>
        <v>30.045966666666672</v>
      </c>
      <c r="C1083" s="10">
        <f t="shared" si="27"/>
        <v>27.692416666666674</v>
      </c>
      <c r="D1083" s="10">
        <f t="shared" si="27"/>
        <v>27.68460833333334</v>
      </c>
      <c r="E1083" s="10">
        <f t="shared" si="27"/>
        <v>29.898816666666672</v>
      </c>
      <c r="F1083" s="10">
        <f t="shared" si="27"/>
        <v>29.889716666666661</v>
      </c>
      <c r="G1083" s="10">
        <f t="shared" si="27"/>
        <v>27.690858333333335</v>
      </c>
      <c r="H1083" s="10">
        <f t="shared" si="27"/>
        <v>27.690858333333335</v>
      </c>
      <c r="I1083" s="10">
        <f t="shared" si="27"/>
        <v>27.692416666666674</v>
      </c>
      <c r="J1083" s="10">
        <f t="shared" si="27"/>
        <v>188.25201666666666</v>
      </c>
    </row>
    <row r="1084" spans="1:11" ht="15" x14ac:dyDescent="0.2">
      <c r="A1084" s="11">
        <f t="shared" si="24"/>
        <v>2041</v>
      </c>
      <c r="B1084" s="10">
        <f t="shared" ref="B1084:J1084" si="28">AVERAGE(B336:B347)</f>
        <v>30.565450000000002</v>
      </c>
      <c r="C1084" s="10">
        <f t="shared" si="28"/>
        <v>28.172916666666662</v>
      </c>
      <c r="D1084" s="10">
        <f t="shared" si="28"/>
        <v>28.165116666666663</v>
      </c>
      <c r="E1084" s="10">
        <f t="shared" si="28"/>
        <v>30.418308333333339</v>
      </c>
      <c r="F1084" s="10">
        <f t="shared" si="28"/>
        <v>30.409208333333339</v>
      </c>
      <c r="G1084" s="10">
        <f t="shared" si="28"/>
        <v>28.17135833333333</v>
      </c>
      <c r="H1084" s="10">
        <f t="shared" si="28"/>
        <v>28.17135833333333</v>
      </c>
      <c r="I1084" s="10">
        <f t="shared" si="28"/>
        <v>28.172916666666662</v>
      </c>
      <c r="J1084" s="10">
        <f t="shared" si="28"/>
        <v>191.58749166666666</v>
      </c>
    </row>
    <row r="1085" spans="1:11" ht="15" x14ac:dyDescent="0.2">
      <c r="A1085" s="11">
        <f t="shared" si="24"/>
        <v>2042</v>
      </c>
      <c r="B1085" s="10">
        <f t="shared" ref="B1085:J1085" si="29">AVERAGE(B348:B359)</f>
        <v>31.094116666666661</v>
      </c>
      <c r="C1085" s="10">
        <f t="shared" si="29"/>
        <v>28.661916666666666</v>
      </c>
      <c r="D1085" s="10">
        <f t="shared" si="29"/>
        <v>28.65410833333333</v>
      </c>
      <c r="E1085" s="10">
        <f t="shared" si="29"/>
        <v>30.946966666666665</v>
      </c>
      <c r="F1085" s="10">
        <f t="shared" si="29"/>
        <v>30.937866666666665</v>
      </c>
      <c r="G1085" s="10">
        <f t="shared" si="29"/>
        <v>28.660349999999998</v>
      </c>
      <c r="H1085" s="10">
        <f t="shared" si="29"/>
        <v>28.660349999999998</v>
      </c>
      <c r="I1085" s="10">
        <f t="shared" si="29"/>
        <v>28.661916666666666</v>
      </c>
      <c r="J1085" s="10">
        <f t="shared" si="29"/>
        <v>194.9820583333333</v>
      </c>
    </row>
    <row r="1086" spans="1:11" ht="15" x14ac:dyDescent="0.2">
      <c r="A1086" s="11">
        <f t="shared" si="24"/>
        <v>2043</v>
      </c>
      <c r="B1086" s="10">
        <f t="shared" ref="B1086:J1086" si="30">AVERAGE(B360:B371)</f>
        <v>31.632116666666661</v>
      </c>
      <c r="C1086" s="10">
        <f t="shared" si="30"/>
        <v>29.159549999999996</v>
      </c>
      <c r="D1086" s="10">
        <f t="shared" si="30"/>
        <v>29.151724999999999</v>
      </c>
      <c r="E1086" s="10">
        <f t="shared" si="30"/>
        <v>31.484983333333332</v>
      </c>
      <c r="F1086" s="10">
        <f t="shared" si="30"/>
        <v>31.475883333333332</v>
      </c>
      <c r="G1086" s="10">
        <f t="shared" si="30"/>
        <v>29.157991666666671</v>
      </c>
      <c r="H1086" s="10">
        <f t="shared" si="30"/>
        <v>29.157991666666671</v>
      </c>
      <c r="I1086" s="10">
        <f t="shared" si="30"/>
        <v>29.159549999999996</v>
      </c>
      <c r="J1086" s="10">
        <f t="shared" si="30"/>
        <v>198.43677500000001</v>
      </c>
    </row>
    <row r="1087" spans="1:11" ht="15" x14ac:dyDescent="0.2">
      <c r="A1087" s="11">
        <f t="shared" si="24"/>
        <v>2044</v>
      </c>
      <c r="B1087" s="10">
        <f t="shared" ref="B1087:J1087" si="31">AVERAGE(B372:B383)</f>
        <v>32.179625000000001</v>
      </c>
      <c r="C1087" s="10">
        <f t="shared" si="31"/>
        <v>29.665983333333333</v>
      </c>
      <c r="D1087" s="10">
        <f t="shared" si="31"/>
        <v>29.65816666666667</v>
      </c>
      <c r="E1087" s="10">
        <f t="shared" si="31"/>
        <v>32.032491666666665</v>
      </c>
      <c r="F1087" s="10">
        <f t="shared" si="31"/>
        <v>32.023391666666662</v>
      </c>
      <c r="G1087" s="10">
        <f t="shared" si="31"/>
        <v>29.664416666666664</v>
      </c>
      <c r="H1087" s="10">
        <f t="shared" si="31"/>
        <v>29.664416666666664</v>
      </c>
      <c r="I1087" s="10">
        <f t="shared" si="31"/>
        <v>29.665983333333333</v>
      </c>
      <c r="J1087" s="10">
        <f t="shared" si="31"/>
        <v>201.95269999999996</v>
      </c>
    </row>
    <row r="1088" spans="1:11" ht="15" x14ac:dyDescent="0.2">
      <c r="A1088" s="11">
        <f t="shared" si="24"/>
        <v>2045</v>
      </c>
      <c r="B1088" s="10">
        <f t="shared" ref="B1088:J1088" si="32">AVERAGE(B384:B395)</f>
        <v>32.73681666666667</v>
      </c>
      <c r="C1088" s="10">
        <f t="shared" si="32"/>
        <v>30.181350000000005</v>
      </c>
      <c r="D1088" s="10">
        <f t="shared" si="32"/>
        <v>30.173525000000001</v>
      </c>
      <c r="E1088" s="10">
        <f t="shared" si="32"/>
        <v>32.589675000000007</v>
      </c>
      <c r="F1088" s="10">
        <f t="shared" si="32"/>
        <v>32.580574999999996</v>
      </c>
      <c r="G1088" s="10">
        <f t="shared" si="32"/>
        <v>30.179791666666663</v>
      </c>
      <c r="H1088" s="10">
        <f t="shared" si="32"/>
        <v>30.179791666666663</v>
      </c>
      <c r="I1088" s="10">
        <f t="shared" si="32"/>
        <v>30.181350000000005</v>
      </c>
      <c r="J1088" s="10">
        <f t="shared" si="32"/>
        <v>205.53090833333331</v>
      </c>
    </row>
    <row r="1089" spans="1:10" ht="15" x14ac:dyDescent="0.2">
      <c r="A1089" s="11">
        <f t="shared" si="24"/>
        <v>2046</v>
      </c>
      <c r="B1089" s="10">
        <f t="shared" ref="B1089:J1089" si="33">AVERAGE(B396:B407)</f>
        <v>33.303849999999997</v>
      </c>
      <c r="C1089" s="10">
        <f t="shared" si="33"/>
        <v>30.705816666666667</v>
      </c>
      <c r="D1089" s="10">
        <f t="shared" si="33"/>
        <v>30.698016666666661</v>
      </c>
      <c r="E1089" s="10">
        <f t="shared" si="33"/>
        <v>33.156708333333334</v>
      </c>
      <c r="F1089" s="10">
        <f t="shared" si="33"/>
        <v>33.147608333333331</v>
      </c>
      <c r="G1089" s="10">
        <f t="shared" si="33"/>
        <v>30.704266666666669</v>
      </c>
      <c r="H1089" s="10">
        <f t="shared" si="33"/>
        <v>30.704266666666669</v>
      </c>
      <c r="I1089" s="10">
        <f t="shared" si="33"/>
        <v>30.705816666666667</v>
      </c>
      <c r="J1089" s="10">
        <f t="shared" si="33"/>
        <v>209.17253333333335</v>
      </c>
    </row>
    <row r="1090" spans="1:10" ht="15" x14ac:dyDescent="0.2">
      <c r="A1090" s="11">
        <f t="shared" si="24"/>
        <v>2047</v>
      </c>
      <c r="B1090" s="10">
        <f t="shared" ref="B1090:J1090" si="34">AVERAGE(B408:B419)</f>
        <v>33.880908333333331</v>
      </c>
      <c r="C1090" s="10">
        <f t="shared" si="34"/>
        <v>31.239583333333339</v>
      </c>
      <c r="D1090" s="10">
        <f t="shared" si="34"/>
        <v>31.231766666666669</v>
      </c>
      <c r="E1090" s="10">
        <f t="shared" si="34"/>
        <v>33.733750000000001</v>
      </c>
      <c r="F1090" s="10">
        <f t="shared" si="34"/>
        <v>33.724649999999997</v>
      </c>
      <c r="G1090" s="10">
        <f t="shared" si="34"/>
        <v>31.23801666666667</v>
      </c>
      <c r="H1090" s="10">
        <f t="shared" si="34"/>
        <v>31.23801666666667</v>
      </c>
      <c r="I1090" s="10">
        <f t="shared" si="34"/>
        <v>31.239583333333339</v>
      </c>
      <c r="J1090" s="10">
        <f t="shared" si="34"/>
        <v>212.87868333333333</v>
      </c>
    </row>
    <row r="1091" spans="1:10" ht="15" x14ac:dyDescent="0.2">
      <c r="A1091" s="11">
        <f t="shared" si="24"/>
        <v>2048</v>
      </c>
      <c r="B1091" s="10">
        <f t="shared" ref="B1091:J1091" si="35">AVERAGE(B420:B431)</f>
        <v>34.468141666666668</v>
      </c>
      <c r="C1091" s="10">
        <f t="shared" si="35"/>
        <v>31.782749999999993</v>
      </c>
      <c r="D1091" s="10">
        <f t="shared" si="35"/>
        <v>31.774933333333326</v>
      </c>
      <c r="E1091" s="10">
        <f t="shared" si="35"/>
        <v>34.321008333333332</v>
      </c>
      <c r="F1091" s="10">
        <f t="shared" si="35"/>
        <v>34.311908333333328</v>
      </c>
      <c r="G1091" s="10">
        <f t="shared" si="35"/>
        <v>31.781199999999998</v>
      </c>
      <c r="H1091" s="10">
        <f t="shared" si="35"/>
        <v>31.781199999999998</v>
      </c>
      <c r="I1091" s="10">
        <f t="shared" si="35"/>
        <v>31.782749999999993</v>
      </c>
      <c r="J1091" s="10">
        <f t="shared" si="35"/>
        <v>216.65049166666665</v>
      </c>
    </row>
    <row r="1092" spans="1:10" ht="15" x14ac:dyDescent="0.2">
      <c r="A1092" s="11">
        <f t="shared" si="24"/>
        <v>2049</v>
      </c>
      <c r="B1092" s="10">
        <f t="shared" ref="B1092:J1092" si="36">AVERAGE(B432:B443)</f>
        <v>35.065766666666669</v>
      </c>
      <c r="C1092" s="10">
        <f t="shared" si="36"/>
        <v>32.33551666666667</v>
      </c>
      <c r="D1092" s="10">
        <f t="shared" si="36"/>
        <v>32.327716666666667</v>
      </c>
      <c r="E1092" s="10">
        <f t="shared" si="36"/>
        <v>34.918616666666672</v>
      </c>
      <c r="F1092" s="10">
        <f t="shared" si="36"/>
        <v>34.909516666666661</v>
      </c>
      <c r="G1092" s="10">
        <f t="shared" si="36"/>
        <v>32.333966666666669</v>
      </c>
      <c r="H1092" s="10">
        <f t="shared" si="36"/>
        <v>32.333966666666669</v>
      </c>
      <c r="I1092" s="10">
        <f t="shared" si="36"/>
        <v>32.33551666666667</v>
      </c>
      <c r="J1092" s="10">
        <f t="shared" si="36"/>
        <v>220.48912500000003</v>
      </c>
    </row>
    <row r="1093" spans="1:10" ht="15" x14ac:dyDescent="0.2">
      <c r="A1093" s="11">
        <f t="shared" si="24"/>
        <v>2050</v>
      </c>
      <c r="B1093" s="10">
        <f t="shared" ref="B1093:J1093" si="37">AVERAGE(B444:B455)</f>
        <v>35.673941666666657</v>
      </c>
      <c r="C1093" s="10">
        <f t="shared" si="37"/>
        <v>32.898066666666672</v>
      </c>
      <c r="D1093" s="10">
        <f t="shared" si="37"/>
        <v>32.890250000000002</v>
      </c>
      <c r="E1093" s="10">
        <f t="shared" si="37"/>
        <v>35.526808333333342</v>
      </c>
      <c r="F1093" s="10">
        <f t="shared" si="37"/>
        <v>35.517708333333339</v>
      </c>
      <c r="G1093" s="10">
        <f t="shared" si="37"/>
        <v>32.896508333333323</v>
      </c>
      <c r="H1093" s="10">
        <f t="shared" si="37"/>
        <v>32.896508333333323</v>
      </c>
      <c r="I1093" s="10">
        <f t="shared" si="37"/>
        <v>32.898066666666672</v>
      </c>
      <c r="J1093" s="10">
        <f t="shared" si="37"/>
        <v>224.39578333333336</v>
      </c>
    </row>
    <row r="1094" spans="1:10" ht="15" x14ac:dyDescent="0.2">
      <c r="A1094" s="11">
        <f t="shared" si="24"/>
        <v>2051</v>
      </c>
      <c r="B1094" s="10">
        <f t="shared" ref="B1094:J1094" si="38">AVERAGE(B456:B467)</f>
        <v>36.292866666666662</v>
      </c>
      <c r="C1094" s="10">
        <f t="shared" si="38"/>
        <v>33.470541666666669</v>
      </c>
      <c r="D1094" s="10">
        <f t="shared" si="38"/>
        <v>33.462724999999999</v>
      </c>
      <c r="E1094" s="10">
        <f t="shared" si="38"/>
        <v>36.145716666666665</v>
      </c>
      <c r="F1094" s="10">
        <f t="shared" si="38"/>
        <v>36.136616666666669</v>
      </c>
      <c r="G1094" s="10">
        <f t="shared" si="38"/>
        <v>33.468991666666675</v>
      </c>
      <c r="H1094" s="10">
        <f t="shared" si="38"/>
        <v>33.468991666666675</v>
      </c>
      <c r="I1094" s="10">
        <f t="shared" si="38"/>
        <v>33.470541666666669</v>
      </c>
      <c r="J1094" s="10">
        <f t="shared" si="38"/>
        <v>228.37164166666662</v>
      </c>
    </row>
    <row r="1095" spans="1:10" ht="15" x14ac:dyDescent="0.2">
      <c r="A1095" s="11">
        <f t="shared" si="24"/>
        <v>2052</v>
      </c>
      <c r="B1095" s="10">
        <f t="shared" ref="B1095:J1095" si="39">AVERAGE(B468:B479)</f>
        <v>36.922716666666666</v>
      </c>
      <c r="C1095" s="10">
        <f t="shared" si="39"/>
        <v>34.053125000000001</v>
      </c>
      <c r="D1095" s="10">
        <f t="shared" si="39"/>
        <v>34.045316666666672</v>
      </c>
      <c r="E1095" s="10">
        <f t="shared" si="39"/>
        <v>36.775583333333344</v>
      </c>
      <c r="F1095" s="10">
        <f t="shared" si="39"/>
        <v>36.766483333333326</v>
      </c>
      <c r="G1095" s="10">
        <f t="shared" si="39"/>
        <v>34.051583333333333</v>
      </c>
      <c r="H1095" s="10">
        <f t="shared" si="39"/>
        <v>34.051583333333333</v>
      </c>
      <c r="I1095" s="10">
        <f t="shared" si="39"/>
        <v>34.053125000000001</v>
      </c>
      <c r="J1095" s="10">
        <f t="shared" si="39"/>
        <v>232.41796666666664</v>
      </c>
    </row>
    <row r="1096" spans="1:10" ht="15" x14ac:dyDescent="0.2">
      <c r="A1096" s="11">
        <f t="shared" si="24"/>
        <v>2053</v>
      </c>
      <c r="B1096" s="10">
        <f t="shared" ref="B1096:J1096" si="40">AVERAGE(B480:B491)</f>
        <v>37.563716666666664</v>
      </c>
      <c r="C1096" s="10">
        <f t="shared" si="40"/>
        <v>34.646016666666668</v>
      </c>
      <c r="D1096" s="10">
        <f t="shared" si="40"/>
        <v>34.638216666666665</v>
      </c>
      <c r="E1096" s="10">
        <f t="shared" si="40"/>
        <v>37.416566666666668</v>
      </c>
      <c r="F1096" s="10">
        <f t="shared" si="40"/>
        <v>37.407466666666664</v>
      </c>
      <c r="G1096" s="10">
        <f t="shared" si="40"/>
        <v>34.644466666666673</v>
      </c>
      <c r="H1096" s="10">
        <f t="shared" si="40"/>
        <v>34.644466666666673</v>
      </c>
      <c r="I1096" s="10">
        <f t="shared" si="40"/>
        <v>34.646016666666668</v>
      </c>
      <c r="J1096" s="10">
        <f t="shared" si="40"/>
        <v>236.53595833333335</v>
      </c>
    </row>
    <row r="1097" spans="1:10" ht="15" x14ac:dyDescent="0.2">
      <c r="A1097" s="11">
        <f t="shared" si="24"/>
        <v>2054</v>
      </c>
      <c r="B1097" s="10">
        <f t="shared" ref="B1097:J1097" si="41">AVERAGE(B492:B503)</f>
        <v>38.216016666666661</v>
      </c>
      <c r="C1097" s="10">
        <f t="shared" si="41"/>
        <v>35.249391666666668</v>
      </c>
      <c r="D1097" s="10">
        <f t="shared" si="41"/>
        <v>35.241583333333331</v>
      </c>
      <c r="E1097" s="10">
        <f t="shared" si="41"/>
        <v>38.068883333333332</v>
      </c>
      <c r="F1097" s="10">
        <f t="shared" si="41"/>
        <v>38.059783333333328</v>
      </c>
      <c r="G1097" s="10">
        <f t="shared" si="41"/>
        <v>35.247816666666665</v>
      </c>
      <c r="H1097" s="10">
        <f t="shared" si="41"/>
        <v>35.247816666666665</v>
      </c>
      <c r="I1097" s="10">
        <f t="shared" si="41"/>
        <v>35.249391666666668</v>
      </c>
      <c r="J1097" s="10">
        <f t="shared" si="41"/>
        <v>240.72693333333333</v>
      </c>
    </row>
    <row r="1098" spans="1:10" ht="15" x14ac:dyDescent="0.2">
      <c r="A1098" s="11">
        <f t="shared" si="24"/>
        <v>2055</v>
      </c>
      <c r="B1098" s="10">
        <f t="shared" ref="B1098:J1098" si="42">AVERAGE(B504:B515)</f>
        <v>38.879866666666665</v>
      </c>
      <c r="C1098" s="10">
        <f t="shared" si="42"/>
        <v>35.863416666666666</v>
      </c>
      <c r="D1098" s="10">
        <f t="shared" si="42"/>
        <v>35.855608333333336</v>
      </c>
      <c r="E1098" s="10">
        <f t="shared" si="42"/>
        <v>38.732716666666676</v>
      </c>
      <c r="F1098" s="10">
        <f t="shared" si="42"/>
        <v>38.723616666666665</v>
      </c>
      <c r="G1098" s="10">
        <f t="shared" si="42"/>
        <v>35.86184166666667</v>
      </c>
      <c r="H1098" s="10">
        <f t="shared" si="42"/>
        <v>35.86184166666667</v>
      </c>
      <c r="I1098" s="10">
        <f t="shared" si="42"/>
        <v>35.863416666666666</v>
      </c>
      <c r="J1098" s="10">
        <f t="shared" si="42"/>
        <v>244.99215833333335</v>
      </c>
    </row>
    <row r="1099" spans="1:10" ht="15" x14ac:dyDescent="0.2">
      <c r="A1099" s="11">
        <f t="shared" si="24"/>
        <v>2056</v>
      </c>
      <c r="B1099" s="10">
        <f t="shared" ref="B1099:J1099" si="43">AVERAGE(B516:B527)</f>
        <v>39.555424999999993</v>
      </c>
      <c r="C1099" s="10">
        <f t="shared" si="43"/>
        <v>36.488291666666676</v>
      </c>
      <c r="D1099" s="10">
        <f t="shared" si="43"/>
        <v>36.480474999999998</v>
      </c>
      <c r="E1099" s="10">
        <f t="shared" si="43"/>
        <v>39.408291666666678</v>
      </c>
      <c r="F1099" s="10">
        <f t="shared" si="43"/>
        <v>39.39919166666666</v>
      </c>
      <c r="G1099" s="10">
        <f t="shared" si="43"/>
        <v>36.486716666666666</v>
      </c>
      <c r="H1099" s="10">
        <f t="shared" si="43"/>
        <v>36.486716666666666</v>
      </c>
      <c r="I1099" s="10">
        <f t="shared" si="43"/>
        <v>36.488291666666676</v>
      </c>
      <c r="J1099" s="10">
        <f t="shared" si="43"/>
        <v>249.33296666666664</v>
      </c>
    </row>
    <row r="1100" spans="1:10" ht="15" x14ac:dyDescent="0.2">
      <c r="A1100" s="11">
        <f t="shared" si="24"/>
        <v>2057</v>
      </c>
      <c r="B1100" s="10">
        <f t="shared" ref="B1100:J1100" si="44">AVERAGE(B528:B539)</f>
        <v>40.242924999999993</v>
      </c>
      <c r="C1100" s="10">
        <f t="shared" si="44"/>
        <v>37.124208333333335</v>
      </c>
      <c r="D1100" s="10">
        <f t="shared" si="44"/>
        <v>37.116391666666665</v>
      </c>
      <c r="E1100" s="10">
        <f t="shared" si="44"/>
        <v>40.095791666666678</v>
      </c>
      <c r="F1100" s="10">
        <f t="shared" si="44"/>
        <v>40.08669166666666</v>
      </c>
      <c r="G1100" s="10">
        <f t="shared" si="44"/>
        <v>37.122624999999999</v>
      </c>
      <c r="H1100" s="10">
        <f t="shared" si="44"/>
        <v>37.122624999999999</v>
      </c>
      <c r="I1100" s="10">
        <f t="shared" si="44"/>
        <v>37.124208333333335</v>
      </c>
      <c r="J1100" s="10">
        <f t="shared" si="44"/>
        <v>253.75066666666672</v>
      </c>
    </row>
    <row r="1101" spans="1:10" ht="15" x14ac:dyDescent="0.2">
      <c r="A1101" s="11">
        <f t="shared" si="24"/>
        <v>2058</v>
      </c>
      <c r="B1101" s="10">
        <f t="shared" ref="B1101:J1101" si="45">AVERAGE(B540:B551)</f>
        <v>40.942591666666665</v>
      </c>
      <c r="C1101" s="10">
        <f t="shared" si="45"/>
        <v>37.771333333333331</v>
      </c>
      <c r="D1101" s="10">
        <f t="shared" si="45"/>
        <v>37.763516666666675</v>
      </c>
      <c r="E1101" s="10">
        <f t="shared" si="45"/>
        <v>40.795425000000002</v>
      </c>
      <c r="F1101" s="10">
        <f t="shared" si="45"/>
        <v>40.786324999999998</v>
      </c>
      <c r="G1101" s="10">
        <f t="shared" si="45"/>
        <v>37.76979166666667</v>
      </c>
      <c r="H1101" s="10">
        <f t="shared" si="45"/>
        <v>37.76979166666667</v>
      </c>
      <c r="I1101" s="10">
        <f t="shared" si="45"/>
        <v>37.771333333333331</v>
      </c>
      <c r="J1101" s="10">
        <f t="shared" si="45"/>
        <v>258.24664999999999</v>
      </c>
    </row>
    <row r="1102" spans="1:10" ht="15" x14ac:dyDescent="0.2">
      <c r="A1102" s="11">
        <f t="shared" si="24"/>
        <v>2059</v>
      </c>
      <c r="B1102" s="10">
        <f t="shared" ref="B1102:J1102" si="46">AVERAGE(B552:B563)</f>
        <v>41.654608333333329</v>
      </c>
      <c r="C1102" s="10">
        <f t="shared" si="46"/>
        <v>38.429916666666664</v>
      </c>
      <c r="D1102" s="10">
        <f t="shared" si="46"/>
        <v>38.422116666666675</v>
      </c>
      <c r="E1102" s="10">
        <f t="shared" si="46"/>
        <v>41.507441666666672</v>
      </c>
      <c r="F1102" s="10">
        <f t="shared" si="46"/>
        <v>41.498341666666668</v>
      </c>
      <c r="G1102" s="10">
        <f t="shared" si="46"/>
        <v>38.428358333333335</v>
      </c>
      <c r="H1102" s="10">
        <f t="shared" si="46"/>
        <v>38.428358333333335</v>
      </c>
      <c r="I1102" s="10">
        <f t="shared" si="46"/>
        <v>38.429916666666664</v>
      </c>
      <c r="J1102" s="10">
        <f t="shared" si="46"/>
        <v>262.82230000000004</v>
      </c>
    </row>
    <row r="1103" spans="1:10" ht="15" x14ac:dyDescent="0.2">
      <c r="A1103" s="11">
        <f t="shared" si="24"/>
        <v>2060</v>
      </c>
      <c r="B1103" s="10">
        <f t="shared" ref="B1103:J1103" si="47">AVERAGE(B564:B575)</f>
        <v>42.379199999999997</v>
      </c>
      <c r="C1103" s="10">
        <f t="shared" si="47"/>
        <v>39.100133333333332</v>
      </c>
      <c r="D1103" s="10">
        <f t="shared" si="47"/>
        <v>39.092316666666669</v>
      </c>
      <c r="E1103" s="10">
        <f t="shared" si="47"/>
        <v>42.232033333333334</v>
      </c>
      <c r="F1103" s="10">
        <f t="shared" si="47"/>
        <v>42.22293333333333</v>
      </c>
      <c r="G1103" s="10">
        <f t="shared" si="47"/>
        <v>39.09858333333333</v>
      </c>
      <c r="H1103" s="10">
        <f t="shared" si="47"/>
        <v>39.09858333333333</v>
      </c>
      <c r="I1103" s="10">
        <f t="shared" si="47"/>
        <v>39.100133333333332</v>
      </c>
      <c r="J1103" s="10">
        <f t="shared" si="47"/>
        <v>267.47901666666667</v>
      </c>
    </row>
    <row r="1104" spans="1:10" ht="15" x14ac:dyDescent="0.2">
      <c r="A1104" s="11">
        <f t="shared" si="24"/>
        <v>2061</v>
      </c>
      <c r="B1104" s="10">
        <f t="shared" ref="B1104:J1104" si="48">AVERAGE(B576:B587)</f>
        <v>43.116591666666658</v>
      </c>
      <c r="C1104" s="10">
        <f t="shared" si="48"/>
        <v>39.782208333333337</v>
      </c>
      <c r="D1104" s="10">
        <f t="shared" si="48"/>
        <v>39.774391666666666</v>
      </c>
      <c r="E1104" s="10">
        <f t="shared" si="48"/>
        <v>42.969424999999994</v>
      </c>
      <c r="F1104" s="10">
        <f t="shared" si="48"/>
        <v>42.960325000000005</v>
      </c>
      <c r="G1104" s="10">
        <f t="shared" si="48"/>
        <v>39.780625000000001</v>
      </c>
      <c r="H1104" s="10">
        <f t="shared" si="48"/>
        <v>39.780625000000001</v>
      </c>
      <c r="I1104" s="10">
        <f t="shared" si="48"/>
        <v>39.782208333333337</v>
      </c>
      <c r="J1104" s="10">
        <f t="shared" si="48"/>
        <v>272.21823333333333</v>
      </c>
    </row>
    <row r="1105" spans="1:10" ht="15" x14ac:dyDescent="0.2">
      <c r="A1105" s="11">
        <f t="shared" si="24"/>
        <v>2062</v>
      </c>
      <c r="B1105" s="10">
        <f t="shared" ref="B1105:J1114" ca="1" si="49">AVERAGE(OFFSET(B$588,($A1105-$A$1105)*12,0,12,1))</f>
        <v>43.867016666666672</v>
      </c>
      <c r="C1105" s="10">
        <f t="shared" ca="1" si="49"/>
        <v>40.476316666666669</v>
      </c>
      <c r="D1105" s="10">
        <f t="shared" ca="1" si="49"/>
        <v>40.468508333333325</v>
      </c>
      <c r="E1105" s="10">
        <f t="shared" ca="1" si="49"/>
        <v>43.719858333333342</v>
      </c>
      <c r="F1105" s="10">
        <f t="shared" ca="1" si="49"/>
        <v>43.710758333333331</v>
      </c>
      <c r="G1105" s="10">
        <f t="shared" ca="1" si="49"/>
        <v>40.474741666666667</v>
      </c>
      <c r="H1105" s="10">
        <f t="shared" ca="1" si="49"/>
        <v>40.474741666666667</v>
      </c>
      <c r="I1105" s="10">
        <f t="shared" ca="1" si="49"/>
        <v>40.476316666666669</v>
      </c>
      <c r="J1105" s="10">
        <f t="shared" ca="1" si="49"/>
        <v>277.04143333333337</v>
      </c>
    </row>
    <row r="1106" spans="1:10" ht="15" x14ac:dyDescent="0.2">
      <c r="A1106" s="11">
        <f t="shared" si="24"/>
        <v>2063</v>
      </c>
      <c r="B1106" s="10">
        <f t="shared" ca="1" si="49"/>
        <v>44.630699999999997</v>
      </c>
      <c r="C1106" s="10">
        <f t="shared" ca="1" si="49"/>
        <v>41.182691666666663</v>
      </c>
      <c r="D1106" s="10">
        <f t="shared" ca="1" si="49"/>
        <v>41.174875</v>
      </c>
      <c r="E1106" s="10">
        <f t="shared" ca="1" si="49"/>
        <v>44.483533333333334</v>
      </c>
      <c r="F1106" s="10">
        <f t="shared" ca="1" si="49"/>
        <v>44.47443333333333</v>
      </c>
      <c r="G1106" s="10">
        <f t="shared" ca="1" si="49"/>
        <v>41.181116666666668</v>
      </c>
      <c r="H1106" s="10">
        <f t="shared" ca="1" si="49"/>
        <v>41.181116666666668</v>
      </c>
      <c r="I1106" s="10">
        <f t="shared" ca="1" si="49"/>
        <v>41.182691666666663</v>
      </c>
      <c r="J1106" s="10">
        <f t="shared" ca="1" si="49"/>
        <v>281.95009166666665</v>
      </c>
    </row>
    <row r="1107" spans="1:10" ht="15" x14ac:dyDescent="0.2">
      <c r="A1107" s="11">
        <f t="shared" si="24"/>
        <v>2064</v>
      </c>
      <c r="B1107" s="10">
        <f t="shared" ca="1" si="49"/>
        <v>45.407866666666671</v>
      </c>
      <c r="C1107" s="10">
        <f t="shared" ca="1" si="49"/>
        <v>41.901524999999999</v>
      </c>
      <c r="D1107" s="10">
        <f t="shared" ca="1" si="49"/>
        <v>41.89371666666667</v>
      </c>
      <c r="E1107" s="10">
        <f t="shared" ca="1" si="49"/>
        <v>45.260716666666667</v>
      </c>
      <c r="F1107" s="10">
        <f t="shared" ca="1" si="49"/>
        <v>45.251616666666671</v>
      </c>
      <c r="G1107" s="10">
        <f t="shared" ca="1" si="49"/>
        <v>41.899983333333331</v>
      </c>
      <c r="H1107" s="10">
        <f t="shared" ca="1" si="49"/>
        <v>41.899983333333331</v>
      </c>
      <c r="I1107" s="10">
        <f t="shared" ca="1" si="49"/>
        <v>41.901524999999999</v>
      </c>
      <c r="J1107" s="10">
        <f t="shared" ca="1" si="49"/>
        <v>286.94569166666668</v>
      </c>
    </row>
    <row r="1108" spans="1:10" ht="15" x14ac:dyDescent="0.2">
      <c r="A1108" s="11">
        <f t="shared" si="24"/>
        <v>2065</v>
      </c>
      <c r="B1108" s="10">
        <f t="shared" ca="1" si="49"/>
        <v>46.198774999999991</v>
      </c>
      <c r="C1108" s="10">
        <f t="shared" ca="1" si="49"/>
        <v>42.633099999999992</v>
      </c>
      <c r="D1108" s="10">
        <f t="shared" ca="1" si="49"/>
        <v>42.625291666666676</v>
      </c>
      <c r="E1108" s="10">
        <f t="shared" ca="1" si="49"/>
        <v>46.051616666666668</v>
      </c>
      <c r="F1108" s="10">
        <f t="shared" ca="1" si="49"/>
        <v>46.042516666666671</v>
      </c>
      <c r="G1108" s="10">
        <f t="shared" ca="1" si="49"/>
        <v>42.63151666666667</v>
      </c>
      <c r="H1108" s="10">
        <f t="shared" ca="1" si="49"/>
        <v>42.63151666666667</v>
      </c>
      <c r="I1108" s="10">
        <f t="shared" ca="1" si="49"/>
        <v>42.633099999999992</v>
      </c>
      <c r="J1108" s="10">
        <f t="shared" ca="1" si="49"/>
        <v>292.0298416666667</v>
      </c>
    </row>
    <row r="1109" spans="1:10" ht="15" x14ac:dyDescent="0.2">
      <c r="A1109" s="11">
        <f t="shared" si="24"/>
        <v>2066</v>
      </c>
      <c r="B1109" s="10">
        <f t="shared" ca="1" si="49"/>
        <v>47.00365</v>
      </c>
      <c r="C1109" s="10">
        <f t="shared" ca="1" si="49"/>
        <v>43.377575000000007</v>
      </c>
      <c r="D1109" s="10">
        <f t="shared" ca="1" si="49"/>
        <v>43.369758333333344</v>
      </c>
      <c r="E1109" s="10">
        <f t="shared" ca="1" si="49"/>
        <v>46.856508333333331</v>
      </c>
      <c r="F1109" s="10">
        <f t="shared" ca="1" si="49"/>
        <v>46.847408333333327</v>
      </c>
      <c r="G1109" s="10">
        <f t="shared" ca="1" si="49"/>
        <v>43.376016666666679</v>
      </c>
      <c r="H1109" s="10">
        <f t="shared" ca="1" si="49"/>
        <v>43.376016666666679</v>
      </c>
      <c r="I1109" s="10">
        <f t="shared" ca="1" si="49"/>
        <v>43.377575000000007</v>
      </c>
      <c r="J1109" s="10">
        <f t="shared" ca="1" si="49"/>
        <v>297.20405</v>
      </c>
    </row>
    <row r="1110" spans="1:10" ht="15" x14ac:dyDescent="0.2">
      <c r="A1110" s="11">
        <f t="shared" si="24"/>
        <v>2067</v>
      </c>
      <c r="B1110" s="10">
        <f t="shared" ca="1" si="49"/>
        <v>47.822750000000006</v>
      </c>
      <c r="C1110" s="10">
        <f t="shared" ca="1" si="49"/>
        <v>44.135208333333338</v>
      </c>
      <c r="D1110" s="10">
        <f t="shared" ca="1" si="49"/>
        <v>44.127408333333335</v>
      </c>
      <c r="E1110" s="10">
        <f t="shared" ca="1" si="49"/>
        <v>47.675608333333336</v>
      </c>
      <c r="F1110" s="10">
        <f t="shared" ca="1" si="49"/>
        <v>47.666508333333333</v>
      </c>
      <c r="G1110" s="10">
        <f t="shared" ca="1" si="49"/>
        <v>44.133641666666669</v>
      </c>
      <c r="H1110" s="10">
        <f t="shared" ca="1" si="49"/>
        <v>44.133641666666669</v>
      </c>
      <c r="I1110" s="10">
        <f t="shared" ca="1" si="49"/>
        <v>44.135208333333338</v>
      </c>
      <c r="J1110" s="10">
        <f t="shared" ca="1" si="49"/>
        <v>302.46994999999998</v>
      </c>
    </row>
    <row r="1111" spans="1:10" ht="15" x14ac:dyDescent="0.2">
      <c r="A1111" s="11">
        <f t="shared" si="24"/>
        <v>2068</v>
      </c>
      <c r="B1111" s="10">
        <f t="shared" ca="1" si="49"/>
        <v>48.656316666666669</v>
      </c>
      <c r="C1111" s="10">
        <f t="shared" ca="1" si="49"/>
        <v>44.906216666666666</v>
      </c>
      <c r="D1111" s="10">
        <f t="shared" ca="1" si="49"/>
        <v>44.89841666666667</v>
      </c>
      <c r="E1111" s="10">
        <f t="shared" ca="1" si="49"/>
        <v>48.50918333333334</v>
      </c>
      <c r="F1111" s="10">
        <f t="shared" ca="1" si="49"/>
        <v>48.500083333333329</v>
      </c>
      <c r="G1111" s="10">
        <f t="shared" ca="1" si="49"/>
        <v>44.904666666666664</v>
      </c>
      <c r="H1111" s="10">
        <f t="shared" ca="1" si="49"/>
        <v>44.904666666666664</v>
      </c>
      <c r="I1111" s="10">
        <f t="shared" ca="1" si="49"/>
        <v>44.906216666666666</v>
      </c>
      <c r="J1111" s="10">
        <f t="shared" ca="1" si="49"/>
        <v>307.82914166666666</v>
      </c>
    </row>
    <row r="1112" spans="1:10" ht="15" x14ac:dyDescent="0.2">
      <c r="A1112" s="11">
        <f t="shared" si="24"/>
        <v>2069</v>
      </c>
      <c r="B1112" s="10">
        <f t="shared" ca="1" si="49"/>
        <v>49.504616666666671</v>
      </c>
      <c r="C1112" s="10">
        <f t="shared" ca="1" si="49"/>
        <v>45.690866666666672</v>
      </c>
      <c r="D1112" s="10">
        <f t="shared" ca="1" si="49"/>
        <v>45.683058333333328</v>
      </c>
      <c r="E1112" s="10">
        <f t="shared" ca="1" si="49"/>
        <v>49.357483333333334</v>
      </c>
      <c r="F1112" s="10">
        <f t="shared" ca="1" si="49"/>
        <v>49.348383333333338</v>
      </c>
      <c r="G1112" s="10">
        <f t="shared" ca="1" si="49"/>
        <v>45.689308333333322</v>
      </c>
      <c r="H1112" s="10">
        <f t="shared" ca="1" si="49"/>
        <v>45.689308333333322</v>
      </c>
      <c r="I1112" s="10">
        <f t="shared" ca="1" si="49"/>
        <v>45.690866666666672</v>
      </c>
      <c r="J1112" s="10">
        <f t="shared" ca="1" si="49"/>
        <v>313.28329166666668</v>
      </c>
    </row>
    <row r="1113" spans="1:10" ht="15" x14ac:dyDescent="0.2">
      <c r="A1113" s="11">
        <f t="shared" ref="A1113:A1143" si="50">A1112+1</f>
        <v>2070</v>
      </c>
      <c r="B1113" s="10">
        <f t="shared" ca="1" si="49"/>
        <v>50.367916666666666</v>
      </c>
      <c r="C1113" s="10">
        <f t="shared" ca="1" si="49"/>
        <v>46.489383333333336</v>
      </c>
      <c r="D1113" s="10">
        <f t="shared" ca="1" si="49"/>
        <v>46.481566666666659</v>
      </c>
      <c r="E1113" s="10">
        <f t="shared" ca="1" si="49"/>
        <v>50.22076666666667</v>
      </c>
      <c r="F1113" s="10">
        <f t="shared" ca="1" si="49"/>
        <v>50.211666666666673</v>
      </c>
      <c r="G1113" s="10">
        <f t="shared" ca="1" si="49"/>
        <v>46.487816666666674</v>
      </c>
      <c r="H1113" s="10">
        <f t="shared" ca="1" si="49"/>
        <v>46.487816666666674</v>
      </c>
      <c r="I1113" s="10">
        <f t="shared" ca="1" si="49"/>
        <v>46.489383333333336</v>
      </c>
      <c r="J1113" s="10">
        <f t="shared" ca="1" si="49"/>
        <v>318.83406666666673</v>
      </c>
    </row>
    <row r="1114" spans="1:10" ht="15" x14ac:dyDescent="0.2">
      <c r="A1114" s="11">
        <f t="shared" si="50"/>
        <v>2071</v>
      </c>
      <c r="B1114" s="10">
        <f t="shared" ca="1" si="49"/>
        <v>51.246450000000003</v>
      </c>
      <c r="C1114" s="10">
        <f t="shared" ca="1" si="49"/>
        <v>47.301991666666673</v>
      </c>
      <c r="D1114" s="10">
        <f t="shared" ca="1" si="49"/>
        <v>47.294183333333336</v>
      </c>
      <c r="E1114" s="10">
        <f t="shared" ca="1" si="49"/>
        <v>51.09930833333334</v>
      </c>
      <c r="F1114" s="10">
        <f t="shared" ca="1" si="49"/>
        <v>51.090208333333329</v>
      </c>
      <c r="G1114" s="10">
        <f t="shared" ca="1" si="49"/>
        <v>47.300416666666671</v>
      </c>
      <c r="H1114" s="10">
        <f t="shared" ca="1" si="49"/>
        <v>47.300416666666671</v>
      </c>
      <c r="I1114" s="10">
        <f t="shared" ca="1" si="49"/>
        <v>47.301991666666673</v>
      </c>
      <c r="J1114" s="10">
        <f t="shared" ca="1" si="49"/>
        <v>324.483225</v>
      </c>
    </row>
    <row r="1115" spans="1:10" ht="15" x14ac:dyDescent="0.2">
      <c r="A1115" s="11">
        <f t="shared" si="50"/>
        <v>2072</v>
      </c>
      <c r="B1115" s="10">
        <f t="shared" ref="B1115:J1124" ca="1" si="51">AVERAGE(OFFSET(B$588,($A1115-$A$1105)*12,0,12,1))</f>
        <v>52.140516666666677</v>
      </c>
      <c r="C1115" s="10">
        <f t="shared" ca="1" si="51"/>
        <v>48.128958333333337</v>
      </c>
      <c r="D1115" s="10">
        <f t="shared" ca="1" si="51"/>
        <v>48.121141666666659</v>
      </c>
      <c r="E1115" s="10">
        <f t="shared" ca="1" si="51"/>
        <v>51.993366666666681</v>
      </c>
      <c r="F1115" s="10">
        <f t="shared" ca="1" si="51"/>
        <v>51.984266666666663</v>
      </c>
      <c r="G1115" s="10">
        <f t="shared" ca="1" si="51"/>
        <v>48.127408333333335</v>
      </c>
      <c r="H1115" s="10">
        <f t="shared" ca="1" si="51"/>
        <v>48.127408333333335</v>
      </c>
      <c r="I1115" s="10">
        <f t="shared" ca="1" si="51"/>
        <v>48.128958333333337</v>
      </c>
      <c r="J1115" s="10">
        <f t="shared" ca="1" si="51"/>
        <v>330.23245833333334</v>
      </c>
    </row>
    <row r="1116" spans="1:10" ht="15" x14ac:dyDescent="0.2">
      <c r="A1116" s="11">
        <f t="shared" si="50"/>
        <v>2073</v>
      </c>
      <c r="B1116" s="10">
        <f t="shared" ca="1" si="51"/>
        <v>53.050383333333336</v>
      </c>
      <c r="C1116" s="10">
        <f t="shared" ca="1" si="51"/>
        <v>48.970541666666669</v>
      </c>
      <c r="D1116" s="10">
        <f t="shared" ca="1" si="51"/>
        <v>48.962725000000006</v>
      </c>
      <c r="E1116" s="10">
        <f t="shared" ca="1" si="51"/>
        <v>52.903216666666673</v>
      </c>
      <c r="F1116" s="10">
        <f t="shared" ca="1" si="51"/>
        <v>52.894116666666669</v>
      </c>
      <c r="G1116" s="10">
        <f t="shared" ca="1" si="51"/>
        <v>48.968991666666675</v>
      </c>
      <c r="H1116" s="10">
        <f t="shared" ca="1" si="51"/>
        <v>48.968991666666675</v>
      </c>
      <c r="I1116" s="10">
        <f t="shared" ca="1" si="51"/>
        <v>48.970541666666669</v>
      </c>
      <c r="J1116" s="10">
        <f t="shared" ca="1" si="51"/>
        <v>336.08355</v>
      </c>
    </row>
    <row r="1117" spans="1:10" ht="15" x14ac:dyDescent="0.2">
      <c r="A1117" s="11">
        <f t="shared" si="50"/>
        <v>2074</v>
      </c>
      <c r="B1117" s="10">
        <f t="shared" ca="1" si="51"/>
        <v>53.976316666666662</v>
      </c>
      <c r="C1117" s="10">
        <f t="shared" ca="1" si="51"/>
        <v>49.827008333333332</v>
      </c>
      <c r="D1117" s="10">
        <f t="shared" ca="1" si="51"/>
        <v>49.819191666666676</v>
      </c>
      <c r="E1117" s="10">
        <f t="shared" ca="1" si="51"/>
        <v>53.829166666666673</v>
      </c>
      <c r="F1117" s="10">
        <f t="shared" ca="1" si="51"/>
        <v>53.820066666666662</v>
      </c>
      <c r="G1117" s="10">
        <f t="shared" ca="1" si="51"/>
        <v>49.825424999999996</v>
      </c>
      <c r="H1117" s="10">
        <f t="shared" ca="1" si="51"/>
        <v>49.825424999999996</v>
      </c>
      <c r="I1117" s="10">
        <f t="shared" ca="1" si="51"/>
        <v>49.827008333333332</v>
      </c>
      <c r="J1117" s="10">
        <f t="shared" ca="1" si="51"/>
        <v>342.0383083333333</v>
      </c>
    </row>
    <row r="1118" spans="1:10" ht="15" x14ac:dyDescent="0.2">
      <c r="A1118" s="11">
        <f t="shared" si="50"/>
        <v>2075</v>
      </c>
      <c r="B1118" s="10">
        <f t="shared" ca="1" si="51"/>
        <v>54.918616666666672</v>
      </c>
      <c r="C1118" s="10">
        <f t="shared" ca="1" si="51"/>
        <v>50.698591666666665</v>
      </c>
      <c r="D1118" s="10">
        <f t="shared" ca="1" si="51"/>
        <v>50.690766666666669</v>
      </c>
      <c r="E1118" s="10">
        <f t="shared" ca="1" si="51"/>
        <v>54.771458333333335</v>
      </c>
      <c r="F1118" s="10">
        <f t="shared" ca="1" si="51"/>
        <v>54.762358333333331</v>
      </c>
      <c r="G1118" s="10">
        <f t="shared" ca="1" si="51"/>
        <v>50.697016666666656</v>
      </c>
      <c r="H1118" s="10">
        <f t="shared" ca="1" si="51"/>
        <v>50.697016666666656</v>
      </c>
      <c r="I1118" s="10">
        <f t="shared" ca="1" si="51"/>
        <v>50.698591666666665</v>
      </c>
      <c r="J1118" s="10">
        <f t="shared" ca="1" si="51"/>
        <v>348.09859166666666</v>
      </c>
    </row>
    <row r="1119" spans="1:10" ht="15" x14ac:dyDescent="0.2">
      <c r="A1119" s="11">
        <f t="shared" si="50"/>
        <v>2076</v>
      </c>
      <c r="B1119" s="10">
        <f t="shared" ca="1" si="51"/>
        <v>55.877549999999992</v>
      </c>
      <c r="C1119" s="10">
        <f t="shared" ca="1" si="51"/>
        <v>51.585566666666665</v>
      </c>
      <c r="D1119" s="10">
        <f t="shared" ca="1" si="51"/>
        <v>51.577750000000002</v>
      </c>
      <c r="E1119" s="10">
        <f t="shared" ca="1" si="51"/>
        <v>55.730408333333337</v>
      </c>
      <c r="F1119" s="10">
        <f t="shared" ca="1" si="51"/>
        <v>55.721308333333333</v>
      </c>
      <c r="G1119" s="10">
        <f t="shared" ca="1" si="51"/>
        <v>51.584008333333337</v>
      </c>
      <c r="H1119" s="10">
        <f t="shared" ca="1" si="51"/>
        <v>51.584008333333337</v>
      </c>
      <c r="I1119" s="10">
        <f t="shared" ca="1" si="51"/>
        <v>51.585566666666665</v>
      </c>
      <c r="J1119" s="10">
        <f t="shared" ca="1" si="51"/>
        <v>354.26623333333333</v>
      </c>
    </row>
    <row r="1120" spans="1:10" ht="15" x14ac:dyDescent="0.2">
      <c r="A1120" s="11">
        <f t="shared" si="50"/>
        <v>2077</v>
      </c>
      <c r="B1120" s="10">
        <f t="shared" ca="1" si="51"/>
        <v>56.853433333333328</v>
      </c>
      <c r="C1120" s="10">
        <f t="shared" ca="1" si="51"/>
        <v>52.488216666666659</v>
      </c>
      <c r="D1120" s="10">
        <f t="shared" ca="1" si="51"/>
        <v>52.480408333333337</v>
      </c>
      <c r="E1120" s="10">
        <f t="shared" ca="1" si="51"/>
        <v>56.706299999999999</v>
      </c>
      <c r="F1120" s="10">
        <f t="shared" ca="1" si="51"/>
        <v>56.697200000000002</v>
      </c>
      <c r="G1120" s="10">
        <f t="shared" ca="1" si="51"/>
        <v>52.486658333333331</v>
      </c>
      <c r="H1120" s="10">
        <f t="shared" ca="1" si="51"/>
        <v>52.486658333333331</v>
      </c>
      <c r="I1120" s="10">
        <f t="shared" ca="1" si="51"/>
        <v>52.488216666666659</v>
      </c>
      <c r="J1120" s="10">
        <f t="shared" ca="1" si="51"/>
        <v>360.54315833333334</v>
      </c>
    </row>
    <row r="1121" spans="1:10" ht="15" x14ac:dyDescent="0.2">
      <c r="A1121" s="11">
        <f t="shared" si="50"/>
        <v>2078</v>
      </c>
      <c r="B1121" s="10">
        <f t="shared" ca="1" si="51"/>
        <v>57.84657499999998</v>
      </c>
      <c r="C1121" s="10">
        <f t="shared" ca="1" si="51"/>
        <v>53.406816666666678</v>
      </c>
      <c r="D1121" s="10">
        <f t="shared" ca="1" si="51"/>
        <v>53.399016666666661</v>
      </c>
      <c r="E1121" s="10">
        <f t="shared" ca="1" si="51"/>
        <v>57.699416666666671</v>
      </c>
      <c r="F1121" s="10">
        <f t="shared" ca="1" si="51"/>
        <v>57.690316666666661</v>
      </c>
      <c r="G1121" s="10">
        <f t="shared" ca="1" si="51"/>
        <v>53.405258333333336</v>
      </c>
      <c r="H1121" s="10">
        <f t="shared" ca="1" si="51"/>
        <v>53.405258333333336</v>
      </c>
      <c r="I1121" s="10">
        <f t="shared" ca="1" si="51"/>
        <v>53.406816666666678</v>
      </c>
      <c r="J1121" s="10">
        <f t="shared" ca="1" si="51"/>
        <v>366.9312916666666</v>
      </c>
    </row>
    <row r="1122" spans="1:10" ht="15" x14ac:dyDescent="0.2">
      <c r="A1122" s="11">
        <f t="shared" si="50"/>
        <v>2079</v>
      </c>
      <c r="B1122" s="10">
        <f t="shared" ca="1" si="51"/>
        <v>58.85724166666666</v>
      </c>
      <c r="C1122" s="10">
        <f t="shared" ca="1" si="51"/>
        <v>54.341650000000008</v>
      </c>
      <c r="D1122" s="10">
        <f t="shared" ca="1" si="51"/>
        <v>54.333841666666665</v>
      </c>
      <c r="E1122" s="10">
        <f t="shared" ca="1" si="51"/>
        <v>58.710108333333331</v>
      </c>
      <c r="F1122" s="10">
        <f t="shared" ca="1" si="51"/>
        <v>58.701008333333334</v>
      </c>
      <c r="G1122" s="10">
        <f t="shared" ca="1" si="51"/>
        <v>54.340108333333326</v>
      </c>
      <c r="H1122" s="10">
        <f t="shared" ca="1" si="51"/>
        <v>54.340108333333326</v>
      </c>
      <c r="I1122" s="10">
        <f t="shared" ca="1" si="51"/>
        <v>54.341650000000008</v>
      </c>
      <c r="J1122" s="10">
        <f t="shared" ca="1" si="51"/>
        <v>373.43262499999997</v>
      </c>
    </row>
    <row r="1123" spans="1:10" ht="15" x14ac:dyDescent="0.2">
      <c r="A1123" s="11">
        <f t="shared" si="50"/>
        <v>2080</v>
      </c>
      <c r="B1123" s="10">
        <f t="shared" ca="1" si="51"/>
        <v>59.88579166666667</v>
      </c>
      <c r="C1123" s="10">
        <f t="shared" ca="1" si="51"/>
        <v>55.293008333333326</v>
      </c>
      <c r="D1123" s="10">
        <f t="shared" ca="1" si="51"/>
        <v>55.285208333333337</v>
      </c>
      <c r="E1123" s="10">
        <f t="shared" ca="1" si="51"/>
        <v>59.738616666666665</v>
      </c>
      <c r="F1123" s="10">
        <f t="shared" ca="1" si="51"/>
        <v>59.729516666666662</v>
      </c>
      <c r="G1123" s="10">
        <f t="shared" ca="1" si="51"/>
        <v>55.291441666666664</v>
      </c>
      <c r="H1123" s="10">
        <f t="shared" ca="1" si="51"/>
        <v>55.291441666666664</v>
      </c>
      <c r="I1123" s="10">
        <f t="shared" ca="1" si="51"/>
        <v>55.293008333333326</v>
      </c>
      <c r="J1123" s="10">
        <f t="shared" ca="1" si="51"/>
        <v>380.04916666666668</v>
      </c>
    </row>
    <row r="1124" spans="1:10" ht="15" x14ac:dyDescent="0.2">
      <c r="A1124" s="11">
        <f t="shared" si="50"/>
        <v>2081</v>
      </c>
      <c r="B1124" s="10">
        <f t="shared" ca="1" si="51"/>
        <v>60.932491666666664</v>
      </c>
      <c r="C1124" s="10">
        <f t="shared" ca="1" si="51"/>
        <v>56.261166666666661</v>
      </c>
      <c r="D1124" s="10">
        <f t="shared" ca="1" si="51"/>
        <v>56.253350000000005</v>
      </c>
      <c r="E1124" s="10">
        <f t="shared" ca="1" si="51"/>
        <v>60.785324999999993</v>
      </c>
      <c r="F1124" s="10">
        <f t="shared" ca="1" si="51"/>
        <v>60.77622499999999</v>
      </c>
      <c r="G1124" s="10">
        <f t="shared" ca="1" si="51"/>
        <v>56.25960833333334</v>
      </c>
      <c r="H1124" s="10">
        <f t="shared" ca="1" si="51"/>
        <v>56.25960833333334</v>
      </c>
      <c r="I1124" s="10">
        <f t="shared" ca="1" si="51"/>
        <v>56.261166666666661</v>
      </c>
      <c r="J1124" s="10">
        <f t="shared" ca="1" si="51"/>
        <v>386.78289999999993</v>
      </c>
    </row>
    <row r="1125" spans="1:10" ht="15" x14ac:dyDescent="0.2">
      <c r="A1125" s="11">
        <f t="shared" si="50"/>
        <v>2082</v>
      </c>
      <c r="B1125" s="10">
        <f t="shared" ref="B1125:J1134" ca="1" si="52">AVERAGE(OFFSET(B$588,($A1125-$A$1105)*12,0,12,1))</f>
        <v>61.997691666666661</v>
      </c>
      <c r="C1125" s="10">
        <f t="shared" ca="1" si="52"/>
        <v>57.246416666666654</v>
      </c>
      <c r="D1125" s="10">
        <f t="shared" ca="1" si="52"/>
        <v>57.238616666666665</v>
      </c>
      <c r="E1125" s="10">
        <f t="shared" ca="1" si="52"/>
        <v>61.850524999999998</v>
      </c>
      <c r="F1125" s="10">
        <f t="shared" ca="1" si="52"/>
        <v>61.841424999999994</v>
      </c>
      <c r="G1125" s="10">
        <f t="shared" ca="1" si="52"/>
        <v>57.24486666666666</v>
      </c>
      <c r="H1125" s="10">
        <f t="shared" ca="1" si="52"/>
        <v>57.24486666666666</v>
      </c>
      <c r="I1125" s="10">
        <f t="shared" ca="1" si="52"/>
        <v>57.246416666666654</v>
      </c>
      <c r="J1125" s="10">
        <f t="shared" ca="1" si="52"/>
        <v>393.63595000000004</v>
      </c>
    </row>
    <row r="1126" spans="1:10" ht="15" x14ac:dyDescent="0.2">
      <c r="A1126" s="11">
        <f t="shared" si="50"/>
        <v>2083</v>
      </c>
      <c r="B1126" s="10">
        <f t="shared" ca="1" si="52"/>
        <v>63.081708333333346</v>
      </c>
      <c r="C1126" s="10">
        <f t="shared" ca="1" si="52"/>
        <v>58.249108333333318</v>
      </c>
      <c r="D1126" s="10">
        <f t="shared" ca="1" si="52"/>
        <v>58.241300000000003</v>
      </c>
      <c r="E1126" s="10">
        <f t="shared" ca="1" si="52"/>
        <v>62.934550000000002</v>
      </c>
      <c r="F1126" s="10">
        <f t="shared" ca="1" si="52"/>
        <v>62.925450000000012</v>
      </c>
      <c r="G1126" s="10">
        <f t="shared" ca="1" si="52"/>
        <v>58.247533333333337</v>
      </c>
      <c r="H1126" s="10">
        <f t="shared" ca="1" si="52"/>
        <v>58.247533333333337</v>
      </c>
      <c r="I1126" s="10">
        <f t="shared" ca="1" si="52"/>
        <v>58.249108333333318</v>
      </c>
      <c r="J1126" s="10">
        <f t="shared" ca="1" si="52"/>
        <v>400.61045833333327</v>
      </c>
    </row>
    <row r="1127" spans="1:10" ht="15" x14ac:dyDescent="0.2">
      <c r="A1127" s="11">
        <f t="shared" si="50"/>
        <v>2084</v>
      </c>
      <c r="B1127" s="10">
        <f t="shared" ca="1" si="52"/>
        <v>64.184883333333332</v>
      </c>
      <c r="C1127" s="10">
        <f t="shared" ca="1" si="52"/>
        <v>59.269499999999994</v>
      </c>
      <c r="D1127" s="10">
        <f t="shared" ca="1" si="52"/>
        <v>59.26168333333333</v>
      </c>
      <c r="E1127" s="10">
        <f t="shared" ca="1" si="52"/>
        <v>64.037716666666668</v>
      </c>
      <c r="F1127" s="10">
        <f t="shared" ca="1" si="52"/>
        <v>64.02861666666665</v>
      </c>
      <c r="G1127" s="10">
        <f t="shared" ca="1" si="52"/>
        <v>59.267916666666672</v>
      </c>
      <c r="H1127" s="10">
        <f t="shared" ca="1" si="52"/>
        <v>59.267916666666672</v>
      </c>
      <c r="I1127" s="10">
        <f t="shared" ca="1" si="52"/>
        <v>59.269499999999994</v>
      </c>
      <c r="J1127" s="10">
        <f t="shared" ca="1" si="52"/>
        <v>407.70851666666664</v>
      </c>
    </row>
    <row r="1128" spans="1:10" ht="15" x14ac:dyDescent="0.2">
      <c r="A1128" s="11">
        <f t="shared" si="50"/>
        <v>2085</v>
      </c>
      <c r="B1128" s="10">
        <f t="shared" ca="1" si="52"/>
        <v>65.307533333333325</v>
      </c>
      <c r="C1128" s="10">
        <f t="shared" ca="1" si="52"/>
        <v>60.30790833333333</v>
      </c>
      <c r="D1128" s="10">
        <f t="shared" ca="1" si="52"/>
        <v>60.300108333333334</v>
      </c>
      <c r="E1128" s="10">
        <f t="shared" ca="1" si="52"/>
        <v>65.160399999999996</v>
      </c>
      <c r="F1128" s="10">
        <f t="shared" ca="1" si="52"/>
        <v>65.151299999999992</v>
      </c>
      <c r="G1128" s="10">
        <f t="shared" ca="1" si="52"/>
        <v>60.306341666666675</v>
      </c>
      <c r="H1128" s="10">
        <f t="shared" ca="1" si="52"/>
        <v>60.306341666666675</v>
      </c>
      <c r="I1128" s="10">
        <f t="shared" ca="1" si="52"/>
        <v>60.30790833333333</v>
      </c>
      <c r="J1128" s="10">
        <f t="shared" ca="1" si="52"/>
        <v>414.93235000000004</v>
      </c>
    </row>
    <row r="1129" spans="1:10" ht="15" x14ac:dyDescent="0.2">
      <c r="A1129" s="11">
        <f t="shared" si="50"/>
        <v>2086</v>
      </c>
      <c r="B1129" s="10">
        <f t="shared" ca="1" si="52"/>
        <v>66.450024999999997</v>
      </c>
      <c r="C1129" s="10">
        <f t="shared" ca="1" si="52"/>
        <v>61.364674999999984</v>
      </c>
      <c r="D1129" s="10">
        <f t="shared" ca="1" si="52"/>
        <v>61.356858333333342</v>
      </c>
      <c r="E1129" s="10">
        <f t="shared" ca="1" si="52"/>
        <v>66.302891666666667</v>
      </c>
      <c r="F1129" s="10">
        <f t="shared" ca="1" si="52"/>
        <v>66.293791666666664</v>
      </c>
      <c r="G1129" s="10">
        <f t="shared" ca="1" si="52"/>
        <v>61.363116666666677</v>
      </c>
      <c r="H1129" s="10">
        <f t="shared" ca="1" si="52"/>
        <v>61.363116666666677</v>
      </c>
      <c r="I1129" s="10">
        <f t="shared" ca="1" si="52"/>
        <v>61.364674999999984</v>
      </c>
      <c r="J1129" s="10">
        <f t="shared" ca="1" si="52"/>
        <v>422.28415833333321</v>
      </c>
    </row>
    <row r="1130" spans="1:10" ht="15" x14ac:dyDescent="0.2">
      <c r="A1130" s="11">
        <f t="shared" si="50"/>
        <v>2087</v>
      </c>
      <c r="B1130" s="10">
        <f t="shared" ca="1" si="52"/>
        <v>67.612716666666657</v>
      </c>
      <c r="C1130" s="10">
        <f t="shared" ca="1" si="52"/>
        <v>62.440108333333342</v>
      </c>
      <c r="D1130" s="10">
        <f t="shared" ca="1" si="52"/>
        <v>62.432308333333339</v>
      </c>
      <c r="E1130" s="10">
        <f t="shared" ca="1" si="52"/>
        <v>67.465583333333328</v>
      </c>
      <c r="F1130" s="10">
        <f t="shared" ca="1" si="52"/>
        <v>67.456483333333324</v>
      </c>
      <c r="G1130" s="10">
        <f t="shared" ca="1" si="52"/>
        <v>62.438541666666673</v>
      </c>
      <c r="H1130" s="10">
        <f t="shared" ca="1" si="52"/>
        <v>62.438541666666673</v>
      </c>
      <c r="I1130" s="10">
        <f t="shared" ca="1" si="52"/>
        <v>62.440108333333342</v>
      </c>
      <c r="J1130" s="10">
        <f t="shared" ca="1" si="52"/>
        <v>429.76624166666664</v>
      </c>
    </row>
    <row r="1131" spans="1:10" ht="15" x14ac:dyDescent="0.2">
      <c r="A1131" s="11">
        <f t="shared" si="50"/>
        <v>2088</v>
      </c>
      <c r="B1131" s="10">
        <f t="shared" ca="1" si="52"/>
        <v>68.795950000000005</v>
      </c>
      <c r="C1131" s="10">
        <f t="shared" ca="1" si="52"/>
        <v>63.534541666666676</v>
      </c>
      <c r="D1131" s="10">
        <f t="shared" ca="1" si="52"/>
        <v>63.526716666666658</v>
      </c>
      <c r="E1131" s="10">
        <f t="shared" ca="1" si="52"/>
        <v>68.648808333333335</v>
      </c>
      <c r="F1131" s="10">
        <f t="shared" ca="1" si="52"/>
        <v>68.639708333333346</v>
      </c>
      <c r="G1131" s="10">
        <f t="shared" ca="1" si="52"/>
        <v>63.532991666666668</v>
      </c>
      <c r="H1131" s="10">
        <f t="shared" ca="1" si="52"/>
        <v>63.532991666666668</v>
      </c>
      <c r="I1131" s="10">
        <f t="shared" ca="1" si="52"/>
        <v>63.534541666666676</v>
      </c>
      <c r="J1131" s="10">
        <f t="shared" ca="1" si="52"/>
        <v>437.38087500000006</v>
      </c>
    </row>
    <row r="1132" spans="1:10" ht="15" x14ac:dyDescent="0.2">
      <c r="A1132" s="11">
        <f t="shared" si="50"/>
        <v>2089</v>
      </c>
      <c r="B1132" s="10">
        <f t="shared" ca="1" si="52"/>
        <v>70.000091666666663</v>
      </c>
      <c r="C1132" s="10">
        <f t="shared" ca="1" si="52"/>
        <v>64.648316666666673</v>
      </c>
      <c r="D1132" s="10">
        <f t="shared" ca="1" si="52"/>
        <v>64.640508333333344</v>
      </c>
      <c r="E1132" s="10">
        <f t="shared" ca="1" si="52"/>
        <v>69.852925000000013</v>
      </c>
      <c r="F1132" s="10">
        <f t="shared" ca="1" si="52"/>
        <v>69.843824999999981</v>
      </c>
      <c r="G1132" s="10">
        <f t="shared" ca="1" si="52"/>
        <v>64.646749999999997</v>
      </c>
      <c r="H1132" s="10">
        <f t="shared" ca="1" si="52"/>
        <v>64.646749999999997</v>
      </c>
      <c r="I1132" s="10">
        <f t="shared" ca="1" si="52"/>
        <v>64.648316666666673</v>
      </c>
      <c r="J1132" s="10">
        <f t="shared" ca="1" si="52"/>
        <v>445.13044166666663</v>
      </c>
    </row>
    <row r="1133" spans="1:10" ht="15" x14ac:dyDescent="0.2">
      <c r="A1133" s="11">
        <f t="shared" si="50"/>
        <v>2090</v>
      </c>
      <c r="B1133" s="10">
        <f t="shared" ca="1" si="52"/>
        <v>71.225499999999997</v>
      </c>
      <c r="C1133" s="10">
        <f t="shared" ca="1" si="52"/>
        <v>65.78176666666667</v>
      </c>
      <c r="D1133" s="10">
        <f t="shared" ca="1" si="52"/>
        <v>65.773949999999999</v>
      </c>
      <c r="E1133" s="10">
        <f t="shared" ca="1" si="52"/>
        <v>71.078333333333333</v>
      </c>
      <c r="F1133" s="10">
        <f t="shared" ca="1" si="52"/>
        <v>71.069233333333329</v>
      </c>
      <c r="G1133" s="10">
        <f t="shared" ca="1" si="52"/>
        <v>65.780208333333334</v>
      </c>
      <c r="H1133" s="10">
        <f t="shared" ca="1" si="52"/>
        <v>65.780208333333334</v>
      </c>
      <c r="I1133" s="10">
        <f t="shared" ca="1" si="52"/>
        <v>65.78176666666667</v>
      </c>
      <c r="J1133" s="10">
        <f t="shared" ca="1" si="52"/>
        <v>453.01729999999998</v>
      </c>
    </row>
    <row r="1134" spans="1:10" ht="15" x14ac:dyDescent="0.2">
      <c r="A1134" s="11">
        <f t="shared" si="50"/>
        <v>2091</v>
      </c>
      <c r="B1134" s="10">
        <f t="shared" ca="1" si="52"/>
        <v>72.472550000000012</v>
      </c>
      <c r="C1134" s="10">
        <f t="shared" ca="1" si="52"/>
        <v>66.93524166666667</v>
      </c>
      <c r="D1134" s="10">
        <f t="shared" ca="1" si="52"/>
        <v>66.927424999999999</v>
      </c>
      <c r="E1134" s="10">
        <f t="shared" ca="1" si="52"/>
        <v>72.325408333333343</v>
      </c>
      <c r="F1134" s="10">
        <f t="shared" ca="1" si="52"/>
        <v>72.316308333333353</v>
      </c>
      <c r="G1134" s="10">
        <f t="shared" ca="1" si="52"/>
        <v>66.933691666666675</v>
      </c>
      <c r="H1134" s="10">
        <f t="shared" ca="1" si="52"/>
        <v>66.933691666666675</v>
      </c>
      <c r="I1134" s="10">
        <f t="shared" ca="1" si="52"/>
        <v>66.93524166666667</v>
      </c>
      <c r="J1134" s="10">
        <f t="shared" ca="1" si="52"/>
        <v>461.04392499999994</v>
      </c>
    </row>
    <row r="1135" spans="1:10" ht="15" x14ac:dyDescent="0.2">
      <c r="A1135" s="11">
        <f t="shared" si="50"/>
        <v>2092</v>
      </c>
      <c r="B1135" s="10">
        <f t="shared" ref="B1135:J1143" ca="1" si="53">AVERAGE(OFFSET(B$588,($A1135-$A$1105)*12,0,12,1))</f>
        <v>73.741641666666666</v>
      </c>
      <c r="C1135" s="10">
        <f t="shared" ca="1" si="53"/>
        <v>68.109108333333339</v>
      </c>
      <c r="D1135" s="10">
        <f t="shared" ca="1" si="53"/>
        <v>68.101291666666668</v>
      </c>
      <c r="E1135" s="10">
        <f t="shared" ca="1" si="53"/>
        <v>73.594508333333337</v>
      </c>
      <c r="F1135" s="10">
        <f t="shared" ca="1" si="53"/>
        <v>73.585408333333348</v>
      </c>
      <c r="G1135" s="10">
        <f t="shared" ca="1" si="53"/>
        <v>68.107525000000024</v>
      </c>
      <c r="H1135" s="10">
        <f t="shared" ca="1" si="53"/>
        <v>68.107525000000024</v>
      </c>
      <c r="I1135" s="10">
        <f t="shared" ca="1" si="53"/>
        <v>68.109108333333339</v>
      </c>
      <c r="J1135" s="10">
        <f t="shared" ca="1" si="53"/>
        <v>469.21275833333328</v>
      </c>
    </row>
    <row r="1136" spans="1:10" ht="15" x14ac:dyDescent="0.2">
      <c r="A1136" s="11">
        <f t="shared" si="50"/>
        <v>2093</v>
      </c>
      <c r="B1136" s="10">
        <f t="shared" ca="1" si="53"/>
        <v>75.033158333333319</v>
      </c>
      <c r="C1136" s="10">
        <f t="shared" ca="1" si="53"/>
        <v>69.303708333333347</v>
      </c>
      <c r="D1136" s="10">
        <f t="shared" ca="1" si="53"/>
        <v>69.295891666666677</v>
      </c>
      <c r="E1136" s="10">
        <f t="shared" ca="1" si="53"/>
        <v>74.886008333333336</v>
      </c>
      <c r="F1136" s="10">
        <f t="shared" ca="1" si="53"/>
        <v>74.876908333333319</v>
      </c>
      <c r="G1136" s="10">
        <f t="shared" ca="1" si="53"/>
        <v>69.30212499999999</v>
      </c>
      <c r="H1136" s="10">
        <f t="shared" ca="1" si="53"/>
        <v>69.30212499999999</v>
      </c>
      <c r="I1136" s="10">
        <f t="shared" ca="1" si="53"/>
        <v>69.303708333333347</v>
      </c>
      <c r="J1136" s="10">
        <f t="shared" ca="1" si="53"/>
        <v>477.52630833333336</v>
      </c>
    </row>
    <row r="1137" spans="1:10" ht="15" x14ac:dyDescent="0.2">
      <c r="A1137" s="11">
        <f t="shared" si="50"/>
        <v>2094</v>
      </c>
      <c r="B1137" s="10">
        <f t="shared" ca="1" si="53"/>
        <v>76.347499999999997</v>
      </c>
      <c r="C1137" s="10">
        <f t="shared" ca="1" si="53"/>
        <v>70.519408333333331</v>
      </c>
      <c r="D1137" s="10">
        <f t="shared" ca="1" si="53"/>
        <v>70.511600000000001</v>
      </c>
      <c r="E1137" s="10">
        <f t="shared" ca="1" si="53"/>
        <v>76.200333333333333</v>
      </c>
      <c r="F1137" s="10">
        <f t="shared" ca="1" si="53"/>
        <v>76.191233333333329</v>
      </c>
      <c r="G1137" s="10">
        <f t="shared" ca="1" si="53"/>
        <v>70.517833333333328</v>
      </c>
      <c r="H1137" s="10">
        <f t="shared" ca="1" si="53"/>
        <v>70.517833333333328</v>
      </c>
      <c r="I1137" s="10">
        <f t="shared" ca="1" si="53"/>
        <v>70.519408333333331</v>
      </c>
      <c r="J1137" s="10">
        <f t="shared" ca="1" si="53"/>
        <v>485.98717499999998</v>
      </c>
    </row>
    <row r="1138" spans="1:10" ht="15" x14ac:dyDescent="0.2">
      <c r="A1138" s="11">
        <f t="shared" si="50"/>
        <v>2095</v>
      </c>
      <c r="B1138" s="10">
        <f t="shared" ca="1" si="53"/>
        <v>77.685041666666677</v>
      </c>
      <c r="C1138" s="10">
        <f t="shared" ca="1" si="53"/>
        <v>71.756591666666679</v>
      </c>
      <c r="D1138" s="10">
        <f t="shared" ca="1" si="53"/>
        <v>71.74878333333335</v>
      </c>
      <c r="E1138" s="10">
        <f t="shared" ca="1" si="53"/>
        <v>77.537908333333334</v>
      </c>
      <c r="F1138" s="10">
        <f t="shared" ca="1" si="53"/>
        <v>77.528808333333345</v>
      </c>
      <c r="G1138" s="10">
        <f t="shared" ca="1" si="53"/>
        <v>71.755016666666663</v>
      </c>
      <c r="H1138" s="10">
        <f t="shared" ca="1" si="53"/>
        <v>71.755016666666663</v>
      </c>
      <c r="I1138" s="10">
        <f t="shared" ca="1" si="53"/>
        <v>71.756591666666679</v>
      </c>
      <c r="J1138" s="10">
        <f t="shared" ca="1" si="53"/>
        <v>494.59795833333334</v>
      </c>
    </row>
    <row r="1139" spans="1:10" ht="15" x14ac:dyDescent="0.2">
      <c r="A1139" s="11">
        <f t="shared" si="50"/>
        <v>2096</v>
      </c>
      <c r="B1139" s="10">
        <f t="shared" ca="1" si="53"/>
        <v>79.046224999999978</v>
      </c>
      <c r="C1139" s="10">
        <f t="shared" ca="1" si="53"/>
        <v>73.015616666666673</v>
      </c>
      <c r="D1139" s="10">
        <f t="shared" ca="1" si="53"/>
        <v>73.00781666666667</v>
      </c>
      <c r="E1139" s="10">
        <f t="shared" ca="1" si="53"/>
        <v>78.899091666666678</v>
      </c>
      <c r="F1139" s="10">
        <f t="shared" ca="1" si="53"/>
        <v>78.88999166666666</v>
      </c>
      <c r="G1139" s="10">
        <f t="shared" ca="1" si="53"/>
        <v>73.014066666666665</v>
      </c>
      <c r="H1139" s="10">
        <f t="shared" ca="1" si="53"/>
        <v>73.014066666666665</v>
      </c>
      <c r="I1139" s="10">
        <f t="shared" ca="1" si="53"/>
        <v>73.015616666666673</v>
      </c>
      <c r="J1139" s="10">
        <f t="shared" ca="1" si="53"/>
        <v>503.36130000000003</v>
      </c>
    </row>
    <row r="1140" spans="1:10" ht="15" x14ac:dyDescent="0.2">
      <c r="A1140" s="11">
        <f t="shared" si="50"/>
        <v>2097</v>
      </c>
      <c r="B1140" s="10">
        <f t="shared" ca="1" si="53"/>
        <v>80.431483333333333</v>
      </c>
      <c r="C1140" s="10">
        <f t="shared" ca="1" si="53"/>
        <v>74.296916666666675</v>
      </c>
      <c r="D1140" s="10">
        <f t="shared" ca="1" si="53"/>
        <v>74.28910833333336</v>
      </c>
      <c r="E1140" s="10">
        <f t="shared" ca="1" si="53"/>
        <v>80.284316666666669</v>
      </c>
      <c r="F1140" s="10">
        <f t="shared" ca="1" si="53"/>
        <v>80.275216666666665</v>
      </c>
      <c r="G1140" s="10">
        <f t="shared" ca="1" si="53"/>
        <v>74.295349999999999</v>
      </c>
      <c r="H1140" s="10">
        <f t="shared" ca="1" si="53"/>
        <v>74.295349999999999</v>
      </c>
      <c r="I1140" s="10">
        <f t="shared" ca="1" si="53"/>
        <v>74.296916666666675</v>
      </c>
      <c r="J1140" s="10">
        <f t="shared" ca="1" si="53"/>
        <v>512.27989166666657</v>
      </c>
    </row>
    <row r="1141" spans="1:10" ht="15" x14ac:dyDescent="0.2">
      <c r="A1141" s="11">
        <f t="shared" si="50"/>
        <v>2098</v>
      </c>
      <c r="B1141" s="10">
        <f t="shared" ca="1" si="53"/>
        <v>81.841191666666674</v>
      </c>
      <c r="C1141" s="10">
        <f t="shared" ca="1" si="53"/>
        <v>75.600841666666668</v>
      </c>
      <c r="D1141" s="10">
        <f t="shared" ca="1" si="53"/>
        <v>75.593016666666685</v>
      </c>
      <c r="E1141" s="10">
        <f t="shared" ca="1" si="53"/>
        <v>81.694025000000025</v>
      </c>
      <c r="F1141" s="10">
        <f t="shared" ca="1" si="53"/>
        <v>81.684924999999978</v>
      </c>
      <c r="G1141" s="10">
        <f t="shared" ca="1" si="53"/>
        <v>75.599291666666673</v>
      </c>
      <c r="H1141" s="10">
        <f t="shared" ca="1" si="53"/>
        <v>75.599291666666673</v>
      </c>
      <c r="I1141" s="10">
        <f t="shared" ca="1" si="53"/>
        <v>75.600841666666668</v>
      </c>
      <c r="J1141" s="10">
        <f t="shared" ca="1" si="53"/>
        <v>521.35654166666666</v>
      </c>
    </row>
    <row r="1142" spans="1:10" ht="15" x14ac:dyDescent="0.2">
      <c r="A1142" s="11">
        <f t="shared" si="50"/>
        <v>2099</v>
      </c>
      <c r="B1142" s="10">
        <f t="shared" ca="1" si="53"/>
        <v>83.275808333333316</v>
      </c>
      <c r="C1142" s="10">
        <f t="shared" ca="1" si="53"/>
        <v>76.927808333333346</v>
      </c>
      <c r="D1142" s="10">
        <f t="shared" ca="1" si="53"/>
        <v>76.920008333333357</v>
      </c>
      <c r="E1142" s="10">
        <f t="shared" ca="1" si="53"/>
        <v>83.12865833333332</v>
      </c>
      <c r="F1142" s="10">
        <f t="shared" ca="1" si="53"/>
        <v>83.11955833333333</v>
      </c>
      <c r="G1142" s="10">
        <f t="shared" ca="1" si="53"/>
        <v>76.926241666666655</v>
      </c>
      <c r="H1142" s="10">
        <f t="shared" ca="1" si="53"/>
        <v>76.926241666666655</v>
      </c>
      <c r="I1142" s="10">
        <f t="shared" ca="1" si="53"/>
        <v>76.927808333333346</v>
      </c>
      <c r="J1142" s="10">
        <f t="shared" ca="1" si="53"/>
        <v>530.59398333333343</v>
      </c>
    </row>
    <row r="1143" spans="1:10" ht="15" x14ac:dyDescent="0.2">
      <c r="A1143" s="11">
        <f t="shared" si="50"/>
        <v>2100</v>
      </c>
      <c r="B1143" s="10">
        <f t="shared" ca="1" si="53"/>
        <v>84.735783333333345</v>
      </c>
      <c r="C1143" s="10">
        <f t="shared" ca="1" si="53"/>
        <v>78.278216666666665</v>
      </c>
      <c r="D1143" s="10">
        <f t="shared" ca="1" si="53"/>
        <v>78.270408333333322</v>
      </c>
      <c r="E1143" s="10">
        <f t="shared" ca="1" si="53"/>
        <v>84.588616666666667</v>
      </c>
      <c r="F1143" s="10">
        <f t="shared" ca="1" si="53"/>
        <v>84.579516666666677</v>
      </c>
      <c r="G1143" s="10">
        <f t="shared" ca="1" si="53"/>
        <v>78.276649999999989</v>
      </c>
      <c r="H1143" s="10">
        <f t="shared" ca="1" si="53"/>
        <v>78.276649999999989</v>
      </c>
      <c r="I1143" s="10">
        <f t="shared" ca="1" si="53"/>
        <v>78.278216666666665</v>
      </c>
      <c r="J1143" s="10">
        <f t="shared" ca="1" si="53"/>
        <v>539.99510833333341</v>
      </c>
    </row>
    <row r="1144" spans="1:10" x14ac:dyDescent="0.2">
      <c r="A1144" s="8"/>
    </row>
    <row r="1145" spans="1:10" x14ac:dyDescent="0.2">
      <c r="A1145" s="8"/>
    </row>
    <row r="1146" spans="1:10" x14ac:dyDescent="0.2">
      <c r="A1146" s="8"/>
    </row>
    <row r="1147" spans="1:10" x14ac:dyDescent="0.2">
      <c r="A1147" s="8"/>
    </row>
    <row r="1148" spans="1:10" x14ac:dyDescent="0.2">
      <c r="A1148" s="8"/>
    </row>
    <row r="1149" spans="1:10" x14ac:dyDescent="0.2">
      <c r="A1149" s="8"/>
    </row>
    <row r="1150" spans="1:10" x14ac:dyDescent="0.2">
      <c r="A1150" s="8"/>
    </row>
    <row r="1151" spans="1:10" x14ac:dyDescent="0.2">
      <c r="A1151" s="8"/>
    </row>
    <row r="1152" spans="1:10" x14ac:dyDescent="0.2">
      <c r="A1152" s="8"/>
    </row>
    <row r="1153" spans="1:1" x14ac:dyDescent="0.2">
      <c r="A1153" s="8"/>
    </row>
    <row r="1154" spans="1:1" x14ac:dyDescent="0.2">
      <c r="A1154" s="8"/>
    </row>
    <row r="1155" spans="1:1" x14ac:dyDescent="0.2">
      <c r="A1155" s="8"/>
    </row>
    <row r="1156" spans="1:1" x14ac:dyDescent="0.2">
      <c r="A1156" s="8"/>
    </row>
    <row r="1157" spans="1:1" x14ac:dyDescent="0.2">
      <c r="A1157" s="8"/>
    </row>
    <row r="1158" spans="1:1" x14ac:dyDescent="0.2">
      <c r="A1158" s="8"/>
    </row>
    <row r="1159" spans="1:1" x14ac:dyDescent="0.2">
      <c r="A1159" s="8"/>
    </row>
    <row r="1160" spans="1:1" x14ac:dyDescent="0.2">
      <c r="A1160" s="8"/>
    </row>
    <row r="1161" spans="1:1" x14ac:dyDescent="0.2">
      <c r="A1161" s="8"/>
    </row>
    <row r="1162" spans="1:1" x14ac:dyDescent="0.2">
      <c r="A1162" s="8"/>
    </row>
    <row r="1163" spans="1:1" x14ac:dyDescent="0.2">
      <c r="A1163" s="8"/>
    </row>
  </sheetData>
  <pageMargins left="0.25" right="0.25" top="0.5" bottom="0.5" header="0.25" footer="0.25"/>
  <pageSetup paperSize="5" scale="90" orientation="landscape" r:id="rId1"/>
  <headerFooter alignWithMargins="0">
    <oddFooter>&amp;R&amp;A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Drop Down 1">
              <controlPr locked="0" defaultSize="0" autoLine="0" autoPict="0">
                <anchor moveWithCells="1">
                  <from>
                    <xdr:col>7</xdr:col>
                    <xdr:colOff>171450</xdr:colOff>
                    <xdr:row>7</xdr:row>
                    <xdr:rowOff>133350</xdr:rowOff>
                  </from>
                  <to>
                    <xdr:col>8</xdr:col>
                    <xdr:colOff>304800</xdr:colOff>
                    <xdr:row>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5" name="Drop Down 2">
              <controlPr locked="0" defaultSize="0" autoLine="0" autoPict="0">
                <anchor moveWithCells="1">
                  <from>
                    <xdr:col>8</xdr:col>
                    <xdr:colOff>438150</xdr:colOff>
                    <xdr:row>7</xdr:row>
                    <xdr:rowOff>133350</xdr:rowOff>
                  </from>
                  <to>
                    <xdr:col>9</xdr:col>
                    <xdr:colOff>571500</xdr:colOff>
                    <xdr:row>9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5"/>
  <dimension ref="A1:S1145"/>
  <sheetViews>
    <sheetView zoomScale="70" zoomScaleNormal="70" workbookViewId="0">
      <pane xSplit="1" ySplit="13" topLeftCell="B14" activePane="bottomRight" state="frozen"/>
      <selection activeCell="A12" sqref="A11:A12"/>
      <selection pane="topRight" activeCell="A12" sqref="A11:A12"/>
      <selection pane="bottomLeft" activeCell="A12" sqref="A11:A12"/>
      <selection pane="bottomRight" activeCell="B14" sqref="B14"/>
    </sheetView>
  </sheetViews>
  <sheetFormatPr defaultColWidth="7.109375" defaultRowHeight="12.75" x14ac:dyDescent="0.2"/>
  <cols>
    <col min="1" max="1" width="14.5546875" style="8" customWidth="1"/>
    <col min="2" max="2" width="19" style="8" customWidth="1"/>
    <col min="3" max="3" width="16.109375" style="8" customWidth="1"/>
    <col min="4" max="4" width="20.21875" style="8" customWidth="1"/>
    <col min="5" max="5" width="20.6640625" style="8" customWidth="1"/>
    <col min="6" max="6" width="16.109375" style="8" customWidth="1"/>
    <col min="7" max="9" width="20" style="8" customWidth="1"/>
    <col min="10" max="10" width="16.109375" style="8" customWidth="1"/>
    <col min="11" max="13" width="19.109375" style="8" customWidth="1"/>
    <col min="14" max="14" width="16.109375" style="8" customWidth="1"/>
    <col min="15" max="15" width="19.77734375" style="8" customWidth="1"/>
    <col min="16" max="16" width="16.109375" style="8" customWidth="1"/>
    <col min="17" max="19" width="17.6640625" style="8" customWidth="1"/>
    <col min="20" max="16384" width="7.109375" style="8"/>
  </cols>
  <sheetData>
    <row r="1" spans="1:19" ht="15.75" x14ac:dyDescent="0.25">
      <c r="A1" s="101" t="s">
        <v>91</v>
      </c>
    </row>
    <row r="2" spans="1:19" ht="15.75" x14ac:dyDescent="0.25">
      <c r="A2" s="101" t="s">
        <v>92</v>
      </c>
    </row>
    <row r="3" spans="1:19" ht="15.75" x14ac:dyDescent="0.25">
      <c r="A3" s="101" t="s">
        <v>93</v>
      </c>
    </row>
    <row r="4" spans="1:19" ht="15.75" x14ac:dyDescent="0.25">
      <c r="A4" s="101" t="s">
        <v>94</v>
      </c>
    </row>
    <row r="5" spans="1:19" ht="15.75" x14ac:dyDescent="0.25">
      <c r="A5" s="101" t="s">
        <v>96</v>
      </c>
    </row>
    <row r="6" spans="1:19" ht="15.75" x14ac:dyDescent="0.25">
      <c r="A6" s="101" t="s">
        <v>99</v>
      </c>
    </row>
    <row r="7" spans="1:19" ht="20.25" x14ac:dyDescent="0.3">
      <c r="A7" s="49"/>
    </row>
    <row r="8" spans="1:19" ht="18" x14ac:dyDescent="0.25">
      <c r="A8" s="48" t="s">
        <v>28</v>
      </c>
      <c r="B8" s="48"/>
      <c r="H8" s="45" t="s">
        <v>47</v>
      </c>
    </row>
    <row r="9" spans="1:19" ht="18" x14ac:dyDescent="0.25">
      <c r="A9" s="48"/>
      <c r="B9" s="47" t="s">
        <v>27</v>
      </c>
      <c r="C9" s="46">
        <f>1-0.149</f>
        <v>0.85099999999999998</v>
      </c>
      <c r="D9" s="47" t="s">
        <v>26</v>
      </c>
      <c r="E9" s="46">
        <f>1+0.149</f>
        <v>1.149</v>
      </c>
      <c r="H9" s="45"/>
      <c r="P9" s="106"/>
      <c r="Q9" s="106"/>
      <c r="R9" s="106"/>
      <c r="S9" s="106"/>
    </row>
    <row r="10" spans="1:19" ht="15.75" x14ac:dyDescent="0.25">
      <c r="B10" s="105" t="s">
        <v>46</v>
      </c>
      <c r="C10" s="105"/>
      <c r="D10" s="105"/>
      <c r="E10" s="107" t="s">
        <v>45</v>
      </c>
      <c r="F10" s="107"/>
      <c r="G10" s="108"/>
      <c r="H10" s="109" t="s">
        <v>44</v>
      </c>
      <c r="I10" s="109"/>
      <c r="J10" s="109"/>
      <c r="K10" s="109"/>
      <c r="L10" s="108" t="s">
        <v>43</v>
      </c>
      <c r="M10" s="108"/>
      <c r="N10" s="108"/>
      <c r="O10" s="108"/>
      <c r="P10" s="106"/>
      <c r="Q10" s="106"/>
      <c r="R10" s="106"/>
      <c r="S10" s="106"/>
    </row>
    <row r="11" spans="1:19" ht="63" x14ac:dyDescent="0.25">
      <c r="B11" s="44" t="s">
        <v>42</v>
      </c>
      <c r="C11" s="43" t="s">
        <v>40</v>
      </c>
      <c r="D11" s="42" t="s">
        <v>39</v>
      </c>
      <c r="E11" s="44" t="s">
        <v>42</v>
      </c>
      <c r="F11" s="43" t="s">
        <v>40</v>
      </c>
      <c r="G11" s="42" t="s">
        <v>39</v>
      </c>
      <c r="H11" s="44" t="s">
        <v>42</v>
      </c>
      <c r="I11" s="44" t="s">
        <v>41</v>
      </c>
      <c r="J11" s="43" t="s">
        <v>40</v>
      </c>
      <c r="K11" s="42" t="s">
        <v>39</v>
      </c>
      <c r="L11" s="44" t="s">
        <v>42</v>
      </c>
      <c r="M11" s="44" t="s">
        <v>41</v>
      </c>
      <c r="N11" s="43" t="s">
        <v>40</v>
      </c>
      <c r="O11" s="42" t="s">
        <v>39</v>
      </c>
      <c r="P11" s="41"/>
      <c r="Q11" s="37"/>
      <c r="R11" s="37"/>
      <c r="S11" s="37"/>
    </row>
    <row r="12" spans="1:19" ht="13.5" customHeight="1" x14ac:dyDescent="0.25">
      <c r="B12" s="40"/>
      <c r="C12" s="39"/>
      <c r="D12" s="38"/>
      <c r="E12" s="40"/>
      <c r="F12" s="39"/>
      <c r="G12" s="38"/>
      <c r="H12" s="40"/>
      <c r="I12" s="40"/>
      <c r="J12" s="39"/>
      <c r="K12" s="38"/>
      <c r="L12" s="40"/>
      <c r="M12" s="40"/>
      <c r="N12" s="39"/>
      <c r="O12" s="38"/>
      <c r="P12" s="37"/>
      <c r="Q12" s="36"/>
      <c r="R12" s="36"/>
      <c r="S12" s="36"/>
    </row>
    <row r="13" spans="1:19" ht="20.25" x14ac:dyDescent="0.55000000000000004">
      <c r="A13" s="35" t="s">
        <v>15</v>
      </c>
      <c r="B13" s="34" t="s">
        <v>14</v>
      </c>
      <c r="C13" s="34" t="s">
        <v>14</v>
      </c>
      <c r="D13" s="34" t="s">
        <v>14</v>
      </c>
      <c r="E13" s="34" t="s">
        <v>14</v>
      </c>
      <c r="F13" s="34" t="s">
        <v>14</v>
      </c>
      <c r="G13" s="34" t="s">
        <v>14</v>
      </c>
      <c r="H13" s="34" t="s">
        <v>14</v>
      </c>
      <c r="I13" s="34" t="s">
        <v>14</v>
      </c>
      <c r="J13" s="34" t="s">
        <v>14</v>
      </c>
      <c r="K13" s="34" t="s">
        <v>14</v>
      </c>
      <c r="L13" s="34" t="s">
        <v>14</v>
      </c>
      <c r="M13" s="34" t="s">
        <v>14</v>
      </c>
      <c r="N13" s="34" t="s">
        <v>14</v>
      </c>
      <c r="O13" s="34" t="s">
        <v>14</v>
      </c>
      <c r="P13" s="34"/>
      <c r="Q13" s="34"/>
      <c r="R13" s="34"/>
      <c r="S13" s="34"/>
    </row>
    <row r="14" spans="1:19" ht="15" x14ac:dyDescent="0.2">
      <c r="A14" s="16">
        <v>41640</v>
      </c>
      <c r="B14" s="32">
        <v>2.3259726527614299</v>
      </c>
      <c r="C14" s="32">
        <v>2.2881931818181802</v>
      </c>
      <c r="D14" s="32">
        <v>2.3271061818181802</v>
      </c>
      <c r="E14" s="33">
        <v>3.4997846904753001</v>
      </c>
      <c r="F14" s="33">
        <v>3.2737288135593201</v>
      </c>
      <c r="G14" s="33">
        <v>3.2866738135593199</v>
      </c>
      <c r="H14" s="33">
        <v>5.6851303602769301</v>
      </c>
      <c r="I14" s="33">
        <v>5.6980753602769303</v>
      </c>
      <c r="J14" s="33">
        <v>5.6851303602769301</v>
      </c>
      <c r="K14" s="33">
        <v>5.6980753602769303</v>
      </c>
      <c r="L14" s="33">
        <v>3.4997846904753001</v>
      </c>
      <c r="M14" s="33">
        <v>3.5127296904752998</v>
      </c>
      <c r="N14" s="33">
        <v>3.4997846904753001</v>
      </c>
      <c r="O14" s="33">
        <v>3.5127296904752998</v>
      </c>
      <c r="P14" s="10"/>
      <c r="Q14" s="33"/>
      <c r="R14" s="33"/>
    </row>
    <row r="15" spans="1:19" ht="15" x14ac:dyDescent="0.2">
      <c r="A15" s="16">
        <v>41671</v>
      </c>
      <c r="B15" s="32">
        <f>2.338 * CHOOSE(CONTROL!$C$32, $C$9, 100%, $E$9)</f>
        <v>2.3380000000000001</v>
      </c>
      <c r="C15" s="32">
        <f>2.3077 * CHOOSE(CONTROL!$C$32, $C$9, 100%, $E$9)</f>
        <v>2.3077000000000001</v>
      </c>
      <c r="D15" s="32">
        <f>2.3467 * CHOOSE(CONTROL!$C$32, $C$9, 100%, $E$9)</f>
        <v>2.3466999999999998</v>
      </c>
      <c r="E15" s="33">
        <f>3.5012 * CHOOSE(CONTROL!$C$32, $C$9, 100%, $E$9)</f>
        <v>3.5011999999999999</v>
      </c>
      <c r="F15" s="33">
        <f>3.2886 * CHOOSE(CONTROL!$C$32, $C$9, 100%, $E$9)</f>
        <v>3.2886000000000002</v>
      </c>
      <c r="G15" s="33">
        <f>3.3015 * CHOOSE(CONTROL!$C$32, $C$9, 100%, $E$9)</f>
        <v>3.3014999999999999</v>
      </c>
      <c r="H15" s="33">
        <f>5.8292 * CHOOSE(CONTROL!$C$32, $C$9, 100%, $E$9)</f>
        <v>5.8292000000000002</v>
      </c>
      <c r="I15" s="33">
        <f>5.8422 * CHOOSE(CONTROL!$C$32, $C$9, 100%, $E$9)</f>
        <v>5.8422000000000001</v>
      </c>
      <c r="J15" s="33">
        <f>5.8292 * CHOOSE(CONTROL!$C$32, $C$9, 100%, $E$9)</f>
        <v>5.8292000000000002</v>
      </c>
      <c r="K15" s="33">
        <f>5.8422 * CHOOSE(CONTROL!$C$32, $C$9, 100%, $E$9)</f>
        <v>5.8422000000000001</v>
      </c>
      <c r="L15" s="33">
        <f>3.5012 * CHOOSE(CONTROL!$C$32, $C$9, 100%, $E$9)</f>
        <v>3.5011999999999999</v>
      </c>
      <c r="M15" s="33">
        <f>3.5142 * CHOOSE(CONTROL!$C$32, $C$9, 100%, $E$9)</f>
        <v>3.5142000000000002</v>
      </c>
      <c r="N15" s="33">
        <f>3.5012 * CHOOSE(CONTROL!$C$32, $C$9, 100%, $E$9)</f>
        <v>3.5011999999999999</v>
      </c>
      <c r="O15" s="33">
        <f>3.5142 * CHOOSE(CONTROL!$C$32, $C$9, 100%, $E$9)</f>
        <v>3.5142000000000002</v>
      </c>
      <c r="P15" s="10"/>
      <c r="Q15" s="33"/>
      <c r="R15" s="33"/>
    </row>
    <row r="16" spans="1:19" ht="15" x14ac:dyDescent="0.2">
      <c r="A16" s="16">
        <v>41699</v>
      </c>
      <c r="B16" s="32">
        <f>2.3423 * CHOOSE(CONTROL!$C$32, $C$9, 100%, $E$9)</f>
        <v>2.3422999999999998</v>
      </c>
      <c r="C16" s="32">
        <f>2.3166 * CHOOSE(CONTROL!$C$32, $C$9, 100%, $E$9)</f>
        <v>2.3166000000000002</v>
      </c>
      <c r="D16" s="32">
        <f>2.3555 * CHOOSE(CONTROL!$C$32, $C$9, 100%, $E$9)</f>
        <v>2.3555000000000001</v>
      </c>
      <c r="E16" s="33">
        <f>3.4055 * CHOOSE(CONTROL!$C$32, $C$9, 100%, $E$9)</f>
        <v>3.4055</v>
      </c>
      <c r="F16" s="33">
        <f>3.2949 * CHOOSE(CONTROL!$C$32, $C$9, 100%, $E$9)</f>
        <v>3.2949000000000002</v>
      </c>
      <c r="G16" s="33">
        <f>3.3079 * CHOOSE(CONTROL!$C$32, $C$9, 100%, $E$9)</f>
        <v>3.3079000000000001</v>
      </c>
      <c r="H16" s="33">
        <f>5.8414 * CHOOSE(CONTROL!$C$32, $C$9, 100%, $E$9)</f>
        <v>5.8414000000000001</v>
      </c>
      <c r="I16" s="33">
        <f>5.8543 * CHOOSE(CONTROL!$C$32, $C$9, 100%, $E$9)</f>
        <v>5.8543000000000003</v>
      </c>
      <c r="J16" s="33">
        <f>5.8414 * CHOOSE(CONTROL!$C$32, $C$9, 100%, $E$9)</f>
        <v>5.8414000000000001</v>
      </c>
      <c r="K16" s="33">
        <f>5.8543 * CHOOSE(CONTROL!$C$32, $C$9, 100%, $E$9)</f>
        <v>5.8543000000000003</v>
      </c>
      <c r="L16" s="33">
        <f>3.4055 * CHOOSE(CONTROL!$C$32, $C$9, 100%, $E$9)</f>
        <v>3.4055</v>
      </c>
      <c r="M16" s="33">
        <f>3.4184 * CHOOSE(CONTROL!$C$32, $C$9, 100%, $E$9)</f>
        <v>3.4184000000000001</v>
      </c>
      <c r="N16" s="33">
        <f>3.4055 * CHOOSE(CONTROL!$C$32, $C$9, 100%, $E$9)</f>
        <v>3.4055</v>
      </c>
      <c r="O16" s="33">
        <f>3.4184 * CHOOSE(CONTROL!$C$32, $C$9, 100%, $E$9)</f>
        <v>3.4184000000000001</v>
      </c>
      <c r="P16" s="10"/>
      <c r="Q16" s="33"/>
      <c r="R16" s="33"/>
    </row>
    <row r="17" spans="1:18" ht="15" x14ac:dyDescent="0.2">
      <c r="A17" s="16">
        <v>41730</v>
      </c>
      <c r="B17" s="32">
        <f>2.3408 * CHOOSE(CONTROL!$C$32, $C$9, 100%, $E$9)</f>
        <v>2.3408000000000002</v>
      </c>
      <c r="C17" s="32">
        <f>2.3136 * CHOOSE(CONTROL!$C$32, $C$9, 100%, $E$9)</f>
        <v>2.3136000000000001</v>
      </c>
      <c r="D17" s="32">
        <f>2.3525 * CHOOSE(CONTROL!$C$32, $C$9, 100%, $E$9)</f>
        <v>2.3525</v>
      </c>
      <c r="E17" s="33">
        <f>3.4026 * CHOOSE(CONTROL!$C$32, $C$9, 100%, $E$9)</f>
        <v>3.4026000000000001</v>
      </c>
      <c r="F17" s="33">
        <f>3.3055 * CHOOSE(CONTROL!$C$32, $C$9, 100%, $E$9)</f>
        <v>3.3054999999999999</v>
      </c>
      <c r="G17" s="33">
        <f>3.3185 * CHOOSE(CONTROL!$C$32, $C$9, 100%, $E$9)</f>
        <v>3.3184999999999998</v>
      </c>
      <c r="H17" s="33">
        <f>5.8535 * CHOOSE(CONTROL!$C$32, $C$9, 100%, $E$9)</f>
        <v>5.8535000000000004</v>
      </c>
      <c r="I17" s="33">
        <f>5.8665 * CHOOSE(CONTROL!$C$32, $C$9, 100%, $E$9)</f>
        <v>5.8665000000000003</v>
      </c>
      <c r="J17" s="33">
        <f>5.8535 * CHOOSE(CONTROL!$C$32, $C$9, 100%, $E$9)</f>
        <v>5.8535000000000004</v>
      </c>
      <c r="K17" s="33">
        <f>5.8665 * CHOOSE(CONTROL!$C$32, $C$9, 100%, $E$9)</f>
        <v>5.8665000000000003</v>
      </c>
      <c r="L17" s="33">
        <f>3.4026 * CHOOSE(CONTROL!$C$32, $C$9, 100%, $E$9)</f>
        <v>3.4026000000000001</v>
      </c>
      <c r="M17" s="33">
        <f>3.4156 * CHOOSE(CONTROL!$C$32, $C$9, 100%, $E$9)</f>
        <v>3.4156</v>
      </c>
      <c r="N17" s="33">
        <f>3.4026 * CHOOSE(CONTROL!$C$32, $C$9, 100%, $E$9)</f>
        <v>3.4026000000000001</v>
      </c>
      <c r="O17" s="33">
        <f>3.4156 * CHOOSE(CONTROL!$C$32, $C$9, 100%, $E$9)</f>
        <v>3.4156</v>
      </c>
      <c r="P17" s="10"/>
      <c r="Q17" s="33"/>
      <c r="R17" s="33"/>
    </row>
    <row r="18" spans="1:18" ht="15" x14ac:dyDescent="0.2">
      <c r="A18" s="16">
        <v>41760</v>
      </c>
      <c r="B18" s="32">
        <f>2.3438 * CHOOSE(CONTROL!$C$32, $C$9, 100%, $E$9)</f>
        <v>2.3437999999999999</v>
      </c>
      <c r="C18" s="32">
        <f>2.3151 * CHOOSE(CONTROL!$C$32, $C$9, 100%, $E$9)</f>
        <v>2.3151000000000002</v>
      </c>
      <c r="D18" s="32">
        <f>2.3726 * CHOOSE(CONTROL!$C$32, $C$9, 100%, $E$9)</f>
        <v>2.3725999999999998</v>
      </c>
      <c r="E18" s="33">
        <f>3.4085 * CHOOSE(CONTROL!$C$32, $C$9, 100%, $E$9)</f>
        <v>3.4085000000000001</v>
      </c>
      <c r="F18" s="33">
        <f>3.3161 * CHOOSE(CONTROL!$C$32, $C$9, 100%, $E$9)</f>
        <v>3.3161</v>
      </c>
      <c r="G18" s="33">
        <f>3.3352 * CHOOSE(CONTROL!$C$32, $C$9, 100%, $E$9)</f>
        <v>3.3351999999999999</v>
      </c>
      <c r="H18" s="33">
        <f>5.8657 * CHOOSE(CONTROL!$C$32, $C$9, 100%, $E$9)</f>
        <v>5.8657000000000004</v>
      </c>
      <c r="I18" s="33">
        <f>5.8848 * CHOOSE(CONTROL!$C$32, $C$9, 100%, $E$9)</f>
        <v>5.8848000000000003</v>
      </c>
      <c r="J18" s="33">
        <f>5.8657 * CHOOSE(CONTROL!$C$32, $C$9, 100%, $E$9)</f>
        <v>5.8657000000000004</v>
      </c>
      <c r="K18" s="33">
        <f>5.8848 * CHOOSE(CONTROL!$C$32, $C$9, 100%, $E$9)</f>
        <v>5.8848000000000003</v>
      </c>
      <c r="L18" s="33">
        <f>3.4085 * CHOOSE(CONTROL!$C$32, $C$9, 100%, $E$9)</f>
        <v>3.4085000000000001</v>
      </c>
      <c r="M18" s="33">
        <f>3.4276 * CHOOSE(CONTROL!$C$32, $C$9, 100%, $E$9)</f>
        <v>3.4276</v>
      </c>
      <c r="N18" s="33">
        <f>3.4085 * CHOOSE(CONTROL!$C$32, $C$9, 100%, $E$9)</f>
        <v>3.4085000000000001</v>
      </c>
      <c r="O18" s="33">
        <f>3.4276 * CHOOSE(CONTROL!$C$32, $C$9, 100%, $E$9)</f>
        <v>3.4276</v>
      </c>
      <c r="P18" s="10"/>
      <c r="Q18" s="33"/>
      <c r="R18" s="33"/>
    </row>
    <row r="19" spans="1:18" ht="15" x14ac:dyDescent="0.2">
      <c r="A19" s="16">
        <v>41791</v>
      </c>
      <c r="B19" s="32">
        <f>2.3496 * CHOOSE(CONTROL!$C$32, $C$9, 100%, $E$9)</f>
        <v>2.3496000000000001</v>
      </c>
      <c r="C19" s="32">
        <f>2.327 * CHOOSE(CONTROL!$C$32, $C$9, 100%, $E$9)</f>
        <v>2.327</v>
      </c>
      <c r="D19" s="32">
        <f>2.3845 * CHOOSE(CONTROL!$C$32, $C$9, 100%, $E$9)</f>
        <v>2.3845000000000001</v>
      </c>
      <c r="E19" s="33">
        <f>3.4321 * CHOOSE(CONTROL!$C$32, $C$9, 100%, $E$9)</f>
        <v>3.4321000000000002</v>
      </c>
      <c r="F19" s="33">
        <f>3.3585 * CHOOSE(CONTROL!$C$32, $C$9, 100%, $E$9)</f>
        <v>3.3584999999999998</v>
      </c>
      <c r="G19" s="33">
        <f>3.3775 * CHOOSE(CONTROL!$C$32, $C$9, 100%, $E$9)</f>
        <v>3.3774999999999999</v>
      </c>
      <c r="H19" s="33">
        <f>5.8779 * CHOOSE(CONTROL!$C$32, $C$9, 100%, $E$9)</f>
        <v>5.8779000000000003</v>
      </c>
      <c r="I19" s="33">
        <f>5.897 * CHOOSE(CONTROL!$C$32, $C$9, 100%, $E$9)</f>
        <v>5.8970000000000002</v>
      </c>
      <c r="J19" s="33">
        <f>5.8779 * CHOOSE(CONTROL!$C$32, $C$9, 100%, $E$9)</f>
        <v>5.8779000000000003</v>
      </c>
      <c r="K19" s="33">
        <f>5.897 * CHOOSE(CONTROL!$C$32, $C$9, 100%, $E$9)</f>
        <v>5.8970000000000002</v>
      </c>
      <c r="L19" s="33">
        <f>3.4321 * CHOOSE(CONTROL!$C$32, $C$9, 100%, $E$9)</f>
        <v>3.4321000000000002</v>
      </c>
      <c r="M19" s="33">
        <f>3.4511 * CHOOSE(CONTROL!$C$32, $C$9, 100%, $E$9)</f>
        <v>3.4510999999999998</v>
      </c>
      <c r="N19" s="33">
        <f>3.4321 * CHOOSE(CONTROL!$C$32, $C$9, 100%, $E$9)</f>
        <v>3.4321000000000002</v>
      </c>
      <c r="O19" s="33">
        <f>3.4511 * CHOOSE(CONTROL!$C$32, $C$9, 100%, $E$9)</f>
        <v>3.4510999999999998</v>
      </c>
      <c r="P19" s="10"/>
      <c r="Q19" s="33"/>
      <c r="R19" s="33"/>
    </row>
    <row r="20" spans="1:18" ht="15" x14ac:dyDescent="0.2">
      <c r="A20" s="16">
        <v>41821</v>
      </c>
      <c r="B20" s="32">
        <f>2.3649 * CHOOSE(CONTROL!$C$32, $C$9, 100%, $E$9)</f>
        <v>2.3649</v>
      </c>
      <c r="C20" s="32">
        <f>2.3574 * CHOOSE(CONTROL!$C$32, $C$9, 100%, $E$9)</f>
        <v>2.3574000000000002</v>
      </c>
      <c r="D20" s="32">
        <f>2.4149 * CHOOSE(CONTROL!$C$32, $C$9, 100%, $E$9)</f>
        <v>2.4148999999999998</v>
      </c>
      <c r="E20" s="33">
        <f>3.4478 * CHOOSE(CONTROL!$C$32, $C$9, 100%, $E$9)</f>
        <v>3.4478</v>
      </c>
      <c r="F20" s="33">
        <f>3.4008 * CHOOSE(CONTROL!$C$32, $C$9, 100%, $E$9)</f>
        <v>3.4007999999999998</v>
      </c>
      <c r="G20" s="33">
        <f>3.4199 * CHOOSE(CONTROL!$C$32, $C$9, 100%, $E$9)</f>
        <v>3.4199000000000002</v>
      </c>
      <c r="H20" s="33">
        <f>5.8902 * CHOOSE(CONTROL!$C$32, $C$9, 100%, $E$9)</f>
        <v>5.8902000000000001</v>
      </c>
      <c r="I20" s="33">
        <f>5.9092 * CHOOSE(CONTROL!$C$32, $C$9, 100%, $E$9)</f>
        <v>5.9092000000000002</v>
      </c>
      <c r="J20" s="33">
        <f>5.8902 * CHOOSE(CONTROL!$C$32, $C$9, 100%, $E$9)</f>
        <v>5.8902000000000001</v>
      </c>
      <c r="K20" s="33">
        <f>5.9092 * CHOOSE(CONTROL!$C$32, $C$9, 100%, $E$9)</f>
        <v>5.9092000000000002</v>
      </c>
      <c r="L20" s="33">
        <f>3.4478 * CHOOSE(CONTROL!$C$32, $C$9, 100%, $E$9)</f>
        <v>3.4478</v>
      </c>
      <c r="M20" s="33">
        <f>3.4668 * CHOOSE(CONTROL!$C$32, $C$9, 100%, $E$9)</f>
        <v>3.4668000000000001</v>
      </c>
      <c r="N20" s="33">
        <f>3.4478 * CHOOSE(CONTROL!$C$32, $C$9, 100%, $E$9)</f>
        <v>3.4478</v>
      </c>
      <c r="O20" s="33">
        <f>3.4668 * CHOOSE(CONTROL!$C$32, $C$9, 100%, $E$9)</f>
        <v>3.4668000000000001</v>
      </c>
      <c r="P20" s="10"/>
      <c r="Q20" s="33"/>
      <c r="R20" s="33"/>
    </row>
    <row r="21" spans="1:18" ht="15" x14ac:dyDescent="0.2">
      <c r="A21" s="16">
        <v>41852</v>
      </c>
      <c r="B21" s="32">
        <f>2.3848 * CHOOSE(CONTROL!$C$32, $C$9, 100%, $E$9)</f>
        <v>2.3847999999999998</v>
      </c>
      <c r="C21" s="32">
        <f>2.3923 * CHOOSE(CONTROL!$C$32, $C$9, 100%, $E$9)</f>
        <v>2.3923000000000001</v>
      </c>
      <c r="D21" s="32">
        <f>2.4498 * CHOOSE(CONTROL!$C$32, $C$9, 100%, $E$9)</f>
        <v>2.4498000000000002</v>
      </c>
      <c r="E21" s="33">
        <f>3.4793 * CHOOSE(CONTROL!$C$32, $C$9, 100%, $E$9)</f>
        <v>3.4792999999999998</v>
      </c>
      <c r="F21" s="33">
        <f>3.4517 * CHOOSE(CONTROL!$C$32, $C$9, 100%, $E$9)</f>
        <v>3.4517000000000002</v>
      </c>
      <c r="G21" s="33">
        <f>3.4707 * CHOOSE(CONTROL!$C$32, $C$9, 100%, $E$9)</f>
        <v>3.4706999999999999</v>
      </c>
      <c r="H21" s="33">
        <f>5.9025 * CHOOSE(CONTROL!$C$32, $C$9, 100%, $E$9)</f>
        <v>5.9024999999999999</v>
      </c>
      <c r="I21" s="33">
        <f>5.9215 * CHOOSE(CONTROL!$C$32, $C$9, 100%, $E$9)</f>
        <v>5.9215</v>
      </c>
      <c r="J21" s="33">
        <f>5.9025 * CHOOSE(CONTROL!$C$32, $C$9, 100%, $E$9)</f>
        <v>5.9024999999999999</v>
      </c>
      <c r="K21" s="33">
        <f>5.9215 * CHOOSE(CONTROL!$C$32, $C$9, 100%, $E$9)</f>
        <v>5.9215</v>
      </c>
      <c r="L21" s="33">
        <f>3.4793 * CHOOSE(CONTROL!$C$32, $C$9, 100%, $E$9)</f>
        <v>3.4792999999999998</v>
      </c>
      <c r="M21" s="33">
        <f>3.4983 * CHOOSE(CONTROL!$C$32, $C$9, 100%, $E$9)</f>
        <v>3.4983</v>
      </c>
      <c r="N21" s="33">
        <f>3.4793 * CHOOSE(CONTROL!$C$32, $C$9, 100%, $E$9)</f>
        <v>3.4792999999999998</v>
      </c>
      <c r="O21" s="33">
        <f>3.4983 * CHOOSE(CONTROL!$C$32, $C$9, 100%, $E$9)</f>
        <v>3.4983</v>
      </c>
      <c r="P21" s="10"/>
      <c r="Q21" s="33"/>
      <c r="R21" s="33"/>
    </row>
    <row r="22" spans="1:18" ht="15" x14ac:dyDescent="0.2">
      <c r="A22" s="16">
        <v>41883</v>
      </c>
      <c r="B22" s="32">
        <f>2.3937 * CHOOSE(CONTROL!$C$32, $C$9, 100%, $E$9)</f>
        <v>2.3936999999999999</v>
      </c>
      <c r="C22" s="32">
        <f>2.4103 * CHOOSE(CONTROL!$C$32, $C$9, 100%, $E$9)</f>
        <v>2.4102999999999999</v>
      </c>
      <c r="D22" s="32">
        <f>2.4678 * CHOOSE(CONTROL!$C$32, $C$9, 100%, $E$9)</f>
        <v>2.4678</v>
      </c>
      <c r="E22" s="33">
        <f>3.4806 * CHOOSE(CONTROL!$C$32, $C$9, 100%, $E$9)</f>
        <v>3.4805999999999999</v>
      </c>
      <c r="F22" s="33">
        <f>3.4538 * CHOOSE(CONTROL!$C$32, $C$9, 100%, $E$9)</f>
        <v>3.4538000000000002</v>
      </c>
      <c r="G22" s="33">
        <f>3.4729 * CHOOSE(CONTROL!$C$32, $C$9, 100%, $E$9)</f>
        <v>3.4729000000000001</v>
      </c>
      <c r="H22" s="33">
        <f>5.9148 * CHOOSE(CONTROL!$C$32, $C$9, 100%, $E$9)</f>
        <v>5.9147999999999996</v>
      </c>
      <c r="I22" s="33">
        <f>5.9338 * CHOOSE(CONTROL!$C$32, $C$9, 100%, $E$9)</f>
        <v>5.9337999999999997</v>
      </c>
      <c r="J22" s="33">
        <f>5.9148 * CHOOSE(CONTROL!$C$32, $C$9, 100%, $E$9)</f>
        <v>5.9147999999999996</v>
      </c>
      <c r="K22" s="33">
        <f>5.9338 * CHOOSE(CONTROL!$C$32, $C$9, 100%, $E$9)</f>
        <v>5.9337999999999997</v>
      </c>
      <c r="L22" s="33">
        <f>3.4806 * CHOOSE(CONTROL!$C$32, $C$9, 100%, $E$9)</f>
        <v>3.4805999999999999</v>
      </c>
      <c r="M22" s="33">
        <f>3.4996 * CHOOSE(CONTROL!$C$32, $C$9, 100%, $E$9)</f>
        <v>3.4996</v>
      </c>
      <c r="N22" s="33">
        <f>3.4806 * CHOOSE(CONTROL!$C$32, $C$9, 100%, $E$9)</f>
        <v>3.4805999999999999</v>
      </c>
      <c r="O22" s="33">
        <f>3.4996 * CHOOSE(CONTROL!$C$32, $C$9, 100%, $E$9)</f>
        <v>3.4996</v>
      </c>
      <c r="P22" s="10"/>
      <c r="Q22" s="33"/>
      <c r="R22" s="33"/>
    </row>
    <row r="23" spans="1:18" ht="15" x14ac:dyDescent="0.2">
      <c r="A23" s="16">
        <v>41913</v>
      </c>
      <c r="B23" s="32">
        <f>2.3937 * CHOOSE(CONTROL!$C$32, $C$9, 100%, $E$9)</f>
        <v>2.3936999999999999</v>
      </c>
      <c r="C23" s="32">
        <f>2.4103 * CHOOSE(CONTROL!$C$32, $C$9, 100%, $E$9)</f>
        <v>2.4102999999999999</v>
      </c>
      <c r="D23" s="32">
        <f>2.4492 * CHOOSE(CONTROL!$C$32, $C$9, 100%, $E$9)</f>
        <v>2.4491999999999998</v>
      </c>
      <c r="E23" s="33">
        <f>3.4819 * CHOOSE(CONTROL!$C$32, $C$9, 100%, $E$9)</f>
        <v>3.4819</v>
      </c>
      <c r="F23" s="33">
        <f>3.4559 * CHOOSE(CONTROL!$C$32, $C$9, 100%, $E$9)</f>
        <v>3.4559000000000002</v>
      </c>
      <c r="G23" s="33">
        <f>3.4689 * CHOOSE(CONTROL!$C$32, $C$9, 100%, $E$9)</f>
        <v>3.4689000000000001</v>
      </c>
      <c r="H23" s="33">
        <f>5.9271 * CHOOSE(CONTROL!$C$32, $C$9, 100%, $E$9)</f>
        <v>5.9271000000000003</v>
      </c>
      <c r="I23" s="33">
        <f>5.94 * CHOOSE(CONTROL!$C$32, $C$9, 100%, $E$9)</f>
        <v>5.94</v>
      </c>
      <c r="J23" s="33">
        <f>5.9271 * CHOOSE(CONTROL!$C$32, $C$9, 100%, $E$9)</f>
        <v>5.9271000000000003</v>
      </c>
      <c r="K23" s="33">
        <f>5.94 * CHOOSE(CONTROL!$C$32, $C$9, 100%, $E$9)</f>
        <v>5.94</v>
      </c>
      <c r="L23" s="33">
        <f>3.4819 * CHOOSE(CONTROL!$C$32, $C$9, 100%, $E$9)</f>
        <v>3.4819</v>
      </c>
      <c r="M23" s="33">
        <f>3.4948 * CHOOSE(CONTROL!$C$32, $C$9, 100%, $E$9)</f>
        <v>3.4948000000000001</v>
      </c>
      <c r="N23" s="33">
        <f>3.4819 * CHOOSE(CONTROL!$C$32, $C$9, 100%, $E$9)</f>
        <v>3.4819</v>
      </c>
      <c r="O23" s="33">
        <f>3.4948 * CHOOSE(CONTROL!$C$32, $C$9, 100%, $E$9)</f>
        <v>3.4948000000000001</v>
      </c>
      <c r="P23" s="10"/>
      <c r="Q23" s="33"/>
      <c r="R23" s="33"/>
    </row>
    <row r="24" spans="1:18" ht="15" x14ac:dyDescent="0.2">
      <c r="A24" s="16">
        <v>41944</v>
      </c>
      <c r="B24" s="32">
        <f>2.4013 * CHOOSE(CONTROL!$C$32, $C$9, 100%, $E$9)</f>
        <v>2.4013</v>
      </c>
      <c r="C24" s="32">
        <f>2.421 * CHOOSE(CONTROL!$C$32, $C$9, 100%, $E$9)</f>
        <v>2.4209999999999998</v>
      </c>
      <c r="D24" s="32">
        <f>2.4599 * CHOOSE(CONTROL!$C$32, $C$9, 100%, $E$9)</f>
        <v>2.4599000000000002</v>
      </c>
      <c r="E24" s="33">
        <f>3.4897 * CHOOSE(CONTROL!$C$32, $C$9, 100%, $E$9)</f>
        <v>3.4897</v>
      </c>
      <c r="F24" s="33">
        <f>3.4623 * CHOOSE(CONTROL!$C$32, $C$9, 100%, $E$9)</f>
        <v>3.4622999999999999</v>
      </c>
      <c r="G24" s="33">
        <f>3.4752 * CHOOSE(CONTROL!$C$32, $C$9, 100%, $E$9)</f>
        <v>3.4752000000000001</v>
      </c>
      <c r="H24" s="33">
        <f>5.9394 * CHOOSE(CONTROL!$C$32, $C$9, 100%, $E$9)</f>
        <v>5.9394</v>
      </c>
      <c r="I24" s="33">
        <f>5.9524 * CHOOSE(CONTROL!$C$32, $C$9, 100%, $E$9)</f>
        <v>5.9523999999999999</v>
      </c>
      <c r="J24" s="33">
        <f>5.9394 * CHOOSE(CONTROL!$C$32, $C$9, 100%, $E$9)</f>
        <v>5.9394</v>
      </c>
      <c r="K24" s="33">
        <f>5.9524 * CHOOSE(CONTROL!$C$32, $C$9, 100%, $E$9)</f>
        <v>5.9523999999999999</v>
      </c>
      <c r="L24" s="33">
        <f>3.4897 * CHOOSE(CONTROL!$C$32, $C$9, 100%, $E$9)</f>
        <v>3.4897</v>
      </c>
      <c r="M24" s="33">
        <f>3.5027 * CHOOSE(CONTROL!$C$32, $C$9, 100%, $E$9)</f>
        <v>3.5026999999999999</v>
      </c>
      <c r="N24" s="33">
        <f>3.4897 * CHOOSE(CONTROL!$C$32, $C$9, 100%, $E$9)</f>
        <v>3.4897</v>
      </c>
      <c r="O24" s="33">
        <f>3.5027 * CHOOSE(CONTROL!$C$32, $C$9, 100%, $E$9)</f>
        <v>3.5026999999999999</v>
      </c>
      <c r="P24" s="10"/>
      <c r="Q24" s="33"/>
      <c r="R24" s="33"/>
    </row>
    <row r="25" spans="1:18" ht="15" x14ac:dyDescent="0.2">
      <c r="A25" s="16">
        <v>41974</v>
      </c>
      <c r="B25" s="32">
        <f>2.4071 * CHOOSE(CONTROL!$C$32, $C$9, 100%, $E$9)</f>
        <v>2.4070999999999998</v>
      </c>
      <c r="C25" s="32">
        <f>2.4328 * CHOOSE(CONTROL!$C$32, $C$9, 100%, $E$9)</f>
        <v>2.4327999999999999</v>
      </c>
      <c r="D25" s="32">
        <f>2.4717 * CHOOSE(CONTROL!$C$32, $C$9, 100%, $E$9)</f>
        <v>2.4716999999999998</v>
      </c>
      <c r="E25" s="33">
        <f>3.4979 * CHOOSE(CONTROL!$C$32, $C$9, 100%, $E$9)</f>
        <v>3.4979</v>
      </c>
      <c r="F25" s="33">
        <f>3.475 * CHOOSE(CONTROL!$C$32, $C$9, 100%, $E$9)</f>
        <v>3.4750000000000001</v>
      </c>
      <c r="G25" s="33">
        <f>3.4879 * CHOOSE(CONTROL!$C$32, $C$9, 100%, $E$9)</f>
        <v>3.4878999999999998</v>
      </c>
      <c r="H25" s="33">
        <f>5.9518 * CHOOSE(CONTROL!$C$32, $C$9, 100%, $E$9)</f>
        <v>5.9518000000000004</v>
      </c>
      <c r="I25" s="33">
        <f>5.9647 * CHOOSE(CONTROL!$C$32, $C$9, 100%, $E$9)</f>
        <v>5.9646999999999997</v>
      </c>
      <c r="J25" s="33">
        <f>5.9518 * CHOOSE(CONTROL!$C$32, $C$9, 100%, $E$9)</f>
        <v>5.9518000000000004</v>
      </c>
      <c r="K25" s="33">
        <f>5.9647 * CHOOSE(CONTROL!$C$32, $C$9, 100%, $E$9)</f>
        <v>5.9646999999999997</v>
      </c>
      <c r="L25" s="33">
        <f>3.4979 * CHOOSE(CONTROL!$C$32, $C$9, 100%, $E$9)</f>
        <v>3.4979</v>
      </c>
      <c r="M25" s="33">
        <f>3.5108 * CHOOSE(CONTROL!$C$32, $C$9, 100%, $E$9)</f>
        <v>3.5108000000000001</v>
      </c>
      <c r="N25" s="33">
        <f>3.4979 * CHOOSE(CONTROL!$C$32, $C$9, 100%, $E$9)</f>
        <v>3.4979</v>
      </c>
      <c r="O25" s="33">
        <f>3.5108 * CHOOSE(CONTROL!$C$32, $C$9, 100%, $E$9)</f>
        <v>3.5108000000000001</v>
      </c>
      <c r="P25" s="10"/>
      <c r="Q25" s="33"/>
      <c r="R25" s="33"/>
    </row>
    <row r="26" spans="1:18" ht="15" x14ac:dyDescent="0.2">
      <c r="A26" s="16">
        <v>42005</v>
      </c>
      <c r="B26" s="32">
        <f>2.4532 * CHOOSE(CONTROL!$C$32, $C$9, 100%, $E$9)</f>
        <v>2.4531999999999998</v>
      </c>
      <c r="C26" s="32">
        <f>2.4532 * CHOOSE(CONTROL!$C$32, $C$9, 100%, $E$9)</f>
        <v>2.4531999999999998</v>
      </c>
      <c r="D26" s="32">
        <f>2.4542 * CHOOSE(CONTROL!$C$32, $C$9, 100%, $E$9)</f>
        <v>2.4542000000000002</v>
      </c>
      <c r="E26" s="33">
        <f>3.8055 * CHOOSE(CONTROL!$C$32, $C$9, 100%, $E$9)</f>
        <v>3.8054999999999999</v>
      </c>
      <c r="F26" s="33">
        <f>3.5836 * CHOOSE(CONTROL!$C$32, $C$9, 100%, $E$9)</f>
        <v>3.5836000000000001</v>
      </c>
      <c r="G26" s="33">
        <f>3.5872 * CHOOSE(CONTROL!$C$32, $C$9, 100%, $E$9)</f>
        <v>3.5872000000000002</v>
      </c>
      <c r="H26" s="33">
        <f>5.9642 * CHOOSE(CONTROL!$C$32, $C$9, 100%, $E$9)</f>
        <v>5.9641999999999999</v>
      </c>
      <c r="I26" s="33">
        <f>5.9678 * CHOOSE(CONTROL!$C$32, $C$9, 100%, $E$9)</f>
        <v>5.9678000000000004</v>
      </c>
      <c r="J26" s="33">
        <f>5.9642 * CHOOSE(CONTROL!$C$32, $C$9, 100%, $E$9)</f>
        <v>5.9641999999999999</v>
      </c>
      <c r="K26" s="33">
        <f>5.9678 * CHOOSE(CONTROL!$C$32, $C$9, 100%, $E$9)</f>
        <v>5.9678000000000004</v>
      </c>
      <c r="L26" s="33">
        <f>3.8055 * CHOOSE(CONTROL!$C$32, $C$9, 100%, $E$9)</f>
        <v>3.8054999999999999</v>
      </c>
      <c r="M26" s="33">
        <f>3.8091 * CHOOSE(CONTROL!$C$32, $C$9, 100%, $E$9)</f>
        <v>3.8090999999999999</v>
      </c>
      <c r="N26" s="33">
        <f>3.8055 * CHOOSE(CONTROL!$C$32, $C$9, 100%, $E$9)</f>
        <v>3.8054999999999999</v>
      </c>
      <c r="O26" s="33">
        <f>3.8091 * CHOOSE(CONTROL!$C$32, $C$9, 100%, $E$9)</f>
        <v>3.8090999999999999</v>
      </c>
      <c r="P26" s="10"/>
      <c r="Q26" s="33"/>
      <c r="R26" s="33"/>
    </row>
    <row r="27" spans="1:18" ht="15" x14ac:dyDescent="0.2">
      <c r="A27" s="16">
        <v>42036</v>
      </c>
      <c r="B27" s="32">
        <f>2.4638 * CHOOSE(CONTROL!$C$32, $C$9, 100%, $E$9)</f>
        <v>2.4638</v>
      </c>
      <c r="C27" s="32">
        <f>2.4638 * CHOOSE(CONTROL!$C$32, $C$9, 100%, $E$9)</f>
        <v>2.4638</v>
      </c>
      <c r="D27" s="32">
        <f>2.4648 * CHOOSE(CONTROL!$C$32, $C$9, 100%, $E$9)</f>
        <v>2.4647999999999999</v>
      </c>
      <c r="E27" s="33">
        <f>3.7577 * CHOOSE(CONTROL!$C$32, $C$9, 100%, $E$9)</f>
        <v>3.7576999999999998</v>
      </c>
      <c r="F27" s="33">
        <f>3.5836 * CHOOSE(CONTROL!$C$32, $C$9, 100%, $E$9)</f>
        <v>3.5836000000000001</v>
      </c>
      <c r="G27" s="33">
        <f>3.5872 * CHOOSE(CONTROL!$C$32, $C$9, 100%, $E$9)</f>
        <v>3.5872000000000002</v>
      </c>
      <c r="H27" s="33">
        <f>5.9766 * CHOOSE(CONTROL!$C$32, $C$9, 100%, $E$9)</f>
        <v>5.9766000000000004</v>
      </c>
      <c r="I27" s="33">
        <f>5.9802 * CHOOSE(CONTROL!$C$32, $C$9, 100%, $E$9)</f>
        <v>5.9802</v>
      </c>
      <c r="J27" s="33">
        <f>5.9766 * CHOOSE(CONTROL!$C$32, $C$9, 100%, $E$9)</f>
        <v>5.9766000000000004</v>
      </c>
      <c r="K27" s="33">
        <f>5.9802 * CHOOSE(CONTROL!$C$32, $C$9, 100%, $E$9)</f>
        <v>5.9802</v>
      </c>
      <c r="L27" s="33">
        <f>3.7577 * CHOOSE(CONTROL!$C$32, $C$9, 100%, $E$9)</f>
        <v>3.7576999999999998</v>
      </c>
      <c r="M27" s="33">
        <f>3.7613 * CHOOSE(CONTROL!$C$32, $C$9, 100%, $E$9)</f>
        <v>3.7612999999999999</v>
      </c>
      <c r="N27" s="33">
        <f>3.7577 * CHOOSE(CONTROL!$C$32, $C$9, 100%, $E$9)</f>
        <v>3.7576999999999998</v>
      </c>
      <c r="O27" s="33">
        <f>3.7613 * CHOOSE(CONTROL!$C$32, $C$9, 100%, $E$9)</f>
        <v>3.7612999999999999</v>
      </c>
      <c r="P27" s="10"/>
      <c r="Q27" s="33"/>
      <c r="R27" s="33"/>
    </row>
    <row r="28" spans="1:18" ht="15" x14ac:dyDescent="0.2">
      <c r="A28" s="16">
        <v>42064</v>
      </c>
      <c r="B28" s="32">
        <f>2.4574 * CHOOSE(CONTROL!$C$32, $C$9, 100%, $E$9)</f>
        <v>2.4573999999999998</v>
      </c>
      <c r="C28" s="32">
        <f>2.4574 * CHOOSE(CONTROL!$C$32, $C$9, 100%, $E$9)</f>
        <v>2.4573999999999998</v>
      </c>
      <c r="D28" s="32">
        <f>2.4584 * CHOOSE(CONTROL!$C$32, $C$9, 100%, $E$9)</f>
        <v>2.4584000000000001</v>
      </c>
      <c r="E28" s="33">
        <f>3.686 * CHOOSE(CONTROL!$C$32, $C$9, 100%, $E$9)</f>
        <v>3.6859999999999999</v>
      </c>
      <c r="F28" s="33">
        <f>3.5836 * CHOOSE(CONTROL!$C$32, $C$9, 100%, $E$9)</f>
        <v>3.5836000000000001</v>
      </c>
      <c r="G28" s="33">
        <f>3.5872 * CHOOSE(CONTROL!$C$32, $C$9, 100%, $E$9)</f>
        <v>3.5872000000000002</v>
      </c>
      <c r="H28" s="33">
        <f>5.9891 * CHOOSE(CONTROL!$C$32, $C$9, 100%, $E$9)</f>
        <v>5.9890999999999996</v>
      </c>
      <c r="I28" s="33">
        <f>5.9927 * CHOOSE(CONTROL!$C$32, $C$9, 100%, $E$9)</f>
        <v>5.9927000000000001</v>
      </c>
      <c r="J28" s="33">
        <f>5.9891 * CHOOSE(CONTROL!$C$32, $C$9, 100%, $E$9)</f>
        <v>5.9890999999999996</v>
      </c>
      <c r="K28" s="33">
        <f>5.9927 * CHOOSE(CONTROL!$C$32, $C$9, 100%, $E$9)</f>
        <v>5.9927000000000001</v>
      </c>
      <c r="L28" s="33">
        <f>3.686 * CHOOSE(CONTROL!$C$32, $C$9, 100%, $E$9)</f>
        <v>3.6859999999999999</v>
      </c>
      <c r="M28" s="33">
        <f>3.6896 * CHOOSE(CONTROL!$C$32, $C$9, 100%, $E$9)</f>
        <v>3.6896</v>
      </c>
      <c r="N28" s="33">
        <f>3.686 * CHOOSE(CONTROL!$C$32, $C$9, 100%, $E$9)</f>
        <v>3.6859999999999999</v>
      </c>
      <c r="O28" s="33">
        <f>3.6896 * CHOOSE(CONTROL!$C$32, $C$9, 100%, $E$9)</f>
        <v>3.6896</v>
      </c>
      <c r="P28" s="10"/>
      <c r="Q28" s="33"/>
      <c r="R28" s="33"/>
    </row>
    <row r="29" spans="1:18" ht="15" x14ac:dyDescent="0.2">
      <c r="A29" s="16">
        <v>42095</v>
      </c>
      <c r="B29" s="32">
        <f>2.4574 * CHOOSE(CONTROL!$C$32, $C$9, 100%, $E$9)</f>
        <v>2.4573999999999998</v>
      </c>
      <c r="C29" s="32">
        <f>2.4574 * CHOOSE(CONTROL!$C$32, $C$9, 100%, $E$9)</f>
        <v>2.4573999999999998</v>
      </c>
      <c r="D29" s="32">
        <f>2.4584 * CHOOSE(CONTROL!$C$32, $C$9, 100%, $E$9)</f>
        <v>2.4584000000000001</v>
      </c>
      <c r="E29" s="33">
        <f>3.6986 * CHOOSE(CONTROL!$C$32, $C$9, 100%, $E$9)</f>
        <v>3.6985999999999999</v>
      </c>
      <c r="F29" s="33">
        <f>3.5836 * CHOOSE(CONTROL!$C$32, $C$9, 100%, $E$9)</f>
        <v>3.5836000000000001</v>
      </c>
      <c r="G29" s="33">
        <f>3.5872 * CHOOSE(CONTROL!$C$32, $C$9, 100%, $E$9)</f>
        <v>3.5872000000000002</v>
      </c>
      <c r="H29" s="33">
        <f>6.0016 * CHOOSE(CONTROL!$C$32, $C$9, 100%, $E$9)</f>
        <v>6.0015999999999998</v>
      </c>
      <c r="I29" s="33">
        <f>6.0052 * CHOOSE(CONTROL!$C$32, $C$9, 100%, $E$9)</f>
        <v>6.0052000000000003</v>
      </c>
      <c r="J29" s="33">
        <f>6.0016 * CHOOSE(CONTROL!$C$32, $C$9, 100%, $E$9)</f>
        <v>6.0015999999999998</v>
      </c>
      <c r="K29" s="33">
        <f>6.0052 * CHOOSE(CONTROL!$C$32, $C$9, 100%, $E$9)</f>
        <v>6.0052000000000003</v>
      </c>
      <c r="L29" s="33">
        <f>3.6986 * CHOOSE(CONTROL!$C$32, $C$9, 100%, $E$9)</f>
        <v>3.6985999999999999</v>
      </c>
      <c r="M29" s="33">
        <f>3.7022 * CHOOSE(CONTROL!$C$32, $C$9, 100%, $E$9)</f>
        <v>3.7021999999999999</v>
      </c>
      <c r="N29" s="33">
        <f>3.6986 * CHOOSE(CONTROL!$C$32, $C$9, 100%, $E$9)</f>
        <v>3.6985999999999999</v>
      </c>
      <c r="O29" s="33">
        <f>3.7022 * CHOOSE(CONTROL!$C$32, $C$9, 100%, $E$9)</f>
        <v>3.7021999999999999</v>
      </c>
      <c r="P29" s="10"/>
      <c r="Q29" s="33"/>
      <c r="R29" s="33"/>
    </row>
    <row r="30" spans="1:18" ht="15" x14ac:dyDescent="0.2">
      <c r="A30" s="16">
        <v>42125</v>
      </c>
      <c r="B30" s="32">
        <f>2.4559 * CHOOSE(CONTROL!$C$32, $C$9, 100%, $E$9)</f>
        <v>2.4559000000000002</v>
      </c>
      <c r="C30" s="32">
        <f>2.4559 * CHOOSE(CONTROL!$C$32, $C$9, 100%, $E$9)</f>
        <v>2.4559000000000002</v>
      </c>
      <c r="D30" s="32">
        <f>2.4575 * CHOOSE(CONTROL!$C$32, $C$9, 100%, $E$9)</f>
        <v>2.4575</v>
      </c>
      <c r="E30" s="33">
        <f>3.7718 * CHOOSE(CONTROL!$C$32, $C$9, 100%, $E$9)</f>
        <v>3.7717999999999998</v>
      </c>
      <c r="F30" s="33">
        <f>3.5836 * CHOOSE(CONTROL!$C$32, $C$9, 100%, $E$9)</f>
        <v>3.5836000000000001</v>
      </c>
      <c r="G30" s="33">
        <f>3.5889 * CHOOSE(CONTROL!$C$32, $C$9, 100%, $E$9)</f>
        <v>3.5889000000000002</v>
      </c>
      <c r="H30" s="33">
        <f>6.0141 * CHOOSE(CONTROL!$C$32, $C$9, 100%, $E$9)</f>
        <v>6.0141</v>
      </c>
      <c r="I30" s="33">
        <f>6.0194 * CHOOSE(CONTROL!$C$32, $C$9, 100%, $E$9)</f>
        <v>6.0194000000000001</v>
      </c>
      <c r="J30" s="33">
        <f>6.0141 * CHOOSE(CONTROL!$C$32, $C$9, 100%, $E$9)</f>
        <v>6.0141</v>
      </c>
      <c r="K30" s="33">
        <f>6.0194 * CHOOSE(CONTROL!$C$32, $C$9, 100%, $E$9)</f>
        <v>6.0194000000000001</v>
      </c>
      <c r="L30" s="33">
        <f>3.7718 * CHOOSE(CONTROL!$C$32, $C$9, 100%, $E$9)</f>
        <v>3.7717999999999998</v>
      </c>
      <c r="M30" s="33">
        <f>3.7771 * CHOOSE(CONTROL!$C$32, $C$9, 100%, $E$9)</f>
        <v>3.7770999999999999</v>
      </c>
      <c r="N30" s="33">
        <f>3.7718 * CHOOSE(CONTROL!$C$32, $C$9, 100%, $E$9)</f>
        <v>3.7717999999999998</v>
      </c>
      <c r="O30" s="33">
        <f>3.7771 * CHOOSE(CONTROL!$C$32, $C$9, 100%, $E$9)</f>
        <v>3.7770999999999999</v>
      </c>
      <c r="P30" s="10"/>
      <c r="Q30" s="33"/>
      <c r="R30" s="33"/>
    </row>
    <row r="31" spans="1:18" ht="15" x14ac:dyDescent="0.2">
      <c r="A31" s="16">
        <v>42156</v>
      </c>
      <c r="B31" s="32">
        <f>2.4775 * CHOOSE(CONTROL!$C$32, $C$9, 100%, $E$9)</f>
        <v>2.4775</v>
      </c>
      <c r="C31" s="32">
        <f>2.4775 * CHOOSE(CONTROL!$C$32, $C$9, 100%, $E$9)</f>
        <v>2.4775</v>
      </c>
      <c r="D31" s="32">
        <f>2.4791 * CHOOSE(CONTROL!$C$32, $C$9, 100%, $E$9)</f>
        <v>2.4790999999999999</v>
      </c>
      <c r="E31" s="33">
        <f>3.8167 * CHOOSE(CONTROL!$C$32, $C$9, 100%, $E$9)</f>
        <v>3.8167</v>
      </c>
      <c r="F31" s="33">
        <f>3.5836 * CHOOSE(CONTROL!$C$32, $C$9, 100%, $E$9)</f>
        <v>3.5836000000000001</v>
      </c>
      <c r="G31" s="33">
        <f>3.5889 * CHOOSE(CONTROL!$C$32, $C$9, 100%, $E$9)</f>
        <v>3.5889000000000002</v>
      </c>
      <c r="H31" s="33">
        <f>6.0266 * CHOOSE(CONTROL!$C$32, $C$9, 100%, $E$9)</f>
        <v>6.0266000000000002</v>
      </c>
      <c r="I31" s="33">
        <f>6.0319 * CHOOSE(CONTROL!$C$32, $C$9, 100%, $E$9)</f>
        <v>6.0319000000000003</v>
      </c>
      <c r="J31" s="33">
        <f>6.0266 * CHOOSE(CONTROL!$C$32, $C$9, 100%, $E$9)</f>
        <v>6.0266000000000002</v>
      </c>
      <c r="K31" s="33">
        <f>6.0319 * CHOOSE(CONTROL!$C$32, $C$9, 100%, $E$9)</f>
        <v>6.0319000000000003</v>
      </c>
      <c r="L31" s="33">
        <f>3.8167 * CHOOSE(CONTROL!$C$32, $C$9, 100%, $E$9)</f>
        <v>3.8167</v>
      </c>
      <c r="M31" s="33">
        <f>3.822 * CHOOSE(CONTROL!$C$32, $C$9, 100%, $E$9)</f>
        <v>3.8220000000000001</v>
      </c>
      <c r="N31" s="33">
        <f>3.8167 * CHOOSE(CONTROL!$C$32, $C$9, 100%, $E$9)</f>
        <v>3.8167</v>
      </c>
      <c r="O31" s="33">
        <f>3.822 * CHOOSE(CONTROL!$C$32, $C$9, 100%, $E$9)</f>
        <v>3.8220000000000001</v>
      </c>
      <c r="P31" s="10"/>
      <c r="Q31" s="33"/>
      <c r="R31" s="33"/>
    </row>
    <row r="32" spans="1:18" ht="15" x14ac:dyDescent="0.2">
      <c r="A32" s="16">
        <v>42186</v>
      </c>
      <c r="B32" s="32">
        <f>2.5019 * CHOOSE(CONTROL!$C$32, $C$9, 100%, $E$9)</f>
        <v>2.5019</v>
      </c>
      <c r="C32" s="32">
        <f>2.5019 * CHOOSE(CONTROL!$C$32, $C$9, 100%, $E$9)</f>
        <v>2.5019</v>
      </c>
      <c r="D32" s="32">
        <f>2.5034 * CHOOSE(CONTROL!$C$32, $C$9, 100%, $E$9)</f>
        <v>2.5034000000000001</v>
      </c>
      <c r="E32" s="33">
        <f>3.8864 * CHOOSE(CONTROL!$C$32, $C$9, 100%, $E$9)</f>
        <v>3.8864000000000001</v>
      </c>
      <c r="F32" s="33">
        <f>3.5836 * CHOOSE(CONTROL!$C$32, $C$9, 100%, $E$9)</f>
        <v>3.5836000000000001</v>
      </c>
      <c r="G32" s="33">
        <f>3.5889 * CHOOSE(CONTROL!$C$32, $C$9, 100%, $E$9)</f>
        <v>3.5889000000000002</v>
      </c>
      <c r="H32" s="33">
        <f>6.0391 * CHOOSE(CONTROL!$C$32, $C$9, 100%, $E$9)</f>
        <v>6.0391000000000004</v>
      </c>
      <c r="I32" s="33">
        <f>6.0444 * CHOOSE(CONTROL!$C$32, $C$9, 100%, $E$9)</f>
        <v>6.0444000000000004</v>
      </c>
      <c r="J32" s="33">
        <f>6.0391 * CHOOSE(CONTROL!$C$32, $C$9, 100%, $E$9)</f>
        <v>6.0391000000000004</v>
      </c>
      <c r="K32" s="33">
        <f>6.0444 * CHOOSE(CONTROL!$C$32, $C$9, 100%, $E$9)</f>
        <v>6.0444000000000004</v>
      </c>
      <c r="L32" s="33">
        <f>3.8864 * CHOOSE(CONTROL!$C$32, $C$9, 100%, $E$9)</f>
        <v>3.8864000000000001</v>
      </c>
      <c r="M32" s="33">
        <f>3.8917 * CHOOSE(CONTROL!$C$32, $C$9, 100%, $E$9)</f>
        <v>3.8917000000000002</v>
      </c>
      <c r="N32" s="33">
        <f>3.8864 * CHOOSE(CONTROL!$C$32, $C$9, 100%, $E$9)</f>
        <v>3.8864000000000001</v>
      </c>
      <c r="O32" s="33">
        <f>3.8917 * CHOOSE(CONTROL!$C$32, $C$9, 100%, $E$9)</f>
        <v>3.8917000000000002</v>
      </c>
      <c r="P32" s="10"/>
      <c r="Q32" s="33"/>
      <c r="R32" s="33"/>
    </row>
    <row r="33" spans="1:18" ht="15" x14ac:dyDescent="0.2">
      <c r="A33" s="16">
        <v>42217</v>
      </c>
      <c r="B33" s="32">
        <f>2.5126 * CHOOSE(CONTROL!$C$32, $C$9, 100%, $E$9)</f>
        <v>2.5125999999999999</v>
      </c>
      <c r="C33" s="32">
        <f>2.5126 * CHOOSE(CONTROL!$C$32, $C$9, 100%, $E$9)</f>
        <v>2.5125999999999999</v>
      </c>
      <c r="D33" s="32">
        <f>2.5142 * CHOOSE(CONTROL!$C$32, $C$9, 100%, $E$9)</f>
        <v>2.5142000000000002</v>
      </c>
      <c r="E33" s="33">
        <f>3.8864 * CHOOSE(CONTROL!$C$32, $C$9, 100%, $E$9)</f>
        <v>3.8864000000000001</v>
      </c>
      <c r="F33" s="33">
        <f>3.5836 * CHOOSE(CONTROL!$C$32, $C$9, 100%, $E$9)</f>
        <v>3.5836000000000001</v>
      </c>
      <c r="G33" s="33">
        <f>3.5889 * CHOOSE(CONTROL!$C$32, $C$9, 100%, $E$9)</f>
        <v>3.5889000000000002</v>
      </c>
      <c r="H33" s="33">
        <f>6.0517 * CHOOSE(CONTROL!$C$32, $C$9, 100%, $E$9)</f>
        <v>6.0517000000000003</v>
      </c>
      <c r="I33" s="33">
        <f>6.057 * CHOOSE(CONTROL!$C$32, $C$9, 100%, $E$9)</f>
        <v>6.0570000000000004</v>
      </c>
      <c r="J33" s="33">
        <f>6.0517 * CHOOSE(CONTROL!$C$32, $C$9, 100%, $E$9)</f>
        <v>6.0517000000000003</v>
      </c>
      <c r="K33" s="33">
        <f>6.057 * CHOOSE(CONTROL!$C$32, $C$9, 100%, $E$9)</f>
        <v>6.0570000000000004</v>
      </c>
      <c r="L33" s="33">
        <f>3.8864 * CHOOSE(CONTROL!$C$32, $C$9, 100%, $E$9)</f>
        <v>3.8864000000000001</v>
      </c>
      <c r="M33" s="33">
        <f>3.8917 * CHOOSE(CONTROL!$C$32, $C$9, 100%, $E$9)</f>
        <v>3.8917000000000002</v>
      </c>
      <c r="N33" s="33">
        <f>3.8864 * CHOOSE(CONTROL!$C$32, $C$9, 100%, $E$9)</f>
        <v>3.8864000000000001</v>
      </c>
      <c r="O33" s="33">
        <f>3.8917 * CHOOSE(CONTROL!$C$32, $C$9, 100%, $E$9)</f>
        <v>3.8917000000000002</v>
      </c>
      <c r="P33" s="10"/>
      <c r="Q33" s="33"/>
      <c r="R33" s="33"/>
    </row>
    <row r="34" spans="1:18" ht="15" x14ac:dyDescent="0.2">
      <c r="A34" s="16">
        <v>42248</v>
      </c>
      <c r="B34" s="32">
        <f>2.5129 * CHOOSE(CONTROL!$C$32, $C$9, 100%, $E$9)</f>
        <v>2.5129000000000001</v>
      </c>
      <c r="C34" s="32">
        <f>2.5129 * CHOOSE(CONTROL!$C$32, $C$9, 100%, $E$9)</f>
        <v>2.5129000000000001</v>
      </c>
      <c r="D34" s="32">
        <f>2.5145 * CHOOSE(CONTROL!$C$32, $C$9, 100%, $E$9)</f>
        <v>2.5145</v>
      </c>
      <c r="E34" s="33">
        <f>3.7811 * CHOOSE(CONTROL!$C$32, $C$9, 100%, $E$9)</f>
        <v>3.7810999999999999</v>
      </c>
      <c r="F34" s="33">
        <f>3.5836 * CHOOSE(CONTROL!$C$32, $C$9, 100%, $E$9)</f>
        <v>3.5836000000000001</v>
      </c>
      <c r="G34" s="33">
        <f>3.5889 * CHOOSE(CONTROL!$C$32, $C$9, 100%, $E$9)</f>
        <v>3.5889000000000002</v>
      </c>
      <c r="H34" s="33">
        <f>6.0643 * CHOOSE(CONTROL!$C$32, $C$9, 100%, $E$9)</f>
        <v>6.0643000000000002</v>
      </c>
      <c r="I34" s="33">
        <f>6.0696 * CHOOSE(CONTROL!$C$32, $C$9, 100%, $E$9)</f>
        <v>6.0696000000000003</v>
      </c>
      <c r="J34" s="33">
        <f>6.0643 * CHOOSE(CONTROL!$C$32, $C$9, 100%, $E$9)</f>
        <v>6.0643000000000002</v>
      </c>
      <c r="K34" s="33">
        <f>6.0696 * CHOOSE(CONTROL!$C$32, $C$9, 100%, $E$9)</f>
        <v>6.0696000000000003</v>
      </c>
      <c r="L34" s="33">
        <f>3.7811 * CHOOSE(CONTROL!$C$32, $C$9, 100%, $E$9)</f>
        <v>3.7810999999999999</v>
      </c>
      <c r="M34" s="33">
        <f>3.7864 * CHOOSE(CONTROL!$C$32, $C$9, 100%, $E$9)</f>
        <v>3.7864</v>
      </c>
      <c r="N34" s="33">
        <f>3.7811 * CHOOSE(CONTROL!$C$32, $C$9, 100%, $E$9)</f>
        <v>3.7810999999999999</v>
      </c>
      <c r="O34" s="33">
        <f>3.7864 * CHOOSE(CONTROL!$C$32, $C$9, 100%, $E$9)</f>
        <v>3.7864</v>
      </c>
      <c r="P34" s="10"/>
      <c r="Q34" s="33"/>
      <c r="R34" s="33"/>
    </row>
    <row r="35" spans="1:18" ht="15" x14ac:dyDescent="0.2">
      <c r="A35" s="16">
        <v>42278</v>
      </c>
      <c r="B35" s="32">
        <f>2.5008 * CHOOSE(CONTROL!$C$32, $C$9, 100%, $E$9)</f>
        <v>2.5007999999999999</v>
      </c>
      <c r="C35" s="32">
        <f>2.5008 * CHOOSE(CONTROL!$C$32, $C$9, 100%, $E$9)</f>
        <v>2.5007999999999999</v>
      </c>
      <c r="D35" s="32">
        <f>2.5019 * CHOOSE(CONTROL!$C$32, $C$9, 100%, $E$9)</f>
        <v>2.5019</v>
      </c>
      <c r="E35" s="33">
        <f>3.865 * CHOOSE(CONTROL!$C$32, $C$9, 100%, $E$9)</f>
        <v>3.8650000000000002</v>
      </c>
      <c r="F35" s="33">
        <f>3.5836 * CHOOSE(CONTROL!$C$32, $C$9, 100%, $E$9)</f>
        <v>3.5836000000000001</v>
      </c>
      <c r="G35" s="33">
        <f>3.5872 * CHOOSE(CONTROL!$C$32, $C$9, 100%, $E$9)</f>
        <v>3.5872000000000002</v>
      </c>
      <c r="H35" s="33">
        <f>6.077 * CHOOSE(CONTROL!$C$32, $C$9, 100%, $E$9)</f>
        <v>6.077</v>
      </c>
      <c r="I35" s="33">
        <f>6.0806 * CHOOSE(CONTROL!$C$32, $C$9, 100%, $E$9)</f>
        <v>6.0805999999999996</v>
      </c>
      <c r="J35" s="33">
        <f>6.077 * CHOOSE(CONTROL!$C$32, $C$9, 100%, $E$9)</f>
        <v>6.077</v>
      </c>
      <c r="K35" s="33">
        <f>6.0806 * CHOOSE(CONTROL!$C$32, $C$9, 100%, $E$9)</f>
        <v>6.0805999999999996</v>
      </c>
      <c r="L35" s="33">
        <f>3.865 * CHOOSE(CONTROL!$C$32, $C$9, 100%, $E$9)</f>
        <v>3.8650000000000002</v>
      </c>
      <c r="M35" s="33">
        <f>3.8686 * CHOOSE(CONTROL!$C$32, $C$9, 100%, $E$9)</f>
        <v>3.8685999999999998</v>
      </c>
      <c r="N35" s="33">
        <f>3.865 * CHOOSE(CONTROL!$C$32, $C$9, 100%, $E$9)</f>
        <v>3.8650000000000002</v>
      </c>
      <c r="O35" s="33">
        <f>3.8686 * CHOOSE(CONTROL!$C$32, $C$9, 100%, $E$9)</f>
        <v>3.8685999999999998</v>
      </c>
      <c r="P35" s="10"/>
      <c r="Q35" s="33"/>
      <c r="R35" s="33"/>
    </row>
    <row r="36" spans="1:18" ht="15" x14ac:dyDescent="0.2">
      <c r="A36" s="16">
        <v>42309</v>
      </c>
      <c r="B36" s="32">
        <f>2.5055 * CHOOSE(CONTROL!$C$32, $C$9, 100%, $E$9)</f>
        <v>2.5055000000000001</v>
      </c>
      <c r="C36" s="32">
        <f>2.5055 * CHOOSE(CONTROL!$C$32, $C$9, 100%, $E$9)</f>
        <v>2.5055000000000001</v>
      </c>
      <c r="D36" s="32">
        <f>2.5065 * CHOOSE(CONTROL!$C$32, $C$9, 100%, $E$9)</f>
        <v>2.5065</v>
      </c>
      <c r="E36" s="33">
        <f>3.865 * CHOOSE(CONTROL!$C$32, $C$9, 100%, $E$9)</f>
        <v>3.8650000000000002</v>
      </c>
      <c r="F36" s="33">
        <f>3.5836 * CHOOSE(CONTROL!$C$32, $C$9, 100%, $E$9)</f>
        <v>3.5836000000000001</v>
      </c>
      <c r="G36" s="33">
        <f>3.5872 * CHOOSE(CONTROL!$C$32, $C$9, 100%, $E$9)</f>
        <v>3.5872000000000002</v>
      </c>
      <c r="H36" s="33">
        <f>6.0896 * CHOOSE(CONTROL!$C$32, $C$9, 100%, $E$9)</f>
        <v>6.0895999999999999</v>
      </c>
      <c r="I36" s="33">
        <f>6.0932 * CHOOSE(CONTROL!$C$32, $C$9, 100%, $E$9)</f>
        <v>6.0932000000000004</v>
      </c>
      <c r="J36" s="33">
        <f>6.0896 * CHOOSE(CONTROL!$C$32, $C$9, 100%, $E$9)</f>
        <v>6.0895999999999999</v>
      </c>
      <c r="K36" s="33">
        <f>6.0932 * CHOOSE(CONTROL!$C$32, $C$9, 100%, $E$9)</f>
        <v>6.0932000000000004</v>
      </c>
      <c r="L36" s="33">
        <f>3.865 * CHOOSE(CONTROL!$C$32, $C$9, 100%, $E$9)</f>
        <v>3.8650000000000002</v>
      </c>
      <c r="M36" s="33">
        <f>3.8686 * CHOOSE(CONTROL!$C$32, $C$9, 100%, $E$9)</f>
        <v>3.8685999999999998</v>
      </c>
      <c r="N36" s="33">
        <f>3.865 * CHOOSE(CONTROL!$C$32, $C$9, 100%, $E$9)</f>
        <v>3.8650000000000002</v>
      </c>
      <c r="O36" s="33">
        <f>3.8686 * CHOOSE(CONTROL!$C$32, $C$9, 100%, $E$9)</f>
        <v>3.8685999999999998</v>
      </c>
      <c r="P36" s="10"/>
      <c r="Q36" s="33"/>
      <c r="R36" s="33"/>
    </row>
    <row r="37" spans="1:18" ht="15" x14ac:dyDescent="0.2">
      <c r="A37" s="16">
        <v>42339</v>
      </c>
      <c r="B37" s="32">
        <f>2.5088 * CHOOSE(CONTROL!$C$32, $C$9, 100%, $E$9)</f>
        <v>2.5087999999999999</v>
      </c>
      <c r="C37" s="32">
        <f>2.5088 * CHOOSE(CONTROL!$C$32, $C$9, 100%, $E$9)</f>
        <v>2.5087999999999999</v>
      </c>
      <c r="D37" s="32">
        <f>2.5099 * CHOOSE(CONTROL!$C$32, $C$9, 100%, $E$9)</f>
        <v>2.5099</v>
      </c>
      <c r="E37" s="33">
        <f>3.8041 * CHOOSE(CONTROL!$C$32, $C$9, 100%, $E$9)</f>
        <v>3.8041</v>
      </c>
      <c r="F37" s="33">
        <f>3.5836 * CHOOSE(CONTROL!$C$32, $C$9, 100%, $E$9)</f>
        <v>3.5836000000000001</v>
      </c>
      <c r="G37" s="33">
        <f>3.5872 * CHOOSE(CONTROL!$C$32, $C$9, 100%, $E$9)</f>
        <v>3.5872000000000002</v>
      </c>
      <c r="H37" s="33">
        <f>6.1023 * CHOOSE(CONTROL!$C$32, $C$9, 100%, $E$9)</f>
        <v>6.1022999999999996</v>
      </c>
      <c r="I37" s="33">
        <f>6.1059 * CHOOSE(CONTROL!$C$32, $C$9, 100%, $E$9)</f>
        <v>6.1059000000000001</v>
      </c>
      <c r="J37" s="33">
        <f>6.1023 * CHOOSE(CONTROL!$C$32, $C$9, 100%, $E$9)</f>
        <v>6.1022999999999996</v>
      </c>
      <c r="K37" s="33">
        <f>6.1059 * CHOOSE(CONTROL!$C$32, $C$9, 100%, $E$9)</f>
        <v>6.1059000000000001</v>
      </c>
      <c r="L37" s="33">
        <f>3.8041 * CHOOSE(CONTROL!$C$32, $C$9, 100%, $E$9)</f>
        <v>3.8041</v>
      </c>
      <c r="M37" s="33">
        <f>3.8077 * CHOOSE(CONTROL!$C$32, $C$9, 100%, $E$9)</f>
        <v>3.8077000000000001</v>
      </c>
      <c r="N37" s="33">
        <f>3.8041 * CHOOSE(CONTROL!$C$32, $C$9, 100%, $E$9)</f>
        <v>3.8041</v>
      </c>
      <c r="O37" s="33">
        <f>3.8077 * CHOOSE(CONTROL!$C$32, $C$9, 100%, $E$9)</f>
        <v>3.8077000000000001</v>
      </c>
      <c r="P37" s="10"/>
      <c r="Q37" s="33"/>
      <c r="R37" s="33"/>
    </row>
    <row r="38" spans="1:18" ht="15" x14ac:dyDescent="0.2">
      <c r="A38" s="16">
        <v>42370</v>
      </c>
      <c r="B38" s="32">
        <f>3.2679 * CHOOSE(CONTROL!$C$32, $C$9, 100%, $E$9)</f>
        <v>3.2679</v>
      </c>
      <c r="C38" s="32">
        <f>3.2679 * CHOOSE(CONTROL!$C$32, $C$9, 100%, $E$9)</f>
        <v>3.2679</v>
      </c>
      <c r="D38" s="32">
        <f>3.269 * CHOOSE(CONTROL!$C$32, $C$9, 100%, $E$9)</f>
        <v>3.2690000000000001</v>
      </c>
      <c r="E38" s="33">
        <f>3.9546 * CHOOSE(CONTROL!$C$32, $C$9, 100%, $E$9)</f>
        <v>3.9546000000000001</v>
      </c>
      <c r="F38" s="33">
        <f>3.6856 * CHOOSE(CONTROL!$C$32, $C$9, 100%, $E$9)</f>
        <v>3.6856</v>
      </c>
      <c r="G38" s="33">
        <f>3.6892 * CHOOSE(CONTROL!$C$32, $C$9, 100%, $E$9)</f>
        <v>3.6892</v>
      </c>
      <c r="H38" s="33">
        <f>6.115 * CHOOSE(CONTROL!$C$32, $C$9, 100%, $E$9)</f>
        <v>6.1150000000000002</v>
      </c>
      <c r="I38" s="33">
        <f>6.1186 * CHOOSE(CONTROL!$C$32, $C$9, 100%, $E$9)</f>
        <v>6.1185999999999998</v>
      </c>
      <c r="J38" s="33">
        <f>6.115 * CHOOSE(CONTROL!$C$32, $C$9, 100%, $E$9)</f>
        <v>6.1150000000000002</v>
      </c>
      <c r="K38" s="33">
        <f>6.1186 * CHOOSE(CONTROL!$C$32, $C$9, 100%, $E$9)</f>
        <v>6.1185999999999998</v>
      </c>
      <c r="L38" s="33">
        <f>3.9546 * CHOOSE(CONTROL!$C$32, $C$9, 100%, $E$9)</f>
        <v>3.9546000000000001</v>
      </c>
      <c r="M38" s="33">
        <f>3.9582 * CHOOSE(CONTROL!$C$32, $C$9, 100%, $E$9)</f>
        <v>3.9582000000000002</v>
      </c>
      <c r="N38" s="33">
        <f>3.9546 * CHOOSE(CONTROL!$C$32, $C$9, 100%, $E$9)</f>
        <v>3.9546000000000001</v>
      </c>
      <c r="O38" s="33">
        <f>3.9582 * CHOOSE(CONTROL!$C$32, $C$9, 100%, $E$9)</f>
        <v>3.9582000000000002</v>
      </c>
      <c r="P38" s="10"/>
      <c r="Q38" s="33"/>
      <c r="R38" s="33"/>
    </row>
    <row r="39" spans="1:18" ht="15" x14ac:dyDescent="0.2">
      <c r="A39" s="16">
        <v>42401</v>
      </c>
      <c r="B39" s="32">
        <f>3.2731 * CHOOSE(CONTROL!$C$32, $C$9, 100%, $E$9)</f>
        <v>3.2730999999999999</v>
      </c>
      <c r="C39" s="32">
        <f>3.2731 * CHOOSE(CONTROL!$C$32, $C$9, 100%, $E$9)</f>
        <v>3.2730999999999999</v>
      </c>
      <c r="D39" s="32">
        <f>3.2741 * CHOOSE(CONTROL!$C$32, $C$9, 100%, $E$9)</f>
        <v>3.2740999999999998</v>
      </c>
      <c r="E39" s="33">
        <f>3.8942 * CHOOSE(CONTROL!$C$32, $C$9, 100%, $E$9)</f>
        <v>3.8942000000000001</v>
      </c>
      <c r="F39" s="33">
        <f>3.6856 * CHOOSE(CONTROL!$C$32, $C$9, 100%, $E$9)</f>
        <v>3.6856</v>
      </c>
      <c r="G39" s="33">
        <f>3.6892 * CHOOSE(CONTROL!$C$32, $C$9, 100%, $E$9)</f>
        <v>3.6892</v>
      </c>
      <c r="H39" s="33">
        <f>6.1278 * CHOOSE(CONTROL!$C$32, $C$9, 100%, $E$9)</f>
        <v>6.1277999999999997</v>
      </c>
      <c r="I39" s="33">
        <f>6.1314 * CHOOSE(CONTROL!$C$32, $C$9, 100%, $E$9)</f>
        <v>6.1314000000000002</v>
      </c>
      <c r="J39" s="33">
        <f>6.1278 * CHOOSE(CONTROL!$C$32, $C$9, 100%, $E$9)</f>
        <v>6.1277999999999997</v>
      </c>
      <c r="K39" s="33">
        <f>6.1314 * CHOOSE(CONTROL!$C$32, $C$9, 100%, $E$9)</f>
        <v>6.1314000000000002</v>
      </c>
      <c r="L39" s="33">
        <f>3.8942 * CHOOSE(CONTROL!$C$32, $C$9, 100%, $E$9)</f>
        <v>3.8942000000000001</v>
      </c>
      <c r="M39" s="33">
        <f>3.8978 * CHOOSE(CONTROL!$C$32, $C$9, 100%, $E$9)</f>
        <v>3.8978000000000002</v>
      </c>
      <c r="N39" s="33">
        <f>3.8942 * CHOOSE(CONTROL!$C$32, $C$9, 100%, $E$9)</f>
        <v>3.8942000000000001</v>
      </c>
      <c r="O39" s="33">
        <f>3.8978 * CHOOSE(CONTROL!$C$32, $C$9, 100%, $E$9)</f>
        <v>3.8978000000000002</v>
      </c>
      <c r="P39" s="10"/>
      <c r="Q39" s="33"/>
      <c r="R39" s="33"/>
    </row>
    <row r="40" spans="1:18" ht="15" x14ac:dyDescent="0.2">
      <c r="A40" s="16">
        <v>42430</v>
      </c>
      <c r="B40" s="32">
        <f>3.2698 * CHOOSE(CONTROL!$C$32, $C$9, 100%, $E$9)</f>
        <v>3.2698</v>
      </c>
      <c r="C40" s="32">
        <f>3.2698 * CHOOSE(CONTROL!$C$32, $C$9, 100%, $E$9)</f>
        <v>3.2698</v>
      </c>
      <c r="D40" s="32">
        <f>3.2709 * CHOOSE(CONTROL!$C$32, $C$9, 100%, $E$9)</f>
        <v>3.2709000000000001</v>
      </c>
      <c r="E40" s="33">
        <f>3.8028 * CHOOSE(CONTROL!$C$32, $C$9, 100%, $E$9)</f>
        <v>3.8028</v>
      </c>
      <c r="F40" s="33">
        <f>3.6856 * CHOOSE(CONTROL!$C$32, $C$9, 100%, $E$9)</f>
        <v>3.6856</v>
      </c>
      <c r="G40" s="33">
        <f>3.6892 * CHOOSE(CONTROL!$C$32, $C$9, 100%, $E$9)</f>
        <v>3.6892</v>
      </c>
      <c r="H40" s="33">
        <f>6.1405 * CHOOSE(CONTROL!$C$32, $C$9, 100%, $E$9)</f>
        <v>6.1405000000000003</v>
      </c>
      <c r="I40" s="33">
        <f>6.1441 * CHOOSE(CONTROL!$C$32, $C$9, 100%, $E$9)</f>
        <v>6.1440999999999999</v>
      </c>
      <c r="J40" s="33">
        <f>6.1405 * CHOOSE(CONTROL!$C$32, $C$9, 100%, $E$9)</f>
        <v>6.1405000000000003</v>
      </c>
      <c r="K40" s="33">
        <f>6.1441 * CHOOSE(CONTROL!$C$32, $C$9, 100%, $E$9)</f>
        <v>6.1440999999999999</v>
      </c>
      <c r="L40" s="33">
        <f>3.8028 * CHOOSE(CONTROL!$C$32, $C$9, 100%, $E$9)</f>
        <v>3.8028</v>
      </c>
      <c r="M40" s="33">
        <f>3.8064 * CHOOSE(CONTROL!$C$32, $C$9, 100%, $E$9)</f>
        <v>3.8064</v>
      </c>
      <c r="N40" s="33">
        <f>3.8028 * CHOOSE(CONTROL!$C$32, $C$9, 100%, $E$9)</f>
        <v>3.8028</v>
      </c>
      <c r="O40" s="33">
        <f>3.8064 * CHOOSE(CONTROL!$C$32, $C$9, 100%, $E$9)</f>
        <v>3.8064</v>
      </c>
      <c r="P40" s="10"/>
      <c r="Q40" s="33"/>
      <c r="R40" s="33"/>
    </row>
    <row r="41" spans="1:18" ht="15" x14ac:dyDescent="0.2">
      <c r="A41" s="16">
        <v>42461</v>
      </c>
      <c r="B41" s="32">
        <f>3.2637 * CHOOSE(CONTROL!$C$32, $C$9, 100%, $E$9)</f>
        <v>3.2637</v>
      </c>
      <c r="C41" s="32">
        <f>3.2637 * CHOOSE(CONTROL!$C$32, $C$9, 100%, $E$9)</f>
        <v>3.2637</v>
      </c>
      <c r="D41" s="32">
        <f>3.2648 * CHOOSE(CONTROL!$C$32, $C$9, 100%, $E$9)</f>
        <v>3.2648000000000001</v>
      </c>
      <c r="E41" s="33">
        <f>3.8942 * CHOOSE(CONTROL!$C$32, $C$9, 100%, $E$9)</f>
        <v>3.8942000000000001</v>
      </c>
      <c r="F41" s="33">
        <f>3.6856 * CHOOSE(CONTROL!$C$32, $C$9, 100%, $E$9)</f>
        <v>3.6856</v>
      </c>
      <c r="G41" s="33">
        <f>3.6892 * CHOOSE(CONTROL!$C$32, $C$9, 100%, $E$9)</f>
        <v>3.6892</v>
      </c>
      <c r="H41" s="33">
        <f>6.1533 * CHOOSE(CONTROL!$C$32, $C$9, 100%, $E$9)</f>
        <v>6.1532999999999998</v>
      </c>
      <c r="I41" s="33">
        <f>6.1569 * CHOOSE(CONTROL!$C$32, $C$9, 100%, $E$9)</f>
        <v>6.1569000000000003</v>
      </c>
      <c r="J41" s="33">
        <f>6.1533 * CHOOSE(CONTROL!$C$32, $C$9, 100%, $E$9)</f>
        <v>6.1532999999999998</v>
      </c>
      <c r="K41" s="33">
        <f>6.1569 * CHOOSE(CONTROL!$C$32, $C$9, 100%, $E$9)</f>
        <v>6.1569000000000003</v>
      </c>
      <c r="L41" s="33">
        <f>3.8942 * CHOOSE(CONTROL!$C$32, $C$9, 100%, $E$9)</f>
        <v>3.8942000000000001</v>
      </c>
      <c r="M41" s="33">
        <f>3.8978 * CHOOSE(CONTROL!$C$32, $C$9, 100%, $E$9)</f>
        <v>3.8978000000000002</v>
      </c>
      <c r="N41" s="33">
        <f>3.8942 * CHOOSE(CONTROL!$C$32, $C$9, 100%, $E$9)</f>
        <v>3.8942000000000001</v>
      </c>
      <c r="O41" s="33">
        <f>3.8978 * CHOOSE(CONTROL!$C$32, $C$9, 100%, $E$9)</f>
        <v>3.8978000000000002</v>
      </c>
      <c r="P41" s="10"/>
      <c r="Q41" s="33"/>
      <c r="R41" s="33"/>
    </row>
    <row r="42" spans="1:18" ht="15" x14ac:dyDescent="0.2">
      <c r="A42" s="16">
        <v>42491</v>
      </c>
      <c r="B42" s="32">
        <f>3.2722 * CHOOSE(CONTROL!$C$32, $C$9, 100%, $E$9)</f>
        <v>3.2722000000000002</v>
      </c>
      <c r="C42" s="32">
        <f>3.2722 * CHOOSE(CONTROL!$C$32, $C$9, 100%, $E$9)</f>
        <v>3.2722000000000002</v>
      </c>
      <c r="D42" s="32">
        <f>3.2738 * CHOOSE(CONTROL!$C$32, $C$9, 100%, $E$9)</f>
        <v>3.2738</v>
      </c>
      <c r="E42" s="33">
        <f>3.9546 * CHOOSE(CONTROL!$C$32, $C$9, 100%, $E$9)</f>
        <v>3.9546000000000001</v>
      </c>
      <c r="F42" s="33">
        <f>3.6856 * CHOOSE(CONTROL!$C$32, $C$9, 100%, $E$9)</f>
        <v>3.6856</v>
      </c>
      <c r="G42" s="33">
        <f>3.6909 * CHOOSE(CONTROL!$C$32, $C$9, 100%, $E$9)</f>
        <v>3.6909000000000001</v>
      </c>
      <c r="H42" s="33">
        <f>6.1661 * CHOOSE(CONTROL!$C$32, $C$9, 100%, $E$9)</f>
        <v>6.1661000000000001</v>
      </c>
      <c r="I42" s="33">
        <f>6.1714 * CHOOSE(CONTROL!$C$32, $C$9, 100%, $E$9)</f>
        <v>6.1714000000000002</v>
      </c>
      <c r="J42" s="33">
        <f>6.1661 * CHOOSE(CONTROL!$C$32, $C$9, 100%, $E$9)</f>
        <v>6.1661000000000001</v>
      </c>
      <c r="K42" s="33">
        <f>6.1714 * CHOOSE(CONTROL!$C$32, $C$9, 100%, $E$9)</f>
        <v>6.1714000000000002</v>
      </c>
      <c r="L42" s="33">
        <f>3.9546 * CHOOSE(CONTROL!$C$32, $C$9, 100%, $E$9)</f>
        <v>3.9546000000000001</v>
      </c>
      <c r="M42" s="33">
        <f>3.9599 * CHOOSE(CONTROL!$C$32, $C$9, 100%, $E$9)</f>
        <v>3.9599000000000002</v>
      </c>
      <c r="N42" s="33">
        <f>3.9546 * CHOOSE(CONTROL!$C$32, $C$9, 100%, $E$9)</f>
        <v>3.9546000000000001</v>
      </c>
      <c r="O42" s="33">
        <f>3.9599 * CHOOSE(CONTROL!$C$32, $C$9, 100%, $E$9)</f>
        <v>3.9599000000000002</v>
      </c>
      <c r="P42" s="10"/>
      <c r="Q42" s="33"/>
      <c r="R42" s="33"/>
    </row>
    <row r="43" spans="1:18" ht="15" x14ac:dyDescent="0.2">
      <c r="A43" s="16">
        <v>42522</v>
      </c>
      <c r="B43" s="32">
        <f>3.2786 * CHOOSE(CONTROL!$C$32, $C$9, 100%, $E$9)</f>
        <v>3.2786</v>
      </c>
      <c r="C43" s="32">
        <f>3.2786 * CHOOSE(CONTROL!$C$32, $C$9, 100%, $E$9)</f>
        <v>3.2786</v>
      </c>
      <c r="D43" s="32">
        <f>3.2801 * CHOOSE(CONTROL!$C$32, $C$9, 100%, $E$9)</f>
        <v>3.2801</v>
      </c>
      <c r="E43" s="33">
        <f>3.9458 * CHOOSE(CONTROL!$C$32, $C$9, 100%, $E$9)</f>
        <v>3.9458000000000002</v>
      </c>
      <c r="F43" s="33">
        <f>3.6856 * CHOOSE(CONTROL!$C$32, $C$9, 100%, $E$9)</f>
        <v>3.6856</v>
      </c>
      <c r="G43" s="33">
        <f>3.6909 * CHOOSE(CONTROL!$C$32, $C$9, 100%, $E$9)</f>
        <v>3.6909000000000001</v>
      </c>
      <c r="H43" s="33">
        <f>6.179 * CHOOSE(CONTROL!$C$32, $C$9, 100%, $E$9)</f>
        <v>6.1790000000000003</v>
      </c>
      <c r="I43" s="33">
        <f>6.1843 * CHOOSE(CONTROL!$C$32, $C$9, 100%, $E$9)</f>
        <v>6.1843000000000004</v>
      </c>
      <c r="J43" s="33">
        <f>6.179 * CHOOSE(CONTROL!$C$32, $C$9, 100%, $E$9)</f>
        <v>6.1790000000000003</v>
      </c>
      <c r="K43" s="33">
        <f>6.1843 * CHOOSE(CONTROL!$C$32, $C$9, 100%, $E$9)</f>
        <v>6.1843000000000004</v>
      </c>
      <c r="L43" s="33">
        <f>3.9458 * CHOOSE(CONTROL!$C$32, $C$9, 100%, $E$9)</f>
        <v>3.9458000000000002</v>
      </c>
      <c r="M43" s="33">
        <f>3.9511 * CHOOSE(CONTROL!$C$32, $C$9, 100%, $E$9)</f>
        <v>3.9510999999999998</v>
      </c>
      <c r="N43" s="33">
        <f>3.9458 * CHOOSE(CONTROL!$C$32, $C$9, 100%, $E$9)</f>
        <v>3.9458000000000002</v>
      </c>
      <c r="O43" s="33">
        <f>3.9511 * CHOOSE(CONTROL!$C$32, $C$9, 100%, $E$9)</f>
        <v>3.9510999999999998</v>
      </c>
      <c r="P43" s="10"/>
      <c r="Q43" s="33"/>
      <c r="R43" s="33"/>
    </row>
    <row r="44" spans="1:18" ht="15" x14ac:dyDescent="0.2">
      <c r="A44" s="16">
        <v>42552</v>
      </c>
      <c r="B44" s="32">
        <f>3.2759 * CHOOSE(CONTROL!$C$32, $C$9, 100%, $E$9)</f>
        <v>3.2759</v>
      </c>
      <c r="C44" s="32">
        <f>3.2759 * CHOOSE(CONTROL!$C$32, $C$9, 100%, $E$9)</f>
        <v>3.2759</v>
      </c>
      <c r="D44" s="32">
        <f>3.2774 * CHOOSE(CONTROL!$C$32, $C$9, 100%, $E$9)</f>
        <v>3.2774000000000001</v>
      </c>
      <c r="E44" s="33">
        <f>3.9546 * CHOOSE(CONTROL!$C$32, $C$9, 100%, $E$9)</f>
        <v>3.9546000000000001</v>
      </c>
      <c r="F44" s="33">
        <f>3.6856 * CHOOSE(CONTROL!$C$32, $C$9, 100%, $E$9)</f>
        <v>3.6856</v>
      </c>
      <c r="G44" s="33">
        <f>3.6909 * CHOOSE(CONTROL!$C$32, $C$9, 100%, $E$9)</f>
        <v>3.6909000000000001</v>
      </c>
      <c r="H44" s="33">
        <f>6.1919 * CHOOSE(CONTROL!$C$32, $C$9, 100%, $E$9)</f>
        <v>6.1919000000000004</v>
      </c>
      <c r="I44" s="33">
        <f>6.1972 * CHOOSE(CONTROL!$C$32, $C$9, 100%, $E$9)</f>
        <v>6.1971999999999996</v>
      </c>
      <c r="J44" s="33">
        <f>6.1919 * CHOOSE(CONTROL!$C$32, $C$9, 100%, $E$9)</f>
        <v>6.1919000000000004</v>
      </c>
      <c r="K44" s="33">
        <f>6.1972 * CHOOSE(CONTROL!$C$32, $C$9, 100%, $E$9)</f>
        <v>6.1971999999999996</v>
      </c>
      <c r="L44" s="33">
        <f>3.9546 * CHOOSE(CONTROL!$C$32, $C$9, 100%, $E$9)</f>
        <v>3.9546000000000001</v>
      </c>
      <c r="M44" s="33">
        <f>3.9599 * CHOOSE(CONTROL!$C$32, $C$9, 100%, $E$9)</f>
        <v>3.9599000000000002</v>
      </c>
      <c r="N44" s="33">
        <f>3.9546 * CHOOSE(CONTROL!$C$32, $C$9, 100%, $E$9)</f>
        <v>3.9546000000000001</v>
      </c>
      <c r="O44" s="33">
        <f>3.9599 * CHOOSE(CONTROL!$C$32, $C$9, 100%, $E$9)</f>
        <v>3.9599000000000002</v>
      </c>
      <c r="P44" s="10"/>
      <c r="Q44" s="10"/>
      <c r="R44" s="10"/>
    </row>
    <row r="45" spans="1:18" ht="15" x14ac:dyDescent="0.2">
      <c r="A45" s="16">
        <v>42583</v>
      </c>
      <c r="B45" s="32">
        <f>3.2911 * CHOOSE(CONTROL!$C$32, $C$9, 100%, $E$9)</f>
        <v>3.2911000000000001</v>
      </c>
      <c r="C45" s="32">
        <f>3.2911 * CHOOSE(CONTROL!$C$32, $C$9, 100%, $E$9)</f>
        <v>3.2911000000000001</v>
      </c>
      <c r="D45" s="32">
        <f>3.2926 * CHOOSE(CONTROL!$C$32, $C$9, 100%, $E$9)</f>
        <v>3.2926000000000002</v>
      </c>
      <c r="E45" s="33">
        <f>3.9996 * CHOOSE(CONTROL!$C$32, $C$9, 100%, $E$9)</f>
        <v>3.9996</v>
      </c>
      <c r="F45" s="33">
        <f>3.6856 * CHOOSE(CONTROL!$C$32, $C$9, 100%, $E$9)</f>
        <v>3.6856</v>
      </c>
      <c r="G45" s="33">
        <f>3.6909 * CHOOSE(CONTROL!$C$32, $C$9, 100%, $E$9)</f>
        <v>3.6909000000000001</v>
      </c>
      <c r="H45" s="33">
        <f>6.2048 * CHOOSE(CONTROL!$C$32, $C$9, 100%, $E$9)</f>
        <v>6.2047999999999996</v>
      </c>
      <c r="I45" s="33">
        <f>6.2101 * CHOOSE(CONTROL!$C$32, $C$9, 100%, $E$9)</f>
        <v>6.2100999999999997</v>
      </c>
      <c r="J45" s="33">
        <f>6.2048 * CHOOSE(CONTROL!$C$32, $C$9, 100%, $E$9)</f>
        <v>6.2047999999999996</v>
      </c>
      <c r="K45" s="33">
        <f>6.2101 * CHOOSE(CONTROL!$C$32, $C$9, 100%, $E$9)</f>
        <v>6.2100999999999997</v>
      </c>
      <c r="L45" s="33">
        <f>3.9996 * CHOOSE(CONTROL!$C$32, $C$9, 100%, $E$9)</f>
        <v>3.9996</v>
      </c>
      <c r="M45" s="33">
        <f>4.0049 * CHOOSE(CONTROL!$C$32, $C$9, 100%, $E$9)</f>
        <v>4.0049000000000001</v>
      </c>
      <c r="N45" s="33">
        <f>3.9996 * CHOOSE(CONTROL!$C$32, $C$9, 100%, $E$9)</f>
        <v>3.9996</v>
      </c>
      <c r="O45" s="33">
        <f>4.0049 * CHOOSE(CONTROL!$C$32, $C$9, 100%, $E$9)</f>
        <v>4.0049000000000001</v>
      </c>
      <c r="P45" s="10"/>
      <c r="Q45" s="10"/>
      <c r="R45" s="10"/>
    </row>
    <row r="46" spans="1:18" ht="15" x14ac:dyDescent="0.2">
      <c r="A46" s="16">
        <v>42614</v>
      </c>
      <c r="B46" s="32">
        <f>3.2883 * CHOOSE(CONTROL!$C$32, $C$9, 100%, $E$9)</f>
        <v>3.2883</v>
      </c>
      <c r="C46" s="32">
        <f>3.2883 * CHOOSE(CONTROL!$C$32, $C$9, 100%, $E$9)</f>
        <v>3.2883</v>
      </c>
      <c r="D46" s="32">
        <f>3.2898 * CHOOSE(CONTROL!$C$32, $C$9, 100%, $E$9)</f>
        <v>3.2898000000000001</v>
      </c>
      <c r="E46" s="33">
        <f>3.9458 * CHOOSE(CONTROL!$C$32, $C$9, 100%, $E$9)</f>
        <v>3.9458000000000002</v>
      </c>
      <c r="F46" s="33">
        <f>3.6856 * CHOOSE(CONTROL!$C$32, $C$9, 100%, $E$9)</f>
        <v>3.6856</v>
      </c>
      <c r="G46" s="33">
        <f>3.6909 * CHOOSE(CONTROL!$C$32, $C$9, 100%, $E$9)</f>
        <v>3.6909000000000001</v>
      </c>
      <c r="H46" s="33">
        <f>6.2177 * CHOOSE(CONTROL!$C$32, $C$9, 100%, $E$9)</f>
        <v>6.2176999999999998</v>
      </c>
      <c r="I46" s="33">
        <f>6.223 * CHOOSE(CONTROL!$C$32, $C$9, 100%, $E$9)</f>
        <v>6.2229999999999999</v>
      </c>
      <c r="J46" s="33">
        <f>6.2177 * CHOOSE(CONTROL!$C$32, $C$9, 100%, $E$9)</f>
        <v>6.2176999999999998</v>
      </c>
      <c r="K46" s="33">
        <f>6.223 * CHOOSE(CONTROL!$C$32, $C$9, 100%, $E$9)</f>
        <v>6.2229999999999999</v>
      </c>
      <c r="L46" s="33">
        <f>3.9458 * CHOOSE(CONTROL!$C$32, $C$9, 100%, $E$9)</f>
        <v>3.9458000000000002</v>
      </c>
      <c r="M46" s="33">
        <f>3.9511 * CHOOSE(CONTROL!$C$32, $C$9, 100%, $E$9)</f>
        <v>3.9510999999999998</v>
      </c>
      <c r="N46" s="33">
        <f>3.9458 * CHOOSE(CONTROL!$C$32, $C$9, 100%, $E$9)</f>
        <v>3.9458000000000002</v>
      </c>
      <c r="O46" s="33">
        <f>3.9511 * CHOOSE(CONTROL!$C$32, $C$9, 100%, $E$9)</f>
        <v>3.9510999999999998</v>
      </c>
      <c r="P46" s="10"/>
      <c r="Q46" s="10"/>
      <c r="R46" s="10"/>
    </row>
    <row r="47" spans="1:18" ht="15" x14ac:dyDescent="0.2">
      <c r="A47" s="16">
        <v>42644</v>
      </c>
      <c r="B47" s="32">
        <f>3.269 * CHOOSE(CONTROL!$C$32, $C$9, 100%, $E$9)</f>
        <v>3.2690000000000001</v>
      </c>
      <c r="C47" s="32">
        <f>3.269 * CHOOSE(CONTROL!$C$32, $C$9, 100%, $E$9)</f>
        <v>3.2690000000000001</v>
      </c>
      <c r="D47" s="32">
        <f>3.2701 * CHOOSE(CONTROL!$C$32, $C$9, 100%, $E$9)</f>
        <v>3.2700999999999998</v>
      </c>
      <c r="E47" s="33">
        <f>4.0035 * CHOOSE(CONTROL!$C$32, $C$9, 100%, $E$9)</f>
        <v>4.0034999999999998</v>
      </c>
      <c r="F47" s="33">
        <f>3.6856 * CHOOSE(CONTROL!$C$32, $C$9, 100%, $E$9)</f>
        <v>3.6856</v>
      </c>
      <c r="G47" s="33">
        <f>3.6892 * CHOOSE(CONTROL!$C$32, $C$9, 100%, $E$9)</f>
        <v>3.6892</v>
      </c>
      <c r="H47" s="33">
        <f>6.2306 * CHOOSE(CONTROL!$C$32, $C$9, 100%, $E$9)</f>
        <v>6.2305999999999999</v>
      </c>
      <c r="I47" s="33">
        <f>6.2343 * CHOOSE(CONTROL!$C$32, $C$9, 100%, $E$9)</f>
        <v>6.2343000000000002</v>
      </c>
      <c r="J47" s="33">
        <f>6.2306 * CHOOSE(CONTROL!$C$32, $C$9, 100%, $E$9)</f>
        <v>6.2305999999999999</v>
      </c>
      <c r="K47" s="33">
        <f>6.2343 * CHOOSE(CONTROL!$C$32, $C$9, 100%, $E$9)</f>
        <v>6.2343000000000002</v>
      </c>
      <c r="L47" s="33">
        <f>4.0035 * CHOOSE(CONTROL!$C$32, $C$9, 100%, $E$9)</f>
        <v>4.0034999999999998</v>
      </c>
      <c r="M47" s="33">
        <f>4.0071 * CHOOSE(CONTROL!$C$32, $C$9, 100%, $E$9)</f>
        <v>4.0071000000000003</v>
      </c>
      <c r="N47" s="33">
        <f>4.0035 * CHOOSE(CONTROL!$C$32, $C$9, 100%, $E$9)</f>
        <v>4.0034999999999998</v>
      </c>
      <c r="O47" s="33">
        <f>4.0071 * CHOOSE(CONTROL!$C$32, $C$9, 100%, $E$9)</f>
        <v>4.0071000000000003</v>
      </c>
      <c r="P47" s="10"/>
      <c r="Q47" s="10"/>
      <c r="R47" s="10"/>
    </row>
    <row r="48" spans="1:18" ht="15" x14ac:dyDescent="0.2">
      <c r="A48" s="16">
        <v>42675</v>
      </c>
      <c r="B48" s="32">
        <f>3.2806 * CHOOSE(CONTROL!$C$32, $C$9, 100%, $E$9)</f>
        <v>3.2806000000000002</v>
      </c>
      <c r="C48" s="32">
        <f>3.2806 * CHOOSE(CONTROL!$C$32, $C$9, 100%, $E$9)</f>
        <v>3.2806000000000002</v>
      </c>
      <c r="D48" s="32">
        <f>3.2817 * CHOOSE(CONTROL!$C$32, $C$9, 100%, $E$9)</f>
        <v>3.2816999999999998</v>
      </c>
      <c r="E48" s="33">
        <f>3.9579 * CHOOSE(CONTROL!$C$32, $C$9, 100%, $E$9)</f>
        <v>3.9579</v>
      </c>
      <c r="F48" s="33">
        <f>3.6856 * CHOOSE(CONTROL!$C$32, $C$9, 100%, $E$9)</f>
        <v>3.6856</v>
      </c>
      <c r="G48" s="33">
        <f>3.6892 * CHOOSE(CONTROL!$C$32, $C$9, 100%, $E$9)</f>
        <v>3.6892</v>
      </c>
      <c r="H48" s="33">
        <f>6.2436 * CHOOSE(CONTROL!$C$32, $C$9, 100%, $E$9)</f>
        <v>6.2435999999999998</v>
      </c>
      <c r="I48" s="33">
        <f>6.2472 * CHOOSE(CONTROL!$C$32, $C$9, 100%, $E$9)</f>
        <v>6.2472000000000003</v>
      </c>
      <c r="J48" s="33">
        <f>6.2436 * CHOOSE(CONTROL!$C$32, $C$9, 100%, $E$9)</f>
        <v>6.2435999999999998</v>
      </c>
      <c r="K48" s="33">
        <f>6.2472 * CHOOSE(CONTROL!$C$32, $C$9, 100%, $E$9)</f>
        <v>6.2472000000000003</v>
      </c>
      <c r="L48" s="33">
        <f>3.9579 * CHOOSE(CONTROL!$C$32, $C$9, 100%, $E$9)</f>
        <v>3.9579</v>
      </c>
      <c r="M48" s="33">
        <f>3.9615 * CHOOSE(CONTROL!$C$32, $C$9, 100%, $E$9)</f>
        <v>3.9615</v>
      </c>
      <c r="N48" s="33">
        <f>3.9579 * CHOOSE(CONTROL!$C$32, $C$9, 100%, $E$9)</f>
        <v>3.9579</v>
      </c>
      <c r="O48" s="33">
        <f>3.9615 * CHOOSE(CONTROL!$C$32, $C$9, 100%, $E$9)</f>
        <v>3.9615</v>
      </c>
      <c r="P48" s="10"/>
      <c r="Q48" s="10"/>
      <c r="R48" s="10"/>
    </row>
    <row r="49" spans="1:18" ht="15" x14ac:dyDescent="0.2">
      <c r="A49" s="16">
        <v>42705</v>
      </c>
      <c r="B49" s="32">
        <f>3.2808 * CHOOSE(CONTROL!$C$32, $C$9, 100%, $E$9)</f>
        <v>3.2808000000000002</v>
      </c>
      <c r="C49" s="32">
        <f>3.2808 * CHOOSE(CONTROL!$C$32, $C$9, 100%, $E$9)</f>
        <v>3.2808000000000002</v>
      </c>
      <c r="D49" s="32">
        <f>3.2819 * CHOOSE(CONTROL!$C$32, $C$9, 100%, $E$9)</f>
        <v>3.2818999999999998</v>
      </c>
      <c r="E49" s="33">
        <f>3.8968 * CHOOSE(CONTROL!$C$32, $C$9, 100%, $E$9)</f>
        <v>3.8967999999999998</v>
      </c>
      <c r="F49" s="33">
        <f>3.6856 * CHOOSE(CONTROL!$C$32, $C$9, 100%, $E$9)</f>
        <v>3.6856</v>
      </c>
      <c r="G49" s="33">
        <f>3.6892 * CHOOSE(CONTROL!$C$32, $C$9, 100%, $E$9)</f>
        <v>3.6892</v>
      </c>
      <c r="H49" s="33">
        <f>6.2566 * CHOOSE(CONTROL!$C$32, $C$9, 100%, $E$9)</f>
        <v>6.2565999999999997</v>
      </c>
      <c r="I49" s="33">
        <f>6.2602 * CHOOSE(CONTROL!$C$32, $C$9, 100%, $E$9)</f>
        <v>6.2602000000000002</v>
      </c>
      <c r="J49" s="33">
        <f>6.2566 * CHOOSE(CONTROL!$C$32, $C$9, 100%, $E$9)</f>
        <v>6.2565999999999997</v>
      </c>
      <c r="K49" s="33">
        <f>6.2602 * CHOOSE(CONTROL!$C$32, $C$9, 100%, $E$9)</f>
        <v>6.2602000000000002</v>
      </c>
      <c r="L49" s="33">
        <f>3.8968 * CHOOSE(CONTROL!$C$32, $C$9, 100%, $E$9)</f>
        <v>3.8967999999999998</v>
      </c>
      <c r="M49" s="33">
        <f>3.9004 * CHOOSE(CONTROL!$C$32, $C$9, 100%, $E$9)</f>
        <v>3.9003999999999999</v>
      </c>
      <c r="N49" s="33">
        <f>3.8968 * CHOOSE(CONTROL!$C$32, $C$9, 100%, $E$9)</f>
        <v>3.8967999999999998</v>
      </c>
      <c r="O49" s="33">
        <f>3.9004 * CHOOSE(CONTROL!$C$32, $C$9, 100%, $E$9)</f>
        <v>3.9003999999999999</v>
      </c>
      <c r="P49" s="10"/>
      <c r="Q49" s="10"/>
      <c r="R49" s="10"/>
    </row>
    <row r="50" spans="1:18" ht="15" x14ac:dyDescent="0.2">
      <c r="A50" s="16">
        <v>42736</v>
      </c>
      <c r="B50" s="32">
        <f>3.2762 * CHOOSE(CONTROL!$C$32, $C$9, 100%, $E$9)</f>
        <v>3.2761999999999998</v>
      </c>
      <c r="C50" s="32">
        <f>3.2762 * CHOOSE(CONTROL!$C$32, $C$9, 100%, $E$9)</f>
        <v>3.2761999999999998</v>
      </c>
      <c r="D50" s="32">
        <f>3.2773 * CHOOSE(CONTROL!$C$32, $C$9, 100%, $E$9)</f>
        <v>3.2772999999999999</v>
      </c>
      <c r="E50" s="33">
        <f>3.8371 * CHOOSE(CONTROL!$C$32, $C$9, 100%, $E$9)</f>
        <v>3.8371</v>
      </c>
      <c r="F50" s="33">
        <f>3.8371 * CHOOSE(CONTROL!$C$32, $C$9, 100%, $E$9)</f>
        <v>3.8371</v>
      </c>
      <c r="G50" s="33">
        <f>3.8407 * CHOOSE(CONTROL!$C$32, $C$9, 100%, $E$9)</f>
        <v>3.8407</v>
      </c>
      <c r="H50" s="33">
        <f>6.2697 * CHOOSE(CONTROL!$C$32, $C$9, 100%, $E$9)</f>
        <v>6.2697000000000003</v>
      </c>
      <c r="I50" s="33">
        <f>6.2733 * CHOOSE(CONTROL!$C$32, $C$9, 100%, $E$9)</f>
        <v>6.2732999999999999</v>
      </c>
      <c r="J50" s="33">
        <f>6.2697 * CHOOSE(CONTROL!$C$32, $C$9, 100%, $E$9)</f>
        <v>6.2697000000000003</v>
      </c>
      <c r="K50" s="33">
        <f>6.2733 * CHOOSE(CONTROL!$C$32, $C$9, 100%, $E$9)</f>
        <v>6.2732999999999999</v>
      </c>
      <c r="L50" s="33">
        <f>3.8371 * CHOOSE(CONTROL!$C$32, $C$9, 100%, $E$9)</f>
        <v>3.8371</v>
      </c>
      <c r="M50" s="33">
        <f>3.8407 * CHOOSE(CONTROL!$C$32, $C$9, 100%, $E$9)</f>
        <v>3.8407</v>
      </c>
      <c r="N50" s="33">
        <f>3.8371 * CHOOSE(CONTROL!$C$32, $C$9, 100%, $E$9)</f>
        <v>3.8371</v>
      </c>
      <c r="O50" s="33">
        <f>3.8407 * CHOOSE(CONTROL!$C$32, $C$9, 100%, $E$9)</f>
        <v>3.8407</v>
      </c>
      <c r="P50" s="10"/>
      <c r="Q50" s="10"/>
      <c r="R50" s="10"/>
    </row>
    <row r="51" spans="1:18" ht="15" x14ac:dyDescent="0.2">
      <c r="A51" s="16">
        <v>42767</v>
      </c>
      <c r="B51" s="32">
        <f>3.2814 * CHOOSE(CONTROL!$C$32, $C$9, 100%, $E$9)</f>
        <v>3.2814000000000001</v>
      </c>
      <c r="C51" s="32">
        <f>3.2814 * CHOOSE(CONTROL!$C$32, $C$9, 100%, $E$9)</f>
        <v>3.2814000000000001</v>
      </c>
      <c r="D51" s="32">
        <f>3.2825 * CHOOSE(CONTROL!$C$32, $C$9, 100%, $E$9)</f>
        <v>3.2825000000000002</v>
      </c>
      <c r="E51" s="33">
        <f>3.8351 * CHOOSE(CONTROL!$C$32, $C$9, 100%, $E$9)</f>
        <v>3.8351000000000002</v>
      </c>
      <c r="F51" s="33">
        <f>3.8351 * CHOOSE(CONTROL!$C$32, $C$9, 100%, $E$9)</f>
        <v>3.8351000000000002</v>
      </c>
      <c r="G51" s="33">
        <f>3.8387 * CHOOSE(CONTROL!$C$32, $C$9, 100%, $E$9)</f>
        <v>3.8386999999999998</v>
      </c>
      <c r="H51" s="33">
        <f>6.2827 * CHOOSE(CONTROL!$C$32, $C$9, 100%, $E$9)</f>
        <v>6.2827000000000002</v>
      </c>
      <c r="I51" s="33">
        <f>6.2863 * CHOOSE(CONTROL!$C$32, $C$9, 100%, $E$9)</f>
        <v>6.2862999999999998</v>
      </c>
      <c r="J51" s="33">
        <f>6.2827 * CHOOSE(CONTROL!$C$32, $C$9, 100%, $E$9)</f>
        <v>6.2827000000000002</v>
      </c>
      <c r="K51" s="33">
        <f>6.2863 * CHOOSE(CONTROL!$C$32, $C$9, 100%, $E$9)</f>
        <v>6.2862999999999998</v>
      </c>
      <c r="L51" s="33">
        <f>3.8351 * CHOOSE(CONTROL!$C$32, $C$9, 100%, $E$9)</f>
        <v>3.8351000000000002</v>
      </c>
      <c r="M51" s="33">
        <f>3.8387 * CHOOSE(CONTROL!$C$32, $C$9, 100%, $E$9)</f>
        <v>3.8386999999999998</v>
      </c>
      <c r="N51" s="33">
        <f>3.8351 * CHOOSE(CONTROL!$C$32, $C$9, 100%, $E$9)</f>
        <v>3.8351000000000002</v>
      </c>
      <c r="O51" s="33">
        <f>3.8387 * CHOOSE(CONTROL!$C$32, $C$9, 100%, $E$9)</f>
        <v>3.8386999999999998</v>
      </c>
      <c r="P51" s="10"/>
      <c r="Q51" s="10"/>
      <c r="R51" s="10"/>
    </row>
    <row r="52" spans="1:18" ht="15" x14ac:dyDescent="0.2">
      <c r="A52" s="16">
        <v>42795</v>
      </c>
      <c r="B52" s="32">
        <f>3.2785 * CHOOSE(CONTROL!$C$32, $C$9, 100%, $E$9)</f>
        <v>3.2785000000000002</v>
      </c>
      <c r="C52" s="32">
        <f>3.2785 * CHOOSE(CONTROL!$C$32, $C$9, 100%, $E$9)</f>
        <v>3.2785000000000002</v>
      </c>
      <c r="D52" s="32">
        <f>3.2796 * CHOOSE(CONTROL!$C$32, $C$9, 100%, $E$9)</f>
        <v>3.2795999999999998</v>
      </c>
      <c r="E52" s="33">
        <f>3.8331 * CHOOSE(CONTROL!$C$32, $C$9, 100%, $E$9)</f>
        <v>3.8331</v>
      </c>
      <c r="F52" s="33">
        <f>3.8331 * CHOOSE(CONTROL!$C$32, $C$9, 100%, $E$9)</f>
        <v>3.8331</v>
      </c>
      <c r="G52" s="33">
        <f>3.8367 * CHOOSE(CONTROL!$C$32, $C$9, 100%, $E$9)</f>
        <v>3.8367</v>
      </c>
      <c r="H52" s="33">
        <f>6.2958 * CHOOSE(CONTROL!$C$32, $C$9, 100%, $E$9)</f>
        <v>6.2957999999999998</v>
      </c>
      <c r="I52" s="33">
        <f>6.2994 * CHOOSE(CONTROL!$C$32, $C$9, 100%, $E$9)</f>
        <v>6.2994000000000003</v>
      </c>
      <c r="J52" s="33">
        <f>6.2958 * CHOOSE(CONTROL!$C$32, $C$9, 100%, $E$9)</f>
        <v>6.2957999999999998</v>
      </c>
      <c r="K52" s="33">
        <f>6.2994 * CHOOSE(CONTROL!$C$32, $C$9, 100%, $E$9)</f>
        <v>6.2994000000000003</v>
      </c>
      <c r="L52" s="33">
        <f>3.8331 * CHOOSE(CONTROL!$C$32, $C$9, 100%, $E$9)</f>
        <v>3.8331</v>
      </c>
      <c r="M52" s="33">
        <f>3.8367 * CHOOSE(CONTROL!$C$32, $C$9, 100%, $E$9)</f>
        <v>3.8367</v>
      </c>
      <c r="N52" s="33">
        <f>3.8331 * CHOOSE(CONTROL!$C$32, $C$9, 100%, $E$9)</f>
        <v>3.8331</v>
      </c>
      <c r="O52" s="33">
        <f>3.8367 * CHOOSE(CONTROL!$C$32, $C$9, 100%, $E$9)</f>
        <v>3.8367</v>
      </c>
      <c r="P52" s="10"/>
      <c r="Q52" s="10"/>
      <c r="R52" s="10"/>
    </row>
    <row r="53" spans="1:18" ht="15" x14ac:dyDescent="0.2">
      <c r="A53" s="16">
        <v>42826</v>
      </c>
      <c r="B53" s="32">
        <f>3.2725 * CHOOSE(CONTROL!$C$32, $C$9, 100%, $E$9)</f>
        <v>3.2725</v>
      </c>
      <c r="C53" s="32">
        <f>3.2725 * CHOOSE(CONTROL!$C$32, $C$9, 100%, $E$9)</f>
        <v>3.2725</v>
      </c>
      <c r="D53" s="32">
        <f>3.2735 * CHOOSE(CONTROL!$C$32, $C$9, 100%, $E$9)</f>
        <v>3.2734999999999999</v>
      </c>
      <c r="E53" s="33">
        <f>3.8305 * CHOOSE(CONTROL!$C$32, $C$9, 100%, $E$9)</f>
        <v>3.8304999999999998</v>
      </c>
      <c r="F53" s="33">
        <f>3.8305 * CHOOSE(CONTROL!$C$32, $C$9, 100%, $E$9)</f>
        <v>3.8304999999999998</v>
      </c>
      <c r="G53" s="33">
        <f>3.8342 * CHOOSE(CONTROL!$C$32, $C$9, 100%, $E$9)</f>
        <v>3.8342000000000001</v>
      </c>
      <c r="H53" s="33">
        <f>6.3089 * CHOOSE(CONTROL!$C$32, $C$9, 100%, $E$9)</f>
        <v>6.3089000000000004</v>
      </c>
      <c r="I53" s="33">
        <f>6.3125 * CHOOSE(CONTROL!$C$32, $C$9, 100%, $E$9)</f>
        <v>6.3125</v>
      </c>
      <c r="J53" s="33">
        <f>6.3089 * CHOOSE(CONTROL!$C$32, $C$9, 100%, $E$9)</f>
        <v>6.3089000000000004</v>
      </c>
      <c r="K53" s="33">
        <f>6.3125 * CHOOSE(CONTROL!$C$32, $C$9, 100%, $E$9)</f>
        <v>6.3125</v>
      </c>
      <c r="L53" s="33">
        <f>3.8305 * CHOOSE(CONTROL!$C$32, $C$9, 100%, $E$9)</f>
        <v>3.8304999999999998</v>
      </c>
      <c r="M53" s="33">
        <f>3.8342 * CHOOSE(CONTROL!$C$32, $C$9, 100%, $E$9)</f>
        <v>3.8342000000000001</v>
      </c>
      <c r="N53" s="33">
        <f>3.8305 * CHOOSE(CONTROL!$C$32, $C$9, 100%, $E$9)</f>
        <v>3.8304999999999998</v>
      </c>
      <c r="O53" s="33">
        <f>3.8342 * CHOOSE(CONTROL!$C$32, $C$9, 100%, $E$9)</f>
        <v>3.8342000000000001</v>
      </c>
      <c r="P53" s="10"/>
      <c r="Q53" s="10"/>
      <c r="R53" s="10"/>
    </row>
    <row r="54" spans="1:18" ht="15" x14ac:dyDescent="0.2">
      <c r="A54" s="16">
        <v>42856</v>
      </c>
      <c r="B54" s="32">
        <f>3.2809 * CHOOSE(CONTROL!$C$32, $C$9, 100%, $E$9)</f>
        <v>3.2808999999999999</v>
      </c>
      <c r="C54" s="32">
        <f>3.2809 * CHOOSE(CONTROL!$C$32, $C$9, 100%, $E$9)</f>
        <v>3.2808999999999999</v>
      </c>
      <c r="D54" s="32">
        <f>3.2825 * CHOOSE(CONTROL!$C$32, $C$9, 100%, $E$9)</f>
        <v>3.2825000000000002</v>
      </c>
      <c r="E54" s="33">
        <f>3.8305 * CHOOSE(CONTROL!$C$32, $C$9, 100%, $E$9)</f>
        <v>3.8304999999999998</v>
      </c>
      <c r="F54" s="33">
        <f>3.8305 * CHOOSE(CONTROL!$C$32, $C$9, 100%, $E$9)</f>
        <v>3.8304999999999998</v>
      </c>
      <c r="G54" s="33">
        <f>3.8358 * CHOOSE(CONTROL!$C$32, $C$9, 100%, $E$9)</f>
        <v>3.8357999999999999</v>
      </c>
      <c r="H54" s="33">
        <f>6.3221 * CHOOSE(CONTROL!$C$32, $C$9, 100%, $E$9)</f>
        <v>6.3220999999999998</v>
      </c>
      <c r="I54" s="33">
        <f>6.3274 * CHOOSE(CONTROL!$C$32, $C$9, 100%, $E$9)</f>
        <v>6.3273999999999999</v>
      </c>
      <c r="J54" s="33">
        <f>6.3221 * CHOOSE(CONTROL!$C$32, $C$9, 100%, $E$9)</f>
        <v>6.3220999999999998</v>
      </c>
      <c r="K54" s="33">
        <f>6.3274 * CHOOSE(CONTROL!$C$32, $C$9, 100%, $E$9)</f>
        <v>6.3273999999999999</v>
      </c>
      <c r="L54" s="33">
        <f>3.8305 * CHOOSE(CONTROL!$C$32, $C$9, 100%, $E$9)</f>
        <v>3.8304999999999998</v>
      </c>
      <c r="M54" s="33">
        <f>3.8358 * CHOOSE(CONTROL!$C$32, $C$9, 100%, $E$9)</f>
        <v>3.8357999999999999</v>
      </c>
      <c r="N54" s="33">
        <f>3.8305 * CHOOSE(CONTROL!$C$32, $C$9, 100%, $E$9)</f>
        <v>3.8304999999999998</v>
      </c>
      <c r="O54" s="33">
        <f>3.8358 * CHOOSE(CONTROL!$C$32, $C$9, 100%, $E$9)</f>
        <v>3.8357999999999999</v>
      </c>
      <c r="P54" s="10"/>
      <c r="Q54" s="10"/>
      <c r="R54" s="10"/>
    </row>
    <row r="55" spans="1:18" ht="15" x14ac:dyDescent="0.2">
      <c r="A55" s="16">
        <v>42887</v>
      </c>
      <c r="B55" s="32">
        <f>3.2871 * CHOOSE(CONTROL!$C$32, $C$9, 100%, $E$9)</f>
        <v>3.2871000000000001</v>
      </c>
      <c r="C55" s="32">
        <f>3.2871 * CHOOSE(CONTROL!$C$32, $C$9, 100%, $E$9)</f>
        <v>3.2871000000000001</v>
      </c>
      <c r="D55" s="32">
        <f>3.2887 * CHOOSE(CONTROL!$C$32, $C$9, 100%, $E$9)</f>
        <v>3.2887</v>
      </c>
      <c r="E55" s="33">
        <f>3.8345 * CHOOSE(CONTROL!$C$32, $C$9, 100%, $E$9)</f>
        <v>3.8344999999999998</v>
      </c>
      <c r="F55" s="33">
        <f>3.8345 * CHOOSE(CONTROL!$C$32, $C$9, 100%, $E$9)</f>
        <v>3.8344999999999998</v>
      </c>
      <c r="G55" s="33">
        <f>3.8398 * CHOOSE(CONTROL!$C$32, $C$9, 100%, $E$9)</f>
        <v>3.8397999999999999</v>
      </c>
      <c r="H55" s="33">
        <f>6.3352 * CHOOSE(CONTROL!$C$32, $C$9, 100%, $E$9)</f>
        <v>6.3352000000000004</v>
      </c>
      <c r="I55" s="33">
        <f>6.3405 * CHOOSE(CONTROL!$C$32, $C$9, 100%, $E$9)</f>
        <v>6.3404999999999996</v>
      </c>
      <c r="J55" s="33">
        <f>6.3352 * CHOOSE(CONTROL!$C$32, $C$9, 100%, $E$9)</f>
        <v>6.3352000000000004</v>
      </c>
      <c r="K55" s="33">
        <f>6.3405 * CHOOSE(CONTROL!$C$32, $C$9, 100%, $E$9)</f>
        <v>6.3404999999999996</v>
      </c>
      <c r="L55" s="33">
        <f>3.8345 * CHOOSE(CONTROL!$C$32, $C$9, 100%, $E$9)</f>
        <v>3.8344999999999998</v>
      </c>
      <c r="M55" s="33">
        <f>3.8398 * CHOOSE(CONTROL!$C$32, $C$9, 100%, $E$9)</f>
        <v>3.8397999999999999</v>
      </c>
      <c r="N55" s="33">
        <f>3.8345 * CHOOSE(CONTROL!$C$32, $C$9, 100%, $E$9)</f>
        <v>3.8344999999999998</v>
      </c>
      <c r="O55" s="33">
        <f>3.8398 * CHOOSE(CONTROL!$C$32, $C$9, 100%, $E$9)</f>
        <v>3.8397999999999999</v>
      </c>
      <c r="P55" s="10"/>
      <c r="Q55" s="10"/>
      <c r="R55" s="10"/>
    </row>
    <row r="56" spans="1:18" ht="15" x14ac:dyDescent="0.2">
      <c r="A56" s="16">
        <v>42917</v>
      </c>
      <c r="B56" s="32">
        <f>3.3418 * CHOOSE(CONTROL!$C$32, $C$9, 100%, $E$9)</f>
        <v>3.3418000000000001</v>
      </c>
      <c r="C56" s="32">
        <f>3.3418 * CHOOSE(CONTROL!$C$32, $C$9, 100%, $E$9)</f>
        <v>3.3418000000000001</v>
      </c>
      <c r="D56" s="32">
        <f>3.3434 * CHOOSE(CONTROL!$C$32, $C$9, 100%, $E$9)</f>
        <v>3.3433999999999999</v>
      </c>
      <c r="E56" s="33">
        <f>3.9255 * CHOOSE(CONTROL!$C$32, $C$9, 100%, $E$9)</f>
        <v>3.9255</v>
      </c>
      <c r="F56" s="33">
        <f>3.9255 * CHOOSE(CONTROL!$C$32, $C$9, 100%, $E$9)</f>
        <v>3.9255</v>
      </c>
      <c r="G56" s="33">
        <f>3.9308 * CHOOSE(CONTROL!$C$32, $C$9, 100%, $E$9)</f>
        <v>3.9308000000000001</v>
      </c>
      <c r="H56" s="33">
        <f>6.3484 * CHOOSE(CONTROL!$C$32, $C$9, 100%, $E$9)</f>
        <v>6.3483999999999998</v>
      </c>
      <c r="I56" s="33">
        <f>6.3537 * CHOOSE(CONTROL!$C$32, $C$9, 100%, $E$9)</f>
        <v>6.3536999999999999</v>
      </c>
      <c r="J56" s="33">
        <f>6.3484 * CHOOSE(CONTROL!$C$32, $C$9, 100%, $E$9)</f>
        <v>6.3483999999999998</v>
      </c>
      <c r="K56" s="33">
        <f>6.3537 * CHOOSE(CONTROL!$C$32, $C$9, 100%, $E$9)</f>
        <v>6.3536999999999999</v>
      </c>
      <c r="L56" s="33">
        <f>3.9255 * CHOOSE(CONTROL!$C$32, $C$9, 100%, $E$9)</f>
        <v>3.9255</v>
      </c>
      <c r="M56" s="33">
        <f>3.9308 * CHOOSE(CONTROL!$C$32, $C$9, 100%, $E$9)</f>
        <v>3.9308000000000001</v>
      </c>
      <c r="N56" s="33">
        <f>3.9255 * CHOOSE(CONTROL!$C$32, $C$9, 100%, $E$9)</f>
        <v>3.9255</v>
      </c>
      <c r="O56" s="33">
        <f>3.9308 * CHOOSE(CONTROL!$C$32, $C$9, 100%, $E$9)</f>
        <v>3.9308000000000001</v>
      </c>
      <c r="P56" s="10"/>
      <c r="Q56" s="10"/>
      <c r="R56" s="10"/>
    </row>
    <row r="57" spans="1:18" ht="15" x14ac:dyDescent="0.2">
      <c r="A57" s="16">
        <v>42948</v>
      </c>
      <c r="B57" s="32">
        <f>3.357 * CHOOSE(CONTROL!$C$32, $C$9, 100%, $E$9)</f>
        <v>3.3570000000000002</v>
      </c>
      <c r="C57" s="32">
        <f>3.357 * CHOOSE(CONTROL!$C$32, $C$9, 100%, $E$9)</f>
        <v>3.3570000000000002</v>
      </c>
      <c r="D57" s="32">
        <f>3.3586 * CHOOSE(CONTROL!$C$32, $C$9, 100%, $E$9)</f>
        <v>3.3586</v>
      </c>
      <c r="E57" s="33">
        <f>3.9299 * CHOOSE(CONTROL!$C$32, $C$9, 100%, $E$9)</f>
        <v>3.9298999999999999</v>
      </c>
      <c r="F57" s="33">
        <f>3.9299 * CHOOSE(CONTROL!$C$32, $C$9, 100%, $E$9)</f>
        <v>3.9298999999999999</v>
      </c>
      <c r="G57" s="33">
        <f>3.9352 * CHOOSE(CONTROL!$C$32, $C$9, 100%, $E$9)</f>
        <v>3.9352</v>
      </c>
      <c r="H57" s="33">
        <f>6.3617 * CHOOSE(CONTROL!$C$32, $C$9, 100%, $E$9)</f>
        <v>6.3616999999999999</v>
      </c>
      <c r="I57" s="33">
        <f>6.367 * CHOOSE(CONTROL!$C$32, $C$9, 100%, $E$9)</f>
        <v>6.367</v>
      </c>
      <c r="J57" s="33">
        <f>6.3617 * CHOOSE(CONTROL!$C$32, $C$9, 100%, $E$9)</f>
        <v>6.3616999999999999</v>
      </c>
      <c r="K57" s="33">
        <f>6.367 * CHOOSE(CONTROL!$C$32, $C$9, 100%, $E$9)</f>
        <v>6.367</v>
      </c>
      <c r="L57" s="33">
        <f>3.9299 * CHOOSE(CONTROL!$C$32, $C$9, 100%, $E$9)</f>
        <v>3.9298999999999999</v>
      </c>
      <c r="M57" s="33">
        <f>3.9352 * CHOOSE(CONTROL!$C$32, $C$9, 100%, $E$9)</f>
        <v>3.9352</v>
      </c>
      <c r="N57" s="33">
        <f>3.9299 * CHOOSE(CONTROL!$C$32, $C$9, 100%, $E$9)</f>
        <v>3.9298999999999999</v>
      </c>
      <c r="O57" s="33">
        <f>3.9352 * CHOOSE(CONTROL!$C$32, $C$9, 100%, $E$9)</f>
        <v>3.9352</v>
      </c>
      <c r="P57" s="10"/>
      <c r="Q57" s="10"/>
      <c r="R57" s="10"/>
    </row>
    <row r="58" spans="1:18" ht="15" x14ac:dyDescent="0.2">
      <c r="A58" s="16">
        <v>42979</v>
      </c>
      <c r="B58" s="32">
        <f>3.354 * CHOOSE(CONTROL!$C$32, $C$9, 100%, $E$9)</f>
        <v>3.3540000000000001</v>
      </c>
      <c r="C58" s="32">
        <f>3.354 * CHOOSE(CONTROL!$C$32, $C$9, 100%, $E$9)</f>
        <v>3.3540000000000001</v>
      </c>
      <c r="D58" s="32">
        <f>3.3556 * CHOOSE(CONTROL!$C$32, $C$9, 100%, $E$9)</f>
        <v>3.3555999999999999</v>
      </c>
      <c r="E58" s="33">
        <f>3.9279 * CHOOSE(CONTROL!$C$32, $C$9, 100%, $E$9)</f>
        <v>3.9279000000000002</v>
      </c>
      <c r="F58" s="33">
        <f>3.9279 * CHOOSE(CONTROL!$C$32, $C$9, 100%, $E$9)</f>
        <v>3.9279000000000002</v>
      </c>
      <c r="G58" s="33">
        <f>3.9332 * CHOOSE(CONTROL!$C$32, $C$9, 100%, $E$9)</f>
        <v>3.9331999999999998</v>
      </c>
      <c r="H58" s="33">
        <f>6.3749 * CHOOSE(CONTROL!$C$32, $C$9, 100%, $E$9)</f>
        <v>6.3749000000000002</v>
      </c>
      <c r="I58" s="33">
        <f>6.3802 * CHOOSE(CONTROL!$C$32, $C$9, 100%, $E$9)</f>
        <v>6.3802000000000003</v>
      </c>
      <c r="J58" s="33">
        <f>6.3749 * CHOOSE(CONTROL!$C$32, $C$9, 100%, $E$9)</f>
        <v>6.3749000000000002</v>
      </c>
      <c r="K58" s="33">
        <f>6.3802 * CHOOSE(CONTROL!$C$32, $C$9, 100%, $E$9)</f>
        <v>6.3802000000000003</v>
      </c>
      <c r="L58" s="33">
        <f>3.9279 * CHOOSE(CONTROL!$C$32, $C$9, 100%, $E$9)</f>
        <v>3.9279000000000002</v>
      </c>
      <c r="M58" s="33">
        <f>3.9332 * CHOOSE(CONTROL!$C$32, $C$9, 100%, $E$9)</f>
        <v>3.9331999999999998</v>
      </c>
      <c r="N58" s="33">
        <f>3.9279 * CHOOSE(CONTROL!$C$32, $C$9, 100%, $E$9)</f>
        <v>3.9279000000000002</v>
      </c>
      <c r="O58" s="33">
        <f>3.9332 * CHOOSE(CONTROL!$C$32, $C$9, 100%, $E$9)</f>
        <v>3.9331999999999998</v>
      </c>
      <c r="P58" s="10"/>
      <c r="Q58" s="10"/>
      <c r="R58" s="10"/>
    </row>
    <row r="59" spans="1:18" ht="15" x14ac:dyDescent="0.2">
      <c r="A59" s="16">
        <v>43009</v>
      </c>
      <c r="B59" s="32">
        <f>3.3348 * CHOOSE(CONTROL!$C$32, $C$9, 100%, $E$9)</f>
        <v>3.3348</v>
      </c>
      <c r="C59" s="32">
        <f>3.3348 * CHOOSE(CONTROL!$C$32, $C$9, 100%, $E$9)</f>
        <v>3.3348</v>
      </c>
      <c r="D59" s="32">
        <f>3.3358 * CHOOSE(CONTROL!$C$32, $C$9, 100%, $E$9)</f>
        <v>3.3357999999999999</v>
      </c>
      <c r="E59" s="33">
        <f>3.9209 * CHOOSE(CONTROL!$C$32, $C$9, 100%, $E$9)</f>
        <v>3.9209000000000001</v>
      </c>
      <c r="F59" s="33">
        <f>3.9209 * CHOOSE(CONTROL!$C$32, $C$9, 100%, $E$9)</f>
        <v>3.9209000000000001</v>
      </c>
      <c r="G59" s="33">
        <f>3.9245 * CHOOSE(CONTROL!$C$32, $C$9, 100%, $E$9)</f>
        <v>3.9245000000000001</v>
      </c>
      <c r="H59" s="33">
        <f>6.3882 * CHOOSE(CONTROL!$C$32, $C$9, 100%, $E$9)</f>
        <v>6.3882000000000003</v>
      </c>
      <c r="I59" s="33">
        <f>6.3918 * CHOOSE(CONTROL!$C$32, $C$9, 100%, $E$9)</f>
        <v>6.3917999999999999</v>
      </c>
      <c r="J59" s="33">
        <f>6.3882 * CHOOSE(CONTROL!$C$32, $C$9, 100%, $E$9)</f>
        <v>6.3882000000000003</v>
      </c>
      <c r="K59" s="33">
        <f>6.3918 * CHOOSE(CONTROL!$C$32, $C$9, 100%, $E$9)</f>
        <v>6.3917999999999999</v>
      </c>
      <c r="L59" s="33">
        <f>3.9209 * CHOOSE(CONTROL!$C$32, $C$9, 100%, $E$9)</f>
        <v>3.9209000000000001</v>
      </c>
      <c r="M59" s="33">
        <f>3.9245 * CHOOSE(CONTROL!$C$32, $C$9, 100%, $E$9)</f>
        <v>3.9245000000000001</v>
      </c>
      <c r="N59" s="33">
        <f>3.9209 * CHOOSE(CONTROL!$C$32, $C$9, 100%, $E$9)</f>
        <v>3.9209000000000001</v>
      </c>
      <c r="O59" s="33">
        <f>3.9245 * CHOOSE(CONTROL!$C$32, $C$9, 100%, $E$9)</f>
        <v>3.9245000000000001</v>
      </c>
      <c r="P59" s="10"/>
      <c r="Q59" s="10"/>
      <c r="R59" s="10"/>
    </row>
    <row r="60" spans="1:18" ht="15" x14ac:dyDescent="0.2">
      <c r="A60" s="16">
        <v>43040</v>
      </c>
      <c r="B60" s="32">
        <f>3.3463 * CHOOSE(CONTROL!$C$32, $C$9, 100%, $E$9)</f>
        <v>3.3462999999999998</v>
      </c>
      <c r="C60" s="32">
        <f>3.3463 * CHOOSE(CONTROL!$C$32, $C$9, 100%, $E$9)</f>
        <v>3.3462999999999998</v>
      </c>
      <c r="D60" s="32">
        <f>3.3474 * CHOOSE(CONTROL!$C$32, $C$9, 100%, $E$9)</f>
        <v>3.3473999999999999</v>
      </c>
      <c r="E60" s="33">
        <f>3.9229 * CHOOSE(CONTROL!$C$32, $C$9, 100%, $E$9)</f>
        <v>3.9228999999999998</v>
      </c>
      <c r="F60" s="33">
        <f>3.9229 * CHOOSE(CONTROL!$C$32, $C$9, 100%, $E$9)</f>
        <v>3.9228999999999998</v>
      </c>
      <c r="G60" s="33">
        <f>3.9265 * CHOOSE(CONTROL!$C$32, $C$9, 100%, $E$9)</f>
        <v>3.9264999999999999</v>
      </c>
      <c r="H60" s="33">
        <f>6.4015 * CHOOSE(CONTROL!$C$32, $C$9, 100%, $E$9)</f>
        <v>6.4015000000000004</v>
      </c>
      <c r="I60" s="33">
        <f>6.4051 * CHOOSE(CONTROL!$C$32, $C$9, 100%, $E$9)</f>
        <v>6.4051</v>
      </c>
      <c r="J60" s="33">
        <f>6.4015 * CHOOSE(CONTROL!$C$32, $C$9, 100%, $E$9)</f>
        <v>6.4015000000000004</v>
      </c>
      <c r="K60" s="33">
        <f>6.4051 * CHOOSE(CONTROL!$C$32, $C$9, 100%, $E$9)</f>
        <v>6.4051</v>
      </c>
      <c r="L60" s="33">
        <f>3.9229 * CHOOSE(CONTROL!$C$32, $C$9, 100%, $E$9)</f>
        <v>3.9228999999999998</v>
      </c>
      <c r="M60" s="33">
        <f>3.9265 * CHOOSE(CONTROL!$C$32, $C$9, 100%, $E$9)</f>
        <v>3.9264999999999999</v>
      </c>
      <c r="N60" s="33">
        <f>3.9229 * CHOOSE(CONTROL!$C$32, $C$9, 100%, $E$9)</f>
        <v>3.9228999999999998</v>
      </c>
      <c r="O60" s="33">
        <f>3.9265 * CHOOSE(CONTROL!$C$32, $C$9, 100%, $E$9)</f>
        <v>3.9264999999999999</v>
      </c>
      <c r="P60" s="10"/>
      <c r="Q60" s="10"/>
      <c r="R60" s="10"/>
    </row>
    <row r="61" spans="1:18" ht="15" x14ac:dyDescent="0.2">
      <c r="A61" s="16">
        <v>43070</v>
      </c>
      <c r="B61" s="32">
        <f>3.3463 * CHOOSE(CONTROL!$C$32, $C$9, 100%, $E$9)</f>
        <v>3.3462999999999998</v>
      </c>
      <c r="C61" s="32">
        <f>3.3463 * CHOOSE(CONTROL!$C$32, $C$9, 100%, $E$9)</f>
        <v>3.3462999999999998</v>
      </c>
      <c r="D61" s="32">
        <f>3.3474 * CHOOSE(CONTROL!$C$32, $C$9, 100%, $E$9)</f>
        <v>3.3473999999999999</v>
      </c>
      <c r="E61" s="33">
        <f>3.9229 * CHOOSE(CONTROL!$C$32, $C$9, 100%, $E$9)</f>
        <v>3.9228999999999998</v>
      </c>
      <c r="F61" s="33">
        <f>3.9229 * CHOOSE(CONTROL!$C$32, $C$9, 100%, $E$9)</f>
        <v>3.9228999999999998</v>
      </c>
      <c r="G61" s="33">
        <f>3.9265 * CHOOSE(CONTROL!$C$32, $C$9, 100%, $E$9)</f>
        <v>3.9264999999999999</v>
      </c>
      <c r="H61" s="33">
        <f>6.4148 * CHOOSE(CONTROL!$C$32, $C$9, 100%, $E$9)</f>
        <v>6.4147999999999996</v>
      </c>
      <c r="I61" s="33">
        <f>6.4185 * CHOOSE(CONTROL!$C$32, $C$9, 100%, $E$9)</f>
        <v>6.4184999999999999</v>
      </c>
      <c r="J61" s="33">
        <f>6.4148 * CHOOSE(CONTROL!$C$32, $C$9, 100%, $E$9)</f>
        <v>6.4147999999999996</v>
      </c>
      <c r="K61" s="33">
        <f>6.4185 * CHOOSE(CONTROL!$C$32, $C$9, 100%, $E$9)</f>
        <v>6.4184999999999999</v>
      </c>
      <c r="L61" s="33">
        <f>3.9229 * CHOOSE(CONTROL!$C$32, $C$9, 100%, $E$9)</f>
        <v>3.9228999999999998</v>
      </c>
      <c r="M61" s="33">
        <f>3.9265 * CHOOSE(CONTROL!$C$32, $C$9, 100%, $E$9)</f>
        <v>3.9264999999999999</v>
      </c>
      <c r="N61" s="33">
        <f>3.9229 * CHOOSE(CONTROL!$C$32, $C$9, 100%, $E$9)</f>
        <v>3.9228999999999998</v>
      </c>
      <c r="O61" s="33">
        <f>3.9265 * CHOOSE(CONTROL!$C$32, $C$9, 100%, $E$9)</f>
        <v>3.9264999999999999</v>
      </c>
      <c r="P61" s="10"/>
      <c r="Q61" s="10"/>
      <c r="R61" s="10"/>
    </row>
    <row r="62" spans="1:18" ht="15" x14ac:dyDescent="0.2">
      <c r="A62" s="16">
        <v>43101</v>
      </c>
      <c r="B62" s="32">
        <f>3.3747 * CHOOSE(CONTROL!$C$32, $C$9, 100%, $E$9)</f>
        <v>3.3746999999999998</v>
      </c>
      <c r="C62" s="32">
        <f>3.3747 * CHOOSE(CONTROL!$C$32, $C$9, 100%, $E$9)</f>
        <v>3.3746999999999998</v>
      </c>
      <c r="D62" s="32">
        <f>3.3758 * CHOOSE(CONTROL!$C$32, $C$9, 100%, $E$9)</f>
        <v>3.3757999999999999</v>
      </c>
      <c r="E62" s="33">
        <f>3.9606 * CHOOSE(CONTROL!$C$32, $C$9, 100%, $E$9)</f>
        <v>3.9605999999999999</v>
      </c>
      <c r="F62" s="33">
        <f>3.9606 * CHOOSE(CONTROL!$C$32, $C$9, 100%, $E$9)</f>
        <v>3.9605999999999999</v>
      </c>
      <c r="G62" s="33">
        <f>3.9642 * CHOOSE(CONTROL!$C$32, $C$9, 100%, $E$9)</f>
        <v>3.9641999999999999</v>
      </c>
      <c r="H62" s="33">
        <f>6.4282 * CHOOSE(CONTROL!$C$32, $C$9, 100%, $E$9)</f>
        <v>6.4282000000000004</v>
      </c>
      <c r="I62" s="33">
        <f>6.4318 * CHOOSE(CONTROL!$C$32, $C$9, 100%, $E$9)</f>
        <v>6.4318</v>
      </c>
      <c r="J62" s="33">
        <f>6.4282 * CHOOSE(CONTROL!$C$32, $C$9, 100%, $E$9)</f>
        <v>6.4282000000000004</v>
      </c>
      <c r="K62" s="33">
        <f>6.4318 * CHOOSE(CONTROL!$C$32, $C$9, 100%, $E$9)</f>
        <v>6.4318</v>
      </c>
      <c r="L62" s="33">
        <f>3.9606 * CHOOSE(CONTROL!$C$32, $C$9, 100%, $E$9)</f>
        <v>3.9605999999999999</v>
      </c>
      <c r="M62" s="33">
        <f>3.9642 * CHOOSE(CONTROL!$C$32, $C$9, 100%, $E$9)</f>
        <v>3.9641999999999999</v>
      </c>
      <c r="N62" s="33">
        <f>3.9606 * CHOOSE(CONTROL!$C$32, $C$9, 100%, $E$9)</f>
        <v>3.9605999999999999</v>
      </c>
      <c r="O62" s="33">
        <f>3.9642 * CHOOSE(CONTROL!$C$32, $C$9, 100%, $E$9)</f>
        <v>3.9641999999999999</v>
      </c>
      <c r="P62" s="10"/>
      <c r="Q62" s="10"/>
      <c r="R62" s="10"/>
    </row>
    <row r="63" spans="1:18" ht="15" x14ac:dyDescent="0.2">
      <c r="A63" s="16">
        <v>43132</v>
      </c>
      <c r="B63" s="32">
        <f>3.3805 * CHOOSE(CONTROL!$C$32, $C$9, 100%, $E$9)</f>
        <v>3.3805000000000001</v>
      </c>
      <c r="C63" s="32">
        <f>3.3805 * CHOOSE(CONTROL!$C$32, $C$9, 100%, $E$9)</f>
        <v>3.3805000000000001</v>
      </c>
      <c r="D63" s="32">
        <f>3.3816 * CHOOSE(CONTROL!$C$32, $C$9, 100%, $E$9)</f>
        <v>3.3816000000000002</v>
      </c>
      <c r="E63" s="33">
        <f>3.9586 * CHOOSE(CONTROL!$C$32, $C$9, 100%, $E$9)</f>
        <v>3.9586000000000001</v>
      </c>
      <c r="F63" s="33">
        <f>3.9586 * CHOOSE(CONTROL!$C$32, $C$9, 100%, $E$9)</f>
        <v>3.9586000000000001</v>
      </c>
      <c r="G63" s="33">
        <f>3.9622 * CHOOSE(CONTROL!$C$32, $C$9, 100%, $E$9)</f>
        <v>3.9622000000000002</v>
      </c>
      <c r="H63" s="33">
        <f>6.4416 * CHOOSE(CONTROL!$C$32, $C$9, 100%, $E$9)</f>
        <v>6.4416000000000002</v>
      </c>
      <c r="I63" s="33">
        <f>6.4452 * CHOOSE(CONTROL!$C$32, $C$9, 100%, $E$9)</f>
        <v>6.4451999999999998</v>
      </c>
      <c r="J63" s="33">
        <f>6.4416 * CHOOSE(CONTROL!$C$32, $C$9, 100%, $E$9)</f>
        <v>6.4416000000000002</v>
      </c>
      <c r="K63" s="33">
        <f>6.4452 * CHOOSE(CONTROL!$C$32, $C$9, 100%, $E$9)</f>
        <v>6.4451999999999998</v>
      </c>
      <c r="L63" s="33">
        <f>3.9586 * CHOOSE(CONTROL!$C$32, $C$9, 100%, $E$9)</f>
        <v>3.9586000000000001</v>
      </c>
      <c r="M63" s="33">
        <f>3.9622 * CHOOSE(CONTROL!$C$32, $C$9, 100%, $E$9)</f>
        <v>3.9622000000000002</v>
      </c>
      <c r="N63" s="33">
        <f>3.9586 * CHOOSE(CONTROL!$C$32, $C$9, 100%, $E$9)</f>
        <v>3.9586000000000001</v>
      </c>
      <c r="O63" s="33">
        <f>3.9622 * CHOOSE(CONTROL!$C$32, $C$9, 100%, $E$9)</f>
        <v>3.9622000000000002</v>
      </c>
      <c r="P63" s="10"/>
      <c r="Q63" s="10"/>
      <c r="R63" s="10"/>
    </row>
    <row r="64" spans="1:18" ht="15" x14ac:dyDescent="0.2">
      <c r="A64" s="16">
        <v>43160</v>
      </c>
      <c r="B64" s="32">
        <f>3.3774 * CHOOSE(CONTROL!$C$32, $C$9, 100%, $E$9)</f>
        <v>3.3774000000000002</v>
      </c>
      <c r="C64" s="32">
        <f>3.3774 * CHOOSE(CONTROL!$C$32, $C$9, 100%, $E$9)</f>
        <v>3.3774000000000002</v>
      </c>
      <c r="D64" s="32">
        <f>3.3785 * CHOOSE(CONTROL!$C$32, $C$9, 100%, $E$9)</f>
        <v>3.3784999999999998</v>
      </c>
      <c r="E64" s="33">
        <f>3.9566 * CHOOSE(CONTROL!$C$32, $C$9, 100%, $E$9)</f>
        <v>3.9565999999999999</v>
      </c>
      <c r="F64" s="33">
        <f>3.9566 * CHOOSE(CONTROL!$C$32, $C$9, 100%, $E$9)</f>
        <v>3.9565999999999999</v>
      </c>
      <c r="G64" s="33">
        <f>3.9602 * CHOOSE(CONTROL!$C$32, $C$9, 100%, $E$9)</f>
        <v>3.9601999999999999</v>
      </c>
      <c r="H64" s="33">
        <f>6.455 * CHOOSE(CONTROL!$C$32, $C$9, 100%, $E$9)</f>
        <v>6.4550000000000001</v>
      </c>
      <c r="I64" s="33">
        <f>6.4586 * CHOOSE(CONTROL!$C$32, $C$9, 100%, $E$9)</f>
        <v>6.4585999999999997</v>
      </c>
      <c r="J64" s="33">
        <f>6.455 * CHOOSE(CONTROL!$C$32, $C$9, 100%, $E$9)</f>
        <v>6.4550000000000001</v>
      </c>
      <c r="K64" s="33">
        <f>6.4586 * CHOOSE(CONTROL!$C$32, $C$9, 100%, $E$9)</f>
        <v>6.4585999999999997</v>
      </c>
      <c r="L64" s="33">
        <f>3.9566 * CHOOSE(CONTROL!$C$32, $C$9, 100%, $E$9)</f>
        <v>3.9565999999999999</v>
      </c>
      <c r="M64" s="33">
        <f>3.9602 * CHOOSE(CONTROL!$C$32, $C$9, 100%, $E$9)</f>
        <v>3.9601999999999999</v>
      </c>
      <c r="N64" s="33">
        <f>3.9566 * CHOOSE(CONTROL!$C$32, $C$9, 100%, $E$9)</f>
        <v>3.9565999999999999</v>
      </c>
      <c r="O64" s="33">
        <f>3.9602 * CHOOSE(CONTROL!$C$32, $C$9, 100%, $E$9)</f>
        <v>3.9601999999999999</v>
      </c>
      <c r="P64" s="10"/>
      <c r="Q64" s="10"/>
      <c r="R64" s="10"/>
    </row>
    <row r="65" spans="1:18" ht="15" x14ac:dyDescent="0.2">
      <c r="A65" s="16">
        <v>43191</v>
      </c>
      <c r="B65" s="32">
        <f>3.3713 * CHOOSE(CONTROL!$C$32, $C$9, 100%, $E$9)</f>
        <v>3.3713000000000002</v>
      </c>
      <c r="C65" s="32">
        <f>3.3713 * CHOOSE(CONTROL!$C$32, $C$9, 100%, $E$9)</f>
        <v>3.3713000000000002</v>
      </c>
      <c r="D65" s="32">
        <f>3.3724 * CHOOSE(CONTROL!$C$32, $C$9, 100%, $E$9)</f>
        <v>3.3723999999999998</v>
      </c>
      <c r="E65" s="33">
        <f>3.9541 * CHOOSE(CONTROL!$C$32, $C$9, 100%, $E$9)</f>
        <v>3.9540999999999999</v>
      </c>
      <c r="F65" s="33">
        <f>3.9541 * CHOOSE(CONTROL!$C$32, $C$9, 100%, $E$9)</f>
        <v>3.9540999999999999</v>
      </c>
      <c r="G65" s="33">
        <f>3.9577 * CHOOSE(CONTROL!$C$32, $C$9, 100%, $E$9)</f>
        <v>3.9577</v>
      </c>
      <c r="H65" s="33">
        <f>6.4685 * CHOOSE(CONTROL!$C$32, $C$9, 100%, $E$9)</f>
        <v>6.4684999999999997</v>
      </c>
      <c r="I65" s="33">
        <f>6.4721 * CHOOSE(CONTROL!$C$32, $C$9, 100%, $E$9)</f>
        <v>6.4721000000000002</v>
      </c>
      <c r="J65" s="33">
        <f>6.4685 * CHOOSE(CONTROL!$C$32, $C$9, 100%, $E$9)</f>
        <v>6.4684999999999997</v>
      </c>
      <c r="K65" s="33">
        <f>6.4721 * CHOOSE(CONTROL!$C$32, $C$9, 100%, $E$9)</f>
        <v>6.4721000000000002</v>
      </c>
      <c r="L65" s="33">
        <f>3.9541 * CHOOSE(CONTROL!$C$32, $C$9, 100%, $E$9)</f>
        <v>3.9540999999999999</v>
      </c>
      <c r="M65" s="33">
        <f>3.9577 * CHOOSE(CONTROL!$C$32, $C$9, 100%, $E$9)</f>
        <v>3.9577</v>
      </c>
      <c r="N65" s="33">
        <f>3.9541 * CHOOSE(CONTROL!$C$32, $C$9, 100%, $E$9)</f>
        <v>3.9540999999999999</v>
      </c>
      <c r="O65" s="33">
        <f>3.9577 * CHOOSE(CONTROL!$C$32, $C$9, 100%, $E$9)</f>
        <v>3.9577</v>
      </c>
      <c r="P65" s="10"/>
      <c r="Q65" s="10"/>
      <c r="R65" s="10"/>
    </row>
    <row r="66" spans="1:18" ht="15" x14ac:dyDescent="0.2">
      <c r="A66" s="16">
        <v>43221</v>
      </c>
      <c r="B66" s="32">
        <f>3.38 * CHOOSE(CONTROL!$C$32, $C$9, 100%, $E$9)</f>
        <v>3.38</v>
      </c>
      <c r="C66" s="32">
        <f>3.38 * CHOOSE(CONTROL!$C$32, $C$9, 100%, $E$9)</f>
        <v>3.38</v>
      </c>
      <c r="D66" s="32">
        <f>3.3815 * CHOOSE(CONTROL!$C$32, $C$9, 100%, $E$9)</f>
        <v>3.3815</v>
      </c>
      <c r="E66" s="33">
        <f>3.9541 * CHOOSE(CONTROL!$C$32, $C$9, 100%, $E$9)</f>
        <v>3.9540999999999999</v>
      </c>
      <c r="F66" s="33">
        <f>3.9541 * CHOOSE(CONTROL!$C$32, $C$9, 100%, $E$9)</f>
        <v>3.9540999999999999</v>
      </c>
      <c r="G66" s="33">
        <f>3.9594 * CHOOSE(CONTROL!$C$32, $C$9, 100%, $E$9)</f>
        <v>3.9594</v>
      </c>
      <c r="H66" s="33">
        <f>6.482 * CHOOSE(CONTROL!$C$32, $C$9, 100%, $E$9)</f>
        <v>6.4820000000000002</v>
      </c>
      <c r="I66" s="33">
        <f>6.4872 * CHOOSE(CONTROL!$C$32, $C$9, 100%, $E$9)</f>
        <v>6.4871999999999996</v>
      </c>
      <c r="J66" s="33">
        <f>6.482 * CHOOSE(CONTROL!$C$32, $C$9, 100%, $E$9)</f>
        <v>6.4820000000000002</v>
      </c>
      <c r="K66" s="33">
        <f>6.4872 * CHOOSE(CONTROL!$C$32, $C$9, 100%, $E$9)</f>
        <v>6.4871999999999996</v>
      </c>
      <c r="L66" s="33">
        <f>3.9541 * CHOOSE(CONTROL!$C$32, $C$9, 100%, $E$9)</f>
        <v>3.9540999999999999</v>
      </c>
      <c r="M66" s="33">
        <f>3.9594 * CHOOSE(CONTROL!$C$32, $C$9, 100%, $E$9)</f>
        <v>3.9594</v>
      </c>
      <c r="N66" s="33">
        <f>3.9541 * CHOOSE(CONTROL!$C$32, $C$9, 100%, $E$9)</f>
        <v>3.9540999999999999</v>
      </c>
      <c r="O66" s="33">
        <f>3.9594 * CHOOSE(CONTROL!$C$32, $C$9, 100%, $E$9)</f>
        <v>3.9594</v>
      </c>
      <c r="P66" s="10"/>
      <c r="Q66" s="10"/>
      <c r="R66" s="10"/>
    </row>
    <row r="67" spans="1:18" ht="15" x14ac:dyDescent="0.2">
      <c r="A67" s="16">
        <v>43252</v>
      </c>
      <c r="B67" s="32">
        <f>3.386 * CHOOSE(CONTROL!$C$32, $C$9, 100%, $E$9)</f>
        <v>3.3860000000000001</v>
      </c>
      <c r="C67" s="32">
        <f>3.386 * CHOOSE(CONTROL!$C$32, $C$9, 100%, $E$9)</f>
        <v>3.3860000000000001</v>
      </c>
      <c r="D67" s="32">
        <f>3.3876 * CHOOSE(CONTROL!$C$32, $C$9, 100%, $E$9)</f>
        <v>3.3875999999999999</v>
      </c>
      <c r="E67" s="33">
        <f>3.9581 * CHOOSE(CONTROL!$C$32, $C$9, 100%, $E$9)</f>
        <v>3.9581</v>
      </c>
      <c r="F67" s="33">
        <f>3.9581 * CHOOSE(CONTROL!$C$32, $C$9, 100%, $E$9)</f>
        <v>3.9581</v>
      </c>
      <c r="G67" s="33">
        <f>3.9634 * CHOOSE(CONTROL!$C$32, $C$9, 100%, $E$9)</f>
        <v>3.9634</v>
      </c>
      <c r="H67" s="33">
        <f>6.4955 * CHOOSE(CONTROL!$C$32, $C$9, 100%, $E$9)</f>
        <v>6.4954999999999998</v>
      </c>
      <c r="I67" s="33">
        <f>6.5007 * CHOOSE(CONTROL!$C$32, $C$9, 100%, $E$9)</f>
        <v>6.5007000000000001</v>
      </c>
      <c r="J67" s="33">
        <f>6.4955 * CHOOSE(CONTROL!$C$32, $C$9, 100%, $E$9)</f>
        <v>6.4954999999999998</v>
      </c>
      <c r="K67" s="33">
        <f>6.5007 * CHOOSE(CONTROL!$C$32, $C$9, 100%, $E$9)</f>
        <v>6.5007000000000001</v>
      </c>
      <c r="L67" s="33">
        <f>3.9581 * CHOOSE(CONTROL!$C$32, $C$9, 100%, $E$9)</f>
        <v>3.9581</v>
      </c>
      <c r="M67" s="33">
        <f>3.9634 * CHOOSE(CONTROL!$C$32, $C$9, 100%, $E$9)</f>
        <v>3.9634</v>
      </c>
      <c r="N67" s="33">
        <f>3.9581 * CHOOSE(CONTROL!$C$32, $C$9, 100%, $E$9)</f>
        <v>3.9581</v>
      </c>
      <c r="O67" s="33">
        <f>3.9634 * CHOOSE(CONTROL!$C$32, $C$9, 100%, $E$9)</f>
        <v>3.9634</v>
      </c>
      <c r="P67" s="10"/>
      <c r="Q67" s="10"/>
      <c r="R67" s="10"/>
    </row>
    <row r="68" spans="1:18" ht="15" x14ac:dyDescent="0.2">
      <c r="A68" s="16">
        <v>43282</v>
      </c>
      <c r="B68" s="32">
        <f>3.4206 * CHOOSE(CONTROL!$C$32, $C$9, 100%, $E$9)</f>
        <v>3.4205999999999999</v>
      </c>
      <c r="C68" s="32">
        <f>3.4206 * CHOOSE(CONTROL!$C$32, $C$9, 100%, $E$9)</f>
        <v>3.4205999999999999</v>
      </c>
      <c r="D68" s="32">
        <f>3.4222 * CHOOSE(CONTROL!$C$32, $C$9, 100%, $E$9)</f>
        <v>3.4222000000000001</v>
      </c>
      <c r="E68" s="33">
        <f>4.0414 * CHOOSE(CONTROL!$C$32, $C$9, 100%, $E$9)</f>
        <v>4.0414000000000003</v>
      </c>
      <c r="F68" s="33">
        <f>4.0414 * CHOOSE(CONTROL!$C$32, $C$9, 100%, $E$9)</f>
        <v>4.0414000000000003</v>
      </c>
      <c r="G68" s="33">
        <f>4.0467 * CHOOSE(CONTROL!$C$32, $C$9, 100%, $E$9)</f>
        <v>4.0467000000000004</v>
      </c>
      <c r="H68" s="33">
        <f>6.509 * CHOOSE(CONTROL!$C$32, $C$9, 100%, $E$9)</f>
        <v>6.5090000000000003</v>
      </c>
      <c r="I68" s="33">
        <f>6.5143 * CHOOSE(CONTROL!$C$32, $C$9, 100%, $E$9)</f>
        <v>6.5143000000000004</v>
      </c>
      <c r="J68" s="33">
        <f>6.509 * CHOOSE(CONTROL!$C$32, $C$9, 100%, $E$9)</f>
        <v>6.5090000000000003</v>
      </c>
      <c r="K68" s="33">
        <f>6.5143 * CHOOSE(CONTROL!$C$32, $C$9, 100%, $E$9)</f>
        <v>6.5143000000000004</v>
      </c>
      <c r="L68" s="33">
        <f>4.0414 * CHOOSE(CONTROL!$C$32, $C$9, 100%, $E$9)</f>
        <v>4.0414000000000003</v>
      </c>
      <c r="M68" s="33">
        <f>4.0467 * CHOOSE(CONTROL!$C$32, $C$9, 100%, $E$9)</f>
        <v>4.0467000000000004</v>
      </c>
      <c r="N68" s="33">
        <f>4.0414 * CHOOSE(CONTROL!$C$32, $C$9, 100%, $E$9)</f>
        <v>4.0414000000000003</v>
      </c>
      <c r="O68" s="33">
        <f>4.0467 * CHOOSE(CONTROL!$C$32, $C$9, 100%, $E$9)</f>
        <v>4.0467000000000004</v>
      </c>
      <c r="P68" s="10"/>
      <c r="Q68" s="10"/>
      <c r="R68" s="10"/>
    </row>
    <row r="69" spans="1:18" ht="15" x14ac:dyDescent="0.2">
      <c r="A69" s="16">
        <v>43313</v>
      </c>
      <c r="B69" s="32">
        <f>3.4359 * CHOOSE(CONTROL!$C$32, $C$9, 100%, $E$9)</f>
        <v>3.4359000000000002</v>
      </c>
      <c r="C69" s="32">
        <f>3.4359 * CHOOSE(CONTROL!$C$32, $C$9, 100%, $E$9)</f>
        <v>3.4359000000000002</v>
      </c>
      <c r="D69" s="32">
        <f>3.4375 * CHOOSE(CONTROL!$C$32, $C$9, 100%, $E$9)</f>
        <v>3.4375</v>
      </c>
      <c r="E69" s="33">
        <f>4.0458 * CHOOSE(CONTROL!$C$32, $C$9, 100%, $E$9)</f>
        <v>4.0457999999999998</v>
      </c>
      <c r="F69" s="33">
        <f>4.0458 * CHOOSE(CONTROL!$C$32, $C$9, 100%, $E$9)</f>
        <v>4.0457999999999998</v>
      </c>
      <c r="G69" s="33">
        <f>4.0511 * CHOOSE(CONTROL!$C$32, $C$9, 100%, $E$9)</f>
        <v>4.0510999999999999</v>
      </c>
      <c r="H69" s="33">
        <f>6.5225 * CHOOSE(CONTROL!$C$32, $C$9, 100%, $E$9)</f>
        <v>6.5225</v>
      </c>
      <c r="I69" s="33">
        <f>6.5278 * CHOOSE(CONTROL!$C$32, $C$9, 100%, $E$9)</f>
        <v>6.5278</v>
      </c>
      <c r="J69" s="33">
        <f>6.5225 * CHOOSE(CONTROL!$C$32, $C$9, 100%, $E$9)</f>
        <v>6.5225</v>
      </c>
      <c r="K69" s="33">
        <f>6.5278 * CHOOSE(CONTROL!$C$32, $C$9, 100%, $E$9)</f>
        <v>6.5278</v>
      </c>
      <c r="L69" s="33">
        <f>4.0458 * CHOOSE(CONTROL!$C$32, $C$9, 100%, $E$9)</f>
        <v>4.0457999999999998</v>
      </c>
      <c r="M69" s="33">
        <f>4.0511 * CHOOSE(CONTROL!$C$32, $C$9, 100%, $E$9)</f>
        <v>4.0510999999999999</v>
      </c>
      <c r="N69" s="33">
        <f>4.0458 * CHOOSE(CONTROL!$C$32, $C$9, 100%, $E$9)</f>
        <v>4.0457999999999998</v>
      </c>
      <c r="O69" s="33">
        <f>4.0511 * CHOOSE(CONTROL!$C$32, $C$9, 100%, $E$9)</f>
        <v>4.0510999999999999</v>
      </c>
      <c r="P69" s="10"/>
      <c r="Q69" s="10"/>
      <c r="R69" s="10"/>
    </row>
    <row r="70" spans="1:18" ht="15" x14ac:dyDescent="0.2">
      <c r="A70" s="16">
        <v>43344</v>
      </c>
      <c r="B70" s="32">
        <f>3.4328 * CHOOSE(CONTROL!$C$32, $C$9, 100%, $E$9)</f>
        <v>3.4327999999999999</v>
      </c>
      <c r="C70" s="32">
        <f>3.4328 * CHOOSE(CONTROL!$C$32, $C$9, 100%, $E$9)</f>
        <v>3.4327999999999999</v>
      </c>
      <c r="D70" s="32">
        <f>3.4344 * CHOOSE(CONTROL!$C$32, $C$9, 100%, $E$9)</f>
        <v>3.4344000000000001</v>
      </c>
      <c r="E70" s="33">
        <f>4.0438 * CHOOSE(CONTROL!$C$32, $C$9, 100%, $E$9)</f>
        <v>4.0438000000000001</v>
      </c>
      <c r="F70" s="33">
        <f>4.0438 * CHOOSE(CONTROL!$C$32, $C$9, 100%, $E$9)</f>
        <v>4.0438000000000001</v>
      </c>
      <c r="G70" s="33">
        <f>4.0491 * CHOOSE(CONTROL!$C$32, $C$9, 100%, $E$9)</f>
        <v>4.0491000000000001</v>
      </c>
      <c r="H70" s="33">
        <f>6.5361 * CHOOSE(CONTROL!$C$32, $C$9, 100%, $E$9)</f>
        <v>6.5361000000000002</v>
      </c>
      <c r="I70" s="33">
        <f>6.5414 * CHOOSE(CONTROL!$C$32, $C$9, 100%, $E$9)</f>
        <v>6.5414000000000003</v>
      </c>
      <c r="J70" s="33">
        <f>6.5361 * CHOOSE(CONTROL!$C$32, $C$9, 100%, $E$9)</f>
        <v>6.5361000000000002</v>
      </c>
      <c r="K70" s="33">
        <f>6.5414 * CHOOSE(CONTROL!$C$32, $C$9, 100%, $E$9)</f>
        <v>6.5414000000000003</v>
      </c>
      <c r="L70" s="33">
        <f>4.0438 * CHOOSE(CONTROL!$C$32, $C$9, 100%, $E$9)</f>
        <v>4.0438000000000001</v>
      </c>
      <c r="M70" s="33">
        <f>4.0491 * CHOOSE(CONTROL!$C$32, $C$9, 100%, $E$9)</f>
        <v>4.0491000000000001</v>
      </c>
      <c r="N70" s="33">
        <f>4.0438 * CHOOSE(CONTROL!$C$32, $C$9, 100%, $E$9)</f>
        <v>4.0438000000000001</v>
      </c>
      <c r="O70" s="33">
        <f>4.0491 * CHOOSE(CONTROL!$C$32, $C$9, 100%, $E$9)</f>
        <v>4.0491000000000001</v>
      </c>
      <c r="P70" s="10"/>
      <c r="Q70" s="10"/>
      <c r="R70" s="10"/>
    </row>
    <row r="71" spans="1:18" ht="15" x14ac:dyDescent="0.2">
      <c r="A71" s="16">
        <v>43374</v>
      </c>
      <c r="B71" s="32">
        <f>3.4135 * CHOOSE(CONTROL!$C$32, $C$9, 100%, $E$9)</f>
        <v>3.4135</v>
      </c>
      <c r="C71" s="32">
        <f>3.4135 * CHOOSE(CONTROL!$C$32, $C$9, 100%, $E$9)</f>
        <v>3.4135</v>
      </c>
      <c r="D71" s="32">
        <f>3.4146 * CHOOSE(CONTROL!$C$32, $C$9, 100%, $E$9)</f>
        <v>3.4146000000000001</v>
      </c>
      <c r="E71" s="33">
        <f>4.0369 * CHOOSE(CONTROL!$C$32, $C$9, 100%, $E$9)</f>
        <v>4.0369000000000002</v>
      </c>
      <c r="F71" s="33">
        <f>4.0369 * CHOOSE(CONTROL!$C$32, $C$9, 100%, $E$9)</f>
        <v>4.0369000000000002</v>
      </c>
      <c r="G71" s="33">
        <f>4.0406 * CHOOSE(CONTROL!$C$32, $C$9, 100%, $E$9)</f>
        <v>4.0406000000000004</v>
      </c>
      <c r="H71" s="33">
        <f>6.5498 * CHOOSE(CONTROL!$C$32, $C$9, 100%, $E$9)</f>
        <v>6.5498000000000003</v>
      </c>
      <c r="I71" s="33">
        <f>6.5534 * CHOOSE(CONTROL!$C$32, $C$9, 100%, $E$9)</f>
        <v>6.5533999999999999</v>
      </c>
      <c r="J71" s="33">
        <f>6.5498 * CHOOSE(CONTROL!$C$32, $C$9, 100%, $E$9)</f>
        <v>6.5498000000000003</v>
      </c>
      <c r="K71" s="33">
        <f>6.5534 * CHOOSE(CONTROL!$C$32, $C$9, 100%, $E$9)</f>
        <v>6.5533999999999999</v>
      </c>
      <c r="L71" s="33">
        <f>4.0369 * CHOOSE(CONTROL!$C$32, $C$9, 100%, $E$9)</f>
        <v>4.0369000000000002</v>
      </c>
      <c r="M71" s="33">
        <f>4.0406 * CHOOSE(CONTROL!$C$32, $C$9, 100%, $E$9)</f>
        <v>4.0406000000000004</v>
      </c>
      <c r="N71" s="33">
        <f>4.0369 * CHOOSE(CONTROL!$C$32, $C$9, 100%, $E$9)</f>
        <v>4.0369000000000002</v>
      </c>
      <c r="O71" s="33">
        <f>4.0406 * CHOOSE(CONTROL!$C$32, $C$9, 100%, $E$9)</f>
        <v>4.0406000000000004</v>
      </c>
      <c r="P71" s="10"/>
      <c r="Q71" s="10"/>
      <c r="R71" s="10"/>
    </row>
    <row r="72" spans="1:18" ht="15" x14ac:dyDescent="0.2">
      <c r="A72" s="16">
        <v>43405</v>
      </c>
      <c r="B72" s="32">
        <f>3.4253 * CHOOSE(CONTROL!$C$32, $C$9, 100%, $E$9)</f>
        <v>3.4253</v>
      </c>
      <c r="C72" s="32">
        <f>3.4253 * CHOOSE(CONTROL!$C$32, $C$9, 100%, $E$9)</f>
        <v>3.4253</v>
      </c>
      <c r="D72" s="32">
        <f>3.4263 * CHOOSE(CONTROL!$C$32, $C$9, 100%, $E$9)</f>
        <v>3.4262999999999999</v>
      </c>
      <c r="E72" s="33">
        <f>4.0389 * CHOOSE(CONTROL!$C$32, $C$9, 100%, $E$9)</f>
        <v>4.0388999999999999</v>
      </c>
      <c r="F72" s="33">
        <f>4.0389 * CHOOSE(CONTROL!$C$32, $C$9, 100%, $E$9)</f>
        <v>4.0388999999999999</v>
      </c>
      <c r="G72" s="33">
        <f>4.0426 * CHOOSE(CONTROL!$C$32, $C$9, 100%, $E$9)</f>
        <v>4.0426000000000002</v>
      </c>
      <c r="H72" s="33">
        <f>6.5634 * CHOOSE(CONTROL!$C$32, $C$9, 100%, $E$9)</f>
        <v>6.5633999999999997</v>
      </c>
      <c r="I72" s="33">
        <f>6.567 * CHOOSE(CONTROL!$C$32, $C$9, 100%, $E$9)</f>
        <v>6.5670000000000002</v>
      </c>
      <c r="J72" s="33">
        <f>6.5634 * CHOOSE(CONTROL!$C$32, $C$9, 100%, $E$9)</f>
        <v>6.5633999999999997</v>
      </c>
      <c r="K72" s="33">
        <f>6.567 * CHOOSE(CONTROL!$C$32, $C$9, 100%, $E$9)</f>
        <v>6.5670000000000002</v>
      </c>
      <c r="L72" s="33">
        <f>4.0389 * CHOOSE(CONTROL!$C$32, $C$9, 100%, $E$9)</f>
        <v>4.0388999999999999</v>
      </c>
      <c r="M72" s="33">
        <f>4.0426 * CHOOSE(CONTROL!$C$32, $C$9, 100%, $E$9)</f>
        <v>4.0426000000000002</v>
      </c>
      <c r="N72" s="33">
        <f>4.0389 * CHOOSE(CONTROL!$C$32, $C$9, 100%, $E$9)</f>
        <v>4.0388999999999999</v>
      </c>
      <c r="O72" s="33">
        <f>4.0426 * CHOOSE(CONTROL!$C$32, $C$9, 100%, $E$9)</f>
        <v>4.0426000000000002</v>
      </c>
      <c r="P72" s="10"/>
      <c r="Q72" s="10"/>
      <c r="R72" s="10"/>
    </row>
    <row r="73" spans="1:18" ht="15" x14ac:dyDescent="0.2">
      <c r="A73" s="16">
        <v>43435</v>
      </c>
      <c r="B73" s="32">
        <f>3.4251 * CHOOSE(CONTROL!$C$32, $C$9, 100%, $E$9)</f>
        <v>3.4251</v>
      </c>
      <c r="C73" s="32">
        <f>3.4251 * CHOOSE(CONTROL!$C$32, $C$9, 100%, $E$9)</f>
        <v>3.4251</v>
      </c>
      <c r="D73" s="32">
        <f>3.4262 * CHOOSE(CONTROL!$C$32, $C$9, 100%, $E$9)</f>
        <v>3.4262000000000001</v>
      </c>
      <c r="E73" s="33">
        <f>4.0389 * CHOOSE(CONTROL!$C$32, $C$9, 100%, $E$9)</f>
        <v>4.0388999999999999</v>
      </c>
      <c r="F73" s="33">
        <f>4.0389 * CHOOSE(CONTROL!$C$32, $C$9, 100%, $E$9)</f>
        <v>4.0388999999999999</v>
      </c>
      <c r="G73" s="33">
        <f>4.0426 * CHOOSE(CONTROL!$C$32, $C$9, 100%, $E$9)</f>
        <v>4.0426000000000002</v>
      </c>
      <c r="H73" s="33">
        <f>6.5771 * CHOOSE(CONTROL!$C$32, $C$9, 100%, $E$9)</f>
        <v>6.5770999999999997</v>
      </c>
      <c r="I73" s="33">
        <f>6.5807 * CHOOSE(CONTROL!$C$32, $C$9, 100%, $E$9)</f>
        <v>6.5807000000000002</v>
      </c>
      <c r="J73" s="33">
        <f>6.5771 * CHOOSE(CONTROL!$C$32, $C$9, 100%, $E$9)</f>
        <v>6.5770999999999997</v>
      </c>
      <c r="K73" s="33">
        <f>6.5807 * CHOOSE(CONTROL!$C$32, $C$9, 100%, $E$9)</f>
        <v>6.5807000000000002</v>
      </c>
      <c r="L73" s="33">
        <f>4.0389 * CHOOSE(CONTROL!$C$32, $C$9, 100%, $E$9)</f>
        <v>4.0388999999999999</v>
      </c>
      <c r="M73" s="33">
        <f>4.0426 * CHOOSE(CONTROL!$C$32, $C$9, 100%, $E$9)</f>
        <v>4.0426000000000002</v>
      </c>
      <c r="N73" s="33">
        <f>4.0389 * CHOOSE(CONTROL!$C$32, $C$9, 100%, $E$9)</f>
        <v>4.0388999999999999</v>
      </c>
      <c r="O73" s="33">
        <f>4.0426 * CHOOSE(CONTROL!$C$32, $C$9, 100%, $E$9)</f>
        <v>4.0426000000000002</v>
      </c>
      <c r="P73" s="10"/>
      <c r="Q73" s="10"/>
      <c r="R73" s="10"/>
    </row>
    <row r="74" spans="1:18" ht="15" x14ac:dyDescent="0.2">
      <c r="A74" s="16">
        <v>43466</v>
      </c>
      <c r="B74" s="32">
        <f>3.206 * CHOOSE(CONTROL!$C$32, $C$9, 100%, $E$9)</f>
        <v>3.206</v>
      </c>
      <c r="C74" s="32">
        <f>3.206 * CHOOSE(CONTROL!$C$32, $C$9, 100%, $E$9)</f>
        <v>3.206</v>
      </c>
      <c r="D74" s="32">
        <f>3.2071 * CHOOSE(CONTROL!$C$32, $C$9, 100%, $E$9)</f>
        <v>3.2071000000000001</v>
      </c>
      <c r="E74" s="33">
        <f>4.0646 * CHOOSE(CONTROL!$C$32, $C$9, 100%, $E$9)</f>
        <v>4.0646000000000004</v>
      </c>
      <c r="F74" s="33">
        <f>4.0646 * CHOOSE(CONTROL!$C$32, $C$9, 100%, $E$9)</f>
        <v>4.0646000000000004</v>
      </c>
      <c r="G74" s="33">
        <f>4.0682 * CHOOSE(CONTROL!$C$32, $C$9, 100%, $E$9)</f>
        <v>4.0682</v>
      </c>
      <c r="H74" s="33">
        <f>6.5908 * CHOOSE(CONTROL!$C$32, $C$9, 100%, $E$9)</f>
        <v>6.5907999999999998</v>
      </c>
      <c r="I74" s="33">
        <f>6.5944 * CHOOSE(CONTROL!$C$32, $C$9, 100%, $E$9)</f>
        <v>6.5944000000000003</v>
      </c>
      <c r="J74" s="33">
        <f>6.5908 * CHOOSE(CONTROL!$C$32, $C$9, 100%, $E$9)</f>
        <v>6.5907999999999998</v>
      </c>
      <c r="K74" s="33">
        <f>6.5944 * CHOOSE(CONTROL!$C$32, $C$9, 100%, $E$9)</f>
        <v>6.5944000000000003</v>
      </c>
      <c r="L74" s="33">
        <f>4.0646 * CHOOSE(CONTROL!$C$32, $C$9, 100%, $E$9)</f>
        <v>4.0646000000000004</v>
      </c>
      <c r="M74" s="33">
        <f>4.0682 * CHOOSE(CONTROL!$C$32, $C$9, 100%, $E$9)</f>
        <v>4.0682</v>
      </c>
      <c r="N74" s="33">
        <f>4.0646 * CHOOSE(CONTROL!$C$32, $C$9, 100%, $E$9)</f>
        <v>4.0646000000000004</v>
      </c>
      <c r="O74" s="33">
        <f>4.0682 * CHOOSE(CONTROL!$C$32, $C$9, 100%, $E$9)</f>
        <v>4.0682</v>
      </c>
      <c r="P74" s="10"/>
      <c r="Q74" s="10"/>
      <c r="R74" s="10"/>
    </row>
    <row r="75" spans="1:18" ht="15" x14ac:dyDescent="0.2">
      <c r="A75" s="16">
        <v>43497</v>
      </c>
      <c r="B75" s="32">
        <f>3.2029 * CHOOSE(CONTROL!$C$32, $C$9, 100%, $E$9)</f>
        <v>3.2029000000000001</v>
      </c>
      <c r="C75" s="32">
        <f>3.2029 * CHOOSE(CONTROL!$C$32, $C$9, 100%, $E$9)</f>
        <v>3.2029000000000001</v>
      </c>
      <c r="D75" s="32">
        <f>3.204 * CHOOSE(CONTROL!$C$32, $C$9, 100%, $E$9)</f>
        <v>3.2040000000000002</v>
      </c>
      <c r="E75" s="33">
        <f>4.0626 * CHOOSE(CONTROL!$C$32, $C$9, 100%, $E$9)</f>
        <v>4.0625999999999998</v>
      </c>
      <c r="F75" s="33">
        <f>4.0626 * CHOOSE(CONTROL!$C$32, $C$9, 100%, $E$9)</f>
        <v>4.0625999999999998</v>
      </c>
      <c r="G75" s="33">
        <f>4.0662 * CHOOSE(CONTROL!$C$32, $C$9, 100%, $E$9)</f>
        <v>4.0662000000000003</v>
      </c>
      <c r="H75" s="33">
        <f>6.6045 * CHOOSE(CONTROL!$C$32, $C$9, 100%, $E$9)</f>
        <v>6.6044999999999998</v>
      </c>
      <c r="I75" s="33">
        <f>6.6081 * CHOOSE(CONTROL!$C$32, $C$9, 100%, $E$9)</f>
        <v>6.6081000000000003</v>
      </c>
      <c r="J75" s="33">
        <f>6.6045 * CHOOSE(CONTROL!$C$32, $C$9, 100%, $E$9)</f>
        <v>6.6044999999999998</v>
      </c>
      <c r="K75" s="33">
        <f>6.6081 * CHOOSE(CONTROL!$C$32, $C$9, 100%, $E$9)</f>
        <v>6.6081000000000003</v>
      </c>
      <c r="L75" s="33">
        <f>4.0626 * CHOOSE(CONTROL!$C$32, $C$9, 100%, $E$9)</f>
        <v>4.0625999999999998</v>
      </c>
      <c r="M75" s="33">
        <f>4.0662 * CHOOSE(CONTROL!$C$32, $C$9, 100%, $E$9)</f>
        <v>4.0662000000000003</v>
      </c>
      <c r="N75" s="33">
        <f>4.0626 * CHOOSE(CONTROL!$C$32, $C$9, 100%, $E$9)</f>
        <v>4.0625999999999998</v>
      </c>
      <c r="O75" s="33">
        <f>4.0662 * CHOOSE(CONTROL!$C$32, $C$9, 100%, $E$9)</f>
        <v>4.0662000000000003</v>
      </c>
      <c r="P75" s="10"/>
      <c r="Q75" s="10"/>
      <c r="R75" s="10"/>
    </row>
    <row r="76" spans="1:18" ht="15" x14ac:dyDescent="0.2">
      <c r="A76" s="16">
        <v>43525</v>
      </c>
      <c r="B76" s="32">
        <f>3.1999 * CHOOSE(CONTROL!$C$32, $C$9, 100%, $E$9)</f>
        <v>3.1999</v>
      </c>
      <c r="C76" s="32">
        <f>3.1999 * CHOOSE(CONTROL!$C$32, $C$9, 100%, $E$9)</f>
        <v>3.1999</v>
      </c>
      <c r="D76" s="32">
        <f>3.201 * CHOOSE(CONTROL!$C$32, $C$9, 100%, $E$9)</f>
        <v>3.2010000000000001</v>
      </c>
      <c r="E76" s="33">
        <f>4.0606 * CHOOSE(CONTROL!$C$32, $C$9, 100%, $E$9)</f>
        <v>4.0606</v>
      </c>
      <c r="F76" s="33">
        <f>4.0606 * CHOOSE(CONTROL!$C$32, $C$9, 100%, $E$9)</f>
        <v>4.0606</v>
      </c>
      <c r="G76" s="33">
        <f>4.0642 * CHOOSE(CONTROL!$C$32, $C$9, 100%, $E$9)</f>
        <v>4.0641999999999996</v>
      </c>
      <c r="H76" s="33">
        <f>6.6183 * CHOOSE(CONTROL!$C$32, $C$9, 100%, $E$9)</f>
        <v>6.6182999999999996</v>
      </c>
      <c r="I76" s="33">
        <f>6.6219 * CHOOSE(CONTROL!$C$32, $C$9, 100%, $E$9)</f>
        <v>6.6219000000000001</v>
      </c>
      <c r="J76" s="33">
        <f>6.6183 * CHOOSE(CONTROL!$C$32, $C$9, 100%, $E$9)</f>
        <v>6.6182999999999996</v>
      </c>
      <c r="K76" s="33">
        <f>6.6219 * CHOOSE(CONTROL!$C$32, $C$9, 100%, $E$9)</f>
        <v>6.6219000000000001</v>
      </c>
      <c r="L76" s="33">
        <f>4.0606 * CHOOSE(CONTROL!$C$32, $C$9, 100%, $E$9)</f>
        <v>4.0606</v>
      </c>
      <c r="M76" s="33">
        <f>4.0642 * CHOOSE(CONTROL!$C$32, $C$9, 100%, $E$9)</f>
        <v>4.0641999999999996</v>
      </c>
      <c r="N76" s="33">
        <f>4.0606 * CHOOSE(CONTROL!$C$32, $C$9, 100%, $E$9)</f>
        <v>4.0606</v>
      </c>
      <c r="O76" s="33">
        <f>4.0642 * CHOOSE(CONTROL!$C$32, $C$9, 100%, $E$9)</f>
        <v>4.0641999999999996</v>
      </c>
      <c r="P76" s="10"/>
      <c r="Q76" s="10"/>
      <c r="R76" s="10"/>
    </row>
    <row r="77" spans="1:18" ht="15" x14ac:dyDescent="0.2">
      <c r="A77" s="16">
        <v>43556</v>
      </c>
      <c r="B77" s="32">
        <f>3.1968 * CHOOSE(CONTROL!$C$32, $C$9, 100%, $E$9)</f>
        <v>3.1968000000000001</v>
      </c>
      <c r="C77" s="32">
        <f>3.1968 * CHOOSE(CONTROL!$C$32, $C$9, 100%, $E$9)</f>
        <v>3.1968000000000001</v>
      </c>
      <c r="D77" s="32">
        <f>3.1979 * CHOOSE(CONTROL!$C$32, $C$9, 100%, $E$9)</f>
        <v>3.1979000000000002</v>
      </c>
      <c r="E77" s="33">
        <f>4.0581 * CHOOSE(CONTROL!$C$32, $C$9, 100%, $E$9)</f>
        <v>4.0580999999999996</v>
      </c>
      <c r="F77" s="33">
        <f>4.0581 * CHOOSE(CONTROL!$C$32, $C$9, 100%, $E$9)</f>
        <v>4.0580999999999996</v>
      </c>
      <c r="G77" s="33">
        <f>4.0617 * CHOOSE(CONTROL!$C$32, $C$9, 100%, $E$9)</f>
        <v>4.0617000000000001</v>
      </c>
      <c r="H77" s="33">
        <f>6.6321 * CHOOSE(CONTROL!$C$32, $C$9, 100%, $E$9)</f>
        <v>6.6321000000000003</v>
      </c>
      <c r="I77" s="33">
        <f>6.6357 * CHOOSE(CONTROL!$C$32, $C$9, 100%, $E$9)</f>
        <v>6.6356999999999999</v>
      </c>
      <c r="J77" s="33">
        <f>6.6321 * CHOOSE(CONTROL!$C$32, $C$9, 100%, $E$9)</f>
        <v>6.6321000000000003</v>
      </c>
      <c r="K77" s="33">
        <f>6.6357 * CHOOSE(CONTROL!$C$32, $C$9, 100%, $E$9)</f>
        <v>6.6356999999999999</v>
      </c>
      <c r="L77" s="33">
        <f>4.0581 * CHOOSE(CONTROL!$C$32, $C$9, 100%, $E$9)</f>
        <v>4.0580999999999996</v>
      </c>
      <c r="M77" s="33">
        <f>4.0617 * CHOOSE(CONTROL!$C$32, $C$9, 100%, $E$9)</f>
        <v>4.0617000000000001</v>
      </c>
      <c r="N77" s="33">
        <f>4.0581 * CHOOSE(CONTROL!$C$32, $C$9, 100%, $E$9)</f>
        <v>4.0580999999999996</v>
      </c>
      <c r="O77" s="33">
        <f>4.0617 * CHOOSE(CONTROL!$C$32, $C$9, 100%, $E$9)</f>
        <v>4.0617000000000001</v>
      </c>
      <c r="P77" s="10"/>
      <c r="Q77" s="10"/>
      <c r="R77" s="10"/>
    </row>
    <row r="78" spans="1:18" ht="15" x14ac:dyDescent="0.2">
      <c r="A78" s="16">
        <v>43586</v>
      </c>
      <c r="B78" s="32">
        <f>3.1968 * CHOOSE(CONTROL!$C$32, $C$9, 100%, $E$9)</f>
        <v>3.1968000000000001</v>
      </c>
      <c r="C78" s="32">
        <f>3.1968 * CHOOSE(CONTROL!$C$32, $C$9, 100%, $E$9)</f>
        <v>3.1968000000000001</v>
      </c>
      <c r="D78" s="32">
        <f>3.1984 * CHOOSE(CONTROL!$C$32, $C$9, 100%, $E$9)</f>
        <v>3.1983999999999999</v>
      </c>
      <c r="E78" s="33">
        <f>4.0581 * CHOOSE(CONTROL!$C$32, $C$9, 100%, $E$9)</f>
        <v>4.0580999999999996</v>
      </c>
      <c r="F78" s="33">
        <f>4.0581 * CHOOSE(CONTROL!$C$32, $C$9, 100%, $E$9)</f>
        <v>4.0580999999999996</v>
      </c>
      <c r="G78" s="33">
        <f>4.0634 * CHOOSE(CONTROL!$C$32, $C$9, 100%, $E$9)</f>
        <v>4.0633999999999997</v>
      </c>
      <c r="H78" s="33">
        <f>6.6459 * CHOOSE(CONTROL!$C$32, $C$9, 100%, $E$9)</f>
        <v>6.6459000000000001</v>
      </c>
      <c r="I78" s="33">
        <f>6.6512 * CHOOSE(CONTROL!$C$32, $C$9, 100%, $E$9)</f>
        <v>6.6512000000000002</v>
      </c>
      <c r="J78" s="33">
        <f>6.6459 * CHOOSE(CONTROL!$C$32, $C$9, 100%, $E$9)</f>
        <v>6.6459000000000001</v>
      </c>
      <c r="K78" s="33">
        <f>6.6512 * CHOOSE(CONTROL!$C$32, $C$9, 100%, $E$9)</f>
        <v>6.6512000000000002</v>
      </c>
      <c r="L78" s="33">
        <f>4.0581 * CHOOSE(CONTROL!$C$32, $C$9, 100%, $E$9)</f>
        <v>4.0580999999999996</v>
      </c>
      <c r="M78" s="33">
        <f>4.0634 * CHOOSE(CONTROL!$C$32, $C$9, 100%, $E$9)</f>
        <v>4.0633999999999997</v>
      </c>
      <c r="N78" s="33">
        <f>4.0581 * CHOOSE(CONTROL!$C$32, $C$9, 100%, $E$9)</f>
        <v>4.0580999999999996</v>
      </c>
      <c r="O78" s="33">
        <f>4.0634 * CHOOSE(CONTROL!$C$32, $C$9, 100%, $E$9)</f>
        <v>4.0633999999999997</v>
      </c>
      <c r="P78" s="10"/>
      <c r="Q78" s="10"/>
      <c r="R78" s="10"/>
    </row>
    <row r="79" spans="1:18" ht="15" x14ac:dyDescent="0.2">
      <c r="A79" s="16">
        <v>43617</v>
      </c>
      <c r="B79" s="32">
        <f>3.2029 * CHOOSE(CONTROL!$C$32, $C$9, 100%, $E$9)</f>
        <v>3.2029000000000001</v>
      </c>
      <c r="C79" s="32">
        <f>3.2029 * CHOOSE(CONTROL!$C$32, $C$9, 100%, $E$9)</f>
        <v>3.2029000000000001</v>
      </c>
      <c r="D79" s="32">
        <f>3.2045 * CHOOSE(CONTROL!$C$32, $C$9, 100%, $E$9)</f>
        <v>3.2044999999999999</v>
      </c>
      <c r="E79" s="33">
        <f>4.0621 * CHOOSE(CONTROL!$C$32, $C$9, 100%, $E$9)</f>
        <v>4.0621</v>
      </c>
      <c r="F79" s="33">
        <f>4.0621 * CHOOSE(CONTROL!$C$32, $C$9, 100%, $E$9)</f>
        <v>4.0621</v>
      </c>
      <c r="G79" s="33">
        <f>4.0674 * CHOOSE(CONTROL!$C$32, $C$9, 100%, $E$9)</f>
        <v>4.0674000000000001</v>
      </c>
      <c r="H79" s="33">
        <f>6.6597 * CHOOSE(CONTROL!$C$32, $C$9, 100%, $E$9)</f>
        <v>6.6597</v>
      </c>
      <c r="I79" s="33">
        <f>6.665 * CHOOSE(CONTROL!$C$32, $C$9, 100%, $E$9)</f>
        <v>6.665</v>
      </c>
      <c r="J79" s="33">
        <f>6.6597 * CHOOSE(CONTROL!$C$32, $C$9, 100%, $E$9)</f>
        <v>6.6597</v>
      </c>
      <c r="K79" s="33">
        <f>6.665 * CHOOSE(CONTROL!$C$32, $C$9, 100%, $E$9)</f>
        <v>6.665</v>
      </c>
      <c r="L79" s="33">
        <f>4.0621 * CHOOSE(CONTROL!$C$32, $C$9, 100%, $E$9)</f>
        <v>4.0621</v>
      </c>
      <c r="M79" s="33">
        <f>4.0674 * CHOOSE(CONTROL!$C$32, $C$9, 100%, $E$9)</f>
        <v>4.0674000000000001</v>
      </c>
      <c r="N79" s="33">
        <f>4.0621 * CHOOSE(CONTROL!$C$32, $C$9, 100%, $E$9)</f>
        <v>4.0621</v>
      </c>
      <c r="O79" s="33">
        <f>4.0674 * CHOOSE(CONTROL!$C$32, $C$9, 100%, $E$9)</f>
        <v>4.0674000000000001</v>
      </c>
      <c r="P79" s="10"/>
      <c r="Q79" s="10"/>
      <c r="R79" s="10"/>
    </row>
    <row r="80" spans="1:18" ht="15" x14ac:dyDescent="0.2">
      <c r="A80" s="16">
        <v>43647</v>
      </c>
      <c r="B80" s="32">
        <f>3.243 * CHOOSE(CONTROL!$C$32, $C$9, 100%, $E$9)</f>
        <v>3.2429999999999999</v>
      </c>
      <c r="C80" s="32">
        <f>3.243 * CHOOSE(CONTROL!$C$32, $C$9, 100%, $E$9)</f>
        <v>3.2429999999999999</v>
      </c>
      <c r="D80" s="32">
        <f>3.2446 * CHOOSE(CONTROL!$C$32, $C$9, 100%, $E$9)</f>
        <v>3.2446000000000002</v>
      </c>
      <c r="E80" s="33">
        <f>4.1173 * CHOOSE(CONTROL!$C$32, $C$9, 100%, $E$9)</f>
        <v>4.1173000000000002</v>
      </c>
      <c r="F80" s="33">
        <f>4.1173 * CHOOSE(CONTROL!$C$32, $C$9, 100%, $E$9)</f>
        <v>4.1173000000000002</v>
      </c>
      <c r="G80" s="33">
        <f>4.1226 * CHOOSE(CONTROL!$C$32, $C$9, 100%, $E$9)</f>
        <v>4.1226000000000003</v>
      </c>
      <c r="H80" s="33">
        <f>6.6736 * CHOOSE(CONTROL!$C$32, $C$9, 100%, $E$9)</f>
        <v>6.6736000000000004</v>
      </c>
      <c r="I80" s="33">
        <f>6.6789 * CHOOSE(CONTROL!$C$32, $C$9, 100%, $E$9)</f>
        <v>6.6788999999999996</v>
      </c>
      <c r="J80" s="33">
        <f>6.6736 * CHOOSE(CONTROL!$C$32, $C$9, 100%, $E$9)</f>
        <v>6.6736000000000004</v>
      </c>
      <c r="K80" s="33">
        <f>6.6789 * CHOOSE(CONTROL!$C$32, $C$9, 100%, $E$9)</f>
        <v>6.6788999999999996</v>
      </c>
      <c r="L80" s="33">
        <f>4.1173 * CHOOSE(CONTROL!$C$32, $C$9, 100%, $E$9)</f>
        <v>4.1173000000000002</v>
      </c>
      <c r="M80" s="33">
        <f>4.1226 * CHOOSE(CONTROL!$C$32, $C$9, 100%, $E$9)</f>
        <v>4.1226000000000003</v>
      </c>
      <c r="N80" s="33">
        <f>4.1173 * CHOOSE(CONTROL!$C$32, $C$9, 100%, $E$9)</f>
        <v>4.1173000000000002</v>
      </c>
      <c r="O80" s="33">
        <f>4.1226 * CHOOSE(CONTROL!$C$32, $C$9, 100%, $E$9)</f>
        <v>4.1226000000000003</v>
      </c>
      <c r="P80" s="10"/>
      <c r="Q80" s="10"/>
      <c r="R80" s="10"/>
    </row>
    <row r="81" spans="1:18" ht="15" x14ac:dyDescent="0.2">
      <c r="A81" s="16">
        <v>43678</v>
      </c>
      <c r="B81" s="32">
        <f>3.2497 * CHOOSE(CONTROL!$C$32, $C$9, 100%, $E$9)</f>
        <v>3.2496999999999998</v>
      </c>
      <c r="C81" s="32">
        <f>3.2497 * CHOOSE(CONTROL!$C$32, $C$9, 100%, $E$9)</f>
        <v>3.2496999999999998</v>
      </c>
      <c r="D81" s="32">
        <f>3.2512 * CHOOSE(CONTROL!$C$32, $C$9, 100%, $E$9)</f>
        <v>3.2511999999999999</v>
      </c>
      <c r="E81" s="33">
        <f>4.1217 * CHOOSE(CONTROL!$C$32, $C$9, 100%, $E$9)</f>
        <v>4.1216999999999997</v>
      </c>
      <c r="F81" s="33">
        <f>4.1217 * CHOOSE(CONTROL!$C$32, $C$9, 100%, $E$9)</f>
        <v>4.1216999999999997</v>
      </c>
      <c r="G81" s="33">
        <f>4.127 * CHOOSE(CONTROL!$C$32, $C$9, 100%, $E$9)</f>
        <v>4.1269999999999998</v>
      </c>
      <c r="H81" s="33">
        <f>6.6875 * CHOOSE(CONTROL!$C$32, $C$9, 100%, $E$9)</f>
        <v>6.6875</v>
      </c>
      <c r="I81" s="33">
        <f>6.6928 * CHOOSE(CONTROL!$C$32, $C$9, 100%, $E$9)</f>
        <v>6.6928000000000001</v>
      </c>
      <c r="J81" s="33">
        <f>6.6875 * CHOOSE(CONTROL!$C$32, $C$9, 100%, $E$9)</f>
        <v>6.6875</v>
      </c>
      <c r="K81" s="33">
        <f>6.6928 * CHOOSE(CONTROL!$C$32, $C$9, 100%, $E$9)</f>
        <v>6.6928000000000001</v>
      </c>
      <c r="L81" s="33">
        <f>4.1217 * CHOOSE(CONTROL!$C$32, $C$9, 100%, $E$9)</f>
        <v>4.1216999999999997</v>
      </c>
      <c r="M81" s="33">
        <f>4.127 * CHOOSE(CONTROL!$C$32, $C$9, 100%, $E$9)</f>
        <v>4.1269999999999998</v>
      </c>
      <c r="N81" s="33">
        <f>4.1217 * CHOOSE(CONTROL!$C$32, $C$9, 100%, $E$9)</f>
        <v>4.1216999999999997</v>
      </c>
      <c r="O81" s="33">
        <f>4.127 * CHOOSE(CONTROL!$C$32, $C$9, 100%, $E$9)</f>
        <v>4.1269999999999998</v>
      </c>
      <c r="P81" s="10"/>
      <c r="Q81" s="10"/>
      <c r="R81" s="10"/>
    </row>
    <row r="82" spans="1:18" ht="15" x14ac:dyDescent="0.2">
      <c r="A82" s="16">
        <v>43709</v>
      </c>
      <c r="B82" s="32">
        <f>3.2466 * CHOOSE(CONTROL!$C$32, $C$9, 100%, $E$9)</f>
        <v>3.2465999999999999</v>
      </c>
      <c r="C82" s="32">
        <f>3.2466 * CHOOSE(CONTROL!$C$32, $C$9, 100%, $E$9)</f>
        <v>3.2465999999999999</v>
      </c>
      <c r="D82" s="32">
        <f>3.2482 * CHOOSE(CONTROL!$C$32, $C$9, 100%, $E$9)</f>
        <v>3.2482000000000002</v>
      </c>
      <c r="E82" s="33">
        <f>4.1197 * CHOOSE(CONTROL!$C$32, $C$9, 100%, $E$9)</f>
        <v>4.1196999999999999</v>
      </c>
      <c r="F82" s="33">
        <f>4.1197 * CHOOSE(CONTROL!$C$32, $C$9, 100%, $E$9)</f>
        <v>4.1196999999999999</v>
      </c>
      <c r="G82" s="33">
        <f>4.125 * CHOOSE(CONTROL!$C$32, $C$9, 100%, $E$9)</f>
        <v>4.125</v>
      </c>
      <c r="H82" s="33">
        <f>6.7014 * CHOOSE(CONTROL!$C$32, $C$9, 100%, $E$9)</f>
        <v>6.7013999999999996</v>
      </c>
      <c r="I82" s="33">
        <f>6.7067 * CHOOSE(CONTROL!$C$32, $C$9, 100%, $E$9)</f>
        <v>6.7066999999999997</v>
      </c>
      <c r="J82" s="33">
        <f>6.7014 * CHOOSE(CONTROL!$C$32, $C$9, 100%, $E$9)</f>
        <v>6.7013999999999996</v>
      </c>
      <c r="K82" s="33">
        <f>6.7067 * CHOOSE(CONTROL!$C$32, $C$9, 100%, $E$9)</f>
        <v>6.7066999999999997</v>
      </c>
      <c r="L82" s="33">
        <f>4.1197 * CHOOSE(CONTROL!$C$32, $C$9, 100%, $E$9)</f>
        <v>4.1196999999999999</v>
      </c>
      <c r="M82" s="33">
        <f>4.125 * CHOOSE(CONTROL!$C$32, $C$9, 100%, $E$9)</f>
        <v>4.125</v>
      </c>
      <c r="N82" s="33">
        <f>4.1197 * CHOOSE(CONTROL!$C$32, $C$9, 100%, $E$9)</f>
        <v>4.1196999999999999</v>
      </c>
      <c r="O82" s="33">
        <f>4.125 * CHOOSE(CONTROL!$C$32, $C$9, 100%, $E$9)</f>
        <v>4.125</v>
      </c>
      <c r="P82" s="10"/>
      <c r="Q82" s="10"/>
      <c r="R82" s="10"/>
    </row>
    <row r="83" spans="1:18" ht="15" x14ac:dyDescent="0.2">
      <c r="A83" s="16">
        <v>43739</v>
      </c>
      <c r="B83" s="32">
        <f>3.239 * CHOOSE(CONTROL!$C$32, $C$9, 100%, $E$9)</f>
        <v>3.2389999999999999</v>
      </c>
      <c r="C83" s="32">
        <f>3.239 * CHOOSE(CONTROL!$C$32, $C$9, 100%, $E$9)</f>
        <v>3.2389999999999999</v>
      </c>
      <c r="D83" s="32">
        <f>3.24 * CHOOSE(CONTROL!$C$32, $C$9, 100%, $E$9)</f>
        <v>3.24</v>
      </c>
      <c r="E83" s="33">
        <f>4.113 * CHOOSE(CONTROL!$C$32, $C$9, 100%, $E$9)</f>
        <v>4.1130000000000004</v>
      </c>
      <c r="F83" s="33">
        <f>4.113 * CHOOSE(CONTROL!$C$32, $C$9, 100%, $E$9)</f>
        <v>4.1130000000000004</v>
      </c>
      <c r="G83" s="33">
        <f>4.1166 * CHOOSE(CONTROL!$C$32, $C$9, 100%, $E$9)</f>
        <v>4.1166</v>
      </c>
      <c r="H83" s="33">
        <f>6.7154 * CHOOSE(CONTROL!$C$32, $C$9, 100%, $E$9)</f>
        <v>6.7153999999999998</v>
      </c>
      <c r="I83" s="33">
        <f>6.719 * CHOOSE(CONTROL!$C$32, $C$9, 100%, $E$9)</f>
        <v>6.7190000000000003</v>
      </c>
      <c r="J83" s="33">
        <f>6.7154 * CHOOSE(CONTROL!$C$32, $C$9, 100%, $E$9)</f>
        <v>6.7153999999999998</v>
      </c>
      <c r="K83" s="33">
        <f>6.719 * CHOOSE(CONTROL!$C$32, $C$9, 100%, $E$9)</f>
        <v>6.7190000000000003</v>
      </c>
      <c r="L83" s="33">
        <f>4.113 * CHOOSE(CONTROL!$C$32, $C$9, 100%, $E$9)</f>
        <v>4.1130000000000004</v>
      </c>
      <c r="M83" s="33">
        <f>4.1166 * CHOOSE(CONTROL!$C$32, $C$9, 100%, $E$9)</f>
        <v>4.1166</v>
      </c>
      <c r="N83" s="33">
        <f>4.113 * CHOOSE(CONTROL!$C$32, $C$9, 100%, $E$9)</f>
        <v>4.1130000000000004</v>
      </c>
      <c r="O83" s="33">
        <f>4.1166 * CHOOSE(CONTROL!$C$32, $C$9, 100%, $E$9)</f>
        <v>4.1166</v>
      </c>
      <c r="P83" s="10"/>
      <c r="Q83" s="10"/>
      <c r="R83" s="10"/>
    </row>
    <row r="84" spans="1:18" ht="15" x14ac:dyDescent="0.2">
      <c r="A84" s="16">
        <v>43770</v>
      </c>
      <c r="B84" s="32">
        <f>3.242 * CHOOSE(CONTROL!$C$32, $C$9, 100%, $E$9)</f>
        <v>3.242</v>
      </c>
      <c r="C84" s="32">
        <f>3.242 * CHOOSE(CONTROL!$C$32, $C$9, 100%, $E$9)</f>
        <v>3.242</v>
      </c>
      <c r="D84" s="32">
        <f>3.2431 * CHOOSE(CONTROL!$C$32, $C$9, 100%, $E$9)</f>
        <v>3.2431000000000001</v>
      </c>
      <c r="E84" s="33">
        <f>4.115 * CHOOSE(CONTROL!$C$32, $C$9, 100%, $E$9)</f>
        <v>4.1150000000000002</v>
      </c>
      <c r="F84" s="33">
        <f>4.115 * CHOOSE(CONTROL!$C$32, $C$9, 100%, $E$9)</f>
        <v>4.1150000000000002</v>
      </c>
      <c r="G84" s="33">
        <f>4.1186 * CHOOSE(CONTROL!$C$32, $C$9, 100%, $E$9)</f>
        <v>4.1185999999999998</v>
      </c>
      <c r="H84" s="33">
        <f>6.7294 * CHOOSE(CONTROL!$C$32, $C$9, 100%, $E$9)</f>
        <v>6.7294</v>
      </c>
      <c r="I84" s="33">
        <f>6.733 * CHOOSE(CONTROL!$C$32, $C$9, 100%, $E$9)</f>
        <v>6.7329999999999997</v>
      </c>
      <c r="J84" s="33">
        <f>6.7294 * CHOOSE(CONTROL!$C$32, $C$9, 100%, $E$9)</f>
        <v>6.7294</v>
      </c>
      <c r="K84" s="33">
        <f>6.733 * CHOOSE(CONTROL!$C$32, $C$9, 100%, $E$9)</f>
        <v>6.7329999999999997</v>
      </c>
      <c r="L84" s="33">
        <f>4.115 * CHOOSE(CONTROL!$C$32, $C$9, 100%, $E$9)</f>
        <v>4.1150000000000002</v>
      </c>
      <c r="M84" s="33">
        <f>4.1186 * CHOOSE(CONTROL!$C$32, $C$9, 100%, $E$9)</f>
        <v>4.1185999999999998</v>
      </c>
      <c r="N84" s="33">
        <f>4.115 * CHOOSE(CONTROL!$C$32, $C$9, 100%, $E$9)</f>
        <v>4.1150000000000002</v>
      </c>
      <c r="O84" s="33">
        <f>4.1186 * CHOOSE(CONTROL!$C$32, $C$9, 100%, $E$9)</f>
        <v>4.1185999999999998</v>
      </c>
      <c r="P84" s="10"/>
      <c r="Q84" s="10"/>
      <c r="R84" s="10"/>
    </row>
    <row r="85" spans="1:18" ht="15" x14ac:dyDescent="0.2">
      <c r="A85" s="16">
        <v>43800</v>
      </c>
      <c r="B85" s="32">
        <f>3.242 * CHOOSE(CONTROL!$C$32, $C$9, 100%, $E$9)</f>
        <v>3.242</v>
      </c>
      <c r="C85" s="32">
        <f>3.242 * CHOOSE(CONTROL!$C$32, $C$9, 100%, $E$9)</f>
        <v>3.242</v>
      </c>
      <c r="D85" s="32">
        <f>3.2431 * CHOOSE(CONTROL!$C$32, $C$9, 100%, $E$9)</f>
        <v>3.2431000000000001</v>
      </c>
      <c r="E85" s="33">
        <f>4.115 * CHOOSE(CONTROL!$C$32, $C$9, 100%, $E$9)</f>
        <v>4.1150000000000002</v>
      </c>
      <c r="F85" s="33">
        <f>4.115 * CHOOSE(CONTROL!$C$32, $C$9, 100%, $E$9)</f>
        <v>4.1150000000000002</v>
      </c>
      <c r="G85" s="33">
        <f>4.1186 * CHOOSE(CONTROL!$C$32, $C$9, 100%, $E$9)</f>
        <v>4.1185999999999998</v>
      </c>
      <c r="H85" s="33">
        <f>6.7434 * CHOOSE(CONTROL!$C$32, $C$9, 100%, $E$9)</f>
        <v>6.7434000000000003</v>
      </c>
      <c r="I85" s="33">
        <f>6.747 * CHOOSE(CONTROL!$C$32, $C$9, 100%, $E$9)</f>
        <v>6.7469999999999999</v>
      </c>
      <c r="J85" s="33">
        <f>6.7434 * CHOOSE(CONTROL!$C$32, $C$9, 100%, $E$9)</f>
        <v>6.7434000000000003</v>
      </c>
      <c r="K85" s="33">
        <f>6.747 * CHOOSE(CONTROL!$C$32, $C$9, 100%, $E$9)</f>
        <v>6.7469999999999999</v>
      </c>
      <c r="L85" s="33">
        <f>4.115 * CHOOSE(CONTROL!$C$32, $C$9, 100%, $E$9)</f>
        <v>4.1150000000000002</v>
      </c>
      <c r="M85" s="33">
        <f>4.1186 * CHOOSE(CONTROL!$C$32, $C$9, 100%, $E$9)</f>
        <v>4.1185999999999998</v>
      </c>
      <c r="N85" s="33">
        <f>4.115 * CHOOSE(CONTROL!$C$32, $C$9, 100%, $E$9)</f>
        <v>4.1150000000000002</v>
      </c>
      <c r="O85" s="33">
        <f>4.1186 * CHOOSE(CONTROL!$C$32, $C$9, 100%, $E$9)</f>
        <v>4.1185999999999998</v>
      </c>
      <c r="P85" s="10"/>
      <c r="Q85" s="10"/>
      <c r="R85" s="10"/>
    </row>
    <row r="86" spans="1:18" ht="15" x14ac:dyDescent="0.2">
      <c r="A86" s="16">
        <v>43831</v>
      </c>
      <c r="B86" s="32">
        <f>3.2675 * CHOOSE(CONTROL!$C$32, $C$9, 100%, $E$9)</f>
        <v>3.2675000000000001</v>
      </c>
      <c r="C86" s="32">
        <f>3.2675 * CHOOSE(CONTROL!$C$32, $C$9, 100%, $E$9)</f>
        <v>3.2675000000000001</v>
      </c>
      <c r="D86" s="32">
        <f>3.2686 * CHOOSE(CONTROL!$C$32, $C$9, 100%, $E$9)</f>
        <v>3.2686000000000002</v>
      </c>
      <c r="E86" s="33">
        <f>4.148 * CHOOSE(CONTROL!$C$32, $C$9, 100%, $E$9)</f>
        <v>4.1479999999999997</v>
      </c>
      <c r="F86" s="33">
        <f>4.148 * CHOOSE(CONTROL!$C$32, $C$9, 100%, $E$9)</f>
        <v>4.1479999999999997</v>
      </c>
      <c r="G86" s="33">
        <f>4.1516 * CHOOSE(CONTROL!$C$32, $C$9, 100%, $E$9)</f>
        <v>4.1516000000000002</v>
      </c>
      <c r="H86" s="33">
        <f>6.7574 * CHOOSE(CONTROL!$C$32, $C$9, 100%, $E$9)</f>
        <v>6.7573999999999996</v>
      </c>
      <c r="I86" s="33">
        <f>6.7611 * CHOOSE(CONTROL!$C$32, $C$9, 100%, $E$9)</f>
        <v>6.7610999999999999</v>
      </c>
      <c r="J86" s="33">
        <f>6.7574 * CHOOSE(CONTROL!$C$32, $C$9, 100%, $E$9)</f>
        <v>6.7573999999999996</v>
      </c>
      <c r="K86" s="33">
        <f>6.7611 * CHOOSE(CONTROL!$C$32, $C$9, 100%, $E$9)</f>
        <v>6.7610999999999999</v>
      </c>
      <c r="L86" s="33">
        <f>4.148 * CHOOSE(CONTROL!$C$32, $C$9, 100%, $E$9)</f>
        <v>4.1479999999999997</v>
      </c>
      <c r="M86" s="33">
        <f>4.1516 * CHOOSE(CONTROL!$C$32, $C$9, 100%, $E$9)</f>
        <v>4.1516000000000002</v>
      </c>
      <c r="N86" s="33">
        <f>4.148 * CHOOSE(CONTROL!$C$32, $C$9, 100%, $E$9)</f>
        <v>4.1479999999999997</v>
      </c>
      <c r="O86" s="33">
        <f>4.1516 * CHOOSE(CONTROL!$C$32, $C$9, 100%, $E$9)</f>
        <v>4.1516000000000002</v>
      </c>
      <c r="P86" s="10"/>
      <c r="Q86" s="10"/>
      <c r="R86" s="10"/>
    </row>
    <row r="87" spans="1:18" ht="15" x14ac:dyDescent="0.2">
      <c r="A87" s="16">
        <v>43862</v>
      </c>
      <c r="B87" s="32">
        <f>3.2644 * CHOOSE(CONTROL!$C$32, $C$9, 100%, $E$9)</f>
        <v>3.2644000000000002</v>
      </c>
      <c r="C87" s="32">
        <f>3.2644 * CHOOSE(CONTROL!$C$32, $C$9, 100%, $E$9)</f>
        <v>3.2644000000000002</v>
      </c>
      <c r="D87" s="32">
        <f>3.2655 * CHOOSE(CONTROL!$C$32, $C$9, 100%, $E$9)</f>
        <v>3.2654999999999998</v>
      </c>
      <c r="E87" s="33">
        <f>4.146 * CHOOSE(CONTROL!$C$32, $C$9, 100%, $E$9)</f>
        <v>4.1459999999999999</v>
      </c>
      <c r="F87" s="33">
        <f>4.146 * CHOOSE(CONTROL!$C$32, $C$9, 100%, $E$9)</f>
        <v>4.1459999999999999</v>
      </c>
      <c r="G87" s="33">
        <f>4.1496 * CHOOSE(CONTROL!$C$32, $C$9, 100%, $E$9)</f>
        <v>4.1496000000000004</v>
      </c>
      <c r="H87" s="33">
        <f>6.7715 * CHOOSE(CONTROL!$C$32, $C$9, 100%, $E$9)</f>
        <v>6.7714999999999996</v>
      </c>
      <c r="I87" s="33">
        <f>6.7751 * CHOOSE(CONTROL!$C$32, $C$9, 100%, $E$9)</f>
        <v>6.7751000000000001</v>
      </c>
      <c r="J87" s="33">
        <f>6.7715 * CHOOSE(CONTROL!$C$32, $C$9, 100%, $E$9)</f>
        <v>6.7714999999999996</v>
      </c>
      <c r="K87" s="33">
        <f>6.7751 * CHOOSE(CONTROL!$C$32, $C$9, 100%, $E$9)</f>
        <v>6.7751000000000001</v>
      </c>
      <c r="L87" s="33">
        <f>4.146 * CHOOSE(CONTROL!$C$32, $C$9, 100%, $E$9)</f>
        <v>4.1459999999999999</v>
      </c>
      <c r="M87" s="33">
        <f>4.1496 * CHOOSE(CONTROL!$C$32, $C$9, 100%, $E$9)</f>
        <v>4.1496000000000004</v>
      </c>
      <c r="N87" s="33">
        <f>4.146 * CHOOSE(CONTROL!$C$32, $C$9, 100%, $E$9)</f>
        <v>4.1459999999999999</v>
      </c>
      <c r="O87" s="33">
        <f>4.1496 * CHOOSE(CONTROL!$C$32, $C$9, 100%, $E$9)</f>
        <v>4.1496000000000004</v>
      </c>
      <c r="P87" s="10"/>
      <c r="Q87" s="10"/>
      <c r="R87" s="10"/>
    </row>
    <row r="88" spans="1:18" ht="15" x14ac:dyDescent="0.2">
      <c r="A88" s="16">
        <v>43891</v>
      </c>
      <c r="B88" s="32">
        <f>3.2614 * CHOOSE(CONTROL!$C$32, $C$9, 100%, $E$9)</f>
        <v>3.2614000000000001</v>
      </c>
      <c r="C88" s="32">
        <f>3.2614 * CHOOSE(CONTROL!$C$32, $C$9, 100%, $E$9)</f>
        <v>3.2614000000000001</v>
      </c>
      <c r="D88" s="32">
        <f>3.2625 * CHOOSE(CONTROL!$C$32, $C$9, 100%, $E$9)</f>
        <v>3.2625000000000002</v>
      </c>
      <c r="E88" s="33">
        <f>4.144 * CHOOSE(CONTROL!$C$32, $C$9, 100%, $E$9)</f>
        <v>4.1440000000000001</v>
      </c>
      <c r="F88" s="33">
        <f>4.144 * CHOOSE(CONTROL!$C$32, $C$9, 100%, $E$9)</f>
        <v>4.1440000000000001</v>
      </c>
      <c r="G88" s="33">
        <f>4.1476 * CHOOSE(CONTROL!$C$32, $C$9, 100%, $E$9)</f>
        <v>4.1475999999999997</v>
      </c>
      <c r="H88" s="33">
        <f>6.7856 * CHOOSE(CONTROL!$C$32, $C$9, 100%, $E$9)</f>
        <v>6.7855999999999996</v>
      </c>
      <c r="I88" s="33">
        <f>6.7892 * CHOOSE(CONTROL!$C$32, $C$9, 100%, $E$9)</f>
        <v>6.7892000000000001</v>
      </c>
      <c r="J88" s="33">
        <f>6.7856 * CHOOSE(CONTROL!$C$32, $C$9, 100%, $E$9)</f>
        <v>6.7855999999999996</v>
      </c>
      <c r="K88" s="33">
        <f>6.7892 * CHOOSE(CONTROL!$C$32, $C$9, 100%, $E$9)</f>
        <v>6.7892000000000001</v>
      </c>
      <c r="L88" s="33">
        <f>4.144 * CHOOSE(CONTROL!$C$32, $C$9, 100%, $E$9)</f>
        <v>4.1440000000000001</v>
      </c>
      <c r="M88" s="33">
        <f>4.1476 * CHOOSE(CONTROL!$C$32, $C$9, 100%, $E$9)</f>
        <v>4.1475999999999997</v>
      </c>
      <c r="N88" s="33">
        <f>4.144 * CHOOSE(CONTROL!$C$32, $C$9, 100%, $E$9)</f>
        <v>4.1440000000000001</v>
      </c>
      <c r="O88" s="33">
        <f>4.1476 * CHOOSE(CONTROL!$C$32, $C$9, 100%, $E$9)</f>
        <v>4.1475999999999997</v>
      </c>
      <c r="P88" s="10"/>
      <c r="Q88" s="10"/>
      <c r="R88" s="10"/>
    </row>
    <row r="89" spans="1:18" ht="15" x14ac:dyDescent="0.2">
      <c r="A89" s="16">
        <v>43922</v>
      </c>
      <c r="B89" s="32">
        <f>3.2584 * CHOOSE(CONTROL!$C$32, $C$9, 100%, $E$9)</f>
        <v>3.2584</v>
      </c>
      <c r="C89" s="32">
        <f>3.2584 * CHOOSE(CONTROL!$C$32, $C$9, 100%, $E$9)</f>
        <v>3.2584</v>
      </c>
      <c r="D89" s="32">
        <f>3.2594 * CHOOSE(CONTROL!$C$32, $C$9, 100%, $E$9)</f>
        <v>3.2593999999999999</v>
      </c>
      <c r="E89" s="33">
        <f>4.1415 * CHOOSE(CONTROL!$C$32, $C$9, 100%, $E$9)</f>
        <v>4.1414999999999997</v>
      </c>
      <c r="F89" s="33">
        <f>4.1415 * CHOOSE(CONTROL!$C$32, $C$9, 100%, $E$9)</f>
        <v>4.1414999999999997</v>
      </c>
      <c r="G89" s="33">
        <f>4.1451 * CHOOSE(CONTROL!$C$32, $C$9, 100%, $E$9)</f>
        <v>4.1451000000000002</v>
      </c>
      <c r="H89" s="33">
        <f>6.7998 * CHOOSE(CONTROL!$C$32, $C$9, 100%, $E$9)</f>
        <v>6.7998000000000003</v>
      </c>
      <c r="I89" s="33">
        <f>6.8034 * CHOOSE(CONTROL!$C$32, $C$9, 100%, $E$9)</f>
        <v>6.8033999999999999</v>
      </c>
      <c r="J89" s="33">
        <f>6.7998 * CHOOSE(CONTROL!$C$32, $C$9, 100%, $E$9)</f>
        <v>6.7998000000000003</v>
      </c>
      <c r="K89" s="33">
        <f>6.8034 * CHOOSE(CONTROL!$C$32, $C$9, 100%, $E$9)</f>
        <v>6.8033999999999999</v>
      </c>
      <c r="L89" s="33">
        <f>4.1415 * CHOOSE(CONTROL!$C$32, $C$9, 100%, $E$9)</f>
        <v>4.1414999999999997</v>
      </c>
      <c r="M89" s="33">
        <f>4.1451 * CHOOSE(CONTROL!$C$32, $C$9, 100%, $E$9)</f>
        <v>4.1451000000000002</v>
      </c>
      <c r="N89" s="33">
        <f>4.1415 * CHOOSE(CONTROL!$C$32, $C$9, 100%, $E$9)</f>
        <v>4.1414999999999997</v>
      </c>
      <c r="O89" s="33">
        <f>4.1451 * CHOOSE(CONTROL!$C$32, $C$9, 100%, $E$9)</f>
        <v>4.1451000000000002</v>
      </c>
      <c r="P89" s="10"/>
      <c r="Q89" s="10"/>
      <c r="R89" s="10"/>
    </row>
    <row r="90" spans="1:18" ht="15" x14ac:dyDescent="0.2">
      <c r="A90" s="16">
        <v>43952</v>
      </c>
      <c r="B90" s="32">
        <f>3.2584 * CHOOSE(CONTROL!$C$32, $C$9, 100%, $E$9)</f>
        <v>3.2584</v>
      </c>
      <c r="C90" s="32">
        <f>3.2584 * CHOOSE(CONTROL!$C$32, $C$9, 100%, $E$9)</f>
        <v>3.2584</v>
      </c>
      <c r="D90" s="32">
        <f>3.2599 * CHOOSE(CONTROL!$C$32, $C$9, 100%, $E$9)</f>
        <v>3.2599</v>
      </c>
      <c r="E90" s="33">
        <f>4.1415 * CHOOSE(CONTROL!$C$32, $C$9, 100%, $E$9)</f>
        <v>4.1414999999999997</v>
      </c>
      <c r="F90" s="33">
        <f>4.1415 * CHOOSE(CONTROL!$C$32, $C$9, 100%, $E$9)</f>
        <v>4.1414999999999997</v>
      </c>
      <c r="G90" s="33">
        <f>4.1468 * CHOOSE(CONTROL!$C$32, $C$9, 100%, $E$9)</f>
        <v>4.1467999999999998</v>
      </c>
      <c r="H90" s="33">
        <f>6.8139 * CHOOSE(CONTROL!$C$32, $C$9, 100%, $E$9)</f>
        <v>6.8139000000000003</v>
      </c>
      <c r="I90" s="33">
        <f>6.8192 * CHOOSE(CONTROL!$C$32, $C$9, 100%, $E$9)</f>
        <v>6.8192000000000004</v>
      </c>
      <c r="J90" s="33">
        <f>6.8139 * CHOOSE(CONTROL!$C$32, $C$9, 100%, $E$9)</f>
        <v>6.8139000000000003</v>
      </c>
      <c r="K90" s="33">
        <f>6.8192 * CHOOSE(CONTROL!$C$32, $C$9, 100%, $E$9)</f>
        <v>6.8192000000000004</v>
      </c>
      <c r="L90" s="33">
        <f>4.1415 * CHOOSE(CONTROL!$C$32, $C$9, 100%, $E$9)</f>
        <v>4.1414999999999997</v>
      </c>
      <c r="M90" s="33">
        <f>4.1468 * CHOOSE(CONTROL!$C$32, $C$9, 100%, $E$9)</f>
        <v>4.1467999999999998</v>
      </c>
      <c r="N90" s="33">
        <f>4.1415 * CHOOSE(CONTROL!$C$32, $C$9, 100%, $E$9)</f>
        <v>4.1414999999999997</v>
      </c>
      <c r="O90" s="33">
        <f>4.1468 * CHOOSE(CONTROL!$C$32, $C$9, 100%, $E$9)</f>
        <v>4.1467999999999998</v>
      </c>
      <c r="P90" s="10"/>
      <c r="Q90" s="10"/>
      <c r="R90" s="10"/>
    </row>
    <row r="91" spans="1:18" ht="15" x14ac:dyDescent="0.2">
      <c r="A91" s="16">
        <v>43983</v>
      </c>
      <c r="B91" s="32">
        <f>3.2644 * CHOOSE(CONTROL!$C$32, $C$9, 100%, $E$9)</f>
        <v>3.2644000000000002</v>
      </c>
      <c r="C91" s="32">
        <f>3.2644 * CHOOSE(CONTROL!$C$32, $C$9, 100%, $E$9)</f>
        <v>3.2644000000000002</v>
      </c>
      <c r="D91" s="32">
        <f>3.266 * CHOOSE(CONTROL!$C$32, $C$9, 100%, $E$9)</f>
        <v>3.266</v>
      </c>
      <c r="E91" s="33">
        <f>4.1455 * CHOOSE(CONTROL!$C$32, $C$9, 100%, $E$9)</f>
        <v>4.1455000000000002</v>
      </c>
      <c r="F91" s="33">
        <f>4.1455 * CHOOSE(CONTROL!$C$32, $C$9, 100%, $E$9)</f>
        <v>4.1455000000000002</v>
      </c>
      <c r="G91" s="33">
        <f>4.1508 * CHOOSE(CONTROL!$C$32, $C$9, 100%, $E$9)</f>
        <v>4.1508000000000003</v>
      </c>
      <c r="H91" s="33">
        <f>6.8281 * CHOOSE(CONTROL!$C$32, $C$9, 100%, $E$9)</f>
        <v>6.8281000000000001</v>
      </c>
      <c r="I91" s="33">
        <f>6.8334 * CHOOSE(CONTROL!$C$32, $C$9, 100%, $E$9)</f>
        <v>6.8334000000000001</v>
      </c>
      <c r="J91" s="33">
        <f>6.8281 * CHOOSE(CONTROL!$C$32, $C$9, 100%, $E$9)</f>
        <v>6.8281000000000001</v>
      </c>
      <c r="K91" s="33">
        <f>6.8334 * CHOOSE(CONTROL!$C$32, $C$9, 100%, $E$9)</f>
        <v>6.8334000000000001</v>
      </c>
      <c r="L91" s="33">
        <f>4.1455 * CHOOSE(CONTROL!$C$32, $C$9, 100%, $E$9)</f>
        <v>4.1455000000000002</v>
      </c>
      <c r="M91" s="33">
        <f>4.1508 * CHOOSE(CONTROL!$C$32, $C$9, 100%, $E$9)</f>
        <v>4.1508000000000003</v>
      </c>
      <c r="N91" s="33">
        <f>4.1455 * CHOOSE(CONTROL!$C$32, $C$9, 100%, $E$9)</f>
        <v>4.1455000000000002</v>
      </c>
      <c r="O91" s="33">
        <f>4.1508 * CHOOSE(CONTROL!$C$32, $C$9, 100%, $E$9)</f>
        <v>4.1508000000000003</v>
      </c>
      <c r="P91" s="10"/>
      <c r="Q91" s="10"/>
      <c r="R91" s="10"/>
    </row>
    <row r="92" spans="1:18" ht="15" x14ac:dyDescent="0.2">
      <c r="A92" s="16">
        <v>44013</v>
      </c>
      <c r="B92" s="32">
        <f>3.3098 * CHOOSE(CONTROL!$C$32, $C$9, 100%, $E$9)</f>
        <v>3.3098000000000001</v>
      </c>
      <c r="C92" s="32">
        <f>3.3098 * CHOOSE(CONTROL!$C$32, $C$9, 100%, $E$9)</f>
        <v>3.3098000000000001</v>
      </c>
      <c r="D92" s="32">
        <f>3.3114 * CHOOSE(CONTROL!$C$32, $C$9, 100%, $E$9)</f>
        <v>3.3113999999999999</v>
      </c>
      <c r="E92" s="33">
        <f>4.2176 * CHOOSE(CONTROL!$C$32, $C$9, 100%, $E$9)</f>
        <v>4.2176</v>
      </c>
      <c r="F92" s="33">
        <f>4.2176 * CHOOSE(CONTROL!$C$32, $C$9, 100%, $E$9)</f>
        <v>4.2176</v>
      </c>
      <c r="G92" s="33">
        <f>4.2229 * CHOOSE(CONTROL!$C$32, $C$9, 100%, $E$9)</f>
        <v>4.2229000000000001</v>
      </c>
      <c r="H92" s="33">
        <f>6.8424 * CHOOSE(CONTROL!$C$32, $C$9, 100%, $E$9)</f>
        <v>6.8423999999999996</v>
      </c>
      <c r="I92" s="33">
        <f>6.8476 * CHOOSE(CONTROL!$C$32, $C$9, 100%, $E$9)</f>
        <v>6.8475999999999999</v>
      </c>
      <c r="J92" s="33">
        <f>6.8424 * CHOOSE(CONTROL!$C$32, $C$9, 100%, $E$9)</f>
        <v>6.8423999999999996</v>
      </c>
      <c r="K92" s="33">
        <f>6.8476 * CHOOSE(CONTROL!$C$32, $C$9, 100%, $E$9)</f>
        <v>6.8475999999999999</v>
      </c>
      <c r="L92" s="33">
        <f>4.2176 * CHOOSE(CONTROL!$C$32, $C$9, 100%, $E$9)</f>
        <v>4.2176</v>
      </c>
      <c r="M92" s="33">
        <f>4.2229 * CHOOSE(CONTROL!$C$32, $C$9, 100%, $E$9)</f>
        <v>4.2229000000000001</v>
      </c>
      <c r="N92" s="33">
        <f>4.2176 * CHOOSE(CONTROL!$C$32, $C$9, 100%, $E$9)</f>
        <v>4.2176</v>
      </c>
      <c r="O92" s="33">
        <f>4.2229 * CHOOSE(CONTROL!$C$32, $C$9, 100%, $E$9)</f>
        <v>4.2229000000000001</v>
      </c>
      <c r="P92" s="10"/>
      <c r="Q92" s="10"/>
      <c r="R92" s="10"/>
    </row>
    <row r="93" spans="1:18" ht="15" x14ac:dyDescent="0.2">
      <c r="A93" s="16">
        <v>44044</v>
      </c>
      <c r="B93" s="32">
        <f>3.3165 * CHOOSE(CONTROL!$C$32, $C$9, 100%, $E$9)</f>
        <v>3.3165</v>
      </c>
      <c r="C93" s="32">
        <f>3.3165 * CHOOSE(CONTROL!$C$32, $C$9, 100%, $E$9)</f>
        <v>3.3165</v>
      </c>
      <c r="D93" s="32">
        <f>3.3181 * CHOOSE(CONTROL!$C$32, $C$9, 100%, $E$9)</f>
        <v>3.3180999999999998</v>
      </c>
      <c r="E93" s="33">
        <f>4.222 * CHOOSE(CONTROL!$C$32, $C$9, 100%, $E$9)</f>
        <v>4.2220000000000004</v>
      </c>
      <c r="F93" s="33">
        <f>4.222 * CHOOSE(CONTROL!$C$32, $C$9, 100%, $E$9)</f>
        <v>4.2220000000000004</v>
      </c>
      <c r="G93" s="33">
        <f>4.2273 * CHOOSE(CONTROL!$C$32, $C$9, 100%, $E$9)</f>
        <v>4.2272999999999996</v>
      </c>
      <c r="H93" s="33">
        <f>6.8566 * CHOOSE(CONTROL!$C$32, $C$9, 100%, $E$9)</f>
        <v>6.8566000000000003</v>
      </c>
      <c r="I93" s="33">
        <f>6.8619 * CHOOSE(CONTROL!$C$32, $C$9, 100%, $E$9)</f>
        <v>6.8619000000000003</v>
      </c>
      <c r="J93" s="33">
        <f>6.8566 * CHOOSE(CONTROL!$C$32, $C$9, 100%, $E$9)</f>
        <v>6.8566000000000003</v>
      </c>
      <c r="K93" s="33">
        <f>6.8619 * CHOOSE(CONTROL!$C$32, $C$9, 100%, $E$9)</f>
        <v>6.8619000000000003</v>
      </c>
      <c r="L93" s="33">
        <f>4.222 * CHOOSE(CONTROL!$C$32, $C$9, 100%, $E$9)</f>
        <v>4.2220000000000004</v>
      </c>
      <c r="M93" s="33">
        <f>4.2273 * CHOOSE(CONTROL!$C$32, $C$9, 100%, $E$9)</f>
        <v>4.2272999999999996</v>
      </c>
      <c r="N93" s="33">
        <f>4.222 * CHOOSE(CONTROL!$C$32, $C$9, 100%, $E$9)</f>
        <v>4.2220000000000004</v>
      </c>
      <c r="O93" s="33">
        <f>4.2273 * CHOOSE(CONTROL!$C$32, $C$9, 100%, $E$9)</f>
        <v>4.2272999999999996</v>
      </c>
      <c r="P93" s="10"/>
      <c r="Q93" s="10"/>
      <c r="R93" s="10"/>
    </row>
    <row r="94" spans="1:18" ht="15" x14ac:dyDescent="0.2">
      <c r="A94" s="16">
        <v>44075</v>
      </c>
      <c r="B94" s="32">
        <f>3.3135 * CHOOSE(CONTROL!$C$32, $C$9, 100%, $E$9)</f>
        <v>3.3134999999999999</v>
      </c>
      <c r="C94" s="32">
        <f>3.3135 * CHOOSE(CONTROL!$C$32, $C$9, 100%, $E$9)</f>
        <v>3.3134999999999999</v>
      </c>
      <c r="D94" s="32">
        <f>3.3151 * CHOOSE(CONTROL!$C$32, $C$9, 100%, $E$9)</f>
        <v>3.3151000000000002</v>
      </c>
      <c r="E94" s="33">
        <f>4.22 * CHOOSE(CONTROL!$C$32, $C$9, 100%, $E$9)</f>
        <v>4.22</v>
      </c>
      <c r="F94" s="33">
        <f>4.22 * CHOOSE(CONTROL!$C$32, $C$9, 100%, $E$9)</f>
        <v>4.22</v>
      </c>
      <c r="G94" s="33">
        <f>4.2253 * CHOOSE(CONTROL!$C$32, $C$9, 100%, $E$9)</f>
        <v>4.2252999999999998</v>
      </c>
      <c r="H94" s="33">
        <f>6.8709 * CHOOSE(CONTROL!$C$32, $C$9, 100%, $E$9)</f>
        <v>6.8708999999999998</v>
      </c>
      <c r="I94" s="33">
        <f>6.8762 * CHOOSE(CONTROL!$C$32, $C$9, 100%, $E$9)</f>
        <v>6.8761999999999999</v>
      </c>
      <c r="J94" s="33">
        <f>6.8709 * CHOOSE(CONTROL!$C$32, $C$9, 100%, $E$9)</f>
        <v>6.8708999999999998</v>
      </c>
      <c r="K94" s="33">
        <f>6.8762 * CHOOSE(CONTROL!$C$32, $C$9, 100%, $E$9)</f>
        <v>6.8761999999999999</v>
      </c>
      <c r="L94" s="33">
        <f>4.22 * CHOOSE(CONTROL!$C$32, $C$9, 100%, $E$9)</f>
        <v>4.22</v>
      </c>
      <c r="M94" s="33">
        <f>4.2253 * CHOOSE(CONTROL!$C$32, $C$9, 100%, $E$9)</f>
        <v>4.2252999999999998</v>
      </c>
      <c r="N94" s="33">
        <f>4.22 * CHOOSE(CONTROL!$C$32, $C$9, 100%, $E$9)</f>
        <v>4.22</v>
      </c>
      <c r="O94" s="33">
        <f>4.2253 * CHOOSE(CONTROL!$C$32, $C$9, 100%, $E$9)</f>
        <v>4.2252999999999998</v>
      </c>
      <c r="P94" s="10"/>
      <c r="Q94" s="10"/>
      <c r="R94" s="10"/>
    </row>
    <row r="95" spans="1:18" ht="15" x14ac:dyDescent="0.2">
      <c r="A95" s="16">
        <v>44105</v>
      </c>
      <c r="B95" s="32">
        <f>3.3061 * CHOOSE(CONTROL!$C$32, $C$9, 100%, $E$9)</f>
        <v>3.3060999999999998</v>
      </c>
      <c r="C95" s="32">
        <f>3.3061 * CHOOSE(CONTROL!$C$32, $C$9, 100%, $E$9)</f>
        <v>3.3060999999999998</v>
      </c>
      <c r="D95" s="32">
        <f>3.3072 * CHOOSE(CONTROL!$C$32, $C$9, 100%, $E$9)</f>
        <v>3.3071999999999999</v>
      </c>
      <c r="E95" s="33">
        <f>4.2135 * CHOOSE(CONTROL!$C$32, $C$9, 100%, $E$9)</f>
        <v>4.2134999999999998</v>
      </c>
      <c r="F95" s="33">
        <f>4.2135 * CHOOSE(CONTROL!$C$32, $C$9, 100%, $E$9)</f>
        <v>4.2134999999999998</v>
      </c>
      <c r="G95" s="33">
        <f>4.2171 * CHOOSE(CONTROL!$C$32, $C$9, 100%, $E$9)</f>
        <v>4.2171000000000003</v>
      </c>
      <c r="H95" s="33">
        <f>6.8852 * CHOOSE(CONTROL!$C$32, $C$9, 100%, $E$9)</f>
        <v>6.8852000000000002</v>
      </c>
      <c r="I95" s="33">
        <f>6.8888 * CHOOSE(CONTROL!$C$32, $C$9, 100%, $E$9)</f>
        <v>6.8887999999999998</v>
      </c>
      <c r="J95" s="33">
        <f>6.8852 * CHOOSE(CONTROL!$C$32, $C$9, 100%, $E$9)</f>
        <v>6.8852000000000002</v>
      </c>
      <c r="K95" s="33">
        <f>6.8888 * CHOOSE(CONTROL!$C$32, $C$9, 100%, $E$9)</f>
        <v>6.8887999999999998</v>
      </c>
      <c r="L95" s="33">
        <f>4.2135 * CHOOSE(CONTROL!$C$32, $C$9, 100%, $E$9)</f>
        <v>4.2134999999999998</v>
      </c>
      <c r="M95" s="33">
        <f>4.2171 * CHOOSE(CONTROL!$C$32, $C$9, 100%, $E$9)</f>
        <v>4.2171000000000003</v>
      </c>
      <c r="N95" s="33">
        <f>4.2135 * CHOOSE(CONTROL!$C$32, $C$9, 100%, $E$9)</f>
        <v>4.2134999999999998</v>
      </c>
      <c r="O95" s="33">
        <f>4.2171 * CHOOSE(CONTROL!$C$32, $C$9, 100%, $E$9)</f>
        <v>4.2171000000000003</v>
      </c>
      <c r="P95" s="10"/>
      <c r="Q95" s="10"/>
      <c r="R95" s="10"/>
    </row>
    <row r="96" spans="1:18" ht="15" x14ac:dyDescent="0.2">
      <c r="A96" s="16">
        <v>44136</v>
      </c>
      <c r="B96" s="32">
        <f>3.3092 * CHOOSE(CONTROL!$C$32, $C$9, 100%, $E$9)</f>
        <v>3.3092000000000001</v>
      </c>
      <c r="C96" s="32">
        <f>3.3092 * CHOOSE(CONTROL!$C$32, $C$9, 100%, $E$9)</f>
        <v>3.3092000000000001</v>
      </c>
      <c r="D96" s="32">
        <f>3.3103 * CHOOSE(CONTROL!$C$32, $C$9, 100%, $E$9)</f>
        <v>3.3102999999999998</v>
      </c>
      <c r="E96" s="33">
        <f>4.2155 * CHOOSE(CONTROL!$C$32, $C$9, 100%, $E$9)</f>
        <v>4.2154999999999996</v>
      </c>
      <c r="F96" s="33">
        <f>4.2155 * CHOOSE(CONTROL!$C$32, $C$9, 100%, $E$9)</f>
        <v>4.2154999999999996</v>
      </c>
      <c r="G96" s="33">
        <f>4.2191 * CHOOSE(CONTROL!$C$32, $C$9, 100%, $E$9)</f>
        <v>4.2191000000000001</v>
      </c>
      <c r="H96" s="33">
        <f>6.8996 * CHOOSE(CONTROL!$C$32, $C$9, 100%, $E$9)</f>
        <v>6.8996000000000004</v>
      </c>
      <c r="I96" s="33">
        <f>6.9032 * CHOOSE(CONTROL!$C$32, $C$9, 100%, $E$9)</f>
        <v>6.9032</v>
      </c>
      <c r="J96" s="33">
        <f>6.8996 * CHOOSE(CONTROL!$C$32, $C$9, 100%, $E$9)</f>
        <v>6.8996000000000004</v>
      </c>
      <c r="K96" s="33">
        <f>6.9032 * CHOOSE(CONTROL!$C$32, $C$9, 100%, $E$9)</f>
        <v>6.9032</v>
      </c>
      <c r="L96" s="33">
        <f>4.2155 * CHOOSE(CONTROL!$C$32, $C$9, 100%, $E$9)</f>
        <v>4.2154999999999996</v>
      </c>
      <c r="M96" s="33">
        <f>4.2191 * CHOOSE(CONTROL!$C$32, $C$9, 100%, $E$9)</f>
        <v>4.2191000000000001</v>
      </c>
      <c r="N96" s="33">
        <f>4.2155 * CHOOSE(CONTROL!$C$32, $C$9, 100%, $E$9)</f>
        <v>4.2154999999999996</v>
      </c>
      <c r="O96" s="33">
        <f>4.2191 * CHOOSE(CONTROL!$C$32, $C$9, 100%, $E$9)</f>
        <v>4.2191000000000001</v>
      </c>
      <c r="P96" s="10"/>
      <c r="Q96" s="10"/>
      <c r="R96" s="10"/>
    </row>
    <row r="97" spans="1:18" ht="15" x14ac:dyDescent="0.2">
      <c r="A97" s="16">
        <v>44166</v>
      </c>
      <c r="B97" s="32">
        <f>3.3092 * CHOOSE(CONTROL!$C$32, $C$9, 100%, $E$9)</f>
        <v>3.3092000000000001</v>
      </c>
      <c r="C97" s="32">
        <f>3.3092 * CHOOSE(CONTROL!$C$32, $C$9, 100%, $E$9)</f>
        <v>3.3092000000000001</v>
      </c>
      <c r="D97" s="32">
        <f>3.3103 * CHOOSE(CONTROL!$C$32, $C$9, 100%, $E$9)</f>
        <v>3.3102999999999998</v>
      </c>
      <c r="E97" s="33">
        <f>4.2155 * CHOOSE(CONTROL!$C$32, $C$9, 100%, $E$9)</f>
        <v>4.2154999999999996</v>
      </c>
      <c r="F97" s="33">
        <f>4.2155 * CHOOSE(CONTROL!$C$32, $C$9, 100%, $E$9)</f>
        <v>4.2154999999999996</v>
      </c>
      <c r="G97" s="33">
        <f>4.2191 * CHOOSE(CONTROL!$C$32, $C$9, 100%, $E$9)</f>
        <v>4.2191000000000001</v>
      </c>
      <c r="H97" s="33">
        <f>6.9139 * CHOOSE(CONTROL!$C$32, $C$9, 100%, $E$9)</f>
        <v>6.9138999999999999</v>
      </c>
      <c r="I97" s="33">
        <f>6.9175 * CHOOSE(CONTROL!$C$32, $C$9, 100%, $E$9)</f>
        <v>6.9175000000000004</v>
      </c>
      <c r="J97" s="33">
        <f>6.9139 * CHOOSE(CONTROL!$C$32, $C$9, 100%, $E$9)</f>
        <v>6.9138999999999999</v>
      </c>
      <c r="K97" s="33">
        <f>6.9175 * CHOOSE(CONTROL!$C$32, $C$9, 100%, $E$9)</f>
        <v>6.9175000000000004</v>
      </c>
      <c r="L97" s="33">
        <f>4.2155 * CHOOSE(CONTROL!$C$32, $C$9, 100%, $E$9)</f>
        <v>4.2154999999999996</v>
      </c>
      <c r="M97" s="33">
        <f>4.2191 * CHOOSE(CONTROL!$C$32, $C$9, 100%, $E$9)</f>
        <v>4.2191000000000001</v>
      </c>
      <c r="N97" s="33">
        <f>4.2155 * CHOOSE(CONTROL!$C$32, $C$9, 100%, $E$9)</f>
        <v>4.2154999999999996</v>
      </c>
      <c r="O97" s="33">
        <f>4.2191 * CHOOSE(CONTROL!$C$32, $C$9, 100%, $E$9)</f>
        <v>4.2191000000000001</v>
      </c>
      <c r="P97" s="10"/>
      <c r="Q97" s="10"/>
      <c r="R97" s="10"/>
    </row>
    <row r="98" spans="1:18" ht="15" x14ac:dyDescent="0.2">
      <c r="A98" s="16">
        <v>44197</v>
      </c>
      <c r="B98" s="32">
        <f>3.3407 * CHOOSE(CONTROL!$C$32, $C$9, 100%, $E$9)</f>
        <v>3.3407</v>
      </c>
      <c r="C98" s="32">
        <f>3.3407 * CHOOSE(CONTROL!$C$32, $C$9, 100%, $E$9)</f>
        <v>3.3407</v>
      </c>
      <c r="D98" s="32">
        <f>3.3417 * CHOOSE(CONTROL!$C$32, $C$9, 100%, $E$9)</f>
        <v>3.3416999999999999</v>
      </c>
      <c r="E98" s="33">
        <f>4.2457 * CHOOSE(CONTROL!$C$32, $C$9, 100%, $E$9)</f>
        <v>4.2457000000000003</v>
      </c>
      <c r="F98" s="33">
        <f>4.2457 * CHOOSE(CONTROL!$C$32, $C$9, 100%, $E$9)</f>
        <v>4.2457000000000003</v>
      </c>
      <c r="G98" s="33">
        <f>4.2494 * CHOOSE(CONTROL!$C$32, $C$9, 100%, $E$9)</f>
        <v>4.2493999999999996</v>
      </c>
      <c r="H98" s="33">
        <f>6.9283 * CHOOSE(CONTROL!$C$32, $C$9, 100%, $E$9)</f>
        <v>6.9283000000000001</v>
      </c>
      <c r="I98" s="33">
        <f>6.9319 * CHOOSE(CONTROL!$C$32, $C$9, 100%, $E$9)</f>
        <v>6.9318999999999997</v>
      </c>
      <c r="J98" s="33">
        <f>6.9283 * CHOOSE(CONTROL!$C$32, $C$9, 100%, $E$9)</f>
        <v>6.9283000000000001</v>
      </c>
      <c r="K98" s="33">
        <f>6.9319 * CHOOSE(CONTROL!$C$32, $C$9, 100%, $E$9)</f>
        <v>6.9318999999999997</v>
      </c>
      <c r="L98" s="33">
        <f>4.2457 * CHOOSE(CONTROL!$C$32, $C$9, 100%, $E$9)</f>
        <v>4.2457000000000003</v>
      </c>
      <c r="M98" s="33">
        <f>4.2494 * CHOOSE(CONTROL!$C$32, $C$9, 100%, $E$9)</f>
        <v>4.2493999999999996</v>
      </c>
      <c r="N98" s="33">
        <f>4.2457 * CHOOSE(CONTROL!$C$32, $C$9, 100%, $E$9)</f>
        <v>4.2457000000000003</v>
      </c>
      <c r="O98" s="33">
        <f>4.2494 * CHOOSE(CONTROL!$C$32, $C$9, 100%, $E$9)</f>
        <v>4.2493999999999996</v>
      </c>
      <c r="P98" s="10"/>
      <c r="Q98" s="10"/>
      <c r="R98" s="10"/>
    </row>
    <row r="99" spans="1:18" ht="15" x14ac:dyDescent="0.2">
      <c r="A99" s="16">
        <v>44228</v>
      </c>
      <c r="B99" s="32">
        <f>3.3376 * CHOOSE(CONTROL!$C$32, $C$9, 100%, $E$9)</f>
        <v>3.3376000000000001</v>
      </c>
      <c r="C99" s="32">
        <f>3.3376 * CHOOSE(CONTROL!$C$32, $C$9, 100%, $E$9)</f>
        <v>3.3376000000000001</v>
      </c>
      <c r="D99" s="32">
        <f>3.3387 * CHOOSE(CONTROL!$C$32, $C$9, 100%, $E$9)</f>
        <v>3.3386999999999998</v>
      </c>
      <c r="E99" s="33">
        <f>4.2437 * CHOOSE(CONTROL!$C$32, $C$9, 100%, $E$9)</f>
        <v>4.2436999999999996</v>
      </c>
      <c r="F99" s="33">
        <f>4.2437 * CHOOSE(CONTROL!$C$32, $C$9, 100%, $E$9)</f>
        <v>4.2436999999999996</v>
      </c>
      <c r="G99" s="33">
        <f>4.2474 * CHOOSE(CONTROL!$C$32, $C$9, 100%, $E$9)</f>
        <v>4.2473999999999998</v>
      </c>
      <c r="H99" s="33">
        <f>6.9428 * CHOOSE(CONTROL!$C$32, $C$9, 100%, $E$9)</f>
        <v>6.9428000000000001</v>
      </c>
      <c r="I99" s="33">
        <f>6.9464 * CHOOSE(CONTROL!$C$32, $C$9, 100%, $E$9)</f>
        <v>6.9463999999999997</v>
      </c>
      <c r="J99" s="33">
        <f>6.9428 * CHOOSE(CONTROL!$C$32, $C$9, 100%, $E$9)</f>
        <v>6.9428000000000001</v>
      </c>
      <c r="K99" s="33">
        <f>6.9464 * CHOOSE(CONTROL!$C$32, $C$9, 100%, $E$9)</f>
        <v>6.9463999999999997</v>
      </c>
      <c r="L99" s="33">
        <f>4.2437 * CHOOSE(CONTROL!$C$32, $C$9, 100%, $E$9)</f>
        <v>4.2436999999999996</v>
      </c>
      <c r="M99" s="33">
        <f>4.2474 * CHOOSE(CONTROL!$C$32, $C$9, 100%, $E$9)</f>
        <v>4.2473999999999998</v>
      </c>
      <c r="N99" s="33">
        <f>4.2437 * CHOOSE(CONTROL!$C$32, $C$9, 100%, $E$9)</f>
        <v>4.2436999999999996</v>
      </c>
      <c r="O99" s="33">
        <f>4.2474 * CHOOSE(CONTROL!$C$32, $C$9, 100%, $E$9)</f>
        <v>4.2473999999999998</v>
      </c>
      <c r="P99" s="10"/>
      <c r="Q99" s="10"/>
      <c r="R99" s="10"/>
    </row>
    <row r="100" spans="1:18" ht="15" x14ac:dyDescent="0.2">
      <c r="A100" s="16">
        <v>44256</v>
      </c>
      <c r="B100" s="32">
        <f>3.3346 * CHOOSE(CONTROL!$C$32, $C$9, 100%, $E$9)</f>
        <v>3.3346</v>
      </c>
      <c r="C100" s="32">
        <f>3.3346 * CHOOSE(CONTROL!$C$32, $C$9, 100%, $E$9)</f>
        <v>3.3346</v>
      </c>
      <c r="D100" s="32">
        <f>3.3357 * CHOOSE(CONTROL!$C$32, $C$9, 100%, $E$9)</f>
        <v>3.3357000000000001</v>
      </c>
      <c r="E100" s="33">
        <f>4.2417 * CHOOSE(CONTROL!$C$32, $C$9, 100%, $E$9)</f>
        <v>4.2416999999999998</v>
      </c>
      <c r="F100" s="33">
        <f>4.2417 * CHOOSE(CONTROL!$C$32, $C$9, 100%, $E$9)</f>
        <v>4.2416999999999998</v>
      </c>
      <c r="G100" s="33">
        <f>4.2454 * CHOOSE(CONTROL!$C$32, $C$9, 100%, $E$9)</f>
        <v>4.2454000000000001</v>
      </c>
      <c r="H100" s="33">
        <f>6.9572 * CHOOSE(CONTROL!$C$32, $C$9, 100%, $E$9)</f>
        <v>6.9572000000000003</v>
      </c>
      <c r="I100" s="33">
        <f>6.9608 * CHOOSE(CONTROL!$C$32, $C$9, 100%, $E$9)</f>
        <v>6.9607999999999999</v>
      </c>
      <c r="J100" s="33">
        <f>6.9572 * CHOOSE(CONTROL!$C$32, $C$9, 100%, $E$9)</f>
        <v>6.9572000000000003</v>
      </c>
      <c r="K100" s="33">
        <f>6.9608 * CHOOSE(CONTROL!$C$32, $C$9, 100%, $E$9)</f>
        <v>6.9607999999999999</v>
      </c>
      <c r="L100" s="33">
        <f>4.2417 * CHOOSE(CONTROL!$C$32, $C$9, 100%, $E$9)</f>
        <v>4.2416999999999998</v>
      </c>
      <c r="M100" s="33">
        <f>4.2454 * CHOOSE(CONTROL!$C$32, $C$9, 100%, $E$9)</f>
        <v>4.2454000000000001</v>
      </c>
      <c r="N100" s="33">
        <f>4.2417 * CHOOSE(CONTROL!$C$32, $C$9, 100%, $E$9)</f>
        <v>4.2416999999999998</v>
      </c>
      <c r="O100" s="33">
        <f>4.2454 * CHOOSE(CONTROL!$C$32, $C$9, 100%, $E$9)</f>
        <v>4.2454000000000001</v>
      </c>
      <c r="P100" s="10"/>
      <c r="Q100" s="10"/>
      <c r="R100" s="10"/>
    </row>
    <row r="101" spans="1:18" ht="15" x14ac:dyDescent="0.2">
      <c r="A101" s="16">
        <v>44287</v>
      </c>
      <c r="B101" s="32">
        <f>3.3316 * CHOOSE(CONTROL!$C$32, $C$9, 100%, $E$9)</f>
        <v>3.3315999999999999</v>
      </c>
      <c r="C101" s="32">
        <f>3.3316 * CHOOSE(CONTROL!$C$32, $C$9, 100%, $E$9)</f>
        <v>3.3315999999999999</v>
      </c>
      <c r="D101" s="32">
        <f>3.3327 * CHOOSE(CONTROL!$C$32, $C$9, 100%, $E$9)</f>
        <v>3.3327</v>
      </c>
      <c r="E101" s="33">
        <f>4.2394 * CHOOSE(CONTROL!$C$32, $C$9, 100%, $E$9)</f>
        <v>4.2393999999999998</v>
      </c>
      <c r="F101" s="33">
        <f>4.2394 * CHOOSE(CONTROL!$C$32, $C$9, 100%, $E$9)</f>
        <v>4.2393999999999998</v>
      </c>
      <c r="G101" s="33">
        <f>4.243 * CHOOSE(CONTROL!$C$32, $C$9, 100%, $E$9)</f>
        <v>4.2430000000000003</v>
      </c>
      <c r="H101" s="33">
        <f>6.9717 * CHOOSE(CONTROL!$C$32, $C$9, 100%, $E$9)</f>
        <v>6.9717000000000002</v>
      </c>
      <c r="I101" s="33">
        <f>6.9753 * CHOOSE(CONTROL!$C$32, $C$9, 100%, $E$9)</f>
        <v>6.9752999999999998</v>
      </c>
      <c r="J101" s="33">
        <f>6.9717 * CHOOSE(CONTROL!$C$32, $C$9, 100%, $E$9)</f>
        <v>6.9717000000000002</v>
      </c>
      <c r="K101" s="33">
        <f>6.9753 * CHOOSE(CONTROL!$C$32, $C$9, 100%, $E$9)</f>
        <v>6.9752999999999998</v>
      </c>
      <c r="L101" s="33">
        <f>4.2394 * CHOOSE(CONTROL!$C$32, $C$9, 100%, $E$9)</f>
        <v>4.2393999999999998</v>
      </c>
      <c r="M101" s="33">
        <f>4.243 * CHOOSE(CONTROL!$C$32, $C$9, 100%, $E$9)</f>
        <v>4.2430000000000003</v>
      </c>
      <c r="N101" s="33">
        <f>4.2394 * CHOOSE(CONTROL!$C$32, $C$9, 100%, $E$9)</f>
        <v>4.2393999999999998</v>
      </c>
      <c r="O101" s="33">
        <f>4.243 * CHOOSE(CONTROL!$C$32, $C$9, 100%, $E$9)</f>
        <v>4.2430000000000003</v>
      </c>
      <c r="P101" s="10"/>
      <c r="Q101" s="10"/>
      <c r="R101" s="10"/>
    </row>
    <row r="102" spans="1:18" ht="15" x14ac:dyDescent="0.2">
      <c r="A102" s="16">
        <v>44317</v>
      </c>
      <c r="B102" s="32">
        <f>3.3316 * CHOOSE(CONTROL!$C$32, $C$9, 100%, $E$9)</f>
        <v>3.3315999999999999</v>
      </c>
      <c r="C102" s="32">
        <f>3.3316 * CHOOSE(CONTROL!$C$32, $C$9, 100%, $E$9)</f>
        <v>3.3315999999999999</v>
      </c>
      <c r="D102" s="32">
        <f>3.3332 * CHOOSE(CONTROL!$C$32, $C$9, 100%, $E$9)</f>
        <v>3.3332000000000002</v>
      </c>
      <c r="E102" s="33">
        <f>4.2394 * CHOOSE(CONTROL!$C$32, $C$9, 100%, $E$9)</f>
        <v>4.2393999999999998</v>
      </c>
      <c r="F102" s="33">
        <f>4.2394 * CHOOSE(CONTROL!$C$32, $C$9, 100%, $E$9)</f>
        <v>4.2393999999999998</v>
      </c>
      <c r="G102" s="33">
        <f>4.2447 * CHOOSE(CONTROL!$C$32, $C$9, 100%, $E$9)</f>
        <v>4.2446999999999999</v>
      </c>
      <c r="H102" s="33">
        <f>6.9862 * CHOOSE(CONTROL!$C$32, $C$9, 100%, $E$9)</f>
        <v>6.9862000000000002</v>
      </c>
      <c r="I102" s="33">
        <f>6.9915 * CHOOSE(CONTROL!$C$32, $C$9, 100%, $E$9)</f>
        <v>6.9915000000000003</v>
      </c>
      <c r="J102" s="33">
        <f>6.9862 * CHOOSE(CONTROL!$C$32, $C$9, 100%, $E$9)</f>
        <v>6.9862000000000002</v>
      </c>
      <c r="K102" s="33">
        <f>6.9915 * CHOOSE(CONTROL!$C$32, $C$9, 100%, $E$9)</f>
        <v>6.9915000000000003</v>
      </c>
      <c r="L102" s="33">
        <f>4.2394 * CHOOSE(CONTROL!$C$32, $C$9, 100%, $E$9)</f>
        <v>4.2393999999999998</v>
      </c>
      <c r="M102" s="33">
        <f>4.2447 * CHOOSE(CONTROL!$C$32, $C$9, 100%, $E$9)</f>
        <v>4.2446999999999999</v>
      </c>
      <c r="N102" s="33">
        <f>4.2394 * CHOOSE(CONTROL!$C$32, $C$9, 100%, $E$9)</f>
        <v>4.2393999999999998</v>
      </c>
      <c r="O102" s="33">
        <f>4.2447 * CHOOSE(CONTROL!$C$32, $C$9, 100%, $E$9)</f>
        <v>4.2446999999999999</v>
      </c>
      <c r="P102" s="10"/>
      <c r="Q102" s="10"/>
      <c r="R102" s="10"/>
    </row>
    <row r="103" spans="1:18" ht="15" x14ac:dyDescent="0.2">
      <c r="A103" s="16">
        <v>44348</v>
      </c>
      <c r="B103" s="32">
        <f>3.3377 * CHOOSE(CONTROL!$C$32, $C$9, 100%, $E$9)</f>
        <v>3.3376999999999999</v>
      </c>
      <c r="C103" s="32">
        <f>3.3377 * CHOOSE(CONTROL!$C$32, $C$9, 100%, $E$9)</f>
        <v>3.3376999999999999</v>
      </c>
      <c r="D103" s="32">
        <f>3.3393 * CHOOSE(CONTROL!$C$32, $C$9, 100%, $E$9)</f>
        <v>3.3393000000000002</v>
      </c>
      <c r="E103" s="33">
        <f>4.2434 * CHOOSE(CONTROL!$C$32, $C$9, 100%, $E$9)</f>
        <v>4.2434000000000003</v>
      </c>
      <c r="F103" s="33">
        <f>4.2434 * CHOOSE(CONTROL!$C$32, $C$9, 100%, $E$9)</f>
        <v>4.2434000000000003</v>
      </c>
      <c r="G103" s="33">
        <f>4.2487 * CHOOSE(CONTROL!$C$32, $C$9, 100%, $E$9)</f>
        <v>4.2487000000000004</v>
      </c>
      <c r="H103" s="33">
        <f>7.0008 * CHOOSE(CONTROL!$C$32, $C$9, 100%, $E$9)</f>
        <v>7.0007999999999999</v>
      </c>
      <c r="I103" s="33">
        <f>7.0061 * CHOOSE(CONTROL!$C$32, $C$9, 100%, $E$9)</f>
        <v>7.0061</v>
      </c>
      <c r="J103" s="33">
        <f>7.0008 * CHOOSE(CONTROL!$C$32, $C$9, 100%, $E$9)</f>
        <v>7.0007999999999999</v>
      </c>
      <c r="K103" s="33">
        <f>7.0061 * CHOOSE(CONTROL!$C$32, $C$9, 100%, $E$9)</f>
        <v>7.0061</v>
      </c>
      <c r="L103" s="33">
        <f>4.2434 * CHOOSE(CONTROL!$C$32, $C$9, 100%, $E$9)</f>
        <v>4.2434000000000003</v>
      </c>
      <c r="M103" s="33">
        <f>4.2487 * CHOOSE(CONTROL!$C$32, $C$9, 100%, $E$9)</f>
        <v>4.2487000000000004</v>
      </c>
      <c r="N103" s="33">
        <f>4.2434 * CHOOSE(CONTROL!$C$32, $C$9, 100%, $E$9)</f>
        <v>4.2434000000000003</v>
      </c>
      <c r="O103" s="33">
        <f>4.2487 * CHOOSE(CONTROL!$C$32, $C$9, 100%, $E$9)</f>
        <v>4.2487000000000004</v>
      </c>
      <c r="P103" s="10"/>
      <c r="Q103" s="10"/>
      <c r="R103" s="10"/>
    </row>
    <row r="104" spans="1:18" ht="15" x14ac:dyDescent="0.2">
      <c r="A104" s="16">
        <v>44378</v>
      </c>
      <c r="B104" s="32">
        <f>3.3976 * CHOOSE(CONTROL!$C$32, $C$9, 100%, $E$9)</f>
        <v>3.3976000000000002</v>
      </c>
      <c r="C104" s="32">
        <f>3.3976 * CHOOSE(CONTROL!$C$32, $C$9, 100%, $E$9)</f>
        <v>3.3976000000000002</v>
      </c>
      <c r="D104" s="32">
        <f>3.3992 * CHOOSE(CONTROL!$C$32, $C$9, 100%, $E$9)</f>
        <v>3.3992</v>
      </c>
      <c r="E104" s="33">
        <f>4.3089 * CHOOSE(CONTROL!$C$32, $C$9, 100%, $E$9)</f>
        <v>4.3089000000000004</v>
      </c>
      <c r="F104" s="33">
        <f>4.3089 * CHOOSE(CONTROL!$C$32, $C$9, 100%, $E$9)</f>
        <v>4.3089000000000004</v>
      </c>
      <c r="G104" s="33">
        <f>4.3142 * CHOOSE(CONTROL!$C$32, $C$9, 100%, $E$9)</f>
        <v>4.3141999999999996</v>
      </c>
      <c r="H104" s="33">
        <f>7.0154 * CHOOSE(CONTROL!$C$32, $C$9, 100%, $E$9)</f>
        <v>7.0153999999999996</v>
      </c>
      <c r="I104" s="33">
        <f>7.0207 * CHOOSE(CONTROL!$C$32, $C$9, 100%, $E$9)</f>
        <v>7.0206999999999997</v>
      </c>
      <c r="J104" s="33">
        <f>7.0154 * CHOOSE(CONTROL!$C$32, $C$9, 100%, $E$9)</f>
        <v>7.0153999999999996</v>
      </c>
      <c r="K104" s="33">
        <f>7.0207 * CHOOSE(CONTROL!$C$32, $C$9, 100%, $E$9)</f>
        <v>7.0206999999999997</v>
      </c>
      <c r="L104" s="33">
        <f>4.3089 * CHOOSE(CONTROL!$C$32, $C$9, 100%, $E$9)</f>
        <v>4.3089000000000004</v>
      </c>
      <c r="M104" s="33">
        <f>4.3142 * CHOOSE(CONTROL!$C$32, $C$9, 100%, $E$9)</f>
        <v>4.3141999999999996</v>
      </c>
      <c r="N104" s="33">
        <f>4.3089 * CHOOSE(CONTROL!$C$32, $C$9, 100%, $E$9)</f>
        <v>4.3089000000000004</v>
      </c>
      <c r="O104" s="33">
        <f>4.3142 * CHOOSE(CONTROL!$C$32, $C$9, 100%, $E$9)</f>
        <v>4.3141999999999996</v>
      </c>
      <c r="P104" s="10"/>
      <c r="Q104" s="10"/>
      <c r="R104" s="10"/>
    </row>
    <row r="105" spans="1:18" ht="15" x14ac:dyDescent="0.2">
      <c r="A105" s="16">
        <v>44409</v>
      </c>
      <c r="B105" s="32">
        <f>3.4043 * CHOOSE(CONTROL!$C$32, $C$9, 100%, $E$9)</f>
        <v>3.4043000000000001</v>
      </c>
      <c r="C105" s="32">
        <f>3.4043 * CHOOSE(CONTROL!$C$32, $C$9, 100%, $E$9)</f>
        <v>3.4043000000000001</v>
      </c>
      <c r="D105" s="32">
        <f>3.4059 * CHOOSE(CONTROL!$C$32, $C$9, 100%, $E$9)</f>
        <v>3.4058999999999999</v>
      </c>
      <c r="E105" s="33">
        <f>4.3133 * CHOOSE(CONTROL!$C$32, $C$9, 100%, $E$9)</f>
        <v>4.3132999999999999</v>
      </c>
      <c r="F105" s="33">
        <f>4.3133 * CHOOSE(CONTROL!$C$32, $C$9, 100%, $E$9)</f>
        <v>4.3132999999999999</v>
      </c>
      <c r="G105" s="33">
        <f>4.3186 * CHOOSE(CONTROL!$C$32, $C$9, 100%, $E$9)</f>
        <v>4.3186</v>
      </c>
      <c r="H105" s="33">
        <f>7.03 * CHOOSE(CONTROL!$C$32, $C$9, 100%, $E$9)</f>
        <v>7.03</v>
      </c>
      <c r="I105" s="33">
        <f>7.0353 * CHOOSE(CONTROL!$C$32, $C$9, 100%, $E$9)</f>
        <v>7.0353000000000003</v>
      </c>
      <c r="J105" s="33">
        <f>7.03 * CHOOSE(CONTROL!$C$32, $C$9, 100%, $E$9)</f>
        <v>7.03</v>
      </c>
      <c r="K105" s="33">
        <f>7.0353 * CHOOSE(CONTROL!$C$32, $C$9, 100%, $E$9)</f>
        <v>7.0353000000000003</v>
      </c>
      <c r="L105" s="33">
        <f>4.3133 * CHOOSE(CONTROL!$C$32, $C$9, 100%, $E$9)</f>
        <v>4.3132999999999999</v>
      </c>
      <c r="M105" s="33">
        <f>4.3186 * CHOOSE(CONTROL!$C$32, $C$9, 100%, $E$9)</f>
        <v>4.3186</v>
      </c>
      <c r="N105" s="33">
        <f>4.3133 * CHOOSE(CONTROL!$C$32, $C$9, 100%, $E$9)</f>
        <v>4.3132999999999999</v>
      </c>
      <c r="O105" s="33">
        <f>4.3186 * CHOOSE(CONTROL!$C$32, $C$9, 100%, $E$9)</f>
        <v>4.3186</v>
      </c>
      <c r="P105" s="10"/>
      <c r="Q105" s="10"/>
      <c r="R105" s="10"/>
    </row>
    <row r="106" spans="1:18" ht="15" x14ac:dyDescent="0.2">
      <c r="A106" s="16">
        <v>44440</v>
      </c>
      <c r="B106" s="32">
        <f>3.4012 * CHOOSE(CONTROL!$C$32, $C$9, 100%, $E$9)</f>
        <v>3.4011999999999998</v>
      </c>
      <c r="C106" s="32">
        <f>3.4012 * CHOOSE(CONTROL!$C$32, $C$9, 100%, $E$9)</f>
        <v>3.4011999999999998</v>
      </c>
      <c r="D106" s="32">
        <f>3.4028 * CHOOSE(CONTROL!$C$32, $C$9, 100%, $E$9)</f>
        <v>3.4028</v>
      </c>
      <c r="E106" s="33">
        <f>4.3113 * CHOOSE(CONTROL!$C$32, $C$9, 100%, $E$9)</f>
        <v>4.3113000000000001</v>
      </c>
      <c r="F106" s="33">
        <f>4.3113 * CHOOSE(CONTROL!$C$32, $C$9, 100%, $E$9)</f>
        <v>4.3113000000000001</v>
      </c>
      <c r="G106" s="33">
        <f>4.3166 * CHOOSE(CONTROL!$C$32, $C$9, 100%, $E$9)</f>
        <v>4.3166000000000002</v>
      </c>
      <c r="H106" s="33">
        <f>7.0446 * CHOOSE(CONTROL!$C$32, $C$9, 100%, $E$9)</f>
        <v>7.0446</v>
      </c>
      <c r="I106" s="33">
        <f>7.0499 * CHOOSE(CONTROL!$C$32, $C$9, 100%, $E$9)</f>
        <v>7.0499000000000001</v>
      </c>
      <c r="J106" s="33">
        <f>7.0446 * CHOOSE(CONTROL!$C$32, $C$9, 100%, $E$9)</f>
        <v>7.0446</v>
      </c>
      <c r="K106" s="33">
        <f>7.0499 * CHOOSE(CONTROL!$C$32, $C$9, 100%, $E$9)</f>
        <v>7.0499000000000001</v>
      </c>
      <c r="L106" s="33">
        <f>4.3113 * CHOOSE(CONTROL!$C$32, $C$9, 100%, $E$9)</f>
        <v>4.3113000000000001</v>
      </c>
      <c r="M106" s="33">
        <f>4.3166 * CHOOSE(CONTROL!$C$32, $C$9, 100%, $E$9)</f>
        <v>4.3166000000000002</v>
      </c>
      <c r="N106" s="33">
        <f>4.3113 * CHOOSE(CONTROL!$C$32, $C$9, 100%, $E$9)</f>
        <v>4.3113000000000001</v>
      </c>
      <c r="O106" s="33">
        <f>4.3166 * CHOOSE(CONTROL!$C$32, $C$9, 100%, $E$9)</f>
        <v>4.3166000000000002</v>
      </c>
      <c r="P106" s="10"/>
      <c r="Q106" s="10"/>
      <c r="R106" s="10"/>
    </row>
    <row r="107" spans="1:18" ht="15" x14ac:dyDescent="0.2">
      <c r="A107" s="16">
        <v>44470</v>
      </c>
      <c r="B107" s="32">
        <f>3.3942 * CHOOSE(CONTROL!$C$32, $C$9, 100%, $E$9)</f>
        <v>3.3942000000000001</v>
      </c>
      <c r="C107" s="32">
        <f>3.3942 * CHOOSE(CONTROL!$C$32, $C$9, 100%, $E$9)</f>
        <v>3.3942000000000001</v>
      </c>
      <c r="D107" s="32">
        <f>3.3953 * CHOOSE(CONTROL!$C$32, $C$9, 100%, $E$9)</f>
        <v>3.3953000000000002</v>
      </c>
      <c r="E107" s="33">
        <f>4.3049 * CHOOSE(CONTROL!$C$32, $C$9, 100%, $E$9)</f>
        <v>4.3048999999999999</v>
      </c>
      <c r="F107" s="33">
        <f>4.3049 * CHOOSE(CONTROL!$C$32, $C$9, 100%, $E$9)</f>
        <v>4.3048999999999999</v>
      </c>
      <c r="G107" s="33">
        <f>4.3085 * CHOOSE(CONTROL!$C$32, $C$9, 100%, $E$9)</f>
        <v>4.3085000000000004</v>
      </c>
      <c r="H107" s="33">
        <f>7.0593 * CHOOSE(CONTROL!$C$32, $C$9, 100%, $E$9)</f>
        <v>7.0593000000000004</v>
      </c>
      <c r="I107" s="33">
        <f>7.0629 * CHOOSE(CONTROL!$C$32, $C$9, 100%, $E$9)</f>
        <v>7.0629</v>
      </c>
      <c r="J107" s="33">
        <f>7.0593 * CHOOSE(CONTROL!$C$32, $C$9, 100%, $E$9)</f>
        <v>7.0593000000000004</v>
      </c>
      <c r="K107" s="33">
        <f>7.0629 * CHOOSE(CONTROL!$C$32, $C$9, 100%, $E$9)</f>
        <v>7.0629</v>
      </c>
      <c r="L107" s="33">
        <f>4.3049 * CHOOSE(CONTROL!$C$32, $C$9, 100%, $E$9)</f>
        <v>4.3048999999999999</v>
      </c>
      <c r="M107" s="33">
        <f>4.3085 * CHOOSE(CONTROL!$C$32, $C$9, 100%, $E$9)</f>
        <v>4.3085000000000004</v>
      </c>
      <c r="N107" s="33">
        <f>4.3049 * CHOOSE(CONTROL!$C$32, $C$9, 100%, $E$9)</f>
        <v>4.3048999999999999</v>
      </c>
      <c r="O107" s="33">
        <f>4.3085 * CHOOSE(CONTROL!$C$32, $C$9, 100%, $E$9)</f>
        <v>4.3085000000000004</v>
      </c>
      <c r="P107" s="10"/>
      <c r="Q107" s="10"/>
      <c r="R107" s="10"/>
    </row>
    <row r="108" spans="1:18" ht="15" x14ac:dyDescent="0.2">
      <c r="A108" s="16">
        <v>44501</v>
      </c>
      <c r="B108" s="32">
        <f>3.3972 * CHOOSE(CONTROL!$C$32, $C$9, 100%, $E$9)</f>
        <v>3.3972000000000002</v>
      </c>
      <c r="C108" s="32">
        <f>3.3972 * CHOOSE(CONTROL!$C$32, $C$9, 100%, $E$9)</f>
        <v>3.3972000000000002</v>
      </c>
      <c r="D108" s="32">
        <f>3.3983 * CHOOSE(CONTROL!$C$32, $C$9, 100%, $E$9)</f>
        <v>3.3982999999999999</v>
      </c>
      <c r="E108" s="33">
        <f>4.3069 * CHOOSE(CONTROL!$C$32, $C$9, 100%, $E$9)</f>
        <v>4.3068999999999997</v>
      </c>
      <c r="F108" s="33">
        <f>4.3069 * CHOOSE(CONTROL!$C$32, $C$9, 100%, $E$9)</f>
        <v>4.3068999999999997</v>
      </c>
      <c r="G108" s="33">
        <f>4.3105 * CHOOSE(CONTROL!$C$32, $C$9, 100%, $E$9)</f>
        <v>4.3105000000000002</v>
      </c>
      <c r="H108" s="33">
        <f>7.074 * CHOOSE(CONTROL!$C$32, $C$9, 100%, $E$9)</f>
        <v>7.0739999999999998</v>
      </c>
      <c r="I108" s="33">
        <f>7.0776 * CHOOSE(CONTROL!$C$32, $C$9, 100%, $E$9)</f>
        <v>7.0776000000000003</v>
      </c>
      <c r="J108" s="33">
        <f>7.074 * CHOOSE(CONTROL!$C$32, $C$9, 100%, $E$9)</f>
        <v>7.0739999999999998</v>
      </c>
      <c r="K108" s="33">
        <f>7.0776 * CHOOSE(CONTROL!$C$32, $C$9, 100%, $E$9)</f>
        <v>7.0776000000000003</v>
      </c>
      <c r="L108" s="33">
        <f>4.3069 * CHOOSE(CONTROL!$C$32, $C$9, 100%, $E$9)</f>
        <v>4.3068999999999997</v>
      </c>
      <c r="M108" s="33">
        <f>4.3105 * CHOOSE(CONTROL!$C$32, $C$9, 100%, $E$9)</f>
        <v>4.3105000000000002</v>
      </c>
      <c r="N108" s="33">
        <f>4.3069 * CHOOSE(CONTROL!$C$32, $C$9, 100%, $E$9)</f>
        <v>4.3068999999999997</v>
      </c>
      <c r="O108" s="33">
        <f>4.3105 * CHOOSE(CONTROL!$C$32, $C$9, 100%, $E$9)</f>
        <v>4.3105000000000002</v>
      </c>
      <c r="P108" s="10"/>
      <c r="Q108" s="10"/>
      <c r="R108" s="10"/>
    </row>
    <row r="109" spans="1:18" ht="15" x14ac:dyDescent="0.2">
      <c r="A109" s="16">
        <v>44531</v>
      </c>
      <c r="B109" s="32">
        <f>3.3972 * CHOOSE(CONTROL!$C$32, $C$9, 100%, $E$9)</f>
        <v>3.3972000000000002</v>
      </c>
      <c r="C109" s="32">
        <f>3.3972 * CHOOSE(CONTROL!$C$32, $C$9, 100%, $E$9)</f>
        <v>3.3972000000000002</v>
      </c>
      <c r="D109" s="32">
        <f>3.3983 * CHOOSE(CONTROL!$C$32, $C$9, 100%, $E$9)</f>
        <v>3.3982999999999999</v>
      </c>
      <c r="E109" s="33">
        <f>4.3069 * CHOOSE(CONTROL!$C$32, $C$9, 100%, $E$9)</f>
        <v>4.3068999999999997</v>
      </c>
      <c r="F109" s="33">
        <f>4.3069 * CHOOSE(CONTROL!$C$32, $C$9, 100%, $E$9)</f>
        <v>4.3068999999999997</v>
      </c>
      <c r="G109" s="33">
        <f>4.3105 * CHOOSE(CONTROL!$C$32, $C$9, 100%, $E$9)</f>
        <v>4.3105000000000002</v>
      </c>
      <c r="H109" s="33">
        <f>7.0888 * CHOOSE(CONTROL!$C$32, $C$9, 100%, $E$9)</f>
        <v>7.0888</v>
      </c>
      <c r="I109" s="33">
        <f>7.0924 * CHOOSE(CONTROL!$C$32, $C$9, 100%, $E$9)</f>
        <v>7.0923999999999996</v>
      </c>
      <c r="J109" s="33">
        <f>7.0888 * CHOOSE(CONTROL!$C$32, $C$9, 100%, $E$9)</f>
        <v>7.0888</v>
      </c>
      <c r="K109" s="33">
        <f>7.0924 * CHOOSE(CONTROL!$C$32, $C$9, 100%, $E$9)</f>
        <v>7.0923999999999996</v>
      </c>
      <c r="L109" s="33">
        <f>4.3069 * CHOOSE(CONTROL!$C$32, $C$9, 100%, $E$9)</f>
        <v>4.3068999999999997</v>
      </c>
      <c r="M109" s="33">
        <f>4.3105 * CHOOSE(CONTROL!$C$32, $C$9, 100%, $E$9)</f>
        <v>4.3105000000000002</v>
      </c>
      <c r="N109" s="33">
        <f>4.3069 * CHOOSE(CONTROL!$C$32, $C$9, 100%, $E$9)</f>
        <v>4.3068999999999997</v>
      </c>
      <c r="O109" s="33">
        <f>4.3105 * CHOOSE(CONTROL!$C$32, $C$9, 100%, $E$9)</f>
        <v>4.3105000000000002</v>
      </c>
      <c r="P109" s="10"/>
      <c r="Q109" s="10"/>
      <c r="R109" s="10"/>
    </row>
    <row r="110" spans="1:18" ht="15" x14ac:dyDescent="0.2">
      <c r="A110" s="16">
        <v>44562</v>
      </c>
      <c r="B110" s="32">
        <f>3.4251 * CHOOSE(CONTROL!$C$32, $C$9, 100%, $E$9)</f>
        <v>3.4251</v>
      </c>
      <c r="C110" s="32">
        <f>3.4251 * CHOOSE(CONTROL!$C$32, $C$9, 100%, $E$9)</f>
        <v>3.4251</v>
      </c>
      <c r="D110" s="32">
        <f>3.4261 * CHOOSE(CONTROL!$C$32, $C$9, 100%, $E$9)</f>
        <v>3.4260999999999999</v>
      </c>
      <c r="E110" s="33">
        <f>4.3439 * CHOOSE(CONTROL!$C$32, $C$9, 100%, $E$9)</f>
        <v>4.3438999999999997</v>
      </c>
      <c r="F110" s="33">
        <f>4.3439 * CHOOSE(CONTROL!$C$32, $C$9, 100%, $E$9)</f>
        <v>4.3438999999999997</v>
      </c>
      <c r="G110" s="33">
        <f>4.3475 * CHOOSE(CONTROL!$C$32, $C$9, 100%, $E$9)</f>
        <v>4.3475000000000001</v>
      </c>
      <c r="H110" s="33">
        <f>7.1035 * CHOOSE(CONTROL!$C$32, $C$9, 100%, $E$9)</f>
        <v>7.1035000000000004</v>
      </c>
      <c r="I110" s="33">
        <f>7.1072 * CHOOSE(CONTROL!$C$32, $C$9, 100%, $E$9)</f>
        <v>7.1071999999999997</v>
      </c>
      <c r="J110" s="33">
        <f>7.1035 * CHOOSE(CONTROL!$C$32, $C$9, 100%, $E$9)</f>
        <v>7.1035000000000004</v>
      </c>
      <c r="K110" s="33">
        <f>7.1072 * CHOOSE(CONTROL!$C$32, $C$9, 100%, $E$9)</f>
        <v>7.1071999999999997</v>
      </c>
      <c r="L110" s="33">
        <f>4.3439 * CHOOSE(CONTROL!$C$32, $C$9, 100%, $E$9)</f>
        <v>4.3438999999999997</v>
      </c>
      <c r="M110" s="33">
        <f>4.3475 * CHOOSE(CONTROL!$C$32, $C$9, 100%, $E$9)</f>
        <v>4.3475000000000001</v>
      </c>
      <c r="N110" s="33">
        <f>4.3439 * CHOOSE(CONTROL!$C$32, $C$9, 100%, $E$9)</f>
        <v>4.3438999999999997</v>
      </c>
      <c r="O110" s="33">
        <f>4.3475 * CHOOSE(CONTROL!$C$32, $C$9, 100%, $E$9)</f>
        <v>4.3475000000000001</v>
      </c>
      <c r="P110" s="10"/>
      <c r="Q110" s="10"/>
      <c r="R110" s="10"/>
    </row>
    <row r="111" spans="1:18" ht="15" x14ac:dyDescent="0.2">
      <c r="A111" s="16">
        <v>44593</v>
      </c>
      <c r="B111" s="32">
        <f>3.422 * CHOOSE(CONTROL!$C$32, $C$9, 100%, $E$9)</f>
        <v>3.4220000000000002</v>
      </c>
      <c r="C111" s="32">
        <f>3.422 * CHOOSE(CONTROL!$C$32, $C$9, 100%, $E$9)</f>
        <v>3.4220000000000002</v>
      </c>
      <c r="D111" s="32">
        <f>3.4231 * CHOOSE(CONTROL!$C$32, $C$9, 100%, $E$9)</f>
        <v>3.4230999999999998</v>
      </c>
      <c r="E111" s="33">
        <f>4.3419 * CHOOSE(CONTROL!$C$32, $C$9, 100%, $E$9)</f>
        <v>4.3418999999999999</v>
      </c>
      <c r="F111" s="33">
        <f>4.3419 * CHOOSE(CONTROL!$C$32, $C$9, 100%, $E$9)</f>
        <v>4.3418999999999999</v>
      </c>
      <c r="G111" s="33">
        <f>4.3455 * CHOOSE(CONTROL!$C$32, $C$9, 100%, $E$9)</f>
        <v>4.3455000000000004</v>
      </c>
      <c r="H111" s="33">
        <f>7.1183 * CHOOSE(CONTROL!$C$32, $C$9, 100%, $E$9)</f>
        <v>7.1182999999999996</v>
      </c>
      <c r="I111" s="33">
        <f>7.122 * CHOOSE(CONTROL!$C$32, $C$9, 100%, $E$9)</f>
        <v>7.1219999999999999</v>
      </c>
      <c r="J111" s="33">
        <f>7.1183 * CHOOSE(CONTROL!$C$32, $C$9, 100%, $E$9)</f>
        <v>7.1182999999999996</v>
      </c>
      <c r="K111" s="33">
        <f>7.122 * CHOOSE(CONTROL!$C$32, $C$9, 100%, $E$9)</f>
        <v>7.1219999999999999</v>
      </c>
      <c r="L111" s="33">
        <f>4.3419 * CHOOSE(CONTROL!$C$32, $C$9, 100%, $E$9)</f>
        <v>4.3418999999999999</v>
      </c>
      <c r="M111" s="33">
        <f>4.3455 * CHOOSE(CONTROL!$C$32, $C$9, 100%, $E$9)</f>
        <v>4.3455000000000004</v>
      </c>
      <c r="N111" s="33">
        <f>4.3419 * CHOOSE(CONTROL!$C$32, $C$9, 100%, $E$9)</f>
        <v>4.3418999999999999</v>
      </c>
      <c r="O111" s="33">
        <f>4.3455 * CHOOSE(CONTROL!$C$32, $C$9, 100%, $E$9)</f>
        <v>4.3455000000000004</v>
      </c>
      <c r="P111" s="10"/>
      <c r="Q111" s="10"/>
      <c r="R111" s="10"/>
    </row>
    <row r="112" spans="1:18" ht="15" x14ac:dyDescent="0.2">
      <c r="A112" s="16">
        <v>44621</v>
      </c>
      <c r="B112" s="32">
        <f>3.419 * CHOOSE(CONTROL!$C$32, $C$9, 100%, $E$9)</f>
        <v>3.419</v>
      </c>
      <c r="C112" s="32">
        <f>3.419 * CHOOSE(CONTROL!$C$32, $C$9, 100%, $E$9)</f>
        <v>3.419</v>
      </c>
      <c r="D112" s="32">
        <f>3.4201 * CHOOSE(CONTROL!$C$32, $C$9, 100%, $E$9)</f>
        <v>3.4201000000000001</v>
      </c>
      <c r="E112" s="33">
        <f>4.3399 * CHOOSE(CONTROL!$C$32, $C$9, 100%, $E$9)</f>
        <v>4.3399000000000001</v>
      </c>
      <c r="F112" s="33">
        <f>4.3399 * CHOOSE(CONTROL!$C$32, $C$9, 100%, $E$9)</f>
        <v>4.3399000000000001</v>
      </c>
      <c r="G112" s="33">
        <f>4.3435 * CHOOSE(CONTROL!$C$32, $C$9, 100%, $E$9)</f>
        <v>4.3434999999999997</v>
      </c>
      <c r="H112" s="33">
        <f>7.1332 * CHOOSE(CONTROL!$C$32, $C$9, 100%, $E$9)</f>
        <v>7.1332000000000004</v>
      </c>
      <c r="I112" s="33">
        <f>7.1368 * CHOOSE(CONTROL!$C$32, $C$9, 100%, $E$9)</f>
        <v>7.1368</v>
      </c>
      <c r="J112" s="33">
        <f>7.1332 * CHOOSE(CONTROL!$C$32, $C$9, 100%, $E$9)</f>
        <v>7.1332000000000004</v>
      </c>
      <c r="K112" s="33">
        <f>7.1368 * CHOOSE(CONTROL!$C$32, $C$9, 100%, $E$9)</f>
        <v>7.1368</v>
      </c>
      <c r="L112" s="33">
        <f>4.3399 * CHOOSE(CONTROL!$C$32, $C$9, 100%, $E$9)</f>
        <v>4.3399000000000001</v>
      </c>
      <c r="M112" s="33">
        <f>4.3435 * CHOOSE(CONTROL!$C$32, $C$9, 100%, $E$9)</f>
        <v>4.3434999999999997</v>
      </c>
      <c r="N112" s="33">
        <f>4.3399 * CHOOSE(CONTROL!$C$32, $C$9, 100%, $E$9)</f>
        <v>4.3399000000000001</v>
      </c>
      <c r="O112" s="33">
        <f>4.3435 * CHOOSE(CONTROL!$C$32, $C$9, 100%, $E$9)</f>
        <v>4.3434999999999997</v>
      </c>
      <c r="P112" s="10"/>
      <c r="Q112" s="10"/>
      <c r="R112" s="10"/>
    </row>
    <row r="113" spans="1:18" ht="15" x14ac:dyDescent="0.2">
      <c r="A113" s="16">
        <v>44652</v>
      </c>
      <c r="B113" s="32">
        <f>3.4161 * CHOOSE(CONTROL!$C$32, $C$9, 100%, $E$9)</f>
        <v>3.4161000000000001</v>
      </c>
      <c r="C113" s="32">
        <f>3.4161 * CHOOSE(CONTROL!$C$32, $C$9, 100%, $E$9)</f>
        <v>3.4161000000000001</v>
      </c>
      <c r="D113" s="32">
        <f>3.4172 * CHOOSE(CONTROL!$C$32, $C$9, 100%, $E$9)</f>
        <v>3.4171999999999998</v>
      </c>
      <c r="E113" s="33">
        <f>4.3376 * CHOOSE(CONTROL!$C$32, $C$9, 100%, $E$9)</f>
        <v>4.3376000000000001</v>
      </c>
      <c r="F113" s="33">
        <f>4.3376 * CHOOSE(CONTROL!$C$32, $C$9, 100%, $E$9)</f>
        <v>4.3376000000000001</v>
      </c>
      <c r="G113" s="33">
        <f>4.3412 * CHOOSE(CONTROL!$C$32, $C$9, 100%, $E$9)</f>
        <v>4.3411999999999997</v>
      </c>
      <c r="H113" s="33">
        <f>7.148 * CHOOSE(CONTROL!$C$32, $C$9, 100%, $E$9)</f>
        <v>7.1479999999999997</v>
      </c>
      <c r="I113" s="33">
        <f>7.1516 * CHOOSE(CONTROL!$C$32, $C$9, 100%, $E$9)</f>
        <v>7.1516000000000002</v>
      </c>
      <c r="J113" s="33">
        <f>7.148 * CHOOSE(CONTROL!$C$32, $C$9, 100%, $E$9)</f>
        <v>7.1479999999999997</v>
      </c>
      <c r="K113" s="33">
        <f>7.1516 * CHOOSE(CONTROL!$C$32, $C$9, 100%, $E$9)</f>
        <v>7.1516000000000002</v>
      </c>
      <c r="L113" s="33">
        <f>4.3376 * CHOOSE(CONTROL!$C$32, $C$9, 100%, $E$9)</f>
        <v>4.3376000000000001</v>
      </c>
      <c r="M113" s="33">
        <f>4.3412 * CHOOSE(CONTROL!$C$32, $C$9, 100%, $E$9)</f>
        <v>4.3411999999999997</v>
      </c>
      <c r="N113" s="33">
        <f>4.3376 * CHOOSE(CONTROL!$C$32, $C$9, 100%, $E$9)</f>
        <v>4.3376000000000001</v>
      </c>
      <c r="O113" s="33">
        <f>4.3412 * CHOOSE(CONTROL!$C$32, $C$9, 100%, $E$9)</f>
        <v>4.3411999999999997</v>
      </c>
      <c r="P113" s="10"/>
      <c r="Q113" s="10"/>
      <c r="R113" s="10"/>
    </row>
    <row r="114" spans="1:18" ht="15" x14ac:dyDescent="0.2">
      <c r="A114" s="16">
        <v>44682</v>
      </c>
      <c r="B114" s="32">
        <f>3.4161 * CHOOSE(CONTROL!$C$32, $C$9, 100%, $E$9)</f>
        <v>3.4161000000000001</v>
      </c>
      <c r="C114" s="32">
        <f>3.4161 * CHOOSE(CONTROL!$C$32, $C$9, 100%, $E$9)</f>
        <v>3.4161000000000001</v>
      </c>
      <c r="D114" s="32">
        <f>3.4177 * CHOOSE(CONTROL!$C$32, $C$9, 100%, $E$9)</f>
        <v>3.4177</v>
      </c>
      <c r="E114" s="33">
        <f>4.3376 * CHOOSE(CONTROL!$C$32, $C$9, 100%, $E$9)</f>
        <v>4.3376000000000001</v>
      </c>
      <c r="F114" s="33">
        <f>4.3376 * CHOOSE(CONTROL!$C$32, $C$9, 100%, $E$9)</f>
        <v>4.3376000000000001</v>
      </c>
      <c r="G114" s="33">
        <f>4.3429 * CHOOSE(CONTROL!$C$32, $C$9, 100%, $E$9)</f>
        <v>4.3429000000000002</v>
      </c>
      <c r="H114" s="33">
        <f>7.1629 * CHOOSE(CONTROL!$C$32, $C$9, 100%, $E$9)</f>
        <v>7.1628999999999996</v>
      </c>
      <c r="I114" s="33">
        <f>7.1682 * CHOOSE(CONTROL!$C$32, $C$9, 100%, $E$9)</f>
        <v>7.1681999999999997</v>
      </c>
      <c r="J114" s="33">
        <f>7.1629 * CHOOSE(CONTROL!$C$32, $C$9, 100%, $E$9)</f>
        <v>7.1628999999999996</v>
      </c>
      <c r="K114" s="33">
        <f>7.1682 * CHOOSE(CONTROL!$C$32, $C$9, 100%, $E$9)</f>
        <v>7.1681999999999997</v>
      </c>
      <c r="L114" s="33">
        <f>4.3376 * CHOOSE(CONTROL!$C$32, $C$9, 100%, $E$9)</f>
        <v>4.3376000000000001</v>
      </c>
      <c r="M114" s="33">
        <f>4.3429 * CHOOSE(CONTROL!$C$32, $C$9, 100%, $E$9)</f>
        <v>4.3429000000000002</v>
      </c>
      <c r="N114" s="33">
        <f>4.3376 * CHOOSE(CONTROL!$C$32, $C$9, 100%, $E$9)</f>
        <v>4.3376000000000001</v>
      </c>
      <c r="O114" s="33">
        <f>4.3429 * CHOOSE(CONTROL!$C$32, $C$9, 100%, $E$9)</f>
        <v>4.3429000000000002</v>
      </c>
      <c r="P114" s="10"/>
      <c r="Q114" s="10"/>
      <c r="R114" s="10"/>
    </row>
    <row r="115" spans="1:18" ht="15" x14ac:dyDescent="0.2">
      <c r="A115" s="16">
        <v>44713</v>
      </c>
      <c r="B115" s="32">
        <f>3.4222 * CHOOSE(CONTROL!$C$32, $C$9, 100%, $E$9)</f>
        <v>3.4222000000000001</v>
      </c>
      <c r="C115" s="32">
        <f>3.4222 * CHOOSE(CONTROL!$C$32, $C$9, 100%, $E$9)</f>
        <v>3.4222000000000001</v>
      </c>
      <c r="D115" s="32">
        <f>3.4238 * CHOOSE(CONTROL!$C$32, $C$9, 100%, $E$9)</f>
        <v>3.4238</v>
      </c>
      <c r="E115" s="33">
        <f>4.3416 * CHOOSE(CONTROL!$C$32, $C$9, 100%, $E$9)</f>
        <v>4.3415999999999997</v>
      </c>
      <c r="F115" s="33">
        <f>4.3416 * CHOOSE(CONTROL!$C$32, $C$9, 100%, $E$9)</f>
        <v>4.3415999999999997</v>
      </c>
      <c r="G115" s="33">
        <f>4.3469 * CHOOSE(CONTROL!$C$32, $C$9, 100%, $E$9)</f>
        <v>4.3468999999999998</v>
      </c>
      <c r="H115" s="33">
        <f>7.1778 * CHOOSE(CONTROL!$C$32, $C$9, 100%, $E$9)</f>
        <v>7.1778000000000004</v>
      </c>
      <c r="I115" s="33">
        <f>7.1831 * CHOOSE(CONTROL!$C$32, $C$9, 100%, $E$9)</f>
        <v>7.1830999999999996</v>
      </c>
      <c r="J115" s="33">
        <f>7.1778 * CHOOSE(CONTROL!$C$32, $C$9, 100%, $E$9)</f>
        <v>7.1778000000000004</v>
      </c>
      <c r="K115" s="33">
        <f>7.1831 * CHOOSE(CONTROL!$C$32, $C$9, 100%, $E$9)</f>
        <v>7.1830999999999996</v>
      </c>
      <c r="L115" s="33">
        <f>4.3416 * CHOOSE(CONTROL!$C$32, $C$9, 100%, $E$9)</f>
        <v>4.3415999999999997</v>
      </c>
      <c r="M115" s="33">
        <f>4.3469 * CHOOSE(CONTROL!$C$32, $C$9, 100%, $E$9)</f>
        <v>4.3468999999999998</v>
      </c>
      <c r="N115" s="33">
        <f>4.3416 * CHOOSE(CONTROL!$C$32, $C$9, 100%, $E$9)</f>
        <v>4.3415999999999997</v>
      </c>
      <c r="O115" s="33">
        <f>4.3469 * CHOOSE(CONTROL!$C$32, $C$9, 100%, $E$9)</f>
        <v>4.3468999999999998</v>
      </c>
      <c r="P115" s="10"/>
      <c r="Q115" s="10"/>
      <c r="R115" s="10"/>
    </row>
    <row r="116" spans="1:18" ht="15" x14ac:dyDescent="0.2">
      <c r="A116" s="16">
        <v>44743</v>
      </c>
      <c r="B116" s="32">
        <f>3.4729 * CHOOSE(CONTROL!$C$32, $C$9, 100%, $E$9)</f>
        <v>3.4729000000000001</v>
      </c>
      <c r="C116" s="32">
        <f>3.4729 * CHOOSE(CONTROL!$C$32, $C$9, 100%, $E$9)</f>
        <v>3.4729000000000001</v>
      </c>
      <c r="D116" s="32">
        <f>3.4745 * CHOOSE(CONTROL!$C$32, $C$9, 100%, $E$9)</f>
        <v>3.4744999999999999</v>
      </c>
      <c r="E116" s="33">
        <f>4.4233 * CHOOSE(CONTROL!$C$32, $C$9, 100%, $E$9)</f>
        <v>4.4233000000000002</v>
      </c>
      <c r="F116" s="33">
        <f>4.4233 * CHOOSE(CONTROL!$C$32, $C$9, 100%, $E$9)</f>
        <v>4.4233000000000002</v>
      </c>
      <c r="G116" s="33">
        <f>4.4286 * CHOOSE(CONTROL!$C$32, $C$9, 100%, $E$9)</f>
        <v>4.4286000000000003</v>
      </c>
      <c r="H116" s="33">
        <f>7.1928 * CHOOSE(CONTROL!$C$32, $C$9, 100%, $E$9)</f>
        <v>7.1928000000000001</v>
      </c>
      <c r="I116" s="33">
        <f>7.1981 * CHOOSE(CONTROL!$C$32, $C$9, 100%, $E$9)</f>
        <v>7.1981000000000002</v>
      </c>
      <c r="J116" s="33">
        <f>7.1928 * CHOOSE(CONTROL!$C$32, $C$9, 100%, $E$9)</f>
        <v>7.1928000000000001</v>
      </c>
      <c r="K116" s="33">
        <f>7.1981 * CHOOSE(CONTROL!$C$32, $C$9, 100%, $E$9)</f>
        <v>7.1981000000000002</v>
      </c>
      <c r="L116" s="33">
        <f>4.4233 * CHOOSE(CONTROL!$C$32, $C$9, 100%, $E$9)</f>
        <v>4.4233000000000002</v>
      </c>
      <c r="M116" s="33">
        <f>4.4286 * CHOOSE(CONTROL!$C$32, $C$9, 100%, $E$9)</f>
        <v>4.4286000000000003</v>
      </c>
      <c r="N116" s="33">
        <f>4.4233 * CHOOSE(CONTROL!$C$32, $C$9, 100%, $E$9)</f>
        <v>4.4233000000000002</v>
      </c>
      <c r="O116" s="33">
        <f>4.4286 * CHOOSE(CONTROL!$C$32, $C$9, 100%, $E$9)</f>
        <v>4.4286000000000003</v>
      </c>
      <c r="P116" s="10"/>
      <c r="Q116" s="10"/>
      <c r="R116" s="10"/>
    </row>
    <row r="117" spans="1:18" ht="15" x14ac:dyDescent="0.2">
      <c r="A117" s="16">
        <v>44774</v>
      </c>
      <c r="B117" s="32">
        <f>3.4796 * CHOOSE(CONTROL!$C$32, $C$9, 100%, $E$9)</f>
        <v>3.4796</v>
      </c>
      <c r="C117" s="32">
        <f>3.4796 * CHOOSE(CONTROL!$C$32, $C$9, 100%, $E$9)</f>
        <v>3.4796</v>
      </c>
      <c r="D117" s="32">
        <f>3.4811 * CHOOSE(CONTROL!$C$32, $C$9, 100%, $E$9)</f>
        <v>3.4811000000000001</v>
      </c>
      <c r="E117" s="33">
        <f>4.4277 * CHOOSE(CONTROL!$C$32, $C$9, 100%, $E$9)</f>
        <v>4.4276999999999997</v>
      </c>
      <c r="F117" s="33">
        <f>4.4277 * CHOOSE(CONTROL!$C$32, $C$9, 100%, $E$9)</f>
        <v>4.4276999999999997</v>
      </c>
      <c r="G117" s="33">
        <f>4.433 * CHOOSE(CONTROL!$C$32, $C$9, 100%, $E$9)</f>
        <v>4.4329999999999998</v>
      </c>
      <c r="H117" s="33">
        <f>7.2078 * CHOOSE(CONTROL!$C$32, $C$9, 100%, $E$9)</f>
        <v>7.2077999999999998</v>
      </c>
      <c r="I117" s="33">
        <f>7.2131 * CHOOSE(CONTROL!$C$32, $C$9, 100%, $E$9)</f>
        <v>7.2130999999999998</v>
      </c>
      <c r="J117" s="33">
        <f>7.2078 * CHOOSE(CONTROL!$C$32, $C$9, 100%, $E$9)</f>
        <v>7.2077999999999998</v>
      </c>
      <c r="K117" s="33">
        <f>7.2131 * CHOOSE(CONTROL!$C$32, $C$9, 100%, $E$9)</f>
        <v>7.2130999999999998</v>
      </c>
      <c r="L117" s="33">
        <f>4.4277 * CHOOSE(CONTROL!$C$32, $C$9, 100%, $E$9)</f>
        <v>4.4276999999999997</v>
      </c>
      <c r="M117" s="33">
        <f>4.433 * CHOOSE(CONTROL!$C$32, $C$9, 100%, $E$9)</f>
        <v>4.4329999999999998</v>
      </c>
      <c r="N117" s="33">
        <f>4.4277 * CHOOSE(CONTROL!$C$32, $C$9, 100%, $E$9)</f>
        <v>4.4276999999999997</v>
      </c>
      <c r="O117" s="33">
        <f>4.433 * CHOOSE(CONTROL!$C$32, $C$9, 100%, $E$9)</f>
        <v>4.4329999999999998</v>
      </c>
      <c r="P117" s="10"/>
      <c r="Q117" s="10"/>
      <c r="R117" s="10"/>
    </row>
    <row r="118" spans="1:18" ht="15" x14ac:dyDescent="0.2">
      <c r="A118" s="16">
        <v>44805</v>
      </c>
      <c r="B118" s="32">
        <f>3.4765 * CHOOSE(CONTROL!$C$32, $C$9, 100%, $E$9)</f>
        <v>3.4765000000000001</v>
      </c>
      <c r="C118" s="32">
        <f>3.4765 * CHOOSE(CONTROL!$C$32, $C$9, 100%, $E$9)</f>
        <v>3.4765000000000001</v>
      </c>
      <c r="D118" s="32">
        <f>3.4781 * CHOOSE(CONTROL!$C$32, $C$9, 100%, $E$9)</f>
        <v>3.4781</v>
      </c>
      <c r="E118" s="33">
        <f>4.4257 * CHOOSE(CONTROL!$C$32, $C$9, 100%, $E$9)</f>
        <v>4.4257</v>
      </c>
      <c r="F118" s="33">
        <f>4.4257 * CHOOSE(CONTROL!$C$32, $C$9, 100%, $E$9)</f>
        <v>4.4257</v>
      </c>
      <c r="G118" s="33">
        <f>4.431 * CHOOSE(CONTROL!$C$32, $C$9, 100%, $E$9)</f>
        <v>4.431</v>
      </c>
      <c r="H118" s="33">
        <f>7.2228 * CHOOSE(CONTROL!$C$32, $C$9, 100%, $E$9)</f>
        <v>7.2228000000000003</v>
      </c>
      <c r="I118" s="33">
        <f>7.2281 * CHOOSE(CONTROL!$C$32, $C$9, 100%, $E$9)</f>
        <v>7.2281000000000004</v>
      </c>
      <c r="J118" s="33">
        <f>7.2228 * CHOOSE(CONTROL!$C$32, $C$9, 100%, $E$9)</f>
        <v>7.2228000000000003</v>
      </c>
      <c r="K118" s="33">
        <f>7.2281 * CHOOSE(CONTROL!$C$32, $C$9, 100%, $E$9)</f>
        <v>7.2281000000000004</v>
      </c>
      <c r="L118" s="33">
        <f>4.4257 * CHOOSE(CONTROL!$C$32, $C$9, 100%, $E$9)</f>
        <v>4.4257</v>
      </c>
      <c r="M118" s="33">
        <f>4.431 * CHOOSE(CONTROL!$C$32, $C$9, 100%, $E$9)</f>
        <v>4.431</v>
      </c>
      <c r="N118" s="33">
        <f>4.4257 * CHOOSE(CONTROL!$C$32, $C$9, 100%, $E$9)</f>
        <v>4.4257</v>
      </c>
      <c r="O118" s="33">
        <f>4.431 * CHOOSE(CONTROL!$C$32, $C$9, 100%, $E$9)</f>
        <v>4.431</v>
      </c>
      <c r="P118" s="10"/>
      <c r="Q118" s="10"/>
      <c r="R118" s="10"/>
    </row>
    <row r="119" spans="1:18" ht="15" x14ac:dyDescent="0.2">
      <c r="A119" s="16">
        <v>44835</v>
      </c>
      <c r="B119" s="32">
        <f>3.4698 * CHOOSE(CONTROL!$C$32, $C$9, 100%, $E$9)</f>
        <v>3.4698000000000002</v>
      </c>
      <c r="C119" s="32">
        <f>3.4698 * CHOOSE(CONTROL!$C$32, $C$9, 100%, $E$9)</f>
        <v>3.4698000000000002</v>
      </c>
      <c r="D119" s="32">
        <f>3.4709 * CHOOSE(CONTROL!$C$32, $C$9, 100%, $E$9)</f>
        <v>3.4708999999999999</v>
      </c>
      <c r="E119" s="33">
        <f>4.4195 * CHOOSE(CONTROL!$C$32, $C$9, 100%, $E$9)</f>
        <v>4.4195000000000002</v>
      </c>
      <c r="F119" s="33">
        <f>4.4195 * CHOOSE(CONTROL!$C$32, $C$9, 100%, $E$9)</f>
        <v>4.4195000000000002</v>
      </c>
      <c r="G119" s="33">
        <f>4.4231 * CHOOSE(CONTROL!$C$32, $C$9, 100%, $E$9)</f>
        <v>4.4230999999999998</v>
      </c>
      <c r="H119" s="33">
        <f>7.2378 * CHOOSE(CONTROL!$C$32, $C$9, 100%, $E$9)</f>
        <v>7.2378</v>
      </c>
      <c r="I119" s="33">
        <f>7.2415 * CHOOSE(CONTROL!$C$32, $C$9, 100%, $E$9)</f>
        <v>7.2415000000000003</v>
      </c>
      <c r="J119" s="33">
        <f>7.2378 * CHOOSE(CONTROL!$C$32, $C$9, 100%, $E$9)</f>
        <v>7.2378</v>
      </c>
      <c r="K119" s="33">
        <f>7.2415 * CHOOSE(CONTROL!$C$32, $C$9, 100%, $E$9)</f>
        <v>7.2415000000000003</v>
      </c>
      <c r="L119" s="33">
        <f>4.4195 * CHOOSE(CONTROL!$C$32, $C$9, 100%, $E$9)</f>
        <v>4.4195000000000002</v>
      </c>
      <c r="M119" s="33">
        <f>4.4231 * CHOOSE(CONTROL!$C$32, $C$9, 100%, $E$9)</f>
        <v>4.4230999999999998</v>
      </c>
      <c r="N119" s="33">
        <f>4.4195 * CHOOSE(CONTROL!$C$32, $C$9, 100%, $E$9)</f>
        <v>4.4195000000000002</v>
      </c>
      <c r="O119" s="33">
        <f>4.4231 * CHOOSE(CONTROL!$C$32, $C$9, 100%, $E$9)</f>
        <v>4.4230999999999998</v>
      </c>
      <c r="P119" s="10"/>
      <c r="Q119" s="10"/>
      <c r="R119" s="10"/>
    </row>
    <row r="120" spans="1:18" ht="15" x14ac:dyDescent="0.2">
      <c r="A120" s="16">
        <v>44866</v>
      </c>
      <c r="B120" s="32">
        <f>3.4728 * CHOOSE(CONTROL!$C$32, $C$9, 100%, $E$9)</f>
        <v>3.4727999999999999</v>
      </c>
      <c r="C120" s="32">
        <f>3.4728 * CHOOSE(CONTROL!$C$32, $C$9, 100%, $E$9)</f>
        <v>3.4727999999999999</v>
      </c>
      <c r="D120" s="32">
        <f>3.4739 * CHOOSE(CONTROL!$C$32, $C$9, 100%, $E$9)</f>
        <v>3.4739</v>
      </c>
      <c r="E120" s="33">
        <f>4.4215 * CHOOSE(CONTROL!$C$32, $C$9, 100%, $E$9)</f>
        <v>4.4215</v>
      </c>
      <c r="F120" s="33">
        <f>4.4215 * CHOOSE(CONTROL!$C$32, $C$9, 100%, $E$9)</f>
        <v>4.4215</v>
      </c>
      <c r="G120" s="33">
        <f>4.4251 * CHOOSE(CONTROL!$C$32, $C$9, 100%, $E$9)</f>
        <v>4.4250999999999996</v>
      </c>
      <c r="H120" s="33">
        <f>7.2529 * CHOOSE(CONTROL!$C$32, $C$9, 100%, $E$9)</f>
        <v>7.2529000000000003</v>
      </c>
      <c r="I120" s="33">
        <f>7.2565 * CHOOSE(CONTROL!$C$32, $C$9, 100%, $E$9)</f>
        <v>7.2565</v>
      </c>
      <c r="J120" s="33">
        <f>7.2529 * CHOOSE(CONTROL!$C$32, $C$9, 100%, $E$9)</f>
        <v>7.2529000000000003</v>
      </c>
      <c r="K120" s="33">
        <f>7.2565 * CHOOSE(CONTROL!$C$32, $C$9, 100%, $E$9)</f>
        <v>7.2565</v>
      </c>
      <c r="L120" s="33">
        <f>4.4215 * CHOOSE(CONTROL!$C$32, $C$9, 100%, $E$9)</f>
        <v>4.4215</v>
      </c>
      <c r="M120" s="33">
        <f>4.4251 * CHOOSE(CONTROL!$C$32, $C$9, 100%, $E$9)</f>
        <v>4.4250999999999996</v>
      </c>
      <c r="N120" s="33">
        <f>4.4215 * CHOOSE(CONTROL!$C$32, $C$9, 100%, $E$9)</f>
        <v>4.4215</v>
      </c>
      <c r="O120" s="33">
        <f>4.4251 * CHOOSE(CONTROL!$C$32, $C$9, 100%, $E$9)</f>
        <v>4.4250999999999996</v>
      </c>
      <c r="P120" s="10"/>
      <c r="Q120" s="10"/>
      <c r="R120" s="10"/>
    </row>
    <row r="121" spans="1:18" ht="15" x14ac:dyDescent="0.2">
      <c r="A121" s="16">
        <v>44896</v>
      </c>
      <c r="B121" s="32">
        <f>3.4728 * CHOOSE(CONTROL!$C$32, $C$9, 100%, $E$9)</f>
        <v>3.4727999999999999</v>
      </c>
      <c r="C121" s="32">
        <f>3.4728 * CHOOSE(CONTROL!$C$32, $C$9, 100%, $E$9)</f>
        <v>3.4727999999999999</v>
      </c>
      <c r="D121" s="32">
        <f>3.4739 * CHOOSE(CONTROL!$C$32, $C$9, 100%, $E$9)</f>
        <v>3.4739</v>
      </c>
      <c r="E121" s="33">
        <f>4.4215 * CHOOSE(CONTROL!$C$32, $C$9, 100%, $E$9)</f>
        <v>4.4215</v>
      </c>
      <c r="F121" s="33">
        <f>4.4215 * CHOOSE(CONTROL!$C$32, $C$9, 100%, $E$9)</f>
        <v>4.4215</v>
      </c>
      <c r="G121" s="33">
        <f>4.4251 * CHOOSE(CONTROL!$C$32, $C$9, 100%, $E$9)</f>
        <v>4.4250999999999996</v>
      </c>
      <c r="H121" s="33">
        <f>7.268 * CHOOSE(CONTROL!$C$32, $C$9, 100%, $E$9)</f>
        <v>7.2679999999999998</v>
      </c>
      <c r="I121" s="33">
        <f>7.2716 * CHOOSE(CONTROL!$C$32, $C$9, 100%, $E$9)</f>
        <v>7.2716000000000003</v>
      </c>
      <c r="J121" s="33">
        <f>7.268 * CHOOSE(CONTROL!$C$32, $C$9, 100%, $E$9)</f>
        <v>7.2679999999999998</v>
      </c>
      <c r="K121" s="33">
        <f>7.2716 * CHOOSE(CONTROL!$C$32, $C$9, 100%, $E$9)</f>
        <v>7.2716000000000003</v>
      </c>
      <c r="L121" s="33">
        <f>4.4215 * CHOOSE(CONTROL!$C$32, $C$9, 100%, $E$9)</f>
        <v>4.4215</v>
      </c>
      <c r="M121" s="33">
        <f>4.4251 * CHOOSE(CONTROL!$C$32, $C$9, 100%, $E$9)</f>
        <v>4.4250999999999996</v>
      </c>
      <c r="N121" s="33">
        <f>4.4215 * CHOOSE(CONTROL!$C$32, $C$9, 100%, $E$9)</f>
        <v>4.4215</v>
      </c>
      <c r="O121" s="33">
        <f>4.4251 * CHOOSE(CONTROL!$C$32, $C$9, 100%, $E$9)</f>
        <v>4.4250999999999996</v>
      </c>
      <c r="P121" s="10"/>
      <c r="Q121" s="10"/>
      <c r="R121" s="10"/>
    </row>
    <row r="122" spans="1:18" ht="15" x14ac:dyDescent="0.2">
      <c r="A122" s="16">
        <v>44927</v>
      </c>
      <c r="B122" s="32">
        <f>3.5089 * CHOOSE(CONTROL!$C$32, $C$9, 100%, $E$9)</f>
        <v>3.5089000000000001</v>
      </c>
      <c r="C122" s="32">
        <f>3.5089 * CHOOSE(CONTROL!$C$32, $C$9, 100%, $E$9)</f>
        <v>3.5089000000000001</v>
      </c>
      <c r="D122" s="32">
        <f>3.5099 * CHOOSE(CONTROL!$C$32, $C$9, 100%, $E$9)</f>
        <v>3.5099</v>
      </c>
      <c r="E122" s="33">
        <f>4.4558 * CHOOSE(CONTROL!$C$32, $C$9, 100%, $E$9)</f>
        <v>4.4558</v>
      </c>
      <c r="F122" s="33">
        <f>4.4558 * CHOOSE(CONTROL!$C$32, $C$9, 100%, $E$9)</f>
        <v>4.4558</v>
      </c>
      <c r="G122" s="33">
        <f>4.4594 * CHOOSE(CONTROL!$C$32, $C$9, 100%, $E$9)</f>
        <v>4.4593999999999996</v>
      </c>
      <c r="H122" s="33">
        <f>7.2832 * CHOOSE(CONTROL!$C$32, $C$9, 100%, $E$9)</f>
        <v>7.2831999999999999</v>
      </c>
      <c r="I122" s="33">
        <f>7.2868 * CHOOSE(CONTROL!$C$32, $C$9, 100%, $E$9)</f>
        <v>7.2868000000000004</v>
      </c>
      <c r="J122" s="33">
        <f>7.2832 * CHOOSE(CONTROL!$C$32, $C$9, 100%, $E$9)</f>
        <v>7.2831999999999999</v>
      </c>
      <c r="K122" s="33">
        <f>7.2868 * CHOOSE(CONTROL!$C$32, $C$9, 100%, $E$9)</f>
        <v>7.2868000000000004</v>
      </c>
      <c r="L122" s="33">
        <f>4.4558 * CHOOSE(CONTROL!$C$32, $C$9, 100%, $E$9)</f>
        <v>4.4558</v>
      </c>
      <c r="M122" s="33">
        <f>4.4594 * CHOOSE(CONTROL!$C$32, $C$9, 100%, $E$9)</f>
        <v>4.4593999999999996</v>
      </c>
      <c r="N122" s="33">
        <f>4.4558 * CHOOSE(CONTROL!$C$32, $C$9, 100%, $E$9)</f>
        <v>4.4558</v>
      </c>
      <c r="O122" s="33">
        <f>4.4594 * CHOOSE(CONTROL!$C$32, $C$9, 100%, $E$9)</f>
        <v>4.4593999999999996</v>
      </c>
      <c r="P122" s="10"/>
      <c r="Q122" s="10"/>
      <c r="R122" s="10"/>
    </row>
    <row r="123" spans="1:18" ht="15" x14ac:dyDescent="0.2">
      <c r="A123" s="16">
        <v>44958</v>
      </c>
      <c r="B123" s="32">
        <f>3.5058 * CHOOSE(CONTROL!$C$32, $C$9, 100%, $E$9)</f>
        <v>3.5057999999999998</v>
      </c>
      <c r="C123" s="32">
        <f>3.5058 * CHOOSE(CONTROL!$C$32, $C$9, 100%, $E$9)</f>
        <v>3.5057999999999998</v>
      </c>
      <c r="D123" s="32">
        <f>3.5069 * CHOOSE(CONTROL!$C$32, $C$9, 100%, $E$9)</f>
        <v>3.5068999999999999</v>
      </c>
      <c r="E123" s="33">
        <f>4.4538 * CHOOSE(CONTROL!$C$32, $C$9, 100%, $E$9)</f>
        <v>4.4538000000000002</v>
      </c>
      <c r="F123" s="33">
        <f>4.4538 * CHOOSE(CONTROL!$C$32, $C$9, 100%, $E$9)</f>
        <v>4.4538000000000002</v>
      </c>
      <c r="G123" s="33">
        <f>4.4574 * CHOOSE(CONTROL!$C$32, $C$9, 100%, $E$9)</f>
        <v>4.4573999999999998</v>
      </c>
      <c r="H123" s="33">
        <f>7.2983 * CHOOSE(CONTROL!$C$32, $C$9, 100%, $E$9)</f>
        <v>7.2983000000000002</v>
      </c>
      <c r="I123" s="33">
        <f>7.302 * CHOOSE(CONTROL!$C$32, $C$9, 100%, $E$9)</f>
        <v>7.3019999999999996</v>
      </c>
      <c r="J123" s="33">
        <f>7.2983 * CHOOSE(CONTROL!$C$32, $C$9, 100%, $E$9)</f>
        <v>7.2983000000000002</v>
      </c>
      <c r="K123" s="33">
        <f>7.302 * CHOOSE(CONTROL!$C$32, $C$9, 100%, $E$9)</f>
        <v>7.3019999999999996</v>
      </c>
      <c r="L123" s="33">
        <f>4.4538 * CHOOSE(CONTROL!$C$32, $C$9, 100%, $E$9)</f>
        <v>4.4538000000000002</v>
      </c>
      <c r="M123" s="33">
        <f>4.4574 * CHOOSE(CONTROL!$C$32, $C$9, 100%, $E$9)</f>
        <v>4.4573999999999998</v>
      </c>
      <c r="N123" s="33">
        <f>4.4538 * CHOOSE(CONTROL!$C$32, $C$9, 100%, $E$9)</f>
        <v>4.4538000000000002</v>
      </c>
      <c r="O123" s="33">
        <f>4.4574 * CHOOSE(CONTROL!$C$32, $C$9, 100%, $E$9)</f>
        <v>4.4573999999999998</v>
      </c>
      <c r="P123" s="10"/>
      <c r="Q123" s="10"/>
      <c r="R123" s="10"/>
    </row>
    <row r="124" spans="1:18" ht="15" x14ac:dyDescent="0.2">
      <c r="A124" s="16">
        <v>44986</v>
      </c>
      <c r="B124" s="32">
        <f>3.5028 * CHOOSE(CONTROL!$C$32, $C$9, 100%, $E$9)</f>
        <v>3.5028000000000001</v>
      </c>
      <c r="C124" s="32">
        <f>3.5028 * CHOOSE(CONTROL!$C$32, $C$9, 100%, $E$9)</f>
        <v>3.5028000000000001</v>
      </c>
      <c r="D124" s="32">
        <f>3.5039 * CHOOSE(CONTROL!$C$32, $C$9, 100%, $E$9)</f>
        <v>3.5038999999999998</v>
      </c>
      <c r="E124" s="33">
        <f>4.4518 * CHOOSE(CONTROL!$C$32, $C$9, 100%, $E$9)</f>
        <v>4.4518000000000004</v>
      </c>
      <c r="F124" s="33">
        <f>4.4518 * CHOOSE(CONTROL!$C$32, $C$9, 100%, $E$9)</f>
        <v>4.4518000000000004</v>
      </c>
      <c r="G124" s="33">
        <f>4.4554 * CHOOSE(CONTROL!$C$32, $C$9, 100%, $E$9)</f>
        <v>4.4554</v>
      </c>
      <c r="H124" s="33">
        <f>7.3136 * CHOOSE(CONTROL!$C$32, $C$9, 100%, $E$9)</f>
        <v>7.3136000000000001</v>
      </c>
      <c r="I124" s="33">
        <f>7.3172 * CHOOSE(CONTROL!$C$32, $C$9, 100%, $E$9)</f>
        <v>7.3171999999999997</v>
      </c>
      <c r="J124" s="33">
        <f>7.3136 * CHOOSE(CONTROL!$C$32, $C$9, 100%, $E$9)</f>
        <v>7.3136000000000001</v>
      </c>
      <c r="K124" s="33">
        <f>7.3172 * CHOOSE(CONTROL!$C$32, $C$9, 100%, $E$9)</f>
        <v>7.3171999999999997</v>
      </c>
      <c r="L124" s="33">
        <f>4.4518 * CHOOSE(CONTROL!$C$32, $C$9, 100%, $E$9)</f>
        <v>4.4518000000000004</v>
      </c>
      <c r="M124" s="33">
        <f>4.4554 * CHOOSE(CONTROL!$C$32, $C$9, 100%, $E$9)</f>
        <v>4.4554</v>
      </c>
      <c r="N124" s="33">
        <f>4.4518 * CHOOSE(CONTROL!$C$32, $C$9, 100%, $E$9)</f>
        <v>4.4518000000000004</v>
      </c>
      <c r="O124" s="33">
        <f>4.4554 * CHOOSE(CONTROL!$C$32, $C$9, 100%, $E$9)</f>
        <v>4.4554</v>
      </c>
      <c r="P124" s="10"/>
      <c r="Q124" s="10"/>
      <c r="R124" s="10"/>
    </row>
    <row r="125" spans="1:18" ht="15" x14ac:dyDescent="0.2">
      <c r="A125" s="16">
        <v>45017</v>
      </c>
      <c r="B125" s="32">
        <f>3.5 * CHOOSE(CONTROL!$C$32, $C$9, 100%, $E$9)</f>
        <v>3.5</v>
      </c>
      <c r="C125" s="32">
        <f>3.5 * CHOOSE(CONTROL!$C$32, $C$9, 100%, $E$9)</f>
        <v>3.5</v>
      </c>
      <c r="D125" s="32">
        <f>3.5011 * CHOOSE(CONTROL!$C$32, $C$9, 100%, $E$9)</f>
        <v>3.5011000000000001</v>
      </c>
      <c r="E125" s="33">
        <f>4.4495 * CHOOSE(CONTROL!$C$32, $C$9, 100%, $E$9)</f>
        <v>4.4494999999999996</v>
      </c>
      <c r="F125" s="33">
        <f>4.4495 * CHOOSE(CONTROL!$C$32, $C$9, 100%, $E$9)</f>
        <v>4.4494999999999996</v>
      </c>
      <c r="G125" s="33">
        <f>4.4531 * CHOOSE(CONTROL!$C$32, $C$9, 100%, $E$9)</f>
        <v>4.4531000000000001</v>
      </c>
      <c r="H125" s="33">
        <f>7.3288 * CHOOSE(CONTROL!$C$32, $C$9, 100%, $E$9)</f>
        <v>7.3288000000000002</v>
      </c>
      <c r="I125" s="33">
        <f>7.3324 * CHOOSE(CONTROL!$C$32, $C$9, 100%, $E$9)</f>
        <v>7.3323999999999998</v>
      </c>
      <c r="J125" s="33">
        <f>7.3288 * CHOOSE(CONTROL!$C$32, $C$9, 100%, $E$9)</f>
        <v>7.3288000000000002</v>
      </c>
      <c r="K125" s="33">
        <f>7.3324 * CHOOSE(CONTROL!$C$32, $C$9, 100%, $E$9)</f>
        <v>7.3323999999999998</v>
      </c>
      <c r="L125" s="33">
        <f>4.4495 * CHOOSE(CONTROL!$C$32, $C$9, 100%, $E$9)</f>
        <v>4.4494999999999996</v>
      </c>
      <c r="M125" s="33">
        <f>4.4531 * CHOOSE(CONTROL!$C$32, $C$9, 100%, $E$9)</f>
        <v>4.4531000000000001</v>
      </c>
      <c r="N125" s="33">
        <f>4.4495 * CHOOSE(CONTROL!$C$32, $C$9, 100%, $E$9)</f>
        <v>4.4494999999999996</v>
      </c>
      <c r="O125" s="33">
        <f>4.4531 * CHOOSE(CONTROL!$C$32, $C$9, 100%, $E$9)</f>
        <v>4.4531000000000001</v>
      </c>
      <c r="P125" s="10"/>
      <c r="Q125" s="10"/>
      <c r="R125" s="10"/>
    </row>
    <row r="126" spans="1:18" ht="15" x14ac:dyDescent="0.2">
      <c r="A126" s="16">
        <v>45047</v>
      </c>
      <c r="B126" s="32">
        <f>3.5 * CHOOSE(CONTROL!$C$32, $C$9, 100%, $E$9)</f>
        <v>3.5</v>
      </c>
      <c r="C126" s="32">
        <f>3.5 * CHOOSE(CONTROL!$C$32, $C$9, 100%, $E$9)</f>
        <v>3.5</v>
      </c>
      <c r="D126" s="32">
        <f>3.5016 * CHOOSE(CONTROL!$C$32, $C$9, 100%, $E$9)</f>
        <v>3.5015999999999998</v>
      </c>
      <c r="E126" s="33">
        <f>4.4495 * CHOOSE(CONTROL!$C$32, $C$9, 100%, $E$9)</f>
        <v>4.4494999999999996</v>
      </c>
      <c r="F126" s="33">
        <f>4.4495 * CHOOSE(CONTROL!$C$32, $C$9, 100%, $E$9)</f>
        <v>4.4494999999999996</v>
      </c>
      <c r="G126" s="33">
        <f>4.4548 * CHOOSE(CONTROL!$C$32, $C$9, 100%, $E$9)</f>
        <v>4.4547999999999996</v>
      </c>
      <c r="H126" s="33">
        <f>7.3441 * CHOOSE(CONTROL!$C$32, $C$9, 100%, $E$9)</f>
        <v>7.3441000000000001</v>
      </c>
      <c r="I126" s="33">
        <f>7.3494 * CHOOSE(CONTROL!$C$32, $C$9, 100%, $E$9)</f>
        <v>7.3494000000000002</v>
      </c>
      <c r="J126" s="33">
        <f>7.3441 * CHOOSE(CONTROL!$C$32, $C$9, 100%, $E$9)</f>
        <v>7.3441000000000001</v>
      </c>
      <c r="K126" s="33">
        <f>7.3494 * CHOOSE(CONTROL!$C$32, $C$9, 100%, $E$9)</f>
        <v>7.3494000000000002</v>
      </c>
      <c r="L126" s="33">
        <f>4.4495 * CHOOSE(CONTROL!$C$32, $C$9, 100%, $E$9)</f>
        <v>4.4494999999999996</v>
      </c>
      <c r="M126" s="33">
        <f>4.4548 * CHOOSE(CONTROL!$C$32, $C$9, 100%, $E$9)</f>
        <v>4.4547999999999996</v>
      </c>
      <c r="N126" s="33">
        <f>4.4495 * CHOOSE(CONTROL!$C$32, $C$9, 100%, $E$9)</f>
        <v>4.4494999999999996</v>
      </c>
      <c r="O126" s="33">
        <f>4.4548 * CHOOSE(CONTROL!$C$32, $C$9, 100%, $E$9)</f>
        <v>4.4547999999999996</v>
      </c>
      <c r="P126" s="10"/>
      <c r="Q126" s="10"/>
      <c r="R126" s="10"/>
    </row>
    <row r="127" spans="1:18" ht="15" x14ac:dyDescent="0.2">
      <c r="A127" s="16">
        <v>45078</v>
      </c>
      <c r="B127" s="32">
        <f>3.5061 * CHOOSE(CONTROL!$C$32, $C$9, 100%, $E$9)</f>
        <v>3.5061</v>
      </c>
      <c r="C127" s="32">
        <f>3.5061 * CHOOSE(CONTROL!$C$32, $C$9, 100%, $E$9)</f>
        <v>3.5061</v>
      </c>
      <c r="D127" s="32">
        <f>3.5077 * CHOOSE(CONTROL!$C$32, $C$9, 100%, $E$9)</f>
        <v>3.5076999999999998</v>
      </c>
      <c r="E127" s="33">
        <f>4.4535 * CHOOSE(CONTROL!$C$32, $C$9, 100%, $E$9)</f>
        <v>4.4535</v>
      </c>
      <c r="F127" s="33">
        <f>4.4535 * CHOOSE(CONTROL!$C$32, $C$9, 100%, $E$9)</f>
        <v>4.4535</v>
      </c>
      <c r="G127" s="33">
        <f>4.4588 * CHOOSE(CONTROL!$C$32, $C$9, 100%, $E$9)</f>
        <v>4.4588000000000001</v>
      </c>
      <c r="H127" s="33">
        <f>7.3594 * CHOOSE(CONTROL!$C$32, $C$9, 100%, $E$9)</f>
        <v>7.3593999999999999</v>
      </c>
      <c r="I127" s="33">
        <f>7.3647 * CHOOSE(CONTROL!$C$32, $C$9, 100%, $E$9)</f>
        <v>7.3647</v>
      </c>
      <c r="J127" s="33">
        <f>7.3594 * CHOOSE(CONTROL!$C$32, $C$9, 100%, $E$9)</f>
        <v>7.3593999999999999</v>
      </c>
      <c r="K127" s="33">
        <f>7.3647 * CHOOSE(CONTROL!$C$32, $C$9, 100%, $E$9)</f>
        <v>7.3647</v>
      </c>
      <c r="L127" s="33">
        <f>4.4535 * CHOOSE(CONTROL!$C$32, $C$9, 100%, $E$9)</f>
        <v>4.4535</v>
      </c>
      <c r="M127" s="33">
        <f>4.4588 * CHOOSE(CONTROL!$C$32, $C$9, 100%, $E$9)</f>
        <v>4.4588000000000001</v>
      </c>
      <c r="N127" s="33">
        <f>4.4535 * CHOOSE(CONTROL!$C$32, $C$9, 100%, $E$9)</f>
        <v>4.4535</v>
      </c>
      <c r="O127" s="33">
        <f>4.4588 * CHOOSE(CONTROL!$C$32, $C$9, 100%, $E$9)</f>
        <v>4.4588000000000001</v>
      </c>
      <c r="P127" s="10"/>
      <c r="Q127" s="10"/>
      <c r="R127" s="10"/>
    </row>
    <row r="128" spans="1:18" ht="15" x14ac:dyDescent="0.2">
      <c r="A128" s="16">
        <v>45108</v>
      </c>
      <c r="B128" s="32">
        <f>3.5764 * CHOOSE(CONTROL!$C$32, $C$9, 100%, $E$9)</f>
        <v>3.5764</v>
      </c>
      <c r="C128" s="32">
        <f>3.5764 * CHOOSE(CONTROL!$C$32, $C$9, 100%, $E$9)</f>
        <v>3.5764</v>
      </c>
      <c r="D128" s="32">
        <f>3.578 * CHOOSE(CONTROL!$C$32, $C$9, 100%, $E$9)</f>
        <v>3.5779999999999998</v>
      </c>
      <c r="E128" s="33">
        <f>4.5283 * CHOOSE(CONTROL!$C$32, $C$9, 100%, $E$9)</f>
        <v>4.5282999999999998</v>
      </c>
      <c r="F128" s="33">
        <f>4.5283 * CHOOSE(CONTROL!$C$32, $C$9, 100%, $E$9)</f>
        <v>4.5282999999999998</v>
      </c>
      <c r="G128" s="33">
        <f>4.5336 * CHOOSE(CONTROL!$C$32, $C$9, 100%, $E$9)</f>
        <v>4.5335999999999999</v>
      </c>
      <c r="H128" s="33">
        <f>7.3747 * CHOOSE(CONTROL!$C$32, $C$9, 100%, $E$9)</f>
        <v>7.3746999999999998</v>
      </c>
      <c r="I128" s="33">
        <f>7.38 * CHOOSE(CONTROL!$C$32, $C$9, 100%, $E$9)</f>
        <v>7.38</v>
      </c>
      <c r="J128" s="33">
        <f>7.3747 * CHOOSE(CONTROL!$C$32, $C$9, 100%, $E$9)</f>
        <v>7.3746999999999998</v>
      </c>
      <c r="K128" s="33">
        <f>7.38 * CHOOSE(CONTROL!$C$32, $C$9, 100%, $E$9)</f>
        <v>7.38</v>
      </c>
      <c r="L128" s="33">
        <f>4.5283 * CHOOSE(CONTROL!$C$32, $C$9, 100%, $E$9)</f>
        <v>4.5282999999999998</v>
      </c>
      <c r="M128" s="33">
        <f>4.5336 * CHOOSE(CONTROL!$C$32, $C$9, 100%, $E$9)</f>
        <v>4.5335999999999999</v>
      </c>
      <c r="N128" s="33">
        <f>4.5283 * CHOOSE(CONTROL!$C$32, $C$9, 100%, $E$9)</f>
        <v>4.5282999999999998</v>
      </c>
      <c r="O128" s="33">
        <f>4.5336 * CHOOSE(CONTROL!$C$32, $C$9, 100%, $E$9)</f>
        <v>4.5335999999999999</v>
      </c>
      <c r="P128" s="10"/>
      <c r="Q128" s="10"/>
      <c r="R128" s="10"/>
    </row>
    <row r="129" spans="1:18" ht="15" x14ac:dyDescent="0.2">
      <c r="A129" s="16">
        <v>45139</v>
      </c>
      <c r="B129" s="32">
        <f>3.5831 * CHOOSE(CONTROL!$C$32, $C$9, 100%, $E$9)</f>
        <v>3.5831</v>
      </c>
      <c r="C129" s="32">
        <f>3.5831 * CHOOSE(CONTROL!$C$32, $C$9, 100%, $E$9)</f>
        <v>3.5831</v>
      </c>
      <c r="D129" s="32">
        <f>3.5846 * CHOOSE(CONTROL!$C$32, $C$9, 100%, $E$9)</f>
        <v>3.5846</v>
      </c>
      <c r="E129" s="33">
        <f>4.5327 * CHOOSE(CONTROL!$C$32, $C$9, 100%, $E$9)</f>
        <v>4.5327000000000002</v>
      </c>
      <c r="F129" s="33">
        <f>4.5327 * CHOOSE(CONTROL!$C$32, $C$9, 100%, $E$9)</f>
        <v>4.5327000000000002</v>
      </c>
      <c r="G129" s="33">
        <f>4.538 * CHOOSE(CONTROL!$C$32, $C$9, 100%, $E$9)</f>
        <v>4.5380000000000003</v>
      </c>
      <c r="H129" s="33">
        <f>7.3901 * CHOOSE(CONTROL!$C$32, $C$9, 100%, $E$9)</f>
        <v>7.3901000000000003</v>
      </c>
      <c r="I129" s="33">
        <f>7.3953 * CHOOSE(CONTROL!$C$32, $C$9, 100%, $E$9)</f>
        <v>7.3952999999999998</v>
      </c>
      <c r="J129" s="33">
        <f>7.3901 * CHOOSE(CONTROL!$C$32, $C$9, 100%, $E$9)</f>
        <v>7.3901000000000003</v>
      </c>
      <c r="K129" s="33">
        <f>7.3953 * CHOOSE(CONTROL!$C$32, $C$9, 100%, $E$9)</f>
        <v>7.3952999999999998</v>
      </c>
      <c r="L129" s="33">
        <f>4.5327 * CHOOSE(CONTROL!$C$32, $C$9, 100%, $E$9)</f>
        <v>4.5327000000000002</v>
      </c>
      <c r="M129" s="33">
        <f>4.538 * CHOOSE(CONTROL!$C$32, $C$9, 100%, $E$9)</f>
        <v>4.5380000000000003</v>
      </c>
      <c r="N129" s="33">
        <f>4.5327 * CHOOSE(CONTROL!$C$32, $C$9, 100%, $E$9)</f>
        <v>4.5327000000000002</v>
      </c>
      <c r="O129" s="33">
        <f>4.538 * CHOOSE(CONTROL!$C$32, $C$9, 100%, $E$9)</f>
        <v>4.5380000000000003</v>
      </c>
      <c r="P129" s="10"/>
      <c r="Q129" s="10"/>
      <c r="R129" s="10"/>
    </row>
    <row r="130" spans="1:18" ht="15" x14ac:dyDescent="0.2">
      <c r="A130" s="16">
        <v>45170</v>
      </c>
      <c r="B130" s="32">
        <f>3.58 * CHOOSE(CONTROL!$C$32, $C$9, 100%, $E$9)</f>
        <v>3.58</v>
      </c>
      <c r="C130" s="32">
        <f>3.58 * CHOOSE(CONTROL!$C$32, $C$9, 100%, $E$9)</f>
        <v>3.58</v>
      </c>
      <c r="D130" s="32">
        <f>3.5816 * CHOOSE(CONTROL!$C$32, $C$9, 100%, $E$9)</f>
        <v>3.5815999999999999</v>
      </c>
      <c r="E130" s="33">
        <f>4.5307 * CHOOSE(CONTROL!$C$32, $C$9, 100%, $E$9)</f>
        <v>4.5307000000000004</v>
      </c>
      <c r="F130" s="33">
        <f>4.5307 * CHOOSE(CONTROL!$C$32, $C$9, 100%, $E$9)</f>
        <v>4.5307000000000004</v>
      </c>
      <c r="G130" s="33">
        <f>4.536 * CHOOSE(CONTROL!$C$32, $C$9, 100%, $E$9)</f>
        <v>4.5359999999999996</v>
      </c>
      <c r="H130" s="33">
        <f>7.4054 * CHOOSE(CONTROL!$C$32, $C$9, 100%, $E$9)</f>
        <v>7.4054000000000002</v>
      </c>
      <c r="I130" s="33">
        <f>7.4107 * CHOOSE(CONTROL!$C$32, $C$9, 100%, $E$9)</f>
        <v>7.4107000000000003</v>
      </c>
      <c r="J130" s="33">
        <f>7.4054 * CHOOSE(CONTROL!$C$32, $C$9, 100%, $E$9)</f>
        <v>7.4054000000000002</v>
      </c>
      <c r="K130" s="33">
        <f>7.4107 * CHOOSE(CONTROL!$C$32, $C$9, 100%, $E$9)</f>
        <v>7.4107000000000003</v>
      </c>
      <c r="L130" s="33">
        <f>4.5307 * CHOOSE(CONTROL!$C$32, $C$9, 100%, $E$9)</f>
        <v>4.5307000000000004</v>
      </c>
      <c r="M130" s="33">
        <f>4.536 * CHOOSE(CONTROL!$C$32, $C$9, 100%, $E$9)</f>
        <v>4.5359999999999996</v>
      </c>
      <c r="N130" s="33">
        <f>4.5307 * CHOOSE(CONTROL!$C$32, $C$9, 100%, $E$9)</f>
        <v>4.5307000000000004</v>
      </c>
      <c r="O130" s="33">
        <f>4.536 * CHOOSE(CONTROL!$C$32, $C$9, 100%, $E$9)</f>
        <v>4.5359999999999996</v>
      </c>
      <c r="P130" s="10"/>
      <c r="Q130" s="10"/>
      <c r="R130" s="10"/>
    </row>
    <row r="131" spans="1:18" ht="15" x14ac:dyDescent="0.2">
      <c r="A131" s="16">
        <v>45200</v>
      </c>
      <c r="B131" s="32">
        <f>3.5736 * CHOOSE(CONTROL!$C$32, $C$9, 100%, $E$9)</f>
        <v>3.5735999999999999</v>
      </c>
      <c r="C131" s="32">
        <f>3.5736 * CHOOSE(CONTROL!$C$32, $C$9, 100%, $E$9)</f>
        <v>3.5735999999999999</v>
      </c>
      <c r="D131" s="32">
        <f>3.5747 * CHOOSE(CONTROL!$C$32, $C$9, 100%, $E$9)</f>
        <v>3.5747</v>
      </c>
      <c r="E131" s="33">
        <f>4.5247 * CHOOSE(CONTROL!$C$32, $C$9, 100%, $E$9)</f>
        <v>4.5247000000000002</v>
      </c>
      <c r="F131" s="33">
        <f>4.5247 * CHOOSE(CONTROL!$C$32, $C$9, 100%, $E$9)</f>
        <v>4.5247000000000002</v>
      </c>
      <c r="G131" s="33">
        <f>4.5283 * CHOOSE(CONTROL!$C$32, $C$9, 100%, $E$9)</f>
        <v>4.5282999999999998</v>
      </c>
      <c r="H131" s="33">
        <f>7.4209 * CHOOSE(CONTROL!$C$32, $C$9, 100%, $E$9)</f>
        <v>7.4208999999999996</v>
      </c>
      <c r="I131" s="33">
        <f>7.4245 * CHOOSE(CONTROL!$C$32, $C$9, 100%, $E$9)</f>
        <v>7.4245000000000001</v>
      </c>
      <c r="J131" s="33">
        <f>7.4209 * CHOOSE(CONTROL!$C$32, $C$9, 100%, $E$9)</f>
        <v>7.4208999999999996</v>
      </c>
      <c r="K131" s="33">
        <f>7.4245 * CHOOSE(CONTROL!$C$32, $C$9, 100%, $E$9)</f>
        <v>7.4245000000000001</v>
      </c>
      <c r="L131" s="33">
        <f>4.5247 * CHOOSE(CONTROL!$C$32, $C$9, 100%, $E$9)</f>
        <v>4.5247000000000002</v>
      </c>
      <c r="M131" s="33">
        <f>4.5283 * CHOOSE(CONTROL!$C$32, $C$9, 100%, $E$9)</f>
        <v>4.5282999999999998</v>
      </c>
      <c r="N131" s="33">
        <f>4.5247 * CHOOSE(CONTROL!$C$32, $C$9, 100%, $E$9)</f>
        <v>4.5247000000000002</v>
      </c>
      <c r="O131" s="33">
        <f>4.5283 * CHOOSE(CONTROL!$C$32, $C$9, 100%, $E$9)</f>
        <v>4.5282999999999998</v>
      </c>
      <c r="P131" s="10"/>
      <c r="Q131" s="10"/>
      <c r="R131" s="10"/>
    </row>
    <row r="132" spans="1:18" ht="15" x14ac:dyDescent="0.2">
      <c r="A132" s="16">
        <v>45231</v>
      </c>
      <c r="B132" s="32">
        <f>3.5766 * CHOOSE(CONTROL!$C$32, $C$9, 100%, $E$9)</f>
        <v>3.5766</v>
      </c>
      <c r="C132" s="32">
        <f>3.5766 * CHOOSE(CONTROL!$C$32, $C$9, 100%, $E$9)</f>
        <v>3.5766</v>
      </c>
      <c r="D132" s="32">
        <f>3.5777 * CHOOSE(CONTROL!$C$32, $C$9, 100%, $E$9)</f>
        <v>3.5777000000000001</v>
      </c>
      <c r="E132" s="33">
        <f>4.5267 * CHOOSE(CONTROL!$C$32, $C$9, 100%, $E$9)</f>
        <v>4.5266999999999999</v>
      </c>
      <c r="F132" s="33">
        <f>4.5267 * CHOOSE(CONTROL!$C$32, $C$9, 100%, $E$9)</f>
        <v>4.5266999999999999</v>
      </c>
      <c r="G132" s="33">
        <f>4.5303 * CHOOSE(CONTROL!$C$32, $C$9, 100%, $E$9)</f>
        <v>4.5303000000000004</v>
      </c>
      <c r="H132" s="33">
        <f>7.4363 * CHOOSE(CONTROL!$C$32, $C$9, 100%, $E$9)</f>
        <v>7.4363000000000001</v>
      </c>
      <c r="I132" s="33">
        <f>7.44 * CHOOSE(CONTROL!$C$32, $C$9, 100%, $E$9)</f>
        <v>7.44</v>
      </c>
      <c r="J132" s="33">
        <f>7.4363 * CHOOSE(CONTROL!$C$32, $C$9, 100%, $E$9)</f>
        <v>7.4363000000000001</v>
      </c>
      <c r="K132" s="33">
        <f>7.44 * CHOOSE(CONTROL!$C$32, $C$9, 100%, $E$9)</f>
        <v>7.44</v>
      </c>
      <c r="L132" s="33">
        <f>4.5267 * CHOOSE(CONTROL!$C$32, $C$9, 100%, $E$9)</f>
        <v>4.5266999999999999</v>
      </c>
      <c r="M132" s="33">
        <f>4.5303 * CHOOSE(CONTROL!$C$32, $C$9, 100%, $E$9)</f>
        <v>4.5303000000000004</v>
      </c>
      <c r="N132" s="33">
        <f>4.5267 * CHOOSE(CONTROL!$C$32, $C$9, 100%, $E$9)</f>
        <v>4.5266999999999999</v>
      </c>
      <c r="O132" s="33">
        <f>4.5303 * CHOOSE(CONTROL!$C$32, $C$9, 100%, $E$9)</f>
        <v>4.5303000000000004</v>
      </c>
      <c r="P132" s="10"/>
      <c r="Q132" s="10"/>
      <c r="R132" s="10"/>
    </row>
    <row r="133" spans="1:18" ht="15" x14ac:dyDescent="0.2">
      <c r="A133" s="16">
        <v>45261</v>
      </c>
      <c r="B133" s="32">
        <f>3.5766 * CHOOSE(CONTROL!$C$32, $C$9, 100%, $E$9)</f>
        <v>3.5766</v>
      </c>
      <c r="C133" s="32">
        <f>3.5766 * CHOOSE(CONTROL!$C$32, $C$9, 100%, $E$9)</f>
        <v>3.5766</v>
      </c>
      <c r="D133" s="32">
        <f>3.5777 * CHOOSE(CONTROL!$C$32, $C$9, 100%, $E$9)</f>
        <v>3.5777000000000001</v>
      </c>
      <c r="E133" s="33">
        <f>4.5267 * CHOOSE(CONTROL!$C$32, $C$9, 100%, $E$9)</f>
        <v>4.5266999999999999</v>
      </c>
      <c r="F133" s="33">
        <f>4.5267 * CHOOSE(CONTROL!$C$32, $C$9, 100%, $E$9)</f>
        <v>4.5266999999999999</v>
      </c>
      <c r="G133" s="33">
        <f>4.5303 * CHOOSE(CONTROL!$C$32, $C$9, 100%, $E$9)</f>
        <v>4.5303000000000004</v>
      </c>
      <c r="H133" s="33">
        <f>7.4518 * CHOOSE(CONTROL!$C$32, $C$9, 100%, $E$9)</f>
        <v>7.4518000000000004</v>
      </c>
      <c r="I133" s="33">
        <f>7.4554 * CHOOSE(CONTROL!$C$32, $C$9, 100%, $E$9)</f>
        <v>7.4554</v>
      </c>
      <c r="J133" s="33">
        <f>7.4518 * CHOOSE(CONTROL!$C$32, $C$9, 100%, $E$9)</f>
        <v>7.4518000000000004</v>
      </c>
      <c r="K133" s="33">
        <f>7.4554 * CHOOSE(CONTROL!$C$32, $C$9, 100%, $E$9)</f>
        <v>7.4554</v>
      </c>
      <c r="L133" s="33">
        <f>4.5267 * CHOOSE(CONTROL!$C$32, $C$9, 100%, $E$9)</f>
        <v>4.5266999999999999</v>
      </c>
      <c r="M133" s="33">
        <f>4.5303 * CHOOSE(CONTROL!$C$32, $C$9, 100%, $E$9)</f>
        <v>4.5303000000000004</v>
      </c>
      <c r="N133" s="33">
        <f>4.5267 * CHOOSE(CONTROL!$C$32, $C$9, 100%, $E$9)</f>
        <v>4.5266999999999999</v>
      </c>
      <c r="O133" s="33">
        <f>4.5303 * CHOOSE(CONTROL!$C$32, $C$9, 100%, $E$9)</f>
        <v>4.5303000000000004</v>
      </c>
      <c r="P133" s="10"/>
      <c r="Q133" s="10"/>
      <c r="R133" s="10"/>
    </row>
    <row r="134" spans="1:18" ht="15" x14ac:dyDescent="0.2">
      <c r="A134" s="16">
        <v>45292</v>
      </c>
      <c r="B134" s="32">
        <f>3.6058 * CHOOSE(CONTROL!$C$32, $C$9, 100%, $E$9)</f>
        <v>3.6057999999999999</v>
      </c>
      <c r="C134" s="32">
        <f>3.6058 * CHOOSE(CONTROL!$C$32, $C$9, 100%, $E$9)</f>
        <v>3.6057999999999999</v>
      </c>
      <c r="D134" s="32">
        <f>3.6069 * CHOOSE(CONTROL!$C$32, $C$9, 100%, $E$9)</f>
        <v>3.6069</v>
      </c>
      <c r="E134" s="33">
        <f>4.5664 * CHOOSE(CONTROL!$C$32, $C$9, 100%, $E$9)</f>
        <v>4.5663999999999998</v>
      </c>
      <c r="F134" s="33">
        <f>4.5664 * CHOOSE(CONTROL!$C$32, $C$9, 100%, $E$9)</f>
        <v>4.5663999999999998</v>
      </c>
      <c r="G134" s="33">
        <f>4.57 * CHOOSE(CONTROL!$C$32, $C$9, 100%, $E$9)</f>
        <v>4.57</v>
      </c>
      <c r="H134" s="33">
        <f>7.4674 * CHOOSE(CONTROL!$C$32, $C$9, 100%, $E$9)</f>
        <v>7.4673999999999996</v>
      </c>
      <c r="I134" s="33">
        <f>7.471 * CHOOSE(CONTROL!$C$32, $C$9, 100%, $E$9)</f>
        <v>7.4710000000000001</v>
      </c>
      <c r="J134" s="33">
        <f>7.4674 * CHOOSE(CONTROL!$C$32, $C$9, 100%, $E$9)</f>
        <v>7.4673999999999996</v>
      </c>
      <c r="K134" s="33">
        <f>7.471 * CHOOSE(CONTROL!$C$32, $C$9, 100%, $E$9)</f>
        <v>7.4710000000000001</v>
      </c>
      <c r="L134" s="33">
        <f>4.5664 * CHOOSE(CONTROL!$C$32, $C$9, 100%, $E$9)</f>
        <v>4.5663999999999998</v>
      </c>
      <c r="M134" s="33">
        <f>4.57 * CHOOSE(CONTROL!$C$32, $C$9, 100%, $E$9)</f>
        <v>4.57</v>
      </c>
      <c r="N134" s="33">
        <f>4.5664 * CHOOSE(CONTROL!$C$32, $C$9, 100%, $E$9)</f>
        <v>4.5663999999999998</v>
      </c>
      <c r="O134" s="33">
        <f>4.57 * CHOOSE(CONTROL!$C$32, $C$9, 100%, $E$9)</f>
        <v>4.57</v>
      </c>
      <c r="P134" s="10"/>
      <c r="Q134" s="10"/>
      <c r="R134" s="10"/>
    </row>
    <row r="135" spans="1:18" ht="15" x14ac:dyDescent="0.2">
      <c r="A135" s="16">
        <v>45323</v>
      </c>
      <c r="B135" s="32">
        <f>3.6028 * CHOOSE(CONTROL!$C$32, $C$9, 100%, $E$9)</f>
        <v>3.6027999999999998</v>
      </c>
      <c r="C135" s="32">
        <f>3.6028 * CHOOSE(CONTROL!$C$32, $C$9, 100%, $E$9)</f>
        <v>3.6027999999999998</v>
      </c>
      <c r="D135" s="32">
        <f>3.6038 * CHOOSE(CONTROL!$C$32, $C$9, 100%, $E$9)</f>
        <v>3.6038000000000001</v>
      </c>
      <c r="E135" s="33">
        <f>4.5644 * CHOOSE(CONTROL!$C$32, $C$9, 100%, $E$9)</f>
        <v>4.5644</v>
      </c>
      <c r="F135" s="33">
        <f>4.5644 * CHOOSE(CONTROL!$C$32, $C$9, 100%, $E$9)</f>
        <v>4.5644</v>
      </c>
      <c r="G135" s="33">
        <f>4.568 * CHOOSE(CONTROL!$C$32, $C$9, 100%, $E$9)</f>
        <v>4.5679999999999996</v>
      </c>
      <c r="H135" s="33">
        <f>7.4829 * CHOOSE(CONTROL!$C$32, $C$9, 100%, $E$9)</f>
        <v>7.4828999999999999</v>
      </c>
      <c r="I135" s="33">
        <f>7.4865 * CHOOSE(CONTROL!$C$32, $C$9, 100%, $E$9)</f>
        <v>7.4865000000000004</v>
      </c>
      <c r="J135" s="33">
        <f>7.4829 * CHOOSE(CONTROL!$C$32, $C$9, 100%, $E$9)</f>
        <v>7.4828999999999999</v>
      </c>
      <c r="K135" s="33">
        <f>7.4865 * CHOOSE(CONTROL!$C$32, $C$9, 100%, $E$9)</f>
        <v>7.4865000000000004</v>
      </c>
      <c r="L135" s="33">
        <f>4.5644 * CHOOSE(CONTROL!$C$32, $C$9, 100%, $E$9)</f>
        <v>4.5644</v>
      </c>
      <c r="M135" s="33">
        <f>4.568 * CHOOSE(CONTROL!$C$32, $C$9, 100%, $E$9)</f>
        <v>4.5679999999999996</v>
      </c>
      <c r="N135" s="33">
        <f>4.5644 * CHOOSE(CONTROL!$C$32, $C$9, 100%, $E$9)</f>
        <v>4.5644</v>
      </c>
      <c r="O135" s="33">
        <f>4.568 * CHOOSE(CONTROL!$C$32, $C$9, 100%, $E$9)</f>
        <v>4.5679999999999996</v>
      </c>
      <c r="P135" s="10"/>
      <c r="Q135" s="10"/>
      <c r="R135" s="10"/>
    </row>
    <row r="136" spans="1:18" ht="15" x14ac:dyDescent="0.2">
      <c r="A136" s="16">
        <v>45352</v>
      </c>
      <c r="B136" s="32">
        <f>3.5997 * CHOOSE(CONTROL!$C$32, $C$9, 100%, $E$9)</f>
        <v>3.5996999999999999</v>
      </c>
      <c r="C136" s="32">
        <f>3.5997 * CHOOSE(CONTROL!$C$32, $C$9, 100%, $E$9)</f>
        <v>3.5996999999999999</v>
      </c>
      <c r="D136" s="32">
        <f>3.6008 * CHOOSE(CONTROL!$C$32, $C$9, 100%, $E$9)</f>
        <v>3.6008</v>
      </c>
      <c r="E136" s="33">
        <f>4.5624 * CHOOSE(CONTROL!$C$32, $C$9, 100%, $E$9)</f>
        <v>4.5624000000000002</v>
      </c>
      <c r="F136" s="33">
        <f>4.5624 * CHOOSE(CONTROL!$C$32, $C$9, 100%, $E$9)</f>
        <v>4.5624000000000002</v>
      </c>
      <c r="G136" s="33">
        <f>4.566 * CHOOSE(CONTROL!$C$32, $C$9, 100%, $E$9)</f>
        <v>4.5659999999999998</v>
      </c>
      <c r="H136" s="33">
        <f>7.4985 * CHOOSE(CONTROL!$C$32, $C$9, 100%, $E$9)</f>
        <v>7.4984999999999999</v>
      </c>
      <c r="I136" s="33">
        <f>7.5021 * CHOOSE(CONTROL!$C$32, $C$9, 100%, $E$9)</f>
        <v>7.5021000000000004</v>
      </c>
      <c r="J136" s="33">
        <f>7.4985 * CHOOSE(CONTROL!$C$32, $C$9, 100%, $E$9)</f>
        <v>7.4984999999999999</v>
      </c>
      <c r="K136" s="33">
        <f>7.5021 * CHOOSE(CONTROL!$C$32, $C$9, 100%, $E$9)</f>
        <v>7.5021000000000004</v>
      </c>
      <c r="L136" s="33">
        <f>4.5624 * CHOOSE(CONTROL!$C$32, $C$9, 100%, $E$9)</f>
        <v>4.5624000000000002</v>
      </c>
      <c r="M136" s="33">
        <f>4.566 * CHOOSE(CONTROL!$C$32, $C$9, 100%, $E$9)</f>
        <v>4.5659999999999998</v>
      </c>
      <c r="N136" s="33">
        <f>4.5624 * CHOOSE(CONTROL!$C$32, $C$9, 100%, $E$9)</f>
        <v>4.5624000000000002</v>
      </c>
      <c r="O136" s="33">
        <f>4.566 * CHOOSE(CONTROL!$C$32, $C$9, 100%, $E$9)</f>
        <v>4.5659999999999998</v>
      </c>
      <c r="P136" s="10"/>
      <c r="Q136" s="10"/>
      <c r="R136" s="10"/>
    </row>
    <row r="137" spans="1:18" ht="15" x14ac:dyDescent="0.2">
      <c r="A137" s="16">
        <v>45383</v>
      </c>
      <c r="B137" s="32">
        <f>3.597 * CHOOSE(CONTROL!$C$32, $C$9, 100%, $E$9)</f>
        <v>3.597</v>
      </c>
      <c r="C137" s="32">
        <f>3.597 * CHOOSE(CONTROL!$C$32, $C$9, 100%, $E$9)</f>
        <v>3.597</v>
      </c>
      <c r="D137" s="32">
        <f>3.5981 * CHOOSE(CONTROL!$C$32, $C$9, 100%, $E$9)</f>
        <v>3.5981000000000001</v>
      </c>
      <c r="E137" s="33">
        <f>4.5602 * CHOOSE(CONTROL!$C$32, $C$9, 100%, $E$9)</f>
        <v>4.5602</v>
      </c>
      <c r="F137" s="33">
        <f>4.5602 * CHOOSE(CONTROL!$C$32, $C$9, 100%, $E$9)</f>
        <v>4.5602</v>
      </c>
      <c r="G137" s="33">
        <f>4.5638 * CHOOSE(CONTROL!$C$32, $C$9, 100%, $E$9)</f>
        <v>4.5637999999999996</v>
      </c>
      <c r="H137" s="33">
        <f>7.5141 * CHOOSE(CONTROL!$C$32, $C$9, 100%, $E$9)</f>
        <v>7.5141</v>
      </c>
      <c r="I137" s="33">
        <f>7.5177 * CHOOSE(CONTROL!$C$32, $C$9, 100%, $E$9)</f>
        <v>7.5176999999999996</v>
      </c>
      <c r="J137" s="33">
        <f>7.5141 * CHOOSE(CONTROL!$C$32, $C$9, 100%, $E$9)</f>
        <v>7.5141</v>
      </c>
      <c r="K137" s="33">
        <f>7.5177 * CHOOSE(CONTROL!$C$32, $C$9, 100%, $E$9)</f>
        <v>7.5176999999999996</v>
      </c>
      <c r="L137" s="33">
        <f>4.5602 * CHOOSE(CONTROL!$C$32, $C$9, 100%, $E$9)</f>
        <v>4.5602</v>
      </c>
      <c r="M137" s="33">
        <f>4.5638 * CHOOSE(CONTROL!$C$32, $C$9, 100%, $E$9)</f>
        <v>4.5637999999999996</v>
      </c>
      <c r="N137" s="33">
        <f>4.5602 * CHOOSE(CONTROL!$C$32, $C$9, 100%, $E$9)</f>
        <v>4.5602</v>
      </c>
      <c r="O137" s="33">
        <f>4.5638 * CHOOSE(CONTROL!$C$32, $C$9, 100%, $E$9)</f>
        <v>4.5637999999999996</v>
      </c>
      <c r="P137" s="10"/>
      <c r="Q137" s="10"/>
      <c r="R137" s="10"/>
    </row>
    <row r="138" spans="1:18" ht="15" x14ac:dyDescent="0.2">
      <c r="A138" s="16">
        <v>45413</v>
      </c>
      <c r="B138" s="32">
        <f>3.597 * CHOOSE(CONTROL!$C$32, $C$9, 100%, $E$9)</f>
        <v>3.597</v>
      </c>
      <c r="C138" s="32">
        <f>3.597 * CHOOSE(CONTROL!$C$32, $C$9, 100%, $E$9)</f>
        <v>3.597</v>
      </c>
      <c r="D138" s="32">
        <f>3.5986 * CHOOSE(CONTROL!$C$32, $C$9, 100%, $E$9)</f>
        <v>3.5985999999999998</v>
      </c>
      <c r="E138" s="33">
        <f>4.5602 * CHOOSE(CONTROL!$C$32, $C$9, 100%, $E$9)</f>
        <v>4.5602</v>
      </c>
      <c r="F138" s="33">
        <f>4.5602 * CHOOSE(CONTROL!$C$32, $C$9, 100%, $E$9)</f>
        <v>4.5602</v>
      </c>
      <c r="G138" s="33">
        <f>4.5654 * CHOOSE(CONTROL!$C$32, $C$9, 100%, $E$9)</f>
        <v>4.5654000000000003</v>
      </c>
      <c r="H138" s="33">
        <f>7.5298 * CHOOSE(CONTROL!$C$32, $C$9, 100%, $E$9)</f>
        <v>7.5297999999999998</v>
      </c>
      <c r="I138" s="33">
        <f>7.5351 * CHOOSE(CONTROL!$C$32, $C$9, 100%, $E$9)</f>
        <v>7.5350999999999999</v>
      </c>
      <c r="J138" s="33">
        <f>7.5298 * CHOOSE(CONTROL!$C$32, $C$9, 100%, $E$9)</f>
        <v>7.5297999999999998</v>
      </c>
      <c r="K138" s="33">
        <f>7.5351 * CHOOSE(CONTROL!$C$32, $C$9, 100%, $E$9)</f>
        <v>7.5350999999999999</v>
      </c>
      <c r="L138" s="33">
        <f>4.5602 * CHOOSE(CONTROL!$C$32, $C$9, 100%, $E$9)</f>
        <v>4.5602</v>
      </c>
      <c r="M138" s="33">
        <f>4.5654 * CHOOSE(CONTROL!$C$32, $C$9, 100%, $E$9)</f>
        <v>4.5654000000000003</v>
      </c>
      <c r="N138" s="33">
        <f>4.5602 * CHOOSE(CONTROL!$C$32, $C$9, 100%, $E$9)</f>
        <v>4.5602</v>
      </c>
      <c r="O138" s="33">
        <f>4.5654 * CHOOSE(CONTROL!$C$32, $C$9, 100%, $E$9)</f>
        <v>4.5654000000000003</v>
      </c>
      <c r="P138" s="10"/>
      <c r="Q138" s="10"/>
      <c r="R138" s="10"/>
    </row>
    <row r="139" spans="1:18" ht="15" x14ac:dyDescent="0.2">
      <c r="A139" s="16">
        <v>45444</v>
      </c>
      <c r="B139" s="32">
        <f>3.6031 * CHOOSE(CONTROL!$C$32, $C$9, 100%, $E$9)</f>
        <v>3.6031</v>
      </c>
      <c r="C139" s="32">
        <f>3.6031 * CHOOSE(CONTROL!$C$32, $C$9, 100%, $E$9)</f>
        <v>3.6031</v>
      </c>
      <c r="D139" s="32">
        <f>3.6047 * CHOOSE(CONTROL!$C$32, $C$9, 100%, $E$9)</f>
        <v>3.6046999999999998</v>
      </c>
      <c r="E139" s="33">
        <f>4.5642 * CHOOSE(CONTROL!$C$32, $C$9, 100%, $E$9)</f>
        <v>4.5641999999999996</v>
      </c>
      <c r="F139" s="33">
        <f>4.5642 * CHOOSE(CONTROL!$C$32, $C$9, 100%, $E$9)</f>
        <v>4.5641999999999996</v>
      </c>
      <c r="G139" s="33">
        <f>4.5694 * CHOOSE(CONTROL!$C$32, $C$9, 100%, $E$9)</f>
        <v>4.5693999999999999</v>
      </c>
      <c r="H139" s="33">
        <f>7.5455 * CHOOSE(CONTROL!$C$32, $C$9, 100%, $E$9)</f>
        <v>7.5454999999999997</v>
      </c>
      <c r="I139" s="33">
        <f>7.5508 * CHOOSE(CONTROL!$C$32, $C$9, 100%, $E$9)</f>
        <v>7.5507999999999997</v>
      </c>
      <c r="J139" s="33">
        <f>7.5455 * CHOOSE(CONTROL!$C$32, $C$9, 100%, $E$9)</f>
        <v>7.5454999999999997</v>
      </c>
      <c r="K139" s="33">
        <f>7.5508 * CHOOSE(CONTROL!$C$32, $C$9, 100%, $E$9)</f>
        <v>7.5507999999999997</v>
      </c>
      <c r="L139" s="33">
        <f>4.5642 * CHOOSE(CONTROL!$C$32, $C$9, 100%, $E$9)</f>
        <v>4.5641999999999996</v>
      </c>
      <c r="M139" s="33">
        <f>4.5694 * CHOOSE(CONTROL!$C$32, $C$9, 100%, $E$9)</f>
        <v>4.5693999999999999</v>
      </c>
      <c r="N139" s="33">
        <f>4.5642 * CHOOSE(CONTROL!$C$32, $C$9, 100%, $E$9)</f>
        <v>4.5641999999999996</v>
      </c>
      <c r="O139" s="33">
        <f>4.5694 * CHOOSE(CONTROL!$C$32, $C$9, 100%, $E$9)</f>
        <v>4.5693999999999999</v>
      </c>
      <c r="P139" s="10"/>
      <c r="Q139" s="10"/>
      <c r="R139" s="10"/>
    </row>
    <row r="140" spans="1:18" ht="15" x14ac:dyDescent="0.2">
      <c r="A140" s="16">
        <v>45474</v>
      </c>
      <c r="B140" s="32">
        <f>3.6559 * CHOOSE(CONTROL!$C$32, $C$9, 100%, $E$9)</f>
        <v>3.6558999999999999</v>
      </c>
      <c r="C140" s="32">
        <f>3.6559 * CHOOSE(CONTROL!$C$32, $C$9, 100%, $E$9)</f>
        <v>3.6558999999999999</v>
      </c>
      <c r="D140" s="32">
        <f>3.6575 * CHOOSE(CONTROL!$C$32, $C$9, 100%, $E$9)</f>
        <v>3.6575000000000002</v>
      </c>
      <c r="E140" s="33">
        <f>4.6521 * CHOOSE(CONTROL!$C$32, $C$9, 100%, $E$9)</f>
        <v>4.6520999999999999</v>
      </c>
      <c r="F140" s="33">
        <f>4.6521 * CHOOSE(CONTROL!$C$32, $C$9, 100%, $E$9)</f>
        <v>4.6520999999999999</v>
      </c>
      <c r="G140" s="33">
        <f>4.6574 * CHOOSE(CONTROL!$C$32, $C$9, 100%, $E$9)</f>
        <v>4.6574</v>
      </c>
      <c r="H140" s="33">
        <f>7.5612 * CHOOSE(CONTROL!$C$32, $C$9, 100%, $E$9)</f>
        <v>7.5612000000000004</v>
      </c>
      <c r="I140" s="33">
        <f>7.5665 * CHOOSE(CONTROL!$C$32, $C$9, 100%, $E$9)</f>
        <v>7.5664999999999996</v>
      </c>
      <c r="J140" s="33">
        <f>7.5612 * CHOOSE(CONTROL!$C$32, $C$9, 100%, $E$9)</f>
        <v>7.5612000000000004</v>
      </c>
      <c r="K140" s="33">
        <f>7.5665 * CHOOSE(CONTROL!$C$32, $C$9, 100%, $E$9)</f>
        <v>7.5664999999999996</v>
      </c>
      <c r="L140" s="33">
        <f>4.6521 * CHOOSE(CONTROL!$C$32, $C$9, 100%, $E$9)</f>
        <v>4.6520999999999999</v>
      </c>
      <c r="M140" s="33">
        <f>4.6574 * CHOOSE(CONTROL!$C$32, $C$9, 100%, $E$9)</f>
        <v>4.6574</v>
      </c>
      <c r="N140" s="33">
        <f>4.6521 * CHOOSE(CONTROL!$C$32, $C$9, 100%, $E$9)</f>
        <v>4.6520999999999999</v>
      </c>
      <c r="O140" s="33">
        <f>4.6574 * CHOOSE(CONTROL!$C$32, $C$9, 100%, $E$9)</f>
        <v>4.6574</v>
      </c>
      <c r="P140" s="10"/>
      <c r="Q140" s="10"/>
      <c r="R140" s="10"/>
    </row>
    <row r="141" spans="1:18" ht="15" x14ac:dyDescent="0.2">
      <c r="A141" s="16">
        <v>45505</v>
      </c>
      <c r="B141" s="32">
        <f>3.6626 * CHOOSE(CONTROL!$C$32, $C$9, 100%, $E$9)</f>
        <v>3.6625999999999999</v>
      </c>
      <c r="C141" s="32">
        <f>3.6626 * CHOOSE(CONTROL!$C$32, $C$9, 100%, $E$9)</f>
        <v>3.6625999999999999</v>
      </c>
      <c r="D141" s="32">
        <f>3.6642 * CHOOSE(CONTROL!$C$32, $C$9, 100%, $E$9)</f>
        <v>3.6642000000000001</v>
      </c>
      <c r="E141" s="33">
        <f>4.6565 * CHOOSE(CONTROL!$C$32, $C$9, 100%, $E$9)</f>
        <v>4.6565000000000003</v>
      </c>
      <c r="F141" s="33">
        <f>4.6565 * CHOOSE(CONTROL!$C$32, $C$9, 100%, $E$9)</f>
        <v>4.6565000000000003</v>
      </c>
      <c r="G141" s="33">
        <f>4.6618 * CHOOSE(CONTROL!$C$32, $C$9, 100%, $E$9)</f>
        <v>4.6618000000000004</v>
      </c>
      <c r="H141" s="33">
        <f>7.5769 * CHOOSE(CONTROL!$C$32, $C$9, 100%, $E$9)</f>
        <v>7.5769000000000002</v>
      </c>
      <c r="I141" s="33">
        <f>7.5822 * CHOOSE(CONTROL!$C$32, $C$9, 100%, $E$9)</f>
        <v>7.5822000000000003</v>
      </c>
      <c r="J141" s="33">
        <f>7.5769 * CHOOSE(CONTROL!$C$32, $C$9, 100%, $E$9)</f>
        <v>7.5769000000000002</v>
      </c>
      <c r="K141" s="33">
        <f>7.5822 * CHOOSE(CONTROL!$C$32, $C$9, 100%, $E$9)</f>
        <v>7.5822000000000003</v>
      </c>
      <c r="L141" s="33">
        <f>4.6565 * CHOOSE(CONTROL!$C$32, $C$9, 100%, $E$9)</f>
        <v>4.6565000000000003</v>
      </c>
      <c r="M141" s="33">
        <f>4.6618 * CHOOSE(CONTROL!$C$32, $C$9, 100%, $E$9)</f>
        <v>4.6618000000000004</v>
      </c>
      <c r="N141" s="33">
        <f>4.6565 * CHOOSE(CONTROL!$C$32, $C$9, 100%, $E$9)</f>
        <v>4.6565000000000003</v>
      </c>
      <c r="O141" s="33">
        <f>4.6618 * CHOOSE(CONTROL!$C$32, $C$9, 100%, $E$9)</f>
        <v>4.6618000000000004</v>
      </c>
      <c r="P141" s="10"/>
      <c r="Q141" s="10"/>
      <c r="R141" s="10"/>
    </row>
    <row r="142" spans="1:18" ht="15" x14ac:dyDescent="0.2">
      <c r="A142" s="16">
        <v>45536</v>
      </c>
      <c r="B142" s="32">
        <f>3.6595 * CHOOSE(CONTROL!$C$32, $C$9, 100%, $E$9)</f>
        <v>3.6595</v>
      </c>
      <c r="C142" s="32">
        <f>3.6595 * CHOOSE(CONTROL!$C$32, $C$9, 100%, $E$9)</f>
        <v>3.6595</v>
      </c>
      <c r="D142" s="32">
        <f>3.6611 * CHOOSE(CONTROL!$C$32, $C$9, 100%, $E$9)</f>
        <v>3.6610999999999998</v>
      </c>
      <c r="E142" s="33">
        <f>4.6545 * CHOOSE(CONTROL!$C$32, $C$9, 100%, $E$9)</f>
        <v>4.6544999999999996</v>
      </c>
      <c r="F142" s="33">
        <f>4.6545 * CHOOSE(CONTROL!$C$32, $C$9, 100%, $E$9)</f>
        <v>4.6544999999999996</v>
      </c>
      <c r="G142" s="33">
        <f>4.6598 * CHOOSE(CONTROL!$C$32, $C$9, 100%, $E$9)</f>
        <v>4.6597999999999997</v>
      </c>
      <c r="H142" s="33">
        <f>7.5927 * CHOOSE(CONTROL!$C$32, $C$9, 100%, $E$9)</f>
        <v>7.5926999999999998</v>
      </c>
      <c r="I142" s="33">
        <f>7.598 * CHOOSE(CONTROL!$C$32, $C$9, 100%, $E$9)</f>
        <v>7.5979999999999999</v>
      </c>
      <c r="J142" s="33">
        <f>7.5927 * CHOOSE(CONTROL!$C$32, $C$9, 100%, $E$9)</f>
        <v>7.5926999999999998</v>
      </c>
      <c r="K142" s="33">
        <f>7.598 * CHOOSE(CONTROL!$C$32, $C$9, 100%, $E$9)</f>
        <v>7.5979999999999999</v>
      </c>
      <c r="L142" s="33">
        <f>4.6545 * CHOOSE(CONTROL!$C$32, $C$9, 100%, $E$9)</f>
        <v>4.6544999999999996</v>
      </c>
      <c r="M142" s="33">
        <f>4.6598 * CHOOSE(CONTROL!$C$32, $C$9, 100%, $E$9)</f>
        <v>4.6597999999999997</v>
      </c>
      <c r="N142" s="33">
        <f>4.6545 * CHOOSE(CONTROL!$C$32, $C$9, 100%, $E$9)</f>
        <v>4.6544999999999996</v>
      </c>
      <c r="O142" s="33">
        <f>4.6598 * CHOOSE(CONTROL!$C$32, $C$9, 100%, $E$9)</f>
        <v>4.6597999999999997</v>
      </c>
      <c r="P142" s="10"/>
      <c r="Q142" s="10"/>
      <c r="R142" s="10"/>
    </row>
    <row r="143" spans="1:18" ht="15" x14ac:dyDescent="0.2">
      <c r="A143" s="16">
        <v>45566</v>
      </c>
      <c r="B143" s="32">
        <f>3.6534 * CHOOSE(CONTROL!$C$32, $C$9, 100%, $E$9)</f>
        <v>3.6534</v>
      </c>
      <c r="C143" s="32">
        <f>3.6534 * CHOOSE(CONTROL!$C$32, $C$9, 100%, $E$9)</f>
        <v>3.6534</v>
      </c>
      <c r="D143" s="32">
        <f>3.6545 * CHOOSE(CONTROL!$C$32, $C$9, 100%, $E$9)</f>
        <v>3.6545000000000001</v>
      </c>
      <c r="E143" s="33">
        <f>4.6486 * CHOOSE(CONTROL!$C$32, $C$9, 100%, $E$9)</f>
        <v>4.6486000000000001</v>
      </c>
      <c r="F143" s="33">
        <f>4.6486 * CHOOSE(CONTROL!$C$32, $C$9, 100%, $E$9)</f>
        <v>4.6486000000000001</v>
      </c>
      <c r="G143" s="33">
        <f>4.6522 * CHOOSE(CONTROL!$C$32, $C$9, 100%, $E$9)</f>
        <v>4.6521999999999997</v>
      </c>
      <c r="H143" s="33">
        <f>7.6085 * CHOOSE(CONTROL!$C$32, $C$9, 100%, $E$9)</f>
        <v>7.6085000000000003</v>
      </c>
      <c r="I143" s="33">
        <f>7.6122 * CHOOSE(CONTROL!$C$32, $C$9, 100%, $E$9)</f>
        <v>7.6121999999999996</v>
      </c>
      <c r="J143" s="33">
        <f>7.6085 * CHOOSE(CONTROL!$C$32, $C$9, 100%, $E$9)</f>
        <v>7.6085000000000003</v>
      </c>
      <c r="K143" s="33">
        <f>7.6122 * CHOOSE(CONTROL!$C$32, $C$9, 100%, $E$9)</f>
        <v>7.6121999999999996</v>
      </c>
      <c r="L143" s="33">
        <f>4.6486 * CHOOSE(CONTROL!$C$32, $C$9, 100%, $E$9)</f>
        <v>4.6486000000000001</v>
      </c>
      <c r="M143" s="33">
        <f>4.6522 * CHOOSE(CONTROL!$C$32, $C$9, 100%, $E$9)</f>
        <v>4.6521999999999997</v>
      </c>
      <c r="N143" s="33">
        <f>4.6486 * CHOOSE(CONTROL!$C$32, $C$9, 100%, $E$9)</f>
        <v>4.6486000000000001</v>
      </c>
      <c r="O143" s="33">
        <f>4.6522 * CHOOSE(CONTROL!$C$32, $C$9, 100%, $E$9)</f>
        <v>4.6521999999999997</v>
      </c>
      <c r="P143" s="10"/>
      <c r="Q143" s="10"/>
      <c r="R143" s="10"/>
    </row>
    <row r="144" spans="1:18" ht="15" x14ac:dyDescent="0.2">
      <c r="A144" s="16">
        <v>45597</v>
      </c>
      <c r="B144" s="32">
        <f>3.6565 * CHOOSE(CONTROL!$C$32, $C$9, 100%, $E$9)</f>
        <v>3.6564999999999999</v>
      </c>
      <c r="C144" s="32">
        <f>3.6565 * CHOOSE(CONTROL!$C$32, $C$9, 100%, $E$9)</f>
        <v>3.6564999999999999</v>
      </c>
      <c r="D144" s="32">
        <f>3.6576 * CHOOSE(CONTROL!$C$32, $C$9, 100%, $E$9)</f>
        <v>3.6576</v>
      </c>
      <c r="E144" s="33">
        <f>4.6506 * CHOOSE(CONTROL!$C$32, $C$9, 100%, $E$9)</f>
        <v>4.6505999999999998</v>
      </c>
      <c r="F144" s="33">
        <f>4.6506 * CHOOSE(CONTROL!$C$32, $C$9, 100%, $E$9)</f>
        <v>4.6505999999999998</v>
      </c>
      <c r="G144" s="33">
        <f>4.6542 * CHOOSE(CONTROL!$C$32, $C$9, 100%, $E$9)</f>
        <v>4.6542000000000003</v>
      </c>
      <c r="H144" s="33">
        <f>7.6244 * CHOOSE(CONTROL!$C$32, $C$9, 100%, $E$9)</f>
        <v>7.6243999999999996</v>
      </c>
      <c r="I144" s="33">
        <f>7.628 * CHOOSE(CONTROL!$C$32, $C$9, 100%, $E$9)</f>
        <v>7.6280000000000001</v>
      </c>
      <c r="J144" s="33">
        <f>7.6244 * CHOOSE(CONTROL!$C$32, $C$9, 100%, $E$9)</f>
        <v>7.6243999999999996</v>
      </c>
      <c r="K144" s="33">
        <f>7.628 * CHOOSE(CONTROL!$C$32, $C$9, 100%, $E$9)</f>
        <v>7.6280000000000001</v>
      </c>
      <c r="L144" s="33">
        <f>4.6506 * CHOOSE(CONTROL!$C$32, $C$9, 100%, $E$9)</f>
        <v>4.6505999999999998</v>
      </c>
      <c r="M144" s="33">
        <f>4.6542 * CHOOSE(CONTROL!$C$32, $C$9, 100%, $E$9)</f>
        <v>4.6542000000000003</v>
      </c>
      <c r="N144" s="33">
        <f>4.6506 * CHOOSE(CONTROL!$C$32, $C$9, 100%, $E$9)</f>
        <v>4.6505999999999998</v>
      </c>
      <c r="O144" s="33">
        <f>4.6542 * CHOOSE(CONTROL!$C$32, $C$9, 100%, $E$9)</f>
        <v>4.6542000000000003</v>
      </c>
      <c r="P144" s="10"/>
      <c r="Q144" s="10"/>
      <c r="R144" s="10"/>
    </row>
    <row r="145" spans="1:18" ht="15" x14ac:dyDescent="0.2">
      <c r="A145" s="16">
        <v>45627</v>
      </c>
      <c r="B145" s="32">
        <f>3.6565 * CHOOSE(CONTROL!$C$32, $C$9, 100%, $E$9)</f>
        <v>3.6564999999999999</v>
      </c>
      <c r="C145" s="32">
        <f>3.6565 * CHOOSE(CONTROL!$C$32, $C$9, 100%, $E$9)</f>
        <v>3.6564999999999999</v>
      </c>
      <c r="D145" s="32">
        <f>3.6576 * CHOOSE(CONTROL!$C$32, $C$9, 100%, $E$9)</f>
        <v>3.6576</v>
      </c>
      <c r="E145" s="33">
        <f>4.6506 * CHOOSE(CONTROL!$C$32, $C$9, 100%, $E$9)</f>
        <v>4.6505999999999998</v>
      </c>
      <c r="F145" s="33">
        <f>4.6506 * CHOOSE(CONTROL!$C$32, $C$9, 100%, $E$9)</f>
        <v>4.6505999999999998</v>
      </c>
      <c r="G145" s="33">
        <f>4.6542 * CHOOSE(CONTROL!$C$32, $C$9, 100%, $E$9)</f>
        <v>4.6542000000000003</v>
      </c>
      <c r="H145" s="33">
        <f>7.6403 * CHOOSE(CONTROL!$C$32, $C$9, 100%, $E$9)</f>
        <v>7.6402999999999999</v>
      </c>
      <c r="I145" s="33">
        <f>7.6439 * CHOOSE(CONTROL!$C$32, $C$9, 100%, $E$9)</f>
        <v>7.6439000000000004</v>
      </c>
      <c r="J145" s="33">
        <f>7.6403 * CHOOSE(CONTROL!$C$32, $C$9, 100%, $E$9)</f>
        <v>7.6402999999999999</v>
      </c>
      <c r="K145" s="33">
        <f>7.6439 * CHOOSE(CONTROL!$C$32, $C$9, 100%, $E$9)</f>
        <v>7.6439000000000004</v>
      </c>
      <c r="L145" s="33">
        <f>4.6506 * CHOOSE(CONTROL!$C$32, $C$9, 100%, $E$9)</f>
        <v>4.6505999999999998</v>
      </c>
      <c r="M145" s="33">
        <f>4.6542 * CHOOSE(CONTROL!$C$32, $C$9, 100%, $E$9)</f>
        <v>4.6542000000000003</v>
      </c>
      <c r="N145" s="33">
        <f>4.6506 * CHOOSE(CONTROL!$C$32, $C$9, 100%, $E$9)</f>
        <v>4.6505999999999998</v>
      </c>
      <c r="O145" s="33">
        <f>4.6542 * CHOOSE(CONTROL!$C$32, $C$9, 100%, $E$9)</f>
        <v>4.6542000000000003</v>
      </c>
      <c r="P145" s="10"/>
      <c r="Q145" s="10"/>
      <c r="R145" s="10"/>
    </row>
    <row r="146" spans="1:18" ht="15" x14ac:dyDescent="0.2">
      <c r="A146" s="16">
        <v>45658</v>
      </c>
      <c r="B146" s="32">
        <f>3.691 * CHOOSE(CONTROL!$C$32, $C$9, 100%, $E$9)</f>
        <v>3.6909999999999998</v>
      </c>
      <c r="C146" s="32">
        <f>3.691 * CHOOSE(CONTROL!$C$32, $C$9, 100%, $E$9)</f>
        <v>3.6909999999999998</v>
      </c>
      <c r="D146" s="32">
        <f>3.6921 * CHOOSE(CONTROL!$C$32, $C$9, 100%, $E$9)</f>
        <v>3.6920999999999999</v>
      </c>
      <c r="E146" s="33">
        <f>4.6908 * CHOOSE(CONTROL!$C$32, $C$9, 100%, $E$9)</f>
        <v>4.6908000000000003</v>
      </c>
      <c r="F146" s="33">
        <f>4.6908 * CHOOSE(CONTROL!$C$32, $C$9, 100%, $E$9)</f>
        <v>4.6908000000000003</v>
      </c>
      <c r="G146" s="33">
        <f>4.6945 * CHOOSE(CONTROL!$C$32, $C$9, 100%, $E$9)</f>
        <v>4.6944999999999997</v>
      </c>
      <c r="H146" s="33">
        <f>7.6562 * CHOOSE(CONTROL!$C$32, $C$9, 100%, $E$9)</f>
        <v>7.6562000000000001</v>
      </c>
      <c r="I146" s="33">
        <f>7.6598 * CHOOSE(CONTROL!$C$32, $C$9, 100%, $E$9)</f>
        <v>7.6597999999999997</v>
      </c>
      <c r="J146" s="33">
        <f>7.6562 * CHOOSE(CONTROL!$C$32, $C$9, 100%, $E$9)</f>
        <v>7.6562000000000001</v>
      </c>
      <c r="K146" s="33">
        <f>7.6598 * CHOOSE(CONTROL!$C$32, $C$9, 100%, $E$9)</f>
        <v>7.6597999999999997</v>
      </c>
      <c r="L146" s="33">
        <f>4.6908 * CHOOSE(CONTROL!$C$32, $C$9, 100%, $E$9)</f>
        <v>4.6908000000000003</v>
      </c>
      <c r="M146" s="33">
        <f>4.6945 * CHOOSE(CONTROL!$C$32, $C$9, 100%, $E$9)</f>
        <v>4.6944999999999997</v>
      </c>
      <c r="N146" s="33">
        <f>4.6908 * CHOOSE(CONTROL!$C$32, $C$9, 100%, $E$9)</f>
        <v>4.6908000000000003</v>
      </c>
      <c r="O146" s="33">
        <f>4.6945 * CHOOSE(CONTROL!$C$32, $C$9, 100%, $E$9)</f>
        <v>4.6944999999999997</v>
      </c>
      <c r="P146" s="10"/>
      <c r="Q146" s="10"/>
      <c r="R146" s="10"/>
    </row>
    <row r="147" spans="1:18" ht="15" x14ac:dyDescent="0.2">
      <c r="A147" s="16">
        <v>45689</v>
      </c>
      <c r="B147" s="32">
        <f>3.688 * CHOOSE(CONTROL!$C$32, $C$9, 100%, $E$9)</f>
        <v>3.6880000000000002</v>
      </c>
      <c r="C147" s="32">
        <f>3.688 * CHOOSE(CONTROL!$C$32, $C$9, 100%, $E$9)</f>
        <v>3.6880000000000002</v>
      </c>
      <c r="D147" s="32">
        <f>3.6891 * CHOOSE(CONTROL!$C$32, $C$9, 100%, $E$9)</f>
        <v>3.6890999999999998</v>
      </c>
      <c r="E147" s="33">
        <f>4.6888 * CHOOSE(CONTROL!$C$32, $C$9, 100%, $E$9)</f>
        <v>4.6887999999999996</v>
      </c>
      <c r="F147" s="33">
        <f>4.6888 * CHOOSE(CONTROL!$C$32, $C$9, 100%, $E$9)</f>
        <v>4.6887999999999996</v>
      </c>
      <c r="G147" s="33">
        <f>4.6925 * CHOOSE(CONTROL!$C$32, $C$9, 100%, $E$9)</f>
        <v>4.6924999999999999</v>
      </c>
      <c r="H147" s="33">
        <f>7.6721 * CHOOSE(CONTROL!$C$32, $C$9, 100%, $E$9)</f>
        <v>7.6721000000000004</v>
      </c>
      <c r="I147" s="33">
        <f>7.6758 * CHOOSE(CONTROL!$C$32, $C$9, 100%, $E$9)</f>
        <v>7.6757999999999997</v>
      </c>
      <c r="J147" s="33">
        <f>7.6721 * CHOOSE(CONTROL!$C$32, $C$9, 100%, $E$9)</f>
        <v>7.6721000000000004</v>
      </c>
      <c r="K147" s="33">
        <f>7.6758 * CHOOSE(CONTROL!$C$32, $C$9, 100%, $E$9)</f>
        <v>7.6757999999999997</v>
      </c>
      <c r="L147" s="33">
        <f>4.6888 * CHOOSE(CONTROL!$C$32, $C$9, 100%, $E$9)</f>
        <v>4.6887999999999996</v>
      </c>
      <c r="M147" s="33">
        <f>4.6925 * CHOOSE(CONTROL!$C$32, $C$9, 100%, $E$9)</f>
        <v>4.6924999999999999</v>
      </c>
      <c r="N147" s="33">
        <f>4.6888 * CHOOSE(CONTROL!$C$32, $C$9, 100%, $E$9)</f>
        <v>4.6887999999999996</v>
      </c>
      <c r="O147" s="33">
        <f>4.6925 * CHOOSE(CONTROL!$C$32, $C$9, 100%, $E$9)</f>
        <v>4.6924999999999999</v>
      </c>
      <c r="P147" s="10"/>
      <c r="Q147" s="10"/>
      <c r="R147" s="10"/>
    </row>
    <row r="148" spans="1:18" ht="15" x14ac:dyDescent="0.2">
      <c r="A148" s="16">
        <v>45717</v>
      </c>
      <c r="B148" s="32">
        <f>3.685 * CHOOSE(CONTROL!$C$32, $C$9, 100%, $E$9)</f>
        <v>3.6850000000000001</v>
      </c>
      <c r="C148" s="32">
        <f>3.685 * CHOOSE(CONTROL!$C$32, $C$9, 100%, $E$9)</f>
        <v>3.6850000000000001</v>
      </c>
      <c r="D148" s="32">
        <f>3.686 * CHOOSE(CONTROL!$C$32, $C$9, 100%, $E$9)</f>
        <v>3.6859999999999999</v>
      </c>
      <c r="E148" s="33">
        <f>4.6868 * CHOOSE(CONTROL!$C$32, $C$9, 100%, $E$9)</f>
        <v>4.6867999999999999</v>
      </c>
      <c r="F148" s="33">
        <f>4.6868 * CHOOSE(CONTROL!$C$32, $C$9, 100%, $E$9)</f>
        <v>4.6867999999999999</v>
      </c>
      <c r="G148" s="33">
        <f>4.6905 * CHOOSE(CONTROL!$C$32, $C$9, 100%, $E$9)</f>
        <v>4.6905000000000001</v>
      </c>
      <c r="H148" s="33">
        <f>7.6881 * CHOOSE(CONTROL!$C$32, $C$9, 100%, $E$9)</f>
        <v>7.6881000000000004</v>
      </c>
      <c r="I148" s="33">
        <f>7.6917 * CHOOSE(CONTROL!$C$32, $C$9, 100%, $E$9)</f>
        <v>7.6917</v>
      </c>
      <c r="J148" s="33">
        <f>7.6881 * CHOOSE(CONTROL!$C$32, $C$9, 100%, $E$9)</f>
        <v>7.6881000000000004</v>
      </c>
      <c r="K148" s="33">
        <f>7.6917 * CHOOSE(CONTROL!$C$32, $C$9, 100%, $E$9)</f>
        <v>7.6917</v>
      </c>
      <c r="L148" s="33">
        <f>4.6868 * CHOOSE(CONTROL!$C$32, $C$9, 100%, $E$9)</f>
        <v>4.6867999999999999</v>
      </c>
      <c r="M148" s="33">
        <f>4.6905 * CHOOSE(CONTROL!$C$32, $C$9, 100%, $E$9)</f>
        <v>4.6905000000000001</v>
      </c>
      <c r="N148" s="33">
        <f>4.6868 * CHOOSE(CONTROL!$C$32, $C$9, 100%, $E$9)</f>
        <v>4.6867999999999999</v>
      </c>
      <c r="O148" s="33">
        <f>4.6905 * CHOOSE(CONTROL!$C$32, $C$9, 100%, $E$9)</f>
        <v>4.6905000000000001</v>
      </c>
      <c r="P148" s="10"/>
      <c r="Q148" s="10"/>
      <c r="R148" s="10"/>
    </row>
    <row r="149" spans="1:18" ht="15" x14ac:dyDescent="0.2">
      <c r="A149" s="16">
        <v>45748</v>
      </c>
      <c r="B149" s="32">
        <f>3.6823 * CHOOSE(CONTROL!$C$32, $C$9, 100%, $E$9)</f>
        <v>3.6823000000000001</v>
      </c>
      <c r="C149" s="32">
        <f>3.6823 * CHOOSE(CONTROL!$C$32, $C$9, 100%, $E$9)</f>
        <v>3.6823000000000001</v>
      </c>
      <c r="D149" s="32">
        <f>3.6834 * CHOOSE(CONTROL!$C$32, $C$9, 100%, $E$9)</f>
        <v>3.6833999999999998</v>
      </c>
      <c r="E149" s="33">
        <f>4.6846 * CHOOSE(CONTROL!$C$32, $C$9, 100%, $E$9)</f>
        <v>4.6845999999999997</v>
      </c>
      <c r="F149" s="33">
        <f>4.6846 * CHOOSE(CONTROL!$C$32, $C$9, 100%, $E$9)</f>
        <v>4.6845999999999997</v>
      </c>
      <c r="G149" s="33">
        <f>4.6882 * CHOOSE(CONTROL!$C$32, $C$9, 100%, $E$9)</f>
        <v>4.6882000000000001</v>
      </c>
      <c r="H149" s="33">
        <f>7.7041 * CHOOSE(CONTROL!$C$32, $C$9, 100%, $E$9)</f>
        <v>7.7041000000000004</v>
      </c>
      <c r="I149" s="33">
        <f>7.7078 * CHOOSE(CONTROL!$C$32, $C$9, 100%, $E$9)</f>
        <v>7.7077999999999998</v>
      </c>
      <c r="J149" s="33">
        <f>7.7041 * CHOOSE(CONTROL!$C$32, $C$9, 100%, $E$9)</f>
        <v>7.7041000000000004</v>
      </c>
      <c r="K149" s="33">
        <f>7.7078 * CHOOSE(CONTROL!$C$32, $C$9, 100%, $E$9)</f>
        <v>7.7077999999999998</v>
      </c>
      <c r="L149" s="33">
        <f>4.6846 * CHOOSE(CONTROL!$C$32, $C$9, 100%, $E$9)</f>
        <v>4.6845999999999997</v>
      </c>
      <c r="M149" s="33">
        <f>4.6882 * CHOOSE(CONTROL!$C$32, $C$9, 100%, $E$9)</f>
        <v>4.6882000000000001</v>
      </c>
      <c r="N149" s="33">
        <f>4.6846 * CHOOSE(CONTROL!$C$32, $C$9, 100%, $E$9)</f>
        <v>4.6845999999999997</v>
      </c>
      <c r="O149" s="33">
        <f>4.6882 * CHOOSE(CONTROL!$C$32, $C$9, 100%, $E$9)</f>
        <v>4.6882000000000001</v>
      </c>
      <c r="P149" s="10"/>
      <c r="Q149" s="10"/>
      <c r="R149" s="10"/>
    </row>
    <row r="150" spans="1:18" ht="15" x14ac:dyDescent="0.2">
      <c r="A150" s="16">
        <v>45778</v>
      </c>
      <c r="B150" s="32">
        <f>3.6823 * CHOOSE(CONTROL!$C$32, $C$9, 100%, $E$9)</f>
        <v>3.6823000000000001</v>
      </c>
      <c r="C150" s="32">
        <f>3.6823 * CHOOSE(CONTROL!$C$32, $C$9, 100%, $E$9)</f>
        <v>3.6823000000000001</v>
      </c>
      <c r="D150" s="32">
        <f>3.6839 * CHOOSE(CONTROL!$C$32, $C$9, 100%, $E$9)</f>
        <v>3.6839</v>
      </c>
      <c r="E150" s="33">
        <f>4.6846 * CHOOSE(CONTROL!$C$32, $C$9, 100%, $E$9)</f>
        <v>4.6845999999999997</v>
      </c>
      <c r="F150" s="33">
        <f>4.6846 * CHOOSE(CONTROL!$C$32, $C$9, 100%, $E$9)</f>
        <v>4.6845999999999997</v>
      </c>
      <c r="G150" s="33">
        <f>4.6899 * CHOOSE(CONTROL!$C$32, $C$9, 100%, $E$9)</f>
        <v>4.6898999999999997</v>
      </c>
      <c r="H150" s="33">
        <f>7.7202 * CHOOSE(CONTROL!$C$32, $C$9, 100%, $E$9)</f>
        <v>7.7202000000000002</v>
      </c>
      <c r="I150" s="33">
        <f>7.7255 * CHOOSE(CONTROL!$C$32, $C$9, 100%, $E$9)</f>
        <v>7.7255000000000003</v>
      </c>
      <c r="J150" s="33">
        <f>7.7202 * CHOOSE(CONTROL!$C$32, $C$9, 100%, $E$9)</f>
        <v>7.7202000000000002</v>
      </c>
      <c r="K150" s="33">
        <f>7.7255 * CHOOSE(CONTROL!$C$32, $C$9, 100%, $E$9)</f>
        <v>7.7255000000000003</v>
      </c>
      <c r="L150" s="33">
        <f>4.6846 * CHOOSE(CONTROL!$C$32, $C$9, 100%, $E$9)</f>
        <v>4.6845999999999997</v>
      </c>
      <c r="M150" s="33">
        <f>4.6899 * CHOOSE(CONTROL!$C$32, $C$9, 100%, $E$9)</f>
        <v>4.6898999999999997</v>
      </c>
      <c r="N150" s="33">
        <f>4.6846 * CHOOSE(CONTROL!$C$32, $C$9, 100%, $E$9)</f>
        <v>4.6845999999999997</v>
      </c>
      <c r="O150" s="33">
        <f>4.6899 * CHOOSE(CONTROL!$C$32, $C$9, 100%, $E$9)</f>
        <v>4.6898999999999997</v>
      </c>
      <c r="P150" s="10"/>
      <c r="Q150" s="10"/>
      <c r="R150" s="10"/>
    </row>
    <row r="151" spans="1:18" ht="15" x14ac:dyDescent="0.2">
      <c r="A151" s="16">
        <v>45809</v>
      </c>
      <c r="B151" s="32">
        <f>3.6884 * CHOOSE(CONTROL!$C$32, $C$9, 100%, $E$9)</f>
        <v>3.6884000000000001</v>
      </c>
      <c r="C151" s="32">
        <f>3.6884 * CHOOSE(CONTROL!$C$32, $C$9, 100%, $E$9)</f>
        <v>3.6884000000000001</v>
      </c>
      <c r="D151" s="32">
        <f>3.69 * CHOOSE(CONTROL!$C$32, $C$9, 100%, $E$9)</f>
        <v>3.69</v>
      </c>
      <c r="E151" s="33">
        <f>4.6886 * CHOOSE(CONTROL!$C$32, $C$9, 100%, $E$9)</f>
        <v>4.6886000000000001</v>
      </c>
      <c r="F151" s="33">
        <f>4.6886 * CHOOSE(CONTROL!$C$32, $C$9, 100%, $E$9)</f>
        <v>4.6886000000000001</v>
      </c>
      <c r="G151" s="33">
        <f>4.6939 * CHOOSE(CONTROL!$C$32, $C$9, 100%, $E$9)</f>
        <v>4.6939000000000002</v>
      </c>
      <c r="H151" s="33">
        <f>7.7363 * CHOOSE(CONTROL!$C$32, $C$9, 100%, $E$9)</f>
        <v>7.7363</v>
      </c>
      <c r="I151" s="33">
        <f>7.7416 * CHOOSE(CONTROL!$C$32, $C$9, 100%, $E$9)</f>
        <v>7.7416</v>
      </c>
      <c r="J151" s="33">
        <f>7.7363 * CHOOSE(CONTROL!$C$32, $C$9, 100%, $E$9)</f>
        <v>7.7363</v>
      </c>
      <c r="K151" s="33">
        <f>7.7416 * CHOOSE(CONTROL!$C$32, $C$9, 100%, $E$9)</f>
        <v>7.7416</v>
      </c>
      <c r="L151" s="33">
        <f>4.6886 * CHOOSE(CONTROL!$C$32, $C$9, 100%, $E$9)</f>
        <v>4.6886000000000001</v>
      </c>
      <c r="M151" s="33">
        <f>4.6939 * CHOOSE(CONTROL!$C$32, $C$9, 100%, $E$9)</f>
        <v>4.6939000000000002</v>
      </c>
      <c r="N151" s="33">
        <f>4.6886 * CHOOSE(CONTROL!$C$32, $C$9, 100%, $E$9)</f>
        <v>4.6886000000000001</v>
      </c>
      <c r="O151" s="33">
        <f>4.6939 * CHOOSE(CONTROL!$C$32, $C$9, 100%, $E$9)</f>
        <v>4.6939000000000002</v>
      </c>
      <c r="P151" s="10"/>
      <c r="Q151" s="10"/>
      <c r="R151" s="10"/>
    </row>
    <row r="152" spans="1:18" ht="15" x14ac:dyDescent="0.2">
      <c r="A152" s="16">
        <v>45839</v>
      </c>
      <c r="B152" s="32">
        <f>3.7541 * CHOOSE(CONTROL!$C$32, $C$9, 100%, $E$9)</f>
        <v>3.7541000000000002</v>
      </c>
      <c r="C152" s="32">
        <f>3.7541 * CHOOSE(CONTROL!$C$32, $C$9, 100%, $E$9)</f>
        <v>3.7541000000000002</v>
      </c>
      <c r="D152" s="32">
        <f>3.7556 * CHOOSE(CONTROL!$C$32, $C$9, 100%, $E$9)</f>
        <v>3.7555999999999998</v>
      </c>
      <c r="E152" s="33">
        <f>4.7776 * CHOOSE(CONTROL!$C$32, $C$9, 100%, $E$9)</f>
        <v>4.7775999999999996</v>
      </c>
      <c r="F152" s="33">
        <f>4.7776 * CHOOSE(CONTROL!$C$32, $C$9, 100%, $E$9)</f>
        <v>4.7775999999999996</v>
      </c>
      <c r="G152" s="33">
        <f>4.7829 * CHOOSE(CONTROL!$C$32, $C$9, 100%, $E$9)</f>
        <v>4.7828999999999997</v>
      </c>
      <c r="H152" s="33">
        <f>7.7524 * CHOOSE(CONTROL!$C$32, $C$9, 100%, $E$9)</f>
        <v>7.7523999999999997</v>
      </c>
      <c r="I152" s="33">
        <f>7.7577 * CHOOSE(CONTROL!$C$32, $C$9, 100%, $E$9)</f>
        <v>7.7576999999999998</v>
      </c>
      <c r="J152" s="33">
        <f>7.7524 * CHOOSE(CONTROL!$C$32, $C$9, 100%, $E$9)</f>
        <v>7.7523999999999997</v>
      </c>
      <c r="K152" s="33">
        <f>7.7577 * CHOOSE(CONTROL!$C$32, $C$9, 100%, $E$9)</f>
        <v>7.7576999999999998</v>
      </c>
      <c r="L152" s="33">
        <f>4.7776 * CHOOSE(CONTROL!$C$32, $C$9, 100%, $E$9)</f>
        <v>4.7775999999999996</v>
      </c>
      <c r="M152" s="33">
        <f>4.7829 * CHOOSE(CONTROL!$C$32, $C$9, 100%, $E$9)</f>
        <v>4.7828999999999997</v>
      </c>
      <c r="N152" s="33">
        <f>4.7776 * CHOOSE(CONTROL!$C$32, $C$9, 100%, $E$9)</f>
        <v>4.7775999999999996</v>
      </c>
      <c r="O152" s="33">
        <f>4.7829 * CHOOSE(CONTROL!$C$32, $C$9, 100%, $E$9)</f>
        <v>4.7828999999999997</v>
      </c>
      <c r="P152" s="10"/>
      <c r="Q152" s="10"/>
      <c r="R152" s="10"/>
    </row>
    <row r="153" spans="1:18" ht="15" x14ac:dyDescent="0.2">
      <c r="A153" s="16">
        <v>45870</v>
      </c>
      <c r="B153" s="32">
        <f>3.7607 * CHOOSE(CONTROL!$C$32, $C$9, 100%, $E$9)</f>
        <v>3.7606999999999999</v>
      </c>
      <c r="C153" s="32">
        <f>3.7607 * CHOOSE(CONTROL!$C$32, $C$9, 100%, $E$9)</f>
        <v>3.7606999999999999</v>
      </c>
      <c r="D153" s="32">
        <f>3.7623 * CHOOSE(CONTROL!$C$32, $C$9, 100%, $E$9)</f>
        <v>3.7623000000000002</v>
      </c>
      <c r="E153" s="33">
        <f>4.782 * CHOOSE(CONTROL!$C$32, $C$9, 100%, $E$9)</f>
        <v>4.782</v>
      </c>
      <c r="F153" s="33">
        <f>4.782 * CHOOSE(CONTROL!$C$32, $C$9, 100%, $E$9)</f>
        <v>4.782</v>
      </c>
      <c r="G153" s="33">
        <f>4.7873 * CHOOSE(CONTROL!$C$32, $C$9, 100%, $E$9)</f>
        <v>4.7873000000000001</v>
      </c>
      <c r="H153" s="33">
        <f>7.7685 * CHOOSE(CONTROL!$C$32, $C$9, 100%, $E$9)</f>
        <v>7.7685000000000004</v>
      </c>
      <c r="I153" s="33">
        <f>7.7738 * CHOOSE(CONTROL!$C$32, $C$9, 100%, $E$9)</f>
        <v>7.7737999999999996</v>
      </c>
      <c r="J153" s="33">
        <f>7.7685 * CHOOSE(CONTROL!$C$32, $C$9, 100%, $E$9)</f>
        <v>7.7685000000000004</v>
      </c>
      <c r="K153" s="33">
        <f>7.7738 * CHOOSE(CONTROL!$C$32, $C$9, 100%, $E$9)</f>
        <v>7.7737999999999996</v>
      </c>
      <c r="L153" s="33">
        <f>4.782 * CHOOSE(CONTROL!$C$32, $C$9, 100%, $E$9)</f>
        <v>4.782</v>
      </c>
      <c r="M153" s="33">
        <f>4.7873 * CHOOSE(CONTROL!$C$32, $C$9, 100%, $E$9)</f>
        <v>4.7873000000000001</v>
      </c>
      <c r="N153" s="33">
        <f>4.782 * CHOOSE(CONTROL!$C$32, $C$9, 100%, $E$9)</f>
        <v>4.782</v>
      </c>
      <c r="O153" s="33">
        <f>4.7873 * CHOOSE(CONTROL!$C$32, $C$9, 100%, $E$9)</f>
        <v>4.7873000000000001</v>
      </c>
      <c r="P153" s="10"/>
      <c r="Q153" s="10"/>
      <c r="R153" s="10"/>
    </row>
    <row r="154" spans="1:18" ht="15" x14ac:dyDescent="0.2">
      <c r="A154" s="16">
        <v>45901</v>
      </c>
      <c r="B154" s="32">
        <f>3.7577 * CHOOSE(CONTROL!$C$32, $C$9, 100%, $E$9)</f>
        <v>3.7576999999999998</v>
      </c>
      <c r="C154" s="32">
        <f>3.7577 * CHOOSE(CONTROL!$C$32, $C$9, 100%, $E$9)</f>
        <v>3.7576999999999998</v>
      </c>
      <c r="D154" s="32">
        <f>3.7593 * CHOOSE(CONTROL!$C$32, $C$9, 100%, $E$9)</f>
        <v>3.7593000000000001</v>
      </c>
      <c r="E154" s="33">
        <f>4.78 * CHOOSE(CONTROL!$C$32, $C$9, 100%, $E$9)</f>
        <v>4.78</v>
      </c>
      <c r="F154" s="33">
        <f>4.78 * CHOOSE(CONTROL!$C$32, $C$9, 100%, $E$9)</f>
        <v>4.78</v>
      </c>
      <c r="G154" s="33">
        <f>4.7853 * CHOOSE(CONTROL!$C$32, $C$9, 100%, $E$9)</f>
        <v>4.7853000000000003</v>
      </c>
      <c r="H154" s="33">
        <f>7.7847 * CHOOSE(CONTROL!$C$32, $C$9, 100%, $E$9)</f>
        <v>7.7847</v>
      </c>
      <c r="I154" s="33">
        <f>7.79 * CHOOSE(CONTROL!$C$32, $C$9, 100%, $E$9)</f>
        <v>7.79</v>
      </c>
      <c r="J154" s="33">
        <f>7.7847 * CHOOSE(CONTROL!$C$32, $C$9, 100%, $E$9)</f>
        <v>7.7847</v>
      </c>
      <c r="K154" s="33">
        <f>7.79 * CHOOSE(CONTROL!$C$32, $C$9, 100%, $E$9)</f>
        <v>7.79</v>
      </c>
      <c r="L154" s="33">
        <f>4.78 * CHOOSE(CONTROL!$C$32, $C$9, 100%, $E$9)</f>
        <v>4.78</v>
      </c>
      <c r="M154" s="33">
        <f>4.7853 * CHOOSE(CONTROL!$C$32, $C$9, 100%, $E$9)</f>
        <v>4.7853000000000003</v>
      </c>
      <c r="N154" s="33">
        <f>4.78 * CHOOSE(CONTROL!$C$32, $C$9, 100%, $E$9)</f>
        <v>4.78</v>
      </c>
      <c r="O154" s="33">
        <f>4.7853 * CHOOSE(CONTROL!$C$32, $C$9, 100%, $E$9)</f>
        <v>4.7853000000000003</v>
      </c>
      <c r="P154" s="10"/>
      <c r="Q154" s="10"/>
      <c r="R154" s="10"/>
    </row>
    <row r="155" spans="1:18" ht="15" x14ac:dyDescent="0.2">
      <c r="A155" s="16">
        <v>45931</v>
      </c>
      <c r="B155" s="32">
        <f>3.7519 * CHOOSE(CONTROL!$C$32, $C$9, 100%, $E$9)</f>
        <v>3.7519</v>
      </c>
      <c r="C155" s="32">
        <f>3.7519 * CHOOSE(CONTROL!$C$32, $C$9, 100%, $E$9)</f>
        <v>3.7519</v>
      </c>
      <c r="D155" s="32">
        <f>3.753 * CHOOSE(CONTROL!$C$32, $C$9, 100%, $E$9)</f>
        <v>3.7530000000000001</v>
      </c>
      <c r="E155" s="33">
        <f>4.7743 * CHOOSE(CONTROL!$C$32, $C$9, 100%, $E$9)</f>
        <v>4.7743000000000002</v>
      </c>
      <c r="F155" s="33">
        <f>4.7743 * CHOOSE(CONTROL!$C$32, $C$9, 100%, $E$9)</f>
        <v>4.7743000000000002</v>
      </c>
      <c r="G155" s="33">
        <f>4.7779 * CHOOSE(CONTROL!$C$32, $C$9, 100%, $E$9)</f>
        <v>4.7778999999999998</v>
      </c>
      <c r="H155" s="33">
        <f>7.8009 * CHOOSE(CONTROL!$C$32, $C$9, 100%, $E$9)</f>
        <v>7.8009000000000004</v>
      </c>
      <c r="I155" s="33">
        <f>7.8046 * CHOOSE(CONTROL!$C$32, $C$9, 100%, $E$9)</f>
        <v>7.8045999999999998</v>
      </c>
      <c r="J155" s="33">
        <f>7.8009 * CHOOSE(CONTROL!$C$32, $C$9, 100%, $E$9)</f>
        <v>7.8009000000000004</v>
      </c>
      <c r="K155" s="33">
        <f>7.8046 * CHOOSE(CONTROL!$C$32, $C$9, 100%, $E$9)</f>
        <v>7.8045999999999998</v>
      </c>
      <c r="L155" s="33">
        <f>4.7743 * CHOOSE(CONTROL!$C$32, $C$9, 100%, $E$9)</f>
        <v>4.7743000000000002</v>
      </c>
      <c r="M155" s="33">
        <f>4.7779 * CHOOSE(CONTROL!$C$32, $C$9, 100%, $E$9)</f>
        <v>4.7778999999999998</v>
      </c>
      <c r="N155" s="33">
        <f>4.7743 * CHOOSE(CONTROL!$C$32, $C$9, 100%, $E$9)</f>
        <v>4.7743000000000002</v>
      </c>
      <c r="O155" s="33">
        <f>4.7779 * CHOOSE(CONTROL!$C$32, $C$9, 100%, $E$9)</f>
        <v>4.7778999999999998</v>
      </c>
      <c r="P155" s="10"/>
      <c r="Q155" s="10"/>
      <c r="R155" s="10"/>
    </row>
    <row r="156" spans="1:18" ht="15" x14ac:dyDescent="0.2">
      <c r="A156" s="16">
        <v>45962</v>
      </c>
      <c r="B156" s="32">
        <f>3.755 * CHOOSE(CONTROL!$C$32, $C$9, 100%, $E$9)</f>
        <v>3.7549999999999999</v>
      </c>
      <c r="C156" s="32">
        <f>3.755 * CHOOSE(CONTROL!$C$32, $C$9, 100%, $E$9)</f>
        <v>3.7549999999999999</v>
      </c>
      <c r="D156" s="32">
        <f>3.7561 * CHOOSE(CONTROL!$C$32, $C$9, 100%, $E$9)</f>
        <v>3.7561</v>
      </c>
      <c r="E156" s="33">
        <f>4.7763 * CHOOSE(CONTROL!$C$32, $C$9, 100%, $E$9)</f>
        <v>4.7763</v>
      </c>
      <c r="F156" s="33">
        <f>4.7763 * CHOOSE(CONTROL!$C$32, $C$9, 100%, $E$9)</f>
        <v>4.7763</v>
      </c>
      <c r="G156" s="33">
        <f>4.7799 * CHOOSE(CONTROL!$C$32, $C$9, 100%, $E$9)</f>
        <v>4.7798999999999996</v>
      </c>
      <c r="H156" s="33">
        <f>7.8172 * CHOOSE(CONTROL!$C$32, $C$9, 100%, $E$9)</f>
        <v>7.8171999999999997</v>
      </c>
      <c r="I156" s="33">
        <f>7.8208 * CHOOSE(CONTROL!$C$32, $C$9, 100%, $E$9)</f>
        <v>7.8208000000000002</v>
      </c>
      <c r="J156" s="33">
        <f>7.8172 * CHOOSE(CONTROL!$C$32, $C$9, 100%, $E$9)</f>
        <v>7.8171999999999997</v>
      </c>
      <c r="K156" s="33">
        <f>7.8208 * CHOOSE(CONTROL!$C$32, $C$9, 100%, $E$9)</f>
        <v>7.8208000000000002</v>
      </c>
      <c r="L156" s="33">
        <f>4.7763 * CHOOSE(CONTROL!$C$32, $C$9, 100%, $E$9)</f>
        <v>4.7763</v>
      </c>
      <c r="M156" s="33">
        <f>4.7799 * CHOOSE(CONTROL!$C$32, $C$9, 100%, $E$9)</f>
        <v>4.7798999999999996</v>
      </c>
      <c r="N156" s="33">
        <f>4.7763 * CHOOSE(CONTROL!$C$32, $C$9, 100%, $E$9)</f>
        <v>4.7763</v>
      </c>
      <c r="O156" s="33">
        <f>4.7799 * CHOOSE(CONTROL!$C$32, $C$9, 100%, $E$9)</f>
        <v>4.7798999999999996</v>
      </c>
    </row>
    <row r="157" spans="1:18" ht="15" x14ac:dyDescent="0.2">
      <c r="A157" s="16">
        <v>45992</v>
      </c>
      <c r="B157" s="32">
        <f>3.755 * CHOOSE(CONTROL!$C$32, $C$9, 100%, $E$9)</f>
        <v>3.7549999999999999</v>
      </c>
      <c r="C157" s="32">
        <f>3.755 * CHOOSE(CONTROL!$C$32, $C$9, 100%, $E$9)</f>
        <v>3.7549999999999999</v>
      </c>
      <c r="D157" s="32">
        <f>3.7561 * CHOOSE(CONTROL!$C$32, $C$9, 100%, $E$9)</f>
        <v>3.7561</v>
      </c>
      <c r="E157" s="33">
        <f>4.7763 * CHOOSE(CONTROL!$C$32, $C$9, 100%, $E$9)</f>
        <v>4.7763</v>
      </c>
      <c r="F157" s="33">
        <f>4.7763 * CHOOSE(CONTROL!$C$32, $C$9, 100%, $E$9)</f>
        <v>4.7763</v>
      </c>
      <c r="G157" s="33">
        <f>4.7799 * CHOOSE(CONTROL!$C$32, $C$9, 100%, $E$9)</f>
        <v>4.7798999999999996</v>
      </c>
      <c r="H157" s="33">
        <f>7.8335 * CHOOSE(CONTROL!$C$32, $C$9, 100%, $E$9)</f>
        <v>7.8334999999999999</v>
      </c>
      <c r="I157" s="33">
        <f>7.8371 * CHOOSE(CONTROL!$C$32, $C$9, 100%, $E$9)</f>
        <v>7.8371000000000004</v>
      </c>
      <c r="J157" s="33">
        <f>7.8335 * CHOOSE(CONTROL!$C$32, $C$9, 100%, $E$9)</f>
        <v>7.8334999999999999</v>
      </c>
      <c r="K157" s="33">
        <f>7.8371 * CHOOSE(CONTROL!$C$32, $C$9, 100%, $E$9)</f>
        <v>7.8371000000000004</v>
      </c>
      <c r="L157" s="33">
        <f>4.7763 * CHOOSE(CONTROL!$C$32, $C$9, 100%, $E$9)</f>
        <v>4.7763</v>
      </c>
      <c r="M157" s="33">
        <f>4.7799 * CHOOSE(CONTROL!$C$32, $C$9, 100%, $E$9)</f>
        <v>4.7798999999999996</v>
      </c>
      <c r="N157" s="33">
        <f>4.7763 * CHOOSE(CONTROL!$C$32, $C$9, 100%, $E$9)</f>
        <v>4.7763</v>
      </c>
      <c r="O157" s="33">
        <f>4.7799 * CHOOSE(CONTROL!$C$32, $C$9, 100%, $E$9)</f>
        <v>4.7798999999999996</v>
      </c>
    </row>
    <row r="158" spans="1:18" ht="15" x14ac:dyDescent="0.2">
      <c r="A158" s="16">
        <v>46023</v>
      </c>
      <c r="B158" s="32">
        <f>3.7892 * CHOOSE(CONTROL!$C$32, $C$9, 100%, $E$9)</f>
        <v>3.7892000000000001</v>
      </c>
      <c r="C158" s="32">
        <f>3.7892 * CHOOSE(CONTROL!$C$32, $C$9, 100%, $E$9)</f>
        <v>3.7892000000000001</v>
      </c>
      <c r="D158" s="32">
        <f>3.7902 * CHOOSE(CONTROL!$C$32, $C$9, 100%, $E$9)</f>
        <v>3.7902</v>
      </c>
      <c r="E158" s="33">
        <f>4.8185 * CHOOSE(CONTROL!$C$32, $C$9, 100%, $E$9)</f>
        <v>4.8185000000000002</v>
      </c>
      <c r="F158" s="33">
        <f>4.8185 * CHOOSE(CONTROL!$C$32, $C$9, 100%, $E$9)</f>
        <v>4.8185000000000002</v>
      </c>
      <c r="G158" s="33">
        <f>4.8221 * CHOOSE(CONTROL!$C$32, $C$9, 100%, $E$9)</f>
        <v>4.8220999999999998</v>
      </c>
      <c r="H158" s="33">
        <f>7.8498 * CHOOSE(CONTROL!$C$32, $C$9, 100%, $E$9)</f>
        <v>7.8498000000000001</v>
      </c>
      <c r="I158" s="33">
        <f>7.8534 * CHOOSE(CONTROL!$C$32, $C$9, 100%, $E$9)</f>
        <v>7.8533999999999997</v>
      </c>
      <c r="J158" s="33">
        <f>7.8498 * CHOOSE(CONTROL!$C$32, $C$9, 100%, $E$9)</f>
        <v>7.8498000000000001</v>
      </c>
      <c r="K158" s="33">
        <f>7.8534 * CHOOSE(CONTROL!$C$32, $C$9, 100%, $E$9)</f>
        <v>7.8533999999999997</v>
      </c>
      <c r="L158" s="33">
        <f>4.8185 * CHOOSE(CONTROL!$C$32, $C$9, 100%, $E$9)</f>
        <v>4.8185000000000002</v>
      </c>
      <c r="M158" s="33">
        <f>4.8221 * CHOOSE(CONTROL!$C$32, $C$9, 100%, $E$9)</f>
        <v>4.8220999999999998</v>
      </c>
      <c r="N158" s="33">
        <f>4.8185 * CHOOSE(CONTROL!$C$32, $C$9, 100%, $E$9)</f>
        <v>4.8185000000000002</v>
      </c>
      <c r="O158" s="33">
        <f>4.8221 * CHOOSE(CONTROL!$C$32, $C$9, 100%, $E$9)</f>
        <v>4.8220999999999998</v>
      </c>
    </row>
    <row r="159" spans="1:18" ht="15" x14ac:dyDescent="0.2">
      <c r="A159" s="16">
        <v>46054</v>
      </c>
      <c r="B159" s="32">
        <f>3.7861 * CHOOSE(CONTROL!$C$32, $C$9, 100%, $E$9)</f>
        <v>3.7860999999999998</v>
      </c>
      <c r="C159" s="32">
        <f>3.7861 * CHOOSE(CONTROL!$C$32, $C$9, 100%, $E$9)</f>
        <v>3.7860999999999998</v>
      </c>
      <c r="D159" s="32">
        <f>3.7872 * CHOOSE(CONTROL!$C$32, $C$9, 100%, $E$9)</f>
        <v>3.7871999999999999</v>
      </c>
      <c r="E159" s="33">
        <f>4.8165 * CHOOSE(CONTROL!$C$32, $C$9, 100%, $E$9)</f>
        <v>4.8164999999999996</v>
      </c>
      <c r="F159" s="33">
        <f>4.8165 * CHOOSE(CONTROL!$C$32, $C$9, 100%, $E$9)</f>
        <v>4.8164999999999996</v>
      </c>
      <c r="G159" s="33">
        <f>4.8201 * CHOOSE(CONTROL!$C$32, $C$9, 100%, $E$9)</f>
        <v>4.8201000000000001</v>
      </c>
      <c r="H159" s="33">
        <f>7.8662 * CHOOSE(CONTROL!$C$32, $C$9, 100%, $E$9)</f>
        <v>7.8662000000000001</v>
      </c>
      <c r="I159" s="33">
        <f>7.8698 * CHOOSE(CONTROL!$C$32, $C$9, 100%, $E$9)</f>
        <v>7.8697999999999997</v>
      </c>
      <c r="J159" s="33">
        <f>7.8662 * CHOOSE(CONTROL!$C$32, $C$9, 100%, $E$9)</f>
        <v>7.8662000000000001</v>
      </c>
      <c r="K159" s="33">
        <f>7.8698 * CHOOSE(CONTROL!$C$32, $C$9, 100%, $E$9)</f>
        <v>7.8697999999999997</v>
      </c>
      <c r="L159" s="33">
        <f>4.8165 * CHOOSE(CONTROL!$C$32, $C$9, 100%, $E$9)</f>
        <v>4.8164999999999996</v>
      </c>
      <c r="M159" s="33">
        <f>4.8201 * CHOOSE(CONTROL!$C$32, $C$9, 100%, $E$9)</f>
        <v>4.8201000000000001</v>
      </c>
      <c r="N159" s="33">
        <f>4.8165 * CHOOSE(CONTROL!$C$32, $C$9, 100%, $E$9)</f>
        <v>4.8164999999999996</v>
      </c>
      <c r="O159" s="33">
        <f>4.8201 * CHOOSE(CONTROL!$C$32, $C$9, 100%, $E$9)</f>
        <v>4.8201000000000001</v>
      </c>
    </row>
    <row r="160" spans="1:18" ht="15" x14ac:dyDescent="0.2">
      <c r="A160" s="16">
        <v>46082</v>
      </c>
      <c r="B160" s="32">
        <f>3.7831 * CHOOSE(CONTROL!$C$32, $C$9, 100%, $E$9)</f>
        <v>3.7831000000000001</v>
      </c>
      <c r="C160" s="32">
        <f>3.7831 * CHOOSE(CONTROL!$C$32, $C$9, 100%, $E$9)</f>
        <v>3.7831000000000001</v>
      </c>
      <c r="D160" s="32">
        <f>3.7842 * CHOOSE(CONTROL!$C$32, $C$9, 100%, $E$9)</f>
        <v>3.7841999999999998</v>
      </c>
      <c r="E160" s="33">
        <f>4.8145 * CHOOSE(CONTROL!$C$32, $C$9, 100%, $E$9)</f>
        <v>4.8144999999999998</v>
      </c>
      <c r="F160" s="33">
        <f>4.8145 * CHOOSE(CONTROL!$C$32, $C$9, 100%, $E$9)</f>
        <v>4.8144999999999998</v>
      </c>
      <c r="G160" s="33">
        <f>4.8181 * CHOOSE(CONTROL!$C$32, $C$9, 100%, $E$9)</f>
        <v>4.8181000000000003</v>
      </c>
      <c r="H160" s="33">
        <f>7.8825 * CHOOSE(CONTROL!$C$32, $C$9, 100%, $E$9)</f>
        <v>7.8825000000000003</v>
      </c>
      <c r="I160" s="33">
        <f>7.8862 * CHOOSE(CONTROL!$C$32, $C$9, 100%, $E$9)</f>
        <v>7.8861999999999997</v>
      </c>
      <c r="J160" s="33">
        <f>7.8825 * CHOOSE(CONTROL!$C$32, $C$9, 100%, $E$9)</f>
        <v>7.8825000000000003</v>
      </c>
      <c r="K160" s="33">
        <f>7.8862 * CHOOSE(CONTROL!$C$32, $C$9, 100%, $E$9)</f>
        <v>7.8861999999999997</v>
      </c>
      <c r="L160" s="33">
        <f>4.8145 * CHOOSE(CONTROL!$C$32, $C$9, 100%, $E$9)</f>
        <v>4.8144999999999998</v>
      </c>
      <c r="M160" s="33">
        <f>4.8181 * CHOOSE(CONTROL!$C$32, $C$9, 100%, $E$9)</f>
        <v>4.8181000000000003</v>
      </c>
      <c r="N160" s="33">
        <f>4.8145 * CHOOSE(CONTROL!$C$32, $C$9, 100%, $E$9)</f>
        <v>4.8144999999999998</v>
      </c>
      <c r="O160" s="33">
        <f>4.8181 * CHOOSE(CONTROL!$C$32, $C$9, 100%, $E$9)</f>
        <v>4.8181000000000003</v>
      </c>
    </row>
    <row r="161" spans="1:15" ht="15" x14ac:dyDescent="0.2">
      <c r="A161" s="16">
        <v>46113</v>
      </c>
      <c r="B161" s="32">
        <f>3.7805 * CHOOSE(CONTROL!$C$32, $C$9, 100%, $E$9)</f>
        <v>3.7805</v>
      </c>
      <c r="C161" s="32">
        <f>3.7805 * CHOOSE(CONTROL!$C$32, $C$9, 100%, $E$9)</f>
        <v>3.7805</v>
      </c>
      <c r="D161" s="32">
        <f>3.7816 * CHOOSE(CONTROL!$C$32, $C$9, 100%, $E$9)</f>
        <v>3.7816000000000001</v>
      </c>
      <c r="E161" s="33">
        <f>4.8123 * CHOOSE(CONTROL!$C$32, $C$9, 100%, $E$9)</f>
        <v>4.8122999999999996</v>
      </c>
      <c r="F161" s="33">
        <f>4.8123 * CHOOSE(CONTROL!$C$32, $C$9, 100%, $E$9)</f>
        <v>4.8122999999999996</v>
      </c>
      <c r="G161" s="33">
        <f>4.816 * CHOOSE(CONTROL!$C$32, $C$9, 100%, $E$9)</f>
        <v>4.8159999999999998</v>
      </c>
      <c r="H161" s="33">
        <f>7.899 * CHOOSE(CONTROL!$C$32, $C$9, 100%, $E$9)</f>
        <v>7.899</v>
      </c>
      <c r="I161" s="33">
        <f>7.9026 * CHOOSE(CONTROL!$C$32, $C$9, 100%, $E$9)</f>
        <v>7.9025999999999996</v>
      </c>
      <c r="J161" s="33">
        <f>7.899 * CHOOSE(CONTROL!$C$32, $C$9, 100%, $E$9)</f>
        <v>7.899</v>
      </c>
      <c r="K161" s="33">
        <f>7.9026 * CHOOSE(CONTROL!$C$32, $C$9, 100%, $E$9)</f>
        <v>7.9025999999999996</v>
      </c>
      <c r="L161" s="33">
        <f>4.8123 * CHOOSE(CONTROL!$C$32, $C$9, 100%, $E$9)</f>
        <v>4.8122999999999996</v>
      </c>
      <c r="M161" s="33">
        <f>4.816 * CHOOSE(CONTROL!$C$32, $C$9, 100%, $E$9)</f>
        <v>4.8159999999999998</v>
      </c>
      <c r="N161" s="33">
        <f>4.8123 * CHOOSE(CONTROL!$C$32, $C$9, 100%, $E$9)</f>
        <v>4.8122999999999996</v>
      </c>
      <c r="O161" s="33">
        <f>4.816 * CHOOSE(CONTROL!$C$32, $C$9, 100%, $E$9)</f>
        <v>4.8159999999999998</v>
      </c>
    </row>
    <row r="162" spans="1:15" ht="15" x14ac:dyDescent="0.2">
      <c r="A162" s="16">
        <v>46143</v>
      </c>
      <c r="B162" s="32">
        <f>3.7805 * CHOOSE(CONTROL!$C$32, $C$9, 100%, $E$9)</f>
        <v>3.7805</v>
      </c>
      <c r="C162" s="32">
        <f>3.7805 * CHOOSE(CONTROL!$C$32, $C$9, 100%, $E$9)</f>
        <v>3.7805</v>
      </c>
      <c r="D162" s="32">
        <f>3.7821 * CHOOSE(CONTROL!$C$32, $C$9, 100%, $E$9)</f>
        <v>3.7820999999999998</v>
      </c>
      <c r="E162" s="33">
        <f>4.8123 * CHOOSE(CONTROL!$C$32, $C$9, 100%, $E$9)</f>
        <v>4.8122999999999996</v>
      </c>
      <c r="F162" s="33">
        <f>4.8123 * CHOOSE(CONTROL!$C$32, $C$9, 100%, $E$9)</f>
        <v>4.8122999999999996</v>
      </c>
      <c r="G162" s="33">
        <f>4.8176 * CHOOSE(CONTROL!$C$32, $C$9, 100%, $E$9)</f>
        <v>4.8175999999999997</v>
      </c>
      <c r="H162" s="33">
        <f>7.9154 * CHOOSE(CONTROL!$C$32, $C$9, 100%, $E$9)</f>
        <v>7.9154</v>
      </c>
      <c r="I162" s="33">
        <f>7.9207 * CHOOSE(CONTROL!$C$32, $C$9, 100%, $E$9)</f>
        <v>7.9207000000000001</v>
      </c>
      <c r="J162" s="33">
        <f>7.9154 * CHOOSE(CONTROL!$C$32, $C$9, 100%, $E$9)</f>
        <v>7.9154</v>
      </c>
      <c r="K162" s="33">
        <f>7.9207 * CHOOSE(CONTROL!$C$32, $C$9, 100%, $E$9)</f>
        <v>7.9207000000000001</v>
      </c>
      <c r="L162" s="33">
        <f>4.8123 * CHOOSE(CONTROL!$C$32, $C$9, 100%, $E$9)</f>
        <v>4.8122999999999996</v>
      </c>
      <c r="M162" s="33">
        <f>4.8176 * CHOOSE(CONTROL!$C$32, $C$9, 100%, $E$9)</f>
        <v>4.8175999999999997</v>
      </c>
      <c r="N162" s="33">
        <f>4.8123 * CHOOSE(CONTROL!$C$32, $C$9, 100%, $E$9)</f>
        <v>4.8122999999999996</v>
      </c>
      <c r="O162" s="33">
        <f>4.8176 * CHOOSE(CONTROL!$C$32, $C$9, 100%, $E$9)</f>
        <v>4.8175999999999997</v>
      </c>
    </row>
    <row r="163" spans="1:15" ht="15" x14ac:dyDescent="0.2">
      <c r="A163" s="16">
        <v>46174</v>
      </c>
      <c r="B163" s="32">
        <f>3.7866 * CHOOSE(CONTROL!$C$32, $C$9, 100%, $E$9)</f>
        <v>3.7866</v>
      </c>
      <c r="C163" s="32">
        <f>3.7866 * CHOOSE(CONTROL!$C$32, $C$9, 100%, $E$9)</f>
        <v>3.7866</v>
      </c>
      <c r="D163" s="32">
        <f>3.7882 * CHOOSE(CONTROL!$C$32, $C$9, 100%, $E$9)</f>
        <v>3.7881999999999998</v>
      </c>
      <c r="E163" s="33">
        <f>4.8163 * CHOOSE(CONTROL!$C$32, $C$9, 100%, $E$9)</f>
        <v>4.8163</v>
      </c>
      <c r="F163" s="33">
        <f>4.8163 * CHOOSE(CONTROL!$C$32, $C$9, 100%, $E$9)</f>
        <v>4.8163</v>
      </c>
      <c r="G163" s="33">
        <f>4.8216 * CHOOSE(CONTROL!$C$32, $C$9, 100%, $E$9)</f>
        <v>4.8216000000000001</v>
      </c>
      <c r="H163" s="33">
        <f>7.9319 * CHOOSE(CONTROL!$C$32, $C$9, 100%, $E$9)</f>
        <v>7.9318999999999997</v>
      </c>
      <c r="I163" s="33">
        <f>7.9372 * CHOOSE(CONTROL!$C$32, $C$9, 100%, $E$9)</f>
        <v>7.9371999999999998</v>
      </c>
      <c r="J163" s="33">
        <f>7.9319 * CHOOSE(CONTROL!$C$32, $C$9, 100%, $E$9)</f>
        <v>7.9318999999999997</v>
      </c>
      <c r="K163" s="33">
        <f>7.9372 * CHOOSE(CONTROL!$C$32, $C$9, 100%, $E$9)</f>
        <v>7.9371999999999998</v>
      </c>
      <c r="L163" s="33">
        <f>4.8163 * CHOOSE(CONTROL!$C$32, $C$9, 100%, $E$9)</f>
        <v>4.8163</v>
      </c>
      <c r="M163" s="33">
        <f>4.8216 * CHOOSE(CONTROL!$C$32, $C$9, 100%, $E$9)</f>
        <v>4.8216000000000001</v>
      </c>
      <c r="N163" s="33">
        <f>4.8163 * CHOOSE(CONTROL!$C$32, $C$9, 100%, $E$9)</f>
        <v>4.8163</v>
      </c>
      <c r="O163" s="33">
        <f>4.8216 * CHOOSE(CONTROL!$C$32, $C$9, 100%, $E$9)</f>
        <v>4.8216000000000001</v>
      </c>
    </row>
    <row r="164" spans="1:15" ht="15" x14ac:dyDescent="0.2">
      <c r="A164" s="16">
        <v>46204</v>
      </c>
      <c r="B164" s="32">
        <f>3.8506 * CHOOSE(CONTROL!$C$32, $C$9, 100%, $E$9)</f>
        <v>3.8506</v>
      </c>
      <c r="C164" s="32">
        <f>3.8506 * CHOOSE(CONTROL!$C$32, $C$9, 100%, $E$9)</f>
        <v>3.8506</v>
      </c>
      <c r="D164" s="32">
        <f>3.8522 * CHOOSE(CONTROL!$C$32, $C$9, 100%, $E$9)</f>
        <v>3.8521999999999998</v>
      </c>
      <c r="E164" s="33">
        <f>4.9098 * CHOOSE(CONTROL!$C$32, $C$9, 100%, $E$9)</f>
        <v>4.9097999999999997</v>
      </c>
      <c r="F164" s="33">
        <f>4.9098 * CHOOSE(CONTROL!$C$32, $C$9, 100%, $E$9)</f>
        <v>4.9097999999999997</v>
      </c>
      <c r="G164" s="33">
        <f>4.9151 * CHOOSE(CONTROL!$C$32, $C$9, 100%, $E$9)</f>
        <v>4.9150999999999998</v>
      </c>
      <c r="H164" s="33">
        <f>7.9484 * CHOOSE(CONTROL!$C$32, $C$9, 100%, $E$9)</f>
        <v>7.9484000000000004</v>
      </c>
      <c r="I164" s="33">
        <f>7.9537 * CHOOSE(CONTROL!$C$32, $C$9, 100%, $E$9)</f>
        <v>7.9537000000000004</v>
      </c>
      <c r="J164" s="33">
        <f>7.9484 * CHOOSE(CONTROL!$C$32, $C$9, 100%, $E$9)</f>
        <v>7.9484000000000004</v>
      </c>
      <c r="K164" s="33">
        <f>7.9537 * CHOOSE(CONTROL!$C$32, $C$9, 100%, $E$9)</f>
        <v>7.9537000000000004</v>
      </c>
      <c r="L164" s="33">
        <f>4.9098 * CHOOSE(CONTROL!$C$32, $C$9, 100%, $E$9)</f>
        <v>4.9097999999999997</v>
      </c>
      <c r="M164" s="33">
        <f>4.9151 * CHOOSE(CONTROL!$C$32, $C$9, 100%, $E$9)</f>
        <v>4.9150999999999998</v>
      </c>
      <c r="N164" s="33">
        <f>4.9098 * CHOOSE(CONTROL!$C$32, $C$9, 100%, $E$9)</f>
        <v>4.9097999999999997</v>
      </c>
      <c r="O164" s="33">
        <f>4.9151 * CHOOSE(CONTROL!$C$32, $C$9, 100%, $E$9)</f>
        <v>4.9150999999999998</v>
      </c>
    </row>
    <row r="165" spans="1:15" ht="15" x14ac:dyDescent="0.2">
      <c r="A165" s="16">
        <v>46235</v>
      </c>
      <c r="B165" s="32">
        <f>3.8573 * CHOOSE(CONTROL!$C$32, $C$9, 100%, $E$9)</f>
        <v>3.8573</v>
      </c>
      <c r="C165" s="32">
        <f>3.8573 * CHOOSE(CONTROL!$C$32, $C$9, 100%, $E$9)</f>
        <v>3.8573</v>
      </c>
      <c r="D165" s="32">
        <f>3.8589 * CHOOSE(CONTROL!$C$32, $C$9, 100%, $E$9)</f>
        <v>3.8589000000000002</v>
      </c>
      <c r="E165" s="33">
        <f>4.9142 * CHOOSE(CONTROL!$C$32, $C$9, 100%, $E$9)</f>
        <v>4.9142000000000001</v>
      </c>
      <c r="F165" s="33">
        <f>4.9142 * CHOOSE(CONTROL!$C$32, $C$9, 100%, $E$9)</f>
        <v>4.9142000000000001</v>
      </c>
      <c r="G165" s="33">
        <f>4.9195 * CHOOSE(CONTROL!$C$32, $C$9, 100%, $E$9)</f>
        <v>4.9195000000000002</v>
      </c>
      <c r="H165" s="33">
        <f>7.965 * CHOOSE(CONTROL!$C$32, $C$9, 100%, $E$9)</f>
        <v>7.9649999999999999</v>
      </c>
      <c r="I165" s="33">
        <f>7.9703 * CHOOSE(CONTROL!$C$32, $C$9, 100%, $E$9)</f>
        <v>7.9702999999999999</v>
      </c>
      <c r="J165" s="33">
        <f>7.965 * CHOOSE(CONTROL!$C$32, $C$9, 100%, $E$9)</f>
        <v>7.9649999999999999</v>
      </c>
      <c r="K165" s="33">
        <f>7.9703 * CHOOSE(CONTROL!$C$32, $C$9, 100%, $E$9)</f>
        <v>7.9702999999999999</v>
      </c>
      <c r="L165" s="33">
        <f>4.9142 * CHOOSE(CONTROL!$C$32, $C$9, 100%, $E$9)</f>
        <v>4.9142000000000001</v>
      </c>
      <c r="M165" s="33">
        <f>4.9195 * CHOOSE(CONTROL!$C$32, $C$9, 100%, $E$9)</f>
        <v>4.9195000000000002</v>
      </c>
      <c r="N165" s="33">
        <f>4.9142 * CHOOSE(CONTROL!$C$32, $C$9, 100%, $E$9)</f>
        <v>4.9142000000000001</v>
      </c>
      <c r="O165" s="33">
        <f>4.9195 * CHOOSE(CONTROL!$C$32, $C$9, 100%, $E$9)</f>
        <v>4.9195000000000002</v>
      </c>
    </row>
    <row r="166" spans="1:15" ht="15" x14ac:dyDescent="0.2">
      <c r="A166" s="16">
        <v>46266</v>
      </c>
      <c r="B166" s="32">
        <f>3.8543 * CHOOSE(CONTROL!$C$32, $C$9, 100%, $E$9)</f>
        <v>3.8542999999999998</v>
      </c>
      <c r="C166" s="32">
        <f>3.8543 * CHOOSE(CONTROL!$C$32, $C$9, 100%, $E$9)</f>
        <v>3.8542999999999998</v>
      </c>
      <c r="D166" s="32">
        <f>3.8558 * CHOOSE(CONTROL!$C$32, $C$9, 100%, $E$9)</f>
        <v>3.8557999999999999</v>
      </c>
      <c r="E166" s="33">
        <f>4.9122 * CHOOSE(CONTROL!$C$32, $C$9, 100%, $E$9)</f>
        <v>4.9122000000000003</v>
      </c>
      <c r="F166" s="33">
        <f>4.9122 * CHOOSE(CONTROL!$C$32, $C$9, 100%, $E$9)</f>
        <v>4.9122000000000003</v>
      </c>
      <c r="G166" s="33">
        <f>4.9175 * CHOOSE(CONTROL!$C$32, $C$9, 100%, $E$9)</f>
        <v>4.9175000000000004</v>
      </c>
      <c r="H166" s="33">
        <f>7.9816 * CHOOSE(CONTROL!$C$32, $C$9, 100%, $E$9)</f>
        <v>7.9816000000000003</v>
      </c>
      <c r="I166" s="33">
        <f>7.9869 * CHOOSE(CONTROL!$C$32, $C$9, 100%, $E$9)</f>
        <v>7.9869000000000003</v>
      </c>
      <c r="J166" s="33">
        <f>7.9816 * CHOOSE(CONTROL!$C$32, $C$9, 100%, $E$9)</f>
        <v>7.9816000000000003</v>
      </c>
      <c r="K166" s="33">
        <f>7.9869 * CHOOSE(CONTROL!$C$32, $C$9, 100%, $E$9)</f>
        <v>7.9869000000000003</v>
      </c>
      <c r="L166" s="33">
        <f>4.9122 * CHOOSE(CONTROL!$C$32, $C$9, 100%, $E$9)</f>
        <v>4.9122000000000003</v>
      </c>
      <c r="M166" s="33">
        <f>4.9175 * CHOOSE(CONTROL!$C$32, $C$9, 100%, $E$9)</f>
        <v>4.9175000000000004</v>
      </c>
      <c r="N166" s="33">
        <f>4.9122 * CHOOSE(CONTROL!$C$32, $C$9, 100%, $E$9)</f>
        <v>4.9122000000000003</v>
      </c>
      <c r="O166" s="33">
        <f>4.9175 * CHOOSE(CONTROL!$C$32, $C$9, 100%, $E$9)</f>
        <v>4.9175000000000004</v>
      </c>
    </row>
    <row r="167" spans="1:15" ht="15" x14ac:dyDescent="0.2">
      <c r="A167" s="16">
        <v>46296</v>
      </c>
      <c r="B167" s="32">
        <f>3.8489 * CHOOSE(CONTROL!$C$32, $C$9, 100%, $E$9)</f>
        <v>3.8489</v>
      </c>
      <c r="C167" s="32">
        <f>3.8489 * CHOOSE(CONTROL!$C$32, $C$9, 100%, $E$9)</f>
        <v>3.8489</v>
      </c>
      <c r="D167" s="32">
        <f>3.8499 * CHOOSE(CONTROL!$C$32, $C$9, 100%, $E$9)</f>
        <v>3.8498999999999999</v>
      </c>
      <c r="E167" s="33">
        <f>4.9067 * CHOOSE(CONTROL!$C$32, $C$9, 100%, $E$9)</f>
        <v>4.9066999999999998</v>
      </c>
      <c r="F167" s="33">
        <f>4.9067 * CHOOSE(CONTROL!$C$32, $C$9, 100%, $E$9)</f>
        <v>4.9066999999999998</v>
      </c>
      <c r="G167" s="33">
        <f>4.9103 * CHOOSE(CONTROL!$C$32, $C$9, 100%, $E$9)</f>
        <v>4.9103000000000003</v>
      </c>
      <c r="H167" s="33">
        <f>7.9982 * CHOOSE(CONTROL!$C$32, $C$9, 100%, $E$9)</f>
        <v>7.9981999999999998</v>
      </c>
      <c r="I167" s="33">
        <f>8.0018 * CHOOSE(CONTROL!$C$32, $C$9, 100%, $E$9)</f>
        <v>8.0017999999999994</v>
      </c>
      <c r="J167" s="33">
        <f>7.9982 * CHOOSE(CONTROL!$C$32, $C$9, 100%, $E$9)</f>
        <v>7.9981999999999998</v>
      </c>
      <c r="K167" s="33">
        <f>8.0018 * CHOOSE(CONTROL!$C$32, $C$9, 100%, $E$9)</f>
        <v>8.0017999999999994</v>
      </c>
      <c r="L167" s="33">
        <f>4.9067 * CHOOSE(CONTROL!$C$32, $C$9, 100%, $E$9)</f>
        <v>4.9066999999999998</v>
      </c>
      <c r="M167" s="33">
        <f>4.9103 * CHOOSE(CONTROL!$C$32, $C$9, 100%, $E$9)</f>
        <v>4.9103000000000003</v>
      </c>
      <c r="N167" s="33">
        <f>4.9067 * CHOOSE(CONTROL!$C$32, $C$9, 100%, $E$9)</f>
        <v>4.9066999999999998</v>
      </c>
      <c r="O167" s="33">
        <f>4.9103 * CHOOSE(CONTROL!$C$32, $C$9, 100%, $E$9)</f>
        <v>4.9103000000000003</v>
      </c>
    </row>
    <row r="168" spans="1:15" ht="15" x14ac:dyDescent="0.2">
      <c r="A168" s="16">
        <v>46327</v>
      </c>
      <c r="B168" s="32">
        <f>3.8519 * CHOOSE(CONTROL!$C$32, $C$9, 100%, $E$9)</f>
        <v>3.8519000000000001</v>
      </c>
      <c r="C168" s="32">
        <f>3.8519 * CHOOSE(CONTROL!$C$32, $C$9, 100%, $E$9)</f>
        <v>3.8519000000000001</v>
      </c>
      <c r="D168" s="32">
        <f>3.853 * CHOOSE(CONTROL!$C$32, $C$9, 100%, $E$9)</f>
        <v>3.8530000000000002</v>
      </c>
      <c r="E168" s="33">
        <f>4.9087 * CHOOSE(CONTROL!$C$32, $C$9, 100%, $E$9)</f>
        <v>4.9086999999999996</v>
      </c>
      <c r="F168" s="33">
        <f>4.9087 * CHOOSE(CONTROL!$C$32, $C$9, 100%, $E$9)</f>
        <v>4.9086999999999996</v>
      </c>
      <c r="G168" s="33">
        <f>4.9123 * CHOOSE(CONTROL!$C$32, $C$9, 100%, $E$9)</f>
        <v>4.9123000000000001</v>
      </c>
      <c r="H168" s="33">
        <f>8.0149 * CHOOSE(CONTROL!$C$32, $C$9, 100%, $E$9)</f>
        <v>8.0149000000000008</v>
      </c>
      <c r="I168" s="33">
        <f>8.0185 * CHOOSE(CONTROL!$C$32, $C$9, 100%, $E$9)</f>
        <v>8.0184999999999995</v>
      </c>
      <c r="J168" s="33">
        <f>8.0149 * CHOOSE(CONTROL!$C$32, $C$9, 100%, $E$9)</f>
        <v>8.0149000000000008</v>
      </c>
      <c r="K168" s="33">
        <f>8.0185 * CHOOSE(CONTROL!$C$32, $C$9, 100%, $E$9)</f>
        <v>8.0184999999999995</v>
      </c>
      <c r="L168" s="33">
        <f>4.9087 * CHOOSE(CONTROL!$C$32, $C$9, 100%, $E$9)</f>
        <v>4.9086999999999996</v>
      </c>
      <c r="M168" s="33">
        <f>4.9123 * CHOOSE(CONTROL!$C$32, $C$9, 100%, $E$9)</f>
        <v>4.9123000000000001</v>
      </c>
      <c r="N168" s="33">
        <f>4.9087 * CHOOSE(CONTROL!$C$32, $C$9, 100%, $E$9)</f>
        <v>4.9086999999999996</v>
      </c>
      <c r="O168" s="33">
        <f>4.9123 * CHOOSE(CONTROL!$C$32, $C$9, 100%, $E$9)</f>
        <v>4.9123000000000001</v>
      </c>
    </row>
    <row r="169" spans="1:15" ht="15" x14ac:dyDescent="0.2">
      <c r="A169" s="16">
        <v>46357</v>
      </c>
      <c r="B169" s="32">
        <f>3.8519 * CHOOSE(CONTROL!$C$32, $C$9, 100%, $E$9)</f>
        <v>3.8519000000000001</v>
      </c>
      <c r="C169" s="32">
        <f>3.8519 * CHOOSE(CONTROL!$C$32, $C$9, 100%, $E$9)</f>
        <v>3.8519000000000001</v>
      </c>
      <c r="D169" s="32">
        <f>3.853 * CHOOSE(CONTROL!$C$32, $C$9, 100%, $E$9)</f>
        <v>3.8530000000000002</v>
      </c>
      <c r="E169" s="33">
        <f>4.9087 * CHOOSE(CONTROL!$C$32, $C$9, 100%, $E$9)</f>
        <v>4.9086999999999996</v>
      </c>
      <c r="F169" s="33">
        <f>4.9087 * CHOOSE(CONTROL!$C$32, $C$9, 100%, $E$9)</f>
        <v>4.9086999999999996</v>
      </c>
      <c r="G169" s="33">
        <f>4.9123 * CHOOSE(CONTROL!$C$32, $C$9, 100%, $E$9)</f>
        <v>4.9123000000000001</v>
      </c>
      <c r="H169" s="33">
        <f>8.0316 * CHOOSE(CONTROL!$C$32, $C$9, 100%, $E$9)</f>
        <v>8.0315999999999992</v>
      </c>
      <c r="I169" s="33">
        <f>8.0352 * CHOOSE(CONTROL!$C$32, $C$9, 100%, $E$9)</f>
        <v>8.0351999999999997</v>
      </c>
      <c r="J169" s="33">
        <f>8.0316 * CHOOSE(CONTROL!$C$32, $C$9, 100%, $E$9)</f>
        <v>8.0315999999999992</v>
      </c>
      <c r="K169" s="33">
        <f>8.0352 * CHOOSE(CONTROL!$C$32, $C$9, 100%, $E$9)</f>
        <v>8.0351999999999997</v>
      </c>
      <c r="L169" s="33">
        <f>4.9087 * CHOOSE(CONTROL!$C$32, $C$9, 100%, $E$9)</f>
        <v>4.9086999999999996</v>
      </c>
      <c r="M169" s="33">
        <f>4.9123 * CHOOSE(CONTROL!$C$32, $C$9, 100%, $E$9)</f>
        <v>4.9123000000000001</v>
      </c>
      <c r="N169" s="33">
        <f>4.9087 * CHOOSE(CONTROL!$C$32, $C$9, 100%, $E$9)</f>
        <v>4.9086999999999996</v>
      </c>
      <c r="O169" s="33">
        <f>4.9123 * CHOOSE(CONTROL!$C$32, $C$9, 100%, $E$9)</f>
        <v>4.9123000000000001</v>
      </c>
    </row>
    <row r="170" spans="1:15" ht="15" x14ac:dyDescent="0.2">
      <c r="A170" s="16">
        <v>46388</v>
      </c>
      <c r="B170" s="32">
        <f>3.8871 * CHOOSE(CONTROL!$C$32, $C$9, 100%, $E$9)</f>
        <v>3.8871000000000002</v>
      </c>
      <c r="C170" s="32">
        <f>3.8871 * CHOOSE(CONTROL!$C$32, $C$9, 100%, $E$9)</f>
        <v>3.8871000000000002</v>
      </c>
      <c r="D170" s="32">
        <f>3.8882 * CHOOSE(CONTROL!$C$32, $C$9, 100%, $E$9)</f>
        <v>3.8881999999999999</v>
      </c>
      <c r="E170" s="33">
        <f>4.9479 * CHOOSE(CONTROL!$C$32, $C$9, 100%, $E$9)</f>
        <v>4.9478999999999997</v>
      </c>
      <c r="F170" s="33">
        <f>4.9479 * CHOOSE(CONTROL!$C$32, $C$9, 100%, $E$9)</f>
        <v>4.9478999999999997</v>
      </c>
      <c r="G170" s="33">
        <f>4.9515 * CHOOSE(CONTROL!$C$32, $C$9, 100%, $E$9)</f>
        <v>4.9515000000000002</v>
      </c>
      <c r="H170" s="33">
        <f>8.0483 * CHOOSE(CONTROL!$C$32, $C$9, 100%, $E$9)</f>
        <v>8.0482999999999993</v>
      </c>
      <c r="I170" s="33">
        <f>8.0519 * CHOOSE(CONTROL!$C$32, $C$9, 100%, $E$9)</f>
        <v>8.0518999999999998</v>
      </c>
      <c r="J170" s="33">
        <f>8.0483 * CHOOSE(CONTROL!$C$32, $C$9, 100%, $E$9)</f>
        <v>8.0482999999999993</v>
      </c>
      <c r="K170" s="33">
        <f>8.0519 * CHOOSE(CONTROL!$C$32, $C$9, 100%, $E$9)</f>
        <v>8.0518999999999998</v>
      </c>
      <c r="L170" s="33">
        <f>4.9479 * CHOOSE(CONTROL!$C$32, $C$9, 100%, $E$9)</f>
        <v>4.9478999999999997</v>
      </c>
      <c r="M170" s="33">
        <f>4.9515 * CHOOSE(CONTROL!$C$32, $C$9, 100%, $E$9)</f>
        <v>4.9515000000000002</v>
      </c>
      <c r="N170" s="33">
        <f>4.9479 * CHOOSE(CONTROL!$C$32, $C$9, 100%, $E$9)</f>
        <v>4.9478999999999997</v>
      </c>
      <c r="O170" s="33">
        <f>4.9515 * CHOOSE(CONTROL!$C$32, $C$9, 100%, $E$9)</f>
        <v>4.9515000000000002</v>
      </c>
    </row>
    <row r="171" spans="1:15" ht="15" x14ac:dyDescent="0.2">
      <c r="A171" s="16">
        <v>46419</v>
      </c>
      <c r="B171" s="32">
        <f>3.884 * CHOOSE(CONTROL!$C$32, $C$9, 100%, $E$9)</f>
        <v>3.8839999999999999</v>
      </c>
      <c r="C171" s="32">
        <f>3.884 * CHOOSE(CONTROL!$C$32, $C$9, 100%, $E$9)</f>
        <v>3.8839999999999999</v>
      </c>
      <c r="D171" s="32">
        <f>3.8851 * CHOOSE(CONTROL!$C$32, $C$9, 100%, $E$9)</f>
        <v>3.8851</v>
      </c>
      <c r="E171" s="33">
        <f>4.9459 * CHOOSE(CONTROL!$C$32, $C$9, 100%, $E$9)</f>
        <v>4.9459</v>
      </c>
      <c r="F171" s="33">
        <f>4.9459 * CHOOSE(CONTROL!$C$32, $C$9, 100%, $E$9)</f>
        <v>4.9459</v>
      </c>
      <c r="G171" s="33">
        <f>4.9495 * CHOOSE(CONTROL!$C$32, $C$9, 100%, $E$9)</f>
        <v>4.9494999999999996</v>
      </c>
      <c r="H171" s="33">
        <f>8.0651 * CHOOSE(CONTROL!$C$32, $C$9, 100%, $E$9)</f>
        <v>8.0650999999999993</v>
      </c>
      <c r="I171" s="33">
        <f>8.0687 * CHOOSE(CONTROL!$C$32, $C$9, 100%, $E$9)</f>
        <v>8.0686999999999998</v>
      </c>
      <c r="J171" s="33">
        <f>8.0651 * CHOOSE(CONTROL!$C$32, $C$9, 100%, $E$9)</f>
        <v>8.0650999999999993</v>
      </c>
      <c r="K171" s="33">
        <f>8.0687 * CHOOSE(CONTROL!$C$32, $C$9, 100%, $E$9)</f>
        <v>8.0686999999999998</v>
      </c>
      <c r="L171" s="33">
        <f>4.9459 * CHOOSE(CONTROL!$C$32, $C$9, 100%, $E$9)</f>
        <v>4.9459</v>
      </c>
      <c r="M171" s="33">
        <f>4.9495 * CHOOSE(CONTROL!$C$32, $C$9, 100%, $E$9)</f>
        <v>4.9494999999999996</v>
      </c>
      <c r="N171" s="33">
        <f>4.9459 * CHOOSE(CONTROL!$C$32, $C$9, 100%, $E$9)</f>
        <v>4.9459</v>
      </c>
      <c r="O171" s="33">
        <f>4.9495 * CHOOSE(CONTROL!$C$32, $C$9, 100%, $E$9)</f>
        <v>4.9494999999999996</v>
      </c>
    </row>
    <row r="172" spans="1:15" ht="15" x14ac:dyDescent="0.2">
      <c r="A172" s="16">
        <v>46447</v>
      </c>
      <c r="B172" s="32">
        <f>3.881 * CHOOSE(CONTROL!$C$32, $C$9, 100%, $E$9)</f>
        <v>3.8809999999999998</v>
      </c>
      <c r="C172" s="32">
        <f>3.881 * CHOOSE(CONTROL!$C$32, $C$9, 100%, $E$9)</f>
        <v>3.8809999999999998</v>
      </c>
      <c r="D172" s="32">
        <f>3.8821 * CHOOSE(CONTROL!$C$32, $C$9, 100%, $E$9)</f>
        <v>3.8820999999999999</v>
      </c>
      <c r="E172" s="33">
        <f>4.9439 * CHOOSE(CONTROL!$C$32, $C$9, 100%, $E$9)</f>
        <v>4.9439000000000002</v>
      </c>
      <c r="F172" s="33">
        <f>4.9439 * CHOOSE(CONTROL!$C$32, $C$9, 100%, $E$9)</f>
        <v>4.9439000000000002</v>
      </c>
      <c r="G172" s="33">
        <f>4.9475 * CHOOSE(CONTROL!$C$32, $C$9, 100%, $E$9)</f>
        <v>4.9474999999999998</v>
      </c>
      <c r="H172" s="33">
        <f>8.0819 * CHOOSE(CONTROL!$C$32, $C$9, 100%, $E$9)</f>
        <v>8.0818999999999992</v>
      </c>
      <c r="I172" s="33">
        <f>8.0855 * CHOOSE(CONTROL!$C$32, $C$9, 100%, $E$9)</f>
        <v>8.0854999999999997</v>
      </c>
      <c r="J172" s="33">
        <f>8.0819 * CHOOSE(CONTROL!$C$32, $C$9, 100%, $E$9)</f>
        <v>8.0818999999999992</v>
      </c>
      <c r="K172" s="33">
        <f>8.0855 * CHOOSE(CONTROL!$C$32, $C$9, 100%, $E$9)</f>
        <v>8.0854999999999997</v>
      </c>
      <c r="L172" s="33">
        <f>4.9439 * CHOOSE(CONTROL!$C$32, $C$9, 100%, $E$9)</f>
        <v>4.9439000000000002</v>
      </c>
      <c r="M172" s="33">
        <f>4.9475 * CHOOSE(CONTROL!$C$32, $C$9, 100%, $E$9)</f>
        <v>4.9474999999999998</v>
      </c>
      <c r="N172" s="33">
        <f>4.9439 * CHOOSE(CONTROL!$C$32, $C$9, 100%, $E$9)</f>
        <v>4.9439000000000002</v>
      </c>
      <c r="O172" s="33">
        <f>4.9475 * CHOOSE(CONTROL!$C$32, $C$9, 100%, $E$9)</f>
        <v>4.9474999999999998</v>
      </c>
    </row>
    <row r="173" spans="1:15" ht="15" x14ac:dyDescent="0.2">
      <c r="A173" s="16">
        <v>46478</v>
      </c>
      <c r="B173" s="32">
        <f>3.8786 * CHOOSE(CONTROL!$C$32, $C$9, 100%, $E$9)</f>
        <v>3.8786</v>
      </c>
      <c r="C173" s="32">
        <f>3.8786 * CHOOSE(CONTROL!$C$32, $C$9, 100%, $E$9)</f>
        <v>3.8786</v>
      </c>
      <c r="D173" s="32">
        <f>3.8796 * CHOOSE(CONTROL!$C$32, $C$9, 100%, $E$9)</f>
        <v>3.8795999999999999</v>
      </c>
      <c r="E173" s="33">
        <f>4.9418 * CHOOSE(CONTROL!$C$32, $C$9, 100%, $E$9)</f>
        <v>4.9417999999999997</v>
      </c>
      <c r="F173" s="33">
        <f>4.9418 * CHOOSE(CONTROL!$C$32, $C$9, 100%, $E$9)</f>
        <v>4.9417999999999997</v>
      </c>
      <c r="G173" s="33">
        <f>4.9454 * CHOOSE(CONTROL!$C$32, $C$9, 100%, $E$9)</f>
        <v>4.9454000000000002</v>
      </c>
      <c r="H173" s="33">
        <f>8.0987 * CHOOSE(CONTROL!$C$32, $C$9, 100%, $E$9)</f>
        <v>8.0986999999999991</v>
      </c>
      <c r="I173" s="33">
        <f>8.1023 * CHOOSE(CONTROL!$C$32, $C$9, 100%, $E$9)</f>
        <v>8.1022999999999996</v>
      </c>
      <c r="J173" s="33">
        <f>8.0987 * CHOOSE(CONTROL!$C$32, $C$9, 100%, $E$9)</f>
        <v>8.0986999999999991</v>
      </c>
      <c r="K173" s="33">
        <f>8.1023 * CHOOSE(CONTROL!$C$32, $C$9, 100%, $E$9)</f>
        <v>8.1022999999999996</v>
      </c>
      <c r="L173" s="33">
        <f>4.9418 * CHOOSE(CONTROL!$C$32, $C$9, 100%, $E$9)</f>
        <v>4.9417999999999997</v>
      </c>
      <c r="M173" s="33">
        <f>4.9454 * CHOOSE(CONTROL!$C$32, $C$9, 100%, $E$9)</f>
        <v>4.9454000000000002</v>
      </c>
      <c r="N173" s="33">
        <f>4.9418 * CHOOSE(CONTROL!$C$32, $C$9, 100%, $E$9)</f>
        <v>4.9417999999999997</v>
      </c>
      <c r="O173" s="33">
        <f>4.9454 * CHOOSE(CONTROL!$C$32, $C$9, 100%, $E$9)</f>
        <v>4.9454000000000002</v>
      </c>
    </row>
    <row r="174" spans="1:15" ht="15" x14ac:dyDescent="0.2">
      <c r="A174" s="16">
        <v>46508</v>
      </c>
      <c r="B174" s="32">
        <f>3.8786 * CHOOSE(CONTROL!$C$32, $C$9, 100%, $E$9)</f>
        <v>3.8786</v>
      </c>
      <c r="C174" s="32">
        <f>3.8786 * CHOOSE(CONTROL!$C$32, $C$9, 100%, $E$9)</f>
        <v>3.8786</v>
      </c>
      <c r="D174" s="32">
        <f>3.8801 * CHOOSE(CONTROL!$C$32, $C$9, 100%, $E$9)</f>
        <v>3.8801000000000001</v>
      </c>
      <c r="E174" s="33">
        <f>4.9418 * CHOOSE(CONTROL!$C$32, $C$9, 100%, $E$9)</f>
        <v>4.9417999999999997</v>
      </c>
      <c r="F174" s="33">
        <f>4.9418 * CHOOSE(CONTROL!$C$32, $C$9, 100%, $E$9)</f>
        <v>4.9417999999999997</v>
      </c>
      <c r="G174" s="33">
        <f>4.9471 * CHOOSE(CONTROL!$C$32, $C$9, 100%, $E$9)</f>
        <v>4.9470999999999998</v>
      </c>
      <c r="H174" s="33">
        <f>8.1156 * CHOOSE(CONTROL!$C$32, $C$9, 100%, $E$9)</f>
        <v>8.1156000000000006</v>
      </c>
      <c r="I174" s="33">
        <f>8.1209 * CHOOSE(CONTROL!$C$32, $C$9, 100%, $E$9)</f>
        <v>8.1209000000000007</v>
      </c>
      <c r="J174" s="33">
        <f>8.1156 * CHOOSE(CONTROL!$C$32, $C$9, 100%, $E$9)</f>
        <v>8.1156000000000006</v>
      </c>
      <c r="K174" s="33">
        <f>8.1209 * CHOOSE(CONTROL!$C$32, $C$9, 100%, $E$9)</f>
        <v>8.1209000000000007</v>
      </c>
      <c r="L174" s="33">
        <f>4.9418 * CHOOSE(CONTROL!$C$32, $C$9, 100%, $E$9)</f>
        <v>4.9417999999999997</v>
      </c>
      <c r="M174" s="33">
        <f>4.9471 * CHOOSE(CONTROL!$C$32, $C$9, 100%, $E$9)</f>
        <v>4.9470999999999998</v>
      </c>
      <c r="N174" s="33">
        <f>4.9418 * CHOOSE(CONTROL!$C$32, $C$9, 100%, $E$9)</f>
        <v>4.9417999999999997</v>
      </c>
      <c r="O174" s="33">
        <f>4.9471 * CHOOSE(CONTROL!$C$32, $C$9, 100%, $E$9)</f>
        <v>4.9470999999999998</v>
      </c>
    </row>
    <row r="175" spans="1:15" ht="15" x14ac:dyDescent="0.2">
      <c r="A175" s="16">
        <v>46539</v>
      </c>
      <c r="B175" s="32">
        <f>3.8846 * CHOOSE(CONTROL!$C$32, $C$9, 100%, $E$9)</f>
        <v>3.8845999999999998</v>
      </c>
      <c r="C175" s="32">
        <f>3.8846 * CHOOSE(CONTROL!$C$32, $C$9, 100%, $E$9)</f>
        <v>3.8845999999999998</v>
      </c>
      <c r="D175" s="32">
        <f>3.8862 * CHOOSE(CONTROL!$C$32, $C$9, 100%, $E$9)</f>
        <v>3.8862000000000001</v>
      </c>
      <c r="E175" s="33">
        <f>4.9458 * CHOOSE(CONTROL!$C$32, $C$9, 100%, $E$9)</f>
        <v>4.9458000000000002</v>
      </c>
      <c r="F175" s="33">
        <f>4.9458 * CHOOSE(CONTROL!$C$32, $C$9, 100%, $E$9)</f>
        <v>4.9458000000000002</v>
      </c>
      <c r="G175" s="33">
        <f>4.9511 * CHOOSE(CONTROL!$C$32, $C$9, 100%, $E$9)</f>
        <v>4.9511000000000003</v>
      </c>
      <c r="H175" s="33">
        <f>8.1325 * CHOOSE(CONTROL!$C$32, $C$9, 100%, $E$9)</f>
        <v>8.1325000000000003</v>
      </c>
      <c r="I175" s="33">
        <f>8.1378 * CHOOSE(CONTROL!$C$32, $C$9, 100%, $E$9)</f>
        <v>8.1378000000000004</v>
      </c>
      <c r="J175" s="33">
        <f>8.1325 * CHOOSE(CONTROL!$C$32, $C$9, 100%, $E$9)</f>
        <v>8.1325000000000003</v>
      </c>
      <c r="K175" s="33">
        <f>8.1378 * CHOOSE(CONTROL!$C$32, $C$9, 100%, $E$9)</f>
        <v>8.1378000000000004</v>
      </c>
      <c r="L175" s="33">
        <f>4.9458 * CHOOSE(CONTROL!$C$32, $C$9, 100%, $E$9)</f>
        <v>4.9458000000000002</v>
      </c>
      <c r="M175" s="33">
        <f>4.9511 * CHOOSE(CONTROL!$C$32, $C$9, 100%, $E$9)</f>
        <v>4.9511000000000003</v>
      </c>
      <c r="N175" s="33">
        <f>4.9458 * CHOOSE(CONTROL!$C$32, $C$9, 100%, $E$9)</f>
        <v>4.9458000000000002</v>
      </c>
      <c r="O175" s="33">
        <f>4.9511 * CHOOSE(CONTROL!$C$32, $C$9, 100%, $E$9)</f>
        <v>4.9511000000000003</v>
      </c>
    </row>
    <row r="176" spans="1:15" ht="15" x14ac:dyDescent="0.2">
      <c r="A176" s="16">
        <v>46569</v>
      </c>
      <c r="B176" s="32">
        <f>3.951 * CHOOSE(CONTROL!$C$32, $C$9, 100%, $E$9)</f>
        <v>3.9510000000000001</v>
      </c>
      <c r="C176" s="32">
        <f>3.951 * CHOOSE(CONTROL!$C$32, $C$9, 100%, $E$9)</f>
        <v>3.9510000000000001</v>
      </c>
      <c r="D176" s="32">
        <f>3.9526 * CHOOSE(CONTROL!$C$32, $C$9, 100%, $E$9)</f>
        <v>3.9525999999999999</v>
      </c>
      <c r="E176" s="33">
        <f>5.0318 * CHOOSE(CONTROL!$C$32, $C$9, 100%, $E$9)</f>
        <v>5.0317999999999996</v>
      </c>
      <c r="F176" s="33">
        <f>5.0318 * CHOOSE(CONTROL!$C$32, $C$9, 100%, $E$9)</f>
        <v>5.0317999999999996</v>
      </c>
      <c r="G176" s="33">
        <f>5.0371 * CHOOSE(CONTROL!$C$32, $C$9, 100%, $E$9)</f>
        <v>5.0370999999999997</v>
      </c>
      <c r="H176" s="33">
        <f>8.1494 * CHOOSE(CONTROL!$C$32, $C$9, 100%, $E$9)</f>
        <v>8.1494</v>
      </c>
      <c r="I176" s="33">
        <f>8.1547 * CHOOSE(CONTROL!$C$32, $C$9, 100%, $E$9)</f>
        <v>8.1547000000000001</v>
      </c>
      <c r="J176" s="33">
        <f>8.1494 * CHOOSE(CONTROL!$C$32, $C$9, 100%, $E$9)</f>
        <v>8.1494</v>
      </c>
      <c r="K176" s="33">
        <f>8.1547 * CHOOSE(CONTROL!$C$32, $C$9, 100%, $E$9)</f>
        <v>8.1547000000000001</v>
      </c>
      <c r="L176" s="33">
        <f>5.0318 * CHOOSE(CONTROL!$C$32, $C$9, 100%, $E$9)</f>
        <v>5.0317999999999996</v>
      </c>
      <c r="M176" s="33">
        <f>5.0371 * CHOOSE(CONTROL!$C$32, $C$9, 100%, $E$9)</f>
        <v>5.0370999999999997</v>
      </c>
      <c r="N176" s="33">
        <f>5.0318 * CHOOSE(CONTROL!$C$32, $C$9, 100%, $E$9)</f>
        <v>5.0317999999999996</v>
      </c>
      <c r="O176" s="33">
        <f>5.0371 * CHOOSE(CONTROL!$C$32, $C$9, 100%, $E$9)</f>
        <v>5.0370999999999997</v>
      </c>
    </row>
    <row r="177" spans="1:15" ht="15" x14ac:dyDescent="0.2">
      <c r="A177" s="16">
        <v>46600</v>
      </c>
      <c r="B177" s="32">
        <f>3.9577 * CHOOSE(CONTROL!$C$32, $C$9, 100%, $E$9)</f>
        <v>3.9577</v>
      </c>
      <c r="C177" s="32">
        <f>3.9577 * CHOOSE(CONTROL!$C$32, $C$9, 100%, $E$9)</f>
        <v>3.9577</v>
      </c>
      <c r="D177" s="32">
        <f>3.9592 * CHOOSE(CONTROL!$C$32, $C$9, 100%, $E$9)</f>
        <v>3.9592000000000001</v>
      </c>
      <c r="E177" s="33">
        <f>5.0362 * CHOOSE(CONTROL!$C$32, $C$9, 100%, $E$9)</f>
        <v>5.0362</v>
      </c>
      <c r="F177" s="33">
        <f>5.0362 * CHOOSE(CONTROL!$C$32, $C$9, 100%, $E$9)</f>
        <v>5.0362</v>
      </c>
      <c r="G177" s="33">
        <f>5.0415 * CHOOSE(CONTROL!$C$32, $C$9, 100%, $E$9)</f>
        <v>5.0415000000000001</v>
      </c>
      <c r="H177" s="33">
        <f>8.1664 * CHOOSE(CONTROL!$C$32, $C$9, 100%, $E$9)</f>
        <v>8.1663999999999994</v>
      </c>
      <c r="I177" s="33">
        <f>8.1717 * CHOOSE(CONTROL!$C$32, $C$9, 100%, $E$9)</f>
        <v>8.1716999999999995</v>
      </c>
      <c r="J177" s="33">
        <f>8.1664 * CHOOSE(CONTROL!$C$32, $C$9, 100%, $E$9)</f>
        <v>8.1663999999999994</v>
      </c>
      <c r="K177" s="33">
        <f>8.1717 * CHOOSE(CONTROL!$C$32, $C$9, 100%, $E$9)</f>
        <v>8.1716999999999995</v>
      </c>
      <c r="L177" s="33">
        <f>5.0362 * CHOOSE(CONTROL!$C$32, $C$9, 100%, $E$9)</f>
        <v>5.0362</v>
      </c>
      <c r="M177" s="33">
        <f>5.0415 * CHOOSE(CONTROL!$C$32, $C$9, 100%, $E$9)</f>
        <v>5.0415000000000001</v>
      </c>
      <c r="N177" s="33">
        <f>5.0362 * CHOOSE(CONTROL!$C$32, $C$9, 100%, $E$9)</f>
        <v>5.0362</v>
      </c>
      <c r="O177" s="33">
        <f>5.0415 * CHOOSE(CONTROL!$C$32, $C$9, 100%, $E$9)</f>
        <v>5.0415000000000001</v>
      </c>
    </row>
    <row r="178" spans="1:15" ht="15" x14ac:dyDescent="0.2">
      <c r="A178" s="16">
        <v>46631</v>
      </c>
      <c r="B178" s="32">
        <f>3.9546 * CHOOSE(CONTROL!$C$32, $C$9, 100%, $E$9)</f>
        <v>3.9546000000000001</v>
      </c>
      <c r="C178" s="32">
        <f>3.9546 * CHOOSE(CONTROL!$C$32, $C$9, 100%, $E$9)</f>
        <v>3.9546000000000001</v>
      </c>
      <c r="D178" s="32">
        <f>3.9562 * CHOOSE(CONTROL!$C$32, $C$9, 100%, $E$9)</f>
        <v>3.9561999999999999</v>
      </c>
      <c r="E178" s="33">
        <f>5.0342 * CHOOSE(CONTROL!$C$32, $C$9, 100%, $E$9)</f>
        <v>5.0342000000000002</v>
      </c>
      <c r="F178" s="33">
        <f>5.0342 * CHOOSE(CONTROL!$C$32, $C$9, 100%, $E$9)</f>
        <v>5.0342000000000002</v>
      </c>
      <c r="G178" s="33">
        <f>5.0395 * CHOOSE(CONTROL!$C$32, $C$9, 100%, $E$9)</f>
        <v>5.0395000000000003</v>
      </c>
      <c r="H178" s="33">
        <f>8.1834 * CHOOSE(CONTROL!$C$32, $C$9, 100%, $E$9)</f>
        <v>8.1834000000000007</v>
      </c>
      <c r="I178" s="33">
        <f>8.1887 * CHOOSE(CONTROL!$C$32, $C$9, 100%, $E$9)</f>
        <v>8.1887000000000008</v>
      </c>
      <c r="J178" s="33">
        <f>8.1834 * CHOOSE(CONTROL!$C$32, $C$9, 100%, $E$9)</f>
        <v>8.1834000000000007</v>
      </c>
      <c r="K178" s="33">
        <f>8.1887 * CHOOSE(CONTROL!$C$32, $C$9, 100%, $E$9)</f>
        <v>8.1887000000000008</v>
      </c>
      <c r="L178" s="33">
        <f>5.0342 * CHOOSE(CONTROL!$C$32, $C$9, 100%, $E$9)</f>
        <v>5.0342000000000002</v>
      </c>
      <c r="M178" s="33">
        <f>5.0395 * CHOOSE(CONTROL!$C$32, $C$9, 100%, $E$9)</f>
        <v>5.0395000000000003</v>
      </c>
      <c r="N178" s="33">
        <f>5.0342 * CHOOSE(CONTROL!$C$32, $C$9, 100%, $E$9)</f>
        <v>5.0342000000000002</v>
      </c>
      <c r="O178" s="33">
        <f>5.0395 * CHOOSE(CONTROL!$C$32, $C$9, 100%, $E$9)</f>
        <v>5.0395000000000003</v>
      </c>
    </row>
    <row r="179" spans="1:15" ht="15" x14ac:dyDescent="0.2">
      <c r="A179" s="16">
        <v>46661</v>
      </c>
      <c r="B179" s="32">
        <f>3.9496 * CHOOSE(CONTROL!$C$32, $C$9, 100%, $E$9)</f>
        <v>3.9496000000000002</v>
      </c>
      <c r="C179" s="32">
        <f>3.9496 * CHOOSE(CONTROL!$C$32, $C$9, 100%, $E$9)</f>
        <v>3.9496000000000002</v>
      </c>
      <c r="D179" s="32">
        <f>3.9506 * CHOOSE(CONTROL!$C$32, $C$9, 100%, $E$9)</f>
        <v>3.9506000000000001</v>
      </c>
      <c r="E179" s="33">
        <f>5.0288 * CHOOSE(CONTROL!$C$32, $C$9, 100%, $E$9)</f>
        <v>5.0288000000000004</v>
      </c>
      <c r="F179" s="33">
        <f>5.0288 * CHOOSE(CONTROL!$C$32, $C$9, 100%, $E$9)</f>
        <v>5.0288000000000004</v>
      </c>
      <c r="G179" s="33">
        <f>5.0324 * CHOOSE(CONTROL!$C$32, $C$9, 100%, $E$9)</f>
        <v>5.0324</v>
      </c>
      <c r="H179" s="33">
        <f>8.2005 * CHOOSE(CONTROL!$C$32, $C$9, 100%, $E$9)</f>
        <v>8.2004999999999999</v>
      </c>
      <c r="I179" s="33">
        <f>8.2041 * CHOOSE(CONTROL!$C$32, $C$9, 100%, $E$9)</f>
        <v>8.2041000000000004</v>
      </c>
      <c r="J179" s="33">
        <f>8.2005 * CHOOSE(CONTROL!$C$32, $C$9, 100%, $E$9)</f>
        <v>8.2004999999999999</v>
      </c>
      <c r="K179" s="33">
        <f>8.2041 * CHOOSE(CONTROL!$C$32, $C$9, 100%, $E$9)</f>
        <v>8.2041000000000004</v>
      </c>
      <c r="L179" s="33">
        <f>5.0288 * CHOOSE(CONTROL!$C$32, $C$9, 100%, $E$9)</f>
        <v>5.0288000000000004</v>
      </c>
      <c r="M179" s="33">
        <f>5.0324 * CHOOSE(CONTROL!$C$32, $C$9, 100%, $E$9)</f>
        <v>5.0324</v>
      </c>
      <c r="N179" s="33">
        <f>5.0288 * CHOOSE(CONTROL!$C$32, $C$9, 100%, $E$9)</f>
        <v>5.0288000000000004</v>
      </c>
      <c r="O179" s="33">
        <f>5.0324 * CHOOSE(CONTROL!$C$32, $C$9, 100%, $E$9)</f>
        <v>5.0324</v>
      </c>
    </row>
    <row r="180" spans="1:15" ht="15" x14ac:dyDescent="0.2">
      <c r="A180" s="16">
        <v>46692</v>
      </c>
      <c r="B180" s="32">
        <f>3.9526 * CHOOSE(CONTROL!$C$32, $C$9, 100%, $E$9)</f>
        <v>3.9525999999999999</v>
      </c>
      <c r="C180" s="32">
        <f>3.9526 * CHOOSE(CONTROL!$C$32, $C$9, 100%, $E$9)</f>
        <v>3.9525999999999999</v>
      </c>
      <c r="D180" s="32">
        <f>3.9537 * CHOOSE(CONTROL!$C$32, $C$9, 100%, $E$9)</f>
        <v>3.9537</v>
      </c>
      <c r="E180" s="33">
        <f>5.0308 * CHOOSE(CONTROL!$C$32, $C$9, 100%, $E$9)</f>
        <v>5.0308000000000002</v>
      </c>
      <c r="F180" s="33">
        <f>5.0308 * CHOOSE(CONTROL!$C$32, $C$9, 100%, $E$9)</f>
        <v>5.0308000000000002</v>
      </c>
      <c r="G180" s="33">
        <f>5.0344 * CHOOSE(CONTROL!$C$32, $C$9, 100%, $E$9)</f>
        <v>5.0343999999999998</v>
      </c>
      <c r="H180" s="33">
        <f>8.2176 * CHOOSE(CONTROL!$C$32, $C$9, 100%, $E$9)</f>
        <v>8.2175999999999991</v>
      </c>
      <c r="I180" s="33">
        <f>8.2212 * CHOOSE(CONTROL!$C$32, $C$9, 100%, $E$9)</f>
        <v>8.2211999999999996</v>
      </c>
      <c r="J180" s="33">
        <f>8.2176 * CHOOSE(CONTROL!$C$32, $C$9, 100%, $E$9)</f>
        <v>8.2175999999999991</v>
      </c>
      <c r="K180" s="33">
        <f>8.2212 * CHOOSE(CONTROL!$C$32, $C$9, 100%, $E$9)</f>
        <v>8.2211999999999996</v>
      </c>
      <c r="L180" s="33">
        <f>5.0308 * CHOOSE(CONTROL!$C$32, $C$9, 100%, $E$9)</f>
        <v>5.0308000000000002</v>
      </c>
      <c r="M180" s="33">
        <f>5.0344 * CHOOSE(CONTROL!$C$32, $C$9, 100%, $E$9)</f>
        <v>5.0343999999999998</v>
      </c>
      <c r="N180" s="33">
        <f>5.0308 * CHOOSE(CONTROL!$C$32, $C$9, 100%, $E$9)</f>
        <v>5.0308000000000002</v>
      </c>
      <c r="O180" s="33">
        <f>5.0344 * CHOOSE(CONTROL!$C$32, $C$9, 100%, $E$9)</f>
        <v>5.0343999999999998</v>
      </c>
    </row>
    <row r="181" spans="1:15" ht="15" x14ac:dyDescent="0.2">
      <c r="A181" s="16">
        <v>46722</v>
      </c>
      <c r="B181" s="32">
        <f>3.9526 * CHOOSE(CONTROL!$C$32, $C$9, 100%, $E$9)</f>
        <v>3.9525999999999999</v>
      </c>
      <c r="C181" s="32">
        <f>3.9526 * CHOOSE(CONTROL!$C$32, $C$9, 100%, $E$9)</f>
        <v>3.9525999999999999</v>
      </c>
      <c r="D181" s="32">
        <f>3.9537 * CHOOSE(CONTROL!$C$32, $C$9, 100%, $E$9)</f>
        <v>3.9537</v>
      </c>
      <c r="E181" s="33">
        <f>5.0308 * CHOOSE(CONTROL!$C$32, $C$9, 100%, $E$9)</f>
        <v>5.0308000000000002</v>
      </c>
      <c r="F181" s="33">
        <f>5.0308 * CHOOSE(CONTROL!$C$32, $C$9, 100%, $E$9)</f>
        <v>5.0308000000000002</v>
      </c>
      <c r="G181" s="33">
        <f>5.0344 * CHOOSE(CONTROL!$C$32, $C$9, 100%, $E$9)</f>
        <v>5.0343999999999998</v>
      </c>
      <c r="H181" s="33">
        <f>8.2347 * CHOOSE(CONTROL!$C$32, $C$9, 100%, $E$9)</f>
        <v>8.2347000000000001</v>
      </c>
      <c r="I181" s="33">
        <f>8.2383 * CHOOSE(CONTROL!$C$32, $C$9, 100%, $E$9)</f>
        <v>8.2383000000000006</v>
      </c>
      <c r="J181" s="33">
        <f>8.2347 * CHOOSE(CONTROL!$C$32, $C$9, 100%, $E$9)</f>
        <v>8.2347000000000001</v>
      </c>
      <c r="K181" s="33">
        <f>8.2383 * CHOOSE(CONTROL!$C$32, $C$9, 100%, $E$9)</f>
        <v>8.2383000000000006</v>
      </c>
      <c r="L181" s="33">
        <f>5.0308 * CHOOSE(CONTROL!$C$32, $C$9, 100%, $E$9)</f>
        <v>5.0308000000000002</v>
      </c>
      <c r="M181" s="33">
        <f>5.0344 * CHOOSE(CONTROL!$C$32, $C$9, 100%, $E$9)</f>
        <v>5.0343999999999998</v>
      </c>
      <c r="N181" s="33">
        <f>5.0308 * CHOOSE(CONTROL!$C$32, $C$9, 100%, $E$9)</f>
        <v>5.0308000000000002</v>
      </c>
      <c r="O181" s="33">
        <f>5.0344 * CHOOSE(CONTROL!$C$32, $C$9, 100%, $E$9)</f>
        <v>5.0343999999999998</v>
      </c>
    </row>
    <row r="182" spans="1:15" ht="15" x14ac:dyDescent="0.2">
      <c r="A182" s="16">
        <v>46753</v>
      </c>
      <c r="B182" s="32">
        <f>3.9901 * CHOOSE(CONTROL!$C$32, $C$9, 100%, $E$9)</f>
        <v>3.9901</v>
      </c>
      <c r="C182" s="32">
        <f>3.9901 * CHOOSE(CONTROL!$C$32, $C$9, 100%, $E$9)</f>
        <v>3.9901</v>
      </c>
      <c r="D182" s="32">
        <f>3.9912 * CHOOSE(CONTROL!$C$32, $C$9, 100%, $E$9)</f>
        <v>3.9912000000000001</v>
      </c>
      <c r="E182" s="33">
        <f>5.0753 * CHOOSE(CONTROL!$C$32, $C$9, 100%, $E$9)</f>
        <v>5.0753000000000004</v>
      </c>
      <c r="F182" s="33">
        <f>5.0753 * CHOOSE(CONTROL!$C$32, $C$9, 100%, $E$9)</f>
        <v>5.0753000000000004</v>
      </c>
      <c r="G182" s="33">
        <f>5.0789 * CHOOSE(CONTROL!$C$32, $C$9, 100%, $E$9)</f>
        <v>5.0789</v>
      </c>
      <c r="H182" s="33">
        <f>8.2518 * CHOOSE(CONTROL!$C$32, $C$9, 100%, $E$9)</f>
        <v>8.2517999999999994</v>
      </c>
      <c r="I182" s="33">
        <f>8.2555 * CHOOSE(CONTROL!$C$32, $C$9, 100%, $E$9)</f>
        <v>8.2554999999999996</v>
      </c>
      <c r="J182" s="33">
        <f>8.2518 * CHOOSE(CONTROL!$C$32, $C$9, 100%, $E$9)</f>
        <v>8.2517999999999994</v>
      </c>
      <c r="K182" s="33">
        <f>8.2555 * CHOOSE(CONTROL!$C$32, $C$9, 100%, $E$9)</f>
        <v>8.2554999999999996</v>
      </c>
      <c r="L182" s="33">
        <f>5.0753 * CHOOSE(CONTROL!$C$32, $C$9, 100%, $E$9)</f>
        <v>5.0753000000000004</v>
      </c>
      <c r="M182" s="33">
        <f>5.0789 * CHOOSE(CONTROL!$C$32, $C$9, 100%, $E$9)</f>
        <v>5.0789</v>
      </c>
      <c r="N182" s="33">
        <f>5.0753 * CHOOSE(CONTROL!$C$32, $C$9, 100%, $E$9)</f>
        <v>5.0753000000000004</v>
      </c>
      <c r="O182" s="33">
        <f>5.0789 * CHOOSE(CONTROL!$C$32, $C$9, 100%, $E$9)</f>
        <v>5.0789</v>
      </c>
    </row>
    <row r="183" spans="1:15" ht="15" x14ac:dyDescent="0.2">
      <c r="A183" s="16">
        <v>46784</v>
      </c>
      <c r="B183" s="32">
        <f>3.9871 * CHOOSE(CONTROL!$C$32, $C$9, 100%, $E$9)</f>
        <v>3.9870999999999999</v>
      </c>
      <c r="C183" s="32">
        <f>3.9871 * CHOOSE(CONTROL!$C$32, $C$9, 100%, $E$9)</f>
        <v>3.9870999999999999</v>
      </c>
      <c r="D183" s="32">
        <f>3.9882 * CHOOSE(CONTROL!$C$32, $C$9, 100%, $E$9)</f>
        <v>3.9882</v>
      </c>
      <c r="E183" s="33">
        <f>5.0733 * CHOOSE(CONTROL!$C$32, $C$9, 100%, $E$9)</f>
        <v>5.0732999999999997</v>
      </c>
      <c r="F183" s="33">
        <f>5.0733 * CHOOSE(CONTROL!$C$32, $C$9, 100%, $E$9)</f>
        <v>5.0732999999999997</v>
      </c>
      <c r="G183" s="33">
        <f>5.0769 * CHOOSE(CONTROL!$C$32, $C$9, 100%, $E$9)</f>
        <v>5.0769000000000002</v>
      </c>
      <c r="H183" s="33">
        <f>8.269 * CHOOSE(CONTROL!$C$32, $C$9, 100%, $E$9)</f>
        <v>8.2690000000000001</v>
      </c>
      <c r="I183" s="33">
        <f>8.2727 * CHOOSE(CONTROL!$C$32, $C$9, 100%, $E$9)</f>
        <v>8.2727000000000004</v>
      </c>
      <c r="J183" s="33">
        <f>8.269 * CHOOSE(CONTROL!$C$32, $C$9, 100%, $E$9)</f>
        <v>8.2690000000000001</v>
      </c>
      <c r="K183" s="33">
        <f>8.2727 * CHOOSE(CONTROL!$C$32, $C$9, 100%, $E$9)</f>
        <v>8.2727000000000004</v>
      </c>
      <c r="L183" s="33">
        <f>5.0733 * CHOOSE(CONTROL!$C$32, $C$9, 100%, $E$9)</f>
        <v>5.0732999999999997</v>
      </c>
      <c r="M183" s="33">
        <f>5.0769 * CHOOSE(CONTROL!$C$32, $C$9, 100%, $E$9)</f>
        <v>5.0769000000000002</v>
      </c>
      <c r="N183" s="33">
        <f>5.0733 * CHOOSE(CONTROL!$C$32, $C$9, 100%, $E$9)</f>
        <v>5.0732999999999997</v>
      </c>
      <c r="O183" s="33">
        <f>5.0769 * CHOOSE(CONTROL!$C$32, $C$9, 100%, $E$9)</f>
        <v>5.0769000000000002</v>
      </c>
    </row>
    <row r="184" spans="1:15" ht="15" x14ac:dyDescent="0.2">
      <c r="A184" s="16">
        <v>46813</v>
      </c>
      <c r="B184" s="32">
        <f>3.984 * CHOOSE(CONTROL!$C$32, $C$9, 100%, $E$9)</f>
        <v>3.984</v>
      </c>
      <c r="C184" s="32">
        <f>3.984 * CHOOSE(CONTROL!$C$32, $C$9, 100%, $E$9)</f>
        <v>3.984</v>
      </c>
      <c r="D184" s="32">
        <f>3.9851 * CHOOSE(CONTROL!$C$32, $C$9, 100%, $E$9)</f>
        <v>3.9851000000000001</v>
      </c>
      <c r="E184" s="33">
        <f>5.0713 * CHOOSE(CONTROL!$C$32, $C$9, 100%, $E$9)</f>
        <v>5.0712999999999999</v>
      </c>
      <c r="F184" s="33">
        <f>5.0713 * CHOOSE(CONTROL!$C$32, $C$9, 100%, $E$9)</f>
        <v>5.0712999999999999</v>
      </c>
      <c r="G184" s="33">
        <f>5.0749 * CHOOSE(CONTROL!$C$32, $C$9, 100%, $E$9)</f>
        <v>5.0749000000000004</v>
      </c>
      <c r="H184" s="33">
        <f>8.2863 * CHOOSE(CONTROL!$C$32, $C$9, 100%, $E$9)</f>
        <v>8.2863000000000007</v>
      </c>
      <c r="I184" s="33">
        <f>8.2899 * CHOOSE(CONTROL!$C$32, $C$9, 100%, $E$9)</f>
        <v>8.2898999999999994</v>
      </c>
      <c r="J184" s="33">
        <f>8.2863 * CHOOSE(CONTROL!$C$32, $C$9, 100%, $E$9)</f>
        <v>8.2863000000000007</v>
      </c>
      <c r="K184" s="33">
        <f>8.2899 * CHOOSE(CONTROL!$C$32, $C$9, 100%, $E$9)</f>
        <v>8.2898999999999994</v>
      </c>
      <c r="L184" s="33">
        <f>5.0713 * CHOOSE(CONTROL!$C$32, $C$9, 100%, $E$9)</f>
        <v>5.0712999999999999</v>
      </c>
      <c r="M184" s="33">
        <f>5.0749 * CHOOSE(CONTROL!$C$32, $C$9, 100%, $E$9)</f>
        <v>5.0749000000000004</v>
      </c>
      <c r="N184" s="33">
        <f>5.0713 * CHOOSE(CONTROL!$C$32, $C$9, 100%, $E$9)</f>
        <v>5.0712999999999999</v>
      </c>
      <c r="O184" s="33">
        <f>5.0749 * CHOOSE(CONTROL!$C$32, $C$9, 100%, $E$9)</f>
        <v>5.0749000000000004</v>
      </c>
    </row>
    <row r="185" spans="1:15" ht="15" x14ac:dyDescent="0.2">
      <c r="A185" s="16">
        <v>46844</v>
      </c>
      <c r="B185" s="32">
        <f>3.9817 * CHOOSE(CONTROL!$C$32, $C$9, 100%, $E$9)</f>
        <v>3.9817</v>
      </c>
      <c r="C185" s="32">
        <f>3.9817 * CHOOSE(CONTROL!$C$32, $C$9, 100%, $E$9)</f>
        <v>3.9817</v>
      </c>
      <c r="D185" s="32">
        <f>3.9828 * CHOOSE(CONTROL!$C$32, $C$9, 100%, $E$9)</f>
        <v>3.9828000000000001</v>
      </c>
      <c r="E185" s="33">
        <f>5.0692 * CHOOSE(CONTROL!$C$32, $C$9, 100%, $E$9)</f>
        <v>5.0692000000000004</v>
      </c>
      <c r="F185" s="33">
        <f>5.0692 * CHOOSE(CONTROL!$C$32, $C$9, 100%, $E$9)</f>
        <v>5.0692000000000004</v>
      </c>
      <c r="G185" s="33">
        <f>5.0728 * CHOOSE(CONTROL!$C$32, $C$9, 100%, $E$9)</f>
        <v>5.0728</v>
      </c>
      <c r="H185" s="33">
        <f>8.3035 * CHOOSE(CONTROL!$C$32, $C$9, 100%, $E$9)</f>
        <v>8.3034999999999997</v>
      </c>
      <c r="I185" s="33">
        <f>8.3071 * CHOOSE(CONTROL!$C$32, $C$9, 100%, $E$9)</f>
        <v>8.3071000000000002</v>
      </c>
      <c r="J185" s="33">
        <f>8.3035 * CHOOSE(CONTROL!$C$32, $C$9, 100%, $E$9)</f>
        <v>8.3034999999999997</v>
      </c>
      <c r="K185" s="33">
        <f>8.3071 * CHOOSE(CONTROL!$C$32, $C$9, 100%, $E$9)</f>
        <v>8.3071000000000002</v>
      </c>
      <c r="L185" s="33">
        <f>5.0692 * CHOOSE(CONTROL!$C$32, $C$9, 100%, $E$9)</f>
        <v>5.0692000000000004</v>
      </c>
      <c r="M185" s="33">
        <f>5.0728 * CHOOSE(CONTROL!$C$32, $C$9, 100%, $E$9)</f>
        <v>5.0728</v>
      </c>
      <c r="N185" s="33">
        <f>5.0692 * CHOOSE(CONTROL!$C$32, $C$9, 100%, $E$9)</f>
        <v>5.0692000000000004</v>
      </c>
      <c r="O185" s="33">
        <f>5.0728 * CHOOSE(CONTROL!$C$32, $C$9, 100%, $E$9)</f>
        <v>5.0728</v>
      </c>
    </row>
    <row r="186" spans="1:15" ht="15" x14ac:dyDescent="0.2">
      <c r="A186" s="16">
        <v>46874</v>
      </c>
      <c r="B186" s="32">
        <f>3.9817 * CHOOSE(CONTROL!$C$32, $C$9, 100%, $E$9)</f>
        <v>3.9817</v>
      </c>
      <c r="C186" s="32">
        <f>3.9817 * CHOOSE(CONTROL!$C$32, $C$9, 100%, $E$9)</f>
        <v>3.9817</v>
      </c>
      <c r="D186" s="32">
        <f>3.9833 * CHOOSE(CONTROL!$C$32, $C$9, 100%, $E$9)</f>
        <v>3.9832999999999998</v>
      </c>
      <c r="E186" s="33">
        <f>5.0692 * CHOOSE(CONTROL!$C$32, $C$9, 100%, $E$9)</f>
        <v>5.0692000000000004</v>
      </c>
      <c r="F186" s="33">
        <f>5.0692 * CHOOSE(CONTROL!$C$32, $C$9, 100%, $E$9)</f>
        <v>5.0692000000000004</v>
      </c>
      <c r="G186" s="33">
        <f>5.0745 * CHOOSE(CONTROL!$C$32, $C$9, 100%, $E$9)</f>
        <v>5.0744999999999996</v>
      </c>
      <c r="H186" s="33">
        <f>8.3208 * CHOOSE(CONTROL!$C$32, $C$9, 100%, $E$9)</f>
        <v>8.3208000000000002</v>
      </c>
      <c r="I186" s="33">
        <f>8.3261 * CHOOSE(CONTROL!$C$32, $C$9, 100%, $E$9)</f>
        <v>8.3261000000000003</v>
      </c>
      <c r="J186" s="33">
        <f>8.3208 * CHOOSE(CONTROL!$C$32, $C$9, 100%, $E$9)</f>
        <v>8.3208000000000002</v>
      </c>
      <c r="K186" s="33">
        <f>8.3261 * CHOOSE(CONTROL!$C$32, $C$9, 100%, $E$9)</f>
        <v>8.3261000000000003</v>
      </c>
      <c r="L186" s="33">
        <f>5.0692 * CHOOSE(CONTROL!$C$32, $C$9, 100%, $E$9)</f>
        <v>5.0692000000000004</v>
      </c>
      <c r="M186" s="33">
        <f>5.0745 * CHOOSE(CONTROL!$C$32, $C$9, 100%, $E$9)</f>
        <v>5.0744999999999996</v>
      </c>
      <c r="N186" s="33">
        <f>5.0692 * CHOOSE(CONTROL!$C$32, $C$9, 100%, $E$9)</f>
        <v>5.0692000000000004</v>
      </c>
      <c r="O186" s="33">
        <f>5.0745 * CHOOSE(CONTROL!$C$32, $C$9, 100%, $E$9)</f>
        <v>5.0744999999999996</v>
      </c>
    </row>
    <row r="187" spans="1:15" ht="15" x14ac:dyDescent="0.2">
      <c r="A187" s="16">
        <v>46905</v>
      </c>
      <c r="B187" s="32">
        <f>3.9878 * CHOOSE(CONTROL!$C$32, $C$9, 100%, $E$9)</f>
        <v>3.9878</v>
      </c>
      <c r="C187" s="32">
        <f>3.9878 * CHOOSE(CONTROL!$C$32, $C$9, 100%, $E$9)</f>
        <v>3.9878</v>
      </c>
      <c r="D187" s="32">
        <f>3.9893 * CHOOSE(CONTROL!$C$32, $C$9, 100%, $E$9)</f>
        <v>3.9893000000000001</v>
      </c>
      <c r="E187" s="33">
        <f>5.0732 * CHOOSE(CONTROL!$C$32, $C$9, 100%, $E$9)</f>
        <v>5.0731999999999999</v>
      </c>
      <c r="F187" s="33">
        <f>5.0732 * CHOOSE(CONTROL!$C$32, $C$9, 100%, $E$9)</f>
        <v>5.0731999999999999</v>
      </c>
      <c r="G187" s="33">
        <f>5.0785 * CHOOSE(CONTROL!$C$32, $C$9, 100%, $E$9)</f>
        <v>5.0785</v>
      </c>
      <c r="H187" s="33">
        <f>8.3382 * CHOOSE(CONTROL!$C$32, $C$9, 100%, $E$9)</f>
        <v>8.3382000000000005</v>
      </c>
      <c r="I187" s="33">
        <f>8.3435 * CHOOSE(CONTROL!$C$32, $C$9, 100%, $E$9)</f>
        <v>8.3435000000000006</v>
      </c>
      <c r="J187" s="33">
        <f>8.3382 * CHOOSE(CONTROL!$C$32, $C$9, 100%, $E$9)</f>
        <v>8.3382000000000005</v>
      </c>
      <c r="K187" s="33">
        <f>8.3435 * CHOOSE(CONTROL!$C$32, $C$9, 100%, $E$9)</f>
        <v>8.3435000000000006</v>
      </c>
      <c r="L187" s="33">
        <f>5.0732 * CHOOSE(CONTROL!$C$32, $C$9, 100%, $E$9)</f>
        <v>5.0731999999999999</v>
      </c>
      <c r="M187" s="33">
        <f>5.0785 * CHOOSE(CONTROL!$C$32, $C$9, 100%, $E$9)</f>
        <v>5.0785</v>
      </c>
      <c r="N187" s="33">
        <f>5.0732 * CHOOSE(CONTROL!$C$32, $C$9, 100%, $E$9)</f>
        <v>5.0731999999999999</v>
      </c>
      <c r="O187" s="33">
        <f>5.0785 * CHOOSE(CONTROL!$C$32, $C$9, 100%, $E$9)</f>
        <v>5.0785</v>
      </c>
    </row>
    <row r="188" spans="1:15" ht="15" x14ac:dyDescent="0.2">
      <c r="A188" s="16">
        <v>46935</v>
      </c>
      <c r="B188" s="32">
        <f>4.0588 * CHOOSE(CONTROL!$C$32, $C$9, 100%, $E$9)</f>
        <v>4.0587999999999997</v>
      </c>
      <c r="C188" s="32">
        <f>4.0588 * CHOOSE(CONTROL!$C$32, $C$9, 100%, $E$9)</f>
        <v>4.0587999999999997</v>
      </c>
      <c r="D188" s="32">
        <f>4.0603 * CHOOSE(CONTROL!$C$32, $C$9, 100%, $E$9)</f>
        <v>4.0602999999999998</v>
      </c>
      <c r="E188" s="33">
        <f>5.1714 * CHOOSE(CONTROL!$C$32, $C$9, 100%, $E$9)</f>
        <v>5.1714000000000002</v>
      </c>
      <c r="F188" s="33">
        <f>5.1714 * CHOOSE(CONTROL!$C$32, $C$9, 100%, $E$9)</f>
        <v>5.1714000000000002</v>
      </c>
      <c r="G188" s="33">
        <f>5.1767 * CHOOSE(CONTROL!$C$32, $C$9, 100%, $E$9)</f>
        <v>5.1767000000000003</v>
      </c>
      <c r="H188" s="33">
        <f>8.3555 * CHOOSE(CONTROL!$C$32, $C$9, 100%, $E$9)</f>
        <v>8.3554999999999993</v>
      </c>
      <c r="I188" s="33">
        <f>8.3608 * CHOOSE(CONTROL!$C$32, $C$9, 100%, $E$9)</f>
        <v>8.3607999999999993</v>
      </c>
      <c r="J188" s="33">
        <f>8.3555 * CHOOSE(CONTROL!$C$32, $C$9, 100%, $E$9)</f>
        <v>8.3554999999999993</v>
      </c>
      <c r="K188" s="33">
        <f>8.3608 * CHOOSE(CONTROL!$C$32, $C$9, 100%, $E$9)</f>
        <v>8.3607999999999993</v>
      </c>
      <c r="L188" s="33">
        <f>5.1714 * CHOOSE(CONTROL!$C$32, $C$9, 100%, $E$9)</f>
        <v>5.1714000000000002</v>
      </c>
      <c r="M188" s="33">
        <f>5.1767 * CHOOSE(CONTROL!$C$32, $C$9, 100%, $E$9)</f>
        <v>5.1767000000000003</v>
      </c>
      <c r="N188" s="33">
        <f>5.1714 * CHOOSE(CONTROL!$C$32, $C$9, 100%, $E$9)</f>
        <v>5.1714000000000002</v>
      </c>
      <c r="O188" s="33">
        <f>5.1767 * CHOOSE(CONTROL!$C$32, $C$9, 100%, $E$9)</f>
        <v>5.1767000000000003</v>
      </c>
    </row>
    <row r="189" spans="1:15" ht="15" x14ac:dyDescent="0.2">
      <c r="A189" s="16">
        <v>46966</v>
      </c>
      <c r="B189" s="32">
        <f>4.0654 * CHOOSE(CONTROL!$C$32, $C$9, 100%, $E$9)</f>
        <v>4.0654000000000003</v>
      </c>
      <c r="C189" s="32">
        <f>4.0654 * CHOOSE(CONTROL!$C$32, $C$9, 100%, $E$9)</f>
        <v>4.0654000000000003</v>
      </c>
      <c r="D189" s="32">
        <f>4.067 * CHOOSE(CONTROL!$C$32, $C$9, 100%, $E$9)</f>
        <v>4.0670000000000002</v>
      </c>
      <c r="E189" s="33">
        <f>5.1758 * CHOOSE(CONTROL!$C$32, $C$9, 100%, $E$9)</f>
        <v>5.1757999999999997</v>
      </c>
      <c r="F189" s="33">
        <f>5.1758 * CHOOSE(CONTROL!$C$32, $C$9, 100%, $E$9)</f>
        <v>5.1757999999999997</v>
      </c>
      <c r="G189" s="33">
        <f>5.1811 * CHOOSE(CONTROL!$C$32, $C$9, 100%, $E$9)</f>
        <v>5.1810999999999998</v>
      </c>
      <c r="H189" s="33">
        <f>8.3729 * CHOOSE(CONTROL!$C$32, $C$9, 100%, $E$9)</f>
        <v>8.3728999999999996</v>
      </c>
      <c r="I189" s="33">
        <f>8.3782 * CHOOSE(CONTROL!$C$32, $C$9, 100%, $E$9)</f>
        <v>8.3781999999999996</v>
      </c>
      <c r="J189" s="33">
        <f>8.3729 * CHOOSE(CONTROL!$C$32, $C$9, 100%, $E$9)</f>
        <v>8.3728999999999996</v>
      </c>
      <c r="K189" s="33">
        <f>8.3782 * CHOOSE(CONTROL!$C$32, $C$9, 100%, $E$9)</f>
        <v>8.3781999999999996</v>
      </c>
      <c r="L189" s="33">
        <f>5.1758 * CHOOSE(CONTROL!$C$32, $C$9, 100%, $E$9)</f>
        <v>5.1757999999999997</v>
      </c>
      <c r="M189" s="33">
        <f>5.1811 * CHOOSE(CONTROL!$C$32, $C$9, 100%, $E$9)</f>
        <v>5.1810999999999998</v>
      </c>
      <c r="N189" s="33">
        <f>5.1758 * CHOOSE(CONTROL!$C$32, $C$9, 100%, $E$9)</f>
        <v>5.1757999999999997</v>
      </c>
      <c r="O189" s="33">
        <f>5.1811 * CHOOSE(CONTROL!$C$32, $C$9, 100%, $E$9)</f>
        <v>5.1810999999999998</v>
      </c>
    </row>
    <row r="190" spans="1:15" ht="15" x14ac:dyDescent="0.2">
      <c r="A190" s="16">
        <v>46997</v>
      </c>
      <c r="B190" s="32">
        <f>4.0624 * CHOOSE(CONTROL!$C$32, $C$9, 100%, $E$9)</f>
        <v>4.0624000000000002</v>
      </c>
      <c r="C190" s="32">
        <f>4.0624 * CHOOSE(CONTROL!$C$32, $C$9, 100%, $E$9)</f>
        <v>4.0624000000000002</v>
      </c>
      <c r="D190" s="32">
        <f>4.064 * CHOOSE(CONTROL!$C$32, $C$9, 100%, $E$9)</f>
        <v>4.0640000000000001</v>
      </c>
      <c r="E190" s="33">
        <f>5.1738 * CHOOSE(CONTROL!$C$32, $C$9, 100%, $E$9)</f>
        <v>5.1738</v>
      </c>
      <c r="F190" s="33">
        <f>5.1738 * CHOOSE(CONTROL!$C$32, $C$9, 100%, $E$9)</f>
        <v>5.1738</v>
      </c>
      <c r="G190" s="33">
        <f>5.1791 * CHOOSE(CONTROL!$C$32, $C$9, 100%, $E$9)</f>
        <v>5.1791</v>
      </c>
      <c r="H190" s="33">
        <f>8.3904 * CHOOSE(CONTROL!$C$32, $C$9, 100%, $E$9)</f>
        <v>8.3903999999999996</v>
      </c>
      <c r="I190" s="33">
        <f>8.3957 * CHOOSE(CONTROL!$C$32, $C$9, 100%, $E$9)</f>
        <v>8.3956999999999997</v>
      </c>
      <c r="J190" s="33">
        <f>8.3904 * CHOOSE(CONTROL!$C$32, $C$9, 100%, $E$9)</f>
        <v>8.3903999999999996</v>
      </c>
      <c r="K190" s="33">
        <f>8.3957 * CHOOSE(CONTROL!$C$32, $C$9, 100%, $E$9)</f>
        <v>8.3956999999999997</v>
      </c>
      <c r="L190" s="33">
        <f>5.1738 * CHOOSE(CONTROL!$C$32, $C$9, 100%, $E$9)</f>
        <v>5.1738</v>
      </c>
      <c r="M190" s="33">
        <f>5.1791 * CHOOSE(CONTROL!$C$32, $C$9, 100%, $E$9)</f>
        <v>5.1791</v>
      </c>
      <c r="N190" s="33">
        <f>5.1738 * CHOOSE(CONTROL!$C$32, $C$9, 100%, $E$9)</f>
        <v>5.1738</v>
      </c>
      <c r="O190" s="33">
        <f>5.1791 * CHOOSE(CONTROL!$C$32, $C$9, 100%, $E$9)</f>
        <v>5.1791</v>
      </c>
    </row>
    <row r="191" spans="1:15" ht="15" x14ac:dyDescent="0.2">
      <c r="A191" s="16">
        <v>47027</v>
      </c>
      <c r="B191" s="32">
        <f>4.0577 * CHOOSE(CONTROL!$C$32, $C$9, 100%, $E$9)</f>
        <v>4.0576999999999996</v>
      </c>
      <c r="C191" s="32">
        <f>4.0577 * CHOOSE(CONTROL!$C$32, $C$9, 100%, $E$9)</f>
        <v>4.0576999999999996</v>
      </c>
      <c r="D191" s="32">
        <f>4.0588 * CHOOSE(CONTROL!$C$32, $C$9, 100%, $E$9)</f>
        <v>4.0587999999999997</v>
      </c>
      <c r="E191" s="33">
        <f>5.1686 * CHOOSE(CONTROL!$C$32, $C$9, 100%, $E$9)</f>
        <v>5.1685999999999996</v>
      </c>
      <c r="F191" s="33">
        <f>5.1686 * CHOOSE(CONTROL!$C$32, $C$9, 100%, $E$9)</f>
        <v>5.1685999999999996</v>
      </c>
      <c r="G191" s="33">
        <f>5.1722 * CHOOSE(CONTROL!$C$32, $C$9, 100%, $E$9)</f>
        <v>5.1722000000000001</v>
      </c>
      <c r="H191" s="33">
        <f>8.4079 * CHOOSE(CONTROL!$C$32, $C$9, 100%, $E$9)</f>
        <v>8.4078999999999997</v>
      </c>
      <c r="I191" s="33">
        <f>8.4115 * CHOOSE(CONTROL!$C$32, $C$9, 100%, $E$9)</f>
        <v>8.4115000000000002</v>
      </c>
      <c r="J191" s="33">
        <f>8.4079 * CHOOSE(CONTROL!$C$32, $C$9, 100%, $E$9)</f>
        <v>8.4078999999999997</v>
      </c>
      <c r="K191" s="33">
        <f>8.4115 * CHOOSE(CONTROL!$C$32, $C$9, 100%, $E$9)</f>
        <v>8.4115000000000002</v>
      </c>
      <c r="L191" s="33">
        <f>5.1686 * CHOOSE(CONTROL!$C$32, $C$9, 100%, $E$9)</f>
        <v>5.1685999999999996</v>
      </c>
      <c r="M191" s="33">
        <f>5.1722 * CHOOSE(CONTROL!$C$32, $C$9, 100%, $E$9)</f>
        <v>5.1722000000000001</v>
      </c>
      <c r="N191" s="33">
        <f>5.1686 * CHOOSE(CONTROL!$C$32, $C$9, 100%, $E$9)</f>
        <v>5.1685999999999996</v>
      </c>
      <c r="O191" s="33">
        <f>5.1722 * CHOOSE(CONTROL!$C$32, $C$9, 100%, $E$9)</f>
        <v>5.1722000000000001</v>
      </c>
    </row>
    <row r="192" spans="1:15" ht="15" x14ac:dyDescent="0.2">
      <c r="A192" s="16">
        <v>47058</v>
      </c>
      <c r="B192" s="32">
        <f>4.0607 * CHOOSE(CONTROL!$C$32, $C$9, 100%, $E$9)</f>
        <v>4.0606999999999998</v>
      </c>
      <c r="C192" s="32">
        <f>4.0607 * CHOOSE(CONTROL!$C$32, $C$9, 100%, $E$9)</f>
        <v>4.0606999999999998</v>
      </c>
      <c r="D192" s="32">
        <f>4.0618 * CHOOSE(CONTROL!$C$32, $C$9, 100%, $E$9)</f>
        <v>4.0617999999999999</v>
      </c>
      <c r="E192" s="33">
        <f>5.1706 * CHOOSE(CONTROL!$C$32, $C$9, 100%, $E$9)</f>
        <v>5.1706000000000003</v>
      </c>
      <c r="F192" s="33">
        <f>5.1706 * CHOOSE(CONTROL!$C$32, $C$9, 100%, $E$9)</f>
        <v>5.1706000000000003</v>
      </c>
      <c r="G192" s="33">
        <f>5.1742 * CHOOSE(CONTROL!$C$32, $C$9, 100%, $E$9)</f>
        <v>5.1741999999999999</v>
      </c>
      <c r="H192" s="33">
        <f>8.4254 * CHOOSE(CONTROL!$C$32, $C$9, 100%, $E$9)</f>
        <v>8.4253999999999998</v>
      </c>
      <c r="I192" s="33">
        <f>8.429 * CHOOSE(CONTROL!$C$32, $C$9, 100%, $E$9)</f>
        <v>8.4290000000000003</v>
      </c>
      <c r="J192" s="33">
        <f>8.4254 * CHOOSE(CONTROL!$C$32, $C$9, 100%, $E$9)</f>
        <v>8.4253999999999998</v>
      </c>
      <c r="K192" s="33">
        <f>8.429 * CHOOSE(CONTROL!$C$32, $C$9, 100%, $E$9)</f>
        <v>8.4290000000000003</v>
      </c>
      <c r="L192" s="33">
        <f>5.1706 * CHOOSE(CONTROL!$C$32, $C$9, 100%, $E$9)</f>
        <v>5.1706000000000003</v>
      </c>
      <c r="M192" s="33">
        <f>5.1742 * CHOOSE(CONTROL!$C$32, $C$9, 100%, $E$9)</f>
        <v>5.1741999999999999</v>
      </c>
      <c r="N192" s="33">
        <f>5.1706 * CHOOSE(CONTROL!$C$32, $C$9, 100%, $E$9)</f>
        <v>5.1706000000000003</v>
      </c>
      <c r="O192" s="33">
        <f>5.1742 * CHOOSE(CONTROL!$C$32, $C$9, 100%, $E$9)</f>
        <v>5.1741999999999999</v>
      </c>
    </row>
    <row r="193" spans="1:15" ht="15" x14ac:dyDescent="0.2">
      <c r="A193" s="16">
        <v>47088</v>
      </c>
      <c r="B193" s="32">
        <f>4.0607 * CHOOSE(CONTROL!$C$32, $C$9, 100%, $E$9)</f>
        <v>4.0606999999999998</v>
      </c>
      <c r="C193" s="32">
        <f>4.0607 * CHOOSE(CONTROL!$C$32, $C$9, 100%, $E$9)</f>
        <v>4.0606999999999998</v>
      </c>
      <c r="D193" s="32">
        <f>4.0618 * CHOOSE(CONTROL!$C$32, $C$9, 100%, $E$9)</f>
        <v>4.0617999999999999</v>
      </c>
      <c r="E193" s="33">
        <f>5.1706 * CHOOSE(CONTROL!$C$32, $C$9, 100%, $E$9)</f>
        <v>5.1706000000000003</v>
      </c>
      <c r="F193" s="33">
        <f>5.1706 * CHOOSE(CONTROL!$C$32, $C$9, 100%, $E$9)</f>
        <v>5.1706000000000003</v>
      </c>
      <c r="G193" s="33">
        <f>5.1742 * CHOOSE(CONTROL!$C$32, $C$9, 100%, $E$9)</f>
        <v>5.1741999999999999</v>
      </c>
      <c r="H193" s="33">
        <f>8.4429 * CHOOSE(CONTROL!$C$32, $C$9, 100%, $E$9)</f>
        <v>8.4428999999999998</v>
      </c>
      <c r="I193" s="33">
        <f>8.4465 * CHOOSE(CONTROL!$C$32, $C$9, 100%, $E$9)</f>
        <v>8.4465000000000003</v>
      </c>
      <c r="J193" s="33">
        <f>8.4429 * CHOOSE(CONTROL!$C$32, $C$9, 100%, $E$9)</f>
        <v>8.4428999999999998</v>
      </c>
      <c r="K193" s="33">
        <f>8.4465 * CHOOSE(CONTROL!$C$32, $C$9, 100%, $E$9)</f>
        <v>8.4465000000000003</v>
      </c>
      <c r="L193" s="33">
        <f>5.1706 * CHOOSE(CONTROL!$C$32, $C$9, 100%, $E$9)</f>
        <v>5.1706000000000003</v>
      </c>
      <c r="M193" s="33">
        <f>5.1742 * CHOOSE(CONTROL!$C$32, $C$9, 100%, $E$9)</f>
        <v>5.1741999999999999</v>
      </c>
      <c r="N193" s="33">
        <f>5.1706 * CHOOSE(CONTROL!$C$32, $C$9, 100%, $E$9)</f>
        <v>5.1706000000000003</v>
      </c>
      <c r="O193" s="33">
        <f>5.1742 * CHOOSE(CONTROL!$C$32, $C$9, 100%, $E$9)</f>
        <v>5.1741999999999999</v>
      </c>
    </row>
    <row r="194" spans="1:15" ht="15" x14ac:dyDescent="0.2">
      <c r="A194" s="16">
        <v>47119</v>
      </c>
      <c r="B194" s="32">
        <f>4.0932 * CHOOSE(CONTROL!$C$32, $C$9, 100%, $E$9)</f>
        <v>4.0932000000000004</v>
      </c>
      <c r="C194" s="32">
        <f>4.0932 * CHOOSE(CONTROL!$C$32, $C$9, 100%, $E$9)</f>
        <v>4.0932000000000004</v>
      </c>
      <c r="D194" s="32">
        <f>4.0943 * CHOOSE(CONTROL!$C$32, $C$9, 100%, $E$9)</f>
        <v>4.0942999999999996</v>
      </c>
      <c r="E194" s="33">
        <f>5.2103 * CHOOSE(CONTROL!$C$32, $C$9, 100%, $E$9)</f>
        <v>5.2103000000000002</v>
      </c>
      <c r="F194" s="33">
        <f>5.2103 * CHOOSE(CONTROL!$C$32, $C$9, 100%, $E$9)</f>
        <v>5.2103000000000002</v>
      </c>
      <c r="G194" s="33">
        <f>5.2139 * CHOOSE(CONTROL!$C$32, $C$9, 100%, $E$9)</f>
        <v>5.2138999999999998</v>
      </c>
      <c r="H194" s="33">
        <f>8.4605 * CHOOSE(CONTROL!$C$32, $C$9, 100%, $E$9)</f>
        <v>8.4604999999999997</v>
      </c>
      <c r="I194" s="33">
        <f>8.4641 * CHOOSE(CONTROL!$C$32, $C$9, 100%, $E$9)</f>
        <v>8.4641000000000002</v>
      </c>
      <c r="J194" s="33">
        <f>8.4605 * CHOOSE(CONTROL!$C$32, $C$9, 100%, $E$9)</f>
        <v>8.4604999999999997</v>
      </c>
      <c r="K194" s="33">
        <f>8.4641 * CHOOSE(CONTROL!$C$32, $C$9, 100%, $E$9)</f>
        <v>8.4641000000000002</v>
      </c>
      <c r="L194" s="33">
        <f>5.2103 * CHOOSE(CONTROL!$C$32, $C$9, 100%, $E$9)</f>
        <v>5.2103000000000002</v>
      </c>
      <c r="M194" s="33">
        <f>5.2139 * CHOOSE(CONTROL!$C$32, $C$9, 100%, $E$9)</f>
        <v>5.2138999999999998</v>
      </c>
      <c r="N194" s="33">
        <f>5.2103 * CHOOSE(CONTROL!$C$32, $C$9, 100%, $E$9)</f>
        <v>5.2103000000000002</v>
      </c>
      <c r="O194" s="33">
        <f>5.2139 * CHOOSE(CONTROL!$C$32, $C$9, 100%, $E$9)</f>
        <v>5.2138999999999998</v>
      </c>
    </row>
    <row r="195" spans="1:15" ht="15" x14ac:dyDescent="0.2">
      <c r="A195" s="16">
        <v>47150</v>
      </c>
      <c r="B195" s="32">
        <f>4.0902 * CHOOSE(CONTROL!$C$32, $C$9, 100%, $E$9)</f>
        <v>4.0902000000000003</v>
      </c>
      <c r="C195" s="32">
        <f>4.0902 * CHOOSE(CONTROL!$C$32, $C$9, 100%, $E$9)</f>
        <v>4.0902000000000003</v>
      </c>
      <c r="D195" s="32">
        <f>4.0913 * CHOOSE(CONTROL!$C$32, $C$9, 100%, $E$9)</f>
        <v>4.0913000000000004</v>
      </c>
      <c r="E195" s="33">
        <f>5.2083 * CHOOSE(CONTROL!$C$32, $C$9, 100%, $E$9)</f>
        <v>5.2083000000000004</v>
      </c>
      <c r="F195" s="33">
        <f>5.2083 * CHOOSE(CONTROL!$C$32, $C$9, 100%, $E$9)</f>
        <v>5.2083000000000004</v>
      </c>
      <c r="G195" s="33">
        <f>5.2119 * CHOOSE(CONTROL!$C$32, $C$9, 100%, $E$9)</f>
        <v>5.2119</v>
      </c>
      <c r="H195" s="33">
        <f>8.4781 * CHOOSE(CONTROL!$C$32, $C$9, 100%, $E$9)</f>
        <v>8.4780999999999995</v>
      </c>
      <c r="I195" s="33">
        <f>8.4818 * CHOOSE(CONTROL!$C$32, $C$9, 100%, $E$9)</f>
        <v>8.4817999999999998</v>
      </c>
      <c r="J195" s="33">
        <f>8.4781 * CHOOSE(CONTROL!$C$32, $C$9, 100%, $E$9)</f>
        <v>8.4780999999999995</v>
      </c>
      <c r="K195" s="33">
        <f>8.4818 * CHOOSE(CONTROL!$C$32, $C$9, 100%, $E$9)</f>
        <v>8.4817999999999998</v>
      </c>
      <c r="L195" s="33">
        <f>5.2083 * CHOOSE(CONTROL!$C$32, $C$9, 100%, $E$9)</f>
        <v>5.2083000000000004</v>
      </c>
      <c r="M195" s="33">
        <f>5.2119 * CHOOSE(CONTROL!$C$32, $C$9, 100%, $E$9)</f>
        <v>5.2119</v>
      </c>
      <c r="N195" s="33">
        <f>5.2083 * CHOOSE(CONTROL!$C$32, $C$9, 100%, $E$9)</f>
        <v>5.2083000000000004</v>
      </c>
      <c r="O195" s="33">
        <f>5.2119 * CHOOSE(CONTROL!$C$32, $C$9, 100%, $E$9)</f>
        <v>5.2119</v>
      </c>
    </row>
    <row r="196" spans="1:15" ht="15" x14ac:dyDescent="0.2">
      <c r="A196" s="16">
        <v>47178</v>
      </c>
      <c r="B196" s="32">
        <f>4.0872 * CHOOSE(CONTROL!$C$32, $C$9, 100%, $E$9)</f>
        <v>4.0872000000000002</v>
      </c>
      <c r="C196" s="32">
        <f>4.0872 * CHOOSE(CONTROL!$C$32, $C$9, 100%, $E$9)</f>
        <v>4.0872000000000002</v>
      </c>
      <c r="D196" s="32">
        <f>4.0882 * CHOOSE(CONTROL!$C$32, $C$9, 100%, $E$9)</f>
        <v>4.0881999999999996</v>
      </c>
      <c r="E196" s="33">
        <f>5.2063 * CHOOSE(CONTROL!$C$32, $C$9, 100%, $E$9)</f>
        <v>5.2062999999999997</v>
      </c>
      <c r="F196" s="33">
        <f>5.2063 * CHOOSE(CONTROL!$C$32, $C$9, 100%, $E$9)</f>
        <v>5.2062999999999997</v>
      </c>
      <c r="G196" s="33">
        <f>5.2099 * CHOOSE(CONTROL!$C$32, $C$9, 100%, $E$9)</f>
        <v>5.2099000000000002</v>
      </c>
      <c r="H196" s="33">
        <f>8.4958 * CHOOSE(CONTROL!$C$32, $C$9, 100%, $E$9)</f>
        <v>8.4957999999999991</v>
      </c>
      <c r="I196" s="33">
        <f>8.4994 * CHOOSE(CONTROL!$C$32, $C$9, 100%, $E$9)</f>
        <v>8.4993999999999996</v>
      </c>
      <c r="J196" s="33">
        <f>8.4958 * CHOOSE(CONTROL!$C$32, $C$9, 100%, $E$9)</f>
        <v>8.4957999999999991</v>
      </c>
      <c r="K196" s="33">
        <f>8.4994 * CHOOSE(CONTROL!$C$32, $C$9, 100%, $E$9)</f>
        <v>8.4993999999999996</v>
      </c>
      <c r="L196" s="33">
        <f>5.2063 * CHOOSE(CONTROL!$C$32, $C$9, 100%, $E$9)</f>
        <v>5.2062999999999997</v>
      </c>
      <c r="M196" s="33">
        <f>5.2099 * CHOOSE(CONTROL!$C$32, $C$9, 100%, $E$9)</f>
        <v>5.2099000000000002</v>
      </c>
      <c r="N196" s="33">
        <f>5.2063 * CHOOSE(CONTROL!$C$32, $C$9, 100%, $E$9)</f>
        <v>5.2062999999999997</v>
      </c>
      <c r="O196" s="33">
        <f>5.2099 * CHOOSE(CONTROL!$C$32, $C$9, 100%, $E$9)</f>
        <v>5.2099000000000002</v>
      </c>
    </row>
    <row r="197" spans="1:15" ht="15" x14ac:dyDescent="0.2">
      <c r="A197" s="16">
        <v>47209</v>
      </c>
      <c r="B197" s="32">
        <f>4.0849 * CHOOSE(CONTROL!$C$32, $C$9, 100%, $E$9)</f>
        <v>4.0849000000000002</v>
      </c>
      <c r="C197" s="32">
        <f>4.0849 * CHOOSE(CONTROL!$C$32, $C$9, 100%, $E$9)</f>
        <v>4.0849000000000002</v>
      </c>
      <c r="D197" s="32">
        <f>4.086 * CHOOSE(CONTROL!$C$32, $C$9, 100%, $E$9)</f>
        <v>4.0860000000000003</v>
      </c>
      <c r="E197" s="33">
        <f>5.2043 * CHOOSE(CONTROL!$C$32, $C$9, 100%, $E$9)</f>
        <v>5.2042999999999999</v>
      </c>
      <c r="F197" s="33">
        <f>5.2043 * CHOOSE(CONTROL!$C$32, $C$9, 100%, $E$9)</f>
        <v>5.2042999999999999</v>
      </c>
      <c r="G197" s="33">
        <f>5.2079 * CHOOSE(CONTROL!$C$32, $C$9, 100%, $E$9)</f>
        <v>5.2079000000000004</v>
      </c>
      <c r="H197" s="33">
        <f>8.5135 * CHOOSE(CONTROL!$C$32, $C$9, 100%, $E$9)</f>
        <v>8.5135000000000005</v>
      </c>
      <c r="I197" s="33">
        <f>8.5171 * CHOOSE(CONTROL!$C$32, $C$9, 100%, $E$9)</f>
        <v>8.5170999999999992</v>
      </c>
      <c r="J197" s="33">
        <f>8.5135 * CHOOSE(CONTROL!$C$32, $C$9, 100%, $E$9)</f>
        <v>8.5135000000000005</v>
      </c>
      <c r="K197" s="33">
        <f>8.5171 * CHOOSE(CONTROL!$C$32, $C$9, 100%, $E$9)</f>
        <v>8.5170999999999992</v>
      </c>
      <c r="L197" s="33">
        <f>5.2043 * CHOOSE(CONTROL!$C$32, $C$9, 100%, $E$9)</f>
        <v>5.2042999999999999</v>
      </c>
      <c r="M197" s="33">
        <f>5.2079 * CHOOSE(CONTROL!$C$32, $C$9, 100%, $E$9)</f>
        <v>5.2079000000000004</v>
      </c>
      <c r="N197" s="33">
        <f>5.2043 * CHOOSE(CONTROL!$C$32, $C$9, 100%, $E$9)</f>
        <v>5.2042999999999999</v>
      </c>
      <c r="O197" s="33">
        <f>5.2079 * CHOOSE(CONTROL!$C$32, $C$9, 100%, $E$9)</f>
        <v>5.2079000000000004</v>
      </c>
    </row>
    <row r="198" spans="1:15" ht="15" x14ac:dyDescent="0.2">
      <c r="A198" s="16">
        <v>47239</v>
      </c>
      <c r="B198" s="32">
        <f>4.0849 * CHOOSE(CONTROL!$C$32, $C$9, 100%, $E$9)</f>
        <v>4.0849000000000002</v>
      </c>
      <c r="C198" s="32">
        <f>4.0849 * CHOOSE(CONTROL!$C$32, $C$9, 100%, $E$9)</f>
        <v>4.0849000000000002</v>
      </c>
      <c r="D198" s="32">
        <f>4.0865 * CHOOSE(CONTROL!$C$32, $C$9, 100%, $E$9)</f>
        <v>4.0865</v>
      </c>
      <c r="E198" s="33">
        <f>5.2043 * CHOOSE(CONTROL!$C$32, $C$9, 100%, $E$9)</f>
        <v>5.2042999999999999</v>
      </c>
      <c r="F198" s="33">
        <f>5.2043 * CHOOSE(CONTROL!$C$32, $C$9, 100%, $E$9)</f>
        <v>5.2042999999999999</v>
      </c>
      <c r="G198" s="33">
        <f>5.2096 * CHOOSE(CONTROL!$C$32, $C$9, 100%, $E$9)</f>
        <v>5.2096</v>
      </c>
      <c r="H198" s="33">
        <f>8.5312 * CHOOSE(CONTROL!$C$32, $C$9, 100%, $E$9)</f>
        <v>8.5312000000000001</v>
      </c>
      <c r="I198" s="33">
        <f>8.5365 * CHOOSE(CONTROL!$C$32, $C$9, 100%, $E$9)</f>
        <v>8.5365000000000002</v>
      </c>
      <c r="J198" s="33">
        <f>8.5312 * CHOOSE(CONTROL!$C$32, $C$9, 100%, $E$9)</f>
        <v>8.5312000000000001</v>
      </c>
      <c r="K198" s="33">
        <f>8.5365 * CHOOSE(CONTROL!$C$32, $C$9, 100%, $E$9)</f>
        <v>8.5365000000000002</v>
      </c>
      <c r="L198" s="33">
        <f>5.2043 * CHOOSE(CONTROL!$C$32, $C$9, 100%, $E$9)</f>
        <v>5.2042999999999999</v>
      </c>
      <c r="M198" s="33">
        <f>5.2096 * CHOOSE(CONTROL!$C$32, $C$9, 100%, $E$9)</f>
        <v>5.2096</v>
      </c>
      <c r="N198" s="33">
        <f>5.2043 * CHOOSE(CONTROL!$C$32, $C$9, 100%, $E$9)</f>
        <v>5.2042999999999999</v>
      </c>
      <c r="O198" s="33">
        <f>5.2096 * CHOOSE(CONTROL!$C$32, $C$9, 100%, $E$9)</f>
        <v>5.2096</v>
      </c>
    </row>
    <row r="199" spans="1:15" ht="15" x14ac:dyDescent="0.2">
      <c r="A199" s="16">
        <v>47270</v>
      </c>
      <c r="B199" s="32">
        <f>4.091 * CHOOSE(CONTROL!$C$32, $C$9, 100%, $E$9)</f>
        <v>4.0910000000000002</v>
      </c>
      <c r="C199" s="32">
        <f>4.091 * CHOOSE(CONTROL!$C$32, $C$9, 100%, $E$9)</f>
        <v>4.0910000000000002</v>
      </c>
      <c r="D199" s="32">
        <f>4.0925 * CHOOSE(CONTROL!$C$32, $C$9, 100%, $E$9)</f>
        <v>4.0925000000000002</v>
      </c>
      <c r="E199" s="33">
        <f>5.2083 * CHOOSE(CONTROL!$C$32, $C$9, 100%, $E$9)</f>
        <v>5.2083000000000004</v>
      </c>
      <c r="F199" s="33">
        <f>5.2083 * CHOOSE(CONTROL!$C$32, $C$9, 100%, $E$9)</f>
        <v>5.2083000000000004</v>
      </c>
      <c r="G199" s="33">
        <f>5.2136 * CHOOSE(CONTROL!$C$32, $C$9, 100%, $E$9)</f>
        <v>5.2135999999999996</v>
      </c>
      <c r="H199" s="33">
        <f>8.549 * CHOOSE(CONTROL!$C$32, $C$9, 100%, $E$9)</f>
        <v>8.5489999999999995</v>
      </c>
      <c r="I199" s="33">
        <f>8.5543 * CHOOSE(CONTROL!$C$32, $C$9, 100%, $E$9)</f>
        <v>8.5542999999999996</v>
      </c>
      <c r="J199" s="33">
        <f>8.549 * CHOOSE(CONTROL!$C$32, $C$9, 100%, $E$9)</f>
        <v>8.5489999999999995</v>
      </c>
      <c r="K199" s="33">
        <f>8.5543 * CHOOSE(CONTROL!$C$32, $C$9, 100%, $E$9)</f>
        <v>8.5542999999999996</v>
      </c>
      <c r="L199" s="33">
        <f>5.2083 * CHOOSE(CONTROL!$C$32, $C$9, 100%, $E$9)</f>
        <v>5.2083000000000004</v>
      </c>
      <c r="M199" s="33">
        <f>5.2136 * CHOOSE(CONTROL!$C$32, $C$9, 100%, $E$9)</f>
        <v>5.2135999999999996</v>
      </c>
      <c r="N199" s="33">
        <f>5.2083 * CHOOSE(CONTROL!$C$32, $C$9, 100%, $E$9)</f>
        <v>5.2083000000000004</v>
      </c>
      <c r="O199" s="33">
        <f>5.2136 * CHOOSE(CONTROL!$C$32, $C$9, 100%, $E$9)</f>
        <v>5.2135999999999996</v>
      </c>
    </row>
    <row r="200" spans="1:15" ht="15" x14ac:dyDescent="0.2">
      <c r="A200" s="16">
        <v>47300</v>
      </c>
      <c r="B200" s="32">
        <f>4.1496 * CHOOSE(CONTROL!$C$32, $C$9, 100%, $E$9)</f>
        <v>4.1496000000000004</v>
      </c>
      <c r="C200" s="32">
        <f>4.1496 * CHOOSE(CONTROL!$C$32, $C$9, 100%, $E$9)</f>
        <v>4.1496000000000004</v>
      </c>
      <c r="D200" s="32">
        <f>4.1512 * CHOOSE(CONTROL!$C$32, $C$9, 100%, $E$9)</f>
        <v>4.1512000000000002</v>
      </c>
      <c r="E200" s="33">
        <f>5.2949 * CHOOSE(CONTROL!$C$32, $C$9, 100%, $E$9)</f>
        <v>5.2949000000000002</v>
      </c>
      <c r="F200" s="33">
        <f>5.2949 * CHOOSE(CONTROL!$C$32, $C$9, 100%, $E$9)</f>
        <v>5.2949000000000002</v>
      </c>
      <c r="G200" s="33">
        <f>5.3002 * CHOOSE(CONTROL!$C$32, $C$9, 100%, $E$9)</f>
        <v>5.3002000000000002</v>
      </c>
      <c r="H200" s="33">
        <f>8.5668 * CHOOSE(CONTROL!$C$32, $C$9, 100%, $E$9)</f>
        <v>8.5668000000000006</v>
      </c>
      <c r="I200" s="33">
        <f>8.5721 * CHOOSE(CONTROL!$C$32, $C$9, 100%, $E$9)</f>
        <v>8.5721000000000007</v>
      </c>
      <c r="J200" s="33">
        <f>8.5668 * CHOOSE(CONTROL!$C$32, $C$9, 100%, $E$9)</f>
        <v>8.5668000000000006</v>
      </c>
      <c r="K200" s="33">
        <f>8.5721 * CHOOSE(CONTROL!$C$32, $C$9, 100%, $E$9)</f>
        <v>8.5721000000000007</v>
      </c>
      <c r="L200" s="33">
        <f>5.2949 * CHOOSE(CONTROL!$C$32, $C$9, 100%, $E$9)</f>
        <v>5.2949000000000002</v>
      </c>
      <c r="M200" s="33">
        <f>5.3002 * CHOOSE(CONTROL!$C$32, $C$9, 100%, $E$9)</f>
        <v>5.3002000000000002</v>
      </c>
      <c r="N200" s="33">
        <f>5.2949 * CHOOSE(CONTROL!$C$32, $C$9, 100%, $E$9)</f>
        <v>5.2949000000000002</v>
      </c>
      <c r="O200" s="33">
        <f>5.3002 * CHOOSE(CONTROL!$C$32, $C$9, 100%, $E$9)</f>
        <v>5.3002000000000002</v>
      </c>
    </row>
    <row r="201" spans="1:15" ht="15" x14ac:dyDescent="0.2">
      <c r="A201" s="16">
        <v>47331</v>
      </c>
      <c r="B201" s="32">
        <f>4.1563 * CHOOSE(CONTROL!$C$32, $C$9, 100%, $E$9)</f>
        <v>4.1562999999999999</v>
      </c>
      <c r="C201" s="32">
        <f>4.1563 * CHOOSE(CONTROL!$C$32, $C$9, 100%, $E$9)</f>
        <v>4.1562999999999999</v>
      </c>
      <c r="D201" s="32">
        <f>4.1579 * CHOOSE(CONTROL!$C$32, $C$9, 100%, $E$9)</f>
        <v>4.1578999999999997</v>
      </c>
      <c r="E201" s="33">
        <f>5.2993 * CHOOSE(CONTROL!$C$32, $C$9, 100%, $E$9)</f>
        <v>5.2992999999999997</v>
      </c>
      <c r="F201" s="33">
        <f>5.2993 * CHOOSE(CONTROL!$C$32, $C$9, 100%, $E$9)</f>
        <v>5.2992999999999997</v>
      </c>
      <c r="G201" s="33">
        <f>5.3046 * CHOOSE(CONTROL!$C$32, $C$9, 100%, $E$9)</f>
        <v>5.3045999999999998</v>
      </c>
      <c r="H201" s="33">
        <f>8.5847 * CHOOSE(CONTROL!$C$32, $C$9, 100%, $E$9)</f>
        <v>8.5846999999999998</v>
      </c>
      <c r="I201" s="33">
        <f>8.59 * CHOOSE(CONTROL!$C$32, $C$9, 100%, $E$9)</f>
        <v>8.59</v>
      </c>
      <c r="J201" s="33">
        <f>8.5847 * CHOOSE(CONTROL!$C$32, $C$9, 100%, $E$9)</f>
        <v>8.5846999999999998</v>
      </c>
      <c r="K201" s="33">
        <f>8.59 * CHOOSE(CONTROL!$C$32, $C$9, 100%, $E$9)</f>
        <v>8.59</v>
      </c>
      <c r="L201" s="33">
        <f>5.2993 * CHOOSE(CONTROL!$C$32, $C$9, 100%, $E$9)</f>
        <v>5.2992999999999997</v>
      </c>
      <c r="M201" s="33">
        <f>5.3046 * CHOOSE(CONTROL!$C$32, $C$9, 100%, $E$9)</f>
        <v>5.3045999999999998</v>
      </c>
      <c r="N201" s="33">
        <f>5.2993 * CHOOSE(CONTROL!$C$32, $C$9, 100%, $E$9)</f>
        <v>5.2992999999999997</v>
      </c>
      <c r="O201" s="33">
        <f>5.3046 * CHOOSE(CONTROL!$C$32, $C$9, 100%, $E$9)</f>
        <v>5.3045999999999998</v>
      </c>
    </row>
    <row r="202" spans="1:15" ht="15" x14ac:dyDescent="0.2">
      <c r="A202" s="16">
        <v>47362</v>
      </c>
      <c r="B202" s="32">
        <f>4.1533 * CHOOSE(CONTROL!$C$32, $C$9, 100%, $E$9)</f>
        <v>4.1532999999999998</v>
      </c>
      <c r="C202" s="32">
        <f>4.1533 * CHOOSE(CONTROL!$C$32, $C$9, 100%, $E$9)</f>
        <v>4.1532999999999998</v>
      </c>
      <c r="D202" s="32">
        <f>4.1548 * CHOOSE(CONTROL!$C$32, $C$9, 100%, $E$9)</f>
        <v>4.1547999999999998</v>
      </c>
      <c r="E202" s="33">
        <f>5.2973 * CHOOSE(CONTROL!$C$32, $C$9, 100%, $E$9)</f>
        <v>5.2972999999999999</v>
      </c>
      <c r="F202" s="33">
        <f>5.2973 * CHOOSE(CONTROL!$C$32, $C$9, 100%, $E$9)</f>
        <v>5.2972999999999999</v>
      </c>
      <c r="G202" s="33">
        <f>5.3026 * CHOOSE(CONTROL!$C$32, $C$9, 100%, $E$9)</f>
        <v>5.3026</v>
      </c>
      <c r="H202" s="33">
        <f>8.6026 * CHOOSE(CONTROL!$C$32, $C$9, 100%, $E$9)</f>
        <v>8.6026000000000007</v>
      </c>
      <c r="I202" s="33">
        <f>8.6079 * CHOOSE(CONTROL!$C$32, $C$9, 100%, $E$9)</f>
        <v>8.6079000000000008</v>
      </c>
      <c r="J202" s="33">
        <f>8.6026 * CHOOSE(CONTROL!$C$32, $C$9, 100%, $E$9)</f>
        <v>8.6026000000000007</v>
      </c>
      <c r="K202" s="33">
        <f>8.6079 * CHOOSE(CONTROL!$C$32, $C$9, 100%, $E$9)</f>
        <v>8.6079000000000008</v>
      </c>
      <c r="L202" s="33">
        <f>5.2973 * CHOOSE(CONTROL!$C$32, $C$9, 100%, $E$9)</f>
        <v>5.2972999999999999</v>
      </c>
      <c r="M202" s="33">
        <f>5.3026 * CHOOSE(CONTROL!$C$32, $C$9, 100%, $E$9)</f>
        <v>5.3026</v>
      </c>
      <c r="N202" s="33">
        <f>5.2973 * CHOOSE(CONTROL!$C$32, $C$9, 100%, $E$9)</f>
        <v>5.2972999999999999</v>
      </c>
      <c r="O202" s="33">
        <f>5.3026 * CHOOSE(CONTROL!$C$32, $C$9, 100%, $E$9)</f>
        <v>5.3026</v>
      </c>
    </row>
    <row r="203" spans="1:15" ht="15" x14ac:dyDescent="0.2">
      <c r="A203" s="16">
        <v>47392</v>
      </c>
      <c r="B203" s="32">
        <f>4.1489 * CHOOSE(CONTROL!$C$32, $C$9, 100%, $E$9)</f>
        <v>4.1489000000000003</v>
      </c>
      <c r="C203" s="32">
        <f>4.1489 * CHOOSE(CONTROL!$C$32, $C$9, 100%, $E$9)</f>
        <v>4.1489000000000003</v>
      </c>
      <c r="D203" s="32">
        <f>4.15 * CHOOSE(CONTROL!$C$32, $C$9, 100%, $E$9)</f>
        <v>4.1500000000000004</v>
      </c>
      <c r="E203" s="33">
        <f>5.2923 * CHOOSE(CONTROL!$C$32, $C$9, 100%, $E$9)</f>
        <v>5.2923</v>
      </c>
      <c r="F203" s="33">
        <f>5.2923 * CHOOSE(CONTROL!$C$32, $C$9, 100%, $E$9)</f>
        <v>5.2923</v>
      </c>
      <c r="G203" s="33">
        <f>5.2959 * CHOOSE(CONTROL!$C$32, $C$9, 100%, $E$9)</f>
        <v>5.2958999999999996</v>
      </c>
      <c r="H203" s="33">
        <f>8.6205 * CHOOSE(CONTROL!$C$32, $C$9, 100%, $E$9)</f>
        <v>8.6204999999999998</v>
      </c>
      <c r="I203" s="33">
        <f>8.6241 * CHOOSE(CONTROL!$C$32, $C$9, 100%, $E$9)</f>
        <v>8.6241000000000003</v>
      </c>
      <c r="J203" s="33">
        <f>8.6205 * CHOOSE(CONTROL!$C$32, $C$9, 100%, $E$9)</f>
        <v>8.6204999999999998</v>
      </c>
      <c r="K203" s="33">
        <f>8.6241 * CHOOSE(CONTROL!$C$32, $C$9, 100%, $E$9)</f>
        <v>8.6241000000000003</v>
      </c>
      <c r="L203" s="33">
        <f>5.2923 * CHOOSE(CONTROL!$C$32, $C$9, 100%, $E$9)</f>
        <v>5.2923</v>
      </c>
      <c r="M203" s="33">
        <f>5.2959 * CHOOSE(CONTROL!$C$32, $C$9, 100%, $E$9)</f>
        <v>5.2958999999999996</v>
      </c>
      <c r="N203" s="33">
        <f>5.2923 * CHOOSE(CONTROL!$C$32, $C$9, 100%, $E$9)</f>
        <v>5.2923</v>
      </c>
      <c r="O203" s="33">
        <f>5.2959 * CHOOSE(CONTROL!$C$32, $C$9, 100%, $E$9)</f>
        <v>5.2958999999999996</v>
      </c>
    </row>
    <row r="204" spans="1:15" ht="15" x14ac:dyDescent="0.2">
      <c r="A204" s="16">
        <v>47423</v>
      </c>
      <c r="B204" s="32">
        <f>4.152 * CHOOSE(CONTROL!$C$32, $C$9, 100%, $E$9)</f>
        <v>4.1520000000000001</v>
      </c>
      <c r="C204" s="32">
        <f>4.152 * CHOOSE(CONTROL!$C$32, $C$9, 100%, $E$9)</f>
        <v>4.1520000000000001</v>
      </c>
      <c r="D204" s="32">
        <f>4.153 * CHOOSE(CONTROL!$C$32, $C$9, 100%, $E$9)</f>
        <v>4.1529999999999996</v>
      </c>
      <c r="E204" s="33">
        <f>5.2943 * CHOOSE(CONTROL!$C$32, $C$9, 100%, $E$9)</f>
        <v>5.2942999999999998</v>
      </c>
      <c r="F204" s="33">
        <f>5.2943 * CHOOSE(CONTROL!$C$32, $C$9, 100%, $E$9)</f>
        <v>5.2942999999999998</v>
      </c>
      <c r="G204" s="33">
        <f>5.2979 * CHOOSE(CONTROL!$C$32, $C$9, 100%, $E$9)</f>
        <v>5.2979000000000003</v>
      </c>
      <c r="H204" s="33">
        <f>8.6384 * CHOOSE(CONTROL!$C$32, $C$9, 100%, $E$9)</f>
        <v>8.6384000000000007</v>
      </c>
      <c r="I204" s="33">
        <f>8.6421 * CHOOSE(CONTROL!$C$32, $C$9, 100%, $E$9)</f>
        <v>8.6420999999999992</v>
      </c>
      <c r="J204" s="33">
        <f>8.6384 * CHOOSE(CONTROL!$C$32, $C$9, 100%, $E$9)</f>
        <v>8.6384000000000007</v>
      </c>
      <c r="K204" s="33">
        <f>8.6421 * CHOOSE(CONTROL!$C$32, $C$9, 100%, $E$9)</f>
        <v>8.6420999999999992</v>
      </c>
      <c r="L204" s="33">
        <f>5.2943 * CHOOSE(CONTROL!$C$32, $C$9, 100%, $E$9)</f>
        <v>5.2942999999999998</v>
      </c>
      <c r="M204" s="33">
        <f>5.2979 * CHOOSE(CONTROL!$C$32, $C$9, 100%, $E$9)</f>
        <v>5.2979000000000003</v>
      </c>
      <c r="N204" s="33">
        <f>5.2943 * CHOOSE(CONTROL!$C$32, $C$9, 100%, $E$9)</f>
        <v>5.2942999999999998</v>
      </c>
      <c r="O204" s="33">
        <f>5.2979 * CHOOSE(CONTROL!$C$32, $C$9, 100%, $E$9)</f>
        <v>5.2979000000000003</v>
      </c>
    </row>
    <row r="205" spans="1:15" ht="15" x14ac:dyDescent="0.2">
      <c r="A205" s="16">
        <v>47453</v>
      </c>
      <c r="B205" s="32">
        <f>4.152 * CHOOSE(CONTROL!$C$32, $C$9, 100%, $E$9)</f>
        <v>4.1520000000000001</v>
      </c>
      <c r="C205" s="32">
        <f>4.152 * CHOOSE(CONTROL!$C$32, $C$9, 100%, $E$9)</f>
        <v>4.1520000000000001</v>
      </c>
      <c r="D205" s="32">
        <f>4.153 * CHOOSE(CONTROL!$C$32, $C$9, 100%, $E$9)</f>
        <v>4.1529999999999996</v>
      </c>
      <c r="E205" s="33">
        <f>5.2943 * CHOOSE(CONTROL!$C$32, $C$9, 100%, $E$9)</f>
        <v>5.2942999999999998</v>
      </c>
      <c r="F205" s="33">
        <f>5.2943 * CHOOSE(CONTROL!$C$32, $C$9, 100%, $E$9)</f>
        <v>5.2942999999999998</v>
      </c>
      <c r="G205" s="33">
        <f>5.2979 * CHOOSE(CONTROL!$C$32, $C$9, 100%, $E$9)</f>
        <v>5.2979000000000003</v>
      </c>
      <c r="H205" s="33">
        <f>8.6564 * CHOOSE(CONTROL!$C$32, $C$9, 100%, $E$9)</f>
        <v>8.6563999999999997</v>
      </c>
      <c r="I205" s="33">
        <f>8.6601 * CHOOSE(CONTROL!$C$32, $C$9, 100%, $E$9)</f>
        <v>8.6600999999999999</v>
      </c>
      <c r="J205" s="33">
        <f>8.6564 * CHOOSE(CONTROL!$C$32, $C$9, 100%, $E$9)</f>
        <v>8.6563999999999997</v>
      </c>
      <c r="K205" s="33">
        <f>8.6601 * CHOOSE(CONTROL!$C$32, $C$9, 100%, $E$9)</f>
        <v>8.6600999999999999</v>
      </c>
      <c r="L205" s="33">
        <f>5.2943 * CHOOSE(CONTROL!$C$32, $C$9, 100%, $E$9)</f>
        <v>5.2942999999999998</v>
      </c>
      <c r="M205" s="33">
        <f>5.2979 * CHOOSE(CONTROL!$C$32, $C$9, 100%, $E$9)</f>
        <v>5.2979000000000003</v>
      </c>
      <c r="N205" s="33">
        <f>5.2943 * CHOOSE(CONTROL!$C$32, $C$9, 100%, $E$9)</f>
        <v>5.2942999999999998</v>
      </c>
      <c r="O205" s="33">
        <f>5.2979 * CHOOSE(CONTROL!$C$32, $C$9, 100%, $E$9)</f>
        <v>5.2979000000000003</v>
      </c>
    </row>
    <row r="206" spans="1:15" ht="15" x14ac:dyDescent="0.2">
      <c r="A206" s="16">
        <v>47484</v>
      </c>
      <c r="B206" s="32">
        <f>4.1883 * CHOOSE(CONTROL!$C$32, $C$9, 100%, $E$9)</f>
        <v>4.1882999999999999</v>
      </c>
      <c r="C206" s="32">
        <f>4.1883 * CHOOSE(CONTROL!$C$32, $C$9, 100%, $E$9)</f>
        <v>4.1882999999999999</v>
      </c>
      <c r="D206" s="32">
        <f>4.1893 * CHOOSE(CONTROL!$C$32, $C$9, 100%, $E$9)</f>
        <v>4.1893000000000002</v>
      </c>
      <c r="E206" s="33">
        <f>5.3388 * CHOOSE(CONTROL!$C$32, $C$9, 100%, $E$9)</f>
        <v>5.3388</v>
      </c>
      <c r="F206" s="33">
        <f>5.3388 * CHOOSE(CONTROL!$C$32, $C$9, 100%, $E$9)</f>
        <v>5.3388</v>
      </c>
      <c r="G206" s="33">
        <f>5.3424 * CHOOSE(CONTROL!$C$32, $C$9, 100%, $E$9)</f>
        <v>5.3423999999999996</v>
      </c>
      <c r="H206" s="33">
        <f>8.6745 * CHOOSE(CONTROL!$C$32, $C$9, 100%, $E$9)</f>
        <v>8.6745000000000001</v>
      </c>
      <c r="I206" s="33">
        <f>8.6781 * CHOOSE(CONTROL!$C$32, $C$9, 100%, $E$9)</f>
        <v>8.6781000000000006</v>
      </c>
      <c r="J206" s="33">
        <f>8.6745 * CHOOSE(CONTROL!$C$32, $C$9, 100%, $E$9)</f>
        <v>8.6745000000000001</v>
      </c>
      <c r="K206" s="33">
        <f>8.6781 * CHOOSE(CONTROL!$C$32, $C$9, 100%, $E$9)</f>
        <v>8.6781000000000006</v>
      </c>
      <c r="L206" s="33">
        <f>5.3388 * CHOOSE(CONTROL!$C$32, $C$9, 100%, $E$9)</f>
        <v>5.3388</v>
      </c>
      <c r="M206" s="33">
        <f>5.3424 * CHOOSE(CONTROL!$C$32, $C$9, 100%, $E$9)</f>
        <v>5.3423999999999996</v>
      </c>
      <c r="N206" s="33">
        <f>5.3388 * CHOOSE(CONTROL!$C$32, $C$9, 100%, $E$9)</f>
        <v>5.3388</v>
      </c>
      <c r="O206" s="33">
        <f>5.3424 * CHOOSE(CONTROL!$C$32, $C$9, 100%, $E$9)</f>
        <v>5.3423999999999996</v>
      </c>
    </row>
    <row r="207" spans="1:15" ht="15" x14ac:dyDescent="0.2">
      <c r="A207" s="16">
        <v>47515</v>
      </c>
      <c r="B207" s="32">
        <f>4.1852 * CHOOSE(CONTROL!$C$32, $C$9, 100%, $E$9)</f>
        <v>4.1852</v>
      </c>
      <c r="C207" s="32">
        <f>4.1852 * CHOOSE(CONTROL!$C$32, $C$9, 100%, $E$9)</f>
        <v>4.1852</v>
      </c>
      <c r="D207" s="32">
        <f>4.1863 * CHOOSE(CONTROL!$C$32, $C$9, 100%, $E$9)</f>
        <v>4.1863000000000001</v>
      </c>
      <c r="E207" s="33">
        <f>5.3368 * CHOOSE(CONTROL!$C$32, $C$9, 100%, $E$9)</f>
        <v>5.3368000000000002</v>
      </c>
      <c r="F207" s="33">
        <f>5.3368 * CHOOSE(CONTROL!$C$32, $C$9, 100%, $E$9)</f>
        <v>5.3368000000000002</v>
      </c>
      <c r="G207" s="33">
        <f>5.3404 * CHOOSE(CONTROL!$C$32, $C$9, 100%, $E$9)</f>
        <v>5.3403999999999998</v>
      </c>
      <c r="H207" s="33">
        <f>8.6925 * CHOOSE(CONTROL!$C$32, $C$9, 100%, $E$9)</f>
        <v>8.6925000000000008</v>
      </c>
      <c r="I207" s="33">
        <f>8.6962 * CHOOSE(CONTROL!$C$32, $C$9, 100%, $E$9)</f>
        <v>8.6961999999999993</v>
      </c>
      <c r="J207" s="33">
        <f>8.6925 * CHOOSE(CONTROL!$C$32, $C$9, 100%, $E$9)</f>
        <v>8.6925000000000008</v>
      </c>
      <c r="K207" s="33">
        <f>8.6962 * CHOOSE(CONTROL!$C$32, $C$9, 100%, $E$9)</f>
        <v>8.6961999999999993</v>
      </c>
      <c r="L207" s="33">
        <f>5.3368 * CHOOSE(CONTROL!$C$32, $C$9, 100%, $E$9)</f>
        <v>5.3368000000000002</v>
      </c>
      <c r="M207" s="33">
        <f>5.3404 * CHOOSE(CONTROL!$C$32, $C$9, 100%, $E$9)</f>
        <v>5.3403999999999998</v>
      </c>
      <c r="N207" s="33">
        <f>5.3368 * CHOOSE(CONTROL!$C$32, $C$9, 100%, $E$9)</f>
        <v>5.3368000000000002</v>
      </c>
      <c r="O207" s="33">
        <f>5.3404 * CHOOSE(CONTROL!$C$32, $C$9, 100%, $E$9)</f>
        <v>5.3403999999999998</v>
      </c>
    </row>
    <row r="208" spans="1:15" ht="15" x14ac:dyDescent="0.2">
      <c r="A208" s="16">
        <v>47543</v>
      </c>
      <c r="B208" s="32">
        <f>4.1822 * CHOOSE(CONTROL!$C$32, $C$9, 100%, $E$9)</f>
        <v>4.1821999999999999</v>
      </c>
      <c r="C208" s="32">
        <f>4.1822 * CHOOSE(CONTROL!$C$32, $C$9, 100%, $E$9)</f>
        <v>4.1821999999999999</v>
      </c>
      <c r="D208" s="32">
        <f>4.1833 * CHOOSE(CONTROL!$C$32, $C$9, 100%, $E$9)</f>
        <v>4.1833</v>
      </c>
      <c r="E208" s="33">
        <f>5.3348 * CHOOSE(CONTROL!$C$32, $C$9, 100%, $E$9)</f>
        <v>5.3348000000000004</v>
      </c>
      <c r="F208" s="33">
        <f>5.3348 * CHOOSE(CONTROL!$C$32, $C$9, 100%, $E$9)</f>
        <v>5.3348000000000004</v>
      </c>
      <c r="G208" s="33">
        <f>5.3384 * CHOOSE(CONTROL!$C$32, $C$9, 100%, $E$9)</f>
        <v>5.3384</v>
      </c>
      <c r="H208" s="33">
        <f>8.7107 * CHOOSE(CONTROL!$C$32, $C$9, 100%, $E$9)</f>
        <v>8.7106999999999992</v>
      </c>
      <c r="I208" s="33">
        <f>8.7143 * CHOOSE(CONTROL!$C$32, $C$9, 100%, $E$9)</f>
        <v>8.7142999999999997</v>
      </c>
      <c r="J208" s="33">
        <f>8.7107 * CHOOSE(CONTROL!$C$32, $C$9, 100%, $E$9)</f>
        <v>8.7106999999999992</v>
      </c>
      <c r="K208" s="33">
        <f>8.7143 * CHOOSE(CONTROL!$C$32, $C$9, 100%, $E$9)</f>
        <v>8.7142999999999997</v>
      </c>
      <c r="L208" s="33">
        <f>5.3348 * CHOOSE(CONTROL!$C$32, $C$9, 100%, $E$9)</f>
        <v>5.3348000000000004</v>
      </c>
      <c r="M208" s="33">
        <f>5.3384 * CHOOSE(CONTROL!$C$32, $C$9, 100%, $E$9)</f>
        <v>5.3384</v>
      </c>
      <c r="N208" s="33">
        <f>5.3348 * CHOOSE(CONTROL!$C$32, $C$9, 100%, $E$9)</f>
        <v>5.3348000000000004</v>
      </c>
      <c r="O208" s="33">
        <f>5.3384 * CHOOSE(CONTROL!$C$32, $C$9, 100%, $E$9)</f>
        <v>5.3384</v>
      </c>
    </row>
    <row r="209" spans="1:15" ht="15" x14ac:dyDescent="0.2">
      <c r="A209" s="16">
        <v>47574</v>
      </c>
      <c r="B209" s="32">
        <f>4.18 * CHOOSE(CONTROL!$C$32, $C$9, 100%, $E$9)</f>
        <v>4.18</v>
      </c>
      <c r="C209" s="32">
        <f>4.18 * CHOOSE(CONTROL!$C$32, $C$9, 100%, $E$9)</f>
        <v>4.18</v>
      </c>
      <c r="D209" s="32">
        <f>4.1811 * CHOOSE(CONTROL!$C$32, $C$9, 100%, $E$9)</f>
        <v>4.1810999999999998</v>
      </c>
      <c r="E209" s="33">
        <f>5.3328 * CHOOSE(CONTROL!$C$32, $C$9, 100%, $E$9)</f>
        <v>5.3327999999999998</v>
      </c>
      <c r="F209" s="33">
        <f>5.3328 * CHOOSE(CONTROL!$C$32, $C$9, 100%, $E$9)</f>
        <v>5.3327999999999998</v>
      </c>
      <c r="G209" s="33">
        <f>5.3364 * CHOOSE(CONTROL!$C$32, $C$9, 100%, $E$9)</f>
        <v>5.3364000000000003</v>
      </c>
      <c r="H209" s="33">
        <f>8.7288 * CHOOSE(CONTROL!$C$32, $C$9, 100%, $E$9)</f>
        <v>8.7287999999999997</v>
      </c>
      <c r="I209" s="33">
        <f>8.7324 * CHOOSE(CONTROL!$C$32, $C$9, 100%, $E$9)</f>
        <v>8.7324000000000002</v>
      </c>
      <c r="J209" s="33">
        <f>8.7288 * CHOOSE(CONTROL!$C$32, $C$9, 100%, $E$9)</f>
        <v>8.7287999999999997</v>
      </c>
      <c r="K209" s="33">
        <f>8.7324 * CHOOSE(CONTROL!$C$32, $C$9, 100%, $E$9)</f>
        <v>8.7324000000000002</v>
      </c>
      <c r="L209" s="33">
        <f>5.3328 * CHOOSE(CONTROL!$C$32, $C$9, 100%, $E$9)</f>
        <v>5.3327999999999998</v>
      </c>
      <c r="M209" s="33">
        <f>5.3364 * CHOOSE(CONTROL!$C$32, $C$9, 100%, $E$9)</f>
        <v>5.3364000000000003</v>
      </c>
      <c r="N209" s="33">
        <f>5.3328 * CHOOSE(CONTROL!$C$32, $C$9, 100%, $E$9)</f>
        <v>5.3327999999999998</v>
      </c>
      <c r="O209" s="33">
        <f>5.3364 * CHOOSE(CONTROL!$C$32, $C$9, 100%, $E$9)</f>
        <v>5.3364000000000003</v>
      </c>
    </row>
    <row r="210" spans="1:15" ht="15" x14ac:dyDescent="0.2">
      <c r="A210" s="16">
        <v>47604</v>
      </c>
      <c r="B210" s="32">
        <f>4.18 * CHOOSE(CONTROL!$C$32, $C$9, 100%, $E$9)</f>
        <v>4.18</v>
      </c>
      <c r="C210" s="32">
        <f>4.18 * CHOOSE(CONTROL!$C$32, $C$9, 100%, $E$9)</f>
        <v>4.18</v>
      </c>
      <c r="D210" s="32">
        <f>4.1816 * CHOOSE(CONTROL!$C$32, $C$9, 100%, $E$9)</f>
        <v>4.1816000000000004</v>
      </c>
      <c r="E210" s="33">
        <f>5.3328 * CHOOSE(CONTROL!$C$32, $C$9, 100%, $E$9)</f>
        <v>5.3327999999999998</v>
      </c>
      <c r="F210" s="33">
        <f>5.3328 * CHOOSE(CONTROL!$C$32, $C$9, 100%, $E$9)</f>
        <v>5.3327999999999998</v>
      </c>
      <c r="G210" s="33">
        <f>5.3381 * CHOOSE(CONTROL!$C$32, $C$9, 100%, $E$9)</f>
        <v>5.3380999999999998</v>
      </c>
      <c r="H210" s="33">
        <f>8.747 * CHOOSE(CONTROL!$C$32, $C$9, 100%, $E$9)</f>
        <v>8.7469999999999999</v>
      </c>
      <c r="I210" s="33">
        <f>8.7523 * CHOOSE(CONTROL!$C$32, $C$9, 100%, $E$9)</f>
        <v>8.7523</v>
      </c>
      <c r="J210" s="33">
        <f>8.747 * CHOOSE(CONTROL!$C$32, $C$9, 100%, $E$9)</f>
        <v>8.7469999999999999</v>
      </c>
      <c r="K210" s="33">
        <f>8.7523 * CHOOSE(CONTROL!$C$32, $C$9, 100%, $E$9)</f>
        <v>8.7523</v>
      </c>
      <c r="L210" s="33">
        <f>5.3328 * CHOOSE(CONTROL!$C$32, $C$9, 100%, $E$9)</f>
        <v>5.3327999999999998</v>
      </c>
      <c r="M210" s="33">
        <f>5.3381 * CHOOSE(CONTROL!$C$32, $C$9, 100%, $E$9)</f>
        <v>5.3380999999999998</v>
      </c>
      <c r="N210" s="33">
        <f>5.3328 * CHOOSE(CONTROL!$C$32, $C$9, 100%, $E$9)</f>
        <v>5.3327999999999998</v>
      </c>
      <c r="O210" s="33">
        <f>5.3381 * CHOOSE(CONTROL!$C$32, $C$9, 100%, $E$9)</f>
        <v>5.3380999999999998</v>
      </c>
    </row>
    <row r="211" spans="1:15" ht="15" x14ac:dyDescent="0.2">
      <c r="A211" s="16">
        <v>47635</v>
      </c>
      <c r="B211" s="32">
        <f>4.1861 * CHOOSE(CONTROL!$C$32, $C$9, 100%, $E$9)</f>
        <v>4.1860999999999997</v>
      </c>
      <c r="C211" s="32">
        <f>4.1861 * CHOOSE(CONTROL!$C$32, $C$9, 100%, $E$9)</f>
        <v>4.1860999999999997</v>
      </c>
      <c r="D211" s="32">
        <f>4.1877 * CHOOSE(CONTROL!$C$32, $C$9, 100%, $E$9)</f>
        <v>4.1877000000000004</v>
      </c>
      <c r="E211" s="33">
        <f>5.3368 * CHOOSE(CONTROL!$C$32, $C$9, 100%, $E$9)</f>
        <v>5.3368000000000002</v>
      </c>
      <c r="F211" s="33">
        <f>5.3368 * CHOOSE(CONTROL!$C$32, $C$9, 100%, $E$9)</f>
        <v>5.3368000000000002</v>
      </c>
      <c r="G211" s="33">
        <f>5.3421 * CHOOSE(CONTROL!$C$32, $C$9, 100%, $E$9)</f>
        <v>5.3421000000000003</v>
      </c>
      <c r="H211" s="33">
        <f>8.7652 * CHOOSE(CONTROL!$C$32, $C$9, 100%, $E$9)</f>
        <v>8.7652000000000001</v>
      </c>
      <c r="I211" s="33">
        <f>8.7705 * CHOOSE(CONTROL!$C$32, $C$9, 100%, $E$9)</f>
        <v>8.7705000000000002</v>
      </c>
      <c r="J211" s="33">
        <f>8.7652 * CHOOSE(CONTROL!$C$32, $C$9, 100%, $E$9)</f>
        <v>8.7652000000000001</v>
      </c>
      <c r="K211" s="33">
        <f>8.7705 * CHOOSE(CONTROL!$C$32, $C$9, 100%, $E$9)</f>
        <v>8.7705000000000002</v>
      </c>
      <c r="L211" s="33">
        <f>5.3368 * CHOOSE(CONTROL!$C$32, $C$9, 100%, $E$9)</f>
        <v>5.3368000000000002</v>
      </c>
      <c r="M211" s="33">
        <f>5.3421 * CHOOSE(CONTROL!$C$32, $C$9, 100%, $E$9)</f>
        <v>5.3421000000000003</v>
      </c>
      <c r="N211" s="33">
        <f>5.3368 * CHOOSE(CONTROL!$C$32, $C$9, 100%, $E$9)</f>
        <v>5.3368000000000002</v>
      </c>
      <c r="O211" s="33">
        <f>5.3421 * CHOOSE(CONTROL!$C$32, $C$9, 100%, $E$9)</f>
        <v>5.3421000000000003</v>
      </c>
    </row>
    <row r="212" spans="1:15" ht="15" x14ac:dyDescent="0.2">
      <c r="A212" s="16">
        <v>47665</v>
      </c>
      <c r="B212" s="32">
        <f>4.2533 * CHOOSE(CONTROL!$C$32, $C$9, 100%, $E$9)</f>
        <v>4.2533000000000003</v>
      </c>
      <c r="C212" s="32">
        <f>4.2533 * CHOOSE(CONTROL!$C$32, $C$9, 100%, $E$9)</f>
        <v>4.2533000000000003</v>
      </c>
      <c r="D212" s="32">
        <f>4.2549 * CHOOSE(CONTROL!$C$32, $C$9, 100%, $E$9)</f>
        <v>4.2549000000000001</v>
      </c>
      <c r="E212" s="33">
        <f>5.4347 * CHOOSE(CONTROL!$C$32, $C$9, 100%, $E$9)</f>
        <v>5.4347000000000003</v>
      </c>
      <c r="F212" s="33">
        <f>5.4347 * CHOOSE(CONTROL!$C$32, $C$9, 100%, $E$9)</f>
        <v>5.4347000000000003</v>
      </c>
      <c r="G212" s="33">
        <f>5.44 * CHOOSE(CONTROL!$C$32, $C$9, 100%, $E$9)</f>
        <v>5.44</v>
      </c>
      <c r="H212" s="33">
        <f>8.7835 * CHOOSE(CONTROL!$C$32, $C$9, 100%, $E$9)</f>
        <v>8.7835000000000001</v>
      </c>
      <c r="I212" s="33">
        <f>8.7888 * CHOOSE(CONTROL!$C$32, $C$9, 100%, $E$9)</f>
        <v>8.7888000000000002</v>
      </c>
      <c r="J212" s="33">
        <f>8.7835 * CHOOSE(CONTROL!$C$32, $C$9, 100%, $E$9)</f>
        <v>8.7835000000000001</v>
      </c>
      <c r="K212" s="33">
        <f>8.7888 * CHOOSE(CONTROL!$C$32, $C$9, 100%, $E$9)</f>
        <v>8.7888000000000002</v>
      </c>
      <c r="L212" s="33">
        <f>5.4347 * CHOOSE(CONTROL!$C$32, $C$9, 100%, $E$9)</f>
        <v>5.4347000000000003</v>
      </c>
      <c r="M212" s="33">
        <f>5.44 * CHOOSE(CONTROL!$C$32, $C$9, 100%, $E$9)</f>
        <v>5.44</v>
      </c>
      <c r="N212" s="33">
        <f>5.4347 * CHOOSE(CONTROL!$C$32, $C$9, 100%, $E$9)</f>
        <v>5.4347000000000003</v>
      </c>
      <c r="O212" s="33">
        <f>5.44 * CHOOSE(CONTROL!$C$32, $C$9, 100%, $E$9)</f>
        <v>5.44</v>
      </c>
    </row>
    <row r="213" spans="1:15" ht="15" x14ac:dyDescent="0.2">
      <c r="A213" s="16">
        <v>47696</v>
      </c>
      <c r="B213" s="32">
        <f>4.26 * CHOOSE(CONTROL!$C$32, $C$9, 100%, $E$9)</f>
        <v>4.26</v>
      </c>
      <c r="C213" s="32">
        <f>4.26 * CHOOSE(CONTROL!$C$32, $C$9, 100%, $E$9)</f>
        <v>4.26</v>
      </c>
      <c r="D213" s="32">
        <f>4.2616 * CHOOSE(CONTROL!$C$32, $C$9, 100%, $E$9)</f>
        <v>4.2615999999999996</v>
      </c>
      <c r="E213" s="33">
        <f>5.4391 * CHOOSE(CONTROL!$C$32, $C$9, 100%, $E$9)</f>
        <v>5.4390999999999998</v>
      </c>
      <c r="F213" s="33">
        <f>5.4391 * CHOOSE(CONTROL!$C$32, $C$9, 100%, $E$9)</f>
        <v>5.4390999999999998</v>
      </c>
      <c r="G213" s="33">
        <f>5.4444 * CHOOSE(CONTROL!$C$32, $C$9, 100%, $E$9)</f>
        <v>5.4443999999999999</v>
      </c>
      <c r="H213" s="33">
        <f>8.8018 * CHOOSE(CONTROL!$C$32, $C$9, 100%, $E$9)</f>
        <v>8.8018000000000001</v>
      </c>
      <c r="I213" s="33">
        <f>8.8071 * CHOOSE(CONTROL!$C$32, $C$9, 100%, $E$9)</f>
        <v>8.8071000000000002</v>
      </c>
      <c r="J213" s="33">
        <f>8.8018 * CHOOSE(CONTROL!$C$32, $C$9, 100%, $E$9)</f>
        <v>8.8018000000000001</v>
      </c>
      <c r="K213" s="33">
        <f>8.8071 * CHOOSE(CONTROL!$C$32, $C$9, 100%, $E$9)</f>
        <v>8.8071000000000002</v>
      </c>
      <c r="L213" s="33">
        <f>5.4391 * CHOOSE(CONTROL!$C$32, $C$9, 100%, $E$9)</f>
        <v>5.4390999999999998</v>
      </c>
      <c r="M213" s="33">
        <f>5.4444 * CHOOSE(CONTROL!$C$32, $C$9, 100%, $E$9)</f>
        <v>5.4443999999999999</v>
      </c>
      <c r="N213" s="33">
        <f>5.4391 * CHOOSE(CONTROL!$C$32, $C$9, 100%, $E$9)</f>
        <v>5.4390999999999998</v>
      </c>
      <c r="O213" s="33">
        <f>5.4444 * CHOOSE(CONTROL!$C$32, $C$9, 100%, $E$9)</f>
        <v>5.4443999999999999</v>
      </c>
    </row>
    <row r="214" spans="1:15" ht="15" x14ac:dyDescent="0.2">
      <c r="A214" s="16">
        <v>47727</v>
      </c>
      <c r="B214" s="32">
        <f>4.2569 * CHOOSE(CONTROL!$C$32, $C$9, 100%, $E$9)</f>
        <v>4.2568999999999999</v>
      </c>
      <c r="C214" s="32">
        <f>4.2569 * CHOOSE(CONTROL!$C$32, $C$9, 100%, $E$9)</f>
        <v>4.2568999999999999</v>
      </c>
      <c r="D214" s="32">
        <f>4.2585 * CHOOSE(CONTROL!$C$32, $C$9, 100%, $E$9)</f>
        <v>4.2584999999999997</v>
      </c>
      <c r="E214" s="33">
        <f>5.4371 * CHOOSE(CONTROL!$C$32, $C$9, 100%, $E$9)</f>
        <v>5.4371</v>
      </c>
      <c r="F214" s="33">
        <f>5.4371 * CHOOSE(CONTROL!$C$32, $C$9, 100%, $E$9)</f>
        <v>5.4371</v>
      </c>
      <c r="G214" s="33">
        <f>5.4424 * CHOOSE(CONTROL!$C$32, $C$9, 100%, $E$9)</f>
        <v>5.4424000000000001</v>
      </c>
      <c r="H214" s="33">
        <f>8.8201 * CHOOSE(CONTROL!$C$32, $C$9, 100%, $E$9)</f>
        <v>8.8201000000000001</v>
      </c>
      <c r="I214" s="33">
        <f>8.8254 * CHOOSE(CONTROL!$C$32, $C$9, 100%, $E$9)</f>
        <v>8.8254000000000001</v>
      </c>
      <c r="J214" s="33">
        <f>8.8201 * CHOOSE(CONTROL!$C$32, $C$9, 100%, $E$9)</f>
        <v>8.8201000000000001</v>
      </c>
      <c r="K214" s="33">
        <f>8.8254 * CHOOSE(CONTROL!$C$32, $C$9, 100%, $E$9)</f>
        <v>8.8254000000000001</v>
      </c>
      <c r="L214" s="33">
        <f>5.4371 * CHOOSE(CONTROL!$C$32, $C$9, 100%, $E$9)</f>
        <v>5.4371</v>
      </c>
      <c r="M214" s="33">
        <f>5.4424 * CHOOSE(CONTROL!$C$32, $C$9, 100%, $E$9)</f>
        <v>5.4424000000000001</v>
      </c>
      <c r="N214" s="33">
        <f>5.4371 * CHOOSE(CONTROL!$C$32, $C$9, 100%, $E$9)</f>
        <v>5.4371</v>
      </c>
      <c r="O214" s="33">
        <f>5.4424 * CHOOSE(CONTROL!$C$32, $C$9, 100%, $E$9)</f>
        <v>5.4424000000000001</v>
      </c>
    </row>
    <row r="215" spans="1:15" ht="15" x14ac:dyDescent="0.2">
      <c r="A215" s="16">
        <v>47757</v>
      </c>
      <c r="B215" s="32">
        <f>4.253 * CHOOSE(CONTROL!$C$32, $C$9, 100%, $E$9)</f>
        <v>4.2530000000000001</v>
      </c>
      <c r="C215" s="32">
        <f>4.253 * CHOOSE(CONTROL!$C$32, $C$9, 100%, $E$9)</f>
        <v>4.2530000000000001</v>
      </c>
      <c r="D215" s="32">
        <f>4.254 * CHOOSE(CONTROL!$C$32, $C$9, 100%, $E$9)</f>
        <v>4.2539999999999996</v>
      </c>
      <c r="E215" s="33">
        <f>5.4323 * CHOOSE(CONTROL!$C$32, $C$9, 100%, $E$9)</f>
        <v>5.4322999999999997</v>
      </c>
      <c r="F215" s="33">
        <f>5.4323 * CHOOSE(CONTROL!$C$32, $C$9, 100%, $E$9)</f>
        <v>5.4322999999999997</v>
      </c>
      <c r="G215" s="33">
        <f>5.436 * CHOOSE(CONTROL!$C$32, $C$9, 100%, $E$9)</f>
        <v>5.4359999999999999</v>
      </c>
      <c r="H215" s="33">
        <f>8.8385 * CHOOSE(CONTROL!$C$32, $C$9, 100%, $E$9)</f>
        <v>8.8384999999999998</v>
      </c>
      <c r="I215" s="33">
        <f>8.8421 * CHOOSE(CONTROL!$C$32, $C$9, 100%, $E$9)</f>
        <v>8.8421000000000003</v>
      </c>
      <c r="J215" s="33">
        <f>8.8385 * CHOOSE(CONTROL!$C$32, $C$9, 100%, $E$9)</f>
        <v>8.8384999999999998</v>
      </c>
      <c r="K215" s="33">
        <f>8.8421 * CHOOSE(CONTROL!$C$32, $C$9, 100%, $E$9)</f>
        <v>8.8421000000000003</v>
      </c>
      <c r="L215" s="33">
        <f>5.4323 * CHOOSE(CONTROL!$C$32, $C$9, 100%, $E$9)</f>
        <v>5.4322999999999997</v>
      </c>
      <c r="M215" s="33">
        <f>5.436 * CHOOSE(CONTROL!$C$32, $C$9, 100%, $E$9)</f>
        <v>5.4359999999999999</v>
      </c>
      <c r="N215" s="33">
        <f>5.4323 * CHOOSE(CONTROL!$C$32, $C$9, 100%, $E$9)</f>
        <v>5.4322999999999997</v>
      </c>
      <c r="O215" s="33">
        <f>5.436 * CHOOSE(CONTROL!$C$32, $C$9, 100%, $E$9)</f>
        <v>5.4359999999999999</v>
      </c>
    </row>
    <row r="216" spans="1:15" ht="15" x14ac:dyDescent="0.2">
      <c r="A216" s="16">
        <v>47788</v>
      </c>
      <c r="B216" s="32">
        <f>4.256 * CHOOSE(CONTROL!$C$32, $C$9, 100%, $E$9)</f>
        <v>4.2560000000000002</v>
      </c>
      <c r="C216" s="32">
        <f>4.256 * CHOOSE(CONTROL!$C$32, $C$9, 100%, $E$9)</f>
        <v>4.2560000000000002</v>
      </c>
      <c r="D216" s="32">
        <f>4.2571 * CHOOSE(CONTROL!$C$32, $C$9, 100%, $E$9)</f>
        <v>4.2571000000000003</v>
      </c>
      <c r="E216" s="33">
        <f>5.4343 * CHOOSE(CONTROL!$C$32, $C$9, 100%, $E$9)</f>
        <v>5.4343000000000004</v>
      </c>
      <c r="F216" s="33">
        <f>5.4343 * CHOOSE(CONTROL!$C$32, $C$9, 100%, $E$9)</f>
        <v>5.4343000000000004</v>
      </c>
      <c r="G216" s="33">
        <f>5.438 * CHOOSE(CONTROL!$C$32, $C$9, 100%, $E$9)</f>
        <v>5.4379999999999997</v>
      </c>
      <c r="H216" s="33">
        <f>8.8569 * CHOOSE(CONTROL!$C$32, $C$9, 100%, $E$9)</f>
        <v>8.8568999999999996</v>
      </c>
      <c r="I216" s="33">
        <f>8.8605 * CHOOSE(CONTROL!$C$32, $C$9, 100%, $E$9)</f>
        <v>8.8605</v>
      </c>
      <c r="J216" s="33">
        <f>8.8569 * CHOOSE(CONTROL!$C$32, $C$9, 100%, $E$9)</f>
        <v>8.8568999999999996</v>
      </c>
      <c r="K216" s="33">
        <f>8.8605 * CHOOSE(CONTROL!$C$32, $C$9, 100%, $E$9)</f>
        <v>8.8605</v>
      </c>
      <c r="L216" s="33">
        <f>5.4343 * CHOOSE(CONTROL!$C$32, $C$9, 100%, $E$9)</f>
        <v>5.4343000000000004</v>
      </c>
      <c r="M216" s="33">
        <f>5.438 * CHOOSE(CONTROL!$C$32, $C$9, 100%, $E$9)</f>
        <v>5.4379999999999997</v>
      </c>
      <c r="N216" s="33">
        <f>5.4343 * CHOOSE(CONTROL!$C$32, $C$9, 100%, $E$9)</f>
        <v>5.4343000000000004</v>
      </c>
      <c r="O216" s="33">
        <f>5.438 * CHOOSE(CONTROL!$C$32, $C$9, 100%, $E$9)</f>
        <v>5.4379999999999997</v>
      </c>
    </row>
    <row r="217" spans="1:15" ht="15" x14ac:dyDescent="0.2">
      <c r="A217" s="16">
        <v>47818</v>
      </c>
      <c r="B217" s="32">
        <f>4.256 * CHOOSE(CONTROL!$C$32, $C$9, 100%, $E$9)</f>
        <v>4.2560000000000002</v>
      </c>
      <c r="C217" s="32">
        <f>4.256 * CHOOSE(CONTROL!$C$32, $C$9, 100%, $E$9)</f>
        <v>4.2560000000000002</v>
      </c>
      <c r="D217" s="32">
        <f>4.2571 * CHOOSE(CONTROL!$C$32, $C$9, 100%, $E$9)</f>
        <v>4.2571000000000003</v>
      </c>
      <c r="E217" s="33">
        <f>5.4343 * CHOOSE(CONTROL!$C$32, $C$9, 100%, $E$9)</f>
        <v>5.4343000000000004</v>
      </c>
      <c r="F217" s="33">
        <f>5.4343 * CHOOSE(CONTROL!$C$32, $C$9, 100%, $E$9)</f>
        <v>5.4343000000000004</v>
      </c>
      <c r="G217" s="33">
        <f>5.438 * CHOOSE(CONTROL!$C$32, $C$9, 100%, $E$9)</f>
        <v>5.4379999999999997</v>
      </c>
      <c r="H217" s="33">
        <f>8.8753 * CHOOSE(CONTROL!$C$32, $C$9, 100%, $E$9)</f>
        <v>8.8752999999999993</v>
      </c>
      <c r="I217" s="33">
        <f>8.879 * CHOOSE(CONTROL!$C$32, $C$9, 100%, $E$9)</f>
        <v>8.8789999999999996</v>
      </c>
      <c r="J217" s="33">
        <f>8.8753 * CHOOSE(CONTROL!$C$32, $C$9, 100%, $E$9)</f>
        <v>8.8752999999999993</v>
      </c>
      <c r="K217" s="33">
        <f>8.879 * CHOOSE(CONTROL!$C$32, $C$9, 100%, $E$9)</f>
        <v>8.8789999999999996</v>
      </c>
      <c r="L217" s="33">
        <f>5.4343 * CHOOSE(CONTROL!$C$32, $C$9, 100%, $E$9)</f>
        <v>5.4343000000000004</v>
      </c>
      <c r="M217" s="33">
        <f>5.438 * CHOOSE(CONTROL!$C$32, $C$9, 100%, $E$9)</f>
        <v>5.4379999999999997</v>
      </c>
      <c r="N217" s="33">
        <f>5.4343 * CHOOSE(CONTROL!$C$32, $C$9, 100%, $E$9)</f>
        <v>5.4343000000000004</v>
      </c>
      <c r="O217" s="33">
        <f>5.438 * CHOOSE(CONTROL!$C$32, $C$9, 100%, $E$9)</f>
        <v>5.4379999999999997</v>
      </c>
    </row>
    <row r="218" spans="1:15" ht="15" x14ac:dyDescent="0.2">
      <c r="A218" s="16">
        <v>47849</v>
      </c>
      <c r="B218" s="32">
        <f>4.2906 * CHOOSE(CONTROL!$C$32, $C$9, 100%, $E$9)</f>
        <v>4.2906000000000004</v>
      </c>
      <c r="C218" s="32">
        <f>4.2906 * CHOOSE(CONTROL!$C$32, $C$9, 100%, $E$9)</f>
        <v>4.2906000000000004</v>
      </c>
      <c r="D218" s="32">
        <f>4.2916 * CHOOSE(CONTROL!$C$32, $C$9, 100%, $E$9)</f>
        <v>4.2915999999999999</v>
      </c>
      <c r="E218" s="33">
        <f>5.4769 * CHOOSE(CONTROL!$C$32, $C$9, 100%, $E$9)</f>
        <v>5.4768999999999997</v>
      </c>
      <c r="F218" s="33">
        <f>5.4769 * CHOOSE(CONTROL!$C$32, $C$9, 100%, $E$9)</f>
        <v>5.4768999999999997</v>
      </c>
      <c r="G218" s="33">
        <f>5.4806 * CHOOSE(CONTROL!$C$32, $C$9, 100%, $E$9)</f>
        <v>5.4805999999999999</v>
      </c>
      <c r="H218" s="33">
        <f>8.8938 * CHOOSE(CONTROL!$C$32, $C$9, 100%, $E$9)</f>
        <v>8.8938000000000006</v>
      </c>
      <c r="I218" s="33">
        <f>8.8975 * CHOOSE(CONTROL!$C$32, $C$9, 100%, $E$9)</f>
        <v>8.8975000000000009</v>
      </c>
      <c r="J218" s="33">
        <f>8.8938 * CHOOSE(CONTROL!$C$32, $C$9, 100%, $E$9)</f>
        <v>8.8938000000000006</v>
      </c>
      <c r="K218" s="33">
        <f>8.8975 * CHOOSE(CONTROL!$C$32, $C$9, 100%, $E$9)</f>
        <v>8.8975000000000009</v>
      </c>
      <c r="L218" s="33">
        <f>5.4769 * CHOOSE(CONTROL!$C$32, $C$9, 100%, $E$9)</f>
        <v>5.4768999999999997</v>
      </c>
      <c r="M218" s="33">
        <f>5.4806 * CHOOSE(CONTROL!$C$32, $C$9, 100%, $E$9)</f>
        <v>5.4805999999999999</v>
      </c>
      <c r="N218" s="33">
        <f>5.4769 * CHOOSE(CONTROL!$C$32, $C$9, 100%, $E$9)</f>
        <v>5.4768999999999997</v>
      </c>
      <c r="O218" s="33">
        <f>5.4806 * CHOOSE(CONTROL!$C$32, $C$9, 100%, $E$9)</f>
        <v>5.4805999999999999</v>
      </c>
    </row>
    <row r="219" spans="1:15" ht="15" x14ac:dyDescent="0.2">
      <c r="A219" s="16">
        <v>47880</v>
      </c>
      <c r="B219" s="32">
        <f>4.2875 * CHOOSE(CONTROL!$C$32, $C$9, 100%, $E$9)</f>
        <v>4.2874999999999996</v>
      </c>
      <c r="C219" s="32">
        <f>4.2875 * CHOOSE(CONTROL!$C$32, $C$9, 100%, $E$9)</f>
        <v>4.2874999999999996</v>
      </c>
      <c r="D219" s="32">
        <f>4.2886 * CHOOSE(CONTROL!$C$32, $C$9, 100%, $E$9)</f>
        <v>4.2885999999999997</v>
      </c>
      <c r="E219" s="33">
        <f>5.4749 * CHOOSE(CONTROL!$C$32, $C$9, 100%, $E$9)</f>
        <v>5.4748999999999999</v>
      </c>
      <c r="F219" s="33">
        <f>5.4749 * CHOOSE(CONTROL!$C$32, $C$9, 100%, $E$9)</f>
        <v>5.4748999999999999</v>
      </c>
      <c r="G219" s="33">
        <f>5.4786 * CHOOSE(CONTROL!$C$32, $C$9, 100%, $E$9)</f>
        <v>5.4786000000000001</v>
      </c>
      <c r="H219" s="33">
        <f>8.9124 * CHOOSE(CONTROL!$C$32, $C$9, 100%, $E$9)</f>
        <v>8.9123999999999999</v>
      </c>
      <c r="I219" s="33">
        <f>8.916 * CHOOSE(CONTROL!$C$32, $C$9, 100%, $E$9)</f>
        <v>8.9160000000000004</v>
      </c>
      <c r="J219" s="33">
        <f>8.9124 * CHOOSE(CONTROL!$C$32, $C$9, 100%, $E$9)</f>
        <v>8.9123999999999999</v>
      </c>
      <c r="K219" s="33">
        <f>8.916 * CHOOSE(CONTROL!$C$32, $C$9, 100%, $E$9)</f>
        <v>8.9160000000000004</v>
      </c>
      <c r="L219" s="33">
        <f>5.4749 * CHOOSE(CONTROL!$C$32, $C$9, 100%, $E$9)</f>
        <v>5.4748999999999999</v>
      </c>
      <c r="M219" s="33">
        <f>5.4786 * CHOOSE(CONTROL!$C$32, $C$9, 100%, $E$9)</f>
        <v>5.4786000000000001</v>
      </c>
      <c r="N219" s="33">
        <f>5.4749 * CHOOSE(CONTROL!$C$32, $C$9, 100%, $E$9)</f>
        <v>5.4748999999999999</v>
      </c>
      <c r="O219" s="33">
        <f>5.4786 * CHOOSE(CONTROL!$C$32, $C$9, 100%, $E$9)</f>
        <v>5.4786000000000001</v>
      </c>
    </row>
    <row r="220" spans="1:15" ht="15" x14ac:dyDescent="0.2">
      <c r="A220" s="16">
        <v>47908</v>
      </c>
      <c r="B220" s="32">
        <f>4.2845 * CHOOSE(CONTROL!$C$32, $C$9, 100%, $E$9)</f>
        <v>4.2845000000000004</v>
      </c>
      <c r="C220" s="32">
        <f>4.2845 * CHOOSE(CONTROL!$C$32, $C$9, 100%, $E$9)</f>
        <v>4.2845000000000004</v>
      </c>
      <c r="D220" s="32">
        <f>4.2856 * CHOOSE(CONTROL!$C$32, $C$9, 100%, $E$9)</f>
        <v>4.2855999999999996</v>
      </c>
      <c r="E220" s="33">
        <f>5.4729 * CHOOSE(CONTROL!$C$32, $C$9, 100%, $E$9)</f>
        <v>5.4729000000000001</v>
      </c>
      <c r="F220" s="33">
        <f>5.4729 * CHOOSE(CONTROL!$C$32, $C$9, 100%, $E$9)</f>
        <v>5.4729000000000001</v>
      </c>
      <c r="G220" s="33">
        <f>5.4766 * CHOOSE(CONTROL!$C$32, $C$9, 100%, $E$9)</f>
        <v>5.4766000000000004</v>
      </c>
      <c r="H220" s="33">
        <f>8.9309 * CHOOSE(CONTROL!$C$32, $C$9, 100%, $E$9)</f>
        <v>8.9308999999999994</v>
      </c>
      <c r="I220" s="33">
        <f>8.9346 * CHOOSE(CONTROL!$C$32, $C$9, 100%, $E$9)</f>
        <v>8.9345999999999997</v>
      </c>
      <c r="J220" s="33">
        <f>8.9309 * CHOOSE(CONTROL!$C$32, $C$9, 100%, $E$9)</f>
        <v>8.9308999999999994</v>
      </c>
      <c r="K220" s="33">
        <f>8.9346 * CHOOSE(CONTROL!$C$32, $C$9, 100%, $E$9)</f>
        <v>8.9345999999999997</v>
      </c>
      <c r="L220" s="33">
        <f>5.4729 * CHOOSE(CONTROL!$C$32, $C$9, 100%, $E$9)</f>
        <v>5.4729000000000001</v>
      </c>
      <c r="M220" s="33">
        <f>5.4766 * CHOOSE(CONTROL!$C$32, $C$9, 100%, $E$9)</f>
        <v>5.4766000000000004</v>
      </c>
      <c r="N220" s="33">
        <f>5.4729 * CHOOSE(CONTROL!$C$32, $C$9, 100%, $E$9)</f>
        <v>5.4729000000000001</v>
      </c>
      <c r="O220" s="33">
        <f>5.4766 * CHOOSE(CONTROL!$C$32, $C$9, 100%, $E$9)</f>
        <v>5.4766000000000004</v>
      </c>
    </row>
    <row r="221" spans="1:15" ht="15" x14ac:dyDescent="0.2">
      <c r="A221" s="16">
        <v>47939</v>
      </c>
      <c r="B221" s="32">
        <f>4.2824 * CHOOSE(CONTROL!$C$32, $C$9, 100%, $E$9)</f>
        <v>4.2824</v>
      </c>
      <c r="C221" s="32">
        <f>4.2824 * CHOOSE(CONTROL!$C$32, $C$9, 100%, $E$9)</f>
        <v>4.2824</v>
      </c>
      <c r="D221" s="32">
        <f>4.2835 * CHOOSE(CONTROL!$C$32, $C$9, 100%, $E$9)</f>
        <v>4.2835000000000001</v>
      </c>
      <c r="E221" s="33">
        <f>5.471 * CHOOSE(CONTROL!$C$32, $C$9, 100%, $E$9)</f>
        <v>5.4710000000000001</v>
      </c>
      <c r="F221" s="33">
        <f>5.471 * CHOOSE(CONTROL!$C$32, $C$9, 100%, $E$9)</f>
        <v>5.4710000000000001</v>
      </c>
      <c r="G221" s="33">
        <f>5.4746 * CHOOSE(CONTROL!$C$32, $C$9, 100%, $E$9)</f>
        <v>5.4745999999999997</v>
      </c>
      <c r="H221" s="33">
        <f>8.9495 * CHOOSE(CONTROL!$C$32, $C$9, 100%, $E$9)</f>
        <v>8.9495000000000005</v>
      </c>
      <c r="I221" s="33">
        <f>8.9532 * CHOOSE(CONTROL!$C$32, $C$9, 100%, $E$9)</f>
        <v>8.9532000000000007</v>
      </c>
      <c r="J221" s="33">
        <f>8.9495 * CHOOSE(CONTROL!$C$32, $C$9, 100%, $E$9)</f>
        <v>8.9495000000000005</v>
      </c>
      <c r="K221" s="33">
        <f>8.9532 * CHOOSE(CONTROL!$C$32, $C$9, 100%, $E$9)</f>
        <v>8.9532000000000007</v>
      </c>
      <c r="L221" s="33">
        <f>5.471 * CHOOSE(CONTROL!$C$32, $C$9, 100%, $E$9)</f>
        <v>5.4710000000000001</v>
      </c>
      <c r="M221" s="33">
        <f>5.4746 * CHOOSE(CONTROL!$C$32, $C$9, 100%, $E$9)</f>
        <v>5.4745999999999997</v>
      </c>
      <c r="N221" s="33">
        <f>5.471 * CHOOSE(CONTROL!$C$32, $C$9, 100%, $E$9)</f>
        <v>5.4710000000000001</v>
      </c>
      <c r="O221" s="33">
        <f>5.4746 * CHOOSE(CONTROL!$C$32, $C$9, 100%, $E$9)</f>
        <v>5.4745999999999997</v>
      </c>
    </row>
    <row r="222" spans="1:15" ht="15" x14ac:dyDescent="0.2">
      <c r="A222" s="16">
        <v>47969</v>
      </c>
      <c r="B222" s="32">
        <f>4.2824 * CHOOSE(CONTROL!$C$32, $C$9, 100%, $E$9)</f>
        <v>4.2824</v>
      </c>
      <c r="C222" s="32">
        <f>4.2824 * CHOOSE(CONTROL!$C$32, $C$9, 100%, $E$9)</f>
        <v>4.2824</v>
      </c>
      <c r="D222" s="32">
        <f>4.284 * CHOOSE(CONTROL!$C$32, $C$9, 100%, $E$9)</f>
        <v>4.2839999999999998</v>
      </c>
      <c r="E222" s="33">
        <f>5.471 * CHOOSE(CONTROL!$C$32, $C$9, 100%, $E$9)</f>
        <v>5.4710000000000001</v>
      </c>
      <c r="F222" s="33">
        <f>5.471 * CHOOSE(CONTROL!$C$32, $C$9, 100%, $E$9)</f>
        <v>5.4710000000000001</v>
      </c>
      <c r="G222" s="33">
        <f>5.4763 * CHOOSE(CONTROL!$C$32, $C$9, 100%, $E$9)</f>
        <v>5.4763000000000002</v>
      </c>
      <c r="H222" s="33">
        <f>8.9682 * CHOOSE(CONTROL!$C$32, $C$9, 100%, $E$9)</f>
        <v>8.9681999999999995</v>
      </c>
      <c r="I222" s="33">
        <f>8.9735 * CHOOSE(CONTROL!$C$32, $C$9, 100%, $E$9)</f>
        <v>8.9734999999999996</v>
      </c>
      <c r="J222" s="33">
        <f>8.9682 * CHOOSE(CONTROL!$C$32, $C$9, 100%, $E$9)</f>
        <v>8.9681999999999995</v>
      </c>
      <c r="K222" s="33">
        <f>8.9735 * CHOOSE(CONTROL!$C$32, $C$9, 100%, $E$9)</f>
        <v>8.9734999999999996</v>
      </c>
      <c r="L222" s="33">
        <f>5.471 * CHOOSE(CONTROL!$C$32, $C$9, 100%, $E$9)</f>
        <v>5.4710000000000001</v>
      </c>
      <c r="M222" s="33">
        <f>5.4763 * CHOOSE(CONTROL!$C$32, $C$9, 100%, $E$9)</f>
        <v>5.4763000000000002</v>
      </c>
      <c r="N222" s="33">
        <f>5.471 * CHOOSE(CONTROL!$C$32, $C$9, 100%, $E$9)</f>
        <v>5.4710000000000001</v>
      </c>
      <c r="O222" s="33">
        <f>5.4763 * CHOOSE(CONTROL!$C$32, $C$9, 100%, $E$9)</f>
        <v>5.4763000000000002</v>
      </c>
    </row>
    <row r="223" spans="1:15" ht="15" x14ac:dyDescent="0.2">
      <c r="A223" s="16">
        <v>48000</v>
      </c>
      <c r="B223" s="32">
        <f>4.2885 * CHOOSE(CONTROL!$C$32, $C$9, 100%, $E$9)</f>
        <v>4.2885</v>
      </c>
      <c r="C223" s="32">
        <f>4.2885 * CHOOSE(CONTROL!$C$32, $C$9, 100%, $E$9)</f>
        <v>4.2885</v>
      </c>
      <c r="D223" s="32">
        <f>4.2901 * CHOOSE(CONTROL!$C$32, $C$9, 100%, $E$9)</f>
        <v>4.2900999999999998</v>
      </c>
      <c r="E223" s="33">
        <f>5.475 * CHOOSE(CONTROL!$C$32, $C$9, 100%, $E$9)</f>
        <v>5.4749999999999996</v>
      </c>
      <c r="F223" s="33">
        <f>5.475 * CHOOSE(CONTROL!$C$32, $C$9, 100%, $E$9)</f>
        <v>5.4749999999999996</v>
      </c>
      <c r="G223" s="33">
        <f>5.4803 * CHOOSE(CONTROL!$C$32, $C$9, 100%, $E$9)</f>
        <v>5.4802999999999997</v>
      </c>
      <c r="H223" s="33">
        <f>8.9869 * CHOOSE(CONTROL!$C$32, $C$9, 100%, $E$9)</f>
        <v>8.9869000000000003</v>
      </c>
      <c r="I223" s="33">
        <f>8.9922 * CHOOSE(CONTROL!$C$32, $C$9, 100%, $E$9)</f>
        <v>8.9922000000000004</v>
      </c>
      <c r="J223" s="33">
        <f>8.9869 * CHOOSE(CONTROL!$C$32, $C$9, 100%, $E$9)</f>
        <v>8.9869000000000003</v>
      </c>
      <c r="K223" s="33">
        <f>8.9922 * CHOOSE(CONTROL!$C$32, $C$9, 100%, $E$9)</f>
        <v>8.9922000000000004</v>
      </c>
      <c r="L223" s="33">
        <f>5.475 * CHOOSE(CONTROL!$C$32, $C$9, 100%, $E$9)</f>
        <v>5.4749999999999996</v>
      </c>
      <c r="M223" s="33">
        <f>5.4803 * CHOOSE(CONTROL!$C$32, $C$9, 100%, $E$9)</f>
        <v>5.4802999999999997</v>
      </c>
      <c r="N223" s="33">
        <f>5.475 * CHOOSE(CONTROL!$C$32, $C$9, 100%, $E$9)</f>
        <v>5.4749999999999996</v>
      </c>
      <c r="O223" s="33">
        <f>5.4803 * CHOOSE(CONTROL!$C$32, $C$9, 100%, $E$9)</f>
        <v>5.4802999999999997</v>
      </c>
    </row>
    <row r="224" spans="1:15" ht="15" x14ac:dyDescent="0.2">
      <c r="A224" s="16">
        <v>48030</v>
      </c>
      <c r="B224" s="32">
        <f>4.3512 * CHOOSE(CONTROL!$C$32, $C$9, 100%, $E$9)</f>
        <v>4.3512000000000004</v>
      </c>
      <c r="C224" s="32">
        <f>4.3512 * CHOOSE(CONTROL!$C$32, $C$9, 100%, $E$9)</f>
        <v>4.3512000000000004</v>
      </c>
      <c r="D224" s="32">
        <f>4.3528 * CHOOSE(CONTROL!$C$32, $C$9, 100%, $E$9)</f>
        <v>4.3528000000000002</v>
      </c>
      <c r="E224" s="33">
        <f>5.5682 * CHOOSE(CONTROL!$C$32, $C$9, 100%, $E$9)</f>
        <v>5.5682</v>
      </c>
      <c r="F224" s="33">
        <f>5.5682 * CHOOSE(CONTROL!$C$32, $C$9, 100%, $E$9)</f>
        <v>5.5682</v>
      </c>
      <c r="G224" s="33">
        <f>5.5735 * CHOOSE(CONTROL!$C$32, $C$9, 100%, $E$9)</f>
        <v>5.5735000000000001</v>
      </c>
      <c r="H224" s="33">
        <f>9.0056 * CHOOSE(CONTROL!$C$32, $C$9, 100%, $E$9)</f>
        <v>9.0055999999999994</v>
      </c>
      <c r="I224" s="33">
        <f>9.0109 * CHOOSE(CONTROL!$C$32, $C$9, 100%, $E$9)</f>
        <v>9.0108999999999995</v>
      </c>
      <c r="J224" s="33">
        <f>9.0056 * CHOOSE(CONTROL!$C$32, $C$9, 100%, $E$9)</f>
        <v>9.0055999999999994</v>
      </c>
      <c r="K224" s="33">
        <f>9.0109 * CHOOSE(CONTROL!$C$32, $C$9, 100%, $E$9)</f>
        <v>9.0108999999999995</v>
      </c>
      <c r="L224" s="33">
        <f>5.5682 * CHOOSE(CONTROL!$C$32, $C$9, 100%, $E$9)</f>
        <v>5.5682</v>
      </c>
      <c r="M224" s="33">
        <f>5.5735 * CHOOSE(CONTROL!$C$32, $C$9, 100%, $E$9)</f>
        <v>5.5735000000000001</v>
      </c>
      <c r="N224" s="33">
        <f>5.5682 * CHOOSE(CONTROL!$C$32, $C$9, 100%, $E$9)</f>
        <v>5.5682</v>
      </c>
      <c r="O224" s="33">
        <f>5.5735 * CHOOSE(CONTROL!$C$32, $C$9, 100%, $E$9)</f>
        <v>5.5735000000000001</v>
      </c>
    </row>
    <row r="225" spans="1:15" ht="15" x14ac:dyDescent="0.2">
      <c r="A225" s="16">
        <v>48061</v>
      </c>
      <c r="B225" s="32">
        <f>4.3579 * CHOOSE(CONTROL!$C$32, $C$9, 100%, $E$9)</f>
        <v>4.3578999999999999</v>
      </c>
      <c r="C225" s="32">
        <f>4.3579 * CHOOSE(CONTROL!$C$32, $C$9, 100%, $E$9)</f>
        <v>4.3578999999999999</v>
      </c>
      <c r="D225" s="32">
        <f>4.3595 * CHOOSE(CONTROL!$C$32, $C$9, 100%, $E$9)</f>
        <v>4.3594999999999997</v>
      </c>
      <c r="E225" s="33">
        <f>5.5726 * CHOOSE(CONTROL!$C$32, $C$9, 100%, $E$9)</f>
        <v>5.5726000000000004</v>
      </c>
      <c r="F225" s="33">
        <f>5.5726 * CHOOSE(CONTROL!$C$32, $C$9, 100%, $E$9)</f>
        <v>5.5726000000000004</v>
      </c>
      <c r="G225" s="33">
        <f>5.5779 * CHOOSE(CONTROL!$C$32, $C$9, 100%, $E$9)</f>
        <v>5.5778999999999996</v>
      </c>
      <c r="H225" s="33">
        <f>9.0244 * CHOOSE(CONTROL!$C$32, $C$9, 100%, $E$9)</f>
        <v>9.0244</v>
      </c>
      <c r="I225" s="33">
        <f>9.0296 * CHOOSE(CONTROL!$C$32, $C$9, 100%, $E$9)</f>
        <v>9.0296000000000003</v>
      </c>
      <c r="J225" s="33">
        <f>9.0244 * CHOOSE(CONTROL!$C$32, $C$9, 100%, $E$9)</f>
        <v>9.0244</v>
      </c>
      <c r="K225" s="33">
        <f>9.0296 * CHOOSE(CONTROL!$C$32, $C$9, 100%, $E$9)</f>
        <v>9.0296000000000003</v>
      </c>
      <c r="L225" s="33">
        <f>5.5726 * CHOOSE(CONTROL!$C$32, $C$9, 100%, $E$9)</f>
        <v>5.5726000000000004</v>
      </c>
      <c r="M225" s="33">
        <f>5.5779 * CHOOSE(CONTROL!$C$32, $C$9, 100%, $E$9)</f>
        <v>5.5778999999999996</v>
      </c>
      <c r="N225" s="33">
        <f>5.5726 * CHOOSE(CONTROL!$C$32, $C$9, 100%, $E$9)</f>
        <v>5.5726000000000004</v>
      </c>
      <c r="O225" s="33">
        <f>5.5779 * CHOOSE(CONTROL!$C$32, $C$9, 100%, $E$9)</f>
        <v>5.5778999999999996</v>
      </c>
    </row>
    <row r="226" spans="1:15" ht="15" x14ac:dyDescent="0.2">
      <c r="A226" s="16">
        <v>48092</v>
      </c>
      <c r="B226" s="32">
        <f>4.3549 * CHOOSE(CONTROL!$C$32, $C$9, 100%, $E$9)</f>
        <v>4.3548999999999998</v>
      </c>
      <c r="C226" s="32">
        <f>4.3549 * CHOOSE(CONTROL!$C$32, $C$9, 100%, $E$9)</f>
        <v>4.3548999999999998</v>
      </c>
      <c r="D226" s="32">
        <f>4.3565 * CHOOSE(CONTROL!$C$32, $C$9, 100%, $E$9)</f>
        <v>4.3564999999999996</v>
      </c>
      <c r="E226" s="33">
        <f>5.5706 * CHOOSE(CONTROL!$C$32, $C$9, 100%, $E$9)</f>
        <v>5.5705999999999998</v>
      </c>
      <c r="F226" s="33">
        <f>5.5706 * CHOOSE(CONTROL!$C$32, $C$9, 100%, $E$9)</f>
        <v>5.5705999999999998</v>
      </c>
      <c r="G226" s="33">
        <f>5.5759 * CHOOSE(CONTROL!$C$32, $C$9, 100%, $E$9)</f>
        <v>5.5758999999999999</v>
      </c>
      <c r="H226" s="33">
        <f>9.0432 * CHOOSE(CONTROL!$C$32, $C$9, 100%, $E$9)</f>
        <v>9.0432000000000006</v>
      </c>
      <c r="I226" s="33">
        <f>9.0484 * CHOOSE(CONTROL!$C$32, $C$9, 100%, $E$9)</f>
        <v>9.0484000000000009</v>
      </c>
      <c r="J226" s="33">
        <f>9.0432 * CHOOSE(CONTROL!$C$32, $C$9, 100%, $E$9)</f>
        <v>9.0432000000000006</v>
      </c>
      <c r="K226" s="33">
        <f>9.0484 * CHOOSE(CONTROL!$C$32, $C$9, 100%, $E$9)</f>
        <v>9.0484000000000009</v>
      </c>
      <c r="L226" s="33">
        <f>5.5706 * CHOOSE(CONTROL!$C$32, $C$9, 100%, $E$9)</f>
        <v>5.5705999999999998</v>
      </c>
      <c r="M226" s="33">
        <f>5.5759 * CHOOSE(CONTROL!$C$32, $C$9, 100%, $E$9)</f>
        <v>5.5758999999999999</v>
      </c>
      <c r="N226" s="33">
        <f>5.5706 * CHOOSE(CONTROL!$C$32, $C$9, 100%, $E$9)</f>
        <v>5.5705999999999998</v>
      </c>
      <c r="O226" s="33">
        <f>5.5759 * CHOOSE(CONTROL!$C$32, $C$9, 100%, $E$9)</f>
        <v>5.5758999999999999</v>
      </c>
    </row>
    <row r="227" spans="1:15" ht="15" x14ac:dyDescent="0.2">
      <c r="A227" s="16">
        <v>48122</v>
      </c>
      <c r="B227" s="32">
        <f>4.3513 * CHOOSE(CONTROL!$C$32, $C$9, 100%, $E$9)</f>
        <v>4.3513000000000002</v>
      </c>
      <c r="C227" s="32">
        <f>4.3513 * CHOOSE(CONTROL!$C$32, $C$9, 100%, $E$9)</f>
        <v>4.3513000000000002</v>
      </c>
      <c r="D227" s="32">
        <f>4.3523 * CHOOSE(CONTROL!$C$32, $C$9, 100%, $E$9)</f>
        <v>4.3522999999999996</v>
      </c>
      <c r="E227" s="33">
        <f>5.566 * CHOOSE(CONTROL!$C$32, $C$9, 100%, $E$9)</f>
        <v>5.5659999999999998</v>
      </c>
      <c r="F227" s="33">
        <f>5.566 * CHOOSE(CONTROL!$C$32, $C$9, 100%, $E$9)</f>
        <v>5.5659999999999998</v>
      </c>
      <c r="G227" s="33">
        <f>5.5696 * CHOOSE(CONTROL!$C$32, $C$9, 100%, $E$9)</f>
        <v>5.5696000000000003</v>
      </c>
      <c r="H227" s="33">
        <f>9.062 * CHOOSE(CONTROL!$C$32, $C$9, 100%, $E$9)</f>
        <v>9.0619999999999994</v>
      </c>
      <c r="I227" s="33">
        <f>9.0656 * CHOOSE(CONTROL!$C$32, $C$9, 100%, $E$9)</f>
        <v>9.0655999999999999</v>
      </c>
      <c r="J227" s="33">
        <f>9.062 * CHOOSE(CONTROL!$C$32, $C$9, 100%, $E$9)</f>
        <v>9.0619999999999994</v>
      </c>
      <c r="K227" s="33">
        <f>9.0656 * CHOOSE(CONTROL!$C$32, $C$9, 100%, $E$9)</f>
        <v>9.0655999999999999</v>
      </c>
      <c r="L227" s="33">
        <f>5.566 * CHOOSE(CONTROL!$C$32, $C$9, 100%, $E$9)</f>
        <v>5.5659999999999998</v>
      </c>
      <c r="M227" s="33">
        <f>5.5696 * CHOOSE(CONTROL!$C$32, $C$9, 100%, $E$9)</f>
        <v>5.5696000000000003</v>
      </c>
      <c r="N227" s="33">
        <f>5.566 * CHOOSE(CONTROL!$C$32, $C$9, 100%, $E$9)</f>
        <v>5.5659999999999998</v>
      </c>
      <c r="O227" s="33">
        <f>5.5696 * CHOOSE(CONTROL!$C$32, $C$9, 100%, $E$9)</f>
        <v>5.5696000000000003</v>
      </c>
    </row>
    <row r="228" spans="1:15" ht="15" x14ac:dyDescent="0.2">
      <c r="A228" s="16">
        <v>48153</v>
      </c>
      <c r="B228" s="32">
        <f>4.3543 * CHOOSE(CONTROL!$C$32, $C$9, 100%, $E$9)</f>
        <v>4.3543000000000003</v>
      </c>
      <c r="C228" s="32">
        <f>4.3543 * CHOOSE(CONTROL!$C$32, $C$9, 100%, $E$9)</f>
        <v>4.3543000000000003</v>
      </c>
      <c r="D228" s="32">
        <f>4.3554 * CHOOSE(CONTROL!$C$32, $C$9, 100%, $E$9)</f>
        <v>4.3554000000000004</v>
      </c>
      <c r="E228" s="33">
        <f>5.568 * CHOOSE(CONTROL!$C$32, $C$9, 100%, $E$9)</f>
        <v>5.5679999999999996</v>
      </c>
      <c r="F228" s="33">
        <f>5.568 * CHOOSE(CONTROL!$C$32, $C$9, 100%, $E$9)</f>
        <v>5.5679999999999996</v>
      </c>
      <c r="G228" s="33">
        <f>5.5716 * CHOOSE(CONTROL!$C$32, $C$9, 100%, $E$9)</f>
        <v>5.5716000000000001</v>
      </c>
      <c r="H228" s="33">
        <f>9.0809 * CHOOSE(CONTROL!$C$32, $C$9, 100%, $E$9)</f>
        <v>9.0808999999999997</v>
      </c>
      <c r="I228" s="33">
        <f>9.0845 * CHOOSE(CONTROL!$C$32, $C$9, 100%, $E$9)</f>
        <v>9.0845000000000002</v>
      </c>
      <c r="J228" s="33">
        <f>9.0809 * CHOOSE(CONTROL!$C$32, $C$9, 100%, $E$9)</f>
        <v>9.0808999999999997</v>
      </c>
      <c r="K228" s="33">
        <f>9.0845 * CHOOSE(CONTROL!$C$32, $C$9, 100%, $E$9)</f>
        <v>9.0845000000000002</v>
      </c>
      <c r="L228" s="33">
        <f>5.568 * CHOOSE(CONTROL!$C$32, $C$9, 100%, $E$9)</f>
        <v>5.5679999999999996</v>
      </c>
      <c r="M228" s="33">
        <f>5.5716 * CHOOSE(CONTROL!$C$32, $C$9, 100%, $E$9)</f>
        <v>5.5716000000000001</v>
      </c>
      <c r="N228" s="33">
        <f>5.568 * CHOOSE(CONTROL!$C$32, $C$9, 100%, $E$9)</f>
        <v>5.5679999999999996</v>
      </c>
      <c r="O228" s="33">
        <f>5.5716 * CHOOSE(CONTROL!$C$32, $C$9, 100%, $E$9)</f>
        <v>5.5716000000000001</v>
      </c>
    </row>
    <row r="229" spans="1:15" ht="15" x14ac:dyDescent="0.2">
      <c r="A229" s="16">
        <v>48183</v>
      </c>
      <c r="B229" s="32">
        <f>4.3543 * CHOOSE(CONTROL!$C$32, $C$9, 100%, $E$9)</f>
        <v>4.3543000000000003</v>
      </c>
      <c r="C229" s="32">
        <f>4.3543 * CHOOSE(CONTROL!$C$32, $C$9, 100%, $E$9)</f>
        <v>4.3543000000000003</v>
      </c>
      <c r="D229" s="32">
        <f>4.3554 * CHOOSE(CONTROL!$C$32, $C$9, 100%, $E$9)</f>
        <v>4.3554000000000004</v>
      </c>
      <c r="E229" s="33">
        <f>5.568 * CHOOSE(CONTROL!$C$32, $C$9, 100%, $E$9)</f>
        <v>5.5679999999999996</v>
      </c>
      <c r="F229" s="33">
        <f>5.568 * CHOOSE(CONTROL!$C$32, $C$9, 100%, $E$9)</f>
        <v>5.5679999999999996</v>
      </c>
      <c r="G229" s="33">
        <f>5.5716 * CHOOSE(CONTROL!$C$32, $C$9, 100%, $E$9)</f>
        <v>5.5716000000000001</v>
      </c>
      <c r="H229" s="33">
        <f>9.0998 * CHOOSE(CONTROL!$C$32, $C$9, 100%, $E$9)</f>
        <v>9.0998000000000001</v>
      </c>
      <c r="I229" s="33">
        <f>9.1034 * CHOOSE(CONTROL!$C$32, $C$9, 100%, $E$9)</f>
        <v>9.1034000000000006</v>
      </c>
      <c r="J229" s="33">
        <f>9.0998 * CHOOSE(CONTROL!$C$32, $C$9, 100%, $E$9)</f>
        <v>9.0998000000000001</v>
      </c>
      <c r="K229" s="33">
        <f>9.1034 * CHOOSE(CONTROL!$C$32, $C$9, 100%, $E$9)</f>
        <v>9.1034000000000006</v>
      </c>
      <c r="L229" s="33">
        <f>5.568 * CHOOSE(CONTROL!$C$32, $C$9, 100%, $E$9)</f>
        <v>5.5679999999999996</v>
      </c>
      <c r="M229" s="33">
        <f>5.5716 * CHOOSE(CONTROL!$C$32, $C$9, 100%, $E$9)</f>
        <v>5.5716000000000001</v>
      </c>
      <c r="N229" s="33">
        <f>5.568 * CHOOSE(CONTROL!$C$32, $C$9, 100%, $E$9)</f>
        <v>5.5679999999999996</v>
      </c>
      <c r="O229" s="33">
        <f>5.5716 * CHOOSE(CONTROL!$C$32, $C$9, 100%, $E$9)</f>
        <v>5.5716000000000001</v>
      </c>
    </row>
    <row r="230" spans="1:15" ht="15" x14ac:dyDescent="0.2">
      <c r="A230" s="16">
        <v>48214</v>
      </c>
      <c r="B230" s="32">
        <f>4.3913 * CHOOSE(CONTROL!$C$32, $C$9, 100%, $E$9)</f>
        <v>4.3913000000000002</v>
      </c>
      <c r="C230" s="32">
        <f>4.3913 * CHOOSE(CONTROL!$C$32, $C$9, 100%, $E$9)</f>
        <v>4.3913000000000002</v>
      </c>
      <c r="D230" s="32">
        <f>4.3923 * CHOOSE(CONTROL!$C$32, $C$9, 100%, $E$9)</f>
        <v>4.3922999999999996</v>
      </c>
      <c r="E230" s="33">
        <f>5.6146 * CHOOSE(CONTROL!$C$32, $C$9, 100%, $E$9)</f>
        <v>5.6146000000000003</v>
      </c>
      <c r="F230" s="33">
        <f>5.6146 * CHOOSE(CONTROL!$C$32, $C$9, 100%, $E$9)</f>
        <v>5.6146000000000003</v>
      </c>
      <c r="G230" s="33">
        <f>5.6182 * CHOOSE(CONTROL!$C$32, $C$9, 100%, $E$9)</f>
        <v>5.6181999999999999</v>
      </c>
      <c r="H230" s="33">
        <f>9.1187 * CHOOSE(CONTROL!$C$32, $C$9, 100%, $E$9)</f>
        <v>9.1187000000000005</v>
      </c>
      <c r="I230" s="33">
        <f>9.1224 * CHOOSE(CONTROL!$C$32, $C$9, 100%, $E$9)</f>
        <v>9.1224000000000007</v>
      </c>
      <c r="J230" s="33">
        <f>9.1187 * CHOOSE(CONTROL!$C$32, $C$9, 100%, $E$9)</f>
        <v>9.1187000000000005</v>
      </c>
      <c r="K230" s="33">
        <f>9.1224 * CHOOSE(CONTROL!$C$32, $C$9, 100%, $E$9)</f>
        <v>9.1224000000000007</v>
      </c>
      <c r="L230" s="33">
        <f>5.6146 * CHOOSE(CONTROL!$C$32, $C$9, 100%, $E$9)</f>
        <v>5.6146000000000003</v>
      </c>
      <c r="M230" s="33">
        <f>5.6182 * CHOOSE(CONTROL!$C$32, $C$9, 100%, $E$9)</f>
        <v>5.6181999999999999</v>
      </c>
      <c r="N230" s="33">
        <f>5.6146 * CHOOSE(CONTROL!$C$32, $C$9, 100%, $E$9)</f>
        <v>5.6146000000000003</v>
      </c>
      <c r="O230" s="33">
        <f>5.6182 * CHOOSE(CONTROL!$C$32, $C$9, 100%, $E$9)</f>
        <v>5.6181999999999999</v>
      </c>
    </row>
    <row r="231" spans="1:15" ht="15" x14ac:dyDescent="0.2">
      <c r="A231" s="16">
        <v>48245</v>
      </c>
      <c r="B231" s="32">
        <f>4.3882 * CHOOSE(CONTROL!$C$32, $C$9, 100%, $E$9)</f>
        <v>4.3882000000000003</v>
      </c>
      <c r="C231" s="32">
        <f>4.3882 * CHOOSE(CONTROL!$C$32, $C$9, 100%, $E$9)</f>
        <v>4.3882000000000003</v>
      </c>
      <c r="D231" s="32">
        <f>4.3893 * CHOOSE(CONTROL!$C$32, $C$9, 100%, $E$9)</f>
        <v>4.3893000000000004</v>
      </c>
      <c r="E231" s="33">
        <f>5.6126 * CHOOSE(CONTROL!$C$32, $C$9, 100%, $E$9)</f>
        <v>5.6125999999999996</v>
      </c>
      <c r="F231" s="33">
        <f>5.6126 * CHOOSE(CONTROL!$C$32, $C$9, 100%, $E$9)</f>
        <v>5.6125999999999996</v>
      </c>
      <c r="G231" s="33">
        <f>5.6162 * CHOOSE(CONTROL!$C$32, $C$9, 100%, $E$9)</f>
        <v>5.6162000000000001</v>
      </c>
      <c r="H231" s="33">
        <f>9.1377 * CHOOSE(CONTROL!$C$32, $C$9, 100%, $E$9)</f>
        <v>9.1377000000000006</v>
      </c>
      <c r="I231" s="33">
        <f>9.1414 * CHOOSE(CONTROL!$C$32, $C$9, 100%, $E$9)</f>
        <v>9.1414000000000009</v>
      </c>
      <c r="J231" s="33">
        <f>9.1377 * CHOOSE(CONTROL!$C$32, $C$9, 100%, $E$9)</f>
        <v>9.1377000000000006</v>
      </c>
      <c r="K231" s="33">
        <f>9.1414 * CHOOSE(CONTROL!$C$32, $C$9, 100%, $E$9)</f>
        <v>9.1414000000000009</v>
      </c>
      <c r="L231" s="33">
        <f>5.6126 * CHOOSE(CONTROL!$C$32, $C$9, 100%, $E$9)</f>
        <v>5.6125999999999996</v>
      </c>
      <c r="M231" s="33">
        <f>5.6162 * CHOOSE(CONTROL!$C$32, $C$9, 100%, $E$9)</f>
        <v>5.6162000000000001</v>
      </c>
      <c r="N231" s="33">
        <f>5.6126 * CHOOSE(CONTROL!$C$32, $C$9, 100%, $E$9)</f>
        <v>5.6125999999999996</v>
      </c>
      <c r="O231" s="33">
        <f>5.6162 * CHOOSE(CONTROL!$C$32, $C$9, 100%, $E$9)</f>
        <v>5.6162000000000001</v>
      </c>
    </row>
    <row r="232" spans="1:15" ht="15" x14ac:dyDescent="0.2">
      <c r="A232" s="16">
        <v>48274</v>
      </c>
      <c r="B232" s="32">
        <f>4.3852 * CHOOSE(CONTROL!$C$32, $C$9, 100%, $E$9)</f>
        <v>4.3852000000000002</v>
      </c>
      <c r="C232" s="32">
        <f>4.3852 * CHOOSE(CONTROL!$C$32, $C$9, 100%, $E$9)</f>
        <v>4.3852000000000002</v>
      </c>
      <c r="D232" s="32">
        <f>4.3862 * CHOOSE(CONTROL!$C$32, $C$9, 100%, $E$9)</f>
        <v>4.3861999999999997</v>
      </c>
      <c r="E232" s="33">
        <f>5.6106 * CHOOSE(CONTROL!$C$32, $C$9, 100%, $E$9)</f>
        <v>5.6105999999999998</v>
      </c>
      <c r="F232" s="33">
        <f>5.6106 * CHOOSE(CONTROL!$C$32, $C$9, 100%, $E$9)</f>
        <v>5.6105999999999998</v>
      </c>
      <c r="G232" s="33">
        <f>5.6142 * CHOOSE(CONTROL!$C$32, $C$9, 100%, $E$9)</f>
        <v>5.6142000000000003</v>
      </c>
      <c r="H232" s="33">
        <f>9.1568 * CHOOSE(CONTROL!$C$32, $C$9, 100%, $E$9)</f>
        <v>9.1568000000000005</v>
      </c>
      <c r="I232" s="33">
        <f>9.1604 * CHOOSE(CONTROL!$C$32, $C$9, 100%, $E$9)</f>
        <v>9.1603999999999992</v>
      </c>
      <c r="J232" s="33">
        <f>9.1568 * CHOOSE(CONTROL!$C$32, $C$9, 100%, $E$9)</f>
        <v>9.1568000000000005</v>
      </c>
      <c r="K232" s="33">
        <f>9.1604 * CHOOSE(CONTROL!$C$32, $C$9, 100%, $E$9)</f>
        <v>9.1603999999999992</v>
      </c>
      <c r="L232" s="33">
        <f>5.6106 * CHOOSE(CONTROL!$C$32, $C$9, 100%, $E$9)</f>
        <v>5.6105999999999998</v>
      </c>
      <c r="M232" s="33">
        <f>5.6142 * CHOOSE(CONTROL!$C$32, $C$9, 100%, $E$9)</f>
        <v>5.6142000000000003</v>
      </c>
      <c r="N232" s="33">
        <f>5.6106 * CHOOSE(CONTROL!$C$32, $C$9, 100%, $E$9)</f>
        <v>5.6105999999999998</v>
      </c>
      <c r="O232" s="33">
        <f>5.6142 * CHOOSE(CONTROL!$C$32, $C$9, 100%, $E$9)</f>
        <v>5.6142000000000003</v>
      </c>
    </row>
    <row r="233" spans="1:15" ht="15" x14ac:dyDescent="0.2">
      <c r="A233" s="16">
        <v>48305</v>
      </c>
      <c r="B233" s="32">
        <f>4.3832 * CHOOSE(CONTROL!$C$32, $C$9, 100%, $E$9)</f>
        <v>4.3832000000000004</v>
      </c>
      <c r="C233" s="32">
        <f>4.3832 * CHOOSE(CONTROL!$C$32, $C$9, 100%, $E$9)</f>
        <v>4.3832000000000004</v>
      </c>
      <c r="D233" s="32">
        <f>4.3843 * CHOOSE(CONTROL!$C$32, $C$9, 100%, $E$9)</f>
        <v>4.3842999999999996</v>
      </c>
      <c r="E233" s="33">
        <f>5.6087 * CHOOSE(CONTROL!$C$32, $C$9, 100%, $E$9)</f>
        <v>5.6086999999999998</v>
      </c>
      <c r="F233" s="33">
        <f>5.6087 * CHOOSE(CONTROL!$C$32, $C$9, 100%, $E$9)</f>
        <v>5.6086999999999998</v>
      </c>
      <c r="G233" s="33">
        <f>5.6123 * CHOOSE(CONTROL!$C$32, $C$9, 100%, $E$9)</f>
        <v>5.6123000000000003</v>
      </c>
      <c r="H233" s="33">
        <f>9.1759 * CHOOSE(CONTROL!$C$32, $C$9, 100%, $E$9)</f>
        <v>9.1759000000000004</v>
      </c>
      <c r="I233" s="33">
        <f>9.1795 * CHOOSE(CONTROL!$C$32, $C$9, 100%, $E$9)</f>
        <v>9.1795000000000009</v>
      </c>
      <c r="J233" s="33">
        <f>9.1759 * CHOOSE(CONTROL!$C$32, $C$9, 100%, $E$9)</f>
        <v>9.1759000000000004</v>
      </c>
      <c r="K233" s="33">
        <f>9.1795 * CHOOSE(CONTROL!$C$32, $C$9, 100%, $E$9)</f>
        <v>9.1795000000000009</v>
      </c>
      <c r="L233" s="33">
        <f>5.6087 * CHOOSE(CONTROL!$C$32, $C$9, 100%, $E$9)</f>
        <v>5.6086999999999998</v>
      </c>
      <c r="M233" s="33">
        <f>5.6123 * CHOOSE(CONTROL!$C$32, $C$9, 100%, $E$9)</f>
        <v>5.6123000000000003</v>
      </c>
      <c r="N233" s="33">
        <f>5.6087 * CHOOSE(CONTROL!$C$32, $C$9, 100%, $E$9)</f>
        <v>5.6086999999999998</v>
      </c>
      <c r="O233" s="33">
        <f>5.6123 * CHOOSE(CONTROL!$C$32, $C$9, 100%, $E$9)</f>
        <v>5.6123000000000003</v>
      </c>
    </row>
    <row r="234" spans="1:15" ht="15" x14ac:dyDescent="0.2">
      <c r="A234" s="16">
        <v>48335</v>
      </c>
      <c r="B234" s="32">
        <f>4.3832 * CHOOSE(CONTROL!$C$32, $C$9, 100%, $E$9)</f>
        <v>4.3832000000000004</v>
      </c>
      <c r="C234" s="32">
        <f>4.3832 * CHOOSE(CONTROL!$C$32, $C$9, 100%, $E$9)</f>
        <v>4.3832000000000004</v>
      </c>
      <c r="D234" s="32">
        <f>4.3848 * CHOOSE(CONTROL!$C$32, $C$9, 100%, $E$9)</f>
        <v>4.3848000000000003</v>
      </c>
      <c r="E234" s="33">
        <f>5.6087 * CHOOSE(CONTROL!$C$32, $C$9, 100%, $E$9)</f>
        <v>5.6086999999999998</v>
      </c>
      <c r="F234" s="33">
        <f>5.6087 * CHOOSE(CONTROL!$C$32, $C$9, 100%, $E$9)</f>
        <v>5.6086999999999998</v>
      </c>
      <c r="G234" s="33">
        <f>5.614 * CHOOSE(CONTROL!$C$32, $C$9, 100%, $E$9)</f>
        <v>5.6139999999999999</v>
      </c>
      <c r="H234" s="33">
        <f>9.195 * CHOOSE(CONTROL!$C$32, $C$9, 100%, $E$9)</f>
        <v>9.1950000000000003</v>
      </c>
      <c r="I234" s="33">
        <f>9.2003 * CHOOSE(CONTROL!$C$32, $C$9, 100%, $E$9)</f>
        <v>9.2003000000000004</v>
      </c>
      <c r="J234" s="33">
        <f>9.195 * CHOOSE(CONTROL!$C$32, $C$9, 100%, $E$9)</f>
        <v>9.1950000000000003</v>
      </c>
      <c r="K234" s="33">
        <f>9.2003 * CHOOSE(CONTROL!$C$32, $C$9, 100%, $E$9)</f>
        <v>9.2003000000000004</v>
      </c>
      <c r="L234" s="33">
        <f>5.6087 * CHOOSE(CONTROL!$C$32, $C$9, 100%, $E$9)</f>
        <v>5.6086999999999998</v>
      </c>
      <c r="M234" s="33">
        <f>5.614 * CHOOSE(CONTROL!$C$32, $C$9, 100%, $E$9)</f>
        <v>5.6139999999999999</v>
      </c>
      <c r="N234" s="33">
        <f>5.6087 * CHOOSE(CONTROL!$C$32, $C$9, 100%, $E$9)</f>
        <v>5.6086999999999998</v>
      </c>
      <c r="O234" s="33">
        <f>5.614 * CHOOSE(CONTROL!$C$32, $C$9, 100%, $E$9)</f>
        <v>5.6139999999999999</v>
      </c>
    </row>
    <row r="235" spans="1:15" ht="15" x14ac:dyDescent="0.2">
      <c r="A235" s="16">
        <v>48366</v>
      </c>
      <c r="B235" s="32">
        <f>4.3893 * CHOOSE(CONTROL!$C$32, $C$9, 100%, $E$9)</f>
        <v>4.3893000000000004</v>
      </c>
      <c r="C235" s="32">
        <f>4.3893 * CHOOSE(CONTROL!$C$32, $C$9, 100%, $E$9)</f>
        <v>4.3893000000000004</v>
      </c>
      <c r="D235" s="32">
        <f>4.3909 * CHOOSE(CONTROL!$C$32, $C$9, 100%, $E$9)</f>
        <v>4.3909000000000002</v>
      </c>
      <c r="E235" s="33">
        <f>5.6127 * CHOOSE(CONTROL!$C$32, $C$9, 100%, $E$9)</f>
        <v>5.6127000000000002</v>
      </c>
      <c r="F235" s="33">
        <f>5.6127 * CHOOSE(CONTROL!$C$32, $C$9, 100%, $E$9)</f>
        <v>5.6127000000000002</v>
      </c>
      <c r="G235" s="33">
        <f>5.618 * CHOOSE(CONTROL!$C$32, $C$9, 100%, $E$9)</f>
        <v>5.6180000000000003</v>
      </c>
      <c r="H235" s="33">
        <f>9.2141 * CHOOSE(CONTROL!$C$32, $C$9, 100%, $E$9)</f>
        <v>9.2141000000000002</v>
      </c>
      <c r="I235" s="33">
        <f>9.2194 * CHOOSE(CONTROL!$C$32, $C$9, 100%, $E$9)</f>
        <v>9.2194000000000003</v>
      </c>
      <c r="J235" s="33">
        <f>9.2141 * CHOOSE(CONTROL!$C$32, $C$9, 100%, $E$9)</f>
        <v>9.2141000000000002</v>
      </c>
      <c r="K235" s="33">
        <f>9.2194 * CHOOSE(CONTROL!$C$32, $C$9, 100%, $E$9)</f>
        <v>9.2194000000000003</v>
      </c>
      <c r="L235" s="33">
        <f>5.6127 * CHOOSE(CONTROL!$C$32, $C$9, 100%, $E$9)</f>
        <v>5.6127000000000002</v>
      </c>
      <c r="M235" s="33">
        <f>5.618 * CHOOSE(CONTROL!$C$32, $C$9, 100%, $E$9)</f>
        <v>5.6180000000000003</v>
      </c>
      <c r="N235" s="33">
        <f>5.6127 * CHOOSE(CONTROL!$C$32, $C$9, 100%, $E$9)</f>
        <v>5.6127000000000002</v>
      </c>
      <c r="O235" s="33">
        <f>5.618 * CHOOSE(CONTROL!$C$32, $C$9, 100%, $E$9)</f>
        <v>5.6180000000000003</v>
      </c>
    </row>
    <row r="236" spans="1:15" ht="15" x14ac:dyDescent="0.2">
      <c r="A236" s="16">
        <v>48396</v>
      </c>
      <c r="B236" s="32">
        <f>4.4571 * CHOOSE(CONTROL!$C$32, $C$9, 100%, $E$9)</f>
        <v>4.4570999999999996</v>
      </c>
      <c r="C236" s="32">
        <f>4.4571 * CHOOSE(CONTROL!$C$32, $C$9, 100%, $E$9)</f>
        <v>4.4570999999999996</v>
      </c>
      <c r="D236" s="32">
        <f>4.4586 * CHOOSE(CONTROL!$C$32, $C$9, 100%, $E$9)</f>
        <v>4.4585999999999997</v>
      </c>
      <c r="E236" s="33">
        <f>5.7152 * CHOOSE(CONTROL!$C$32, $C$9, 100%, $E$9)</f>
        <v>5.7152000000000003</v>
      </c>
      <c r="F236" s="33">
        <f>5.7152 * CHOOSE(CONTROL!$C$32, $C$9, 100%, $E$9)</f>
        <v>5.7152000000000003</v>
      </c>
      <c r="G236" s="33">
        <f>5.7205 * CHOOSE(CONTROL!$C$32, $C$9, 100%, $E$9)</f>
        <v>5.7205000000000004</v>
      </c>
      <c r="H236" s="33">
        <f>9.2333 * CHOOSE(CONTROL!$C$32, $C$9, 100%, $E$9)</f>
        <v>9.2332999999999998</v>
      </c>
      <c r="I236" s="33">
        <f>9.2386 * CHOOSE(CONTROL!$C$32, $C$9, 100%, $E$9)</f>
        <v>9.2385999999999999</v>
      </c>
      <c r="J236" s="33">
        <f>9.2333 * CHOOSE(CONTROL!$C$32, $C$9, 100%, $E$9)</f>
        <v>9.2332999999999998</v>
      </c>
      <c r="K236" s="33">
        <f>9.2386 * CHOOSE(CONTROL!$C$32, $C$9, 100%, $E$9)</f>
        <v>9.2385999999999999</v>
      </c>
      <c r="L236" s="33">
        <f>5.7152 * CHOOSE(CONTROL!$C$32, $C$9, 100%, $E$9)</f>
        <v>5.7152000000000003</v>
      </c>
      <c r="M236" s="33">
        <f>5.7205 * CHOOSE(CONTROL!$C$32, $C$9, 100%, $E$9)</f>
        <v>5.7205000000000004</v>
      </c>
      <c r="N236" s="33">
        <f>5.7152 * CHOOSE(CONTROL!$C$32, $C$9, 100%, $E$9)</f>
        <v>5.7152000000000003</v>
      </c>
      <c r="O236" s="33">
        <f>5.7205 * CHOOSE(CONTROL!$C$32, $C$9, 100%, $E$9)</f>
        <v>5.7205000000000004</v>
      </c>
    </row>
    <row r="237" spans="1:15" ht="15" x14ac:dyDescent="0.2">
      <c r="A237" s="16">
        <v>48427</v>
      </c>
      <c r="B237" s="32">
        <f>4.4637 * CHOOSE(CONTROL!$C$32, $C$9, 100%, $E$9)</f>
        <v>4.4637000000000002</v>
      </c>
      <c r="C237" s="32">
        <f>4.4637 * CHOOSE(CONTROL!$C$32, $C$9, 100%, $E$9)</f>
        <v>4.4637000000000002</v>
      </c>
      <c r="D237" s="32">
        <f>4.4653 * CHOOSE(CONTROL!$C$32, $C$9, 100%, $E$9)</f>
        <v>4.4653</v>
      </c>
      <c r="E237" s="33">
        <f>5.7196 * CHOOSE(CONTROL!$C$32, $C$9, 100%, $E$9)</f>
        <v>5.7195999999999998</v>
      </c>
      <c r="F237" s="33">
        <f>5.7196 * CHOOSE(CONTROL!$C$32, $C$9, 100%, $E$9)</f>
        <v>5.7195999999999998</v>
      </c>
      <c r="G237" s="33">
        <f>5.7249 * CHOOSE(CONTROL!$C$32, $C$9, 100%, $E$9)</f>
        <v>5.7248999999999999</v>
      </c>
      <c r="H237" s="33">
        <f>9.2526 * CHOOSE(CONTROL!$C$32, $C$9, 100%, $E$9)</f>
        <v>9.2525999999999993</v>
      </c>
      <c r="I237" s="33">
        <f>9.2579 * CHOOSE(CONTROL!$C$32, $C$9, 100%, $E$9)</f>
        <v>9.2578999999999994</v>
      </c>
      <c r="J237" s="33">
        <f>9.2526 * CHOOSE(CONTROL!$C$32, $C$9, 100%, $E$9)</f>
        <v>9.2525999999999993</v>
      </c>
      <c r="K237" s="33">
        <f>9.2579 * CHOOSE(CONTROL!$C$32, $C$9, 100%, $E$9)</f>
        <v>9.2578999999999994</v>
      </c>
      <c r="L237" s="33">
        <f>5.7196 * CHOOSE(CONTROL!$C$32, $C$9, 100%, $E$9)</f>
        <v>5.7195999999999998</v>
      </c>
      <c r="M237" s="33">
        <f>5.7249 * CHOOSE(CONTROL!$C$32, $C$9, 100%, $E$9)</f>
        <v>5.7248999999999999</v>
      </c>
      <c r="N237" s="33">
        <f>5.7196 * CHOOSE(CONTROL!$C$32, $C$9, 100%, $E$9)</f>
        <v>5.7195999999999998</v>
      </c>
      <c r="O237" s="33">
        <f>5.7249 * CHOOSE(CONTROL!$C$32, $C$9, 100%, $E$9)</f>
        <v>5.7248999999999999</v>
      </c>
    </row>
    <row r="238" spans="1:15" ht="15" x14ac:dyDescent="0.2">
      <c r="A238" s="16">
        <v>48458</v>
      </c>
      <c r="B238" s="32">
        <f>4.4607 * CHOOSE(CONTROL!$C$32, $C$9, 100%, $E$9)</f>
        <v>4.4607000000000001</v>
      </c>
      <c r="C238" s="32">
        <f>4.4607 * CHOOSE(CONTROL!$C$32, $C$9, 100%, $E$9)</f>
        <v>4.4607000000000001</v>
      </c>
      <c r="D238" s="32">
        <f>4.4623 * CHOOSE(CONTROL!$C$32, $C$9, 100%, $E$9)</f>
        <v>4.4622999999999999</v>
      </c>
      <c r="E238" s="33">
        <f>5.7176 * CHOOSE(CONTROL!$C$32, $C$9, 100%, $E$9)</f>
        <v>5.7176</v>
      </c>
      <c r="F238" s="33">
        <f>5.7176 * CHOOSE(CONTROL!$C$32, $C$9, 100%, $E$9)</f>
        <v>5.7176</v>
      </c>
      <c r="G238" s="33">
        <f>5.7229 * CHOOSE(CONTROL!$C$32, $C$9, 100%, $E$9)</f>
        <v>5.7229000000000001</v>
      </c>
      <c r="H238" s="33">
        <f>9.2718 * CHOOSE(CONTROL!$C$32, $C$9, 100%, $E$9)</f>
        <v>9.2718000000000007</v>
      </c>
      <c r="I238" s="33">
        <f>9.2771 * CHOOSE(CONTROL!$C$32, $C$9, 100%, $E$9)</f>
        <v>9.2771000000000008</v>
      </c>
      <c r="J238" s="33">
        <f>9.2718 * CHOOSE(CONTROL!$C$32, $C$9, 100%, $E$9)</f>
        <v>9.2718000000000007</v>
      </c>
      <c r="K238" s="33">
        <f>9.2771 * CHOOSE(CONTROL!$C$32, $C$9, 100%, $E$9)</f>
        <v>9.2771000000000008</v>
      </c>
      <c r="L238" s="33">
        <f>5.7176 * CHOOSE(CONTROL!$C$32, $C$9, 100%, $E$9)</f>
        <v>5.7176</v>
      </c>
      <c r="M238" s="33">
        <f>5.7229 * CHOOSE(CONTROL!$C$32, $C$9, 100%, $E$9)</f>
        <v>5.7229000000000001</v>
      </c>
      <c r="N238" s="33">
        <f>5.7176 * CHOOSE(CONTROL!$C$32, $C$9, 100%, $E$9)</f>
        <v>5.7176</v>
      </c>
      <c r="O238" s="33">
        <f>5.7229 * CHOOSE(CONTROL!$C$32, $C$9, 100%, $E$9)</f>
        <v>5.7229000000000001</v>
      </c>
    </row>
    <row r="239" spans="1:15" ht="15" x14ac:dyDescent="0.2">
      <c r="A239" s="16">
        <v>48488</v>
      </c>
      <c r="B239" s="32">
        <f>4.4575 * CHOOSE(CONTROL!$C$32, $C$9, 100%, $E$9)</f>
        <v>4.4574999999999996</v>
      </c>
      <c r="C239" s="32">
        <f>4.4575 * CHOOSE(CONTROL!$C$32, $C$9, 100%, $E$9)</f>
        <v>4.4574999999999996</v>
      </c>
      <c r="D239" s="32">
        <f>4.4586 * CHOOSE(CONTROL!$C$32, $C$9, 100%, $E$9)</f>
        <v>4.4585999999999997</v>
      </c>
      <c r="E239" s="33">
        <f>5.7132 * CHOOSE(CONTROL!$C$32, $C$9, 100%, $E$9)</f>
        <v>5.7131999999999996</v>
      </c>
      <c r="F239" s="33">
        <f>5.7132 * CHOOSE(CONTROL!$C$32, $C$9, 100%, $E$9)</f>
        <v>5.7131999999999996</v>
      </c>
      <c r="G239" s="33">
        <f>5.7168 * CHOOSE(CONTROL!$C$32, $C$9, 100%, $E$9)</f>
        <v>5.7168000000000001</v>
      </c>
      <c r="H239" s="33">
        <f>9.2912 * CHOOSE(CONTROL!$C$32, $C$9, 100%, $E$9)</f>
        <v>9.2911999999999999</v>
      </c>
      <c r="I239" s="33">
        <f>9.2948 * CHOOSE(CONTROL!$C$32, $C$9, 100%, $E$9)</f>
        <v>9.2948000000000004</v>
      </c>
      <c r="J239" s="33">
        <f>9.2912 * CHOOSE(CONTROL!$C$32, $C$9, 100%, $E$9)</f>
        <v>9.2911999999999999</v>
      </c>
      <c r="K239" s="33">
        <f>9.2948 * CHOOSE(CONTROL!$C$32, $C$9, 100%, $E$9)</f>
        <v>9.2948000000000004</v>
      </c>
      <c r="L239" s="33">
        <f>5.7132 * CHOOSE(CONTROL!$C$32, $C$9, 100%, $E$9)</f>
        <v>5.7131999999999996</v>
      </c>
      <c r="M239" s="33">
        <f>5.7168 * CHOOSE(CONTROL!$C$32, $C$9, 100%, $E$9)</f>
        <v>5.7168000000000001</v>
      </c>
      <c r="N239" s="33">
        <f>5.7132 * CHOOSE(CONTROL!$C$32, $C$9, 100%, $E$9)</f>
        <v>5.7131999999999996</v>
      </c>
      <c r="O239" s="33">
        <f>5.7168 * CHOOSE(CONTROL!$C$32, $C$9, 100%, $E$9)</f>
        <v>5.7168000000000001</v>
      </c>
    </row>
    <row r="240" spans="1:15" ht="15" x14ac:dyDescent="0.2">
      <c r="A240" s="16">
        <v>48519</v>
      </c>
      <c r="B240" s="32">
        <f>4.4605 * CHOOSE(CONTROL!$C$32, $C$9, 100%, $E$9)</f>
        <v>4.4604999999999997</v>
      </c>
      <c r="C240" s="32">
        <f>4.4605 * CHOOSE(CONTROL!$C$32, $C$9, 100%, $E$9)</f>
        <v>4.4604999999999997</v>
      </c>
      <c r="D240" s="32">
        <f>4.4616 * CHOOSE(CONTROL!$C$32, $C$9, 100%, $E$9)</f>
        <v>4.4615999999999998</v>
      </c>
      <c r="E240" s="33">
        <f>5.7152 * CHOOSE(CONTROL!$C$32, $C$9, 100%, $E$9)</f>
        <v>5.7152000000000003</v>
      </c>
      <c r="F240" s="33">
        <f>5.7152 * CHOOSE(CONTROL!$C$32, $C$9, 100%, $E$9)</f>
        <v>5.7152000000000003</v>
      </c>
      <c r="G240" s="33">
        <f>5.7188 * CHOOSE(CONTROL!$C$32, $C$9, 100%, $E$9)</f>
        <v>5.7187999999999999</v>
      </c>
      <c r="H240" s="33">
        <f>9.3105 * CHOOSE(CONTROL!$C$32, $C$9, 100%, $E$9)</f>
        <v>9.3104999999999993</v>
      </c>
      <c r="I240" s="33">
        <f>9.3141 * CHOOSE(CONTROL!$C$32, $C$9, 100%, $E$9)</f>
        <v>9.3140999999999998</v>
      </c>
      <c r="J240" s="33">
        <f>9.3105 * CHOOSE(CONTROL!$C$32, $C$9, 100%, $E$9)</f>
        <v>9.3104999999999993</v>
      </c>
      <c r="K240" s="33">
        <f>9.3141 * CHOOSE(CONTROL!$C$32, $C$9, 100%, $E$9)</f>
        <v>9.3140999999999998</v>
      </c>
      <c r="L240" s="33">
        <f>5.7152 * CHOOSE(CONTROL!$C$32, $C$9, 100%, $E$9)</f>
        <v>5.7152000000000003</v>
      </c>
      <c r="M240" s="33">
        <f>5.7188 * CHOOSE(CONTROL!$C$32, $C$9, 100%, $E$9)</f>
        <v>5.7187999999999999</v>
      </c>
      <c r="N240" s="33">
        <f>5.7152 * CHOOSE(CONTROL!$C$32, $C$9, 100%, $E$9)</f>
        <v>5.7152000000000003</v>
      </c>
      <c r="O240" s="33">
        <f>5.7188 * CHOOSE(CONTROL!$C$32, $C$9, 100%, $E$9)</f>
        <v>5.7187999999999999</v>
      </c>
    </row>
    <row r="241" spans="1:15" ht="15" x14ac:dyDescent="0.2">
      <c r="A241" s="16">
        <v>48549</v>
      </c>
      <c r="B241" s="32">
        <f>4.4605 * CHOOSE(CONTROL!$C$32, $C$9, 100%, $E$9)</f>
        <v>4.4604999999999997</v>
      </c>
      <c r="C241" s="32">
        <f>4.4605 * CHOOSE(CONTROL!$C$32, $C$9, 100%, $E$9)</f>
        <v>4.4604999999999997</v>
      </c>
      <c r="D241" s="32">
        <f>4.4616 * CHOOSE(CONTROL!$C$32, $C$9, 100%, $E$9)</f>
        <v>4.4615999999999998</v>
      </c>
      <c r="E241" s="33">
        <f>5.7152 * CHOOSE(CONTROL!$C$32, $C$9, 100%, $E$9)</f>
        <v>5.7152000000000003</v>
      </c>
      <c r="F241" s="33">
        <f>5.7152 * CHOOSE(CONTROL!$C$32, $C$9, 100%, $E$9)</f>
        <v>5.7152000000000003</v>
      </c>
      <c r="G241" s="33">
        <f>5.7188 * CHOOSE(CONTROL!$C$32, $C$9, 100%, $E$9)</f>
        <v>5.7187999999999999</v>
      </c>
      <c r="H241" s="33">
        <f>9.3299 * CHOOSE(CONTROL!$C$32, $C$9, 100%, $E$9)</f>
        <v>9.3299000000000003</v>
      </c>
      <c r="I241" s="33">
        <f>9.3335 * CHOOSE(CONTROL!$C$32, $C$9, 100%, $E$9)</f>
        <v>9.3335000000000008</v>
      </c>
      <c r="J241" s="33">
        <f>9.3299 * CHOOSE(CONTROL!$C$32, $C$9, 100%, $E$9)</f>
        <v>9.3299000000000003</v>
      </c>
      <c r="K241" s="33">
        <f>9.3335 * CHOOSE(CONTROL!$C$32, $C$9, 100%, $E$9)</f>
        <v>9.3335000000000008</v>
      </c>
      <c r="L241" s="33">
        <f>5.7152 * CHOOSE(CONTROL!$C$32, $C$9, 100%, $E$9)</f>
        <v>5.7152000000000003</v>
      </c>
      <c r="M241" s="33">
        <f>5.7188 * CHOOSE(CONTROL!$C$32, $C$9, 100%, $E$9)</f>
        <v>5.7187999999999999</v>
      </c>
      <c r="N241" s="33">
        <f>5.7152 * CHOOSE(CONTROL!$C$32, $C$9, 100%, $E$9)</f>
        <v>5.7152000000000003</v>
      </c>
      <c r="O241" s="33">
        <f>5.7188 * CHOOSE(CONTROL!$C$32, $C$9, 100%, $E$9)</f>
        <v>5.7187999999999999</v>
      </c>
    </row>
    <row r="242" spans="1:15" ht="15" x14ac:dyDescent="0.2">
      <c r="A242" s="16">
        <v>48580</v>
      </c>
      <c r="B242" s="32">
        <f>4.4966 * CHOOSE(CONTROL!$C$32, $C$9, 100%, $E$9)</f>
        <v>4.4965999999999999</v>
      </c>
      <c r="C242" s="32">
        <f>4.4966 * CHOOSE(CONTROL!$C$32, $C$9, 100%, $E$9)</f>
        <v>4.4965999999999999</v>
      </c>
      <c r="D242" s="32">
        <f>4.4977 * CHOOSE(CONTROL!$C$32, $C$9, 100%, $E$9)</f>
        <v>4.4977</v>
      </c>
      <c r="E242" s="33">
        <f>5.7608 * CHOOSE(CONTROL!$C$32, $C$9, 100%, $E$9)</f>
        <v>5.7607999999999997</v>
      </c>
      <c r="F242" s="33">
        <f>5.7608 * CHOOSE(CONTROL!$C$32, $C$9, 100%, $E$9)</f>
        <v>5.7607999999999997</v>
      </c>
      <c r="G242" s="33">
        <f>5.7644 * CHOOSE(CONTROL!$C$32, $C$9, 100%, $E$9)</f>
        <v>5.7644000000000002</v>
      </c>
      <c r="H242" s="33">
        <f>9.3493 * CHOOSE(CONTROL!$C$32, $C$9, 100%, $E$9)</f>
        <v>9.3492999999999995</v>
      </c>
      <c r="I242" s="33">
        <f>9.353 * CHOOSE(CONTROL!$C$32, $C$9, 100%, $E$9)</f>
        <v>9.3529999999999998</v>
      </c>
      <c r="J242" s="33">
        <f>9.3493 * CHOOSE(CONTROL!$C$32, $C$9, 100%, $E$9)</f>
        <v>9.3492999999999995</v>
      </c>
      <c r="K242" s="33">
        <f>9.353 * CHOOSE(CONTROL!$C$32, $C$9, 100%, $E$9)</f>
        <v>9.3529999999999998</v>
      </c>
      <c r="L242" s="33">
        <f>5.7608 * CHOOSE(CONTROL!$C$32, $C$9, 100%, $E$9)</f>
        <v>5.7607999999999997</v>
      </c>
      <c r="M242" s="33">
        <f>5.7644 * CHOOSE(CONTROL!$C$32, $C$9, 100%, $E$9)</f>
        <v>5.7644000000000002</v>
      </c>
      <c r="N242" s="33">
        <f>5.7608 * CHOOSE(CONTROL!$C$32, $C$9, 100%, $E$9)</f>
        <v>5.7607999999999997</v>
      </c>
      <c r="O242" s="33">
        <f>5.7644 * CHOOSE(CONTROL!$C$32, $C$9, 100%, $E$9)</f>
        <v>5.7644000000000002</v>
      </c>
    </row>
    <row r="243" spans="1:15" ht="15" x14ac:dyDescent="0.2">
      <c r="A243" s="16">
        <v>48611</v>
      </c>
      <c r="B243" s="32">
        <f>4.4936 * CHOOSE(CONTROL!$C$32, $C$9, 100%, $E$9)</f>
        <v>4.4935999999999998</v>
      </c>
      <c r="C243" s="32">
        <f>4.4936 * CHOOSE(CONTROL!$C$32, $C$9, 100%, $E$9)</f>
        <v>4.4935999999999998</v>
      </c>
      <c r="D243" s="32">
        <f>4.4946 * CHOOSE(CONTROL!$C$32, $C$9, 100%, $E$9)</f>
        <v>4.4946000000000002</v>
      </c>
      <c r="E243" s="33">
        <f>5.7588 * CHOOSE(CONTROL!$C$32, $C$9, 100%, $E$9)</f>
        <v>5.7587999999999999</v>
      </c>
      <c r="F243" s="33">
        <f>5.7588 * CHOOSE(CONTROL!$C$32, $C$9, 100%, $E$9)</f>
        <v>5.7587999999999999</v>
      </c>
      <c r="G243" s="33">
        <f>5.7624 * CHOOSE(CONTROL!$C$32, $C$9, 100%, $E$9)</f>
        <v>5.7624000000000004</v>
      </c>
      <c r="H243" s="33">
        <f>9.3688 * CHOOSE(CONTROL!$C$32, $C$9, 100%, $E$9)</f>
        <v>9.3688000000000002</v>
      </c>
      <c r="I243" s="33">
        <f>9.3724 * CHOOSE(CONTROL!$C$32, $C$9, 100%, $E$9)</f>
        <v>9.3724000000000007</v>
      </c>
      <c r="J243" s="33">
        <f>9.3688 * CHOOSE(CONTROL!$C$32, $C$9, 100%, $E$9)</f>
        <v>9.3688000000000002</v>
      </c>
      <c r="K243" s="33">
        <f>9.3724 * CHOOSE(CONTROL!$C$32, $C$9, 100%, $E$9)</f>
        <v>9.3724000000000007</v>
      </c>
      <c r="L243" s="33">
        <f>5.7588 * CHOOSE(CONTROL!$C$32, $C$9, 100%, $E$9)</f>
        <v>5.7587999999999999</v>
      </c>
      <c r="M243" s="33">
        <f>5.7624 * CHOOSE(CONTROL!$C$32, $C$9, 100%, $E$9)</f>
        <v>5.7624000000000004</v>
      </c>
      <c r="N243" s="33">
        <f>5.7588 * CHOOSE(CONTROL!$C$32, $C$9, 100%, $E$9)</f>
        <v>5.7587999999999999</v>
      </c>
      <c r="O243" s="33">
        <f>5.7624 * CHOOSE(CONTROL!$C$32, $C$9, 100%, $E$9)</f>
        <v>5.7624000000000004</v>
      </c>
    </row>
    <row r="244" spans="1:15" ht="15" x14ac:dyDescent="0.2">
      <c r="A244" s="16">
        <v>48639</v>
      </c>
      <c r="B244" s="32">
        <f>4.4905 * CHOOSE(CONTROL!$C$32, $C$9, 100%, $E$9)</f>
        <v>4.4904999999999999</v>
      </c>
      <c r="C244" s="32">
        <f>4.4905 * CHOOSE(CONTROL!$C$32, $C$9, 100%, $E$9)</f>
        <v>4.4904999999999999</v>
      </c>
      <c r="D244" s="32">
        <f>4.4916 * CHOOSE(CONTROL!$C$32, $C$9, 100%, $E$9)</f>
        <v>4.4916</v>
      </c>
      <c r="E244" s="33">
        <f>5.7568 * CHOOSE(CONTROL!$C$32, $C$9, 100%, $E$9)</f>
        <v>5.7568000000000001</v>
      </c>
      <c r="F244" s="33">
        <f>5.7568 * CHOOSE(CONTROL!$C$32, $C$9, 100%, $E$9)</f>
        <v>5.7568000000000001</v>
      </c>
      <c r="G244" s="33">
        <f>5.7604 * CHOOSE(CONTROL!$C$32, $C$9, 100%, $E$9)</f>
        <v>5.7603999999999997</v>
      </c>
      <c r="H244" s="33">
        <f>9.3883 * CHOOSE(CONTROL!$C$32, $C$9, 100%, $E$9)</f>
        <v>9.3882999999999992</v>
      </c>
      <c r="I244" s="33">
        <f>9.392 * CHOOSE(CONTROL!$C$32, $C$9, 100%, $E$9)</f>
        <v>9.3919999999999995</v>
      </c>
      <c r="J244" s="33">
        <f>9.3883 * CHOOSE(CONTROL!$C$32, $C$9, 100%, $E$9)</f>
        <v>9.3882999999999992</v>
      </c>
      <c r="K244" s="33">
        <f>9.392 * CHOOSE(CONTROL!$C$32, $C$9, 100%, $E$9)</f>
        <v>9.3919999999999995</v>
      </c>
      <c r="L244" s="33">
        <f>5.7568 * CHOOSE(CONTROL!$C$32, $C$9, 100%, $E$9)</f>
        <v>5.7568000000000001</v>
      </c>
      <c r="M244" s="33">
        <f>5.7604 * CHOOSE(CONTROL!$C$32, $C$9, 100%, $E$9)</f>
        <v>5.7603999999999997</v>
      </c>
      <c r="N244" s="33">
        <f>5.7568 * CHOOSE(CONTROL!$C$32, $C$9, 100%, $E$9)</f>
        <v>5.7568000000000001</v>
      </c>
      <c r="O244" s="33">
        <f>5.7604 * CHOOSE(CONTROL!$C$32, $C$9, 100%, $E$9)</f>
        <v>5.7603999999999997</v>
      </c>
    </row>
    <row r="245" spans="1:15" ht="15" x14ac:dyDescent="0.2">
      <c r="A245" s="16">
        <v>48670</v>
      </c>
      <c r="B245" s="32">
        <f>4.4887 * CHOOSE(CONTROL!$C$32, $C$9, 100%, $E$9)</f>
        <v>4.4886999999999997</v>
      </c>
      <c r="C245" s="32">
        <f>4.4887 * CHOOSE(CONTROL!$C$32, $C$9, 100%, $E$9)</f>
        <v>4.4886999999999997</v>
      </c>
      <c r="D245" s="32">
        <f>4.4897 * CHOOSE(CONTROL!$C$32, $C$9, 100%, $E$9)</f>
        <v>4.4897</v>
      </c>
      <c r="E245" s="33">
        <f>5.755 * CHOOSE(CONTROL!$C$32, $C$9, 100%, $E$9)</f>
        <v>5.7549999999999999</v>
      </c>
      <c r="F245" s="33">
        <f>5.755 * CHOOSE(CONTROL!$C$32, $C$9, 100%, $E$9)</f>
        <v>5.7549999999999999</v>
      </c>
      <c r="G245" s="33">
        <f>5.7586 * CHOOSE(CONTROL!$C$32, $C$9, 100%, $E$9)</f>
        <v>5.7586000000000004</v>
      </c>
      <c r="H245" s="33">
        <f>9.4079 * CHOOSE(CONTROL!$C$32, $C$9, 100%, $E$9)</f>
        <v>9.4078999999999997</v>
      </c>
      <c r="I245" s="33">
        <f>9.4115 * CHOOSE(CONTROL!$C$32, $C$9, 100%, $E$9)</f>
        <v>9.4115000000000002</v>
      </c>
      <c r="J245" s="33">
        <f>9.4079 * CHOOSE(CONTROL!$C$32, $C$9, 100%, $E$9)</f>
        <v>9.4078999999999997</v>
      </c>
      <c r="K245" s="33">
        <f>9.4115 * CHOOSE(CONTROL!$C$32, $C$9, 100%, $E$9)</f>
        <v>9.4115000000000002</v>
      </c>
      <c r="L245" s="33">
        <f>5.755 * CHOOSE(CONTROL!$C$32, $C$9, 100%, $E$9)</f>
        <v>5.7549999999999999</v>
      </c>
      <c r="M245" s="33">
        <f>5.7586 * CHOOSE(CONTROL!$C$32, $C$9, 100%, $E$9)</f>
        <v>5.7586000000000004</v>
      </c>
      <c r="N245" s="33">
        <f>5.755 * CHOOSE(CONTROL!$C$32, $C$9, 100%, $E$9)</f>
        <v>5.7549999999999999</v>
      </c>
      <c r="O245" s="33">
        <f>5.7586 * CHOOSE(CONTROL!$C$32, $C$9, 100%, $E$9)</f>
        <v>5.7586000000000004</v>
      </c>
    </row>
    <row r="246" spans="1:15" ht="15" x14ac:dyDescent="0.2">
      <c r="A246" s="16">
        <v>48700</v>
      </c>
      <c r="B246" s="32">
        <f>4.4887 * CHOOSE(CONTROL!$C$32, $C$9, 100%, $E$9)</f>
        <v>4.4886999999999997</v>
      </c>
      <c r="C246" s="32">
        <f>4.4887 * CHOOSE(CONTROL!$C$32, $C$9, 100%, $E$9)</f>
        <v>4.4886999999999997</v>
      </c>
      <c r="D246" s="32">
        <f>4.4902 * CHOOSE(CONTROL!$C$32, $C$9, 100%, $E$9)</f>
        <v>4.4901999999999997</v>
      </c>
      <c r="E246" s="33">
        <f>5.755 * CHOOSE(CONTROL!$C$32, $C$9, 100%, $E$9)</f>
        <v>5.7549999999999999</v>
      </c>
      <c r="F246" s="33">
        <f>5.755 * CHOOSE(CONTROL!$C$32, $C$9, 100%, $E$9)</f>
        <v>5.7549999999999999</v>
      </c>
      <c r="G246" s="33">
        <f>5.7602 * CHOOSE(CONTROL!$C$32, $C$9, 100%, $E$9)</f>
        <v>5.7602000000000002</v>
      </c>
      <c r="H246" s="33">
        <f>9.4275 * CHOOSE(CONTROL!$C$32, $C$9, 100%, $E$9)</f>
        <v>9.4275000000000002</v>
      </c>
      <c r="I246" s="33">
        <f>9.4328 * CHOOSE(CONTROL!$C$32, $C$9, 100%, $E$9)</f>
        <v>9.4328000000000003</v>
      </c>
      <c r="J246" s="33">
        <f>9.4275 * CHOOSE(CONTROL!$C$32, $C$9, 100%, $E$9)</f>
        <v>9.4275000000000002</v>
      </c>
      <c r="K246" s="33">
        <f>9.4328 * CHOOSE(CONTROL!$C$32, $C$9, 100%, $E$9)</f>
        <v>9.4328000000000003</v>
      </c>
      <c r="L246" s="33">
        <f>5.755 * CHOOSE(CONTROL!$C$32, $C$9, 100%, $E$9)</f>
        <v>5.7549999999999999</v>
      </c>
      <c r="M246" s="33">
        <f>5.7602 * CHOOSE(CONTROL!$C$32, $C$9, 100%, $E$9)</f>
        <v>5.7602000000000002</v>
      </c>
      <c r="N246" s="33">
        <f>5.755 * CHOOSE(CONTROL!$C$32, $C$9, 100%, $E$9)</f>
        <v>5.7549999999999999</v>
      </c>
      <c r="O246" s="33">
        <f>5.7602 * CHOOSE(CONTROL!$C$32, $C$9, 100%, $E$9)</f>
        <v>5.7602000000000002</v>
      </c>
    </row>
    <row r="247" spans="1:15" ht="15" x14ac:dyDescent="0.2">
      <c r="A247" s="16">
        <v>48731</v>
      </c>
      <c r="B247" s="32">
        <f>4.4947 * CHOOSE(CONTROL!$C$32, $C$9, 100%, $E$9)</f>
        <v>4.4946999999999999</v>
      </c>
      <c r="C247" s="32">
        <f>4.4947 * CHOOSE(CONTROL!$C$32, $C$9, 100%, $E$9)</f>
        <v>4.4946999999999999</v>
      </c>
      <c r="D247" s="32">
        <f>4.4963 * CHOOSE(CONTROL!$C$32, $C$9, 100%, $E$9)</f>
        <v>4.4962999999999997</v>
      </c>
      <c r="E247" s="33">
        <f>5.759 * CHOOSE(CONTROL!$C$32, $C$9, 100%, $E$9)</f>
        <v>5.7590000000000003</v>
      </c>
      <c r="F247" s="33">
        <f>5.759 * CHOOSE(CONTROL!$C$32, $C$9, 100%, $E$9)</f>
        <v>5.7590000000000003</v>
      </c>
      <c r="G247" s="33">
        <f>5.7642 * CHOOSE(CONTROL!$C$32, $C$9, 100%, $E$9)</f>
        <v>5.7641999999999998</v>
      </c>
      <c r="H247" s="33">
        <f>9.4471 * CHOOSE(CONTROL!$C$32, $C$9, 100%, $E$9)</f>
        <v>9.4471000000000007</v>
      </c>
      <c r="I247" s="33">
        <f>9.4524 * CHOOSE(CONTROL!$C$32, $C$9, 100%, $E$9)</f>
        <v>9.4524000000000008</v>
      </c>
      <c r="J247" s="33">
        <f>9.4471 * CHOOSE(CONTROL!$C$32, $C$9, 100%, $E$9)</f>
        <v>9.4471000000000007</v>
      </c>
      <c r="K247" s="33">
        <f>9.4524 * CHOOSE(CONTROL!$C$32, $C$9, 100%, $E$9)</f>
        <v>9.4524000000000008</v>
      </c>
      <c r="L247" s="33">
        <f>5.759 * CHOOSE(CONTROL!$C$32, $C$9, 100%, $E$9)</f>
        <v>5.7590000000000003</v>
      </c>
      <c r="M247" s="33">
        <f>5.7642 * CHOOSE(CONTROL!$C$32, $C$9, 100%, $E$9)</f>
        <v>5.7641999999999998</v>
      </c>
      <c r="N247" s="33">
        <f>5.759 * CHOOSE(CONTROL!$C$32, $C$9, 100%, $E$9)</f>
        <v>5.7590000000000003</v>
      </c>
      <c r="O247" s="33">
        <f>5.7642 * CHOOSE(CONTROL!$C$32, $C$9, 100%, $E$9)</f>
        <v>5.7641999999999998</v>
      </c>
    </row>
    <row r="248" spans="1:15" ht="15" x14ac:dyDescent="0.2">
      <c r="A248" s="16">
        <v>48761</v>
      </c>
      <c r="B248" s="32">
        <f>4.5602 * CHOOSE(CONTROL!$C$32, $C$9, 100%, $E$9)</f>
        <v>4.5602</v>
      </c>
      <c r="C248" s="32">
        <f>4.5602 * CHOOSE(CONTROL!$C$32, $C$9, 100%, $E$9)</f>
        <v>4.5602</v>
      </c>
      <c r="D248" s="32">
        <f>4.5618 * CHOOSE(CONTROL!$C$32, $C$9, 100%, $E$9)</f>
        <v>4.5617999999999999</v>
      </c>
      <c r="E248" s="33">
        <f>5.8589 * CHOOSE(CONTROL!$C$32, $C$9, 100%, $E$9)</f>
        <v>5.8589000000000002</v>
      </c>
      <c r="F248" s="33">
        <f>5.8589 * CHOOSE(CONTROL!$C$32, $C$9, 100%, $E$9)</f>
        <v>5.8589000000000002</v>
      </c>
      <c r="G248" s="33">
        <f>5.8642 * CHOOSE(CONTROL!$C$32, $C$9, 100%, $E$9)</f>
        <v>5.8642000000000003</v>
      </c>
      <c r="H248" s="33">
        <f>9.4668 * CHOOSE(CONTROL!$C$32, $C$9, 100%, $E$9)</f>
        <v>9.4667999999999992</v>
      </c>
      <c r="I248" s="33">
        <f>9.4721 * CHOOSE(CONTROL!$C$32, $C$9, 100%, $E$9)</f>
        <v>9.4720999999999993</v>
      </c>
      <c r="J248" s="33">
        <f>9.4668 * CHOOSE(CONTROL!$C$32, $C$9, 100%, $E$9)</f>
        <v>9.4667999999999992</v>
      </c>
      <c r="K248" s="33">
        <f>9.4721 * CHOOSE(CONTROL!$C$32, $C$9, 100%, $E$9)</f>
        <v>9.4720999999999993</v>
      </c>
      <c r="L248" s="33">
        <f>5.8589 * CHOOSE(CONTROL!$C$32, $C$9, 100%, $E$9)</f>
        <v>5.8589000000000002</v>
      </c>
      <c r="M248" s="33">
        <f>5.8642 * CHOOSE(CONTROL!$C$32, $C$9, 100%, $E$9)</f>
        <v>5.8642000000000003</v>
      </c>
      <c r="N248" s="33">
        <f>5.8589 * CHOOSE(CONTROL!$C$32, $C$9, 100%, $E$9)</f>
        <v>5.8589000000000002</v>
      </c>
      <c r="O248" s="33">
        <f>5.8642 * CHOOSE(CONTROL!$C$32, $C$9, 100%, $E$9)</f>
        <v>5.8642000000000003</v>
      </c>
    </row>
    <row r="249" spans="1:15" ht="15" x14ac:dyDescent="0.2">
      <c r="A249" s="16">
        <v>48792</v>
      </c>
      <c r="B249" s="32">
        <f>4.5669 * CHOOSE(CONTROL!$C$32, $C$9, 100%, $E$9)</f>
        <v>4.5669000000000004</v>
      </c>
      <c r="C249" s="32">
        <f>4.5669 * CHOOSE(CONTROL!$C$32, $C$9, 100%, $E$9)</f>
        <v>4.5669000000000004</v>
      </c>
      <c r="D249" s="32">
        <f>4.5685 * CHOOSE(CONTROL!$C$32, $C$9, 100%, $E$9)</f>
        <v>4.5685000000000002</v>
      </c>
      <c r="E249" s="33">
        <f>5.8633 * CHOOSE(CONTROL!$C$32, $C$9, 100%, $E$9)</f>
        <v>5.8632999999999997</v>
      </c>
      <c r="F249" s="33">
        <f>5.8633 * CHOOSE(CONTROL!$C$32, $C$9, 100%, $E$9)</f>
        <v>5.8632999999999997</v>
      </c>
      <c r="G249" s="33">
        <f>5.8686 * CHOOSE(CONTROL!$C$32, $C$9, 100%, $E$9)</f>
        <v>5.8685999999999998</v>
      </c>
      <c r="H249" s="33">
        <f>9.4865 * CHOOSE(CONTROL!$C$32, $C$9, 100%, $E$9)</f>
        <v>9.4864999999999995</v>
      </c>
      <c r="I249" s="33">
        <f>9.4918 * CHOOSE(CONTROL!$C$32, $C$9, 100%, $E$9)</f>
        <v>9.4917999999999996</v>
      </c>
      <c r="J249" s="33">
        <f>9.4865 * CHOOSE(CONTROL!$C$32, $C$9, 100%, $E$9)</f>
        <v>9.4864999999999995</v>
      </c>
      <c r="K249" s="33">
        <f>9.4918 * CHOOSE(CONTROL!$C$32, $C$9, 100%, $E$9)</f>
        <v>9.4917999999999996</v>
      </c>
      <c r="L249" s="33">
        <f>5.8633 * CHOOSE(CONTROL!$C$32, $C$9, 100%, $E$9)</f>
        <v>5.8632999999999997</v>
      </c>
      <c r="M249" s="33">
        <f>5.8686 * CHOOSE(CONTROL!$C$32, $C$9, 100%, $E$9)</f>
        <v>5.8685999999999998</v>
      </c>
      <c r="N249" s="33">
        <f>5.8633 * CHOOSE(CONTROL!$C$32, $C$9, 100%, $E$9)</f>
        <v>5.8632999999999997</v>
      </c>
      <c r="O249" s="33">
        <f>5.8686 * CHOOSE(CONTROL!$C$32, $C$9, 100%, $E$9)</f>
        <v>5.8685999999999998</v>
      </c>
    </row>
    <row r="250" spans="1:15" ht="15" x14ac:dyDescent="0.2">
      <c r="A250" s="16">
        <v>48823</v>
      </c>
      <c r="B250" s="32">
        <f>4.5638 * CHOOSE(CONTROL!$C$32, $C$9, 100%, $E$9)</f>
        <v>4.5637999999999996</v>
      </c>
      <c r="C250" s="32">
        <f>4.5638 * CHOOSE(CONTROL!$C$32, $C$9, 100%, $E$9)</f>
        <v>4.5637999999999996</v>
      </c>
      <c r="D250" s="32">
        <f>4.5654 * CHOOSE(CONTROL!$C$32, $C$9, 100%, $E$9)</f>
        <v>4.5654000000000003</v>
      </c>
      <c r="E250" s="33">
        <f>5.8613 * CHOOSE(CONTROL!$C$32, $C$9, 100%, $E$9)</f>
        <v>5.8613</v>
      </c>
      <c r="F250" s="33">
        <f>5.8613 * CHOOSE(CONTROL!$C$32, $C$9, 100%, $E$9)</f>
        <v>5.8613</v>
      </c>
      <c r="G250" s="33">
        <f>5.8666 * CHOOSE(CONTROL!$C$32, $C$9, 100%, $E$9)</f>
        <v>5.8666</v>
      </c>
      <c r="H250" s="33">
        <f>9.5063 * CHOOSE(CONTROL!$C$32, $C$9, 100%, $E$9)</f>
        <v>9.5062999999999995</v>
      </c>
      <c r="I250" s="33">
        <f>9.5116 * CHOOSE(CONTROL!$C$32, $C$9, 100%, $E$9)</f>
        <v>9.5115999999999996</v>
      </c>
      <c r="J250" s="33">
        <f>9.5063 * CHOOSE(CONTROL!$C$32, $C$9, 100%, $E$9)</f>
        <v>9.5062999999999995</v>
      </c>
      <c r="K250" s="33">
        <f>9.5116 * CHOOSE(CONTROL!$C$32, $C$9, 100%, $E$9)</f>
        <v>9.5115999999999996</v>
      </c>
      <c r="L250" s="33">
        <f>5.8613 * CHOOSE(CONTROL!$C$32, $C$9, 100%, $E$9)</f>
        <v>5.8613</v>
      </c>
      <c r="M250" s="33">
        <f>5.8666 * CHOOSE(CONTROL!$C$32, $C$9, 100%, $E$9)</f>
        <v>5.8666</v>
      </c>
      <c r="N250" s="33">
        <f>5.8613 * CHOOSE(CONTROL!$C$32, $C$9, 100%, $E$9)</f>
        <v>5.8613</v>
      </c>
      <c r="O250" s="33">
        <f>5.8666 * CHOOSE(CONTROL!$C$32, $C$9, 100%, $E$9)</f>
        <v>5.8666</v>
      </c>
    </row>
    <row r="251" spans="1:15" ht="15" x14ac:dyDescent="0.2">
      <c r="A251" s="16">
        <v>48853</v>
      </c>
      <c r="B251" s="32">
        <f>4.561 * CHOOSE(CONTROL!$C$32, $C$9, 100%, $E$9)</f>
        <v>4.5609999999999999</v>
      </c>
      <c r="C251" s="32">
        <f>4.561 * CHOOSE(CONTROL!$C$32, $C$9, 100%, $E$9)</f>
        <v>4.5609999999999999</v>
      </c>
      <c r="D251" s="32">
        <f>4.5621 * CHOOSE(CONTROL!$C$32, $C$9, 100%, $E$9)</f>
        <v>4.5621</v>
      </c>
      <c r="E251" s="33">
        <f>5.8571 * CHOOSE(CONTROL!$C$32, $C$9, 100%, $E$9)</f>
        <v>5.8571</v>
      </c>
      <c r="F251" s="33">
        <f>5.8571 * CHOOSE(CONTROL!$C$32, $C$9, 100%, $E$9)</f>
        <v>5.8571</v>
      </c>
      <c r="G251" s="33">
        <f>5.8607 * CHOOSE(CONTROL!$C$32, $C$9, 100%, $E$9)</f>
        <v>5.8606999999999996</v>
      </c>
      <c r="H251" s="33">
        <f>9.5261 * CHOOSE(CONTROL!$C$32, $C$9, 100%, $E$9)</f>
        <v>9.5260999999999996</v>
      </c>
      <c r="I251" s="33">
        <f>9.5297 * CHOOSE(CONTROL!$C$32, $C$9, 100%, $E$9)</f>
        <v>9.5297000000000001</v>
      </c>
      <c r="J251" s="33">
        <f>9.5261 * CHOOSE(CONTROL!$C$32, $C$9, 100%, $E$9)</f>
        <v>9.5260999999999996</v>
      </c>
      <c r="K251" s="33">
        <f>9.5297 * CHOOSE(CONTROL!$C$32, $C$9, 100%, $E$9)</f>
        <v>9.5297000000000001</v>
      </c>
      <c r="L251" s="33">
        <f>5.8571 * CHOOSE(CONTROL!$C$32, $C$9, 100%, $E$9)</f>
        <v>5.8571</v>
      </c>
      <c r="M251" s="33">
        <f>5.8607 * CHOOSE(CONTROL!$C$32, $C$9, 100%, $E$9)</f>
        <v>5.8606999999999996</v>
      </c>
      <c r="N251" s="33">
        <f>5.8571 * CHOOSE(CONTROL!$C$32, $C$9, 100%, $E$9)</f>
        <v>5.8571</v>
      </c>
      <c r="O251" s="33">
        <f>5.8607 * CHOOSE(CONTROL!$C$32, $C$9, 100%, $E$9)</f>
        <v>5.8606999999999996</v>
      </c>
    </row>
    <row r="252" spans="1:15" ht="15" x14ac:dyDescent="0.2">
      <c r="A252" s="16">
        <v>48884</v>
      </c>
      <c r="B252" s="32">
        <f>4.564 * CHOOSE(CONTROL!$C$32, $C$9, 100%, $E$9)</f>
        <v>4.5640000000000001</v>
      </c>
      <c r="C252" s="32">
        <f>4.564 * CHOOSE(CONTROL!$C$32, $C$9, 100%, $E$9)</f>
        <v>4.5640000000000001</v>
      </c>
      <c r="D252" s="32">
        <f>4.5651 * CHOOSE(CONTROL!$C$32, $C$9, 100%, $E$9)</f>
        <v>4.5651000000000002</v>
      </c>
      <c r="E252" s="33">
        <f>5.8591 * CHOOSE(CONTROL!$C$32, $C$9, 100%, $E$9)</f>
        <v>5.8590999999999998</v>
      </c>
      <c r="F252" s="33">
        <f>5.8591 * CHOOSE(CONTROL!$C$32, $C$9, 100%, $E$9)</f>
        <v>5.8590999999999998</v>
      </c>
      <c r="G252" s="33">
        <f>5.8627 * CHOOSE(CONTROL!$C$32, $C$9, 100%, $E$9)</f>
        <v>5.8627000000000002</v>
      </c>
      <c r="H252" s="33">
        <f>9.546 * CHOOSE(CONTROL!$C$32, $C$9, 100%, $E$9)</f>
        <v>9.5459999999999994</v>
      </c>
      <c r="I252" s="33">
        <f>9.5496 * CHOOSE(CONTROL!$C$32, $C$9, 100%, $E$9)</f>
        <v>9.5495999999999999</v>
      </c>
      <c r="J252" s="33">
        <f>9.546 * CHOOSE(CONTROL!$C$32, $C$9, 100%, $E$9)</f>
        <v>9.5459999999999994</v>
      </c>
      <c r="K252" s="33">
        <f>9.5496 * CHOOSE(CONTROL!$C$32, $C$9, 100%, $E$9)</f>
        <v>9.5495999999999999</v>
      </c>
      <c r="L252" s="33">
        <f>5.8591 * CHOOSE(CONTROL!$C$32, $C$9, 100%, $E$9)</f>
        <v>5.8590999999999998</v>
      </c>
      <c r="M252" s="33">
        <f>5.8627 * CHOOSE(CONTROL!$C$32, $C$9, 100%, $E$9)</f>
        <v>5.8627000000000002</v>
      </c>
      <c r="N252" s="33">
        <f>5.8591 * CHOOSE(CONTROL!$C$32, $C$9, 100%, $E$9)</f>
        <v>5.8590999999999998</v>
      </c>
      <c r="O252" s="33">
        <f>5.8627 * CHOOSE(CONTROL!$C$32, $C$9, 100%, $E$9)</f>
        <v>5.8627000000000002</v>
      </c>
    </row>
    <row r="253" spans="1:15" ht="15" x14ac:dyDescent="0.2">
      <c r="A253" s="16">
        <v>48914</v>
      </c>
      <c r="B253" s="32">
        <f>4.564 * CHOOSE(CONTROL!$C$32, $C$9, 100%, $E$9)</f>
        <v>4.5640000000000001</v>
      </c>
      <c r="C253" s="32">
        <f>4.564 * CHOOSE(CONTROL!$C$32, $C$9, 100%, $E$9)</f>
        <v>4.5640000000000001</v>
      </c>
      <c r="D253" s="32">
        <f>4.5651 * CHOOSE(CONTROL!$C$32, $C$9, 100%, $E$9)</f>
        <v>4.5651000000000002</v>
      </c>
      <c r="E253" s="33">
        <f>5.8591 * CHOOSE(CONTROL!$C$32, $C$9, 100%, $E$9)</f>
        <v>5.8590999999999998</v>
      </c>
      <c r="F253" s="33">
        <f>5.8591 * CHOOSE(CONTROL!$C$32, $C$9, 100%, $E$9)</f>
        <v>5.8590999999999998</v>
      </c>
      <c r="G253" s="33">
        <f>5.8627 * CHOOSE(CONTROL!$C$32, $C$9, 100%, $E$9)</f>
        <v>5.8627000000000002</v>
      </c>
      <c r="H253" s="33">
        <f>9.5659 * CHOOSE(CONTROL!$C$32, $C$9, 100%, $E$9)</f>
        <v>9.5658999999999992</v>
      </c>
      <c r="I253" s="33">
        <f>9.5695 * CHOOSE(CONTROL!$C$32, $C$9, 100%, $E$9)</f>
        <v>9.5694999999999997</v>
      </c>
      <c r="J253" s="33">
        <f>9.5659 * CHOOSE(CONTROL!$C$32, $C$9, 100%, $E$9)</f>
        <v>9.5658999999999992</v>
      </c>
      <c r="K253" s="33">
        <f>9.5695 * CHOOSE(CONTROL!$C$32, $C$9, 100%, $E$9)</f>
        <v>9.5694999999999997</v>
      </c>
      <c r="L253" s="33">
        <f>5.8591 * CHOOSE(CONTROL!$C$32, $C$9, 100%, $E$9)</f>
        <v>5.8590999999999998</v>
      </c>
      <c r="M253" s="33">
        <f>5.8627 * CHOOSE(CONTROL!$C$32, $C$9, 100%, $E$9)</f>
        <v>5.8627000000000002</v>
      </c>
      <c r="N253" s="33">
        <f>5.8591 * CHOOSE(CONTROL!$C$32, $C$9, 100%, $E$9)</f>
        <v>5.8590999999999998</v>
      </c>
      <c r="O253" s="33">
        <f>5.8627 * CHOOSE(CONTROL!$C$32, $C$9, 100%, $E$9)</f>
        <v>5.8627000000000002</v>
      </c>
    </row>
    <row r="254" spans="1:15" ht="15" x14ac:dyDescent="0.2">
      <c r="A254" s="16">
        <v>48945</v>
      </c>
      <c r="B254" s="32">
        <f>4.6027 * CHOOSE(CONTROL!$C$32, $C$9, 100%, $E$9)</f>
        <v>4.6026999999999996</v>
      </c>
      <c r="C254" s="32">
        <f>4.6027 * CHOOSE(CONTROL!$C$32, $C$9, 100%, $E$9)</f>
        <v>4.6026999999999996</v>
      </c>
      <c r="D254" s="32">
        <f>4.6037 * CHOOSE(CONTROL!$C$32, $C$9, 100%, $E$9)</f>
        <v>4.6036999999999999</v>
      </c>
      <c r="E254" s="33">
        <f>5.9092 * CHOOSE(CONTROL!$C$32, $C$9, 100%, $E$9)</f>
        <v>5.9092000000000002</v>
      </c>
      <c r="F254" s="33">
        <f>5.9092 * CHOOSE(CONTROL!$C$32, $C$9, 100%, $E$9)</f>
        <v>5.9092000000000002</v>
      </c>
      <c r="G254" s="33">
        <f>5.9129 * CHOOSE(CONTROL!$C$32, $C$9, 100%, $E$9)</f>
        <v>5.9128999999999996</v>
      </c>
      <c r="H254" s="33">
        <f>9.5858 * CHOOSE(CONTROL!$C$32, $C$9, 100%, $E$9)</f>
        <v>9.5858000000000008</v>
      </c>
      <c r="I254" s="33">
        <f>9.5894 * CHOOSE(CONTROL!$C$32, $C$9, 100%, $E$9)</f>
        <v>9.5893999999999995</v>
      </c>
      <c r="J254" s="33">
        <f>9.5858 * CHOOSE(CONTROL!$C$32, $C$9, 100%, $E$9)</f>
        <v>9.5858000000000008</v>
      </c>
      <c r="K254" s="33">
        <f>9.5894 * CHOOSE(CONTROL!$C$32, $C$9, 100%, $E$9)</f>
        <v>9.5893999999999995</v>
      </c>
      <c r="L254" s="33">
        <f>5.9092 * CHOOSE(CONTROL!$C$32, $C$9, 100%, $E$9)</f>
        <v>5.9092000000000002</v>
      </c>
      <c r="M254" s="33">
        <f>5.9129 * CHOOSE(CONTROL!$C$32, $C$9, 100%, $E$9)</f>
        <v>5.9128999999999996</v>
      </c>
      <c r="N254" s="33">
        <f>5.9092 * CHOOSE(CONTROL!$C$32, $C$9, 100%, $E$9)</f>
        <v>5.9092000000000002</v>
      </c>
      <c r="O254" s="33">
        <f>5.9129 * CHOOSE(CONTROL!$C$32, $C$9, 100%, $E$9)</f>
        <v>5.9128999999999996</v>
      </c>
    </row>
    <row r="255" spans="1:15" ht="15" x14ac:dyDescent="0.2">
      <c r="A255" s="16">
        <v>48976</v>
      </c>
      <c r="B255" s="32">
        <f>4.5996 * CHOOSE(CONTROL!$C$32, $C$9, 100%, $E$9)</f>
        <v>4.5995999999999997</v>
      </c>
      <c r="C255" s="32">
        <f>4.5996 * CHOOSE(CONTROL!$C$32, $C$9, 100%, $E$9)</f>
        <v>4.5995999999999997</v>
      </c>
      <c r="D255" s="32">
        <f>4.6007 * CHOOSE(CONTROL!$C$32, $C$9, 100%, $E$9)</f>
        <v>4.6006999999999998</v>
      </c>
      <c r="E255" s="33">
        <f>5.9072 * CHOOSE(CONTROL!$C$32, $C$9, 100%, $E$9)</f>
        <v>5.9071999999999996</v>
      </c>
      <c r="F255" s="33">
        <f>5.9072 * CHOOSE(CONTROL!$C$32, $C$9, 100%, $E$9)</f>
        <v>5.9071999999999996</v>
      </c>
      <c r="G255" s="33">
        <f>5.9109 * CHOOSE(CONTROL!$C$32, $C$9, 100%, $E$9)</f>
        <v>5.9108999999999998</v>
      </c>
      <c r="H255" s="33">
        <f>9.6057 * CHOOSE(CONTROL!$C$32, $C$9, 100%, $E$9)</f>
        <v>9.6057000000000006</v>
      </c>
      <c r="I255" s="33">
        <f>9.6094 * CHOOSE(CONTROL!$C$32, $C$9, 100%, $E$9)</f>
        <v>9.6094000000000008</v>
      </c>
      <c r="J255" s="33">
        <f>9.6057 * CHOOSE(CONTROL!$C$32, $C$9, 100%, $E$9)</f>
        <v>9.6057000000000006</v>
      </c>
      <c r="K255" s="33">
        <f>9.6094 * CHOOSE(CONTROL!$C$32, $C$9, 100%, $E$9)</f>
        <v>9.6094000000000008</v>
      </c>
      <c r="L255" s="33">
        <f>5.9072 * CHOOSE(CONTROL!$C$32, $C$9, 100%, $E$9)</f>
        <v>5.9071999999999996</v>
      </c>
      <c r="M255" s="33">
        <f>5.9109 * CHOOSE(CONTROL!$C$32, $C$9, 100%, $E$9)</f>
        <v>5.9108999999999998</v>
      </c>
      <c r="N255" s="33">
        <f>5.9072 * CHOOSE(CONTROL!$C$32, $C$9, 100%, $E$9)</f>
        <v>5.9071999999999996</v>
      </c>
      <c r="O255" s="33">
        <f>5.9109 * CHOOSE(CONTROL!$C$32, $C$9, 100%, $E$9)</f>
        <v>5.9108999999999998</v>
      </c>
    </row>
    <row r="256" spans="1:15" ht="15" x14ac:dyDescent="0.2">
      <c r="A256" s="16">
        <v>49004</v>
      </c>
      <c r="B256" s="32">
        <f>4.5966 * CHOOSE(CONTROL!$C$32, $C$9, 100%, $E$9)</f>
        <v>4.5965999999999996</v>
      </c>
      <c r="C256" s="32">
        <f>4.5966 * CHOOSE(CONTROL!$C$32, $C$9, 100%, $E$9)</f>
        <v>4.5965999999999996</v>
      </c>
      <c r="D256" s="32">
        <f>4.5977 * CHOOSE(CONTROL!$C$32, $C$9, 100%, $E$9)</f>
        <v>4.5976999999999997</v>
      </c>
      <c r="E256" s="33">
        <f>5.9052 * CHOOSE(CONTROL!$C$32, $C$9, 100%, $E$9)</f>
        <v>5.9051999999999998</v>
      </c>
      <c r="F256" s="33">
        <f>5.9052 * CHOOSE(CONTROL!$C$32, $C$9, 100%, $E$9)</f>
        <v>5.9051999999999998</v>
      </c>
      <c r="G256" s="33">
        <f>5.9089 * CHOOSE(CONTROL!$C$32, $C$9, 100%, $E$9)</f>
        <v>5.9089</v>
      </c>
      <c r="H256" s="33">
        <f>9.6258 * CHOOSE(CONTROL!$C$32, $C$9, 100%, $E$9)</f>
        <v>9.6257999999999999</v>
      </c>
      <c r="I256" s="33">
        <f>9.6294 * CHOOSE(CONTROL!$C$32, $C$9, 100%, $E$9)</f>
        <v>9.6294000000000004</v>
      </c>
      <c r="J256" s="33">
        <f>9.6258 * CHOOSE(CONTROL!$C$32, $C$9, 100%, $E$9)</f>
        <v>9.6257999999999999</v>
      </c>
      <c r="K256" s="33">
        <f>9.6294 * CHOOSE(CONTROL!$C$32, $C$9, 100%, $E$9)</f>
        <v>9.6294000000000004</v>
      </c>
      <c r="L256" s="33">
        <f>5.9052 * CHOOSE(CONTROL!$C$32, $C$9, 100%, $E$9)</f>
        <v>5.9051999999999998</v>
      </c>
      <c r="M256" s="33">
        <f>5.9089 * CHOOSE(CONTROL!$C$32, $C$9, 100%, $E$9)</f>
        <v>5.9089</v>
      </c>
      <c r="N256" s="33">
        <f>5.9052 * CHOOSE(CONTROL!$C$32, $C$9, 100%, $E$9)</f>
        <v>5.9051999999999998</v>
      </c>
      <c r="O256" s="33">
        <f>5.9089 * CHOOSE(CONTROL!$C$32, $C$9, 100%, $E$9)</f>
        <v>5.9089</v>
      </c>
    </row>
    <row r="257" spans="1:15" ht="15" x14ac:dyDescent="0.2">
      <c r="A257" s="16">
        <v>49035</v>
      </c>
      <c r="B257" s="32">
        <f>4.5948 * CHOOSE(CONTROL!$C$32, $C$9, 100%, $E$9)</f>
        <v>4.5948000000000002</v>
      </c>
      <c r="C257" s="32">
        <f>4.5948 * CHOOSE(CONTROL!$C$32, $C$9, 100%, $E$9)</f>
        <v>4.5948000000000002</v>
      </c>
      <c r="D257" s="32">
        <f>4.5959 * CHOOSE(CONTROL!$C$32, $C$9, 100%, $E$9)</f>
        <v>4.5959000000000003</v>
      </c>
      <c r="E257" s="33">
        <f>5.9035 * CHOOSE(CONTROL!$C$32, $C$9, 100%, $E$9)</f>
        <v>5.9035000000000002</v>
      </c>
      <c r="F257" s="33">
        <f>5.9035 * CHOOSE(CONTROL!$C$32, $C$9, 100%, $E$9)</f>
        <v>5.9035000000000002</v>
      </c>
      <c r="G257" s="33">
        <f>5.9071 * CHOOSE(CONTROL!$C$32, $C$9, 100%, $E$9)</f>
        <v>5.9070999999999998</v>
      </c>
      <c r="H257" s="33">
        <f>9.6458 * CHOOSE(CONTROL!$C$32, $C$9, 100%, $E$9)</f>
        <v>9.6457999999999995</v>
      </c>
      <c r="I257" s="33">
        <f>9.6494 * CHOOSE(CONTROL!$C$32, $C$9, 100%, $E$9)</f>
        <v>9.6494</v>
      </c>
      <c r="J257" s="33">
        <f>9.6458 * CHOOSE(CONTROL!$C$32, $C$9, 100%, $E$9)</f>
        <v>9.6457999999999995</v>
      </c>
      <c r="K257" s="33">
        <f>9.6494 * CHOOSE(CONTROL!$C$32, $C$9, 100%, $E$9)</f>
        <v>9.6494</v>
      </c>
      <c r="L257" s="33">
        <f>5.9035 * CHOOSE(CONTROL!$C$32, $C$9, 100%, $E$9)</f>
        <v>5.9035000000000002</v>
      </c>
      <c r="M257" s="33">
        <f>5.9071 * CHOOSE(CONTROL!$C$32, $C$9, 100%, $E$9)</f>
        <v>5.9070999999999998</v>
      </c>
      <c r="N257" s="33">
        <f>5.9035 * CHOOSE(CONTROL!$C$32, $C$9, 100%, $E$9)</f>
        <v>5.9035000000000002</v>
      </c>
      <c r="O257" s="33">
        <f>5.9071 * CHOOSE(CONTROL!$C$32, $C$9, 100%, $E$9)</f>
        <v>5.9070999999999998</v>
      </c>
    </row>
    <row r="258" spans="1:15" ht="15" x14ac:dyDescent="0.2">
      <c r="A258" s="16">
        <v>49065</v>
      </c>
      <c r="B258" s="32">
        <f>4.5948 * CHOOSE(CONTROL!$C$32, $C$9, 100%, $E$9)</f>
        <v>4.5948000000000002</v>
      </c>
      <c r="C258" s="32">
        <f>4.5948 * CHOOSE(CONTROL!$C$32, $C$9, 100%, $E$9)</f>
        <v>4.5948000000000002</v>
      </c>
      <c r="D258" s="32">
        <f>4.5964 * CHOOSE(CONTROL!$C$32, $C$9, 100%, $E$9)</f>
        <v>4.5964</v>
      </c>
      <c r="E258" s="33">
        <f>5.9035 * CHOOSE(CONTROL!$C$32, $C$9, 100%, $E$9)</f>
        <v>5.9035000000000002</v>
      </c>
      <c r="F258" s="33">
        <f>5.9035 * CHOOSE(CONTROL!$C$32, $C$9, 100%, $E$9)</f>
        <v>5.9035000000000002</v>
      </c>
      <c r="G258" s="33">
        <f>5.9088 * CHOOSE(CONTROL!$C$32, $C$9, 100%, $E$9)</f>
        <v>5.9088000000000003</v>
      </c>
      <c r="H258" s="33">
        <f>9.6659 * CHOOSE(CONTROL!$C$32, $C$9, 100%, $E$9)</f>
        <v>9.6659000000000006</v>
      </c>
      <c r="I258" s="33">
        <f>9.6712 * CHOOSE(CONTROL!$C$32, $C$9, 100%, $E$9)</f>
        <v>9.6712000000000007</v>
      </c>
      <c r="J258" s="33">
        <f>9.6659 * CHOOSE(CONTROL!$C$32, $C$9, 100%, $E$9)</f>
        <v>9.6659000000000006</v>
      </c>
      <c r="K258" s="33">
        <f>9.6712 * CHOOSE(CONTROL!$C$32, $C$9, 100%, $E$9)</f>
        <v>9.6712000000000007</v>
      </c>
      <c r="L258" s="33">
        <f>5.9035 * CHOOSE(CONTROL!$C$32, $C$9, 100%, $E$9)</f>
        <v>5.9035000000000002</v>
      </c>
      <c r="M258" s="33">
        <f>5.9088 * CHOOSE(CONTROL!$C$32, $C$9, 100%, $E$9)</f>
        <v>5.9088000000000003</v>
      </c>
      <c r="N258" s="33">
        <f>5.9035 * CHOOSE(CONTROL!$C$32, $C$9, 100%, $E$9)</f>
        <v>5.9035000000000002</v>
      </c>
      <c r="O258" s="33">
        <f>5.9088 * CHOOSE(CONTROL!$C$32, $C$9, 100%, $E$9)</f>
        <v>5.9088000000000003</v>
      </c>
    </row>
    <row r="259" spans="1:15" ht="15" x14ac:dyDescent="0.2">
      <c r="A259" s="16">
        <v>49096</v>
      </c>
      <c r="B259" s="32">
        <f>4.6009 * CHOOSE(CONTROL!$C$32, $C$9, 100%, $E$9)</f>
        <v>4.6009000000000002</v>
      </c>
      <c r="C259" s="32">
        <f>4.6009 * CHOOSE(CONTROL!$C$32, $C$9, 100%, $E$9)</f>
        <v>4.6009000000000002</v>
      </c>
      <c r="D259" s="32">
        <f>4.6025 * CHOOSE(CONTROL!$C$32, $C$9, 100%, $E$9)</f>
        <v>4.6025</v>
      </c>
      <c r="E259" s="33">
        <f>5.9075 * CHOOSE(CONTROL!$C$32, $C$9, 100%, $E$9)</f>
        <v>5.9074999999999998</v>
      </c>
      <c r="F259" s="33">
        <f>5.9075 * CHOOSE(CONTROL!$C$32, $C$9, 100%, $E$9)</f>
        <v>5.9074999999999998</v>
      </c>
      <c r="G259" s="33">
        <f>5.9128 * CHOOSE(CONTROL!$C$32, $C$9, 100%, $E$9)</f>
        <v>5.9127999999999998</v>
      </c>
      <c r="H259" s="33">
        <f>9.686 * CHOOSE(CONTROL!$C$32, $C$9, 100%, $E$9)</f>
        <v>9.6859999999999999</v>
      </c>
      <c r="I259" s="33">
        <f>9.6913 * CHOOSE(CONTROL!$C$32, $C$9, 100%, $E$9)</f>
        <v>9.6913</v>
      </c>
      <c r="J259" s="33">
        <f>9.686 * CHOOSE(CONTROL!$C$32, $C$9, 100%, $E$9)</f>
        <v>9.6859999999999999</v>
      </c>
      <c r="K259" s="33">
        <f>9.6913 * CHOOSE(CONTROL!$C$32, $C$9, 100%, $E$9)</f>
        <v>9.6913</v>
      </c>
      <c r="L259" s="33">
        <f>5.9075 * CHOOSE(CONTROL!$C$32, $C$9, 100%, $E$9)</f>
        <v>5.9074999999999998</v>
      </c>
      <c r="M259" s="33">
        <f>5.9128 * CHOOSE(CONTROL!$C$32, $C$9, 100%, $E$9)</f>
        <v>5.9127999999999998</v>
      </c>
      <c r="N259" s="33">
        <f>5.9075 * CHOOSE(CONTROL!$C$32, $C$9, 100%, $E$9)</f>
        <v>5.9074999999999998</v>
      </c>
      <c r="O259" s="33">
        <f>5.9128 * CHOOSE(CONTROL!$C$32, $C$9, 100%, $E$9)</f>
        <v>5.9127999999999998</v>
      </c>
    </row>
    <row r="260" spans="1:15" ht="15" x14ac:dyDescent="0.2">
      <c r="A260" s="16">
        <v>49126</v>
      </c>
      <c r="B260" s="32">
        <f>4.6716 * CHOOSE(CONTROL!$C$32, $C$9, 100%, $E$9)</f>
        <v>4.6715999999999998</v>
      </c>
      <c r="C260" s="32">
        <f>4.6716 * CHOOSE(CONTROL!$C$32, $C$9, 100%, $E$9)</f>
        <v>4.6715999999999998</v>
      </c>
      <c r="D260" s="32">
        <f>4.6731 * CHOOSE(CONTROL!$C$32, $C$9, 100%, $E$9)</f>
        <v>4.6730999999999998</v>
      </c>
      <c r="E260" s="33">
        <f>6.0182 * CHOOSE(CONTROL!$C$32, $C$9, 100%, $E$9)</f>
        <v>6.0182000000000002</v>
      </c>
      <c r="F260" s="33">
        <f>6.0182 * CHOOSE(CONTROL!$C$32, $C$9, 100%, $E$9)</f>
        <v>6.0182000000000002</v>
      </c>
      <c r="G260" s="33">
        <f>6.0235 * CHOOSE(CONTROL!$C$32, $C$9, 100%, $E$9)</f>
        <v>6.0235000000000003</v>
      </c>
      <c r="H260" s="33">
        <f>9.7062 * CHOOSE(CONTROL!$C$32, $C$9, 100%, $E$9)</f>
        <v>9.7062000000000008</v>
      </c>
      <c r="I260" s="33">
        <f>9.7115 * CHOOSE(CONTROL!$C$32, $C$9, 100%, $E$9)</f>
        <v>9.7114999999999991</v>
      </c>
      <c r="J260" s="33">
        <f>9.7062 * CHOOSE(CONTROL!$C$32, $C$9, 100%, $E$9)</f>
        <v>9.7062000000000008</v>
      </c>
      <c r="K260" s="33">
        <f>9.7115 * CHOOSE(CONTROL!$C$32, $C$9, 100%, $E$9)</f>
        <v>9.7114999999999991</v>
      </c>
      <c r="L260" s="33">
        <f>6.0182 * CHOOSE(CONTROL!$C$32, $C$9, 100%, $E$9)</f>
        <v>6.0182000000000002</v>
      </c>
      <c r="M260" s="33">
        <f>6.0235 * CHOOSE(CONTROL!$C$32, $C$9, 100%, $E$9)</f>
        <v>6.0235000000000003</v>
      </c>
      <c r="N260" s="33">
        <f>6.0182 * CHOOSE(CONTROL!$C$32, $C$9, 100%, $E$9)</f>
        <v>6.0182000000000002</v>
      </c>
      <c r="O260" s="33">
        <f>6.0235 * CHOOSE(CONTROL!$C$32, $C$9, 100%, $E$9)</f>
        <v>6.0235000000000003</v>
      </c>
    </row>
    <row r="261" spans="1:15" ht="15" x14ac:dyDescent="0.2">
      <c r="A261" s="16">
        <v>49157</v>
      </c>
      <c r="B261" s="32">
        <f>4.6783 * CHOOSE(CONTROL!$C$32, $C$9, 100%, $E$9)</f>
        <v>4.6783000000000001</v>
      </c>
      <c r="C261" s="32">
        <f>4.6783 * CHOOSE(CONTROL!$C$32, $C$9, 100%, $E$9)</f>
        <v>4.6783000000000001</v>
      </c>
      <c r="D261" s="32">
        <f>4.6798 * CHOOSE(CONTROL!$C$32, $C$9, 100%, $E$9)</f>
        <v>4.6798000000000002</v>
      </c>
      <c r="E261" s="33">
        <f>6.0226 * CHOOSE(CONTROL!$C$32, $C$9, 100%, $E$9)</f>
        <v>6.0225999999999997</v>
      </c>
      <c r="F261" s="33">
        <f>6.0226 * CHOOSE(CONTROL!$C$32, $C$9, 100%, $E$9)</f>
        <v>6.0225999999999997</v>
      </c>
      <c r="G261" s="33">
        <f>6.0279 * CHOOSE(CONTROL!$C$32, $C$9, 100%, $E$9)</f>
        <v>6.0278999999999998</v>
      </c>
      <c r="H261" s="33">
        <f>9.7264 * CHOOSE(CONTROL!$C$32, $C$9, 100%, $E$9)</f>
        <v>9.7263999999999999</v>
      </c>
      <c r="I261" s="33">
        <f>9.7317 * CHOOSE(CONTROL!$C$32, $C$9, 100%, $E$9)</f>
        <v>9.7317</v>
      </c>
      <c r="J261" s="33">
        <f>9.7264 * CHOOSE(CONTROL!$C$32, $C$9, 100%, $E$9)</f>
        <v>9.7263999999999999</v>
      </c>
      <c r="K261" s="33">
        <f>9.7317 * CHOOSE(CONTROL!$C$32, $C$9, 100%, $E$9)</f>
        <v>9.7317</v>
      </c>
      <c r="L261" s="33">
        <f>6.0226 * CHOOSE(CONTROL!$C$32, $C$9, 100%, $E$9)</f>
        <v>6.0225999999999997</v>
      </c>
      <c r="M261" s="33">
        <f>6.0279 * CHOOSE(CONTROL!$C$32, $C$9, 100%, $E$9)</f>
        <v>6.0278999999999998</v>
      </c>
      <c r="N261" s="33">
        <f>6.0226 * CHOOSE(CONTROL!$C$32, $C$9, 100%, $E$9)</f>
        <v>6.0225999999999997</v>
      </c>
      <c r="O261" s="33">
        <f>6.0279 * CHOOSE(CONTROL!$C$32, $C$9, 100%, $E$9)</f>
        <v>6.0278999999999998</v>
      </c>
    </row>
    <row r="262" spans="1:15" ht="15" x14ac:dyDescent="0.2">
      <c r="A262" s="16">
        <v>49188</v>
      </c>
      <c r="B262" s="32">
        <f>4.6752 * CHOOSE(CONTROL!$C$32, $C$9, 100%, $E$9)</f>
        <v>4.6752000000000002</v>
      </c>
      <c r="C262" s="32">
        <f>4.6752 * CHOOSE(CONTROL!$C$32, $C$9, 100%, $E$9)</f>
        <v>4.6752000000000002</v>
      </c>
      <c r="D262" s="32">
        <f>4.6768 * CHOOSE(CONTROL!$C$32, $C$9, 100%, $E$9)</f>
        <v>4.6768000000000001</v>
      </c>
      <c r="E262" s="33">
        <f>6.0206 * CHOOSE(CONTROL!$C$32, $C$9, 100%, $E$9)</f>
        <v>6.0206</v>
      </c>
      <c r="F262" s="33">
        <f>6.0206 * CHOOSE(CONTROL!$C$32, $C$9, 100%, $E$9)</f>
        <v>6.0206</v>
      </c>
      <c r="G262" s="33">
        <f>6.0259 * CHOOSE(CONTROL!$C$32, $C$9, 100%, $E$9)</f>
        <v>6.0259</v>
      </c>
      <c r="H262" s="33">
        <f>9.7467 * CHOOSE(CONTROL!$C$32, $C$9, 100%, $E$9)</f>
        <v>9.7467000000000006</v>
      </c>
      <c r="I262" s="33">
        <f>9.752 * CHOOSE(CONTROL!$C$32, $C$9, 100%, $E$9)</f>
        <v>9.7520000000000007</v>
      </c>
      <c r="J262" s="33">
        <f>9.7467 * CHOOSE(CONTROL!$C$32, $C$9, 100%, $E$9)</f>
        <v>9.7467000000000006</v>
      </c>
      <c r="K262" s="33">
        <f>9.752 * CHOOSE(CONTROL!$C$32, $C$9, 100%, $E$9)</f>
        <v>9.7520000000000007</v>
      </c>
      <c r="L262" s="33">
        <f>6.0206 * CHOOSE(CONTROL!$C$32, $C$9, 100%, $E$9)</f>
        <v>6.0206</v>
      </c>
      <c r="M262" s="33">
        <f>6.0259 * CHOOSE(CONTROL!$C$32, $C$9, 100%, $E$9)</f>
        <v>6.0259</v>
      </c>
      <c r="N262" s="33">
        <f>6.0206 * CHOOSE(CONTROL!$C$32, $C$9, 100%, $E$9)</f>
        <v>6.0206</v>
      </c>
      <c r="O262" s="33">
        <f>6.0259 * CHOOSE(CONTROL!$C$32, $C$9, 100%, $E$9)</f>
        <v>6.0259</v>
      </c>
    </row>
    <row r="263" spans="1:15" ht="15" x14ac:dyDescent="0.2">
      <c r="A263" s="16">
        <v>49218</v>
      </c>
      <c r="B263" s="32">
        <f>4.6728 * CHOOSE(CONTROL!$C$32, $C$9, 100%, $E$9)</f>
        <v>4.6727999999999996</v>
      </c>
      <c r="C263" s="32">
        <f>4.6728 * CHOOSE(CONTROL!$C$32, $C$9, 100%, $E$9)</f>
        <v>4.6727999999999996</v>
      </c>
      <c r="D263" s="32">
        <f>4.6739 * CHOOSE(CONTROL!$C$32, $C$9, 100%, $E$9)</f>
        <v>4.6738999999999997</v>
      </c>
      <c r="E263" s="33">
        <f>6.0166 * CHOOSE(CONTROL!$C$32, $C$9, 100%, $E$9)</f>
        <v>6.0166000000000004</v>
      </c>
      <c r="F263" s="33">
        <f>6.0166 * CHOOSE(CONTROL!$C$32, $C$9, 100%, $E$9)</f>
        <v>6.0166000000000004</v>
      </c>
      <c r="G263" s="33">
        <f>6.0202 * CHOOSE(CONTROL!$C$32, $C$9, 100%, $E$9)</f>
        <v>6.0202</v>
      </c>
      <c r="H263" s="33">
        <f>9.767 * CHOOSE(CONTROL!$C$32, $C$9, 100%, $E$9)</f>
        <v>9.7669999999999995</v>
      </c>
      <c r="I263" s="33">
        <f>9.7706 * CHOOSE(CONTROL!$C$32, $C$9, 100%, $E$9)</f>
        <v>9.7706</v>
      </c>
      <c r="J263" s="33">
        <f>9.767 * CHOOSE(CONTROL!$C$32, $C$9, 100%, $E$9)</f>
        <v>9.7669999999999995</v>
      </c>
      <c r="K263" s="33">
        <f>9.7706 * CHOOSE(CONTROL!$C$32, $C$9, 100%, $E$9)</f>
        <v>9.7706</v>
      </c>
      <c r="L263" s="33">
        <f>6.0166 * CHOOSE(CONTROL!$C$32, $C$9, 100%, $E$9)</f>
        <v>6.0166000000000004</v>
      </c>
      <c r="M263" s="33">
        <f>6.0202 * CHOOSE(CONTROL!$C$32, $C$9, 100%, $E$9)</f>
        <v>6.0202</v>
      </c>
      <c r="N263" s="33">
        <f>6.0166 * CHOOSE(CONTROL!$C$32, $C$9, 100%, $E$9)</f>
        <v>6.0166000000000004</v>
      </c>
      <c r="O263" s="33">
        <f>6.0202 * CHOOSE(CONTROL!$C$32, $C$9, 100%, $E$9)</f>
        <v>6.0202</v>
      </c>
    </row>
    <row r="264" spans="1:15" ht="15" x14ac:dyDescent="0.2">
      <c r="A264" s="16">
        <v>49249</v>
      </c>
      <c r="B264" s="32">
        <f>4.6758 * CHOOSE(CONTROL!$C$32, $C$9, 100%, $E$9)</f>
        <v>4.6757999999999997</v>
      </c>
      <c r="C264" s="32">
        <f>4.6758 * CHOOSE(CONTROL!$C$32, $C$9, 100%, $E$9)</f>
        <v>4.6757999999999997</v>
      </c>
      <c r="D264" s="32">
        <f>4.6769 * CHOOSE(CONTROL!$C$32, $C$9, 100%, $E$9)</f>
        <v>4.6768999999999998</v>
      </c>
      <c r="E264" s="33">
        <f>6.0186 * CHOOSE(CONTROL!$C$32, $C$9, 100%, $E$9)</f>
        <v>6.0186000000000002</v>
      </c>
      <c r="F264" s="33">
        <f>6.0186 * CHOOSE(CONTROL!$C$32, $C$9, 100%, $E$9)</f>
        <v>6.0186000000000002</v>
      </c>
      <c r="G264" s="33">
        <f>6.0222 * CHOOSE(CONTROL!$C$32, $C$9, 100%, $E$9)</f>
        <v>6.0221999999999998</v>
      </c>
      <c r="H264" s="33">
        <f>9.7874 * CHOOSE(CONTROL!$C$32, $C$9, 100%, $E$9)</f>
        <v>9.7873999999999999</v>
      </c>
      <c r="I264" s="33">
        <f>9.791 * CHOOSE(CONTROL!$C$32, $C$9, 100%, $E$9)</f>
        <v>9.7910000000000004</v>
      </c>
      <c r="J264" s="33">
        <f>9.7874 * CHOOSE(CONTROL!$C$32, $C$9, 100%, $E$9)</f>
        <v>9.7873999999999999</v>
      </c>
      <c r="K264" s="33">
        <f>9.791 * CHOOSE(CONTROL!$C$32, $C$9, 100%, $E$9)</f>
        <v>9.7910000000000004</v>
      </c>
      <c r="L264" s="33">
        <f>6.0186 * CHOOSE(CONTROL!$C$32, $C$9, 100%, $E$9)</f>
        <v>6.0186000000000002</v>
      </c>
      <c r="M264" s="33">
        <f>6.0222 * CHOOSE(CONTROL!$C$32, $C$9, 100%, $E$9)</f>
        <v>6.0221999999999998</v>
      </c>
      <c r="N264" s="33">
        <f>6.0186 * CHOOSE(CONTROL!$C$32, $C$9, 100%, $E$9)</f>
        <v>6.0186000000000002</v>
      </c>
      <c r="O264" s="33">
        <f>6.0222 * CHOOSE(CONTROL!$C$32, $C$9, 100%, $E$9)</f>
        <v>6.0221999999999998</v>
      </c>
    </row>
    <row r="265" spans="1:15" ht="15" x14ac:dyDescent="0.2">
      <c r="A265" s="16">
        <v>49279</v>
      </c>
      <c r="B265" s="32">
        <f>4.6758 * CHOOSE(CONTROL!$C$32, $C$9, 100%, $E$9)</f>
        <v>4.6757999999999997</v>
      </c>
      <c r="C265" s="32">
        <f>4.6758 * CHOOSE(CONTROL!$C$32, $C$9, 100%, $E$9)</f>
        <v>4.6757999999999997</v>
      </c>
      <c r="D265" s="32">
        <f>4.6769 * CHOOSE(CONTROL!$C$32, $C$9, 100%, $E$9)</f>
        <v>4.6768999999999998</v>
      </c>
      <c r="E265" s="33">
        <f>6.0186 * CHOOSE(CONTROL!$C$32, $C$9, 100%, $E$9)</f>
        <v>6.0186000000000002</v>
      </c>
      <c r="F265" s="33">
        <f>6.0186 * CHOOSE(CONTROL!$C$32, $C$9, 100%, $E$9)</f>
        <v>6.0186000000000002</v>
      </c>
      <c r="G265" s="33">
        <f>6.0222 * CHOOSE(CONTROL!$C$32, $C$9, 100%, $E$9)</f>
        <v>6.0221999999999998</v>
      </c>
      <c r="H265" s="33">
        <f>9.8078 * CHOOSE(CONTROL!$C$32, $C$9, 100%, $E$9)</f>
        <v>9.8078000000000003</v>
      </c>
      <c r="I265" s="33">
        <f>9.8114 * CHOOSE(CONTROL!$C$32, $C$9, 100%, $E$9)</f>
        <v>9.8114000000000008</v>
      </c>
      <c r="J265" s="33">
        <f>9.8078 * CHOOSE(CONTROL!$C$32, $C$9, 100%, $E$9)</f>
        <v>9.8078000000000003</v>
      </c>
      <c r="K265" s="33">
        <f>9.8114 * CHOOSE(CONTROL!$C$32, $C$9, 100%, $E$9)</f>
        <v>9.8114000000000008</v>
      </c>
      <c r="L265" s="33">
        <f>6.0186 * CHOOSE(CONTROL!$C$32, $C$9, 100%, $E$9)</f>
        <v>6.0186000000000002</v>
      </c>
      <c r="M265" s="33">
        <f>6.0222 * CHOOSE(CONTROL!$C$32, $C$9, 100%, $E$9)</f>
        <v>6.0221999999999998</v>
      </c>
      <c r="N265" s="33">
        <f>6.0186 * CHOOSE(CONTROL!$C$32, $C$9, 100%, $E$9)</f>
        <v>6.0186000000000002</v>
      </c>
      <c r="O265" s="33">
        <f>6.0222 * CHOOSE(CONTROL!$C$32, $C$9, 100%, $E$9)</f>
        <v>6.0221999999999998</v>
      </c>
    </row>
    <row r="266" spans="1:15" ht="15" x14ac:dyDescent="0.2">
      <c r="A266" s="16">
        <v>49310</v>
      </c>
      <c r="B266" s="32">
        <f>4.713 * CHOOSE(CONTROL!$C$32, $C$9, 100%, $E$9)</f>
        <v>4.7130000000000001</v>
      </c>
      <c r="C266" s="32">
        <f>4.713 * CHOOSE(CONTROL!$C$32, $C$9, 100%, $E$9)</f>
        <v>4.7130000000000001</v>
      </c>
      <c r="D266" s="32">
        <f>4.7141 * CHOOSE(CONTROL!$C$32, $C$9, 100%, $E$9)</f>
        <v>4.7141000000000002</v>
      </c>
      <c r="E266" s="33">
        <f>6.0663 * CHOOSE(CONTROL!$C$32, $C$9, 100%, $E$9)</f>
        <v>6.0663</v>
      </c>
      <c r="F266" s="33">
        <f>6.0663 * CHOOSE(CONTROL!$C$32, $C$9, 100%, $E$9)</f>
        <v>6.0663</v>
      </c>
      <c r="G266" s="33">
        <f>6.0699 * CHOOSE(CONTROL!$C$32, $C$9, 100%, $E$9)</f>
        <v>6.0698999999999996</v>
      </c>
      <c r="H266" s="33">
        <f>9.8282 * CHOOSE(CONTROL!$C$32, $C$9, 100%, $E$9)</f>
        <v>9.8282000000000007</v>
      </c>
      <c r="I266" s="33">
        <f>9.8318 * CHOOSE(CONTROL!$C$32, $C$9, 100%, $E$9)</f>
        <v>9.8317999999999994</v>
      </c>
      <c r="J266" s="33">
        <f>9.8282 * CHOOSE(CONTROL!$C$32, $C$9, 100%, $E$9)</f>
        <v>9.8282000000000007</v>
      </c>
      <c r="K266" s="33">
        <f>9.8318 * CHOOSE(CONTROL!$C$32, $C$9, 100%, $E$9)</f>
        <v>9.8317999999999994</v>
      </c>
      <c r="L266" s="33">
        <f>6.0663 * CHOOSE(CONTROL!$C$32, $C$9, 100%, $E$9)</f>
        <v>6.0663</v>
      </c>
      <c r="M266" s="33">
        <f>6.0699 * CHOOSE(CONTROL!$C$32, $C$9, 100%, $E$9)</f>
        <v>6.0698999999999996</v>
      </c>
      <c r="N266" s="33">
        <f>6.0663 * CHOOSE(CONTROL!$C$32, $C$9, 100%, $E$9)</f>
        <v>6.0663</v>
      </c>
      <c r="O266" s="33">
        <f>6.0699 * CHOOSE(CONTROL!$C$32, $C$9, 100%, $E$9)</f>
        <v>6.0698999999999996</v>
      </c>
    </row>
    <row r="267" spans="1:15" ht="15" x14ac:dyDescent="0.2">
      <c r="A267" s="16">
        <v>49341</v>
      </c>
      <c r="B267" s="32">
        <f>4.71 * CHOOSE(CONTROL!$C$32, $C$9, 100%, $E$9)</f>
        <v>4.71</v>
      </c>
      <c r="C267" s="32">
        <f>4.71 * CHOOSE(CONTROL!$C$32, $C$9, 100%, $E$9)</f>
        <v>4.71</v>
      </c>
      <c r="D267" s="32">
        <f>4.711 * CHOOSE(CONTROL!$C$32, $C$9, 100%, $E$9)</f>
        <v>4.7110000000000003</v>
      </c>
      <c r="E267" s="33">
        <f>6.3757 * CHOOSE(CONTROL!$C$32, $C$9, 100%, $E$9)</f>
        <v>6.3757000000000001</v>
      </c>
      <c r="F267" s="33">
        <f>6.3757 * CHOOSE(CONTROL!$C$32, $C$9, 100%, $E$9)</f>
        <v>6.3757000000000001</v>
      </c>
      <c r="G267" s="33">
        <f>6.3793 * CHOOSE(CONTROL!$C$32, $C$9, 100%, $E$9)</f>
        <v>6.3792999999999997</v>
      </c>
      <c r="H267" s="33">
        <f>9.8487 * CHOOSE(CONTROL!$C$32, $C$9, 100%, $E$9)</f>
        <v>9.8486999999999991</v>
      </c>
      <c r="I267" s="33">
        <f>9.8523 * CHOOSE(CONTROL!$C$32, $C$9, 100%, $E$9)</f>
        <v>9.8522999999999996</v>
      </c>
      <c r="J267" s="33">
        <f>9.8487 * CHOOSE(CONTROL!$C$32, $C$9, 100%, $E$9)</f>
        <v>9.8486999999999991</v>
      </c>
      <c r="K267" s="33">
        <f>9.8523 * CHOOSE(CONTROL!$C$32, $C$9, 100%, $E$9)</f>
        <v>9.8522999999999996</v>
      </c>
      <c r="L267" s="33">
        <f>6.3757 * CHOOSE(CONTROL!$C$32, $C$9, 100%, $E$9)</f>
        <v>6.3757000000000001</v>
      </c>
      <c r="M267" s="33">
        <f>6.3793 * CHOOSE(CONTROL!$C$32, $C$9, 100%, $E$9)</f>
        <v>6.3792999999999997</v>
      </c>
      <c r="N267" s="33">
        <f>6.3757 * CHOOSE(CONTROL!$C$32, $C$9, 100%, $E$9)</f>
        <v>6.3757000000000001</v>
      </c>
      <c r="O267" s="33">
        <f>6.3793 * CHOOSE(CONTROL!$C$32, $C$9, 100%, $E$9)</f>
        <v>6.3792999999999997</v>
      </c>
    </row>
    <row r="268" spans="1:15" ht="15" x14ac:dyDescent="0.2">
      <c r="A268" s="16">
        <v>49369</v>
      </c>
      <c r="B268" s="32">
        <f>4.7069 * CHOOSE(CONTROL!$C$32, $C$9, 100%, $E$9)</f>
        <v>4.7069000000000001</v>
      </c>
      <c r="C268" s="32">
        <f>4.7069 * CHOOSE(CONTROL!$C$32, $C$9, 100%, $E$9)</f>
        <v>4.7069000000000001</v>
      </c>
      <c r="D268" s="32">
        <f>4.708 * CHOOSE(CONTROL!$C$32, $C$9, 100%, $E$9)</f>
        <v>4.7080000000000002</v>
      </c>
      <c r="E268" s="33">
        <f>6.0623 * CHOOSE(CONTROL!$C$32, $C$9, 100%, $E$9)</f>
        <v>6.0622999999999996</v>
      </c>
      <c r="F268" s="33">
        <f>6.0623 * CHOOSE(CONTROL!$C$32, $C$9, 100%, $E$9)</f>
        <v>6.0622999999999996</v>
      </c>
      <c r="G268" s="33">
        <f>6.0659 * CHOOSE(CONTROL!$C$32, $C$9, 100%, $E$9)</f>
        <v>6.0659000000000001</v>
      </c>
      <c r="H268" s="33">
        <f>9.8692 * CHOOSE(CONTROL!$C$32, $C$9, 100%, $E$9)</f>
        <v>9.8691999999999993</v>
      </c>
      <c r="I268" s="33">
        <f>9.8728 * CHOOSE(CONTROL!$C$32, $C$9, 100%, $E$9)</f>
        <v>9.8727999999999998</v>
      </c>
      <c r="J268" s="33">
        <f>9.8692 * CHOOSE(CONTROL!$C$32, $C$9, 100%, $E$9)</f>
        <v>9.8691999999999993</v>
      </c>
      <c r="K268" s="33">
        <f>9.8728 * CHOOSE(CONTROL!$C$32, $C$9, 100%, $E$9)</f>
        <v>9.8727999999999998</v>
      </c>
      <c r="L268" s="33">
        <f>6.0623 * CHOOSE(CONTROL!$C$32, $C$9, 100%, $E$9)</f>
        <v>6.0622999999999996</v>
      </c>
      <c r="M268" s="33">
        <f>6.0659 * CHOOSE(CONTROL!$C$32, $C$9, 100%, $E$9)</f>
        <v>6.0659000000000001</v>
      </c>
      <c r="N268" s="33">
        <f>6.0623 * CHOOSE(CONTROL!$C$32, $C$9, 100%, $E$9)</f>
        <v>6.0622999999999996</v>
      </c>
      <c r="O268" s="33">
        <f>6.0659 * CHOOSE(CONTROL!$C$32, $C$9, 100%, $E$9)</f>
        <v>6.0659000000000001</v>
      </c>
    </row>
    <row r="269" spans="1:15" ht="15" x14ac:dyDescent="0.2">
      <c r="A269" s="16">
        <v>49400</v>
      </c>
      <c r="B269" s="32">
        <f>4.7052 * CHOOSE(CONTROL!$C$32, $C$9, 100%, $E$9)</f>
        <v>4.7051999999999996</v>
      </c>
      <c r="C269" s="32">
        <f>4.7052 * CHOOSE(CONTROL!$C$32, $C$9, 100%, $E$9)</f>
        <v>4.7051999999999996</v>
      </c>
      <c r="D269" s="32">
        <f>4.7063 * CHOOSE(CONTROL!$C$32, $C$9, 100%, $E$9)</f>
        <v>4.7062999999999997</v>
      </c>
      <c r="E269" s="33">
        <f>6.0605 * CHOOSE(CONTROL!$C$32, $C$9, 100%, $E$9)</f>
        <v>6.0605000000000002</v>
      </c>
      <c r="F269" s="33">
        <f>6.0605 * CHOOSE(CONTROL!$C$32, $C$9, 100%, $E$9)</f>
        <v>6.0605000000000002</v>
      </c>
      <c r="G269" s="33">
        <f>6.0642 * CHOOSE(CONTROL!$C$32, $C$9, 100%, $E$9)</f>
        <v>6.0641999999999996</v>
      </c>
      <c r="H269" s="33">
        <f>9.8897 * CHOOSE(CONTROL!$C$32, $C$9, 100%, $E$9)</f>
        <v>9.8896999999999995</v>
      </c>
      <c r="I269" s="33">
        <f>9.8934 * CHOOSE(CONTROL!$C$32, $C$9, 100%, $E$9)</f>
        <v>9.8933999999999997</v>
      </c>
      <c r="J269" s="33">
        <f>9.8897 * CHOOSE(CONTROL!$C$32, $C$9, 100%, $E$9)</f>
        <v>9.8896999999999995</v>
      </c>
      <c r="K269" s="33">
        <f>9.8934 * CHOOSE(CONTROL!$C$32, $C$9, 100%, $E$9)</f>
        <v>9.8933999999999997</v>
      </c>
      <c r="L269" s="33">
        <f>6.0605 * CHOOSE(CONTROL!$C$32, $C$9, 100%, $E$9)</f>
        <v>6.0605000000000002</v>
      </c>
      <c r="M269" s="33">
        <f>6.0642 * CHOOSE(CONTROL!$C$32, $C$9, 100%, $E$9)</f>
        <v>6.0641999999999996</v>
      </c>
      <c r="N269" s="33">
        <f>6.0605 * CHOOSE(CONTROL!$C$32, $C$9, 100%, $E$9)</f>
        <v>6.0605000000000002</v>
      </c>
      <c r="O269" s="33">
        <f>6.0642 * CHOOSE(CONTROL!$C$32, $C$9, 100%, $E$9)</f>
        <v>6.0641999999999996</v>
      </c>
    </row>
    <row r="270" spans="1:15" ht="15" x14ac:dyDescent="0.2">
      <c r="A270" s="16">
        <v>49430</v>
      </c>
      <c r="B270" s="32">
        <f>4.7052 * CHOOSE(CONTROL!$C$32, $C$9, 100%, $E$9)</f>
        <v>4.7051999999999996</v>
      </c>
      <c r="C270" s="32">
        <f>4.7052 * CHOOSE(CONTROL!$C$32, $C$9, 100%, $E$9)</f>
        <v>4.7051999999999996</v>
      </c>
      <c r="D270" s="32">
        <f>4.7068 * CHOOSE(CONTROL!$C$32, $C$9, 100%, $E$9)</f>
        <v>4.7068000000000003</v>
      </c>
      <c r="E270" s="33">
        <f>6.0605 * CHOOSE(CONTROL!$C$32, $C$9, 100%, $E$9)</f>
        <v>6.0605000000000002</v>
      </c>
      <c r="F270" s="33">
        <f>6.0605 * CHOOSE(CONTROL!$C$32, $C$9, 100%, $E$9)</f>
        <v>6.0605000000000002</v>
      </c>
      <c r="G270" s="33">
        <f>6.0658 * CHOOSE(CONTROL!$C$32, $C$9, 100%, $E$9)</f>
        <v>6.0658000000000003</v>
      </c>
      <c r="H270" s="33">
        <f>9.9103 * CHOOSE(CONTROL!$C$32, $C$9, 100%, $E$9)</f>
        <v>9.9102999999999994</v>
      </c>
      <c r="I270" s="33">
        <f>9.9156 * CHOOSE(CONTROL!$C$32, $C$9, 100%, $E$9)</f>
        <v>9.9155999999999995</v>
      </c>
      <c r="J270" s="33">
        <f>9.9103 * CHOOSE(CONTROL!$C$32, $C$9, 100%, $E$9)</f>
        <v>9.9102999999999994</v>
      </c>
      <c r="K270" s="33">
        <f>9.9156 * CHOOSE(CONTROL!$C$32, $C$9, 100%, $E$9)</f>
        <v>9.9155999999999995</v>
      </c>
      <c r="L270" s="33">
        <f>6.0605 * CHOOSE(CONTROL!$C$32, $C$9, 100%, $E$9)</f>
        <v>6.0605000000000002</v>
      </c>
      <c r="M270" s="33">
        <f>6.0658 * CHOOSE(CONTROL!$C$32, $C$9, 100%, $E$9)</f>
        <v>6.0658000000000003</v>
      </c>
      <c r="N270" s="33">
        <f>6.0605 * CHOOSE(CONTROL!$C$32, $C$9, 100%, $E$9)</f>
        <v>6.0605000000000002</v>
      </c>
      <c r="O270" s="33">
        <f>6.0658 * CHOOSE(CONTROL!$C$32, $C$9, 100%, $E$9)</f>
        <v>6.0658000000000003</v>
      </c>
    </row>
    <row r="271" spans="1:15" ht="15" x14ac:dyDescent="0.2">
      <c r="A271" s="16">
        <v>49461</v>
      </c>
      <c r="B271" s="32">
        <f>4.7113 * CHOOSE(CONTROL!$C$32, $C$9, 100%, $E$9)</f>
        <v>4.7112999999999996</v>
      </c>
      <c r="C271" s="32">
        <f>4.7113 * CHOOSE(CONTROL!$C$32, $C$9, 100%, $E$9)</f>
        <v>4.7112999999999996</v>
      </c>
      <c r="D271" s="32">
        <f>4.7129 * CHOOSE(CONTROL!$C$32, $C$9, 100%, $E$9)</f>
        <v>4.7129000000000003</v>
      </c>
      <c r="E271" s="33">
        <f>6.0645 * CHOOSE(CONTROL!$C$32, $C$9, 100%, $E$9)</f>
        <v>6.0644999999999998</v>
      </c>
      <c r="F271" s="33">
        <f>6.0645 * CHOOSE(CONTROL!$C$32, $C$9, 100%, $E$9)</f>
        <v>6.0644999999999998</v>
      </c>
      <c r="G271" s="33">
        <f>6.0698 * CHOOSE(CONTROL!$C$32, $C$9, 100%, $E$9)</f>
        <v>6.0697999999999999</v>
      </c>
      <c r="H271" s="33">
        <f>9.931 * CHOOSE(CONTROL!$C$32, $C$9, 100%, $E$9)</f>
        <v>9.9309999999999992</v>
      </c>
      <c r="I271" s="33">
        <f>9.9363 * CHOOSE(CONTROL!$C$32, $C$9, 100%, $E$9)</f>
        <v>9.9362999999999992</v>
      </c>
      <c r="J271" s="33">
        <f>9.931 * CHOOSE(CONTROL!$C$32, $C$9, 100%, $E$9)</f>
        <v>9.9309999999999992</v>
      </c>
      <c r="K271" s="33">
        <f>9.9363 * CHOOSE(CONTROL!$C$32, $C$9, 100%, $E$9)</f>
        <v>9.9362999999999992</v>
      </c>
      <c r="L271" s="33">
        <f>6.0645 * CHOOSE(CONTROL!$C$32, $C$9, 100%, $E$9)</f>
        <v>6.0644999999999998</v>
      </c>
      <c r="M271" s="33">
        <f>6.0698 * CHOOSE(CONTROL!$C$32, $C$9, 100%, $E$9)</f>
        <v>6.0697999999999999</v>
      </c>
      <c r="N271" s="33">
        <f>6.0645 * CHOOSE(CONTROL!$C$32, $C$9, 100%, $E$9)</f>
        <v>6.0644999999999998</v>
      </c>
      <c r="O271" s="33">
        <f>6.0698 * CHOOSE(CONTROL!$C$32, $C$9, 100%, $E$9)</f>
        <v>6.0697999999999999</v>
      </c>
    </row>
    <row r="272" spans="1:15" ht="15" x14ac:dyDescent="0.2">
      <c r="A272" s="16">
        <v>49491</v>
      </c>
      <c r="B272" s="32">
        <f>4.7784 * CHOOSE(CONTROL!$C$32, $C$9, 100%, $E$9)</f>
        <v>4.7784000000000004</v>
      </c>
      <c r="C272" s="32">
        <f>4.7784 * CHOOSE(CONTROL!$C$32, $C$9, 100%, $E$9)</f>
        <v>4.7784000000000004</v>
      </c>
      <c r="D272" s="32">
        <f>4.7799 * CHOOSE(CONTROL!$C$32, $C$9, 100%, $E$9)</f>
        <v>4.7798999999999996</v>
      </c>
      <c r="E272" s="33">
        <f>6.1692 * CHOOSE(CONTROL!$C$32, $C$9, 100%, $E$9)</f>
        <v>6.1692</v>
      </c>
      <c r="F272" s="33">
        <f>6.1692 * CHOOSE(CONTROL!$C$32, $C$9, 100%, $E$9)</f>
        <v>6.1692</v>
      </c>
      <c r="G272" s="33">
        <f>6.1745 * CHOOSE(CONTROL!$C$32, $C$9, 100%, $E$9)</f>
        <v>6.1745000000000001</v>
      </c>
      <c r="H272" s="33">
        <f>9.9517 * CHOOSE(CONTROL!$C$32, $C$9, 100%, $E$9)</f>
        <v>9.9517000000000007</v>
      </c>
      <c r="I272" s="33">
        <f>9.957 * CHOOSE(CONTROL!$C$32, $C$9, 100%, $E$9)</f>
        <v>9.9570000000000007</v>
      </c>
      <c r="J272" s="33">
        <f>9.9517 * CHOOSE(CONTROL!$C$32, $C$9, 100%, $E$9)</f>
        <v>9.9517000000000007</v>
      </c>
      <c r="K272" s="33">
        <f>9.957 * CHOOSE(CONTROL!$C$32, $C$9, 100%, $E$9)</f>
        <v>9.9570000000000007</v>
      </c>
      <c r="L272" s="33">
        <f>6.1692 * CHOOSE(CONTROL!$C$32, $C$9, 100%, $E$9)</f>
        <v>6.1692</v>
      </c>
      <c r="M272" s="33">
        <f>6.1745 * CHOOSE(CONTROL!$C$32, $C$9, 100%, $E$9)</f>
        <v>6.1745000000000001</v>
      </c>
      <c r="N272" s="33">
        <f>6.1692 * CHOOSE(CONTROL!$C$32, $C$9, 100%, $E$9)</f>
        <v>6.1692</v>
      </c>
      <c r="O272" s="33">
        <f>6.1745 * CHOOSE(CONTROL!$C$32, $C$9, 100%, $E$9)</f>
        <v>6.1745000000000001</v>
      </c>
    </row>
    <row r="273" spans="1:15" ht="15" x14ac:dyDescent="0.2">
      <c r="A273" s="16">
        <v>49522</v>
      </c>
      <c r="B273" s="32">
        <f>4.785 * CHOOSE(CONTROL!$C$32, $C$9, 100%, $E$9)</f>
        <v>4.7850000000000001</v>
      </c>
      <c r="C273" s="32">
        <f>4.785 * CHOOSE(CONTROL!$C$32, $C$9, 100%, $E$9)</f>
        <v>4.7850000000000001</v>
      </c>
      <c r="D273" s="32">
        <f>4.7866 * CHOOSE(CONTROL!$C$32, $C$9, 100%, $E$9)</f>
        <v>4.7866</v>
      </c>
      <c r="E273" s="33">
        <f>6.523 * CHOOSE(CONTROL!$C$32, $C$9, 100%, $E$9)</f>
        <v>6.5229999999999997</v>
      </c>
      <c r="F273" s="33">
        <f>6.523 * CHOOSE(CONTROL!$C$32, $C$9, 100%, $E$9)</f>
        <v>6.5229999999999997</v>
      </c>
      <c r="G273" s="33">
        <f>6.5283 * CHOOSE(CONTROL!$C$32, $C$9, 100%, $E$9)</f>
        <v>6.5282999999999998</v>
      </c>
      <c r="H273" s="33">
        <f>9.9724 * CHOOSE(CONTROL!$C$32, $C$9, 100%, $E$9)</f>
        <v>9.9724000000000004</v>
      </c>
      <c r="I273" s="33">
        <f>9.9777 * CHOOSE(CONTROL!$C$32, $C$9, 100%, $E$9)</f>
        <v>9.9777000000000005</v>
      </c>
      <c r="J273" s="33">
        <f>9.9724 * CHOOSE(CONTROL!$C$32, $C$9, 100%, $E$9)</f>
        <v>9.9724000000000004</v>
      </c>
      <c r="K273" s="33">
        <f>9.9777 * CHOOSE(CONTROL!$C$32, $C$9, 100%, $E$9)</f>
        <v>9.9777000000000005</v>
      </c>
      <c r="L273" s="33">
        <f>6.523 * CHOOSE(CONTROL!$C$32, $C$9, 100%, $E$9)</f>
        <v>6.5229999999999997</v>
      </c>
      <c r="M273" s="33">
        <f>6.5283 * CHOOSE(CONTROL!$C$32, $C$9, 100%, $E$9)</f>
        <v>6.5282999999999998</v>
      </c>
      <c r="N273" s="33">
        <f>6.523 * CHOOSE(CONTROL!$C$32, $C$9, 100%, $E$9)</f>
        <v>6.5229999999999997</v>
      </c>
      <c r="O273" s="33">
        <f>6.5283 * CHOOSE(CONTROL!$C$32, $C$9, 100%, $E$9)</f>
        <v>6.5282999999999998</v>
      </c>
    </row>
    <row r="274" spans="1:15" ht="15" x14ac:dyDescent="0.2">
      <c r="A274" s="16">
        <v>49553</v>
      </c>
      <c r="B274" s="32">
        <f>4.782 * CHOOSE(CONTROL!$C$32, $C$9, 100%, $E$9)</f>
        <v>4.782</v>
      </c>
      <c r="C274" s="32">
        <f>4.782 * CHOOSE(CONTROL!$C$32, $C$9, 100%, $E$9)</f>
        <v>4.782</v>
      </c>
      <c r="D274" s="32">
        <f>4.7836 * CHOOSE(CONTROL!$C$32, $C$9, 100%, $E$9)</f>
        <v>4.7835999999999999</v>
      </c>
      <c r="E274" s="33">
        <f>6.5105 * CHOOSE(CONTROL!$C$32, $C$9, 100%, $E$9)</f>
        <v>6.5105000000000004</v>
      </c>
      <c r="F274" s="33">
        <f>6.5105 * CHOOSE(CONTROL!$C$32, $C$9, 100%, $E$9)</f>
        <v>6.5105000000000004</v>
      </c>
      <c r="G274" s="33">
        <f>6.5158 * CHOOSE(CONTROL!$C$32, $C$9, 100%, $E$9)</f>
        <v>6.5157999999999996</v>
      </c>
      <c r="H274" s="33">
        <f>9.9932 * CHOOSE(CONTROL!$C$32, $C$9, 100%, $E$9)</f>
        <v>9.9931999999999999</v>
      </c>
      <c r="I274" s="33">
        <f>9.9985 * CHOOSE(CONTROL!$C$32, $C$9, 100%, $E$9)</f>
        <v>9.9984999999999999</v>
      </c>
      <c r="J274" s="33">
        <f>9.9932 * CHOOSE(CONTROL!$C$32, $C$9, 100%, $E$9)</f>
        <v>9.9931999999999999</v>
      </c>
      <c r="K274" s="33">
        <f>9.9985 * CHOOSE(CONTROL!$C$32, $C$9, 100%, $E$9)</f>
        <v>9.9984999999999999</v>
      </c>
      <c r="L274" s="33">
        <f>6.5105 * CHOOSE(CONTROL!$C$32, $C$9, 100%, $E$9)</f>
        <v>6.5105000000000004</v>
      </c>
      <c r="M274" s="33">
        <f>6.5158 * CHOOSE(CONTROL!$C$32, $C$9, 100%, $E$9)</f>
        <v>6.5157999999999996</v>
      </c>
      <c r="N274" s="33">
        <f>6.5105 * CHOOSE(CONTROL!$C$32, $C$9, 100%, $E$9)</f>
        <v>6.5105000000000004</v>
      </c>
      <c r="O274" s="33">
        <f>6.5158 * CHOOSE(CONTROL!$C$32, $C$9, 100%, $E$9)</f>
        <v>6.5157999999999996</v>
      </c>
    </row>
    <row r="275" spans="1:15" ht="15" x14ac:dyDescent="0.2">
      <c r="A275" s="16">
        <v>49583</v>
      </c>
      <c r="B275" s="32">
        <f>4.78 * CHOOSE(CONTROL!$C$32, $C$9, 100%, $E$9)</f>
        <v>4.78</v>
      </c>
      <c r="C275" s="32">
        <f>4.78 * CHOOSE(CONTROL!$C$32, $C$9, 100%, $E$9)</f>
        <v>4.78</v>
      </c>
      <c r="D275" s="32">
        <f>4.781 * CHOOSE(CONTROL!$C$32, $C$9, 100%, $E$9)</f>
        <v>4.7809999999999997</v>
      </c>
      <c r="E275" s="33">
        <f>6.1678 * CHOOSE(CONTROL!$C$32, $C$9, 100%, $E$9)</f>
        <v>6.1677999999999997</v>
      </c>
      <c r="F275" s="33">
        <f>6.1678 * CHOOSE(CONTROL!$C$32, $C$9, 100%, $E$9)</f>
        <v>6.1677999999999997</v>
      </c>
      <c r="G275" s="33">
        <f>6.1714 * CHOOSE(CONTROL!$C$32, $C$9, 100%, $E$9)</f>
        <v>6.1714000000000002</v>
      </c>
      <c r="H275" s="33">
        <f>10.014 * CHOOSE(CONTROL!$C$32, $C$9, 100%, $E$9)</f>
        <v>10.013999999999999</v>
      </c>
      <c r="I275" s="33">
        <f>10.0176 * CHOOSE(CONTROL!$C$32, $C$9, 100%, $E$9)</f>
        <v>10.0176</v>
      </c>
      <c r="J275" s="33">
        <f>10.014 * CHOOSE(CONTROL!$C$32, $C$9, 100%, $E$9)</f>
        <v>10.013999999999999</v>
      </c>
      <c r="K275" s="33">
        <f>10.0176 * CHOOSE(CONTROL!$C$32, $C$9, 100%, $E$9)</f>
        <v>10.0176</v>
      </c>
      <c r="L275" s="33">
        <f>6.1678 * CHOOSE(CONTROL!$C$32, $C$9, 100%, $E$9)</f>
        <v>6.1677999999999997</v>
      </c>
      <c r="M275" s="33">
        <f>6.1714 * CHOOSE(CONTROL!$C$32, $C$9, 100%, $E$9)</f>
        <v>6.1714000000000002</v>
      </c>
      <c r="N275" s="33">
        <f>6.1678 * CHOOSE(CONTROL!$C$32, $C$9, 100%, $E$9)</f>
        <v>6.1677999999999997</v>
      </c>
      <c r="O275" s="33">
        <f>6.1714 * CHOOSE(CONTROL!$C$32, $C$9, 100%, $E$9)</f>
        <v>6.1714000000000002</v>
      </c>
    </row>
    <row r="276" spans="1:15" ht="15" x14ac:dyDescent="0.2">
      <c r="A276" s="16">
        <v>49614</v>
      </c>
      <c r="B276" s="32">
        <f>4.783 * CHOOSE(CONTROL!$C$32, $C$9, 100%, $E$9)</f>
        <v>4.7830000000000004</v>
      </c>
      <c r="C276" s="32">
        <f>4.783 * CHOOSE(CONTROL!$C$32, $C$9, 100%, $E$9)</f>
        <v>4.7830000000000004</v>
      </c>
      <c r="D276" s="32">
        <f>4.7841 * CHOOSE(CONTROL!$C$32, $C$9, 100%, $E$9)</f>
        <v>4.7840999999999996</v>
      </c>
      <c r="E276" s="33">
        <f>6.1698 * CHOOSE(CONTROL!$C$32, $C$9, 100%, $E$9)</f>
        <v>6.1698000000000004</v>
      </c>
      <c r="F276" s="33">
        <f>6.1698 * CHOOSE(CONTROL!$C$32, $C$9, 100%, $E$9)</f>
        <v>6.1698000000000004</v>
      </c>
      <c r="G276" s="33">
        <f>6.1734 * CHOOSE(CONTROL!$C$32, $C$9, 100%, $E$9)</f>
        <v>6.1734</v>
      </c>
      <c r="H276" s="33">
        <f>10.0349 * CHOOSE(CONTROL!$C$32, $C$9, 100%, $E$9)</f>
        <v>10.0349</v>
      </c>
      <c r="I276" s="33">
        <f>10.0385 * CHOOSE(CONTROL!$C$32, $C$9, 100%, $E$9)</f>
        <v>10.038500000000001</v>
      </c>
      <c r="J276" s="33">
        <f>10.0349 * CHOOSE(CONTROL!$C$32, $C$9, 100%, $E$9)</f>
        <v>10.0349</v>
      </c>
      <c r="K276" s="33">
        <f>10.0385 * CHOOSE(CONTROL!$C$32, $C$9, 100%, $E$9)</f>
        <v>10.038500000000001</v>
      </c>
      <c r="L276" s="33">
        <f>6.1698 * CHOOSE(CONTROL!$C$32, $C$9, 100%, $E$9)</f>
        <v>6.1698000000000004</v>
      </c>
      <c r="M276" s="33">
        <f>6.1734 * CHOOSE(CONTROL!$C$32, $C$9, 100%, $E$9)</f>
        <v>6.1734</v>
      </c>
      <c r="N276" s="33">
        <f>6.1698 * CHOOSE(CONTROL!$C$32, $C$9, 100%, $E$9)</f>
        <v>6.1698000000000004</v>
      </c>
      <c r="O276" s="33">
        <f>6.1734 * CHOOSE(CONTROL!$C$32, $C$9, 100%, $E$9)</f>
        <v>6.1734</v>
      </c>
    </row>
    <row r="277" spans="1:15" ht="15" x14ac:dyDescent="0.2">
      <c r="A277" s="16">
        <v>49644</v>
      </c>
      <c r="B277" s="32">
        <f>4.783 * CHOOSE(CONTROL!$C$32, $C$9, 100%, $E$9)</f>
        <v>4.7830000000000004</v>
      </c>
      <c r="C277" s="32">
        <f>4.783 * CHOOSE(CONTROL!$C$32, $C$9, 100%, $E$9)</f>
        <v>4.7830000000000004</v>
      </c>
      <c r="D277" s="32">
        <f>4.7841 * CHOOSE(CONTROL!$C$32, $C$9, 100%, $E$9)</f>
        <v>4.7840999999999996</v>
      </c>
      <c r="E277" s="33">
        <f>6.5096 * CHOOSE(CONTROL!$C$32, $C$9, 100%, $E$9)</f>
        <v>6.5095999999999998</v>
      </c>
      <c r="F277" s="33">
        <f>6.5096 * CHOOSE(CONTROL!$C$32, $C$9, 100%, $E$9)</f>
        <v>6.5095999999999998</v>
      </c>
      <c r="G277" s="33">
        <f>6.5132 * CHOOSE(CONTROL!$C$32, $C$9, 100%, $E$9)</f>
        <v>6.5132000000000003</v>
      </c>
      <c r="H277" s="33">
        <f>10.0558 * CHOOSE(CONTROL!$C$32, $C$9, 100%, $E$9)</f>
        <v>10.0558</v>
      </c>
      <c r="I277" s="33">
        <f>10.0594 * CHOOSE(CONTROL!$C$32, $C$9, 100%, $E$9)</f>
        <v>10.0594</v>
      </c>
      <c r="J277" s="33">
        <f>10.0558 * CHOOSE(CONTROL!$C$32, $C$9, 100%, $E$9)</f>
        <v>10.0558</v>
      </c>
      <c r="K277" s="33">
        <f>10.0594 * CHOOSE(CONTROL!$C$32, $C$9, 100%, $E$9)</f>
        <v>10.0594</v>
      </c>
      <c r="L277" s="33">
        <f>6.5096 * CHOOSE(CONTROL!$C$32, $C$9, 100%, $E$9)</f>
        <v>6.5095999999999998</v>
      </c>
      <c r="M277" s="33">
        <f>6.5132 * CHOOSE(CONTROL!$C$32, $C$9, 100%, $E$9)</f>
        <v>6.5132000000000003</v>
      </c>
      <c r="N277" s="33">
        <f>6.5096 * CHOOSE(CONTROL!$C$32, $C$9, 100%, $E$9)</f>
        <v>6.5095999999999998</v>
      </c>
      <c r="O277" s="33">
        <f>6.5132 * CHOOSE(CONTROL!$C$32, $C$9, 100%, $E$9)</f>
        <v>6.5132000000000003</v>
      </c>
    </row>
    <row r="278" spans="1:15" ht="15" x14ac:dyDescent="0.2">
      <c r="A278" s="16">
        <v>49675</v>
      </c>
      <c r="B278" s="32">
        <f>4.8216 * CHOOSE(CONTROL!$C$32, $C$9, 100%, $E$9)</f>
        <v>4.8216000000000001</v>
      </c>
      <c r="C278" s="32">
        <f>4.8216 * CHOOSE(CONTROL!$C$32, $C$9, 100%, $E$9)</f>
        <v>4.8216000000000001</v>
      </c>
      <c r="D278" s="32">
        <f>4.8227 * CHOOSE(CONTROL!$C$32, $C$9, 100%, $E$9)</f>
        <v>4.8227000000000002</v>
      </c>
      <c r="E278" s="33">
        <f>6.5301 * CHOOSE(CONTROL!$C$32, $C$9, 100%, $E$9)</f>
        <v>6.5301</v>
      </c>
      <c r="F278" s="33">
        <f>6.5301 * CHOOSE(CONTROL!$C$32, $C$9, 100%, $E$9)</f>
        <v>6.5301</v>
      </c>
      <c r="G278" s="33">
        <f>6.5337 * CHOOSE(CONTROL!$C$32, $C$9, 100%, $E$9)</f>
        <v>6.5336999999999996</v>
      </c>
      <c r="H278" s="33">
        <f>10.0767 * CHOOSE(CONTROL!$C$32, $C$9, 100%, $E$9)</f>
        <v>10.076700000000001</v>
      </c>
      <c r="I278" s="33">
        <f>10.0803 * CHOOSE(CONTROL!$C$32, $C$9, 100%, $E$9)</f>
        <v>10.080299999999999</v>
      </c>
      <c r="J278" s="33">
        <f>10.0767 * CHOOSE(CONTROL!$C$32, $C$9, 100%, $E$9)</f>
        <v>10.076700000000001</v>
      </c>
      <c r="K278" s="33">
        <f>10.0803 * CHOOSE(CONTROL!$C$32, $C$9, 100%, $E$9)</f>
        <v>10.080299999999999</v>
      </c>
      <c r="L278" s="33">
        <f>6.5301 * CHOOSE(CONTROL!$C$32, $C$9, 100%, $E$9)</f>
        <v>6.5301</v>
      </c>
      <c r="M278" s="33">
        <f>6.5337 * CHOOSE(CONTROL!$C$32, $C$9, 100%, $E$9)</f>
        <v>6.5336999999999996</v>
      </c>
      <c r="N278" s="33">
        <f>6.5301 * CHOOSE(CONTROL!$C$32, $C$9, 100%, $E$9)</f>
        <v>6.5301</v>
      </c>
      <c r="O278" s="33">
        <f>6.5337 * CHOOSE(CONTROL!$C$32, $C$9, 100%, $E$9)</f>
        <v>6.5336999999999996</v>
      </c>
    </row>
    <row r="279" spans="1:15" ht="15" x14ac:dyDescent="0.2">
      <c r="A279" s="16">
        <v>49706</v>
      </c>
      <c r="B279" s="32">
        <f>4.8186 * CHOOSE(CONTROL!$C$32, $C$9, 100%, $E$9)</f>
        <v>4.8186</v>
      </c>
      <c r="C279" s="32">
        <f>4.8186 * CHOOSE(CONTROL!$C$32, $C$9, 100%, $E$9)</f>
        <v>4.8186</v>
      </c>
      <c r="D279" s="32">
        <f>4.8196 * CHOOSE(CONTROL!$C$32, $C$9, 100%, $E$9)</f>
        <v>4.8196000000000003</v>
      </c>
      <c r="E279" s="33">
        <f>6.4268 * CHOOSE(CONTROL!$C$32, $C$9, 100%, $E$9)</f>
        <v>6.4268000000000001</v>
      </c>
      <c r="F279" s="33">
        <f>6.4268 * CHOOSE(CONTROL!$C$32, $C$9, 100%, $E$9)</f>
        <v>6.4268000000000001</v>
      </c>
      <c r="G279" s="33">
        <f>6.4304 * CHOOSE(CONTROL!$C$32, $C$9, 100%, $E$9)</f>
        <v>6.4303999999999997</v>
      </c>
      <c r="H279" s="33">
        <f>10.0977 * CHOOSE(CONTROL!$C$32, $C$9, 100%, $E$9)</f>
        <v>10.0977</v>
      </c>
      <c r="I279" s="33">
        <f>10.1013 * CHOOSE(CONTROL!$C$32, $C$9, 100%, $E$9)</f>
        <v>10.1013</v>
      </c>
      <c r="J279" s="33">
        <f>10.0977 * CHOOSE(CONTROL!$C$32, $C$9, 100%, $E$9)</f>
        <v>10.0977</v>
      </c>
      <c r="K279" s="33">
        <f>10.1013 * CHOOSE(CONTROL!$C$32, $C$9, 100%, $E$9)</f>
        <v>10.1013</v>
      </c>
      <c r="L279" s="33">
        <f>6.4268 * CHOOSE(CONTROL!$C$32, $C$9, 100%, $E$9)</f>
        <v>6.4268000000000001</v>
      </c>
      <c r="M279" s="33">
        <f>6.4304 * CHOOSE(CONTROL!$C$32, $C$9, 100%, $E$9)</f>
        <v>6.4303999999999997</v>
      </c>
      <c r="N279" s="33">
        <f>6.4268 * CHOOSE(CONTROL!$C$32, $C$9, 100%, $E$9)</f>
        <v>6.4268000000000001</v>
      </c>
      <c r="O279" s="33">
        <f>6.4304 * CHOOSE(CONTROL!$C$32, $C$9, 100%, $E$9)</f>
        <v>6.4303999999999997</v>
      </c>
    </row>
    <row r="280" spans="1:15" ht="15" x14ac:dyDescent="0.2">
      <c r="A280" s="16">
        <v>49735</v>
      </c>
      <c r="B280" s="32">
        <f>4.8155 * CHOOSE(CONTROL!$C$32, $C$9, 100%, $E$9)</f>
        <v>4.8155000000000001</v>
      </c>
      <c r="C280" s="32">
        <f>4.8155 * CHOOSE(CONTROL!$C$32, $C$9, 100%, $E$9)</f>
        <v>4.8155000000000001</v>
      </c>
      <c r="D280" s="32">
        <f>4.8166 * CHOOSE(CONTROL!$C$32, $C$9, 100%, $E$9)</f>
        <v>4.8166000000000002</v>
      </c>
      <c r="E280" s="33">
        <f>6.5044 * CHOOSE(CONTROL!$C$32, $C$9, 100%, $E$9)</f>
        <v>6.5044000000000004</v>
      </c>
      <c r="F280" s="33">
        <f>6.5044 * CHOOSE(CONTROL!$C$32, $C$9, 100%, $E$9)</f>
        <v>6.5044000000000004</v>
      </c>
      <c r="G280" s="33">
        <f>6.508 * CHOOSE(CONTROL!$C$32, $C$9, 100%, $E$9)</f>
        <v>6.508</v>
      </c>
      <c r="H280" s="33">
        <f>10.1188 * CHOOSE(CONTROL!$C$32, $C$9, 100%, $E$9)</f>
        <v>10.1188</v>
      </c>
      <c r="I280" s="33">
        <f>10.1224 * CHOOSE(CONTROL!$C$32, $C$9, 100%, $E$9)</f>
        <v>10.122400000000001</v>
      </c>
      <c r="J280" s="33">
        <f>10.1188 * CHOOSE(CONTROL!$C$32, $C$9, 100%, $E$9)</f>
        <v>10.1188</v>
      </c>
      <c r="K280" s="33">
        <f>10.1224 * CHOOSE(CONTROL!$C$32, $C$9, 100%, $E$9)</f>
        <v>10.122400000000001</v>
      </c>
      <c r="L280" s="33">
        <f>6.5044 * CHOOSE(CONTROL!$C$32, $C$9, 100%, $E$9)</f>
        <v>6.5044000000000004</v>
      </c>
      <c r="M280" s="33">
        <f>6.508 * CHOOSE(CONTROL!$C$32, $C$9, 100%, $E$9)</f>
        <v>6.508</v>
      </c>
      <c r="N280" s="33">
        <f>6.5044 * CHOOSE(CONTROL!$C$32, $C$9, 100%, $E$9)</f>
        <v>6.5044000000000004</v>
      </c>
      <c r="O280" s="33">
        <f>6.508 * CHOOSE(CONTROL!$C$32, $C$9, 100%, $E$9)</f>
        <v>6.508</v>
      </c>
    </row>
    <row r="281" spans="1:15" ht="15" x14ac:dyDescent="0.2">
      <c r="A281" s="16">
        <v>49766</v>
      </c>
      <c r="B281" s="32">
        <f>4.814 * CHOOSE(CONTROL!$C$32, $C$9, 100%, $E$9)</f>
        <v>4.8140000000000001</v>
      </c>
      <c r="C281" s="32">
        <f>4.814 * CHOOSE(CONTROL!$C$32, $C$9, 100%, $E$9)</f>
        <v>4.8140000000000001</v>
      </c>
      <c r="D281" s="32">
        <f>4.815 * CHOOSE(CONTROL!$C$32, $C$9, 100%, $E$9)</f>
        <v>4.8150000000000004</v>
      </c>
      <c r="E281" s="33">
        <f>6.5859 * CHOOSE(CONTROL!$C$32, $C$9, 100%, $E$9)</f>
        <v>6.5858999999999996</v>
      </c>
      <c r="F281" s="33">
        <f>6.5859 * CHOOSE(CONTROL!$C$32, $C$9, 100%, $E$9)</f>
        <v>6.5858999999999996</v>
      </c>
      <c r="G281" s="33">
        <f>6.5895 * CHOOSE(CONTROL!$C$32, $C$9, 100%, $E$9)</f>
        <v>6.5895000000000001</v>
      </c>
      <c r="H281" s="33">
        <f>10.1398 * CHOOSE(CONTROL!$C$32, $C$9, 100%, $E$9)</f>
        <v>10.139799999999999</v>
      </c>
      <c r="I281" s="33">
        <f>10.1435 * CHOOSE(CONTROL!$C$32, $C$9, 100%, $E$9)</f>
        <v>10.1435</v>
      </c>
      <c r="J281" s="33">
        <f>10.1398 * CHOOSE(CONTROL!$C$32, $C$9, 100%, $E$9)</f>
        <v>10.139799999999999</v>
      </c>
      <c r="K281" s="33">
        <f>10.1435 * CHOOSE(CONTROL!$C$32, $C$9, 100%, $E$9)</f>
        <v>10.1435</v>
      </c>
      <c r="L281" s="33">
        <f>6.5859 * CHOOSE(CONTROL!$C$32, $C$9, 100%, $E$9)</f>
        <v>6.5858999999999996</v>
      </c>
      <c r="M281" s="33">
        <f>6.5895 * CHOOSE(CONTROL!$C$32, $C$9, 100%, $E$9)</f>
        <v>6.5895000000000001</v>
      </c>
      <c r="N281" s="33">
        <f>6.5859 * CHOOSE(CONTROL!$C$32, $C$9, 100%, $E$9)</f>
        <v>6.5858999999999996</v>
      </c>
      <c r="O281" s="33">
        <f>6.5895 * CHOOSE(CONTROL!$C$32, $C$9, 100%, $E$9)</f>
        <v>6.5895000000000001</v>
      </c>
    </row>
    <row r="282" spans="1:15" ht="15" x14ac:dyDescent="0.2">
      <c r="A282" s="16">
        <v>49796</v>
      </c>
      <c r="B282" s="32">
        <f>4.814 * CHOOSE(CONTROL!$C$32, $C$9, 100%, $E$9)</f>
        <v>4.8140000000000001</v>
      </c>
      <c r="C282" s="32">
        <f>4.814 * CHOOSE(CONTROL!$C$32, $C$9, 100%, $E$9)</f>
        <v>4.8140000000000001</v>
      </c>
      <c r="D282" s="32">
        <f>4.8155 * CHOOSE(CONTROL!$C$32, $C$9, 100%, $E$9)</f>
        <v>4.8155000000000001</v>
      </c>
      <c r="E282" s="33">
        <f>6.2171 * CHOOSE(CONTROL!$C$32, $C$9, 100%, $E$9)</f>
        <v>6.2171000000000003</v>
      </c>
      <c r="F282" s="33">
        <f>6.2171 * CHOOSE(CONTROL!$C$32, $C$9, 100%, $E$9)</f>
        <v>6.2171000000000003</v>
      </c>
      <c r="G282" s="33">
        <f>6.2224 * CHOOSE(CONTROL!$C$32, $C$9, 100%, $E$9)</f>
        <v>6.2224000000000004</v>
      </c>
      <c r="H282" s="33">
        <f>10.161 * CHOOSE(CONTROL!$C$32, $C$9, 100%, $E$9)</f>
        <v>10.161</v>
      </c>
      <c r="I282" s="33">
        <f>10.1663 * CHOOSE(CONTROL!$C$32, $C$9, 100%, $E$9)</f>
        <v>10.1663</v>
      </c>
      <c r="J282" s="33">
        <f>10.161 * CHOOSE(CONTROL!$C$32, $C$9, 100%, $E$9)</f>
        <v>10.161</v>
      </c>
      <c r="K282" s="33">
        <f>10.1663 * CHOOSE(CONTROL!$C$32, $C$9, 100%, $E$9)</f>
        <v>10.1663</v>
      </c>
      <c r="L282" s="33">
        <f>6.2171 * CHOOSE(CONTROL!$C$32, $C$9, 100%, $E$9)</f>
        <v>6.2171000000000003</v>
      </c>
      <c r="M282" s="33">
        <f>6.2224 * CHOOSE(CONTROL!$C$32, $C$9, 100%, $E$9)</f>
        <v>6.2224000000000004</v>
      </c>
      <c r="N282" s="33">
        <f>6.2171 * CHOOSE(CONTROL!$C$32, $C$9, 100%, $E$9)</f>
        <v>6.2171000000000003</v>
      </c>
      <c r="O282" s="33">
        <f>6.2224 * CHOOSE(CONTROL!$C$32, $C$9, 100%, $E$9)</f>
        <v>6.2224000000000004</v>
      </c>
    </row>
    <row r="283" spans="1:15" ht="15" x14ac:dyDescent="0.2">
      <c r="A283" s="16">
        <v>49827</v>
      </c>
      <c r="B283" s="32">
        <f>4.82 * CHOOSE(CONTROL!$C$32, $C$9, 100%, $E$9)</f>
        <v>4.82</v>
      </c>
      <c r="C283" s="32">
        <f>4.82 * CHOOSE(CONTROL!$C$32, $C$9, 100%, $E$9)</f>
        <v>4.82</v>
      </c>
      <c r="D283" s="32">
        <f>4.8216 * CHOOSE(CONTROL!$C$32, $C$9, 100%, $E$9)</f>
        <v>4.8216000000000001</v>
      </c>
      <c r="E283" s="33">
        <f>6.5901 * CHOOSE(CONTROL!$C$32, $C$9, 100%, $E$9)</f>
        <v>6.5900999999999996</v>
      </c>
      <c r="F283" s="33">
        <f>6.5901 * CHOOSE(CONTROL!$C$32, $C$9, 100%, $E$9)</f>
        <v>6.5900999999999996</v>
      </c>
      <c r="G283" s="33">
        <f>6.5954 * CHOOSE(CONTROL!$C$32, $C$9, 100%, $E$9)</f>
        <v>6.5953999999999997</v>
      </c>
      <c r="H283" s="33">
        <f>10.1821 * CHOOSE(CONTROL!$C$32, $C$9, 100%, $E$9)</f>
        <v>10.1821</v>
      </c>
      <c r="I283" s="33">
        <f>10.1874 * CHOOSE(CONTROL!$C$32, $C$9, 100%, $E$9)</f>
        <v>10.1874</v>
      </c>
      <c r="J283" s="33">
        <f>10.1821 * CHOOSE(CONTROL!$C$32, $C$9, 100%, $E$9)</f>
        <v>10.1821</v>
      </c>
      <c r="K283" s="33">
        <f>10.1874 * CHOOSE(CONTROL!$C$32, $C$9, 100%, $E$9)</f>
        <v>10.1874</v>
      </c>
      <c r="L283" s="33">
        <f>6.5901 * CHOOSE(CONTROL!$C$32, $C$9, 100%, $E$9)</f>
        <v>6.5900999999999996</v>
      </c>
      <c r="M283" s="33">
        <f>6.5954 * CHOOSE(CONTROL!$C$32, $C$9, 100%, $E$9)</f>
        <v>6.5953999999999997</v>
      </c>
      <c r="N283" s="33">
        <f>6.5901 * CHOOSE(CONTROL!$C$32, $C$9, 100%, $E$9)</f>
        <v>6.5900999999999996</v>
      </c>
      <c r="O283" s="33">
        <f>6.5954 * CHOOSE(CONTROL!$C$32, $C$9, 100%, $E$9)</f>
        <v>6.5953999999999997</v>
      </c>
    </row>
    <row r="284" spans="1:15" ht="15" x14ac:dyDescent="0.2">
      <c r="A284" s="16">
        <v>49857</v>
      </c>
      <c r="B284" s="32">
        <f>4.8896 * CHOOSE(CONTROL!$C$32, $C$9, 100%, $E$9)</f>
        <v>4.8895999999999997</v>
      </c>
      <c r="C284" s="32">
        <f>4.8896 * CHOOSE(CONTROL!$C$32, $C$9, 100%, $E$9)</f>
        <v>4.8895999999999997</v>
      </c>
      <c r="D284" s="32">
        <f>4.8911 * CHOOSE(CONTROL!$C$32, $C$9, 100%, $E$9)</f>
        <v>4.8910999999999998</v>
      </c>
      <c r="E284" s="33">
        <f>6.5201 * CHOOSE(CONTROL!$C$32, $C$9, 100%, $E$9)</f>
        <v>6.5201000000000002</v>
      </c>
      <c r="F284" s="33">
        <f>6.5201 * CHOOSE(CONTROL!$C$32, $C$9, 100%, $E$9)</f>
        <v>6.5201000000000002</v>
      </c>
      <c r="G284" s="33">
        <f>6.5254 * CHOOSE(CONTROL!$C$32, $C$9, 100%, $E$9)</f>
        <v>6.5254000000000003</v>
      </c>
      <c r="H284" s="33">
        <f>10.2033 * CHOOSE(CONTROL!$C$32, $C$9, 100%, $E$9)</f>
        <v>10.2033</v>
      </c>
      <c r="I284" s="33">
        <f>10.2086 * CHOOSE(CONTROL!$C$32, $C$9, 100%, $E$9)</f>
        <v>10.208600000000001</v>
      </c>
      <c r="J284" s="33">
        <f>10.2033 * CHOOSE(CONTROL!$C$32, $C$9, 100%, $E$9)</f>
        <v>10.2033</v>
      </c>
      <c r="K284" s="33">
        <f>10.2086 * CHOOSE(CONTROL!$C$32, $C$9, 100%, $E$9)</f>
        <v>10.208600000000001</v>
      </c>
      <c r="L284" s="33">
        <f>6.5201 * CHOOSE(CONTROL!$C$32, $C$9, 100%, $E$9)</f>
        <v>6.5201000000000002</v>
      </c>
      <c r="M284" s="33">
        <f>6.5254 * CHOOSE(CONTROL!$C$32, $C$9, 100%, $E$9)</f>
        <v>6.5254000000000003</v>
      </c>
      <c r="N284" s="33">
        <f>6.5201 * CHOOSE(CONTROL!$C$32, $C$9, 100%, $E$9)</f>
        <v>6.5201000000000002</v>
      </c>
      <c r="O284" s="33">
        <f>6.5254 * CHOOSE(CONTROL!$C$32, $C$9, 100%, $E$9)</f>
        <v>6.5254000000000003</v>
      </c>
    </row>
    <row r="285" spans="1:15" ht="15" x14ac:dyDescent="0.2">
      <c r="A285" s="16">
        <v>49888</v>
      </c>
      <c r="B285" s="32">
        <f>4.8962 * CHOOSE(CONTROL!$C$32, $C$9, 100%, $E$9)</f>
        <v>4.8962000000000003</v>
      </c>
      <c r="C285" s="32">
        <f>4.8962 * CHOOSE(CONTROL!$C$32, $C$9, 100%, $E$9)</f>
        <v>4.8962000000000003</v>
      </c>
      <c r="D285" s="32">
        <f>4.8978 * CHOOSE(CONTROL!$C$32, $C$9, 100%, $E$9)</f>
        <v>4.8978000000000002</v>
      </c>
      <c r="E285" s="33">
        <f>6.4284 * CHOOSE(CONTROL!$C$32, $C$9, 100%, $E$9)</f>
        <v>6.4283999999999999</v>
      </c>
      <c r="F285" s="33">
        <f>6.4284 * CHOOSE(CONTROL!$C$32, $C$9, 100%, $E$9)</f>
        <v>6.4283999999999999</v>
      </c>
      <c r="G285" s="33">
        <f>6.4336 * CHOOSE(CONTROL!$C$32, $C$9, 100%, $E$9)</f>
        <v>6.4336000000000002</v>
      </c>
      <c r="H285" s="33">
        <f>10.2246 * CHOOSE(CONTROL!$C$32, $C$9, 100%, $E$9)</f>
        <v>10.224600000000001</v>
      </c>
      <c r="I285" s="33">
        <f>10.2299 * CHOOSE(CONTROL!$C$32, $C$9, 100%, $E$9)</f>
        <v>10.229900000000001</v>
      </c>
      <c r="J285" s="33">
        <f>10.2246 * CHOOSE(CONTROL!$C$32, $C$9, 100%, $E$9)</f>
        <v>10.224600000000001</v>
      </c>
      <c r="K285" s="33">
        <f>10.2299 * CHOOSE(CONTROL!$C$32, $C$9, 100%, $E$9)</f>
        <v>10.229900000000001</v>
      </c>
      <c r="L285" s="33">
        <f>6.4284 * CHOOSE(CONTROL!$C$32, $C$9, 100%, $E$9)</f>
        <v>6.4283999999999999</v>
      </c>
      <c r="M285" s="33">
        <f>6.4336 * CHOOSE(CONTROL!$C$32, $C$9, 100%, $E$9)</f>
        <v>6.4336000000000002</v>
      </c>
      <c r="N285" s="33">
        <f>6.4284 * CHOOSE(CONTROL!$C$32, $C$9, 100%, $E$9)</f>
        <v>6.4283999999999999</v>
      </c>
      <c r="O285" s="33">
        <f>6.4336 * CHOOSE(CONTROL!$C$32, $C$9, 100%, $E$9)</f>
        <v>6.4336000000000002</v>
      </c>
    </row>
    <row r="286" spans="1:15" ht="15" x14ac:dyDescent="0.2">
      <c r="A286" s="16">
        <v>49919</v>
      </c>
      <c r="B286" s="32">
        <f>4.8932 * CHOOSE(CONTROL!$C$32, $C$9, 100%, $E$9)</f>
        <v>4.8932000000000002</v>
      </c>
      <c r="C286" s="32">
        <f>4.8932 * CHOOSE(CONTROL!$C$32, $C$9, 100%, $E$9)</f>
        <v>4.8932000000000002</v>
      </c>
      <c r="D286" s="32">
        <f>4.8948 * CHOOSE(CONTROL!$C$32, $C$9, 100%, $E$9)</f>
        <v>4.8948</v>
      </c>
      <c r="E286" s="33">
        <f>6.4155 * CHOOSE(CONTROL!$C$32, $C$9, 100%, $E$9)</f>
        <v>6.4154999999999998</v>
      </c>
      <c r="F286" s="33">
        <f>6.4155 * CHOOSE(CONTROL!$C$32, $C$9, 100%, $E$9)</f>
        <v>6.4154999999999998</v>
      </c>
      <c r="G286" s="33">
        <f>6.4208 * CHOOSE(CONTROL!$C$32, $C$9, 100%, $E$9)</f>
        <v>6.4207999999999998</v>
      </c>
      <c r="H286" s="33">
        <f>10.2459 * CHOOSE(CONTROL!$C$32, $C$9, 100%, $E$9)</f>
        <v>10.245900000000001</v>
      </c>
      <c r="I286" s="33">
        <f>10.2512 * CHOOSE(CONTROL!$C$32, $C$9, 100%, $E$9)</f>
        <v>10.251200000000001</v>
      </c>
      <c r="J286" s="33">
        <f>10.2459 * CHOOSE(CONTROL!$C$32, $C$9, 100%, $E$9)</f>
        <v>10.245900000000001</v>
      </c>
      <c r="K286" s="33">
        <f>10.2512 * CHOOSE(CONTROL!$C$32, $C$9, 100%, $E$9)</f>
        <v>10.251200000000001</v>
      </c>
      <c r="L286" s="33">
        <f>6.4155 * CHOOSE(CONTROL!$C$32, $C$9, 100%, $E$9)</f>
        <v>6.4154999999999998</v>
      </c>
      <c r="M286" s="33">
        <f>6.4208 * CHOOSE(CONTROL!$C$32, $C$9, 100%, $E$9)</f>
        <v>6.4207999999999998</v>
      </c>
      <c r="N286" s="33">
        <f>6.4155 * CHOOSE(CONTROL!$C$32, $C$9, 100%, $E$9)</f>
        <v>6.4154999999999998</v>
      </c>
      <c r="O286" s="33">
        <f>6.4208 * CHOOSE(CONTROL!$C$32, $C$9, 100%, $E$9)</f>
        <v>6.4207999999999998</v>
      </c>
    </row>
    <row r="287" spans="1:15" ht="15" x14ac:dyDescent="0.2">
      <c r="A287" s="16">
        <v>49949</v>
      </c>
      <c r="B287" s="32">
        <f>4.8916 * CHOOSE(CONTROL!$C$32, $C$9, 100%, $E$9)</f>
        <v>4.8916000000000004</v>
      </c>
      <c r="C287" s="32">
        <f>4.8916 * CHOOSE(CONTROL!$C$32, $C$9, 100%, $E$9)</f>
        <v>4.8916000000000004</v>
      </c>
      <c r="D287" s="32">
        <f>4.8927 * CHOOSE(CONTROL!$C$32, $C$9, 100%, $E$9)</f>
        <v>4.8926999999999996</v>
      </c>
      <c r="E287" s="33">
        <f>6.4449 * CHOOSE(CONTROL!$C$32, $C$9, 100%, $E$9)</f>
        <v>6.4448999999999996</v>
      </c>
      <c r="F287" s="33">
        <f>6.4449 * CHOOSE(CONTROL!$C$32, $C$9, 100%, $E$9)</f>
        <v>6.4448999999999996</v>
      </c>
      <c r="G287" s="33">
        <f>6.4486 * CHOOSE(CONTROL!$C$32, $C$9, 100%, $E$9)</f>
        <v>6.4485999999999999</v>
      </c>
      <c r="H287" s="33">
        <f>10.2672 * CHOOSE(CONTROL!$C$32, $C$9, 100%, $E$9)</f>
        <v>10.267200000000001</v>
      </c>
      <c r="I287" s="33">
        <f>10.2709 * CHOOSE(CONTROL!$C$32, $C$9, 100%, $E$9)</f>
        <v>10.270899999999999</v>
      </c>
      <c r="J287" s="33">
        <f>10.2672 * CHOOSE(CONTROL!$C$32, $C$9, 100%, $E$9)</f>
        <v>10.267200000000001</v>
      </c>
      <c r="K287" s="33">
        <f>10.2709 * CHOOSE(CONTROL!$C$32, $C$9, 100%, $E$9)</f>
        <v>10.270899999999999</v>
      </c>
      <c r="L287" s="33">
        <f>6.4449 * CHOOSE(CONTROL!$C$32, $C$9, 100%, $E$9)</f>
        <v>6.4448999999999996</v>
      </c>
      <c r="M287" s="33">
        <f>6.4486 * CHOOSE(CONTROL!$C$32, $C$9, 100%, $E$9)</f>
        <v>6.4485999999999999</v>
      </c>
      <c r="N287" s="33">
        <f>6.4449 * CHOOSE(CONTROL!$C$32, $C$9, 100%, $E$9)</f>
        <v>6.4448999999999996</v>
      </c>
      <c r="O287" s="33">
        <f>6.4486 * CHOOSE(CONTROL!$C$32, $C$9, 100%, $E$9)</f>
        <v>6.4485999999999999</v>
      </c>
    </row>
    <row r="288" spans="1:15" ht="15" x14ac:dyDescent="0.2">
      <c r="A288" s="16">
        <v>49980</v>
      </c>
      <c r="B288" s="32">
        <f>4.8946 * CHOOSE(CONTROL!$C$32, $C$9, 100%, $E$9)</f>
        <v>4.8945999999999996</v>
      </c>
      <c r="C288" s="32">
        <f>4.8946 * CHOOSE(CONTROL!$C$32, $C$9, 100%, $E$9)</f>
        <v>4.8945999999999996</v>
      </c>
      <c r="D288" s="32">
        <f>4.8957 * CHOOSE(CONTROL!$C$32, $C$9, 100%, $E$9)</f>
        <v>4.8956999999999997</v>
      </c>
      <c r="E288" s="33">
        <f>6.4685 * CHOOSE(CONTROL!$C$32, $C$9, 100%, $E$9)</f>
        <v>6.4684999999999997</v>
      </c>
      <c r="F288" s="33">
        <f>6.4685 * CHOOSE(CONTROL!$C$32, $C$9, 100%, $E$9)</f>
        <v>6.4684999999999997</v>
      </c>
      <c r="G288" s="33">
        <f>6.4721 * CHOOSE(CONTROL!$C$32, $C$9, 100%, $E$9)</f>
        <v>6.4721000000000002</v>
      </c>
      <c r="H288" s="33">
        <f>10.2886 * CHOOSE(CONTROL!$C$32, $C$9, 100%, $E$9)</f>
        <v>10.288600000000001</v>
      </c>
      <c r="I288" s="33">
        <f>10.2923 * CHOOSE(CONTROL!$C$32, $C$9, 100%, $E$9)</f>
        <v>10.292299999999999</v>
      </c>
      <c r="J288" s="33">
        <f>10.2886 * CHOOSE(CONTROL!$C$32, $C$9, 100%, $E$9)</f>
        <v>10.288600000000001</v>
      </c>
      <c r="K288" s="33">
        <f>10.2923 * CHOOSE(CONTROL!$C$32, $C$9, 100%, $E$9)</f>
        <v>10.292299999999999</v>
      </c>
      <c r="L288" s="33">
        <f>6.4685 * CHOOSE(CONTROL!$C$32, $C$9, 100%, $E$9)</f>
        <v>6.4684999999999997</v>
      </c>
      <c r="M288" s="33">
        <f>6.4721 * CHOOSE(CONTROL!$C$32, $C$9, 100%, $E$9)</f>
        <v>6.4721000000000002</v>
      </c>
      <c r="N288" s="33">
        <f>6.4685 * CHOOSE(CONTROL!$C$32, $C$9, 100%, $E$9)</f>
        <v>6.4684999999999997</v>
      </c>
      <c r="O288" s="33">
        <f>6.4721 * CHOOSE(CONTROL!$C$32, $C$9, 100%, $E$9)</f>
        <v>6.4721000000000002</v>
      </c>
    </row>
    <row r="289" spans="1:15" ht="15" x14ac:dyDescent="0.2">
      <c r="A289" s="16">
        <v>50010</v>
      </c>
      <c r="B289" s="32">
        <f>4.8946 * CHOOSE(CONTROL!$C$32, $C$9, 100%, $E$9)</f>
        <v>4.8945999999999996</v>
      </c>
      <c r="C289" s="32">
        <f>4.8946 * CHOOSE(CONTROL!$C$32, $C$9, 100%, $E$9)</f>
        <v>4.8945999999999996</v>
      </c>
      <c r="D289" s="32">
        <f>4.8957 * CHOOSE(CONTROL!$C$32, $C$9, 100%, $E$9)</f>
        <v>4.8956999999999997</v>
      </c>
      <c r="E289" s="33">
        <f>6.4149 * CHOOSE(CONTROL!$C$32, $C$9, 100%, $E$9)</f>
        <v>6.4149000000000003</v>
      </c>
      <c r="F289" s="33">
        <f>6.4149 * CHOOSE(CONTROL!$C$32, $C$9, 100%, $E$9)</f>
        <v>6.4149000000000003</v>
      </c>
      <c r="G289" s="33">
        <f>6.4185 * CHOOSE(CONTROL!$C$32, $C$9, 100%, $E$9)</f>
        <v>6.4184999999999999</v>
      </c>
      <c r="H289" s="33">
        <f>10.3101 * CHOOSE(CONTROL!$C$32, $C$9, 100%, $E$9)</f>
        <v>10.3101</v>
      </c>
      <c r="I289" s="33">
        <f>10.3137 * CHOOSE(CONTROL!$C$32, $C$9, 100%, $E$9)</f>
        <v>10.313700000000001</v>
      </c>
      <c r="J289" s="33">
        <f>10.3101 * CHOOSE(CONTROL!$C$32, $C$9, 100%, $E$9)</f>
        <v>10.3101</v>
      </c>
      <c r="K289" s="33">
        <f>10.3137 * CHOOSE(CONTROL!$C$32, $C$9, 100%, $E$9)</f>
        <v>10.313700000000001</v>
      </c>
      <c r="L289" s="33">
        <f>6.4149 * CHOOSE(CONTROL!$C$32, $C$9, 100%, $E$9)</f>
        <v>6.4149000000000003</v>
      </c>
      <c r="M289" s="33">
        <f>6.4185 * CHOOSE(CONTROL!$C$32, $C$9, 100%, $E$9)</f>
        <v>6.4184999999999999</v>
      </c>
      <c r="N289" s="33">
        <f>6.4149 * CHOOSE(CONTROL!$C$32, $C$9, 100%, $E$9)</f>
        <v>6.4149000000000003</v>
      </c>
      <c r="O289" s="33">
        <f>6.4185 * CHOOSE(CONTROL!$C$32, $C$9, 100%, $E$9)</f>
        <v>6.4184999999999999</v>
      </c>
    </row>
    <row r="290" spans="1:15" ht="15" x14ac:dyDescent="0.2">
      <c r="A290" s="16">
        <v>50041</v>
      </c>
      <c r="B290" s="32">
        <f>4.9322 * CHOOSE(CONTROL!$C$32, $C$9, 100%, $E$9)</f>
        <v>4.9321999999999999</v>
      </c>
      <c r="C290" s="32">
        <f>4.9322 * CHOOSE(CONTROL!$C$32, $C$9, 100%, $E$9)</f>
        <v>4.9321999999999999</v>
      </c>
      <c r="D290" s="32">
        <f>4.9333 * CHOOSE(CONTROL!$C$32, $C$9, 100%, $E$9)</f>
        <v>4.9333</v>
      </c>
      <c r="E290" s="33">
        <f>6.4909 * CHOOSE(CONTROL!$C$32, $C$9, 100%, $E$9)</f>
        <v>6.4908999999999999</v>
      </c>
      <c r="F290" s="33">
        <f>6.4909 * CHOOSE(CONTROL!$C$32, $C$9, 100%, $E$9)</f>
        <v>6.4908999999999999</v>
      </c>
      <c r="G290" s="33">
        <f>6.4945 * CHOOSE(CONTROL!$C$32, $C$9, 100%, $E$9)</f>
        <v>6.4945000000000004</v>
      </c>
      <c r="H290" s="33">
        <f>10.3316 * CHOOSE(CONTROL!$C$32, $C$9, 100%, $E$9)</f>
        <v>10.3316</v>
      </c>
      <c r="I290" s="33">
        <f>10.3352 * CHOOSE(CONTROL!$C$32, $C$9, 100%, $E$9)</f>
        <v>10.3352</v>
      </c>
      <c r="J290" s="33">
        <f>10.3316 * CHOOSE(CONTROL!$C$32, $C$9, 100%, $E$9)</f>
        <v>10.3316</v>
      </c>
      <c r="K290" s="33">
        <f>10.3352 * CHOOSE(CONTROL!$C$32, $C$9, 100%, $E$9)</f>
        <v>10.3352</v>
      </c>
      <c r="L290" s="33">
        <f>6.4909 * CHOOSE(CONTROL!$C$32, $C$9, 100%, $E$9)</f>
        <v>6.4908999999999999</v>
      </c>
      <c r="M290" s="33">
        <f>6.4945 * CHOOSE(CONTROL!$C$32, $C$9, 100%, $E$9)</f>
        <v>6.4945000000000004</v>
      </c>
      <c r="N290" s="33">
        <f>6.4909 * CHOOSE(CONTROL!$C$32, $C$9, 100%, $E$9)</f>
        <v>6.4908999999999999</v>
      </c>
      <c r="O290" s="33">
        <f>6.4945 * CHOOSE(CONTROL!$C$32, $C$9, 100%, $E$9)</f>
        <v>6.4945000000000004</v>
      </c>
    </row>
    <row r="291" spans="1:15" ht="15" x14ac:dyDescent="0.2">
      <c r="A291" s="16">
        <v>50072</v>
      </c>
      <c r="B291" s="32">
        <f>4.9291 * CHOOSE(CONTROL!$C$32, $C$9, 100%, $E$9)</f>
        <v>4.9291</v>
      </c>
      <c r="C291" s="32">
        <f>4.9291 * CHOOSE(CONTROL!$C$32, $C$9, 100%, $E$9)</f>
        <v>4.9291</v>
      </c>
      <c r="D291" s="32">
        <f>4.9302 * CHOOSE(CONTROL!$C$32, $C$9, 100%, $E$9)</f>
        <v>4.9302000000000001</v>
      </c>
      <c r="E291" s="33">
        <f>6.3843 * CHOOSE(CONTROL!$C$32, $C$9, 100%, $E$9)</f>
        <v>6.3842999999999996</v>
      </c>
      <c r="F291" s="33">
        <f>6.3843 * CHOOSE(CONTROL!$C$32, $C$9, 100%, $E$9)</f>
        <v>6.3842999999999996</v>
      </c>
      <c r="G291" s="33">
        <f>6.3879 * CHOOSE(CONTROL!$C$32, $C$9, 100%, $E$9)</f>
        <v>6.3879000000000001</v>
      </c>
      <c r="H291" s="33">
        <f>10.3531 * CHOOSE(CONTROL!$C$32, $C$9, 100%, $E$9)</f>
        <v>10.3531</v>
      </c>
      <c r="I291" s="33">
        <f>10.3567 * CHOOSE(CONTROL!$C$32, $C$9, 100%, $E$9)</f>
        <v>10.3567</v>
      </c>
      <c r="J291" s="33">
        <f>10.3531 * CHOOSE(CONTROL!$C$32, $C$9, 100%, $E$9)</f>
        <v>10.3531</v>
      </c>
      <c r="K291" s="33">
        <f>10.3567 * CHOOSE(CONTROL!$C$32, $C$9, 100%, $E$9)</f>
        <v>10.3567</v>
      </c>
      <c r="L291" s="33">
        <f>6.3843 * CHOOSE(CONTROL!$C$32, $C$9, 100%, $E$9)</f>
        <v>6.3842999999999996</v>
      </c>
      <c r="M291" s="33">
        <f>6.3879 * CHOOSE(CONTROL!$C$32, $C$9, 100%, $E$9)</f>
        <v>6.3879000000000001</v>
      </c>
      <c r="N291" s="33">
        <f>6.3843 * CHOOSE(CONTROL!$C$32, $C$9, 100%, $E$9)</f>
        <v>6.3842999999999996</v>
      </c>
      <c r="O291" s="33">
        <f>6.3879 * CHOOSE(CONTROL!$C$32, $C$9, 100%, $E$9)</f>
        <v>6.3879000000000001</v>
      </c>
    </row>
    <row r="292" spans="1:15" ht="15" x14ac:dyDescent="0.2">
      <c r="A292" s="16">
        <v>50100</v>
      </c>
      <c r="B292" s="32">
        <f>4.9261 * CHOOSE(CONTROL!$C$32, $C$9, 100%, $E$9)</f>
        <v>4.9260999999999999</v>
      </c>
      <c r="C292" s="32">
        <f>4.9261 * CHOOSE(CONTROL!$C$32, $C$9, 100%, $E$9)</f>
        <v>4.9260999999999999</v>
      </c>
      <c r="D292" s="32">
        <f>4.9272 * CHOOSE(CONTROL!$C$32, $C$9, 100%, $E$9)</f>
        <v>4.9272</v>
      </c>
      <c r="E292" s="33">
        <f>6.4645 * CHOOSE(CONTROL!$C$32, $C$9, 100%, $E$9)</f>
        <v>6.4645000000000001</v>
      </c>
      <c r="F292" s="33">
        <f>6.4645 * CHOOSE(CONTROL!$C$32, $C$9, 100%, $E$9)</f>
        <v>6.4645000000000001</v>
      </c>
      <c r="G292" s="33">
        <f>6.4681 * CHOOSE(CONTROL!$C$32, $C$9, 100%, $E$9)</f>
        <v>6.4680999999999997</v>
      </c>
      <c r="H292" s="33">
        <f>10.3746 * CHOOSE(CONTROL!$C$32, $C$9, 100%, $E$9)</f>
        <v>10.374599999999999</v>
      </c>
      <c r="I292" s="33">
        <f>10.3783 * CHOOSE(CONTROL!$C$32, $C$9, 100%, $E$9)</f>
        <v>10.378299999999999</v>
      </c>
      <c r="J292" s="33">
        <f>10.3746 * CHOOSE(CONTROL!$C$32, $C$9, 100%, $E$9)</f>
        <v>10.374599999999999</v>
      </c>
      <c r="K292" s="33">
        <f>10.3783 * CHOOSE(CONTROL!$C$32, $C$9, 100%, $E$9)</f>
        <v>10.378299999999999</v>
      </c>
      <c r="L292" s="33">
        <f>6.4645 * CHOOSE(CONTROL!$C$32, $C$9, 100%, $E$9)</f>
        <v>6.4645000000000001</v>
      </c>
      <c r="M292" s="33">
        <f>6.4681 * CHOOSE(CONTROL!$C$32, $C$9, 100%, $E$9)</f>
        <v>6.4680999999999997</v>
      </c>
      <c r="N292" s="33">
        <f>6.4645 * CHOOSE(CONTROL!$C$32, $C$9, 100%, $E$9)</f>
        <v>6.4645000000000001</v>
      </c>
      <c r="O292" s="33">
        <f>6.4681 * CHOOSE(CONTROL!$C$32, $C$9, 100%, $E$9)</f>
        <v>6.4680999999999997</v>
      </c>
    </row>
    <row r="293" spans="1:15" ht="15" x14ac:dyDescent="0.2">
      <c r="A293" s="16">
        <v>50131</v>
      </c>
      <c r="B293" s="32">
        <f>4.9246 * CHOOSE(CONTROL!$C$32, $C$9, 100%, $E$9)</f>
        <v>4.9245999999999999</v>
      </c>
      <c r="C293" s="32">
        <f>4.9246 * CHOOSE(CONTROL!$C$32, $C$9, 100%, $E$9)</f>
        <v>4.9245999999999999</v>
      </c>
      <c r="D293" s="32">
        <f>4.9257 * CHOOSE(CONTROL!$C$32, $C$9, 100%, $E$9)</f>
        <v>4.9257</v>
      </c>
      <c r="E293" s="33">
        <f>6.5488 * CHOOSE(CONTROL!$C$32, $C$9, 100%, $E$9)</f>
        <v>6.5488</v>
      </c>
      <c r="F293" s="33">
        <f>6.5488 * CHOOSE(CONTROL!$C$32, $C$9, 100%, $E$9)</f>
        <v>6.5488</v>
      </c>
      <c r="G293" s="33">
        <f>6.5524 * CHOOSE(CONTROL!$C$32, $C$9, 100%, $E$9)</f>
        <v>6.5523999999999996</v>
      </c>
      <c r="H293" s="33">
        <f>10.3963 * CHOOSE(CONTROL!$C$32, $C$9, 100%, $E$9)</f>
        <v>10.3963</v>
      </c>
      <c r="I293" s="33">
        <f>10.3999 * CHOOSE(CONTROL!$C$32, $C$9, 100%, $E$9)</f>
        <v>10.399900000000001</v>
      </c>
      <c r="J293" s="33">
        <f>10.3963 * CHOOSE(CONTROL!$C$32, $C$9, 100%, $E$9)</f>
        <v>10.3963</v>
      </c>
      <c r="K293" s="33">
        <f>10.3999 * CHOOSE(CONTROL!$C$32, $C$9, 100%, $E$9)</f>
        <v>10.399900000000001</v>
      </c>
      <c r="L293" s="33">
        <f>6.5488 * CHOOSE(CONTROL!$C$32, $C$9, 100%, $E$9)</f>
        <v>6.5488</v>
      </c>
      <c r="M293" s="33">
        <f>6.5524 * CHOOSE(CONTROL!$C$32, $C$9, 100%, $E$9)</f>
        <v>6.5523999999999996</v>
      </c>
      <c r="N293" s="33">
        <f>6.5488 * CHOOSE(CONTROL!$C$32, $C$9, 100%, $E$9)</f>
        <v>6.5488</v>
      </c>
      <c r="O293" s="33">
        <f>6.5524 * CHOOSE(CONTROL!$C$32, $C$9, 100%, $E$9)</f>
        <v>6.5523999999999996</v>
      </c>
    </row>
    <row r="294" spans="1:15" ht="15" x14ac:dyDescent="0.2">
      <c r="A294" s="16">
        <v>50161</v>
      </c>
      <c r="B294" s="32">
        <f>4.9246 * CHOOSE(CONTROL!$C$32, $C$9, 100%, $E$9)</f>
        <v>4.9245999999999999</v>
      </c>
      <c r="C294" s="32">
        <f>4.9246 * CHOOSE(CONTROL!$C$32, $C$9, 100%, $E$9)</f>
        <v>4.9245999999999999</v>
      </c>
      <c r="D294" s="32">
        <f>4.9262 * CHOOSE(CONTROL!$C$32, $C$9, 100%, $E$9)</f>
        <v>4.9261999999999997</v>
      </c>
      <c r="E294" s="33">
        <f>6.5819 * CHOOSE(CONTROL!$C$32, $C$9, 100%, $E$9)</f>
        <v>6.5819000000000001</v>
      </c>
      <c r="F294" s="33">
        <f>6.5819 * CHOOSE(CONTROL!$C$32, $C$9, 100%, $E$9)</f>
        <v>6.5819000000000001</v>
      </c>
      <c r="G294" s="33">
        <f>6.5872 * CHOOSE(CONTROL!$C$32, $C$9, 100%, $E$9)</f>
        <v>6.5872000000000002</v>
      </c>
      <c r="H294" s="33">
        <f>10.4179 * CHOOSE(CONTROL!$C$32, $C$9, 100%, $E$9)</f>
        <v>10.417899999999999</v>
      </c>
      <c r="I294" s="33">
        <f>10.4232 * CHOOSE(CONTROL!$C$32, $C$9, 100%, $E$9)</f>
        <v>10.4232</v>
      </c>
      <c r="J294" s="33">
        <f>10.4179 * CHOOSE(CONTROL!$C$32, $C$9, 100%, $E$9)</f>
        <v>10.417899999999999</v>
      </c>
      <c r="K294" s="33">
        <f>10.4232 * CHOOSE(CONTROL!$C$32, $C$9, 100%, $E$9)</f>
        <v>10.4232</v>
      </c>
      <c r="L294" s="33">
        <f>6.5819 * CHOOSE(CONTROL!$C$32, $C$9, 100%, $E$9)</f>
        <v>6.5819000000000001</v>
      </c>
      <c r="M294" s="33">
        <f>6.5872 * CHOOSE(CONTROL!$C$32, $C$9, 100%, $E$9)</f>
        <v>6.5872000000000002</v>
      </c>
      <c r="N294" s="33">
        <f>6.5819 * CHOOSE(CONTROL!$C$32, $C$9, 100%, $E$9)</f>
        <v>6.5819000000000001</v>
      </c>
      <c r="O294" s="33">
        <f>6.5872 * CHOOSE(CONTROL!$C$32, $C$9, 100%, $E$9)</f>
        <v>6.5872000000000002</v>
      </c>
    </row>
    <row r="295" spans="1:15" ht="15" x14ac:dyDescent="0.2">
      <c r="A295" s="16">
        <v>50192</v>
      </c>
      <c r="B295" s="32">
        <f>4.9307 * CHOOSE(CONTROL!$C$32, $C$9, 100%, $E$9)</f>
        <v>4.9306999999999999</v>
      </c>
      <c r="C295" s="32">
        <f>4.9307 * CHOOSE(CONTROL!$C$32, $C$9, 100%, $E$9)</f>
        <v>4.9306999999999999</v>
      </c>
      <c r="D295" s="32">
        <f>4.9323 * CHOOSE(CONTROL!$C$32, $C$9, 100%, $E$9)</f>
        <v>4.9322999999999997</v>
      </c>
      <c r="E295" s="33">
        <f>6.553 * CHOOSE(CONTROL!$C$32, $C$9, 100%, $E$9)</f>
        <v>6.5529999999999999</v>
      </c>
      <c r="F295" s="33">
        <f>6.553 * CHOOSE(CONTROL!$C$32, $C$9, 100%, $E$9)</f>
        <v>6.5529999999999999</v>
      </c>
      <c r="G295" s="33">
        <f>6.5583 * CHOOSE(CONTROL!$C$32, $C$9, 100%, $E$9)</f>
        <v>6.5583</v>
      </c>
      <c r="H295" s="33">
        <f>10.4396 * CHOOSE(CONTROL!$C$32, $C$9, 100%, $E$9)</f>
        <v>10.4396</v>
      </c>
      <c r="I295" s="33">
        <f>10.4449 * CHOOSE(CONTROL!$C$32, $C$9, 100%, $E$9)</f>
        <v>10.444900000000001</v>
      </c>
      <c r="J295" s="33">
        <f>10.4396 * CHOOSE(CONTROL!$C$32, $C$9, 100%, $E$9)</f>
        <v>10.4396</v>
      </c>
      <c r="K295" s="33">
        <f>10.4449 * CHOOSE(CONTROL!$C$32, $C$9, 100%, $E$9)</f>
        <v>10.444900000000001</v>
      </c>
      <c r="L295" s="33">
        <f>6.553 * CHOOSE(CONTROL!$C$32, $C$9, 100%, $E$9)</f>
        <v>6.5529999999999999</v>
      </c>
      <c r="M295" s="33">
        <f>6.5583 * CHOOSE(CONTROL!$C$32, $C$9, 100%, $E$9)</f>
        <v>6.5583</v>
      </c>
      <c r="N295" s="33">
        <f>6.553 * CHOOSE(CONTROL!$C$32, $C$9, 100%, $E$9)</f>
        <v>6.5529999999999999</v>
      </c>
      <c r="O295" s="33">
        <f>6.5583 * CHOOSE(CONTROL!$C$32, $C$9, 100%, $E$9)</f>
        <v>6.5583</v>
      </c>
    </row>
    <row r="296" spans="1:15" ht="15" x14ac:dyDescent="0.2">
      <c r="A296" s="16">
        <v>50222</v>
      </c>
      <c r="B296" s="32">
        <f>4.9977 * CHOOSE(CONTROL!$C$32, $C$9, 100%, $E$9)</f>
        <v>4.9977</v>
      </c>
      <c r="C296" s="32">
        <f>4.9977 * CHOOSE(CONTROL!$C$32, $C$9, 100%, $E$9)</f>
        <v>4.9977</v>
      </c>
      <c r="D296" s="32">
        <f>4.9993 * CHOOSE(CONTROL!$C$32, $C$9, 100%, $E$9)</f>
        <v>4.9992999999999999</v>
      </c>
      <c r="E296" s="33">
        <f>6.6146 * CHOOSE(CONTROL!$C$32, $C$9, 100%, $E$9)</f>
        <v>6.6146000000000003</v>
      </c>
      <c r="F296" s="33">
        <f>6.6146 * CHOOSE(CONTROL!$C$32, $C$9, 100%, $E$9)</f>
        <v>6.6146000000000003</v>
      </c>
      <c r="G296" s="33">
        <f>6.6199 * CHOOSE(CONTROL!$C$32, $C$9, 100%, $E$9)</f>
        <v>6.6199000000000003</v>
      </c>
      <c r="H296" s="33">
        <f>10.4614 * CHOOSE(CONTROL!$C$32, $C$9, 100%, $E$9)</f>
        <v>10.461399999999999</v>
      </c>
      <c r="I296" s="33">
        <f>10.4667 * CHOOSE(CONTROL!$C$32, $C$9, 100%, $E$9)</f>
        <v>10.466699999999999</v>
      </c>
      <c r="J296" s="33">
        <f>10.4614 * CHOOSE(CONTROL!$C$32, $C$9, 100%, $E$9)</f>
        <v>10.461399999999999</v>
      </c>
      <c r="K296" s="33">
        <f>10.4667 * CHOOSE(CONTROL!$C$32, $C$9, 100%, $E$9)</f>
        <v>10.466699999999999</v>
      </c>
      <c r="L296" s="33">
        <f>6.6146 * CHOOSE(CONTROL!$C$32, $C$9, 100%, $E$9)</f>
        <v>6.6146000000000003</v>
      </c>
      <c r="M296" s="33">
        <f>6.6199 * CHOOSE(CONTROL!$C$32, $C$9, 100%, $E$9)</f>
        <v>6.6199000000000003</v>
      </c>
      <c r="N296" s="33">
        <f>6.6146 * CHOOSE(CONTROL!$C$32, $C$9, 100%, $E$9)</f>
        <v>6.6146000000000003</v>
      </c>
      <c r="O296" s="33">
        <f>6.6199 * CHOOSE(CONTROL!$C$32, $C$9, 100%, $E$9)</f>
        <v>6.6199000000000003</v>
      </c>
    </row>
    <row r="297" spans="1:15" ht="15" x14ac:dyDescent="0.2">
      <c r="A297" s="16">
        <v>50253</v>
      </c>
      <c r="B297" s="32">
        <f>5.0044 * CHOOSE(CONTROL!$C$32, $C$9, 100%, $E$9)</f>
        <v>5.0044000000000004</v>
      </c>
      <c r="C297" s="32">
        <f>5.0044 * CHOOSE(CONTROL!$C$32, $C$9, 100%, $E$9)</f>
        <v>5.0044000000000004</v>
      </c>
      <c r="D297" s="32">
        <f>5.006 * CHOOSE(CONTROL!$C$32, $C$9, 100%, $E$9)</f>
        <v>5.0060000000000002</v>
      </c>
      <c r="E297" s="33">
        <f>6.5198 * CHOOSE(CONTROL!$C$32, $C$9, 100%, $E$9)</f>
        <v>6.5198</v>
      </c>
      <c r="F297" s="33">
        <f>6.5198 * CHOOSE(CONTROL!$C$32, $C$9, 100%, $E$9)</f>
        <v>6.5198</v>
      </c>
      <c r="G297" s="33">
        <f>6.525 * CHOOSE(CONTROL!$C$32, $C$9, 100%, $E$9)</f>
        <v>6.5250000000000004</v>
      </c>
      <c r="H297" s="33">
        <f>10.4832 * CHOOSE(CONTROL!$C$32, $C$9, 100%, $E$9)</f>
        <v>10.4832</v>
      </c>
      <c r="I297" s="33">
        <f>10.4885 * CHOOSE(CONTROL!$C$32, $C$9, 100%, $E$9)</f>
        <v>10.4885</v>
      </c>
      <c r="J297" s="33">
        <f>10.4832 * CHOOSE(CONTROL!$C$32, $C$9, 100%, $E$9)</f>
        <v>10.4832</v>
      </c>
      <c r="K297" s="33">
        <f>10.4885 * CHOOSE(CONTROL!$C$32, $C$9, 100%, $E$9)</f>
        <v>10.4885</v>
      </c>
      <c r="L297" s="33">
        <f>6.5198 * CHOOSE(CONTROL!$C$32, $C$9, 100%, $E$9)</f>
        <v>6.5198</v>
      </c>
      <c r="M297" s="33">
        <f>6.525 * CHOOSE(CONTROL!$C$32, $C$9, 100%, $E$9)</f>
        <v>6.5250000000000004</v>
      </c>
      <c r="N297" s="33">
        <f>6.5198 * CHOOSE(CONTROL!$C$32, $C$9, 100%, $E$9)</f>
        <v>6.5198</v>
      </c>
      <c r="O297" s="33">
        <f>6.525 * CHOOSE(CONTROL!$C$32, $C$9, 100%, $E$9)</f>
        <v>6.5250000000000004</v>
      </c>
    </row>
    <row r="298" spans="1:15" ht="15" x14ac:dyDescent="0.2">
      <c r="A298" s="16">
        <v>50284</v>
      </c>
      <c r="B298" s="32">
        <f>5.0014 * CHOOSE(CONTROL!$C$32, $C$9, 100%, $E$9)</f>
        <v>5.0014000000000003</v>
      </c>
      <c r="C298" s="32">
        <f>5.0014 * CHOOSE(CONTROL!$C$32, $C$9, 100%, $E$9)</f>
        <v>5.0014000000000003</v>
      </c>
      <c r="D298" s="32">
        <f>5.003 * CHOOSE(CONTROL!$C$32, $C$9, 100%, $E$9)</f>
        <v>5.0030000000000001</v>
      </c>
      <c r="E298" s="33">
        <f>6.5066 * CHOOSE(CONTROL!$C$32, $C$9, 100%, $E$9)</f>
        <v>6.5065999999999997</v>
      </c>
      <c r="F298" s="33">
        <f>6.5066 * CHOOSE(CONTROL!$C$32, $C$9, 100%, $E$9)</f>
        <v>6.5065999999999997</v>
      </c>
      <c r="G298" s="33">
        <f>6.5119 * CHOOSE(CONTROL!$C$32, $C$9, 100%, $E$9)</f>
        <v>6.5118999999999998</v>
      </c>
      <c r="H298" s="33">
        <f>10.505 * CHOOSE(CONTROL!$C$32, $C$9, 100%, $E$9)</f>
        <v>10.505000000000001</v>
      </c>
      <c r="I298" s="33">
        <f>10.5103 * CHOOSE(CONTROL!$C$32, $C$9, 100%, $E$9)</f>
        <v>10.510300000000001</v>
      </c>
      <c r="J298" s="33">
        <f>10.505 * CHOOSE(CONTROL!$C$32, $C$9, 100%, $E$9)</f>
        <v>10.505000000000001</v>
      </c>
      <c r="K298" s="33">
        <f>10.5103 * CHOOSE(CONTROL!$C$32, $C$9, 100%, $E$9)</f>
        <v>10.510300000000001</v>
      </c>
      <c r="L298" s="33">
        <f>6.5066 * CHOOSE(CONTROL!$C$32, $C$9, 100%, $E$9)</f>
        <v>6.5065999999999997</v>
      </c>
      <c r="M298" s="33">
        <f>6.5119 * CHOOSE(CONTROL!$C$32, $C$9, 100%, $E$9)</f>
        <v>6.5118999999999998</v>
      </c>
      <c r="N298" s="33">
        <f>6.5066 * CHOOSE(CONTROL!$C$32, $C$9, 100%, $E$9)</f>
        <v>6.5065999999999997</v>
      </c>
      <c r="O298" s="33">
        <f>6.5119 * CHOOSE(CONTROL!$C$32, $C$9, 100%, $E$9)</f>
        <v>6.5118999999999998</v>
      </c>
    </row>
    <row r="299" spans="1:15" ht="15" x14ac:dyDescent="0.2">
      <c r="A299" s="16">
        <v>50314</v>
      </c>
      <c r="B299" s="32">
        <f>5.0002 * CHOOSE(CONTROL!$C$32, $C$9, 100%, $E$9)</f>
        <v>5.0002000000000004</v>
      </c>
      <c r="C299" s="32">
        <f>5.0002 * CHOOSE(CONTROL!$C$32, $C$9, 100%, $E$9)</f>
        <v>5.0002000000000004</v>
      </c>
      <c r="D299" s="32">
        <f>5.0012 * CHOOSE(CONTROL!$C$32, $C$9, 100%, $E$9)</f>
        <v>5.0011999999999999</v>
      </c>
      <c r="E299" s="33">
        <f>6.5374 * CHOOSE(CONTROL!$C$32, $C$9, 100%, $E$9)</f>
        <v>6.5373999999999999</v>
      </c>
      <c r="F299" s="33">
        <f>6.5374 * CHOOSE(CONTROL!$C$32, $C$9, 100%, $E$9)</f>
        <v>6.5373999999999999</v>
      </c>
      <c r="G299" s="33">
        <f>6.541 * CHOOSE(CONTROL!$C$32, $C$9, 100%, $E$9)</f>
        <v>6.5410000000000004</v>
      </c>
      <c r="H299" s="33">
        <f>10.5269 * CHOOSE(CONTROL!$C$32, $C$9, 100%, $E$9)</f>
        <v>10.526899999999999</v>
      </c>
      <c r="I299" s="33">
        <f>10.5305 * CHOOSE(CONTROL!$C$32, $C$9, 100%, $E$9)</f>
        <v>10.5305</v>
      </c>
      <c r="J299" s="33">
        <f>10.5269 * CHOOSE(CONTROL!$C$32, $C$9, 100%, $E$9)</f>
        <v>10.526899999999999</v>
      </c>
      <c r="K299" s="33">
        <f>10.5305 * CHOOSE(CONTROL!$C$32, $C$9, 100%, $E$9)</f>
        <v>10.5305</v>
      </c>
      <c r="L299" s="33">
        <f>6.5374 * CHOOSE(CONTROL!$C$32, $C$9, 100%, $E$9)</f>
        <v>6.5373999999999999</v>
      </c>
      <c r="M299" s="33">
        <f>6.541 * CHOOSE(CONTROL!$C$32, $C$9, 100%, $E$9)</f>
        <v>6.5410000000000004</v>
      </c>
      <c r="N299" s="33">
        <f>6.5374 * CHOOSE(CONTROL!$C$32, $C$9, 100%, $E$9)</f>
        <v>6.5373999999999999</v>
      </c>
      <c r="O299" s="33">
        <f>6.541 * CHOOSE(CONTROL!$C$32, $C$9, 100%, $E$9)</f>
        <v>6.5410000000000004</v>
      </c>
    </row>
    <row r="300" spans="1:15" ht="15" x14ac:dyDescent="0.2">
      <c r="A300" s="16">
        <v>50345</v>
      </c>
      <c r="B300" s="32">
        <f>5.0032 * CHOOSE(CONTROL!$C$32, $C$9, 100%, $E$9)</f>
        <v>5.0031999999999996</v>
      </c>
      <c r="C300" s="32">
        <f>5.0032 * CHOOSE(CONTROL!$C$32, $C$9, 100%, $E$9)</f>
        <v>5.0031999999999996</v>
      </c>
      <c r="D300" s="32">
        <f>5.0043 * CHOOSE(CONTROL!$C$32, $C$9, 100%, $E$9)</f>
        <v>5.0042999999999997</v>
      </c>
      <c r="E300" s="33">
        <f>6.5616 * CHOOSE(CONTROL!$C$32, $C$9, 100%, $E$9)</f>
        <v>6.5616000000000003</v>
      </c>
      <c r="F300" s="33">
        <f>6.5616 * CHOOSE(CONTROL!$C$32, $C$9, 100%, $E$9)</f>
        <v>6.5616000000000003</v>
      </c>
      <c r="G300" s="33">
        <f>6.5652 * CHOOSE(CONTROL!$C$32, $C$9, 100%, $E$9)</f>
        <v>6.5651999999999999</v>
      </c>
      <c r="H300" s="33">
        <f>10.5488 * CHOOSE(CONTROL!$C$32, $C$9, 100%, $E$9)</f>
        <v>10.5488</v>
      </c>
      <c r="I300" s="33">
        <f>10.5524 * CHOOSE(CONTROL!$C$32, $C$9, 100%, $E$9)</f>
        <v>10.5524</v>
      </c>
      <c r="J300" s="33">
        <f>10.5488 * CHOOSE(CONTROL!$C$32, $C$9, 100%, $E$9)</f>
        <v>10.5488</v>
      </c>
      <c r="K300" s="33">
        <f>10.5524 * CHOOSE(CONTROL!$C$32, $C$9, 100%, $E$9)</f>
        <v>10.5524</v>
      </c>
      <c r="L300" s="33">
        <f>6.5616 * CHOOSE(CONTROL!$C$32, $C$9, 100%, $E$9)</f>
        <v>6.5616000000000003</v>
      </c>
      <c r="M300" s="33">
        <f>6.5652 * CHOOSE(CONTROL!$C$32, $C$9, 100%, $E$9)</f>
        <v>6.5651999999999999</v>
      </c>
      <c r="N300" s="33">
        <f>6.5616 * CHOOSE(CONTROL!$C$32, $C$9, 100%, $E$9)</f>
        <v>6.5616000000000003</v>
      </c>
      <c r="O300" s="33">
        <f>6.5652 * CHOOSE(CONTROL!$C$32, $C$9, 100%, $E$9)</f>
        <v>6.5651999999999999</v>
      </c>
    </row>
    <row r="301" spans="1:15" ht="15" x14ac:dyDescent="0.2">
      <c r="A301" s="16">
        <v>50375</v>
      </c>
      <c r="B301" s="32">
        <f>5.0032 * CHOOSE(CONTROL!$C$32, $C$9, 100%, $E$9)</f>
        <v>5.0031999999999996</v>
      </c>
      <c r="C301" s="32">
        <f>5.0032 * CHOOSE(CONTROL!$C$32, $C$9, 100%, $E$9)</f>
        <v>5.0031999999999996</v>
      </c>
      <c r="D301" s="32">
        <f>5.0043 * CHOOSE(CONTROL!$C$32, $C$9, 100%, $E$9)</f>
        <v>5.0042999999999997</v>
      </c>
      <c r="E301" s="33">
        <f>6.5063 * CHOOSE(CONTROL!$C$32, $C$9, 100%, $E$9)</f>
        <v>6.5063000000000004</v>
      </c>
      <c r="F301" s="33">
        <f>6.5063 * CHOOSE(CONTROL!$C$32, $C$9, 100%, $E$9)</f>
        <v>6.5063000000000004</v>
      </c>
      <c r="G301" s="33">
        <f>6.51 * CHOOSE(CONTROL!$C$32, $C$9, 100%, $E$9)</f>
        <v>6.51</v>
      </c>
      <c r="H301" s="33">
        <f>10.5708 * CHOOSE(CONTROL!$C$32, $C$9, 100%, $E$9)</f>
        <v>10.5708</v>
      </c>
      <c r="I301" s="33">
        <f>10.5744 * CHOOSE(CONTROL!$C$32, $C$9, 100%, $E$9)</f>
        <v>10.574400000000001</v>
      </c>
      <c r="J301" s="33">
        <f>10.5708 * CHOOSE(CONTROL!$C$32, $C$9, 100%, $E$9)</f>
        <v>10.5708</v>
      </c>
      <c r="K301" s="33">
        <f>10.5744 * CHOOSE(CONTROL!$C$32, $C$9, 100%, $E$9)</f>
        <v>10.574400000000001</v>
      </c>
      <c r="L301" s="33">
        <f>6.5063 * CHOOSE(CONTROL!$C$32, $C$9, 100%, $E$9)</f>
        <v>6.5063000000000004</v>
      </c>
      <c r="M301" s="33">
        <f>6.51 * CHOOSE(CONTROL!$C$32, $C$9, 100%, $E$9)</f>
        <v>6.51</v>
      </c>
      <c r="N301" s="33">
        <f>6.5063 * CHOOSE(CONTROL!$C$32, $C$9, 100%, $E$9)</f>
        <v>6.5063000000000004</v>
      </c>
      <c r="O301" s="33">
        <f>6.51 * CHOOSE(CONTROL!$C$32, $C$9, 100%, $E$9)</f>
        <v>6.51</v>
      </c>
    </row>
    <row r="302" spans="1:15" ht="15" x14ac:dyDescent="0.2">
      <c r="A302" s="16">
        <v>50406</v>
      </c>
      <c r="B302" s="32">
        <f>5.043 * CHOOSE(CONTROL!$C$32, $C$9, 100%, $E$9)</f>
        <v>5.0430000000000001</v>
      </c>
      <c r="C302" s="32">
        <f>5.043 * CHOOSE(CONTROL!$C$32, $C$9, 100%, $E$9)</f>
        <v>5.0430000000000001</v>
      </c>
      <c r="D302" s="32">
        <f>5.044 * CHOOSE(CONTROL!$C$32, $C$9, 100%, $E$9)</f>
        <v>5.0439999999999996</v>
      </c>
      <c r="E302" s="33">
        <f>6.5545 * CHOOSE(CONTROL!$C$32, $C$9, 100%, $E$9)</f>
        <v>6.5545</v>
      </c>
      <c r="F302" s="33">
        <f>6.5545 * CHOOSE(CONTROL!$C$32, $C$9, 100%, $E$9)</f>
        <v>6.5545</v>
      </c>
      <c r="G302" s="33">
        <f>6.5582 * CHOOSE(CONTROL!$C$32, $C$9, 100%, $E$9)</f>
        <v>6.5582000000000003</v>
      </c>
      <c r="H302" s="33">
        <f>10.5928 * CHOOSE(CONTROL!$C$32, $C$9, 100%, $E$9)</f>
        <v>10.5928</v>
      </c>
      <c r="I302" s="33">
        <f>10.5964 * CHOOSE(CONTROL!$C$32, $C$9, 100%, $E$9)</f>
        <v>10.596399999999999</v>
      </c>
      <c r="J302" s="33">
        <f>10.5928 * CHOOSE(CONTROL!$C$32, $C$9, 100%, $E$9)</f>
        <v>10.5928</v>
      </c>
      <c r="K302" s="33">
        <f>10.5964 * CHOOSE(CONTROL!$C$32, $C$9, 100%, $E$9)</f>
        <v>10.596399999999999</v>
      </c>
      <c r="L302" s="33">
        <f>6.5545 * CHOOSE(CONTROL!$C$32, $C$9, 100%, $E$9)</f>
        <v>6.5545</v>
      </c>
      <c r="M302" s="33">
        <f>6.5582 * CHOOSE(CONTROL!$C$32, $C$9, 100%, $E$9)</f>
        <v>6.5582000000000003</v>
      </c>
      <c r="N302" s="33">
        <f>6.5545 * CHOOSE(CONTROL!$C$32, $C$9, 100%, $E$9)</f>
        <v>6.5545</v>
      </c>
      <c r="O302" s="33">
        <f>6.5582 * CHOOSE(CONTROL!$C$32, $C$9, 100%, $E$9)</f>
        <v>6.5582000000000003</v>
      </c>
    </row>
    <row r="303" spans="1:15" ht="15" x14ac:dyDescent="0.2">
      <c r="A303" s="16">
        <v>50437</v>
      </c>
      <c r="B303" s="32">
        <f>5.0399 * CHOOSE(CONTROL!$C$32, $C$9, 100%, $E$9)</f>
        <v>5.0399000000000003</v>
      </c>
      <c r="C303" s="32">
        <f>5.0399 * CHOOSE(CONTROL!$C$32, $C$9, 100%, $E$9)</f>
        <v>5.0399000000000003</v>
      </c>
      <c r="D303" s="32">
        <f>5.041 * CHOOSE(CONTROL!$C$32, $C$9, 100%, $E$9)</f>
        <v>5.0410000000000004</v>
      </c>
      <c r="E303" s="33">
        <f>6.4445 * CHOOSE(CONTROL!$C$32, $C$9, 100%, $E$9)</f>
        <v>6.4444999999999997</v>
      </c>
      <c r="F303" s="33">
        <f>6.4445 * CHOOSE(CONTROL!$C$32, $C$9, 100%, $E$9)</f>
        <v>6.4444999999999997</v>
      </c>
      <c r="G303" s="33">
        <f>6.4481 * CHOOSE(CONTROL!$C$32, $C$9, 100%, $E$9)</f>
        <v>6.4481000000000002</v>
      </c>
      <c r="H303" s="33">
        <f>10.6149 * CHOOSE(CONTROL!$C$32, $C$9, 100%, $E$9)</f>
        <v>10.6149</v>
      </c>
      <c r="I303" s="33">
        <f>10.6185 * CHOOSE(CONTROL!$C$32, $C$9, 100%, $E$9)</f>
        <v>10.618499999999999</v>
      </c>
      <c r="J303" s="33">
        <f>10.6149 * CHOOSE(CONTROL!$C$32, $C$9, 100%, $E$9)</f>
        <v>10.6149</v>
      </c>
      <c r="K303" s="33">
        <f>10.6185 * CHOOSE(CONTROL!$C$32, $C$9, 100%, $E$9)</f>
        <v>10.618499999999999</v>
      </c>
      <c r="L303" s="33">
        <f>6.4445 * CHOOSE(CONTROL!$C$32, $C$9, 100%, $E$9)</f>
        <v>6.4444999999999997</v>
      </c>
      <c r="M303" s="33">
        <f>6.4481 * CHOOSE(CONTROL!$C$32, $C$9, 100%, $E$9)</f>
        <v>6.4481000000000002</v>
      </c>
      <c r="N303" s="33">
        <f>6.4445 * CHOOSE(CONTROL!$C$32, $C$9, 100%, $E$9)</f>
        <v>6.4444999999999997</v>
      </c>
      <c r="O303" s="33">
        <f>6.4481 * CHOOSE(CONTROL!$C$32, $C$9, 100%, $E$9)</f>
        <v>6.4481000000000002</v>
      </c>
    </row>
    <row r="304" spans="1:15" ht="15" x14ac:dyDescent="0.2">
      <c r="A304" s="16">
        <v>50465</v>
      </c>
      <c r="B304" s="32">
        <f>5.0369 * CHOOSE(CONTROL!$C$32, $C$9, 100%, $E$9)</f>
        <v>5.0369000000000002</v>
      </c>
      <c r="C304" s="32">
        <f>5.0369 * CHOOSE(CONTROL!$C$32, $C$9, 100%, $E$9)</f>
        <v>5.0369000000000002</v>
      </c>
      <c r="D304" s="32">
        <f>5.038 * CHOOSE(CONTROL!$C$32, $C$9, 100%, $E$9)</f>
        <v>5.0380000000000003</v>
      </c>
      <c r="E304" s="33">
        <f>6.5275 * CHOOSE(CONTROL!$C$32, $C$9, 100%, $E$9)</f>
        <v>6.5274999999999999</v>
      </c>
      <c r="F304" s="33">
        <f>6.5275 * CHOOSE(CONTROL!$C$32, $C$9, 100%, $E$9)</f>
        <v>6.5274999999999999</v>
      </c>
      <c r="G304" s="33">
        <f>6.5311 * CHOOSE(CONTROL!$C$32, $C$9, 100%, $E$9)</f>
        <v>6.5311000000000003</v>
      </c>
      <c r="H304" s="33">
        <f>10.637 * CHOOSE(CONTROL!$C$32, $C$9, 100%, $E$9)</f>
        <v>10.637</v>
      </c>
      <c r="I304" s="33">
        <f>10.6406 * CHOOSE(CONTROL!$C$32, $C$9, 100%, $E$9)</f>
        <v>10.640599999999999</v>
      </c>
      <c r="J304" s="33">
        <f>10.637 * CHOOSE(CONTROL!$C$32, $C$9, 100%, $E$9)</f>
        <v>10.637</v>
      </c>
      <c r="K304" s="33">
        <f>10.6406 * CHOOSE(CONTROL!$C$32, $C$9, 100%, $E$9)</f>
        <v>10.640599999999999</v>
      </c>
      <c r="L304" s="33">
        <f>6.5275 * CHOOSE(CONTROL!$C$32, $C$9, 100%, $E$9)</f>
        <v>6.5274999999999999</v>
      </c>
      <c r="M304" s="33">
        <f>6.5311 * CHOOSE(CONTROL!$C$32, $C$9, 100%, $E$9)</f>
        <v>6.5311000000000003</v>
      </c>
      <c r="N304" s="33">
        <f>6.5275 * CHOOSE(CONTROL!$C$32, $C$9, 100%, $E$9)</f>
        <v>6.5274999999999999</v>
      </c>
      <c r="O304" s="33">
        <f>6.5311 * CHOOSE(CONTROL!$C$32, $C$9, 100%, $E$9)</f>
        <v>6.5311000000000003</v>
      </c>
    </row>
    <row r="305" spans="1:15" ht="15" x14ac:dyDescent="0.2">
      <c r="A305" s="16">
        <v>50496</v>
      </c>
      <c r="B305" s="32">
        <f>5.0356 * CHOOSE(CONTROL!$C$32, $C$9, 100%, $E$9)</f>
        <v>5.0355999999999996</v>
      </c>
      <c r="C305" s="32">
        <f>5.0356 * CHOOSE(CONTROL!$C$32, $C$9, 100%, $E$9)</f>
        <v>5.0355999999999996</v>
      </c>
      <c r="D305" s="32">
        <f>5.0366 * CHOOSE(CONTROL!$C$32, $C$9, 100%, $E$9)</f>
        <v>5.0366</v>
      </c>
      <c r="E305" s="33">
        <f>6.6146 * CHOOSE(CONTROL!$C$32, $C$9, 100%, $E$9)</f>
        <v>6.6146000000000003</v>
      </c>
      <c r="F305" s="33">
        <f>6.6146 * CHOOSE(CONTROL!$C$32, $C$9, 100%, $E$9)</f>
        <v>6.6146000000000003</v>
      </c>
      <c r="G305" s="33">
        <f>6.6182 * CHOOSE(CONTROL!$C$32, $C$9, 100%, $E$9)</f>
        <v>6.6181999999999999</v>
      </c>
      <c r="H305" s="33">
        <f>10.6592 * CHOOSE(CONTROL!$C$32, $C$9, 100%, $E$9)</f>
        <v>10.6592</v>
      </c>
      <c r="I305" s="33">
        <f>10.6628 * CHOOSE(CONTROL!$C$32, $C$9, 100%, $E$9)</f>
        <v>10.662800000000001</v>
      </c>
      <c r="J305" s="33">
        <f>10.6592 * CHOOSE(CONTROL!$C$32, $C$9, 100%, $E$9)</f>
        <v>10.6592</v>
      </c>
      <c r="K305" s="33">
        <f>10.6628 * CHOOSE(CONTROL!$C$32, $C$9, 100%, $E$9)</f>
        <v>10.662800000000001</v>
      </c>
      <c r="L305" s="33">
        <f>6.6146 * CHOOSE(CONTROL!$C$32, $C$9, 100%, $E$9)</f>
        <v>6.6146000000000003</v>
      </c>
      <c r="M305" s="33">
        <f>6.6182 * CHOOSE(CONTROL!$C$32, $C$9, 100%, $E$9)</f>
        <v>6.6181999999999999</v>
      </c>
      <c r="N305" s="33">
        <f>6.6146 * CHOOSE(CONTROL!$C$32, $C$9, 100%, $E$9)</f>
        <v>6.6146000000000003</v>
      </c>
      <c r="O305" s="33">
        <f>6.6182 * CHOOSE(CONTROL!$C$32, $C$9, 100%, $E$9)</f>
        <v>6.6181999999999999</v>
      </c>
    </row>
    <row r="306" spans="1:15" ht="15" x14ac:dyDescent="0.2">
      <c r="A306" s="16">
        <v>50526</v>
      </c>
      <c r="B306" s="32">
        <f>5.0356 * CHOOSE(CONTROL!$C$32, $C$9, 100%, $E$9)</f>
        <v>5.0355999999999996</v>
      </c>
      <c r="C306" s="32">
        <f>5.0356 * CHOOSE(CONTROL!$C$32, $C$9, 100%, $E$9)</f>
        <v>5.0355999999999996</v>
      </c>
      <c r="D306" s="32">
        <f>5.0371 * CHOOSE(CONTROL!$C$32, $C$9, 100%, $E$9)</f>
        <v>5.0370999999999997</v>
      </c>
      <c r="E306" s="33">
        <f>6.6488 * CHOOSE(CONTROL!$C$32, $C$9, 100%, $E$9)</f>
        <v>6.6487999999999996</v>
      </c>
      <c r="F306" s="33">
        <f>6.6488 * CHOOSE(CONTROL!$C$32, $C$9, 100%, $E$9)</f>
        <v>6.6487999999999996</v>
      </c>
      <c r="G306" s="33">
        <f>6.6541 * CHOOSE(CONTROL!$C$32, $C$9, 100%, $E$9)</f>
        <v>6.6540999999999997</v>
      </c>
      <c r="H306" s="33">
        <f>10.6814 * CHOOSE(CONTROL!$C$32, $C$9, 100%, $E$9)</f>
        <v>10.6814</v>
      </c>
      <c r="I306" s="33">
        <f>10.6867 * CHOOSE(CONTROL!$C$32, $C$9, 100%, $E$9)</f>
        <v>10.6867</v>
      </c>
      <c r="J306" s="33">
        <f>10.6814 * CHOOSE(CONTROL!$C$32, $C$9, 100%, $E$9)</f>
        <v>10.6814</v>
      </c>
      <c r="K306" s="33">
        <f>10.6867 * CHOOSE(CONTROL!$C$32, $C$9, 100%, $E$9)</f>
        <v>10.6867</v>
      </c>
      <c r="L306" s="33">
        <f>6.6488 * CHOOSE(CONTROL!$C$32, $C$9, 100%, $E$9)</f>
        <v>6.6487999999999996</v>
      </c>
      <c r="M306" s="33">
        <f>6.6541 * CHOOSE(CONTROL!$C$32, $C$9, 100%, $E$9)</f>
        <v>6.6540999999999997</v>
      </c>
      <c r="N306" s="33">
        <f>6.6488 * CHOOSE(CONTROL!$C$32, $C$9, 100%, $E$9)</f>
        <v>6.6487999999999996</v>
      </c>
      <c r="O306" s="33">
        <f>6.6541 * CHOOSE(CONTROL!$C$32, $C$9, 100%, $E$9)</f>
        <v>6.6540999999999997</v>
      </c>
    </row>
    <row r="307" spans="1:15" ht="15" x14ac:dyDescent="0.2">
      <c r="A307" s="16">
        <v>50557</v>
      </c>
      <c r="B307" s="32">
        <f>5.0416 * CHOOSE(CONTROL!$C$32, $C$9, 100%, $E$9)</f>
        <v>5.0415999999999999</v>
      </c>
      <c r="C307" s="32">
        <f>5.0416 * CHOOSE(CONTROL!$C$32, $C$9, 100%, $E$9)</f>
        <v>5.0415999999999999</v>
      </c>
      <c r="D307" s="32">
        <f>5.0432 * CHOOSE(CONTROL!$C$32, $C$9, 100%, $E$9)</f>
        <v>5.0431999999999997</v>
      </c>
      <c r="E307" s="33">
        <f>6.6188 * CHOOSE(CONTROL!$C$32, $C$9, 100%, $E$9)</f>
        <v>6.6188000000000002</v>
      </c>
      <c r="F307" s="33">
        <f>6.6188 * CHOOSE(CONTROL!$C$32, $C$9, 100%, $E$9)</f>
        <v>6.6188000000000002</v>
      </c>
      <c r="G307" s="33">
        <f>6.6241 * CHOOSE(CONTROL!$C$32, $C$9, 100%, $E$9)</f>
        <v>6.6241000000000003</v>
      </c>
      <c r="H307" s="33">
        <f>10.7036 * CHOOSE(CONTROL!$C$32, $C$9, 100%, $E$9)</f>
        <v>10.7036</v>
      </c>
      <c r="I307" s="33">
        <f>10.7089 * CHOOSE(CONTROL!$C$32, $C$9, 100%, $E$9)</f>
        <v>10.7089</v>
      </c>
      <c r="J307" s="33">
        <f>10.7036 * CHOOSE(CONTROL!$C$32, $C$9, 100%, $E$9)</f>
        <v>10.7036</v>
      </c>
      <c r="K307" s="33">
        <f>10.7089 * CHOOSE(CONTROL!$C$32, $C$9, 100%, $E$9)</f>
        <v>10.7089</v>
      </c>
      <c r="L307" s="33">
        <f>6.6188 * CHOOSE(CONTROL!$C$32, $C$9, 100%, $E$9)</f>
        <v>6.6188000000000002</v>
      </c>
      <c r="M307" s="33">
        <f>6.6241 * CHOOSE(CONTROL!$C$32, $C$9, 100%, $E$9)</f>
        <v>6.6241000000000003</v>
      </c>
      <c r="N307" s="33">
        <f>6.6188 * CHOOSE(CONTROL!$C$32, $C$9, 100%, $E$9)</f>
        <v>6.6188000000000002</v>
      </c>
      <c r="O307" s="33">
        <f>6.6241 * CHOOSE(CONTROL!$C$32, $C$9, 100%, $E$9)</f>
        <v>6.6241000000000003</v>
      </c>
    </row>
    <row r="308" spans="1:15" ht="15" x14ac:dyDescent="0.2">
      <c r="A308" s="16">
        <v>50587</v>
      </c>
      <c r="B308" s="32">
        <f>5.1131 * CHOOSE(CONTROL!$C$32, $C$9, 100%, $E$9)</f>
        <v>5.1131000000000002</v>
      </c>
      <c r="C308" s="32">
        <f>5.1131 * CHOOSE(CONTROL!$C$32, $C$9, 100%, $E$9)</f>
        <v>5.1131000000000002</v>
      </c>
      <c r="D308" s="32">
        <f>5.1147 * CHOOSE(CONTROL!$C$32, $C$9, 100%, $E$9)</f>
        <v>5.1147</v>
      </c>
      <c r="E308" s="33">
        <f>6.6086 * CHOOSE(CONTROL!$C$32, $C$9, 100%, $E$9)</f>
        <v>6.6086</v>
      </c>
      <c r="F308" s="33">
        <f>6.6086 * CHOOSE(CONTROL!$C$32, $C$9, 100%, $E$9)</f>
        <v>6.6086</v>
      </c>
      <c r="G308" s="33">
        <f>6.6139 * CHOOSE(CONTROL!$C$32, $C$9, 100%, $E$9)</f>
        <v>6.6139000000000001</v>
      </c>
      <c r="H308" s="33">
        <f>10.7259 * CHOOSE(CONTROL!$C$32, $C$9, 100%, $E$9)</f>
        <v>10.725899999999999</v>
      </c>
      <c r="I308" s="33">
        <f>10.7312 * CHOOSE(CONTROL!$C$32, $C$9, 100%, $E$9)</f>
        <v>10.731199999999999</v>
      </c>
      <c r="J308" s="33">
        <f>10.7259 * CHOOSE(CONTROL!$C$32, $C$9, 100%, $E$9)</f>
        <v>10.725899999999999</v>
      </c>
      <c r="K308" s="33">
        <f>10.7312 * CHOOSE(CONTROL!$C$32, $C$9, 100%, $E$9)</f>
        <v>10.731199999999999</v>
      </c>
      <c r="L308" s="33">
        <f>6.6086 * CHOOSE(CONTROL!$C$32, $C$9, 100%, $E$9)</f>
        <v>6.6086</v>
      </c>
      <c r="M308" s="33">
        <f>6.6139 * CHOOSE(CONTROL!$C$32, $C$9, 100%, $E$9)</f>
        <v>6.6139000000000001</v>
      </c>
      <c r="N308" s="33">
        <f>6.6086 * CHOOSE(CONTROL!$C$32, $C$9, 100%, $E$9)</f>
        <v>6.6086</v>
      </c>
      <c r="O308" s="33">
        <f>6.6139 * CHOOSE(CONTROL!$C$32, $C$9, 100%, $E$9)</f>
        <v>6.6139000000000001</v>
      </c>
    </row>
    <row r="309" spans="1:15" ht="15" x14ac:dyDescent="0.2">
      <c r="A309" s="16">
        <v>50618</v>
      </c>
      <c r="B309" s="32">
        <f>5.1198 * CHOOSE(CONTROL!$C$32, $C$9, 100%, $E$9)</f>
        <v>5.1197999999999997</v>
      </c>
      <c r="C309" s="32">
        <f>5.1198 * CHOOSE(CONTROL!$C$32, $C$9, 100%, $E$9)</f>
        <v>5.1197999999999997</v>
      </c>
      <c r="D309" s="32">
        <f>5.1214 * CHOOSE(CONTROL!$C$32, $C$9, 100%, $E$9)</f>
        <v>5.1214000000000004</v>
      </c>
      <c r="E309" s="33">
        <f>6.5105 * CHOOSE(CONTROL!$C$32, $C$9, 100%, $E$9)</f>
        <v>6.5105000000000004</v>
      </c>
      <c r="F309" s="33">
        <f>6.5105 * CHOOSE(CONTROL!$C$32, $C$9, 100%, $E$9)</f>
        <v>6.5105000000000004</v>
      </c>
      <c r="G309" s="33">
        <f>6.5158 * CHOOSE(CONTROL!$C$32, $C$9, 100%, $E$9)</f>
        <v>6.5157999999999996</v>
      </c>
      <c r="H309" s="33">
        <f>10.7483 * CHOOSE(CONTROL!$C$32, $C$9, 100%, $E$9)</f>
        <v>10.7483</v>
      </c>
      <c r="I309" s="33">
        <f>10.7536 * CHOOSE(CONTROL!$C$32, $C$9, 100%, $E$9)</f>
        <v>10.7536</v>
      </c>
      <c r="J309" s="33">
        <f>10.7483 * CHOOSE(CONTROL!$C$32, $C$9, 100%, $E$9)</f>
        <v>10.7483</v>
      </c>
      <c r="K309" s="33">
        <f>10.7536 * CHOOSE(CONTROL!$C$32, $C$9, 100%, $E$9)</f>
        <v>10.7536</v>
      </c>
      <c r="L309" s="33">
        <f>6.5105 * CHOOSE(CONTROL!$C$32, $C$9, 100%, $E$9)</f>
        <v>6.5105000000000004</v>
      </c>
      <c r="M309" s="33">
        <f>6.5158 * CHOOSE(CONTROL!$C$32, $C$9, 100%, $E$9)</f>
        <v>6.5157999999999996</v>
      </c>
      <c r="N309" s="33">
        <f>6.5105 * CHOOSE(CONTROL!$C$32, $C$9, 100%, $E$9)</f>
        <v>6.5105000000000004</v>
      </c>
      <c r="O309" s="33">
        <f>6.5158 * CHOOSE(CONTROL!$C$32, $C$9, 100%, $E$9)</f>
        <v>6.5157999999999996</v>
      </c>
    </row>
    <row r="310" spans="1:15" ht="15" x14ac:dyDescent="0.2">
      <c r="A310" s="16">
        <v>50649</v>
      </c>
      <c r="B310" s="32">
        <f>5.1167 * CHOOSE(CONTROL!$C$32, $C$9, 100%, $E$9)</f>
        <v>5.1166999999999998</v>
      </c>
      <c r="C310" s="32">
        <f>5.1167 * CHOOSE(CONTROL!$C$32, $C$9, 100%, $E$9)</f>
        <v>5.1166999999999998</v>
      </c>
      <c r="D310" s="32">
        <f>5.1183 * CHOOSE(CONTROL!$C$32, $C$9, 100%, $E$9)</f>
        <v>5.1182999999999996</v>
      </c>
      <c r="E310" s="33">
        <f>6.4969 * CHOOSE(CONTROL!$C$32, $C$9, 100%, $E$9)</f>
        <v>6.4969000000000001</v>
      </c>
      <c r="F310" s="33">
        <f>6.4969 * CHOOSE(CONTROL!$C$32, $C$9, 100%, $E$9)</f>
        <v>6.4969000000000001</v>
      </c>
      <c r="G310" s="33">
        <f>6.5022 * CHOOSE(CONTROL!$C$32, $C$9, 100%, $E$9)</f>
        <v>6.5022000000000002</v>
      </c>
      <c r="H310" s="33">
        <f>10.7707 * CHOOSE(CONTROL!$C$32, $C$9, 100%, $E$9)</f>
        <v>10.7707</v>
      </c>
      <c r="I310" s="33">
        <f>10.776 * CHOOSE(CONTROL!$C$32, $C$9, 100%, $E$9)</f>
        <v>10.776</v>
      </c>
      <c r="J310" s="33">
        <f>10.7707 * CHOOSE(CONTROL!$C$32, $C$9, 100%, $E$9)</f>
        <v>10.7707</v>
      </c>
      <c r="K310" s="33">
        <f>10.776 * CHOOSE(CONTROL!$C$32, $C$9, 100%, $E$9)</f>
        <v>10.776</v>
      </c>
      <c r="L310" s="33">
        <f>6.4969 * CHOOSE(CONTROL!$C$32, $C$9, 100%, $E$9)</f>
        <v>6.4969000000000001</v>
      </c>
      <c r="M310" s="33">
        <f>6.5022 * CHOOSE(CONTROL!$C$32, $C$9, 100%, $E$9)</f>
        <v>6.5022000000000002</v>
      </c>
      <c r="N310" s="33">
        <f>6.4969 * CHOOSE(CONTROL!$C$32, $C$9, 100%, $E$9)</f>
        <v>6.4969000000000001</v>
      </c>
      <c r="O310" s="33">
        <f>6.5022 * CHOOSE(CONTROL!$C$32, $C$9, 100%, $E$9)</f>
        <v>6.5022000000000002</v>
      </c>
    </row>
    <row r="311" spans="1:15" ht="15" x14ac:dyDescent="0.2">
      <c r="A311" s="16">
        <v>50679</v>
      </c>
      <c r="B311" s="32">
        <f>5.1159 * CHOOSE(CONTROL!$C$32, $C$9, 100%, $E$9)</f>
        <v>5.1158999999999999</v>
      </c>
      <c r="C311" s="32">
        <f>5.1159 * CHOOSE(CONTROL!$C$32, $C$9, 100%, $E$9)</f>
        <v>5.1158999999999999</v>
      </c>
      <c r="D311" s="32">
        <f>5.117 * CHOOSE(CONTROL!$C$32, $C$9, 100%, $E$9)</f>
        <v>5.117</v>
      </c>
      <c r="E311" s="33">
        <f>6.5292 * CHOOSE(CONTROL!$C$32, $C$9, 100%, $E$9)</f>
        <v>6.5292000000000003</v>
      </c>
      <c r="F311" s="33">
        <f>6.5292 * CHOOSE(CONTROL!$C$32, $C$9, 100%, $E$9)</f>
        <v>6.5292000000000003</v>
      </c>
      <c r="G311" s="33">
        <f>6.5328 * CHOOSE(CONTROL!$C$32, $C$9, 100%, $E$9)</f>
        <v>6.5327999999999999</v>
      </c>
      <c r="H311" s="33">
        <f>10.7931 * CHOOSE(CONTROL!$C$32, $C$9, 100%, $E$9)</f>
        <v>10.793100000000001</v>
      </c>
      <c r="I311" s="33">
        <f>10.7967 * CHOOSE(CONTROL!$C$32, $C$9, 100%, $E$9)</f>
        <v>10.7967</v>
      </c>
      <c r="J311" s="33">
        <f>10.7931 * CHOOSE(CONTROL!$C$32, $C$9, 100%, $E$9)</f>
        <v>10.793100000000001</v>
      </c>
      <c r="K311" s="33">
        <f>10.7967 * CHOOSE(CONTROL!$C$32, $C$9, 100%, $E$9)</f>
        <v>10.7967</v>
      </c>
      <c r="L311" s="33">
        <f>6.5292 * CHOOSE(CONTROL!$C$32, $C$9, 100%, $E$9)</f>
        <v>6.5292000000000003</v>
      </c>
      <c r="M311" s="33">
        <f>6.5328 * CHOOSE(CONTROL!$C$32, $C$9, 100%, $E$9)</f>
        <v>6.5327999999999999</v>
      </c>
      <c r="N311" s="33">
        <f>6.5292 * CHOOSE(CONTROL!$C$32, $C$9, 100%, $E$9)</f>
        <v>6.5292000000000003</v>
      </c>
      <c r="O311" s="33">
        <f>6.5328 * CHOOSE(CONTROL!$C$32, $C$9, 100%, $E$9)</f>
        <v>6.5327999999999999</v>
      </c>
    </row>
    <row r="312" spans="1:15" ht="15" x14ac:dyDescent="0.2">
      <c r="A312" s="16">
        <v>50710</v>
      </c>
      <c r="B312" s="32">
        <f>5.119 * CHOOSE(CONTROL!$C$32, $C$9, 100%, $E$9)</f>
        <v>5.1189999999999998</v>
      </c>
      <c r="C312" s="32">
        <f>5.119 * CHOOSE(CONTROL!$C$32, $C$9, 100%, $E$9)</f>
        <v>5.1189999999999998</v>
      </c>
      <c r="D312" s="32">
        <f>5.1201 * CHOOSE(CONTROL!$C$32, $C$9, 100%, $E$9)</f>
        <v>5.1200999999999999</v>
      </c>
      <c r="E312" s="33">
        <f>6.5541 * CHOOSE(CONTROL!$C$32, $C$9, 100%, $E$9)</f>
        <v>6.5541</v>
      </c>
      <c r="F312" s="33">
        <f>6.5541 * CHOOSE(CONTROL!$C$32, $C$9, 100%, $E$9)</f>
        <v>6.5541</v>
      </c>
      <c r="G312" s="33">
        <f>6.5578 * CHOOSE(CONTROL!$C$32, $C$9, 100%, $E$9)</f>
        <v>6.5578000000000003</v>
      </c>
      <c r="H312" s="33">
        <f>10.8156 * CHOOSE(CONTROL!$C$32, $C$9, 100%, $E$9)</f>
        <v>10.8156</v>
      </c>
      <c r="I312" s="33">
        <f>10.8192 * CHOOSE(CONTROL!$C$32, $C$9, 100%, $E$9)</f>
        <v>10.8192</v>
      </c>
      <c r="J312" s="33">
        <f>10.8156 * CHOOSE(CONTROL!$C$32, $C$9, 100%, $E$9)</f>
        <v>10.8156</v>
      </c>
      <c r="K312" s="33">
        <f>10.8192 * CHOOSE(CONTROL!$C$32, $C$9, 100%, $E$9)</f>
        <v>10.8192</v>
      </c>
      <c r="L312" s="33">
        <f>6.5541 * CHOOSE(CONTROL!$C$32, $C$9, 100%, $E$9)</f>
        <v>6.5541</v>
      </c>
      <c r="M312" s="33">
        <f>6.5578 * CHOOSE(CONTROL!$C$32, $C$9, 100%, $E$9)</f>
        <v>6.5578000000000003</v>
      </c>
      <c r="N312" s="33">
        <f>6.5541 * CHOOSE(CONTROL!$C$32, $C$9, 100%, $E$9)</f>
        <v>6.5541</v>
      </c>
      <c r="O312" s="33">
        <f>6.5578 * CHOOSE(CONTROL!$C$32, $C$9, 100%, $E$9)</f>
        <v>6.5578000000000003</v>
      </c>
    </row>
    <row r="313" spans="1:15" ht="15" x14ac:dyDescent="0.2">
      <c r="A313" s="16">
        <v>50740</v>
      </c>
      <c r="B313" s="32">
        <f>5.119 * CHOOSE(CONTROL!$C$32, $C$9, 100%, $E$9)</f>
        <v>5.1189999999999998</v>
      </c>
      <c r="C313" s="32">
        <f>5.119 * CHOOSE(CONTROL!$C$32, $C$9, 100%, $E$9)</f>
        <v>5.1189999999999998</v>
      </c>
      <c r="D313" s="32">
        <f>5.1201 * CHOOSE(CONTROL!$C$32, $C$9, 100%, $E$9)</f>
        <v>5.1200999999999999</v>
      </c>
      <c r="E313" s="33">
        <f>6.533 * CHOOSE(CONTROL!$C$32, $C$9, 100%, $E$9)</f>
        <v>6.5330000000000004</v>
      </c>
      <c r="F313" s="33">
        <f>6.533 * CHOOSE(CONTROL!$C$32, $C$9, 100%, $E$9)</f>
        <v>6.5330000000000004</v>
      </c>
      <c r="G313" s="33">
        <f>6.5367 * CHOOSE(CONTROL!$C$32, $C$9, 100%, $E$9)</f>
        <v>6.5366999999999997</v>
      </c>
      <c r="H313" s="33">
        <f>10.8381 * CHOOSE(CONTROL!$C$32, $C$9, 100%, $E$9)</f>
        <v>10.838100000000001</v>
      </c>
      <c r="I313" s="33">
        <f>10.8417 * CHOOSE(CONTROL!$C$32, $C$9, 100%, $E$9)</f>
        <v>10.841699999999999</v>
      </c>
      <c r="J313" s="33">
        <f>10.8381 * CHOOSE(CONTROL!$C$32, $C$9, 100%, $E$9)</f>
        <v>10.838100000000001</v>
      </c>
      <c r="K313" s="33">
        <f>10.8417 * CHOOSE(CONTROL!$C$32, $C$9, 100%, $E$9)</f>
        <v>10.841699999999999</v>
      </c>
      <c r="L313" s="33">
        <f>6.533 * CHOOSE(CONTROL!$C$32, $C$9, 100%, $E$9)</f>
        <v>6.5330000000000004</v>
      </c>
      <c r="M313" s="33">
        <f>6.5367 * CHOOSE(CONTROL!$C$32, $C$9, 100%, $E$9)</f>
        <v>6.5366999999999997</v>
      </c>
      <c r="N313" s="33">
        <f>6.533 * CHOOSE(CONTROL!$C$32, $C$9, 100%, $E$9)</f>
        <v>6.5330000000000004</v>
      </c>
      <c r="O313" s="33">
        <f>6.5367 * CHOOSE(CONTROL!$C$32, $C$9, 100%, $E$9)</f>
        <v>6.5366999999999997</v>
      </c>
    </row>
    <row r="314" spans="1:15" ht="15" x14ac:dyDescent="0.2">
      <c r="A314" s="16">
        <v>50771</v>
      </c>
      <c r="B314" s="32">
        <f>5.1575 * CHOOSE(CONTROL!$C$32, $C$9, 100%, $E$9)</f>
        <v>5.1574999999999998</v>
      </c>
      <c r="C314" s="32">
        <f>5.1575 * CHOOSE(CONTROL!$C$32, $C$9, 100%, $E$9)</f>
        <v>5.1574999999999998</v>
      </c>
      <c r="D314" s="32">
        <f>5.1586 * CHOOSE(CONTROL!$C$32, $C$9, 100%, $E$9)</f>
        <v>5.1585999999999999</v>
      </c>
      <c r="E314" s="33">
        <f>6.5634 * CHOOSE(CONTROL!$C$32, $C$9, 100%, $E$9)</f>
        <v>6.5633999999999997</v>
      </c>
      <c r="F314" s="33">
        <f>6.5634 * CHOOSE(CONTROL!$C$32, $C$9, 100%, $E$9)</f>
        <v>6.5633999999999997</v>
      </c>
      <c r="G314" s="33">
        <f>6.567 * CHOOSE(CONTROL!$C$32, $C$9, 100%, $E$9)</f>
        <v>6.5670000000000002</v>
      </c>
      <c r="H314" s="33">
        <f>10.8607 * CHOOSE(CONTROL!$C$32, $C$9, 100%, $E$9)</f>
        <v>10.8607</v>
      </c>
      <c r="I314" s="33">
        <f>10.8643 * CHOOSE(CONTROL!$C$32, $C$9, 100%, $E$9)</f>
        <v>10.8643</v>
      </c>
      <c r="J314" s="33">
        <f>10.8607 * CHOOSE(CONTROL!$C$32, $C$9, 100%, $E$9)</f>
        <v>10.8607</v>
      </c>
      <c r="K314" s="33">
        <f>10.8643 * CHOOSE(CONTROL!$C$32, $C$9, 100%, $E$9)</f>
        <v>10.8643</v>
      </c>
      <c r="L314" s="33">
        <f>6.5634 * CHOOSE(CONTROL!$C$32, $C$9, 100%, $E$9)</f>
        <v>6.5633999999999997</v>
      </c>
      <c r="M314" s="33">
        <f>6.567 * CHOOSE(CONTROL!$C$32, $C$9, 100%, $E$9)</f>
        <v>6.5670000000000002</v>
      </c>
      <c r="N314" s="33">
        <f>6.5634 * CHOOSE(CONTROL!$C$32, $C$9, 100%, $E$9)</f>
        <v>6.5633999999999997</v>
      </c>
      <c r="O314" s="33">
        <f>6.567 * CHOOSE(CONTROL!$C$32, $C$9, 100%, $E$9)</f>
        <v>6.5670000000000002</v>
      </c>
    </row>
    <row r="315" spans="1:15" ht="15" x14ac:dyDescent="0.2">
      <c r="A315" s="16">
        <v>50802</v>
      </c>
      <c r="B315" s="32">
        <f>5.1544 * CHOOSE(CONTROL!$C$32, $C$9, 100%, $E$9)</f>
        <v>5.1543999999999999</v>
      </c>
      <c r="C315" s="32">
        <f>5.1544 * CHOOSE(CONTROL!$C$32, $C$9, 100%, $E$9)</f>
        <v>5.1543999999999999</v>
      </c>
      <c r="D315" s="32">
        <f>5.1555 * CHOOSE(CONTROL!$C$32, $C$9, 100%, $E$9)</f>
        <v>5.1555</v>
      </c>
      <c r="E315" s="33">
        <f>6.4498 * CHOOSE(CONTROL!$C$32, $C$9, 100%, $E$9)</f>
        <v>6.4497999999999998</v>
      </c>
      <c r="F315" s="33">
        <f>6.4498 * CHOOSE(CONTROL!$C$32, $C$9, 100%, $E$9)</f>
        <v>6.4497999999999998</v>
      </c>
      <c r="G315" s="33">
        <f>6.4535 * CHOOSE(CONTROL!$C$32, $C$9, 100%, $E$9)</f>
        <v>6.4535</v>
      </c>
      <c r="H315" s="33">
        <f>10.8833 * CHOOSE(CONTROL!$C$32, $C$9, 100%, $E$9)</f>
        <v>10.8833</v>
      </c>
      <c r="I315" s="33">
        <f>10.8869 * CHOOSE(CONTROL!$C$32, $C$9, 100%, $E$9)</f>
        <v>10.886900000000001</v>
      </c>
      <c r="J315" s="33">
        <f>10.8833 * CHOOSE(CONTROL!$C$32, $C$9, 100%, $E$9)</f>
        <v>10.8833</v>
      </c>
      <c r="K315" s="33">
        <f>10.8869 * CHOOSE(CONTROL!$C$32, $C$9, 100%, $E$9)</f>
        <v>10.886900000000001</v>
      </c>
      <c r="L315" s="33">
        <f>6.4498 * CHOOSE(CONTROL!$C$32, $C$9, 100%, $E$9)</f>
        <v>6.4497999999999998</v>
      </c>
      <c r="M315" s="33">
        <f>6.4535 * CHOOSE(CONTROL!$C$32, $C$9, 100%, $E$9)</f>
        <v>6.4535</v>
      </c>
      <c r="N315" s="33">
        <f>6.4498 * CHOOSE(CONTROL!$C$32, $C$9, 100%, $E$9)</f>
        <v>6.4497999999999998</v>
      </c>
      <c r="O315" s="33">
        <f>6.4535 * CHOOSE(CONTROL!$C$32, $C$9, 100%, $E$9)</f>
        <v>6.4535</v>
      </c>
    </row>
    <row r="316" spans="1:15" ht="15" x14ac:dyDescent="0.2">
      <c r="A316" s="16">
        <v>50830</v>
      </c>
      <c r="B316" s="32">
        <f>5.1514 * CHOOSE(CONTROL!$C$32, $C$9, 100%, $E$9)</f>
        <v>5.1513999999999998</v>
      </c>
      <c r="C316" s="32">
        <f>5.1514 * CHOOSE(CONTROL!$C$32, $C$9, 100%, $E$9)</f>
        <v>5.1513999999999998</v>
      </c>
      <c r="D316" s="32">
        <f>5.1525 * CHOOSE(CONTROL!$C$32, $C$9, 100%, $E$9)</f>
        <v>5.1524999999999999</v>
      </c>
      <c r="E316" s="33">
        <f>6.5356 * CHOOSE(CONTROL!$C$32, $C$9, 100%, $E$9)</f>
        <v>6.5355999999999996</v>
      </c>
      <c r="F316" s="33">
        <f>6.5356 * CHOOSE(CONTROL!$C$32, $C$9, 100%, $E$9)</f>
        <v>6.5355999999999996</v>
      </c>
      <c r="G316" s="33">
        <f>6.5392 * CHOOSE(CONTROL!$C$32, $C$9, 100%, $E$9)</f>
        <v>6.5392000000000001</v>
      </c>
      <c r="H316" s="33">
        <f>10.906 * CHOOSE(CONTROL!$C$32, $C$9, 100%, $E$9)</f>
        <v>10.906000000000001</v>
      </c>
      <c r="I316" s="33">
        <f>10.9096 * CHOOSE(CONTROL!$C$32, $C$9, 100%, $E$9)</f>
        <v>10.909599999999999</v>
      </c>
      <c r="J316" s="33">
        <f>10.906 * CHOOSE(CONTROL!$C$32, $C$9, 100%, $E$9)</f>
        <v>10.906000000000001</v>
      </c>
      <c r="K316" s="33">
        <f>10.9096 * CHOOSE(CONTROL!$C$32, $C$9, 100%, $E$9)</f>
        <v>10.909599999999999</v>
      </c>
      <c r="L316" s="33">
        <f>6.5356 * CHOOSE(CONTROL!$C$32, $C$9, 100%, $E$9)</f>
        <v>6.5355999999999996</v>
      </c>
      <c r="M316" s="33">
        <f>6.5392 * CHOOSE(CONTROL!$C$32, $C$9, 100%, $E$9)</f>
        <v>6.5392000000000001</v>
      </c>
      <c r="N316" s="33">
        <f>6.5356 * CHOOSE(CONTROL!$C$32, $C$9, 100%, $E$9)</f>
        <v>6.5355999999999996</v>
      </c>
      <c r="O316" s="33">
        <f>6.5392 * CHOOSE(CONTROL!$C$32, $C$9, 100%, $E$9)</f>
        <v>6.5392000000000001</v>
      </c>
    </row>
    <row r="317" spans="1:15" ht="15" x14ac:dyDescent="0.2">
      <c r="A317" s="16">
        <v>50861</v>
      </c>
      <c r="B317" s="32">
        <f>5.1502 * CHOOSE(CONTROL!$C$32, $C$9, 100%, $E$9)</f>
        <v>5.1501999999999999</v>
      </c>
      <c r="C317" s="32">
        <f>5.1502 * CHOOSE(CONTROL!$C$32, $C$9, 100%, $E$9)</f>
        <v>5.1501999999999999</v>
      </c>
      <c r="D317" s="32">
        <f>5.1512 * CHOOSE(CONTROL!$C$32, $C$9, 100%, $E$9)</f>
        <v>5.1512000000000002</v>
      </c>
      <c r="E317" s="33">
        <f>6.6256 * CHOOSE(CONTROL!$C$32, $C$9, 100%, $E$9)</f>
        <v>6.6256000000000004</v>
      </c>
      <c r="F317" s="33">
        <f>6.6256 * CHOOSE(CONTROL!$C$32, $C$9, 100%, $E$9)</f>
        <v>6.6256000000000004</v>
      </c>
      <c r="G317" s="33">
        <f>6.6292 * CHOOSE(CONTROL!$C$32, $C$9, 100%, $E$9)</f>
        <v>6.6292</v>
      </c>
      <c r="H317" s="33">
        <f>10.9287 * CHOOSE(CONTROL!$C$32, $C$9, 100%, $E$9)</f>
        <v>10.928699999999999</v>
      </c>
      <c r="I317" s="33">
        <f>10.9323 * CHOOSE(CONTROL!$C$32, $C$9, 100%, $E$9)</f>
        <v>10.9323</v>
      </c>
      <c r="J317" s="33">
        <f>10.9287 * CHOOSE(CONTROL!$C$32, $C$9, 100%, $E$9)</f>
        <v>10.928699999999999</v>
      </c>
      <c r="K317" s="33">
        <f>10.9323 * CHOOSE(CONTROL!$C$32, $C$9, 100%, $E$9)</f>
        <v>10.9323</v>
      </c>
      <c r="L317" s="33">
        <f>6.6256 * CHOOSE(CONTROL!$C$32, $C$9, 100%, $E$9)</f>
        <v>6.6256000000000004</v>
      </c>
      <c r="M317" s="33">
        <f>6.6292 * CHOOSE(CONTROL!$C$32, $C$9, 100%, $E$9)</f>
        <v>6.6292</v>
      </c>
      <c r="N317" s="33">
        <f>6.6256 * CHOOSE(CONTROL!$C$32, $C$9, 100%, $E$9)</f>
        <v>6.6256000000000004</v>
      </c>
      <c r="O317" s="33">
        <f>6.6292 * CHOOSE(CONTROL!$C$32, $C$9, 100%, $E$9)</f>
        <v>6.6292</v>
      </c>
    </row>
    <row r="318" spans="1:15" ht="15" x14ac:dyDescent="0.2">
      <c r="A318" s="16">
        <v>50891</v>
      </c>
      <c r="B318" s="32">
        <f>5.1502 * CHOOSE(CONTROL!$C$32, $C$9, 100%, $E$9)</f>
        <v>5.1501999999999999</v>
      </c>
      <c r="C318" s="32">
        <f>5.1502 * CHOOSE(CONTROL!$C$32, $C$9, 100%, $E$9)</f>
        <v>5.1501999999999999</v>
      </c>
      <c r="D318" s="32">
        <f>5.1517 * CHOOSE(CONTROL!$C$32, $C$9, 100%, $E$9)</f>
        <v>5.1516999999999999</v>
      </c>
      <c r="E318" s="33">
        <f>6.661 * CHOOSE(CONTROL!$C$32, $C$9, 100%, $E$9)</f>
        <v>6.6609999999999996</v>
      </c>
      <c r="F318" s="33">
        <f>6.661 * CHOOSE(CONTROL!$C$32, $C$9, 100%, $E$9)</f>
        <v>6.6609999999999996</v>
      </c>
      <c r="G318" s="33">
        <f>6.6663 * CHOOSE(CONTROL!$C$32, $C$9, 100%, $E$9)</f>
        <v>6.6662999999999997</v>
      </c>
      <c r="H318" s="33">
        <f>10.9515 * CHOOSE(CONTROL!$C$32, $C$9, 100%, $E$9)</f>
        <v>10.951499999999999</v>
      </c>
      <c r="I318" s="33">
        <f>10.9568 * CHOOSE(CONTROL!$C$32, $C$9, 100%, $E$9)</f>
        <v>10.956799999999999</v>
      </c>
      <c r="J318" s="33">
        <f>10.9515 * CHOOSE(CONTROL!$C$32, $C$9, 100%, $E$9)</f>
        <v>10.951499999999999</v>
      </c>
      <c r="K318" s="33">
        <f>10.9568 * CHOOSE(CONTROL!$C$32, $C$9, 100%, $E$9)</f>
        <v>10.956799999999999</v>
      </c>
      <c r="L318" s="33">
        <f>6.661 * CHOOSE(CONTROL!$C$32, $C$9, 100%, $E$9)</f>
        <v>6.6609999999999996</v>
      </c>
      <c r="M318" s="33">
        <f>6.6663 * CHOOSE(CONTROL!$C$32, $C$9, 100%, $E$9)</f>
        <v>6.6662999999999997</v>
      </c>
      <c r="N318" s="33">
        <f>6.661 * CHOOSE(CONTROL!$C$32, $C$9, 100%, $E$9)</f>
        <v>6.6609999999999996</v>
      </c>
      <c r="O318" s="33">
        <f>6.6663 * CHOOSE(CONTROL!$C$32, $C$9, 100%, $E$9)</f>
        <v>6.6662999999999997</v>
      </c>
    </row>
    <row r="319" spans="1:15" ht="15" x14ac:dyDescent="0.2">
      <c r="A319" s="16">
        <v>50922</v>
      </c>
      <c r="B319" s="32">
        <f>5.1562 * CHOOSE(CONTROL!$C$32, $C$9, 100%, $E$9)</f>
        <v>5.1562000000000001</v>
      </c>
      <c r="C319" s="32">
        <f>5.1562 * CHOOSE(CONTROL!$C$32, $C$9, 100%, $E$9)</f>
        <v>5.1562000000000001</v>
      </c>
      <c r="D319" s="32">
        <f>5.1578 * CHOOSE(CONTROL!$C$32, $C$9, 100%, $E$9)</f>
        <v>5.1577999999999999</v>
      </c>
      <c r="E319" s="33">
        <f>6.6299 * CHOOSE(CONTROL!$C$32, $C$9, 100%, $E$9)</f>
        <v>6.6299000000000001</v>
      </c>
      <c r="F319" s="33">
        <f>6.6299 * CHOOSE(CONTROL!$C$32, $C$9, 100%, $E$9)</f>
        <v>6.6299000000000001</v>
      </c>
      <c r="G319" s="33">
        <f>6.6352 * CHOOSE(CONTROL!$C$32, $C$9, 100%, $E$9)</f>
        <v>6.6352000000000002</v>
      </c>
      <c r="H319" s="33">
        <f>10.9743 * CHOOSE(CONTROL!$C$32, $C$9, 100%, $E$9)</f>
        <v>10.974299999999999</v>
      </c>
      <c r="I319" s="33">
        <f>10.9796 * CHOOSE(CONTROL!$C$32, $C$9, 100%, $E$9)</f>
        <v>10.9796</v>
      </c>
      <c r="J319" s="33">
        <f>10.9743 * CHOOSE(CONTROL!$C$32, $C$9, 100%, $E$9)</f>
        <v>10.974299999999999</v>
      </c>
      <c r="K319" s="33">
        <f>10.9796 * CHOOSE(CONTROL!$C$32, $C$9, 100%, $E$9)</f>
        <v>10.9796</v>
      </c>
      <c r="L319" s="33">
        <f>6.6299 * CHOOSE(CONTROL!$C$32, $C$9, 100%, $E$9)</f>
        <v>6.6299000000000001</v>
      </c>
      <c r="M319" s="33">
        <f>6.6352 * CHOOSE(CONTROL!$C$32, $C$9, 100%, $E$9)</f>
        <v>6.6352000000000002</v>
      </c>
      <c r="N319" s="33">
        <f>6.6299 * CHOOSE(CONTROL!$C$32, $C$9, 100%, $E$9)</f>
        <v>6.6299000000000001</v>
      </c>
      <c r="O319" s="33">
        <f>6.6352 * CHOOSE(CONTROL!$C$32, $C$9, 100%, $E$9)</f>
        <v>6.6352000000000002</v>
      </c>
    </row>
    <row r="320" spans="1:15" ht="15" x14ac:dyDescent="0.2">
      <c r="A320" s="16">
        <v>50952</v>
      </c>
      <c r="B320" s="32">
        <f>5.2245 * CHOOSE(CONTROL!$C$32, $C$9, 100%, $E$9)</f>
        <v>5.2244999999999999</v>
      </c>
      <c r="C320" s="32">
        <f>5.2245 * CHOOSE(CONTROL!$C$32, $C$9, 100%, $E$9)</f>
        <v>5.2244999999999999</v>
      </c>
      <c r="D320" s="32">
        <f>5.226 * CHOOSE(CONTROL!$C$32, $C$9, 100%, $E$9)</f>
        <v>5.226</v>
      </c>
      <c r="E320" s="33">
        <f>6.6597 * CHOOSE(CONTROL!$C$32, $C$9, 100%, $E$9)</f>
        <v>6.6597</v>
      </c>
      <c r="F320" s="33">
        <f>6.6597 * CHOOSE(CONTROL!$C$32, $C$9, 100%, $E$9)</f>
        <v>6.6597</v>
      </c>
      <c r="G320" s="33">
        <f>6.665 * CHOOSE(CONTROL!$C$32, $C$9, 100%, $E$9)</f>
        <v>6.665</v>
      </c>
      <c r="H320" s="33">
        <f>10.9972 * CHOOSE(CONTROL!$C$32, $C$9, 100%, $E$9)</f>
        <v>10.997199999999999</v>
      </c>
      <c r="I320" s="33">
        <f>11.0025 * CHOOSE(CONTROL!$C$32, $C$9, 100%, $E$9)</f>
        <v>11.0025</v>
      </c>
      <c r="J320" s="33">
        <f>10.9972 * CHOOSE(CONTROL!$C$32, $C$9, 100%, $E$9)</f>
        <v>10.997199999999999</v>
      </c>
      <c r="K320" s="33">
        <f>11.0025 * CHOOSE(CONTROL!$C$32, $C$9, 100%, $E$9)</f>
        <v>11.0025</v>
      </c>
      <c r="L320" s="33">
        <f>6.6597 * CHOOSE(CONTROL!$C$32, $C$9, 100%, $E$9)</f>
        <v>6.6597</v>
      </c>
      <c r="M320" s="33">
        <f>6.665 * CHOOSE(CONTROL!$C$32, $C$9, 100%, $E$9)</f>
        <v>6.665</v>
      </c>
      <c r="N320" s="33">
        <f>6.6597 * CHOOSE(CONTROL!$C$32, $C$9, 100%, $E$9)</f>
        <v>6.6597</v>
      </c>
      <c r="O320" s="33">
        <f>6.665 * CHOOSE(CONTROL!$C$32, $C$9, 100%, $E$9)</f>
        <v>6.665</v>
      </c>
    </row>
    <row r="321" spans="1:15" ht="15" x14ac:dyDescent="0.2">
      <c r="A321" s="16">
        <v>50983</v>
      </c>
      <c r="B321" s="32">
        <f>5.2312 * CHOOSE(CONTROL!$C$32, $C$9, 100%, $E$9)</f>
        <v>5.2312000000000003</v>
      </c>
      <c r="C321" s="32">
        <f>5.2312 * CHOOSE(CONTROL!$C$32, $C$9, 100%, $E$9)</f>
        <v>5.2312000000000003</v>
      </c>
      <c r="D321" s="32">
        <f>5.2327 * CHOOSE(CONTROL!$C$32, $C$9, 100%, $E$9)</f>
        <v>5.2327000000000004</v>
      </c>
      <c r="E321" s="33">
        <f>6.5583 * CHOOSE(CONTROL!$C$32, $C$9, 100%, $E$9)</f>
        <v>6.5583</v>
      </c>
      <c r="F321" s="33">
        <f>6.5583 * CHOOSE(CONTROL!$C$32, $C$9, 100%, $E$9)</f>
        <v>6.5583</v>
      </c>
      <c r="G321" s="33">
        <f>6.5635 * CHOOSE(CONTROL!$C$32, $C$9, 100%, $E$9)</f>
        <v>6.5635000000000003</v>
      </c>
      <c r="H321" s="33">
        <f>11.0201 * CHOOSE(CONTROL!$C$32, $C$9, 100%, $E$9)</f>
        <v>11.020099999999999</v>
      </c>
      <c r="I321" s="33">
        <f>11.0254 * CHOOSE(CONTROL!$C$32, $C$9, 100%, $E$9)</f>
        <v>11.025399999999999</v>
      </c>
      <c r="J321" s="33">
        <f>11.0201 * CHOOSE(CONTROL!$C$32, $C$9, 100%, $E$9)</f>
        <v>11.020099999999999</v>
      </c>
      <c r="K321" s="33">
        <f>11.0254 * CHOOSE(CONTROL!$C$32, $C$9, 100%, $E$9)</f>
        <v>11.025399999999999</v>
      </c>
      <c r="L321" s="33">
        <f>6.5583 * CHOOSE(CONTROL!$C$32, $C$9, 100%, $E$9)</f>
        <v>6.5583</v>
      </c>
      <c r="M321" s="33">
        <f>6.5635 * CHOOSE(CONTROL!$C$32, $C$9, 100%, $E$9)</f>
        <v>6.5635000000000003</v>
      </c>
      <c r="N321" s="33">
        <f>6.5583 * CHOOSE(CONTROL!$C$32, $C$9, 100%, $E$9)</f>
        <v>6.5583</v>
      </c>
      <c r="O321" s="33">
        <f>6.5635 * CHOOSE(CONTROL!$C$32, $C$9, 100%, $E$9)</f>
        <v>6.5635000000000003</v>
      </c>
    </row>
    <row r="322" spans="1:15" ht="15" x14ac:dyDescent="0.2">
      <c r="A322" s="16">
        <v>51014</v>
      </c>
      <c r="B322" s="32">
        <f>5.2281 * CHOOSE(CONTROL!$C$32, $C$9, 100%, $E$9)</f>
        <v>5.2281000000000004</v>
      </c>
      <c r="C322" s="32">
        <f>5.2281 * CHOOSE(CONTROL!$C$32, $C$9, 100%, $E$9)</f>
        <v>5.2281000000000004</v>
      </c>
      <c r="D322" s="32">
        <f>5.2297 * CHOOSE(CONTROL!$C$32, $C$9, 100%, $E$9)</f>
        <v>5.2297000000000002</v>
      </c>
      <c r="E322" s="33">
        <f>6.5443 * CHOOSE(CONTROL!$C$32, $C$9, 100%, $E$9)</f>
        <v>6.5442999999999998</v>
      </c>
      <c r="F322" s="33">
        <f>6.5443 * CHOOSE(CONTROL!$C$32, $C$9, 100%, $E$9)</f>
        <v>6.5442999999999998</v>
      </c>
      <c r="G322" s="33">
        <f>6.5496 * CHOOSE(CONTROL!$C$32, $C$9, 100%, $E$9)</f>
        <v>6.5495999999999999</v>
      </c>
      <c r="H322" s="33">
        <f>11.043 * CHOOSE(CONTROL!$C$32, $C$9, 100%, $E$9)</f>
        <v>11.042999999999999</v>
      </c>
      <c r="I322" s="33">
        <f>11.0483 * CHOOSE(CONTROL!$C$32, $C$9, 100%, $E$9)</f>
        <v>11.048299999999999</v>
      </c>
      <c r="J322" s="33">
        <f>11.043 * CHOOSE(CONTROL!$C$32, $C$9, 100%, $E$9)</f>
        <v>11.042999999999999</v>
      </c>
      <c r="K322" s="33">
        <f>11.0483 * CHOOSE(CONTROL!$C$32, $C$9, 100%, $E$9)</f>
        <v>11.048299999999999</v>
      </c>
      <c r="L322" s="33">
        <f>6.5443 * CHOOSE(CONTROL!$C$32, $C$9, 100%, $E$9)</f>
        <v>6.5442999999999998</v>
      </c>
      <c r="M322" s="33">
        <f>6.5496 * CHOOSE(CONTROL!$C$32, $C$9, 100%, $E$9)</f>
        <v>6.5495999999999999</v>
      </c>
      <c r="N322" s="33">
        <f>6.5443 * CHOOSE(CONTROL!$C$32, $C$9, 100%, $E$9)</f>
        <v>6.5442999999999998</v>
      </c>
      <c r="O322" s="33">
        <f>6.5496 * CHOOSE(CONTROL!$C$32, $C$9, 100%, $E$9)</f>
        <v>6.5495999999999999</v>
      </c>
    </row>
    <row r="323" spans="1:15" ht="15" x14ac:dyDescent="0.2">
      <c r="A323" s="16">
        <v>51044</v>
      </c>
      <c r="B323" s="32">
        <f>5.2277 * CHOOSE(CONTROL!$C$32, $C$9, 100%, $E$9)</f>
        <v>5.2276999999999996</v>
      </c>
      <c r="C323" s="32">
        <f>5.2277 * CHOOSE(CONTROL!$C$32, $C$9, 100%, $E$9)</f>
        <v>5.2276999999999996</v>
      </c>
      <c r="D323" s="32">
        <f>5.2288 * CHOOSE(CONTROL!$C$32, $C$9, 100%, $E$9)</f>
        <v>5.2287999999999997</v>
      </c>
      <c r="E323" s="33">
        <f>6.5781 * CHOOSE(CONTROL!$C$32, $C$9, 100%, $E$9)</f>
        <v>6.5781000000000001</v>
      </c>
      <c r="F323" s="33">
        <f>6.5781 * CHOOSE(CONTROL!$C$32, $C$9, 100%, $E$9)</f>
        <v>6.5781000000000001</v>
      </c>
      <c r="G323" s="33">
        <f>6.5817 * CHOOSE(CONTROL!$C$32, $C$9, 100%, $E$9)</f>
        <v>6.5816999999999997</v>
      </c>
      <c r="H323" s="33">
        <f>11.066 * CHOOSE(CONTROL!$C$32, $C$9, 100%, $E$9)</f>
        <v>11.066000000000001</v>
      </c>
      <c r="I323" s="33">
        <f>11.0697 * CHOOSE(CONTROL!$C$32, $C$9, 100%, $E$9)</f>
        <v>11.069699999999999</v>
      </c>
      <c r="J323" s="33">
        <f>11.066 * CHOOSE(CONTROL!$C$32, $C$9, 100%, $E$9)</f>
        <v>11.066000000000001</v>
      </c>
      <c r="K323" s="33">
        <f>11.0697 * CHOOSE(CONTROL!$C$32, $C$9, 100%, $E$9)</f>
        <v>11.069699999999999</v>
      </c>
      <c r="L323" s="33">
        <f>6.5781 * CHOOSE(CONTROL!$C$32, $C$9, 100%, $E$9)</f>
        <v>6.5781000000000001</v>
      </c>
      <c r="M323" s="33">
        <f>6.5817 * CHOOSE(CONTROL!$C$32, $C$9, 100%, $E$9)</f>
        <v>6.5816999999999997</v>
      </c>
      <c r="N323" s="33">
        <f>6.5781 * CHOOSE(CONTROL!$C$32, $C$9, 100%, $E$9)</f>
        <v>6.5781000000000001</v>
      </c>
      <c r="O323" s="33">
        <f>6.5817 * CHOOSE(CONTROL!$C$32, $C$9, 100%, $E$9)</f>
        <v>6.5816999999999997</v>
      </c>
    </row>
    <row r="324" spans="1:15" ht="15" x14ac:dyDescent="0.2">
      <c r="A324" s="16">
        <v>51075</v>
      </c>
      <c r="B324" s="32">
        <f>5.2308 * CHOOSE(CONTROL!$C$32, $C$9, 100%, $E$9)</f>
        <v>5.2308000000000003</v>
      </c>
      <c r="C324" s="32">
        <f>5.2308 * CHOOSE(CONTROL!$C$32, $C$9, 100%, $E$9)</f>
        <v>5.2308000000000003</v>
      </c>
      <c r="D324" s="32">
        <f>5.2319 * CHOOSE(CONTROL!$C$32, $C$9, 100%, $E$9)</f>
        <v>5.2319000000000004</v>
      </c>
      <c r="E324" s="33">
        <f>6.6038 * CHOOSE(CONTROL!$C$32, $C$9, 100%, $E$9)</f>
        <v>6.6037999999999997</v>
      </c>
      <c r="F324" s="33">
        <f>6.6038 * CHOOSE(CONTROL!$C$32, $C$9, 100%, $E$9)</f>
        <v>6.6037999999999997</v>
      </c>
      <c r="G324" s="33">
        <f>6.6074 * CHOOSE(CONTROL!$C$32, $C$9, 100%, $E$9)</f>
        <v>6.6074000000000002</v>
      </c>
      <c r="H324" s="33">
        <f>11.0891 * CHOOSE(CONTROL!$C$32, $C$9, 100%, $E$9)</f>
        <v>11.0891</v>
      </c>
      <c r="I324" s="33">
        <f>11.0927 * CHOOSE(CONTROL!$C$32, $C$9, 100%, $E$9)</f>
        <v>11.092700000000001</v>
      </c>
      <c r="J324" s="33">
        <f>11.0891 * CHOOSE(CONTROL!$C$32, $C$9, 100%, $E$9)</f>
        <v>11.0891</v>
      </c>
      <c r="K324" s="33">
        <f>11.0927 * CHOOSE(CONTROL!$C$32, $C$9, 100%, $E$9)</f>
        <v>11.092700000000001</v>
      </c>
      <c r="L324" s="33">
        <f>6.6038 * CHOOSE(CONTROL!$C$32, $C$9, 100%, $E$9)</f>
        <v>6.6037999999999997</v>
      </c>
      <c r="M324" s="33">
        <f>6.6074 * CHOOSE(CONTROL!$C$32, $C$9, 100%, $E$9)</f>
        <v>6.6074000000000002</v>
      </c>
      <c r="N324" s="33">
        <f>6.6038 * CHOOSE(CONTROL!$C$32, $C$9, 100%, $E$9)</f>
        <v>6.6037999999999997</v>
      </c>
      <c r="O324" s="33">
        <f>6.6074 * CHOOSE(CONTROL!$C$32, $C$9, 100%, $E$9)</f>
        <v>6.6074000000000002</v>
      </c>
    </row>
    <row r="325" spans="1:15" ht="15" x14ac:dyDescent="0.2">
      <c r="A325" s="16">
        <v>51105</v>
      </c>
      <c r="B325" s="32">
        <f>5.2308 * CHOOSE(CONTROL!$C$32, $C$9, 100%, $E$9)</f>
        <v>5.2308000000000003</v>
      </c>
      <c r="C325" s="32">
        <f>5.2308 * CHOOSE(CONTROL!$C$32, $C$9, 100%, $E$9)</f>
        <v>5.2308000000000003</v>
      </c>
      <c r="D325" s="32">
        <f>5.2319 * CHOOSE(CONTROL!$C$32, $C$9, 100%, $E$9)</f>
        <v>5.2319000000000004</v>
      </c>
      <c r="E325" s="33">
        <f>6.5448 * CHOOSE(CONTROL!$C$32, $C$9, 100%, $E$9)</f>
        <v>6.5448000000000004</v>
      </c>
      <c r="F325" s="33">
        <f>6.5448 * CHOOSE(CONTROL!$C$32, $C$9, 100%, $E$9)</f>
        <v>6.5448000000000004</v>
      </c>
      <c r="G325" s="33">
        <f>6.5485 * CHOOSE(CONTROL!$C$32, $C$9, 100%, $E$9)</f>
        <v>6.5484999999999998</v>
      </c>
      <c r="H325" s="33">
        <f>11.1122 * CHOOSE(CONTROL!$C$32, $C$9, 100%, $E$9)</f>
        <v>11.1122</v>
      </c>
      <c r="I325" s="33">
        <f>11.1158 * CHOOSE(CONTROL!$C$32, $C$9, 100%, $E$9)</f>
        <v>11.1158</v>
      </c>
      <c r="J325" s="33">
        <f>11.1122 * CHOOSE(CONTROL!$C$32, $C$9, 100%, $E$9)</f>
        <v>11.1122</v>
      </c>
      <c r="K325" s="33">
        <f>11.1158 * CHOOSE(CONTROL!$C$32, $C$9, 100%, $E$9)</f>
        <v>11.1158</v>
      </c>
      <c r="L325" s="33">
        <f>6.5448 * CHOOSE(CONTROL!$C$32, $C$9, 100%, $E$9)</f>
        <v>6.5448000000000004</v>
      </c>
      <c r="M325" s="33">
        <f>6.5485 * CHOOSE(CONTROL!$C$32, $C$9, 100%, $E$9)</f>
        <v>6.5484999999999998</v>
      </c>
      <c r="N325" s="33">
        <f>6.5448 * CHOOSE(CONTROL!$C$32, $C$9, 100%, $E$9)</f>
        <v>6.5448000000000004</v>
      </c>
      <c r="O325" s="33">
        <f>6.5485 * CHOOSE(CONTROL!$C$32, $C$9, 100%, $E$9)</f>
        <v>6.5484999999999998</v>
      </c>
    </row>
    <row r="326" spans="1:15" ht="15" x14ac:dyDescent="0.2">
      <c r="A326" s="16">
        <v>51136</v>
      </c>
      <c r="B326" s="32">
        <f>5.2721 * CHOOSE(CONTROL!$C$32, $C$9, 100%, $E$9)</f>
        <v>5.2721</v>
      </c>
      <c r="C326" s="32">
        <f>5.2721 * CHOOSE(CONTROL!$C$32, $C$9, 100%, $E$9)</f>
        <v>5.2721</v>
      </c>
      <c r="D326" s="32">
        <f>5.2732 * CHOOSE(CONTROL!$C$32, $C$9, 100%, $E$9)</f>
        <v>5.2732000000000001</v>
      </c>
      <c r="E326" s="33">
        <f>6.6042 * CHOOSE(CONTROL!$C$32, $C$9, 100%, $E$9)</f>
        <v>6.6041999999999996</v>
      </c>
      <c r="F326" s="33">
        <f>6.6042 * CHOOSE(CONTROL!$C$32, $C$9, 100%, $E$9)</f>
        <v>6.6041999999999996</v>
      </c>
      <c r="G326" s="33">
        <f>6.6078 * CHOOSE(CONTROL!$C$32, $C$9, 100%, $E$9)</f>
        <v>6.6078000000000001</v>
      </c>
      <c r="H326" s="33">
        <f>11.1353 * CHOOSE(CONTROL!$C$32, $C$9, 100%, $E$9)</f>
        <v>11.135300000000001</v>
      </c>
      <c r="I326" s="33">
        <f>11.139 * CHOOSE(CONTROL!$C$32, $C$9, 100%, $E$9)</f>
        <v>11.138999999999999</v>
      </c>
      <c r="J326" s="33">
        <f>11.1353 * CHOOSE(CONTROL!$C$32, $C$9, 100%, $E$9)</f>
        <v>11.135300000000001</v>
      </c>
      <c r="K326" s="33">
        <f>11.139 * CHOOSE(CONTROL!$C$32, $C$9, 100%, $E$9)</f>
        <v>11.138999999999999</v>
      </c>
      <c r="L326" s="33">
        <f>6.6042 * CHOOSE(CONTROL!$C$32, $C$9, 100%, $E$9)</f>
        <v>6.6041999999999996</v>
      </c>
      <c r="M326" s="33">
        <f>6.6078 * CHOOSE(CONTROL!$C$32, $C$9, 100%, $E$9)</f>
        <v>6.6078000000000001</v>
      </c>
      <c r="N326" s="33">
        <f>6.6042 * CHOOSE(CONTROL!$C$32, $C$9, 100%, $E$9)</f>
        <v>6.6041999999999996</v>
      </c>
      <c r="O326" s="33">
        <f>6.6078 * CHOOSE(CONTROL!$C$32, $C$9, 100%, $E$9)</f>
        <v>6.6078000000000001</v>
      </c>
    </row>
    <row r="327" spans="1:15" ht="15" x14ac:dyDescent="0.2">
      <c r="A327" s="16">
        <v>51167</v>
      </c>
      <c r="B327" s="32">
        <f>5.2691 * CHOOSE(CONTROL!$C$32, $C$9, 100%, $E$9)</f>
        <v>5.2690999999999999</v>
      </c>
      <c r="C327" s="32">
        <f>5.2691 * CHOOSE(CONTROL!$C$32, $C$9, 100%, $E$9)</f>
        <v>5.2690999999999999</v>
      </c>
      <c r="D327" s="32">
        <f>5.2702 * CHOOSE(CONTROL!$C$32, $C$9, 100%, $E$9)</f>
        <v>5.2702</v>
      </c>
      <c r="E327" s="33">
        <f>6.487 * CHOOSE(CONTROL!$C$32, $C$9, 100%, $E$9)</f>
        <v>6.4870000000000001</v>
      </c>
      <c r="F327" s="33">
        <f>6.487 * CHOOSE(CONTROL!$C$32, $C$9, 100%, $E$9)</f>
        <v>6.4870000000000001</v>
      </c>
      <c r="G327" s="33">
        <f>6.4906 * CHOOSE(CONTROL!$C$32, $C$9, 100%, $E$9)</f>
        <v>6.4905999999999997</v>
      </c>
      <c r="H327" s="33">
        <f>11.1585 * CHOOSE(CONTROL!$C$32, $C$9, 100%, $E$9)</f>
        <v>11.1585</v>
      </c>
      <c r="I327" s="33">
        <f>11.1622 * CHOOSE(CONTROL!$C$32, $C$9, 100%, $E$9)</f>
        <v>11.1622</v>
      </c>
      <c r="J327" s="33">
        <f>11.1585 * CHOOSE(CONTROL!$C$32, $C$9, 100%, $E$9)</f>
        <v>11.1585</v>
      </c>
      <c r="K327" s="33">
        <f>11.1622 * CHOOSE(CONTROL!$C$32, $C$9, 100%, $E$9)</f>
        <v>11.1622</v>
      </c>
      <c r="L327" s="33">
        <f>6.487 * CHOOSE(CONTROL!$C$32, $C$9, 100%, $E$9)</f>
        <v>6.4870000000000001</v>
      </c>
      <c r="M327" s="33">
        <f>6.4906 * CHOOSE(CONTROL!$C$32, $C$9, 100%, $E$9)</f>
        <v>6.4905999999999997</v>
      </c>
      <c r="N327" s="33">
        <f>6.487 * CHOOSE(CONTROL!$C$32, $C$9, 100%, $E$9)</f>
        <v>6.4870000000000001</v>
      </c>
      <c r="O327" s="33">
        <f>6.4906 * CHOOSE(CONTROL!$C$32, $C$9, 100%, $E$9)</f>
        <v>6.4905999999999997</v>
      </c>
    </row>
    <row r="328" spans="1:15" ht="15" x14ac:dyDescent="0.2">
      <c r="A328" s="16">
        <v>51196</v>
      </c>
      <c r="B328" s="32">
        <f>5.266 * CHOOSE(CONTROL!$C$32, $C$9, 100%, $E$9)</f>
        <v>5.266</v>
      </c>
      <c r="C328" s="32">
        <f>5.266 * CHOOSE(CONTROL!$C$32, $C$9, 100%, $E$9)</f>
        <v>5.266</v>
      </c>
      <c r="D328" s="32">
        <f>5.2671 * CHOOSE(CONTROL!$C$32, $C$9, 100%, $E$9)</f>
        <v>5.2671000000000001</v>
      </c>
      <c r="E328" s="33">
        <f>6.5756 * CHOOSE(CONTROL!$C$32, $C$9, 100%, $E$9)</f>
        <v>6.5755999999999997</v>
      </c>
      <c r="F328" s="33">
        <f>6.5756 * CHOOSE(CONTROL!$C$32, $C$9, 100%, $E$9)</f>
        <v>6.5755999999999997</v>
      </c>
      <c r="G328" s="33">
        <f>6.5792 * CHOOSE(CONTROL!$C$32, $C$9, 100%, $E$9)</f>
        <v>6.5792000000000002</v>
      </c>
      <c r="H328" s="33">
        <f>11.1818 * CHOOSE(CONTROL!$C$32, $C$9, 100%, $E$9)</f>
        <v>11.181800000000001</v>
      </c>
      <c r="I328" s="33">
        <f>11.1854 * CHOOSE(CONTROL!$C$32, $C$9, 100%, $E$9)</f>
        <v>11.1854</v>
      </c>
      <c r="J328" s="33">
        <f>11.1818 * CHOOSE(CONTROL!$C$32, $C$9, 100%, $E$9)</f>
        <v>11.181800000000001</v>
      </c>
      <c r="K328" s="33">
        <f>11.1854 * CHOOSE(CONTROL!$C$32, $C$9, 100%, $E$9)</f>
        <v>11.1854</v>
      </c>
      <c r="L328" s="33">
        <f>6.5756 * CHOOSE(CONTROL!$C$32, $C$9, 100%, $E$9)</f>
        <v>6.5755999999999997</v>
      </c>
      <c r="M328" s="33">
        <f>6.5792 * CHOOSE(CONTROL!$C$32, $C$9, 100%, $E$9)</f>
        <v>6.5792000000000002</v>
      </c>
      <c r="N328" s="33">
        <f>6.5756 * CHOOSE(CONTROL!$C$32, $C$9, 100%, $E$9)</f>
        <v>6.5755999999999997</v>
      </c>
      <c r="O328" s="33">
        <f>6.5792 * CHOOSE(CONTROL!$C$32, $C$9, 100%, $E$9)</f>
        <v>6.5792000000000002</v>
      </c>
    </row>
    <row r="329" spans="1:15" ht="15" x14ac:dyDescent="0.2">
      <c r="A329" s="16">
        <v>51227</v>
      </c>
      <c r="B329" s="32">
        <f>5.2649 * CHOOSE(CONTROL!$C$32, $C$9, 100%, $E$9)</f>
        <v>5.2648999999999999</v>
      </c>
      <c r="C329" s="32">
        <f>5.2649 * CHOOSE(CONTROL!$C$32, $C$9, 100%, $E$9)</f>
        <v>5.2648999999999999</v>
      </c>
      <c r="D329" s="32">
        <f>5.266 * CHOOSE(CONTROL!$C$32, $C$9, 100%, $E$9)</f>
        <v>5.266</v>
      </c>
      <c r="E329" s="33">
        <f>6.6687 * CHOOSE(CONTROL!$C$32, $C$9, 100%, $E$9)</f>
        <v>6.6687000000000003</v>
      </c>
      <c r="F329" s="33">
        <f>6.6687 * CHOOSE(CONTROL!$C$32, $C$9, 100%, $E$9)</f>
        <v>6.6687000000000003</v>
      </c>
      <c r="G329" s="33">
        <f>6.6723 * CHOOSE(CONTROL!$C$32, $C$9, 100%, $E$9)</f>
        <v>6.6722999999999999</v>
      </c>
      <c r="H329" s="33">
        <f>11.2051 * CHOOSE(CONTROL!$C$32, $C$9, 100%, $E$9)</f>
        <v>11.2051</v>
      </c>
      <c r="I329" s="33">
        <f>11.2087 * CHOOSE(CONTROL!$C$32, $C$9, 100%, $E$9)</f>
        <v>11.2087</v>
      </c>
      <c r="J329" s="33">
        <f>11.2051 * CHOOSE(CONTROL!$C$32, $C$9, 100%, $E$9)</f>
        <v>11.2051</v>
      </c>
      <c r="K329" s="33">
        <f>11.2087 * CHOOSE(CONTROL!$C$32, $C$9, 100%, $E$9)</f>
        <v>11.2087</v>
      </c>
      <c r="L329" s="33">
        <f>6.6687 * CHOOSE(CONTROL!$C$32, $C$9, 100%, $E$9)</f>
        <v>6.6687000000000003</v>
      </c>
      <c r="M329" s="33">
        <f>6.6723 * CHOOSE(CONTROL!$C$32, $C$9, 100%, $E$9)</f>
        <v>6.6722999999999999</v>
      </c>
      <c r="N329" s="33">
        <f>6.6687 * CHOOSE(CONTROL!$C$32, $C$9, 100%, $E$9)</f>
        <v>6.6687000000000003</v>
      </c>
      <c r="O329" s="33">
        <f>6.6723 * CHOOSE(CONTROL!$C$32, $C$9, 100%, $E$9)</f>
        <v>6.6722999999999999</v>
      </c>
    </row>
    <row r="330" spans="1:15" ht="15" x14ac:dyDescent="0.2">
      <c r="A330" s="16">
        <v>51257</v>
      </c>
      <c r="B330" s="32">
        <f>5.2649 * CHOOSE(CONTROL!$C$32, $C$9, 100%, $E$9)</f>
        <v>5.2648999999999999</v>
      </c>
      <c r="C330" s="32">
        <f>5.2649 * CHOOSE(CONTROL!$C$32, $C$9, 100%, $E$9)</f>
        <v>5.2648999999999999</v>
      </c>
      <c r="D330" s="32">
        <f>5.2665 * CHOOSE(CONTROL!$C$32, $C$9, 100%, $E$9)</f>
        <v>5.2664999999999997</v>
      </c>
      <c r="E330" s="33">
        <f>6.7052 * CHOOSE(CONTROL!$C$32, $C$9, 100%, $E$9)</f>
        <v>6.7051999999999996</v>
      </c>
      <c r="F330" s="33">
        <f>6.7052 * CHOOSE(CONTROL!$C$32, $C$9, 100%, $E$9)</f>
        <v>6.7051999999999996</v>
      </c>
      <c r="G330" s="33">
        <f>6.7105 * CHOOSE(CONTROL!$C$32, $C$9, 100%, $E$9)</f>
        <v>6.7104999999999997</v>
      </c>
      <c r="H330" s="33">
        <f>11.2284 * CHOOSE(CONTROL!$C$32, $C$9, 100%, $E$9)</f>
        <v>11.228400000000001</v>
      </c>
      <c r="I330" s="33">
        <f>11.2337 * CHOOSE(CONTROL!$C$32, $C$9, 100%, $E$9)</f>
        <v>11.233700000000001</v>
      </c>
      <c r="J330" s="33">
        <f>11.2284 * CHOOSE(CONTROL!$C$32, $C$9, 100%, $E$9)</f>
        <v>11.228400000000001</v>
      </c>
      <c r="K330" s="33">
        <f>11.2337 * CHOOSE(CONTROL!$C$32, $C$9, 100%, $E$9)</f>
        <v>11.233700000000001</v>
      </c>
      <c r="L330" s="33">
        <f>6.7052 * CHOOSE(CONTROL!$C$32, $C$9, 100%, $E$9)</f>
        <v>6.7051999999999996</v>
      </c>
      <c r="M330" s="33">
        <f>6.7105 * CHOOSE(CONTROL!$C$32, $C$9, 100%, $E$9)</f>
        <v>6.7104999999999997</v>
      </c>
      <c r="N330" s="33">
        <f>6.7052 * CHOOSE(CONTROL!$C$32, $C$9, 100%, $E$9)</f>
        <v>6.7051999999999996</v>
      </c>
      <c r="O330" s="33">
        <f>6.7105 * CHOOSE(CONTROL!$C$32, $C$9, 100%, $E$9)</f>
        <v>6.7104999999999997</v>
      </c>
    </row>
    <row r="331" spans="1:15" ht="15" x14ac:dyDescent="0.2">
      <c r="A331" s="16">
        <v>51288</v>
      </c>
      <c r="B331" s="32">
        <f>5.271 * CHOOSE(CONTROL!$C$32, $C$9, 100%, $E$9)</f>
        <v>5.2709999999999999</v>
      </c>
      <c r="C331" s="32">
        <f>5.271 * CHOOSE(CONTROL!$C$32, $C$9, 100%, $E$9)</f>
        <v>5.2709999999999999</v>
      </c>
      <c r="D331" s="32">
        <f>5.2726 * CHOOSE(CONTROL!$C$32, $C$9, 100%, $E$9)</f>
        <v>5.2725999999999997</v>
      </c>
      <c r="E331" s="33">
        <f>6.673 * CHOOSE(CONTROL!$C$32, $C$9, 100%, $E$9)</f>
        <v>6.673</v>
      </c>
      <c r="F331" s="33">
        <f>6.673 * CHOOSE(CONTROL!$C$32, $C$9, 100%, $E$9)</f>
        <v>6.673</v>
      </c>
      <c r="G331" s="33">
        <f>6.6782 * CHOOSE(CONTROL!$C$32, $C$9, 100%, $E$9)</f>
        <v>6.6782000000000004</v>
      </c>
      <c r="H331" s="33">
        <f>11.2518 * CHOOSE(CONTROL!$C$32, $C$9, 100%, $E$9)</f>
        <v>11.251799999999999</v>
      </c>
      <c r="I331" s="33">
        <f>11.2571 * CHOOSE(CONTROL!$C$32, $C$9, 100%, $E$9)</f>
        <v>11.257099999999999</v>
      </c>
      <c r="J331" s="33">
        <f>11.2518 * CHOOSE(CONTROL!$C$32, $C$9, 100%, $E$9)</f>
        <v>11.251799999999999</v>
      </c>
      <c r="K331" s="33">
        <f>11.2571 * CHOOSE(CONTROL!$C$32, $C$9, 100%, $E$9)</f>
        <v>11.257099999999999</v>
      </c>
      <c r="L331" s="33">
        <f>6.673 * CHOOSE(CONTROL!$C$32, $C$9, 100%, $E$9)</f>
        <v>6.673</v>
      </c>
      <c r="M331" s="33">
        <f>6.6782 * CHOOSE(CONTROL!$C$32, $C$9, 100%, $E$9)</f>
        <v>6.6782000000000004</v>
      </c>
      <c r="N331" s="33">
        <f>6.673 * CHOOSE(CONTROL!$C$32, $C$9, 100%, $E$9)</f>
        <v>6.673</v>
      </c>
      <c r="O331" s="33">
        <f>6.6782 * CHOOSE(CONTROL!$C$32, $C$9, 100%, $E$9)</f>
        <v>6.6782000000000004</v>
      </c>
    </row>
    <row r="332" spans="1:15" ht="15" x14ac:dyDescent="0.2">
      <c r="A332" s="16">
        <v>51318</v>
      </c>
      <c r="B332" s="32">
        <f>5.345 * CHOOSE(CONTROL!$C$32, $C$9, 100%, $E$9)</f>
        <v>5.3449999999999998</v>
      </c>
      <c r="C332" s="32">
        <f>5.345 * CHOOSE(CONTROL!$C$32, $C$9, 100%, $E$9)</f>
        <v>5.3449999999999998</v>
      </c>
      <c r="D332" s="32">
        <f>5.3466 * CHOOSE(CONTROL!$C$32, $C$9, 100%, $E$9)</f>
        <v>5.3465999999999996</v>
      </c>
      <c r="E332" s="33">
        <f>6.6813 * CHOOSE(CONTROL!$C$32, $C$9, 100%, $E$9)</f>
        <v>6.6813000000000002</v>
      </c>
      <c r="F332" s="33">
        <f>6.6813 * CHOOSE(CONTROL!$C$32, $C$9, 100%, $E$9)</f>
        <v>6.6813000000000002</v>
      </c>
      <c r="G332" s="33">
        <f>6.6866 * CHOOSE(CONTROL!$C$32, $C$9, 100%, $E$9)</f>
        <v>6.6866000000000003</v>
      </c>
      <c r="H332" s="33">
        <f>11.2753 * CHOOSE(CONTROL!$C$32, $C$9, 100%, $E$9)</f>
        <v>11.2753</v>
      </c>
      <c r="I332" s="33">
        <f>11.2806 * CHOOSE(CONTROL!$C$32, $C$9, 100%, $E$9)</f>
        <v>11.2806</v>
      </c>
      <c r="J332" s="33">
        <f>11.2753 * CHOOSE(CONTROL!$C$32, $C$9, 100%, $E$9)</f>
        <v>11.2753</v>
      </c>
      <c r="K332" s="33">
        <f>11.2806 * CHOOSE(CONTROL!$C$32, $C$9, 100%, $E$9)</f>
        <v>11.2806</v>
      </c>
      <c r="L332" s="33">
        <f>6.6813 * CHOOSE(CONTROL!$C$32, $C$9, 100%, $E$9)</f>
        <v>6.6813000000000002</v>
      </c>
      <c r="M332" s="33">
        <f>6.6866 * CHOOSE(CONTROL!$C$32, $C$9, 100%, $E$9)</f>
        <v>6.6866000000000003</v>
      </c>
      <c r="N332" s="33">
        <f>6.6813 * CHOOSE(CONTROL!$C$32, $C$9, 100%, $E$9)</f>
        <v>6.6813000000000002</v>
      </c>
      <c r="O332" s="33">
        <f>6.6866 * CHOOSE(CONTROL!$C$32, $C$9, 100%, $E$9)</f>
        <v>6.6866000000000003</v>
      </c>
    </row>
    <row r="333" spans="1:15" ht="15" x14ac:dyDescent="0.2">
      <c r="A333" s="16">
        <v>51349</v>
      </c>
      <c r="B333" s="32">
        <f>5.3517 * CHOOSE(CONTROL!$C$32, $C$9, 100%, $E$9)</f>
        <v>5.3517000000000001</v>
      </c>
      <c r="C333" s="32">
        <f>5.3517 * CHOOSE(CONTROL!$C$32, $C$9, 100%, $E$9)</f>
        <v>5.3517000000000001</v>
      </c>
      <c r="D333" s="32">
        <f>5.3533 * CHOOSE(CONTROL!$C$32, $C$9, 100%, $E$9)</f>
        <v>5.3532999999999999</v>
      </c>
      <c r="E333" s="33">
        <f>6.5764 * CHOOSE(CONTROL!$C$32, $C$9, 100%, $E$9)</f>
        <v>6.5763999999999996</v>
      </c>
      <c r="F333" s="33">
        <f>6.5764 * CHOOSE(CONTROL!$C$32, $C$9, 100%, $E$9)</f>
        <v>6.5763999999999996</v>
      </c>
      <c r="G333" s="33">
        <f>6.5817 * CHOOSE(CONTROL!$C$32, $C$9, 100%, $E$9)</f>
        <v>6.5816999999999997</v>
      </c>
      <c r="H333" s="33">
        <f>11.2988 * CHOOSE(CONTROL!$C$32, $C$9, 100%, $E$9)</f>
        <v>11.2988</v>
      </c>
      <c r="I333" s="33">
        <f>11.3041 * CHOOSE(CONTROL!$C$32, $C$9, 100%, $E$9)</f>
        <v>11.3041</v>
      </c>
      <c r="J333" s="33">
        <f>11.2988 * CHOOSE(CONTROL!$C$32, $C$9, 100%, $E$9)</f>
        <v>11.2988</v>
      </c>
      <c r="K333" s="33">
        <f>11.3041 * CHOOSE(CONTROL!$C$32, $C$9, 100%, $E$9)</f>
        <v>11.3041</v>
      </c>
      <c r="L333" s="33">
        <f>6.5764 * CHOOSE(CONTROL!$C$32, $C$9, 100%, $E$9)</f>
        <v>6.5763999999999996</v>
      </c>
      <c r="M333" s="33">
        <f>6.5817 * CHOOSE(CONTROL!$C$32, $C$9, 100%, $E$9)</f>
        <v>6.5816999999999997</v>
      </c>
      <c r="N333" s="33">
        <f>6.5764 * CHOOSE(CONTROL!$C$32, $C$9, 100%, $E$9)</f>
        <v>6.5763999999999996</v>
      </c>
      <c r="O333" s="33">
        <f>6.5817 * CHOOSE(CONTROL!$C$32, $C$9, 100%, $E$9)</f>
        <v>6.5816999999999997</v>
      </c>
    </row>
    <row r="334" spans="1:15" ht="15" x14ac:dyDescent="0.2">
      <c r="A334" s="16">
        <v>51380</v>
      </c>
      <c r="B334" s="32">
        <f>5.3487 * CHOOSE(CONTROL!$C$32, $C$9, 100%, $E$9)</f>
        <v>5.3487</v>
      </c>
      <c r="C334" s="32">
        <f>5.3487 * CHOOSE(CONTROL!$C$32, $C$9, 100%, $E$9)</f>
        <v>5.3487</v>
      </c>
      <c r="D334" s="32">
        <f>5.3502 * CHOOSE(CONTROL!$C$32, $C$9, 100%, $E$9)</f>
        <v>5.3502000000000001</v>
      </c>
      <c r="E334" s="33">
        <f>6.5621 * CHOOSE(CONTROL!$C$32, $C$9, 100%, $E$9)</f>
        <v>6.5621</v>
      </c>
      <c r="F334" s="33">
        <f>6.5621 * CHOOSE(CONTROL!$C$32, $C$9, 100%, $E$9)</f>
        <v>6.5621</v>
      </c>
      <c r="G334" s="33">
        <f>6.5674 * CHOOSE(CONTROL!$C$32, $C$9, 100%, $E$9)</f>
        <v>6.5674000000000001</v>
      </c>
      <c r="H334" s="33">
        <f>11.3223 * CHOOSE(CONTROL!$C$32, $C$9, 100%, $E$9)</f>
        <v>11.3223</v>
      </c>
      <c r="I334" s="33">
        <f>11.3276 * CHOOSE(CONTROL!$C$32, $C$9, 100%, $E$9)</f>
        <v>11.3276</v>
      </c>
      <c r="J334" s="33">
        <f>11.3223 * CHOOSE(CONTROL!$C$32, $C$9, 100%, $E$9)</f>
        <v>11.3223</v>
      </c>
      <c r="K334" s="33">
        <f>11.3276 * CHOOSE(CONTROL!$C$32, $C$9, 100%, $E$9)</f>
        <v>11.3276</v>
      </c>
      <c r="L334" s="33">
        <f>6.5621 * CHOOSE(CONTROL!$C$32, $C$9, 100%, $E$9)</f>
        <v>6.5621</v>
      </c>
      <c r="M334" s="33">
        <f>6.5674 * CHOOSE(CONTROL!$C$32, $C$9, 100%, $E$9)</f>
        <v>6.5674000000000001</v>
      </c>
      <c r="N334" s="33">
        <f>6.5621 * CHOOSE(CONTROL!$C$32, $C$9, 100%, $E$9)</f>
        <v>6.5621</v>
      </c>
      <c r="O334" s="33">
        <f>6.5674 * CHOOSE(CONTROL!$C$32, $C$9, 100%, $E$9)</f>
        <v>6.5674000000000001</v>
      </c>
    </row>
    <row r="335" spans="1:15" ht="15" x14ac:dyDescent="0.2">
      <c r="A335" s="16">
        <v>51410</v>
      </c>
      <c r="B335" s="32">
        <f>5.3487 * CHOOSE(CONTROL!$C$32, $C$9, 100%, $E$9)</f>
        <v>5.3487</v>
      </c>
      <c r="C335" s="32">
        <f>5.3487 * CHOOSE(CONTROL!$C$32, $C$9, 100%, $E$9)</f>
        <v>5.3487</v>
      </c>
      <c r="D335" s="32">
        <f>5.3498 * CHOOSE(CONTROL!$C$32, $C$9, 100%, $E$9)</f>
        <v>5.3498000000000001</v>
      </c>
      <c r="E335" s="33">
        <f>6.5974 * CHOOSE(CONTROL!$C$32, $C$9, 100%, $E$9)</f>
        <v>6.5974000000000004</v>
      </c>
      <c r="F335" s="33">
        <f>6.5974 * CHOOSE(CONTROL!$C$32, $C$9, 100%, $E$9)</f>
        <v>6.5974000000000004</v>
      </c>
      <c r="G335" s="33">
        <f>6.601 * CHOOSE(CONTROL!$C$32, $C$9, 100%, $E$9)</f>
        <v>6.601</v>
      </c>
      <c r="H335" s="33">
        <f>11.3459 * CHOOSE(CONTROL!$C$32, $C$9, 100%, $E$9)</f>
        <v>11.3459</v>
      </c>
      <c r="I335" s="33">
        <f>11.3495 * CHOOSE(CONTROL!$C$32, $C$9, 100%, $E$9)</f>
        <v>11.349500000000001</v>
      </c>
      <c r="J335" s="33">
        <f>11.3459 * CHOOSE(CONTROL!$C$32, $C$9, 100%, $E$9)</f>
        <v>11.3459</v>
      </c>
      <c r="K335" s="33">
        <f>11.3495 * CHOOSE(CONTROL!$C$32, $C$9, 100%, $E$9)</f>
        <v>11.349500000000001</v>
      </c>
      <c r="L335" s="33">
        <f>6.5974 * CHOOSE(CONTROL!$C$32, $C$9, 100%, $E$9)</f>
        <v>6.5974000000000004</v>
      </c>
      <c r="M335" s="33">
        <f>6.601 * CHOOSE(CONTROL!$C$32, $C$9, 100%, $E$9)</f>
        <v>6.601</v>
      </c>
      <c r="N335" s="33">
        <f>6.5974 * CHOOSE(CONTROL!$C$32, $C$9, 100%, $E$9)</f>
        <v>6.5974000000000004</v>
      </c>
      <c r="O335" s="33">
        <f>6.601 * CHOOSE(CONTROL!$C$32, $C$9, 100%, $E$9)</f>
        <v>6.601</v>
      </c>
    </row>
    <row r="336" spans="1:15" ht="15" x14ac:dyDescent="0.2">
      <c r="A336" s="16">
        <v>51441</v>
      </c>
      <c r="B336" s="32">
        <f>5.3518 * CHOOSE(CONTROL!$C$32, $C$9, 100%, $E$9)</f>
        <v>5.3517999999999999</v>
      </c>
      <c r="C336" s="32">
        <f>5.3518 * CHOOSE(CONTROL!$C$32, $C$9, 100%, $E$9)</f>
        <v>5.3517999999999999</v>
      </c>
      <c r="D336" s="32">
        <f>5.3528 * CHOOSE(CONTROL!$C$32, $C$9, 100%, $E$9)</f>
        <v>5.3528000000000002</v>
      </c>
      <c r="E336" s="33">
        <f>6.6239 * CHOOSE(CONTROL!$C$32, $C$9, 100%, $E$9)</f>
        <v>6.6238999999999999</v>
      </c>
      <c r="F336" s="33">
        <f>6.6239 * CHOOSE(CONTROL!$C$32, $C$9, 100%, $E$9)</f>
        <v>6.6238999999999999</v>
      </c>
      <c r="G336" s="33">
        <f>6.6275 * CHOOSE(CONTROL!$C$32, $C$9, 100%, $E$9)</f>
        <v>6.6275000000000004</v>
      </c>
      <c r="H336" s="33">
        <f>11.3695 * CHOOSE(CONTROL!$C$32, $C$9, 100%, $E$9)</f>
        <v>11.3695</v>
      </c>
      <c r="I336" s="33">
        <f>11.3731 * CHOOSE(CONTROL!$C$32, $C$9, 100%, $E$9)</f>
        <v>11.373100000000001</v>
      </c>
      <c r="J336" s="33">
        <f>11.3695 * CHOOSE(CONTROL!$C$32, $C$9, 100%, $E$9)</f>
        <v>11.3695</v>
      </c>
      <c r="K336" s="33">
        <f>11.3731 * CHOOSE(CONTROL!$C$32, $C$9, 100%, $E$9)</f>
        <v>11.373100000000001</v>
      </c>
      <c r="L336" s="33">
        <f>6.6239 * CHOOSE(CONTROL!$C$32, $C$9, 100%, $E$9)</f>
        <v>6.6238999999999999</v>
      </c>
      <c r="M336" s="33">
        <f>6.6275 * CHOOSE(CONTROL!$C$32, $C$9, 100%, $E$9)</f>
        <v>6.6275000000000004</v>
      </c>
      <c r="N336" s="33">
        <f>6.6239 * CHOOSE(CONTROL!$C$32, $C$9, 100%, $E$9)</f>
        <v>6.6238999999999999</v>
      </c>
      <c r="O336" s="33">
        <f>6.6275 * CHOOSE(CONTROL!$C$32, $C$9, 100%, $E$9)</f>
        <v>6.6275000000000004</v>
      </c>
    </row>
    <row r="337" spans="1:15" ht="15" x14ac:dyDescent="0.2">
      <c r="A337" s="16">
        <v>51471</v>
      </c>
      <c r="B337" s="32">
        <f>5.3518 * CHOOSE(CONTROL!$C$32, $C$9, 100%, $E$9)</f>
        <v>5.3517999999999999</v>
      </c>
      <c r="C337" s="32">
        <f>5.3518 * CHOOSE(CONTROL!$C$32, $C$9, 100%, $E$9)</f>
        <v>5.3517999999999999</v>
      </c>
      <c r="D337" s="32">
        <f>5.3528 * CHOOSE(CONTROL!$C$32, $C$9, 100%, $E$9)</f>
        <v>5.3528000000000002</v>
      </c>
      <c r="E337" s="33">
        <f>6.563 * CHOOSE(CONTROL!$C$32, $C$9, 100%, $E$9)</f>
        <v>6.5629999999999997</v>
      </c>
      <c r="F337" s="33">
        <f>6.563 * CHOOSE(CONTROL!$C$32, $C$9, 100%, $E$9)</f>
        <v>6.5629999999999997</v>
      </c>
      <c r="G337" s="33">
        <f>6.5666 * CHOOSE(CONTROL!$C$32, $C$9, 100%, $E$9)</f>
        <v>6.5666000000000002</v>
      </c>
      <c r="H337" s="33">
        <f>11.3932 * CHOOSE(CONTROL!$C$32, $C$9, 100%, $E$9)</f>
        <v>11.3932</v>
      </c>
      <c r="I337" s="33">
        <f>11.3968 * CHOOSE(CONTROL!$C$32, $C$9, 100%, $E$9)</f>
        <v>11.396800000000001</v>
      </c>
      <c r="J337" s="33">
        <f>11.3932 * CHOOSE(CONTROL!$C$32, $C$9, 100%, $E$9)</f>
        <v>11.3932</v>
      </c>
      <c r="K337" s="33">
        <f>11.3968 * CHOOSE(CONTROL!$C$32, $C$9, 100%, $E$9)</f>
        <v>11.396800000000001</v>
      </c>
      <c r="L337" s="33">
        <f>6.563 * CHOOSE(CONTROL!$C$32, $C$9, 100%, $E$9)</f>
        <v>6.5629999999999997</v>
      </c>
      <c r="M337" s="33">
        <f>6.5666 * CHOOSE(CONTROL!$C$32, $C$9, 100%, $E$9)</f>
        <v>6.5666000000000002</v>
      </c>
      <c r="N337" s="33">
        <f>6.563 * CHOOSE(CONTROL!$C$32, $C$9, 100%, $E$9)</f>
        <v>6.5629999999999997</v>
      </c>
      <c r="O337" s="33">
        <f>6.5666 * CHOOSE(CONTROL!$C$32, $C$9, 100%, $E$9)</f>
        <v>6.5666000000000002</v>
      </c>
    </row>
    <row r="338" spans="1:15" ht="15" x14ac:dyDescent="0.2">
      <c r="A338" s="16">
        <v>51502</v>
      </c>
      <c r="B338" s="32">
        <f>5.3929 * CHOOSE(CONTROL!$C$32, $C$9, 100%, $E$9)</f>
        <v>5.3929</v>
      </c>
      <c r="C338" s="32">
        <f>5.3929 * CHOOSE(CONTROL!$C$32, $C$9, 100%, $E$9)</f>
        <v>5.3929</v>
      </c>
      <c r="D338" s="32">
        <f>5.3939 * CHOOSE(CONTROL!$C$32, $C$9, 100%, $E$9)</f>
        <v>5.3939000000000004</v>
      </c>
      <c r="E338" s="33">
        <f>6.6304 * CHOOSE(CONTROL!$C$32, $C$9, 100%, $E$9)</f>
        <v>6.6303999999999998</v>
      </c>
      <c r="F338" s="33">
        <f>6.6304 * CHOOSE(CONTROL!$C$32, $C$9, 100%, $E$9)</f>
        <v>6.6303999999999998</v>
      </c>
      <c r="G338" s="33">
        <f>6.6341 * CHOOSE(CONTROL!$C$32, $C$9, 100%, $E$9)</f>
        <v>6.6341000000000001</v>
      </c>
      <c r="H338" s="33">
        <f>11.4169 * CHOOSE(CONTROL!$C$32, $C$9, 100%, $E$9)</f>
        <v>11.4169</v>
      </c>
      <c r="I338" s="33">
        <f>11.4206 * CHOOSE(CONTROL!$C$32, $C$9, 100%, $E$9)</f>
        <v>11.4206</v>
      </c>
      <c r="J338" s="33">
        <f>11.4169 * CHOOSE(CONTROL!$C$32, $C$9, 100%, $E$9)</f>
        <v>11.4169</v>
      </c>
      <c r="K338" s="33">
        <f>11.4206 * CHOOSE(CONTROL!$C$32, $C$9, 100%, $E$9)</f>
        <v>11.4206</v>
      </c>
      <c r="L338" s="33">
        <f>6.6304 * CHOOSE(CONTROL!$C$32, $C$9, 100%, $E$9)</f>
        <v>6.6303999999999998</v>
      </c>
      <c r="M338" s="33">
        <f>6.6341 * CHOOSE(CONTROL!$C$32, $C$9, 100%, $E$9)</f>
        <v>6.6341000000000001</v>
      </c>
      <c r="N338" s="33">
        <f>6.6304 * CHOOSE(CONTROL!$C$32, $C$9, 100%, $E$9)</f>
        <v>6.6303999999999998</v>
      </c>
      <c r="O338" s="33">
        <f>6.6341 * CHOOSE(CONTROL!$C$32, $C$9, 100%, $E$9)</f>
        <v>6.6341000000000001</v>
      </c>
    </row>
    <row r="339" spans="1:15" ht="15" x14ac:dyDescent="0.2">
      <c r="A339" s="16">
        <v>51533</v>
      </c>
      <c r="B339" s="32">
        <f>5.3898 * CHOOSE(CONTROL!$C$32, $C$9, 100%, $E$9)</f>
        <v>5.3898000000000001</v>
      </c>
      <c r="C339" s="32">
        <f>5.3898 * CHOOSE(CONTROL!$C$32, $C$9, 100%, $E$9)</f>
        <v>5.3898000000000001</v>
      </c>
      <c r="D339" s="32">
        <f>5.3909 * CHOOSE(CONTROL!$C$32, $C$9, 100%, $E$9)</f>
        <v>5.3909000000000002</v>
      </c>
      <c r="E339" s="33">
        <f>6.5096 * CHOOSE(CONTROL!$C$32, $C$9, 100%, $E$9)</f>
        <v>6.5095999999999998</v>
      </c>
      <c r="F339" s="33">
        <f>6.5096 * CHOOSE(CONTROL!$C$32, $C$9, 100%, $E$9)</f>
        <v>6.5095999999999998</v>
      </c>
      <c r="G339" s="33">
        <f>6.5132 * CHOOSE(CONTROL!$C$32, $C$9, 100%, $E$9)</f>
        <v>6.5132000000000003</v>
      </c>
      <c r="H339" s="33">
        <f>11.4407 * CHOOSE(CONTROL!$C$32, $C$9, 100%, $E$9)</f>
        <v>11.4407</v>
      </c>
      <c r="I339" s="33">
        <f>11.4443 * CHOOSE(CONTROL!$C$32, $C$9, 100%, $E$9)</f>
        <v>11.4443</v>
      </c>
      <c r="J339" s="33">
        <f>11.4407 * CHOOSE(CONTROL!$C$32, $C$9, 100%, $E$9)</f>
        <v>11.4407</v>
      </c>
      <c r="K339" s="33">
        <f>11.4443 * CHOOSE(CONTROL!$C$32, $C$9, 100%, $E$9)</f>
        <v>11.4443</v>
      </c>
      <c r="L339" s="33">
        <f>6.5096 * CHOOSE(CONTROL!$C$32, $C$9, 100%, $E$9)</f>
        <v>6.5095999999999998</v>
      </c>
      <c r="M339" s="33">
        <f>6.5132 * CHOOSE(CONTROL!$C$32, $C$9, 100%, $E$9)</f>
        <v>6.5132000000000003</v>
      </c>
      <c r="N339" s="33">
        <f>6.5096 * CHOOSE(CONTROL!$C$32, $C$9, 100%, $E$9)</f>
        <v>6.5095999999999998</v>
      </c>
      <c r="O339" s="33">
        <f>6.5132 * CHOOSE(CONTROL!$C$32, $C$9, 100%, $E$9)</f>
        <v>6.5132000000000003</v>
      </c>
    </row>
    <row r="340" spans="1:15" ht="15" x14ac:dyDescent="0.2">
      <c r="A340" s="16">
        <v>51561</v>
      </c>
      <c r="B340" s="32">
        <f>5.3868 * CHOOSE(CONTROL!$C$32, $C$9, 100%, $E$9)</f>
        <v>5.3868</v>
      </c>
      <c r="C340" s="32">
        <f>5.3868 * CHOOSE(CONTROL!$C$32, $C$9, 100%, $E$9)</f>
        <v>5.3868</v>
      </c>
      <c r="D340" s="32">
        <f>5.3878 * CHOOSE(CONTROL!$C$32, $C$9, 100%, $E$9)</f>
        <v>5.3878000000000004</v>
      </c>
      <c r="E340" s="33">
        <f>6.6011 * CHOOSE(CONTROL!$C$32, $C$9, 100%, $E$9)</f>
        <v>6.6010999999999997</v>
      </c>
      <c r="F340" s="33">
        <f>6.6011 * CHOOSE(CONTROL!$C$32, $C$9, 100%, $E$9)</f>
        <v>6.6010999999999997</v>
      </c>
      <c r="G340" s="33">
        <f>6.6047 * CHOOSE(CONTROL!$C$32, $C$9, 100%, $E$9)</f>
        <v>6.6047000000000002</v>
      </c>
      <c r="H340" s="33">
        <f>11.4646 * CHOOSE(CONTROL!$C$32, $C$9, 100%, $E$9)</f>
        <v>11.464600000000001</v>
      </c>
      <c r="I340" s="33">
        <f>11.4682 * CHOOSE(CONTROL!$C$32, $C$9, 100%, $E$9)</f>
        <v>11.4682</v>
      </c>
      <c r="J340" s="33">
        <f>11.4646 * CHOOSE(CONTROL!$C$32, $C$9, 100%, $E$9)</f>
        <v>11.464600000000001</v>
      </c>
      <c r="K340" s="33">
        <f>11.4682 * CHOOSE(CONTROL!$C$32, $C$9, 100%, $E$9)</f>
        <v>11.4682</v>
      </c>
      <c r="L340" s="33">
        <f>6.6011 * CHOOSE(CONTROL!$C$32, $C$9, 100%, $E$9)</f>
        <v>6.6010999999999997</v>
      </c>
      <c r="M340" s="33">
        <f>6.6047 * CHOOSE(CONTROL!$C$32, $C$9, 100%, $E$9)</f>
        <v>6.6047000000000002</v>
      </c>
      <c r="N340" s="33">
        <f>6.6011 * CHOOSE(CONTROL!$C$32, $C$9, 100%, $E$9)</f>
        <v>6.6010999999999997</v>
      </c>
      <c r="O340" s="33">
        <f>6.6047 * CHOOSE(CONTROL!$C$32, $C$9, 100%, $E$9)</f>
        <v>6.6047000000000002</v>
      </c>
    </row>
    <row r="341" spans="1:15" ht="15" x14ac:dyDescent="0.2">
      <c r="A341" s="16">
        <v>51592</v>
      </c>
      <c r="B341" s="32">
        <f>5.3858 * CHOOSE(CONTROL!$C$32, $C$9, 100%, $E$9)</f>
        <v>5.3857999999999997</v>
      </c>
      <c r="C341" s="32">
        <f>5.3858 * CHOOSE(CONTROL!$C$32, $C$9, 100%, $E$9)</f>
        <v>5.3857999999999997</v>
      </c>
      <c r="D341" s="32">
        <f>5.3868 * CHOOSE(CONTROL!$C$32, $C$9, 100%, $E$9)</f>
        <v>5.3868</v>
      </c>
      <c r="E341" s="33">
        <f>6.6974 * CHOOSE(CONTROL!$C$32, $C$9, 100%, $E$9)</f>
        <v>6.6974</v>
      </c>
      <c r="F341" s="33">
        <f>6.6974 * CHOOSE(CONTROL!$C$32, $C$9, 100%, $E$9)</f>
        <v>6.6974</v>
      </c>
      <c r="G341" s="33">
        <f>6.701 * CHOOSE(CONTROL!$C$32, $C$9, 100%, $E$9)</f>
        <v>6.7009999999999996</v>
      </c>
      <c r="H341" s="33">
        <f>11.4884 * CHOOSE(CONTROL!$C$32, $C$9, 100%, $E$9)</f>
        <v>11.4884</v>
      </c>
      <c r="I341" s="33">
        <f>11.4921 * CHOOSE(CONTROL!$C$32, $C$9, 100%, $E$9)</f>
        <v>11.492100000000001</v>
      </c>
      <c r="J341" s="33">
        <f>11.4884 * CHOOSE(CONTROL!$C$32, $C$9, 100%, $E$9)</f>
        <v>11.4884</v>
      </c>
      <c r="K341" s="33">
        <f>11.4921 * CHOOSE(CONTROL!$C$32, $C$9, 100%, $E$9)</f>
        <v>11.492100000000001</v>
      </c>
      <c r="L341" s="33">
        <f>6.6974 * CHOOSE(CONTROL!$C$32, $C$9, 100%, $E$9)</f>
        <v>6.6974</v>
      </c>
      <c r="M341" s="33">
        <f>6.701 * CHOOSE(CONTROL!$C$32, $C$9, 100%, $E$9)</f>
        <v>6.7009999999999996</v>
      </c>
      <c r="N341" s="33">
        <f>6.6974 * CHOOSE(CONTROL!$C$32, $C$9, 100%, $E$9)</f>
        <v>6.6974</v>
      </c>
      <c r="O341" s="33">
        <f>6.701 * CHOOSE(CONTROL!$C$32, $C$9, 100%, $E$9)</f>
        <v>6.7009999999999996</v>
      </c>
    </row>
    <row r="342" spans="1:15" ht="15" x14ac:dyDescent="0.2">
      <c r="A342" s="16">
        <v>51622</v>
      </c>
      <c r="B342" s="32">
        <f>5.3858 * CHOOSE(CONTROL!$C$32, $C$9, 100%, $E$9)</f>
        <v>5.3857999999999997</v>
      </c>
      <c r="C342" s="32">
        <f>5.3858 * CHOOSE(CONTROL!$C$32, $C$9, 100%, $E$9)</f>
        <v>5.3857999999999997</v>
      </c>
      <c r="D342" s="32">
        <f>5.3873 * CHOOSE(CONTROL!$C$32, $C$9, 100%, $E$9)</f>
        <v>5.3872999999999998</v>
      </c>
      <c r="E342" s="33">
        <f>6.7351 * CHOOSE(CONTROL!$C$32, $C$9, 100%, $E$9)</f>
        <v>6.7351000000000001</v>
      </c>
      <c r="F342" s="33">
        <f>6.7351 * CHOOSE(CONTROL!$C$32, $C$9, 100%, $E$9)</f>
        <v>6.7351000000000001</v>
      </c>
      <c r="G342" s="33">
        <f>6.7404 * CHOOSE(CONTROL!$C$32, $C$9, 100%, $E$9)</f>
        <v>6.7404000000000002</v>
      </c>
      <c r="H342" s="33">
        <f>11.5124 * CHOOSE(CONTROL!$C$32, $C$9, 100%, $E$9)</f>
        <v>11.5124</v>
      </c>
      <c r="I342" s="33">
        <f>11.5177 * CHOOSE(CONTROL!$C$32, $C$9, 100%, $E$9)</f>
        <v>11.5177</v>
      </c>
      <c r="J342" s="33">
        <f>11.5124 * CHOOSE(CONTROL!$C$32, $C$9, 100%, $E$9)</f>
        <v>11.5124</v>
      </c>
      <c r="K342" s="33">
        <f>11.5177 * CHOOSE(CONTROL!$C$32, $C$9, 100%, $E$9)</f>
        <v>11.5177</v>
      </c>
      <c r="L342" s="33">
        <f>6.7351 * CHOOSE(CONTROL!$C$32, $C$9, 100%, $E$9)</f>
        <v>6.7351000000000001</v>
      </c>
      <c r="M342" s="33">
        <f>6.7404 * CHOOSE(CONTROL!$C$32, $C$9, 100%, $E$9)</f>
        <v>6.7404000000000002</v>
      </c>
      <c r="N342" s="33">
        <f>6.7351 * CHOOSE(CONTROL!$C$32, $C$9, 100%, $E$9)</f>
        <v>6.7351000000000001</v>
      </c>
      <c r="O342" s="33">
        <f>6.7404 * CHOOSE(CONTROL!$C$32, $C$9, 100%, $E$9)</f>
        <v>6.7404000000000002</v>
      </c>
    </row>
    <row r="343" spans="1:15" ht="15" x14ac:dyDescent="0.2">
      <c r="A343" s="16">
        <v>51653</v>
      </c>
      <c r="B343" s="32">
        <f>5.3918 * CHOOSE(CONTROL!$C$32, $C$9, 100%, $E$9)</f>
        <v>5.3917999999999999</v>
      </c>
      <c r="C343" s="32">
        <f>5.3918 * CHOOSE(CONTROL!$C$32, $C$9, 100%, $E$9)</f>
        <v>5.3917999999999999</v>
      </c>
      <c r="D343" s="32">
        <f>5.3934 * CHOOSE(CONTROL!$C$32, $C$9, 100%, $E$9)</f>
        <v>5.3933999999999997</v>
      </c>
      <c r="E343" s="33">
        <f>6.7016 * CHOOSE(CONTROL!$C$32, $C$9, 100%, $E$9)</f>
        <v>6.7016</v>
      </c>
      <c r="F343" s="33">
        <f>6.7016 * CHOOSE(CONTROL!$C$32, $C$9, 100%, $E$9)</f>
        <v>6.7016</v>
      </c>
      <c r="G343" s="33">
        <f>6.7069 * CHOOSE(CONTROL!$C$32, $C$9, 100%, $E$9)</f>
        <v>6.7069000000000001</v>
      </c>
      <c r="H343" s="33">
        <f>11.5364 * CHOOSE(CONTROL!$C$32, $C$9, 100%, $E$9)</f>
        <v>11.5364</v>
      </c>
      <c r="I343" s="33">
        <f>11.5417 * CHOOSE(CONTROL!$C$32, $C$9, 100%, $E$9)</f>
        <v>11.541700000000001</v>
      </c>
      <c r="J343" s="33">
        <f>11.5364 * CHOOSE(CONTROL!$C$32, $C$9, 100%, $E$9)</f>
        <v>11.5364</v>
      </c>
      <c r="K343" s="33">
        <f>11.5417 * CHOOSE(CONTROL!$C$32, $C$9, 100%, $E$9)</f>
        <v>11.541700000000001</v>
      </c>
      <c r="L343" s="33">
        <f>6.7016 * CHOOSE(CONTROL!$C$32, $C$9, 100%, $E$9)</f>
        <v>6.7016</v>
      </c>
      <c r="M343" s="33">
        <f>6.7069 * CHOOSE(CONTROL!$C$32, $C$9, 100%, $E$9)</f>
        <v>6.7069000000000001</v>
      </c>
      <c r="N343" s="33">
        <f>6.7016 * CHOOSE(CONTROL!$C$32, $C$9, 100%, $E$9)</f>
        <v>6.7016</v>
      </c>
      <c r="O343" s="33">
        <f>6.7069 * CHOOSE(CONTROL!$C$32, $C$9, 100%, $E$9)</f>
        <v>6.7069000000000001</v>
      </c>
    </row>
    <row r="344" spans="1:15" ht="15" x14ac:dyDescent="0.2">
      <c r="A344" s="16">
        <v>51683</v>
      </c>
      <c r="B344" s="32">
        <f>5.4648 * CHOOSE(CONTROL!$C$32, $C$9, 100%, $E$9)</f>
        <v>5.4648000000000003</v>
      </c>
      <c r="C344" s="32">
        <f>5.4648 * CHOOSE(CONTROL!$C$32, $C$9, 100%, $E$9)</f>
        <v>5.4648000000000003</v>
      </c>
      <c r="D344" s="32">
        <f>5.4664 * CHOOSE(CONTROL!$C$32, $C$9, 100%, $E$9)</f>
        <v>5.4664000000000001</v>
      </c>
      <c r="E344" s="33">
        <f>6.7253 * CHOOSE(CONTROL!$C$32, $C$9, 100%, $E$9)</f>
        <v>6.7252999999999998</v>
      </c>
      <c r="F344" s="33">
        <f>6.7253 * CHOOSE(CONTROL!$C$32, $C$9, 100%, $E$9)</f>
        <v>6.7252999999999998</v>
      </c>
      <c r="G344" s="33">
        <f>6.7306 * CHOOSE(CONTROL!$C$32, $C$9, 100%, $E$9)</f>
        <v>6.7305999999999999</v>
      </c>
      <c r="H344" s="33">
        <f>11.5604 * CHOOSE(CONTROL!$C$32, $C$9, 100%, $E$9)</f>
        <v>11.5604</v>
      </c>
      <c r="I344" s="33">
        <f>11.5657 * CHOOSE(CONTROL!$C$32, $C$9, 100%, $E$9)</f>
        <v>11.5657</v>
      </c>
      <c r="J344" s="33">
        <f>11.5604 * CHOOSE(CONTROL!$C$32, $C$9, 100%, $E$9)</f>
        <v>11.5604</v>
      </c>
      <c r="K344" s="33">
        <f>11.5657 * CHOOSE(CONTROL!$C$32, $C$9, 100%, $E$9)</f>
        <v>11.5657</v>
      </c>
      <c r="L344" s="33">
        <f>6.7253 * CHOOSE(CONTROL!$C$32, $C$9, 100%, $E$9)</f>
        <v>6.7252999999999998</v>
      </c>
      <c r="M344" s="33">
        <f>6.7306 * CHOOSE(CONTROL!$C$32, $C$9, 100%, $E$9)</f>
        <v>6.7305999999999999</v>
      </c>
      <c r="N344" s="33">
        <f>6.7253 * CHOOSE(CONTROL!$C$32, $C$9, 100%, $E$9)</f>
        <v>6.7252999999999998</v>
      </c>
      <c r="O344" s="33">
        <f>6.7306 * CHOOSE(CONTROL!$C$32, $C$9, 100%, $E$9)</f>
        <v>6.7305999999999999</v>
      </c>
    </row>
    <row r="345" spans="1:15" ht="15" x14ac:dyDescent="0.2">
      <c r="A345" s="16">
        <v>51714</v>
      </c>
      <c r="B345" s="32">
        <f>5.4715 * CHOOSE(CONTROL!$C$32, $C$9, 100%, $E$9)</f>
        <v>5.4714999999999998</v>
      </c>
      <c r="C345" s="32">
        <f>5.4715 * CHOOSE(CONTROL!$C$32, $C$9, 100%, $E$9)</f>
        <v>5.4714999999999998</v>
      </c>
      <c r="D345" s="32">
        <f>5.4731 * CHOOSE(CONTROL!$C$32, $C$9, 100%, $E$9)</f>
        <v>5.4730999999999996</v>
      </c>
      <c r="E345" s="33">
        <f>6.6169 * CHOOSE(CONTROL!$C$32, $C$9, 100%, $E$9)</f>
        <v>6.6169000000000002</v>
      </c>
      <c r="F345" s="33">
        <f>6.6169 * CHOOSE(CONTROL!$C$32, $C$9, 100%, $E$9)</f>
        <v>6.6169000000000002</v>
      </c>
      <c r="G345" s="33">
        <f>6.6222 * CHOOSE(CONTROL!$C$32, $C$9, 100%, $E$9)</f>
        <v>6.6222000000000003</v>
      </c>
      <c r="H345" s="33">
        <f>11.5845 * CHOOSE(CONTROL!$C$32, $C$9, 100%, $E$9)</f>
        <v>11.5845</v>
      </c>
      <c r="I345" s="33">
        <f>11.5898 * CHOOSE(CONTROL!$C$32, $C$9, 100%, $E$9)</f>
        <v>11.5898</v>
      </c>
      <c r="J345" s="33">
        <f>11.5845 * CHOOSE(CONTROL!$C$32, $C$9, 100%, $E$9)</f>
        <v>11.5845</v>
      </c>
      <c r="K345" s="33">
        <f>11.5898 * CHOOSE(CONTROL!$C$32, $C$9, 100%, $E$9)</f>
        <v>11.5898</v>
      </c>
      <c r="L345" s="33">
        <f>6.6169 * CHOOSE(CONTROL!$C$32, $C$9, 100%, $E$9)</f>
        <v>6.6169000000000002</v>
      </c>
      <c r="M345" s="33">
        <f>6.6222 * CHOOSE(CONTROL!$C$32, $C$9, 100%, $E$9)</f>
        <v>6.6222000000000003</v>
      </c>
      <c r="N345" s="33">
        <f>6.6169 * CHOOSE(CONTROL!$C$32, $C$9, 100%, $E$9)</f>
        <v>6.6169000000000002</v>
      </c>
      <c r="O345" s="33">
        <f>6.6222 * CHOOSE(CONTROL!$C$32, $C$9, 100%, $E$9)</f>
        <v>6.6222000000000003</v>
      </c>
    </row>
    <row r="346" spans="1:15" ht="15" x14ac:dyDescent="0.2">
      <c r="A346" s="16">
        <v>51745</v>
      </c>
      <c r="B346" s="32">
        <f>5.4685 * CHOOSE(CONTROL!$C$32, $C$9, 100%, $E$9)</f>
        <v>5.4684999999999997</v>
      </c>
      <c r="C346" s="32">
        <f>5.4685 * CHOOSE(CONTROL!$C$32, $C$9, 100%, $E$9)</f>
        <v>5.4684999999999997</v>
      </c>
      <c r="D346" s="32">
        <f>5.47 * CHOOSE(CONTROL!$C$32, $C$9, 100%, $E$9)</f>
        <v>5.47</v>
      </c>
      <c r="E346" s="33">
        <f>6.6022 * CHOOSE(CONTROL!$C$32, $C$9, 100%, $E$9)</f>
        <v>6.6021999999999998</v>
      </c>
      <c r="F346" s="33">
        <f>6.6022 * CHOOSE(CONTROL!$C$32, $C$9, 100%, $E$9)</f>
        <v>6.6021999999999998</v>
      </c>
      <c r="G346" s="33">
        <f>6.6075 * CHOOSE(CONTROL!$C$32, $C$9, 100%, $E$9)</f>
        <v>6.6074999999999999</v>
      </c>
      <c r="H346" s="33">
        <f>11.6086 * CHOOSE(CONTROL!$C$32, $C$9, 100%, $E$9)</f>
        <v>11.608599999999999</v>
      </c>
      <c r="I346" s="33">
        <f>11.6139 * CHOOSE(CONTROL!$C$32, $C$9, 100%, $E$9)</f>
        <v>11.613899999999999</v>
      </c>
      <c r="J346" s="33">
        <f>11.6086 * CHOOSE(CONTROL!$C$32, $C$9, 100%, $E$9)</f>
        <v>11.608599999999999</v>
      </c>
      <c r="K346" s="33">
        <f>11.6139 * CHOOSE(CONTROL!$C$32, $C$9, 100%, $E$9)</f>
        <v>11.613899999999999</v>
      </c>
      <c r="L346" s="33">
        <f>6.6022 * CHOOSE(CONTROL!$C$32, $C$9, 100%, $E$9)</f>
        <v>6.6021999999999998</v>
      </c>
      <c r="M346" s="33">
        <f>6.6075 * CHOOSE(CONTROL!$C$32, $C$9, 100%, $E$9)</f>
        <v>6.6074999999999999</v>
      </c>
      <c r="N346" s="33">
        <f>6.6022 * CHOOSE(CONTROL!$C$32, $C$9, 100%, $E$9)</f>
        <v>6.6021999999999998</v>
      </c>
      <c r="O346" s="33">
        <f>6.6075 * CHOOSE(CONTROL!$C$32, $C$9, 100%, $E$9)</f>
        <v>6.6074999999999999</v>
      </c>
    </row>
    <row r="347" spans="1:15" ht="15" x14ac:dyDescent="0.2">
      <c r="A347" s="16">
        <v>51775</v>
      </c>
      <c r="B347" s="32">
        <f>5.469 * CHOOSE(CONTROL!$C$32, $C$9, 100%, $E$9)</f>
        <v>5.4690000000000003</v>
      </c>
      <c r="C347" s="32">
        <f>5.469 * CHOOSE(CONTROL!$C$32, $C$9, 100%, $E$9)</f>
        <v>5.4690000000000003</v>
      </c>
      <c r="D347" s="32">
        <f>5.47 * CHOOSE(CONTROL!$C$32, $C$9, 100%, $E$9)</f>
        <v>5.47</v>
      </c>
      <c r="E347" s="33">
        <f>6.639 * CHOOSE(CONTROL!$C$32, $C$9, 100%, $E$9)</f>
        <v>6.6390000000000002</v>
      </c>
      <c r="F347" s="33">
        <f>6.639 * CHOOSE(CONTROL!$C$32, $C$9, 100%, $E$9)</f>
        <v>6.6390000000000002</v>
      </c>
      <c r="G347" s="33">
        <f>6.6427 * CHOOSE(CONTROL!$C$32, $C$9, 100%, $E$9)</f>
        <v>6.6426999999999996</v>
      </c>
      <c r="H347" s="33">
        <f>11.6328 * CHOOSE(CONTROL!$C$32, $C$9, 100%, $E$9)</f>
        <v>11.6328</v>
      </c>
      <c r="I347" s="33">
        <f>11.6364 * CHOOSE(CONTROL!$C$32, $C$9, 100%, $E$9)</f>
        <v>11.6364</v>
      </c>
      <c r="J347" s="33">
        <f>11.6328 * CHOOSE(CONTROL!$C$32, $C$9, 100%, $E$9)</f>
        <v>11.6328</v>
      </c>
      <c r="K347" s="33">
        <f>11.6364 * CHOOSE(CONTROL!$C$32, $C$9, 100%, $E$9)</f>
        <v>11.6364</v>
      </c>
      <c r="L347" s="33">
        <f>6.639 * CHOOSE(CONTROL!$C$32, $C$9, 100%, $E$9)</f>
        <v>6.6390000000000002</v>
      </c>
      <c r="M347" s="33">
        <f>6.6427 * CHOOSE(CONTROL!$C$32, $C$9, 100%, $E$9)</f>
        <v>6.6426999999999996</v>
      </c>
      <c r="N347" s="33">
        <f>6.639 * CHOOSE(CONTROL!$C$32, $C$9, 100%, $E$9)</f>
        <v>6.6390000000000002</v>
      </c>
      <c r="O347" s="33">
        <f>6.6427 * CHOOSE(CONTROL!$C$32, $C$9, 100%, $E$9)</f>
        <v>6.6426999999999996</v>
      </c>
    </row>
    <row r="348" spans="1:15" ht="15" x14ac:dyDescent="0.2">
      <c r="A348" s="16">
        <v>51806</v>
      </c>
      <c r="B348" s="32">
        <f>5.472 * CHOOSE(CONTROL!$C$32, $C$9, 100%, $E$9)</f>
        <v>5.4720000000000004</v>
      </c>
      <c r="C348" s="32">
        <f>5.472 * CHOOSE(CONTROL!$C$32, $C$9, 100%, $E$9)</f>
        <v>5.4720000000000004</v>
      </c>
      <c r="D348" s="32">
        <f>5.4731 * CHOOSE(CONTROL!$C$32, $C$9, 100%, $E$9)</f>
        <v>5.4730999999999996</v>
      </c>
      <c r="E348" s="33">
        <f>6.6663 * CHOOSE(CONTROL!$C$32, $C$9, 100%, $E$9)</f>
        <v>6.6662999999999997</v>
      </c>
      <c r="F348" s="33">
        <f>6.6663 * CHOOSE(CONTROL!$C$32, $C$9, 100%, $E$9)</f>
        <v>6.6662999999999997</v>
      </c>
      <c r="G348" s="33">
        <f>6.6699 * CHOOSE(CONTROL!$C$32, $C$9, 100%, $E$9)</f>
        <v>6.6699000000000002</v>
      </c>
      <c r="H348" s="33">
        <f>11.657 * CHOOSE(CONTROL!$C$32, $C$9, 100%, $E$9)</f>
        <v>11.657</v>
      </c>
      <c r="I348" s="33">
        <f>11.6607 * CHOOSE(CONTROL!$C$32, $C$9, 100%, $E$9)</f>
        <v>11.6607</v>
      </c>
      <c r="J348" s="33">
        <f>11.657 * CHOOSE(CONTROL!$C$32, $C$9, 100%, $E$9)</f>
        <v>11.657</v>
      </c>
      <c r="K348" s="33">
        <f>11.6607 * CHOOSE(CONTROL!$C$32, $C$9, 100%, $E$9)</f>
        <v>11.6607</v>
      </c>
      <c r="L348" s="33">
        <f>6.6663 * CHOOSE(CONTROL!$C$32, $C$9, 100%, $E$9)</f>
        <v>6.6662999999999997</v>
      </c>
      <c r="M348" s="33">
        <f>6.6699 * CHOOSE(CONTROL!$C$32, $C$9, 100%, $E$9)</f>
        <v>6.6699000000000002</v>
      </c>
      <c r="N348" s="33">
        <f>6.6663 * CHOOSE(CONTROL!$C$32, $C$9, 100%, $E$9)</f>
        <v>6.6662999999999997</v>
      </c>
      <c r="O348" s="33">
        <f>6.6699 * CHOOSE(CONTROL!$C$32, $C$9, 100%, $E$9)</f>
        <v>6.6699000000000002</v>
      </c>
    </row>
    <row r="349" spans="1:15" ht="15" x14ac:dyDescent="0.2">
      <c r="A349" s="16">
        <v>51836</v>
      </c>
      <c r="B349" s="32">
        <f>5.472 * CHOOSE(CONTROL!$C$32, $C$9, 100%, $E$9)</f>
        <v>5.4720000000000004</v>
      </c>
      <c r="C349" s="32">
        <f>5.472 * CHOOSE(CONTROL!$C$32, $C$9, 100%, $E$9)</f>
        <v>5.4720000000000004</v>
      </c>
      <c r="D349" s="32">
        <f>5.4731 * CHOOSE(CONTROL!$C$32, $C$9, 100%, $E$9)</f>
        <v>5.4730999999999996</v>
      </c>
      <c r="E349" s="33">
        <f>6.6035 * CHOOSE(CONTROL!$C$32, $C$9, 100%, $E$9)</f>
        <v>6.6035000000000004</v>
      </c>
      <c r="F349" s="33">
        <f>6.6035 * CHOOSE(CONTROL!$C$32, $C$9, 100%, $E$9)</f>
        <v>6.6035000000000004</v>
      </c>
      <c r="G349" s="33">
        <f>6.6071 * CHOOSE(CONTROL!$C$32, $C$9, 100%, $E$9)</f>
        <v>6.6071</v>
      </c>
      <c r="H349" s="33">
        <f>11.6813 * CHOOSE(CONTROL!$C$32, $C$9, 100%, $E$9)</f>
        <v>11.6813</v>
      </c>
      <c r="I349" s="33">
        <f>11.6849 * CHOOSE(CONTROL!$C$32, $C$9, 100%, $E$9)</f>
        <v>11.684900000000001</v>
      </c>
      <c r="J349" s="33">
        <f>11.6813 * CHOOSE(CONTROL!$C$32, $C$9, 100%, $E$9)</f>
        <v>11.6813</v>
      </c>
      <c r="K349" s="33">
        <f>11.6849 * CHOOSE(CONTROL!$C$32, $C$9, 100%, $E$9)</f>
        <v>11.684900000000001</v>
      </c>
      <c r="L349" s="33">
        <f>6.6035 * CHOOSE(CONTROL!$C$32, $C$9, 100%, $E$9)</f>
        <v>6.6035000000000004</v>
      </c>
      <c r="M349" s="33">
        <f>6.6071 * CHOOSE(CONTROL!$C$32, $C$9, 100%, $E$9)</f>
        <v>6.6071</v>
      </c>
      <c r="N349" s="33">
        <f>6.6035 * CHOOSE(CONTROL!$C$32, $C$9, 100%, $E$9)</f>
        <v>6.6035000000000004</v>
      </c>
      <c r="O349" s="33">
        <f>6.6071 * CHOOSE(CONTROL!$C$32, $C$9, 100%, $E$9)</f>
        <v>6.6071</v>
      </c>
    </row>
    <row r="350" spans="1:15" ht="15" x14ac:dyDescent="0.2">
      <c r="A350" s="16">
        <v>51867</v>
      </c>
      <c r="B350" s="32">
        <f>5.5145 * CHOOSE(CONTROL!$C$32, $C$9, 100%, $E$9)</f>
        <v>5.5145</v>
      </c>
      <c r="C350" s="32">
        <f>5.5145 * CHOOSE(CONTROL!$C$32, $C$9, 100%, $E$9)</f>
        <v>5.5145</v>
      </c>
      <c r="D350" s="32">
        <f>5.5156 * CHOOSE(CONTROL!$C$32, $C$9, 100%, $E$9)</f>
        <v>5.5156000000000001</v>
      </c>
      <c r="E350" s="33">
        <f>6.6708 * CHOOSE(CONTROL!$C$32, $C$9, 100%, $E$9)</f>
        <v>6.6707999999999998</v>
      </c>
      <c r="F350" s="33">
        <f>6.6708 * CHOOSE(CONTROL!$C$32, $C$9, 100%, $E$9)</f>
        <v>6.6707999999999998</v>
      </c>
      <c r="G350" s="33">
        <f>6.6744 * CHOOSE(CONTROL!$C$32, $C$9, 100%, $E$9)</f>
        <v>6.6744000000000003</v>
      </c>
      <c r="H350" s="33">
        <f>11.7057 * CHOOSE(CONTROL!$C$32, $C$9, 100%, $E$9)</f>
        <v>11.7057</v>
      </c>
      <c r="I350" s="33">
        <f>11.7093 * CHOOSE(CONTROL!$C$32, $C$9, 100%, $E$9)</f>
        <v>11.709300000000001</v>
      </c>
      <c r="J350" s="33">
        <f>11.7057 * CHOOSE(CONTROL!$C$32, $C$9, 100%, $E$9)</f>
        <v>11.7057</v>
      </c>
      <c r="K350" s="33">
        <f>11.7093 * CHOOSE(CONTROL!$C$32, $C$9, 100%, $E$9)</f>
        <v>11.709300000000001</v>
      </c>
      <c r="L350" s="33">
        <f>6.6708 * CHOOSE(CONTROL!$C$32, $C$9, 100%, $E$9)</f>
        <v>6.6707999999999998</v>
      </c>
      <c r="M350" s="33">
        <f>6.6744 * CHOOSE(CONTROL!$C$32, $C$9, 100%, $E$9)</f>
        <v>6.6744000000000003</v>
      </c>
      <c r="N350" s="33">
        <f>6.6708 * CHOOSE(CONTROL!$C$32, $C$9, 100%, $E$9)</f>
        <v>6.6707999999999998</v>
      </c>
      <c r="O350" s="33">
        <f>6.6744 * CHOOSE(CONTROL!$C$32, $C$9, 100%, $E$9)</f>
        <v>6.6744000000000003</v>
      </c>
    </row>
    <row r="351" spans="1:15" ht="15" x14ac:dyDescent="0.2">
      <c r="A351" s="16">
        <v>51898</v>
      </c>
      <c r="B351" s="32">
        <f>5.5115 * CHOOSE(CONTROL!$C$32, $C$9, 100%, $E$9)</f>
        <v>5.5114999999999998</v>
      </c>
      <c r="C351" s="32">
        <f>5.5115 * CHOOSE(CONTROL!$C$32, $C$9, 100%, $E$9)</f>
        <v>5.5114999999999998</v>
      </c>
      <c r="D351" s="32">
        <f>5.5125 * CHOOSE(CONTROL!$C$32, $C$9, 100%, $E$9)</f>
        <v>5.5125000000000002</v>
      </c>
      <c r="E351" s="33">
        <f>6.5461 * CHOOSE(CONTROL!$C$32, $C$9, 100%, $E$9)</f>
        <v>6.5461</v>
      </c>
      <c r="F351" s="33">
        <f>6.5461 * CHOOSE(CONTROL!$C$32, $C$9, 100%, $E$9)</f>
        <v>6.5461</v>
      </c>
      <c r="G351" s="33">
        <f>6.5497 * CHOOSE(CONTROL!$C$32, $C$9, 100%, $E$9)</f>
        <v>6.5496999999999996</v>
      </c>
      <c r="H351" s="33">
        <f>11.73 * CHOOSE(CONTROL!$C$32, $C$9, 100%, $E$9)</f>
        <v>11.73</v>
      </c>
      <c r="I351" s="33">
        <f>11.7337 * CHOOSE(CONTROL!$C$32, $C$9, 100%, $E$9)</f>
        <v>11.733700000000001</v>
      </c>
      <c r="J351" s="33">
        <f>11.73 * CHOOSE(CONTROL!$C$32, $C$9, 100%, $E$9)</f>
        <v>11.73</v>
      </c>
      <c r="K351" s="33">
        <f>11.7337 * CHOOSE(CONTROL!$C$32, $C$9, 100%, $E$9)</f>
        <v>11.733700000000001</v>
      </c>
      <c r="L351" s="33">
        <f>6.5461 * CHOOSE(CONTROL!$C$32, $C$9, 100%, $E$9)</f>
        <v>6.5461</v>
      </c>
      <c r="M351" s="33">
        <f>6.5497 * CHOOSE(CONTROL!$C$32, $C$9, 100%, $E$9)</f>
        <v>6.5496999999999996</v>
      </c>
      <c r="N351" s="33">
        <f>6.5461 * CHOOSE(CONTROL!$C$32, $C$9, 100%, $E$9)</f>
        <v>6.5461</v>
      </c>
      <c r="O351" s="33">
        <f>6.5497 * CHOOSE(CONTROL!$C$32, $C$9, 100%, $E$9)</f>
        <v>6.5496999999999996</v>
      </c>
    </row>
    <row r="352" spans="1:15" ht="15" x14ac:dyDescent="0.2">
      <c r="A352" s="16">
        <v>51926</v>
      </c>
      <c r="B352" s="32">
        <f>5.5084 * CHOOSE(CONTROL!$C$32, $C$9, 100%, $E$9)</f>
        <v>5.5084</v>
      </c>
      <c r="C352" s="32">
        <f>5.5084 * CHOOSE(CONTROL!$C$32, $C$9, 100%, $E$9)</f>
        <v>5.5084</v>
      </c>
      <c r="D352" s="32">
        <f>5.5095 * CHOOSE(CONTROL!$C$32, $C$9, 100%, $E$9)</f>
        <v>5.5095000000000001</v>
      </c>
      <c r="E352" s="33">
        <f>6.6406 * CHOOSE(CONTROL!$C$32, $C$9, 100%, $E$9)</f>
        <v>6.6406000000000001</v>
      </c>
      <c r="F352" s="33">
        <f>6.6406 * CHOOSE(CONTROL!$C$32, $C$9, 100%, $E$9)</f>
        <v>6.6406000000000001</v>
      </c>
      <c r="G352" s="33">
        <f>6.6442 * CHOOSE(CONTROL!$C$32, $C$9, 100%, $E$9)</f>
        <v>6.6441999999999997</v>
      </c>
      <c r="H352" s="33">
        <f>11.7545 * CHOOSE(CONTROL!$C$32, $C$9, 100%, $E$9)</f>
        <v>11.7545</v>
      </c>
      <c r="I352" s="33">
        <f>11.7581 * CHOOSE(CONTROL!$C$32, $C$9, 100%, $E$9)</f>
        <v>11.758100000000001</v>
      </c>
      <c r="J352" s="33">
        <f>11.7545 * CHOOSE(CONTROL!$C$32, $C$9, 100%, $E$9)</f>
        <v>11.7545</v>
      </c>
      <c r="K352" s="33">
        <f>11.7581 * CHOOSE(CONTROL!$C$32, $C$9, 100%, $E$9)</f>
        <v>11.758100000000001</v>
      </c>
      <c r="L352" s="33">
        <f>6.6406 * CHOOSE(CONTROL!$C$32, $C$9, 100%, $E$9)</f>
        <v>6.6406000000000001</v>
      </c>
      <c r="M352" s="33">
        <f>6.6442 * CHOOSE(CONTROL!$C$32, $C$9, 100%, $E$9)</f>
        <v>6.6441999999999997</v>
      </c>
      <c r="N352" s="33">
        <f>6.6406 * CHOOSE(CONTROL!$C$32, $C$9, 100%, $E$9)</f>
        <v>6.6406000000000001</v>
      </c>
      <c r="O352" s="33">
        <f>6.6442 * CHOOSE(CONTROL!$C$32, $C$9, 100%, $E$9)</f>
        <v>6.6441999999999997</v>
      </c>
    </row>
    <row r="353" spans="1:15" ht="15" x14ac:dyDescent="0.2">
      <c r="A353" s="16">
        <v>51957</v>
      </c>
      <c r="B353" s="32">
        <f>5.5075 * CHOOSE(CONTROL!$C$32, $C$9, 100%, $E$9)</f>
        <v>5.5075000000000003</v>
      </c>
      <c r="C353" s="32">
        <f>5.5075 * CHOOSE(CONTROL!$C$32, $C$9, 100%, $E$9)</f>
        <v>5.5075000000000003</v>
      </c>
      <c r="D353" s="32">
        <f>5.5086 * CHOOSE(CONTROL!$C$32, $C$9, 100%, $E$9)</f>
        <v>5.5086000000000004</v>
      </c>
      <c r="E353" s="33">
        <f>6.7402 * CHOOSE(CONTROL!$C$32, $C$9, 100%, $E$9)</f>
        <v>6.7401999999999997</v>
      </c>
      <c r="F353" s="33">
        <f>6.7402 * CHOOSE(CONTROL!$C$32, $C$9, 100%, $E$9)</f>
        <v>6.7401999999999997</v>
      </c>
      <c r="G353" s="33">
        <f>6.7438 * CHOOSE(CONTROL!$C$32, $C$9, 100%, $E$9)</f>
        <v>6.7438000000000002</v>
      </c>
      <c r="H353" s="33">
        <f>11.779 * CHOOSE(CONTROL!$C$32, $C$9, 100%, $E$9)</f>
        <v>11.779</v>
      </c>
      <c r="I353" s="33">
        <f>11.7826 * CHOOSE(CONTROL!$C$32, $C$9, 100%, $E$9)</f>
        <v>11.7826</v>
      </c>
      <c r="J353" s="33">
        <f>11.779 * CHOOSE(CONTROL!$C$32, $C$9, 100%, $E$9)</f>
        <v>11.779</v>
      </c>
      <c r="K353" s="33">
        <f>11.7826 * CHOOSE(CONTROL!$C$32, $C$9, 100%, $E$9)</f>
        <v>11.7826</v>
      </c>
      <c r="L353" s="33">
        <f>6.7402 * CHOOSE(CONTROL!$C$32, $C$9, 100%, $E$9)</f>
        <v>6.7401999999999997</v>
      </c>
      <c r="M353" s="33">
        <f>6.7438 * CHOOSE(CONTROL!$C$32, $C$9, 100%, $E$9)</f>
        <v>6.7438000000000002</v>
      </c>
      <c r="N353" s="33">
        <f>6.7402 * CHOOSE(CONTROL!$C$32, $C$9, 100%, $E$9)</f>
        <v>6.7401999999999997</v>
      </c>
      <c r="O353" s="33">
        <f>6.7438 * CHOOSE(CONTROL!$C$32, $C$9, 100%, $E$9)</f>
        <v>6.7438000000000002</v>
      </c>
    </row>
    <row r="354" spans="1:15" ht="15" x14ac:dyDescent="0.2">
      <c r="A354" s="16">
        <v>51987</v>
      </c>
      <c r="B354" s="32">
        <f>5.5075 * CHOOSE(CONTROL!$C$32, $C$9, 100%, $E$9)</f>
        <v>5.5075000000000003</v>
      </c>
      <c r="C354" s="32">
        <f>5.5075 * CHOOSE(CONTROL!$C$32, $C$9, 100%, $E$9)</f>
        <v>5.5075000000000003</v>
      </c>
      <c r="D354" s="32">
        <f>5.5091 * CHOOSE(CONTROL!$C$32, $C$9, 100%, $E$9)</f>
        <v>5.5091000000000001</v>
      </c>
      <c r="E354" s="33">
        <f>6.7791 * CHOOSE(CONTROL!$C$32, $C$9, 100%, $E$9)</f>
        <v>6.7790999999999997</v>
      </c>
      <c r="F354" s="33">
        <f>6.7791 * CHOOSE(CONTROL!$C$32, $C$9, 100%, $E$9)</f>
        <v>6.7790999999999997</v>
      </c>
      <c r="G354" s="33">
        <f>6.7844 * CHOOSE(CONTROL!$C$32, $C$9, 100%, $E$9)</f>
        <v>6.7843999999999998</v>
      </c>
      <c r="H354" s="33">
        <f>11.8035 * CHOOSE(CONTROL!$C$32, $C$9, 100%, $E$9)</f>
        <v>11.8035</v>
      </c>
      <c r="I354" s="33">
        <f>11.8088 * CHOOSE(CONTROL!$C$32, $C$9, 100%, $E$9)</f>
        <v>11.8088</v>
      </c>
      <c r="J354" s="33">
        <f>11.8035 * CHOOSE(CONTROL!$C$32, $C$9, 100%, $E$9)</f>
        <v>11.8035</v>
      </c>
      <c r="K354" s="33">
        <f>11.8088 * CHOOSE(CONTROL!$C$32, $C$9, 100%, $E$9)</f>
        <v>11.8088</v>
      </c>
      <c r="L354" s="33">
        <f>6.7791 * CHOOSE(CONTROL!$C$32, $C$9, 100%, $E$9)</f>
        <v>6.7790999999999997</v>
      </c>
      <c r="M354" s="33">
        <f>6.7844 * CHOOSE(CONTROL!$C$32, $C$9, 100%, $E$9)</f>
        <v>6.7843999999999998</v>
      </c>
      <c r="N354" s="33">
        <f>6.7791 * CHOOSE(CONTROL!$C$32, $C$9, 100%, $E$9)</f>
        <v>6.7790999999999997</v>
      </c>
      <c r="O354" s="33">
        <f>6.7844 * CHOOSE(CONTROL!$C$32, $C$9, 100%, $E$9)</f>
        <v>6.7843999999999998</v>
      </c>
    </row>
    <row r="355" spans="1:15" ht="15" x14ac:dyDescent="0.2">
      <c r="A355" s="16">
        <v>52018</v>
      </c>
      <c r="B355" s="32">
        <f>5.5136 * CHOOSE(CONTROL!$C$32, $C$9, 100%, $E$9)</f>
        <v>5.5136000000000003</v>
      </c>
      <c r="C355" s="32">
        <f>5.5136 * CHOOSE(CONTROL!$C$32, $C$9, 100%, $E$9)</f>
        <v>5.5136000000000003</v>
      </c>
      <c r="D355" s="32">
        <f>5.5152 * CHOOSE(CONTROL!$C$32, $C$9, 100%, $E$9)</f>
        <v>5.5152000000000001</v>
      </c>
      <c r="E355" s="33">
        <f>6.7444 * CHOOSE(CONTROL!$C$32, $C$9, 100%, $E$9)</f>
        <v>6.7443999999999997</v>
      </c>
      <c r="F355" s="33">
        <f>6.7444 * CHOOSE(CONTROL!$C$32, $C$9, 100%, $E$9)</f>
        <v>6.7443999999999997</v>
      </c>
      <c r="G355" s="33">
        <f>6.7497 * CHOOSE(CONTROL!$C$32, $C$9, 100%, $E$9)</f>
        <v>6.7496999999999998</v>
      </c>
      <c r="H355" s="33">
        <f>11.8281 * CHOOSE(CONTROL!$C$32, $C$9, 100%, $E$9)</f>
        <v>11.828099999999999</v>
      </c>
      <c r="I355" s="33">
        <f>11.8334 * CHOOSE(CONTROL!$C$32, $C$9, 100%, $E$9)</f>
        <v>11.833399999999999</v>
      </c>
      <c r="J355" s="33">
        <f>11.8281 * CHOOSE(CONTROL!$C$32, $C$9, 100%, $E$9)</f>
        <v>11.828099999999999</v>
      </c>
      <c r="K355" s="33">
        <f>11.8334 * CHOOSE(CONTROL!$C$32, $C$9, 100%, $E$9)</f>
        <v>11.833399999999999</v>
      </c>
      <c r="L355" s="33">
        <f>6.7444 * CHOOSE(CONTROL!$C$32, $C$9, 100%, $E$9)</f>
        <v>6.7443999999999997</v>
      </c>
      <c r="M355" s="33">
        <f>6.7497 * CHOOSE(CONTROL!$C$32, $C$9, 100%, $E$9)</f>
        <v>6.7496999999999998</v>
      </c>
      <c r="N355" s="33">
        <f>6.7444 * CHOOSE(CONTROL!$C$32, $C$9, 100%, $E$9)</f>
        <v>6.7443999999999997</v>
      </c>
      <c r="O355" s="33">
        <f>6.7497 * CHOOSE(CONTROL!$C$32, $C$9, 100%, $E$9)</f>
        <v>6.7496999999999998</v>
      </c>
    </row>
    <row r="356" spans="1:15" ht="15" x14ac:dyDescent="0.2">
      <c r="A356" s="16">
        <v>52048</v>
      </c>
      <c r="B356" s="32">
        <f>5.5892 * CHOOSE(CONTROL!$C$32, $C$9, 100%, $E$9)</f>
        <v>5.5891999999999999</v>
      </c>
      <c r="C356" s="32">
        <f>5.5892 * CHOOSE(CONTROL!$C$32, $C$9, 100%, $E$9)</f>
        <v>5.5891999999999999</v>
      </c>
      <c r="D356" s="32">
        <f>5.5907 * CHOOSE(CONTROL!$C$32, $C$9, 100%, $E$9)</f>
        <v>5.5907</v>
      </c>
      <c r="E356" s="33">
        <f>6.7633 * CHOOSE(CONTROL!$C$32, $C$9, 100%, $E$9)</f>
        <v>6.7633000000000001</v>
      </c>
      <c r="F356" s="33">
        <f>6.7633 * CHOOSE(CONTROL!$C$32, $C$9, 100%, $E$9)</f>
        <v>6.7633000000000001</v>
      </c>
      <c r="G356" s="33">
        <f>6.7686 * CHOOSE(CONTROL!$C$32, $C$9, 100%, $E$9)</f>
        <v>6.7686000000000002</v>
      </c>
      <c r="H356" s="33">
        <f>11.8527 * CHOOSE(CONTROL!$C$32, $C$9, 100%, $E$9)</f>
        <v>11.8527</v>
      </c>
      <c r="I356" s="33">
        <f>11.858 * CHOOSE(CONTROL!$C$32, $C$9, 100%, $E$9)</f>
        <v>11.858000000000001</v>
      </c>
      <c r="J356" s="33">
        <f>11.8527 * CHOOSE(CONTROL!$C$32, $C$9, 100%, $E$9)</f>
        <v>11.8527</v>
      </c>
      <c r="K356" s="33">
        <f>11.858 * CHOOSE(CONTROL!$C$32, $C$9, 100%, $E$9)</f>
        <v>11.858000000000001</v>
      </c>
      <c r="L356" s="33">
        <f>6.7633 * CHOOSE(CONTROL!$C$32, $C$9, 100%, $E$9)</f>
        <v>6.7633000000000001</v>
      </c>
      <c r="M356" s="33">
        <f>6.7686 * CHOOSE(CONTROL!$C$32, $C$9, 100%, $E$9)</f>
        <v>6.7686000000000002</v>
      </c>
      <c r="N356" s="33">
        <f>6.7633 * CHOOSE(CONTROL!$C$32, $C$9, 100%, $E$9)</f>
        <v>6.7633000000000001</v>
      </c>
      <c r="O356" s="33">
        <f>6.7686 * CHOOSE(CONTROL!$C$32, $C$9, 100%, $E$9)</f>
        <v>6.7686000000000002</v>
      </c>
    </row>
    <row r="357" spans="1:15" ht="15" x14ac:dyDescent="0.2">
      <c r="A357" s="16">
        <v>52079</v>
      </c>
      <c r="B357" s="32">
        <f>5.5958 * CHOOSE(CONTROL!$C$32, $C$9, 100%, $E$9)</f>
        <v>5.5957999999999997</v>
      </c>
      <c r="C357" s="32">
        <f>5.5958 * CHOOSE(CONTROL!$C$32, $C$9, 100%, $E$9)</f>
        <v>5.5957999999999997</v>
      </c>
      <c r="D357" s="32">
        <f>5.5974 * CHOOSE(CONTROL!$C$32, $C$9, 100%, $E$9)</f>
        <v>5.5974000000000004</v>
      </c>
      <c r="E357" s="33">
        <f>6.6512 * CHOOSE(CONTROL!$C$32, $C$9, 100%, $E$9)</f>
        <v>6.6512000000000002</v>
      </c>
      <c r="F357" s="33">
        <f>6.6512 * CHOOSE(CONTROL!$C$32, $C$9, 100%, $E$9)</f>
        <v>6.6512000000000002</v>
      </c>
      <c r="G357" s="33">
        <f>6.6565 * CHOOSE(CONTROL!$C$32, $C$9, 100%, $E$9)</f>
        <v>6.6565000000000003</v>
      </c>
      <c r="H357" s="33">
        <f>11.8774 * CHOOSE(CONTROL!$C$32, $C$9, 100%, $E$9)</f>
        <v>11.8774</v>
      </c>
      <c r="I357" s="33">
        <f>11.8827 * CHOOSE(CONTROL!$C$32, $C$9, 100%, $E$9)</f>
        <v>11.8827</v>
      </c>
      <c r="J357" s="33">
        <f>11.8774 * CHOOSE(CONTROL!$C$32, $C$9, 100%, $E$9)</f>
        <v>11.8774</v>
      </c>
      <c r="K357" s="33">
        <f>11.8827 * CHOOSE(CONTROL!$C$32, $C$9, 100%, $E$9)</f>
        <v>11.8827</v>
      </c>
      <c r="L357" s="33">
        <f>6.6512 * CHOOSE(CONTROL!$C$32, $C$9, 100%, $E$9)</f>
        <v>6.6512000000000002</v>
      </c>
      <c r="M357" s="33">
        <f>6.6565 * CHOOSE(CONTROL!$C$32, $C$9, 100%, $E$9)</f>
        <v>6.6565000000000003</v>
      </c>
      <c r="N357" s="33">
        <f>6.6512 * CHOOSE(CONTROL!$C$32, $C$9, 100%, $E$9)</f>
        <v>6.6512000000000002</v>
      </c>
      <c r="O357" s="33">
        <f>6.6565 * CHOOSE(CONTROL!$C$32, $C$9, 100%, $E$9)</f>
        <v>6.6565000000000003</v>
      </c>
    </row>
    <row r="358" spans="1:15" ht="15" x14ac:dyDescent="0.2">
      <c r="A358" s="16">
        <v>52110</v>
      </c>
      <c r="B358" s="32">
        <f>5.5928 * CHOOSE(CONTROL!$C$32, $C$9, 100%, $E$9)</f>
        <v>5.5928000000000004</v>
      </c>
      <c r="C358" s="32">
        <f>5.5928 * CHOOSE(CONTROL!$C$32, $C$9, 100%, $E$9)</f>
        <v>5.5928000000000004</v>
      </c>
      <c r="D358" s="32">
        <f>5.5944 * CHOOSE(CONTROL!$C$32, $C$9, 100%, $E$9)</f>
        <v>5.5944000000000003</v>
      </c>
      <c r="E358" s="33">
        <f>6.6361 * CHOOSE(CONTROL!$C$32, $C$9, 100%, $E$9)</f>
        <v>6.6360999999999999</v>
      </c>
      <c r="F358" s="33">
        <f>6.6361 * CHOOSE(CONTROL!$C$32, $C$9, 100%, $E$9)</f>
        <v>6.6360999999999999</v>
      </c>
      <c r="G358" s="33">
        <f>6.6414 * CHOOSE(CONTROL!$C$32, $C$9, 100%, $E$9)</f>
        <v>6.6414</v>
      </c>
      <c r="H358" s="33">
        <f>11.9022 * CHOOSE(CONTROL!$C$32, $C$9, 100%, $E$9)</f>
        <v>11.902200000000001</v>
      </c>
      <c r="I358" s="33">
        <f>11.9075 * CHOOSE(CONTROL!$C$32, $C$9, 100%, $E$9)</f>
        <v>11.907500000000001</v>
      </c>
      <c r="J358" s="33">
        <f>11.9022 * CHOOSE(CONTROL!$C$32, $C$9, 100%, $E$9)</f>
        <v>11.902200000000001</v>
      </c>
      <c r="K358" s="33">
        <f>11.9075 * CHOOSE(CONTROL!$C$32, $C$9, 100%, $E$9)</f>
        <v>11.907500000000001</v>
      </c>
      <c r="L358" s="33">
        <f>6.6361 * CHOOSE(CONTROL!$C$32, $C$9, 100%, $E$9)</f>
        <v>6.6360999999999999</v>
      </c>
      <c r="M358" s="33">
        <f>6.6414 * CHOOSE(CONTROL!$C$32, $C$9, 100%, $E$9)</f>
        <v>6.6414</v>
      </c>
      <c r="N358" s="33">
        <f>6.6361 * CHOOSE(CONTROL!$C$32, $C$9, 100%, $E$9)</f>
        <v>6.6360999999999999</v>
      </c>
      <c r="O358" s="33">
        <f>6.6414 * CHOOSE(CONTROL!$C$32, $C$9, 100%, $E$9)</f>
        <v>6.6414</v>
      </c>
    </row>
    <row r="359" spans="1:15" ht="15" x14ac:dyDescent="0.2">
      <c r="A359" s="16">
        <v>52140</v>
      </c>
      <c r="B359" s="32">
        <f>5.5938 * CHOOSE(CONTROL!$C$32, $C$9, 100%, $E$9)</f>
        <v>5.5937999999999999</v>
      </c>
      <c r="C359" s="32">
        <f>5.5938 * CHOOSE(CONTROL!$C$32, $C$9, 100%, $E$9)</f>
        <v>5.5937999999999999</v>
      </c>
      <c r="D359" s="32">
        <f>5.5949 * CHOOSE(CONTROL!$C$32, $C$9, 100%, $E$9)</f>
        <v>5.5949</v>
      </c>
      <c r="E359" s="33">
        <f>6.6746 * CHOOSE(CONTROL!$C$32, $C$9, 100%, $E$9)</f>
        <v>6.6745999999999999</v>
      </c>
      <c r="F359" s="33">
        <f>6.6746 * CHOOSE(CONTROL!$C$32, $C$9, 100%, $E$9)</f>
        <v>6.6745999999999999</v>
      </c>
      <c r="G359" s="33">
        <f>6.6782 * CHOOSE(CONTROL!$C$32, $C$9, 100%, $E$9)</f>
        <v>6.6782000000000004</v>
      </c>
      <c r="H359" s="33">
        <f>11.927 * CHOOSE(CONTROL!$C$32, $C$9, 100%, $E$9)</f>
        <v>11.927</v>
      </c>
      <c r="I359" s="33">
        <f>11.9306 * CHOOSE(CONTROL!$C$32, $C$9, 100%, $E$9)</f>
        <v>11.9306</v>
      </c>
      <c r="J359" s="33">
        <f>11.927 * CHOOSE(CONTROL!$C$32, $C$9, 100%, $E$9)</f>
        <v>11.927</v>
      </c>
      <c r="K359" s="33">
        <f>11.9306 * CHOOSE(CONTROL!$C$32, $C$9, 100%, $E$9)</f>
        <v>11.9306</v>
      </c>
      <c r="L359" s="33">
        <f>6.6746 * CHOOSE(CONTROL!$C$32, $C$9, 100%, $E$9)</f>
        <v>6.6745999999999999</v>
      </c>
      <c r="M359" s="33">
        <f>6.6782 * CHOOSE(CONTROL!$C$32, $C$9, 100%, $E$9)</f>
        <v>6.6782000000000004</v>
      </c>
      <c r="N359" s="33">
        <f>6.6746 * CHOOSE(CONTROL!$C$32, $C$9, 100%, $E$9)</f>
        <v>6.6745999999999999</v>
      </c>
      <c r="O359" s="33">
        <f>6.6782 * CHOOSE(CONTROL!$C$32, $C$9, 100%, $E$9)</f>
        <v>6.6782000000000004</v>
      </c>
    </row>
    <row r="360" spans="1:15" ht="15" x14ac:dyDescent="0.2">
      <c r="A360" s="16">
        <v>52171</v>
      </c>
      <c r="B360" s="32">
        <f>5.5968 * CHOOSE(CONTROL!$C$32, $C$9, 100%, $E$9)</f>
        <v>5.5968</v>
      </c>
      <c r="C360" s="32">
        <f>5.5968 * CHOOSE(CONTROL!$C$32, $C$9, 100%, $E$9)</f>
        <v>5.5968</v>
      </c>
      <c r="D360" s="32">
        <f>5.5979 * CHOOSE(CONTROL!$C$32, $C$9, 100%, $E$9)</f>
        <v>5.5979000000000001</v>
      </c>
      <c r="E360" s="33">
        <f>6.7026 * CHOOSE(CONTROL!$C$32, $C$9, 100%, $E$9)</f>
        <v>6.7026000000000003</v>
      </c>
      <c r="F360" s="33">
        <f>6.7026 * CHOOSE(CONTROL!$C$32, $C$9, 100%, $E$9)</f>
        <v>6.7026000000000003</v>
      </c>
      <c r="G360" s="33">
        <f>6.7063 * CHOOSE(CONTROL!$C$32, $C$9, 100%, $E$9)</f>
        <v>6.7062999999999997</v>
      </c>
      <c r="H360" s="33">
        <f>11.9518 * CHOOSE(CONTROL!$C$32, $C$9, 100%, $E$9)</f>
        <v>11.9518</v>
      </c>
      <c r="I360" s="33">
        <f>11.9554 * CHOOSE(CONTROL!$C$32, $C$9, 100%, $E$9)</f>
        <v>11.955399999999999</v>
      </c>
      <c r="J360" s="33">
        <f>11.9518 * CHOOSE(CONTROL!$C$32, $C$9, 100%, $E$9)</f>
        <v>11.9518</v>
      </c>
      <c r="K360" s="33">
        <f>11.9554 * CHOOSE(CONTROL!$C$32, $C$9, 100%, $E$9)</f>
        <v>11.955399999999999</v>
      </c>
      <c r="L360" s="33">
        <f>6.7026 * CHOOSE(CONTROL!$C$32, $C$9, 100%, $E$9)</f>
        <v>6.7026000000000003</v>
      </c>
      <c r="M360" s="33">
        <f>6.7063 * CHOOSE(CONTROL!$C$32, $C$9, 100%, $E$9)</f>
        <v>6.7062999999999997</v>
      </c>
      <c r="N360" s="33">
        <f>6.7026 * CHOOSE(CONTROL!$C$32, $C$9, 100%, $E$9)</f>
        <v>6.7026000000000003</v>
      </c>
      <c r="O360" s="33">
        <f>6.7063 * CHOOSE(CONTROL!$C$32, $C$9, 100%, $E$9)</f>
        <v>6.7062999999999997</v>
      </c>
    </row>
    <row r="361" spans="1:15" ht="15" x14ac:dyDescent="0.2">
      <c r="A361" s="16">
        <v>52201</v>
      </c>
      <c r="B361" s="32">
        <f>5.5968 * CHOOSE(CONTROL!$C$32, $C$9, 100%, $E$9)</f>
        <v>5.5968</v>
      </c>
      <c r="C361" s="32">
        <f>5.5968 * CHOOSE(CONTROL!$C$32, $C$9, 100%, $E$9)</f>
        <v>5.5968</v>
      </c>
      <c r="D361" s="32">
        <f>5.5979 * CHOOSE(CONTROL!$C$32, $C$9, 100%, $E$9)</f>
        <v>5.5979000000000001</v>
      </c>
      <c r="E361" s="33">
        <f>6.6378 * CHOOSE(CONTROL!$C$32, $C$9, 100%, $E$9)</f>
        <v>6.6378000000000004</v>
      </c>
      <c r="F361" s="33">
        <f>6.6378 * CHOOSE(CONTROL!$C$32, $C$9, 100%, $E$9)</f>
        <v>6.6378000000000004</v>
      </c>
      <c r="G361" s="33">
        <f>6.6414 * CHOOSE(CONTROL!$C$32, $C$9, 100%, $E$9)</f>
        <v>6.6414</v>
      </c>
      <c r="H361" s="33">
        <f>11.9767 * CHOOSE(CONTROL!$C$32, $C$9, 100%, $E$9)</f>
        <v>11.976699999999999</v>
      </c>
      <c r="I361" s="33">
        <f>11.9803 * CHOOSE(CONTROL!$C$32, $C$9, 100%, $E$9)</f>
        <v>11.9803</v>
      </c>
      <c r="J361" s="33">
        <f>11.9767 * CHOOSE(CONTROL!$C$32, $C$9, 100%, $E$9)</f>
        <v>11.976699999999999</v>
      </c>
      <c r="K361" s="33">
        <f>11.9803 * CHOOSE(CONTROL!$C$32, $C$9, 100%, $E$9)</f>
        <v>11.9803</v>
      </c>
      <c r="L361" s="33">
        <f>6.6378 * CHOOSE(CONTROL!$C$32, $C$9, 100%, $E$9)</f>
        <v>6.6378000000000004</v>
      </c>
      <c r="M361" s="33">
        <f>6.6414 * CHOOSE(CONTROL!$C$32, $C$9, 100%, $E$9)</f>
        <v>6.6414</v>
      </c>
      <c r="N361" s="33">
        <f>6.6378 * CHOOSE(CONTROL!$C$32, $C$9, 100%, $E$9)</f>
        <v>6.6378000000000004</v>
      </c>
      <c r="O361" s="33">
        <f>6.6414 * CHOOSE(CONTROL!$C$32, $C$9, 100%, $E$9)</f>
        <v>6.6414</v>
      </c>
    </row>
    <row r="362" spans="1:15" ht="15" x14ac:dyDescent="0.2">
      <c r="A362" s="16">
        <v>52232</v>
      </c>
      <c r="B362" s="32">
        <f>5.6399 * CHOOSE(CONTROL!$C$32, $C$9, 100%, $E$9)</f>
        <v>5.6398999999999999</v>
      </c>
      <c r="C362" s="32">
        <f>5.6399 * CHOOSE(CONTROL!$C$32, $C$9, 100%, $E$9)</f>
        <v>5.6398999999999999</v>
      </c>
      <c r="D362" s="32">
        <f>5.6409 * CHOOSE(CONTROL!$C$32, $C$9, 100%, $E$9)</f>
        <v>5.6409000000000002</v>
      </c>
      <c r="E362" s="33">
        <f>6.7096 * CHOOSE(CONTROL!$C$32, $C$9, 100%, $E$9)</f>
        <v>6.7096</v>
      </c>
      <c r="F362" s="33">
        <f>6.7096 * CHOOSE(CONTROL!$C$32, $C$9, 100%, $E$9)</f>
        <v>6.7096</v>
      </c>
      <c r="G362" s="33">
        <f>6.7132 * CHOOSE(CONTROL!$C$32, $C$9, 100%, $E$9)</f>
        <v>6.7131999999999996</v>
      </c>
      <c r="H362" s="33">
        <f>12.0017 * CHOOSE(CONTROL!$C$32, $C$9, 100%, $E$9)</f>
        <v>12.0017</v>
      </c>
      <c r="I362" s="33">
        <f>12.0053 * CHOOSE(CONTROL!$C$32, $C$9, 100%, $E$9)</f>
        <v>12.0053</v>
      </c>
      <c r="J362" s="33">
        <f>12.0017 * CHOOSE(CONTROL!$C$32, $C$9, 100%, $E$9)</f>
        <v>12.0017</v>
      </c>
      <c r="K362" s="33">
        <f>12.0053 * CHOOSE(CONTROL!$C$32, $C$9, 100%, $E$9)</f>
        <v>12.0053</v>
      </c>
      <c r="L362" s="33">
        <f>6.7096 * CHOOSE(CONTROL!$C$32, $C$9, 100%, $E$9)</f>
        <v>6.7096</v>
      </c>
      <c r="M362" s="33">
        <f>6.7132 * CHOOSE(CONTROL!$C$32, $C$9, 100%, $E$9)</f>
        <v>6.7131999999999996</v>
      </c>
      <c r="N362" s="33">
        <f>6.7096 * CHOOSE(CONTROL!$C$32, $C$9, 100%, $E$9)</f>
        <v>6.7096</v>
      </c>
      <c r="O362" s="33">
        <f>6.7132 * CHOOSE(CONTROL!$C$32, $C$9, 100%, $E$9)</f>
        <v>6.7131999999999996</v>
      </c>
    </row>
    <row r="363" spans="1:15" ht="15" x14ac:dyDescent="0.2">
      <c r="A363" s="16">
        <v>52263</v>
      </c>
      <c r="B363" s="32">
        <f>5.6368 * CHOOSE(CONTROL!$C$32, $C$9, 100%, $E$9)</f>
        <v>5.6368</v>
      </c>
      <c r="C363" s="32">
        <f>5.6368 * CHOOSE(CONTROL!$C$32, $C$9, 100%, $E$9)</f>
        <v>5.6368</v>
      </c>
      <c r="D363" s="32">
        <f>5.6379 * CHOOSE(CONTROL!$C$32, $C$9, 100%, $E$9)</f>
        <v>5.6379000000000001</v>
      </c>
      <c r="E363" s="33">
        <f>6.5809 * CHOOSE(CONTROL!$C$32, $C$9, 100%, $E$9)</f>
        <v>6.5808999999999997</v>
      </c>
      <c r="F363" s="33">
        <f>6.5809 * CHOOSE(CONTROL!$C$32, $C$9, 100%, $E$9)</f>
        <v>6.5808999999999997</v>
      </c>
      <c r="G363" s="33">
        <f>6.5845 * CHOOSE(CONTROL!$C$32, $C$9, 100%, $E$9)</f>
        <v>6.5845000000000002</v>
      </c>
      <c r="H363" s="33">
        <f>12.0267 * CHOOSE(CONTROL!$C$32, $C$9, 100%, $E$9)</f>
        <v>12.0267</v>
      </c>
      <c r="I363" s="33">
        <f>12.0303 * CHOOSE(CONTROL!$C$32, $C$9, 100%, $E$9)</f>
        <v>12.0303</v>
      </c>
      <c r="J363" s="33">
        <f>12.0267 * CHOOSE(CONTROL!$C$32, $C$9, 100%, $E$9)</f>
        <v>12.0267</v>
      </c>
      <c r="K363" s="33">
        <f>12.0303 * CHOOSE(CONTROL!$C$32, $C$9, 100%, $E$9)</f>
        <v>12.0303</v>
      </c>
      <c r="L363" s="33">
        <f>6.5809 * CHOOSE(CONTROL!$C$32, $C$9, 100%, $E$9)</f>
        <v>6.5808999999999997</v>
      </c>
      <c r="M363" s="33">
        <f>6.5845 * CHOOSE(CONTROL!$C$32, $C$9, 100%, $E$9)</f>
        <v>6.5845000000000002</v>
      </c>
      <c r="N363" s="33">
        <f>6.5809 * CHOOSE(CONTROL!$C$32, $C$9, 100%, $E$9)</f>
        <v>6.5808999999999997</v>
      </c>
      <c r="O363" s="33">
        <f>6.5845 * CHOOSE(CONTROL!$C$32, $C$9, 100%, $E$9)</f>
        <v>6.5845000000000002</v>
      </c>
    </row>
    <row r="364" spans="1:15" ht="15" x14ac:dyDescent="0.2">
      <c r="A364" s="16">
        <v>52291</v>
      </c>
      <c r="B364" s="32">
        <f>5.6338 * CHOOSE(CONTROL!$C$32, $C$9, 100%, $E$9)</f>
        <v>5.6337999999999999</v>
      </c>
      <c r="C364" s="32">
        <f>5.6338 * CHOOSE(CONTROL!$C$32, $C$9, 100%, $E$9)</f>
        <v>5.6337999999999999</v>
      </c>
      <c r="D364" s="32">
        <f>5.6349 * CHOOSE(CONTROL!$C$32, $C$9, 100%, $E$9)</f>
        <v>5.6349</v>
      </c>
      <c r="E364" s="33">
        <f>6.6786 * CHOOSE(CONTROL!$C$32, $C$9, 100%, $E$9)</f>
        <v>6.6786000000000003</v>
      </c>
      <c r="F364" s="33">
        <f>6.6786 * CHOOSE(CONTROL!$C$32, $C$9, 100%, $E$9)</f>
        <v>6.6786000000000003</v>
      </c>
      <c r="G364" s="33">
        <f>6.6822 * CHOOSE(CONTROL!$C$32, $C$9, 100%, $E$9)</f>
        <v>6.6821999999999999</v>
      </c>
      <c r="H364" s="33">
        <f>12.0517 * CHOOSE(CONTROL!$C$32, $C$9, 100%, $E$9)</f>
        <v>12.0517</v>
      </c>
      <c r="I364" s="33">
        <f>12.0554 * CHOOSE(CONTROL!$C$32, $C$9, 100%, $E$9)</f>
        <v>12.055400000000001</v>
      </c>
      <c r="J364" s="33">
        <f>12.0517 * CHOOSE(CONTROL!$C$32, $C$9, 100%, $E$9)</f>
        <v>12.0517</v>
      </c>
      <c r="K364" s="33">
        <f>12.0554 * CHOOSE(CONTROL!$C$32, $C$9, 100%, $E$9)</f>
        <v>12.055400000000001</v>
      </c>
      <c r="L364" s="33">
        <f>6.6786 * CHOOSE(CONTROL!$C$32, $C$9, 100%, $E$9)</f>
        <v>6.6786000000000003</v>
      </c>
      <c r="M364" s="33">
        <f>6.6822 * CHOOSE(CONTROL!$C$32, $C$9, 100%, $E$9)</f>
        <v>6.6821999999999999</v>
      </c>
      <c r="N364" s="33">
        <f>6.6786 * CHOOSE(CONTROL!$C$32, $C$9, 100%, $E$9)</f>
        <v>6.6786000000000003</v>
      </c>
      <c r="O364" s="33">
        <f>6.6822 * CHOOSE(CONTROL!$C$32, $C$9, 100%, $E$9)</f>
        <v>6.6821999999999999</v>
      </c>
    </row>
    <row r="365" spans="1:15" ht="15" x14ac:dyDescent="0.2">
      <c r="A365" s="16">
        <v>52322</v>
      </c>
      <c r="B365" s="32">
        <f>5.633 * CHOOSE(CONTROL!$C$32, $C$9, 100%, $E$9)</f>
        <v>5.633</v>
      </c>
      <c r="C365" s="32">
        <f>5.633 * CHOOSE(CONTROL!$C$32, $C$9, 100%, $E$9)</f>
        <v>5.633</v>
      </c>
      <c r="D365" s="32">
        <f>5.6341 * CHOOSE(CONTROL!$C$32, $C$9, 100%, $E$9)</f>
        <v>5.6341000000000001</v>
      </c>
      <c r="E365" s="33">
        <f>6.7815 * CHOOSE(CONTROL!$C$32, $C$9, 100%, $E$9)</f>
        <v>6.7815000000000003</v>
      </c>
      <c r="F365" s="33">
        <f>6.7815 * CHOOSE(CONTROL!$C$32, $C$9, 100%, $E$9)</f>
        <v>6.7815000000000003</v>
      </c>
      <c r="G365" s="33">
        <f>6.7852 * CHOOSE(CONTROL!$C$32, $C$9, 100%, $E$9)</f>
        <v>6.7851999999999997</v>
      </c>
      <c r="H365" s="33">
        <f>12.0768 * CHOOSE(CONTROL!$C$32, $C$9, 100%, $E$9)</f>
        <v>12.0768</v>
      </c>
      <c r="I365" s="33">
        <f>12.0805 * CHOOSE(CONTROL!$C$32, $C$9, 100%, $E$9)</f>
        <v>12.080500000000001</v>
      </c>
      <c r="J365" s="33">
        <f>12.0768 * CHOOSE(CONTROL!$C$32, $C$9, 100%, $E$9)</f>
        <v>12.0768</v>
      </c>
      <c r="K365" s="33">
        <f>12.0805 * CHOOSE(CONTROL!$C$32, $C$9, 100%, $E$9)</f>
        <v>12.080500000000001</v>
      </c>
      <c r="L365" s="33">
        <f>6.7815 * CHOOSE(CONTROL!$C$32, $C$9, 100%, $E$9)</f>
        <v>6.7815000000000003</v>
      </c>
      <c r="M365" s="33">
        <f>6.7852 * CHOOSE(CONTROL!$C$32, $C$9, 100%, $E$9)</f>
        <v>6.7851999999999997</v>
      </c>
      <c r="N365" s="33">
        <f>6.7815 * CHOOSE(CONTROL!$C$32, $C$9, 100%, $E$9)</f>
        <v>6.7815000000000003</v>
      </c>
      <c r="O365" s="33">
        <f>6.7852 * CHOOSE(CONTROL!$C$32, $C$9, 100%, $E$9)</f>
        <v>6.7851999999999997</v>
      </c>
    </row>
    <row r="366" spans="1:15" ht="15" x14ac:dyDescent="0.2">
      <c r="A366" s="16">
        <v>52352</v>
      </c>
      <c r="B366" s="32">
        <f>5.633 * CHOOSE(CONTROL!$C$32, $C$9, 100%, $E$9)</f>
        <v>5.633</v>
      </c>
      <c r="C366" s="32">
        <f>5.633 * CHOOSE(CONTROL!$C$32, $C$9, 100%, $E$9)</f>
        <v>5.633</v>
      </c>
      <c r="D366" s="32">
        <f>5.6346 * CHOOSE(CONTROL!$C$32, $C$9, 100%, $E$9)</f>
        <v>5.6345999999999998</v>
      </c>
      <c r="E366" s="33">
        <f>6.8217 * CHOOSE(CONTROL!$C$32, $C$9, 100%, $E$9)</f>
        <v>6.8216999999999999</v>
      </c>
      <c r="F366" s="33">
        <f>6.8217 * CHOOSE(CONTROL!$C$32, $C$9, 100%, $E$9)</f>
        <v>6.8216999999999999</v>
      </c>
      <c r="G366" s="33">
        <f>6.827 * CHOOSE(CONTROL!$C$32, $C$9, 100%, $E$9)</f>
        <v>6.827</v>
      </c>
      <c r="H366" s="33">
        <f>12.102 * CHOOSE(CONTROL!$C$32, $C$9, 100%, $E$9)</f>
        <v>12.102</v>
      </c>
      <c r="I366" s="33">
        <f>12.1073 * CHOOSE(CONTROL!$C$32, $C$9, 100%, $E$9)</f>
        <v>12.1073</v>
      </c>
      <c r="J366" s="33">
        <f>12.102 * CHOOSE(CONTROL!$C$32, $C$9, 100%, $E$9)</f>
        <v>12.102</v>
      </c>
      <c r="K366" s="33">
        <f>12.1073 * CHOOSE(CONTROL!$C$32, $C$9, 100%, $E$9)</f>
        <v>12.1073</v>
      </c>
      <c r="L366" s="33">
        <f>6.8217 * CHOOSE(CONTROL!$C$32, $C$9, 100%, $E$9)</f>
        <v>6.8216999999999999</v>
      </c>
      <c r="M366" s="33">
        <f>6.827 * CHOOSE(CONTROL!$C$32, $C$9, 100%, $E$9)</f>
        <v>6.827</v>
      </c>
      <c r="N366" s="33">
        <f>6.8217 * CHOOSE(CONTROL!$C$32, $C$9, 100%, $E$9)</f>
        <v>6.8216999999999999</v>
      </c>
      <c r="O366" s="33">
        <f>6.827 * CHOOSE(CONTROL!$C$32, $C$9, 100%, $E$9)</f>
        <v>6.827</v>
      </c>
    </row>
    <row r="367" spans="1:15" ht="15" x14ac:dyDescent="0.2">
      <c r="A367" s="16">
        <v>52383</v>
      </c>
      <c r="B367" s="32">
        <f>5.6391 * CHOOSE(CONTROL!$C$32, $C$9, 100%, $E$9)</f>
        <v>5.6391</v>
      </c>
      <c r="C367" s="32">
        <f>5.6391 * CHOOSE(CONTROL!$C$32, $C$9, 100%, $E$9)</f>
        <v>5.6391</v>
      </c>
      <c r="D367" s="32">
        <f>5.6407 * CHOOSE(CONTROL!$C$32, $C$9, 100%, $E$9)</f>
        <v>5.6406999999999998</v>
      </c>
      <c r="E367" s="33">
        <f>6.7858 * CHOOSE(CONTROL!$C$32, $C$9, 100%, $E$9)</f>
        <v>6.7858000000000001</v>
      </c>
      <c r="F367" s="33">
        <f>6.7858 * CHOOSE(CONTROL!$C$32, $C$9, 100%, $E$9)</f>
        <v>6.7858000000000001</v>
      </c>
      <c r="G367" s="33">
        <f>6.7911 * CHOOSE(CONTROL!$C$32, $C$9, 100%, $E$9)</f>
        <v>6.7911000000000001</v>
      </c>
      <c r="H367" s="33">
        <f>12.1272 * CHOOSE(CONTROL!$C$32, $C$9, 100%, $E$9)</f>
        <v>12.1272</v>
      </c>
      <c r="I367" s="33">
        <f>12.1325 * CHOOSE(CONTROL!$C$32, $C$9, 100%, $E$9)</f>
        <v>12.1325</v>
      </c>
      <c r="J367" s="33">
        <f>12.1272 * CHOOSE(CONTROL!$C$32, $C$9, 100%, $E$9)</f>
        <v>12.1272</v>
      </c>
      <c r="K367" s="33">
        <f>12.1325 * CHOOSE(CONTROL!$C$32, $C$9, 100%, $E$9)</f>
        <v>12.1325</v>
      </c>
      <c r="L367" s="33">
        <f>6.7858 * CHOOSE(CONTROL!$C$32, $C$9, 100%, $E$9)</f>
        <v>6.7858000000000001</v>
      </c>
      <c r="M367" s="33">
        <f>6.7911 * CHOOSE(CONTROL!$C$32, $C$9, 100%, $E$9)</f>
        <v>6.7911000000000001</v>
      </c>
      <c r="N367" s="33">
        <f>6.7858 * CHOOSE(CONTROL!$C$32, $C$9, 100%, $E$9)</f>
        <v>6.7858000000000001</v>
      </c>
      <c r="O367" s="33">
        <f>6.7911 * CHOOSE(CONTROL!$C$32, $C$9, 100%, $E$9)</f>
        <v>6.7911000000000001</v>
      </c>
    </row>
    <row r="368" spans="1:15" ht="15" x14ac:dyDescent="0.2">
      <c r="A368" s="16">
        <v>52413</v>
      </c>
      <c r="B368" s="32">
        <f>5.7154 * CHOOSE(CONTROL!$C$32, $C$9, 100%, $E$9)</f>
        <v>5.7153999999999998</v>
      </c>
      <c r="C368" s="32">
        <f>5.7154 * CHOOSE(CONTROL!$C$32, $C$9, 100%, $E$9)</f>
        <v>5.7153999999999998</v>
      </c>
      <c r="D368" s="32">
        <f>5.7169 * CHOOSE(CONTROL!$C$32, $C$9, 100%, $E$9)</f>
        <v>5.7168999999999999</v>
      </c>
      <c r="E368" s="33">
        <f>6.8109 * CHOOSE(CONTROL!$C$32, $C$9, 100%, $E$9)</f>
        <v>6.8109000000000002</v>
      </c>
      <c r="F368" s="33">
        <f>6.8109 * CHOOSE(CONTROL!$C$32, $C$9, 100%, $E$9)</f>
        <v>6.8109000000000002</v>
      </c>
      <c r="G368" s="33">
        <f>6.8162 * CHOOSE(CONTROL!$C$32, $C$9, 100%, $E$9)</f>
        <v>6.8162000000000003</v>
      </c>
      <c r="H368" s="33">
        <f>12.1525 * CHOOSE(CONTROL!$C$32, $C$9, 100%, $E$9)</f>
        <v>12.1525</v>
      </c>
      <c r="I368" s="33">
        <f>12.1578 * CHOOSE(CONTROL!$C$32, $C$9, 100%, $E$9)</f>
        <v>12.1578</v>
      </c>
      <c r="J368" s="33">
        <f>12.1525 * CHOOSE(CONTROL!$C$32, $C$9, 100%, $E$9)</f>
        <v>12.1525</v>
      </c>
      <c r="K368" s="33">
        <f>12.1578 * CHOOSE(CONTROL!$C$32, $C$9, 100%, $E$9)</f>
        <v>12.1578</v>
      </c>
      <c r="L368" s="33">
        <f>6.8109 * CHOOSE(CONTROL!$C$32, $C$9, 100%, $E$9)</f>
        <v>6.8109000000000002</v>
      </c>
      <c r="M368" s="33">
        <f>6.8162 * CHOOSE(CONTROL!$C$32, $C$9, 100%, $E$9)</f>
        <v>6.8162000000000003</v>
      </c>
      <c r="N368" s="33">
        <f>6.8109 * CHOOSE(CONTROL!$C$32, $C$9, 100%, $E$9)</f>
        <v>6.8109000000000002</v>
      </c>
      <c r="O368" s="33">
        <f>6.8162 * CHOOSE(CONTROL!$C$32, $C$9, 100%, $E$9)</f>
        <v>6.8162000000000003</v>
      </c>
    </row>
    <row r="369" spans="1:15" ht="15" x14ac:dyDescent="0.2">
      <c r="A369" s="16">
        <v>52444</v>
      </c>
      <c r="B369" s="32">
        <f>5.7221 * CHOOSE(CONTROL!$C$32, $C$9, 100%, $E$9)</f>
        <v>5.7221000000000002</v>
      </c>
      <c r="C369" s="32">
        <f>5.7221 * CHOOSE(CONTROL!$C$32, $C$9, 100%, $E$9)</f>
        <v>5.7221000000000002</v>
      </c>
      <c r="D369" s="32">
        <f>5.7236 * CHOOSE(CONTROL!$C$32, $C$9, 100%, $E$9)</f>
        <v>5.7236000000000002</v>
      </c>
      <c r="E369" s="33">
        <f>6.695 * CHOOSE(CONTROL!$C$32, $C$9, 100%, $E$9)</f>
        <v>6.6950000000000003</v>
      </c>
      <c r="F369" s="33">
        <f>6.695 * CHOOSE(CONTROL!$C$32, $C$9, 100%, $E$9)</f>
        <v>6.6950000000000003</v>
      </c>
      <c r="G369" s="33">
        <f>6.7003 * CHOOSE(CONTROL!$C$32, $C$9, 100%, $E$9)</f>
        <v>6.7003000000000004</v>
      </c>
      <c r="H369" s="33">
        <f>12.1778 * CHOOSE(CONTROL!$C$32, $C$9, 100%, $E$9)</f>
        <v>12.1778</v>
      </c>
      <c r="I369" s="33">
        <f>12.1831 * CHOOSE(CONTROL!$C$32, $C$9, 100%, $E$9)</f>
        <v>12.1831</v>
      </c>
      <c r="J369" s="33">
        <f>12.1778 * CHOOSE(CONTROL!$C$32, $C$9, 100%, $E$9)</f>
        <v>12.1778</v>
      </c>
      <c r="K369" s="33">
        <f>12.1831 * CHOOSE(CONTROL!$C$32, $C$9, 100%, $E$9)</f>
        <v>12.1831</v>
      </c>
      <c r="L369" s="33">
        <f>6.695 * CHOOSE(CONTROL!$C$32, $C$9, 100%, $E$9)</f>
        <v>6.6950000000000003</v>
      </c>
      <c r="M369" s="33">
        <f>6.7003 * CHOOSE(CONTROL!$C$32, $C$9, 100%, $E$9)</f>
        <v>6.7003000000000004</v>
      </c>
      <c r="N369" s="33">
        <f>6.695 * CHOOSE(CONTROL!$C$32, $C$9, 100%, $E$9)</f>
        <v>6.6950000000000003</v>
      </c>
      <c r="O369" s="33">
        <f>6.7003 * CHOOSE(CONTROL!$C$32, $C$9, 100%, $E$9)</f>
        <v>6.7003000000000004</v>
      </c>
    </row>
    <row r="370" spans="1:15" ht="15" x14ac:dyDescent="0.2">
      <c r="A370" s="16">
        <v>52475</v>
      </c>
      <c r="B370" s="32">
        <f>5.719 * CHOOSE(CONTROL!$C$32, $C$9, 100%, $E$9)</f>
        <v>5.7190000000000003</v>
      </c>
      <c r="C370" s="32">
        <f>5.719 * CHOOSE(CONTROL!$C$32, $C$9, 100%, $E$9)</f>
        <v>5.7190000000000003</v>
      </c>
      <c r="D370" s="32">
        <f>5.7206 * CHOOSE(CONTROL!$C$32, $C$9, 100%, $E$9)</f>
        <v>5.7206000000000001</v>
      </c>
      <c r="E370" s="33">
        <f>6.6795 * CHOOSE(CONTROL!$C$32, $C$9, 100%, $E$9)</f>
        <v>6.6795</v>
      </c>
      <c r="F370" s="33">
        <f>6.6795 * CHOOSE(CONTROL!$C$32, $C$9, 100%, $E$9)</f>
        <v>6.6795</v>
      </c>
      <c r="G370" s="33">
        <f>6.6848 * CHOOSE(CONTROL!$C$32, $C$9, 100%, $E$9)</f>
        <v>6.6848000000000001</v>
      </c>
      <c r="H370" s="33">
        <f>12.2032 * CHOOSE(CONTROL!$C$32, $C$9, 100%, $E$9)</f>
        <v>12.203200000000001</v>
      </c>
      <c r="I370" s="33">
        <f>12.2085 * CHOOSE(CONTROL!$C$32, $C$9, 100%, $E$9)</f>
        <v>12.208500000000001</v>
      </c>
      <c r="J370" s="33">
        <f>12.2032 * CHOOSE(CONTROL!$C$32, $C$9, 100%, $E$9)</f>
        <v>12.203200000000001</v>
      </c>
      <c r="K370" s="33">
        <f>12.2085 * CHOOSE(CONTROL!$C$32, $C$9, 100%, $E$9)</f>
        <v>12.208500000000001</v>
      </c>
      <c r="L370" s="33">
        <f>6.6795 * CHOOSE(CONTROL!$C$32, $C$9, 100%, $E$9)</f>
        <v>6.6795</v>
      </c>
      <c r="M370" s="33">
        <f>6.6848 * CHOOSE(CONTROL!$C$32, $C$9, 100%, $E$9)</f>
        <v>6.6848000000000001</v>
      </c>
      <c r="N370" s="33">
        <f>6.6795 * CHOOSE(CONTROL!$C$32, $C$9, 100%, $E$9)</f>
        <v>6.6795</v>
      </c>
      <c r="O370" s="33">
        <f>6.6848 * CHOOSE(CONTROL!$C$32, $C$9, 100%, $E$9)</f>
        <v>6.6848000000000001</v>
      </c>
    </row>
    <row r="371" spans="1:15" ht="15" x14ac:dyDescent="0.2">
      <c r="A371" s="16">
        <v>52505</v>
      </c>
      <c r="B371" s="32">
        <f>5.7205 * CHOOSE(CONTROL!$C$32, $C$9, 100%, $E$9)</f>
        <v>5.7205000000000004</v>
      </c>
      <c r="C371" s="32">
        <f>5.7205 * CHOOSE(CONTROL!$C$32, $C$9, 100%, $E$9)</f>
        <v>5.7205000000000004</v>
      </c>
      <c r="D371" s="32">
        <f>5.7215 * CHOOSE(CONTROL!$C$32, $C$9, 100%, $E$9)</f>
        <v>5.7214999999999998</v>
      </c>
      <c r="E371" s="33">
        <f>6.7197 * CHOOSE(CONTROL!$C$32, $C$9, 100%, $E$9)</f>
        <v>6.7196999999999996</v>
      </c>
      <c r="F371" s="33">
        <f>6.7197 * CHOOSE(CONTROL!$C$32, $C$9, 100%, $E$9)</f>
        <v>6.7196999999999996</v>
      </c>
      <c r="G371" s="33">
        <f>6.7233 * CHOOSE(CONTROL!$C$32, $C$9, 100%, $E$9)</f>
        <v>6.7233000000000001</v>
      </c>
      <c r="H371" s="33">
        <f>12.2286 * CHOOSE(CONTROL!$C$32, $C$9, 100%, $E$9)</f>
        <v>12.2286</v>
      </c>
      <c r="I371" s="33">
        <f>12.2322 * CHOOSE(CONTROL!$C$32, $C$9, 100%, $E$9)</f>
        <v>12.232200000000001</v>
      </c>
      <c r="J371" s="33">
        <f>12.2286 * CHOOSE(CONTROL!$C$32, $C$9, 100%, $E$9)</f>
        <v>12.2286</v>
      </c>
      <c r="K371" s="33">
        <f>12.2322 * CHOOSE(CONTROL!$C$32, $C$9, 100%, $E$9)</f>
        <v>12.232200000000001</v>
      </c>
      <c r="L371" s="33">
        <f>6.7197 * CHOOSE(CONTROL!$C$32, $C$9, 100%, $E$9)</f>
        <v>6.7196999999999996</v>
      </c>
      <c r="M371" s="33">
        <f>6.7233 * CHOOSE(CONTROL!$C$32, $C$9, 100%, $E$9)</f>
        <v>6.7233000000000001</v>
      </c>
      <c r="N371" s="33">
        <f>6.7197 * CHOOSE(CONTROL!$C$32, $C$9, 100%, $E$9)</f>
        <v>6.7196999999999996</v>
      </c>
      <c r="O371" s="33">
        <f>6.7233 * CHOOSE(CONTROL!$C$32, $C$9, 100%, $E$9)</f>
        <v>6.7233000000000001</v>
      </c>
    </row>
    <row r="372" spans="1:15" ht="15" x14ac:dyDescent="0.2">
      <c r="A372" s="16">
        <v>52536</v>
      </c>
      <c r="B372" s="32">
        <f>5.7235 * CHOOSE(CONTROL!$C$32, $C$9, 100%, $E$9)</f>
        <v>5.7234999999999996</v>
      </c>
      <c r="C372" s="32">
        <f>5.7235 * CHOOSE(CONTROL!$C$32, $C$9, 100%, $E$9)</f>
        <v>5.7234999999999996</v>
      </c>
      <c r="D372" s="32">
        <f>5.7246 * CHOOSE(CONTROL!$C$32, $C$9, 100%, $E$9)</f>
        <v>5.7245999999999997</v>
      </c>
      <c r="E372" s="33">
        <f>6.7486 * CHOOSE(CONTROL!$C$32, $C$9, 100%, $E$9)</f>
        <v>6.7485999999999997</v>
      </c>
      <c r="F372" s="33">
        <f>6.7486 * CHOOSE(CONTROL!$C$32, $C$9, 100%, $E$9)</f>
        <v>6.7485999999999997</v>
      </c>
      <c r="G372" s="33">
        <f>6.7522 * CHOOSE(CONTROL!$C$32, $C$9, 100%, $E$9)</f>
        <v>6.7522000000000002</v>
      </c>
      <c r="H372" s="33">
        <f>12.2541 * CHOOSE(CONTROL!$C$32, $C$9, 100%, $E$9)</f>
        <v>12.254099999999999</v>
      </c>
      <c r="I372" s="33">
        <f>12.2577 * CHOOSE(CONTROL!$C$32, $C$9, 100%, $E$9)</f>
        <v>12.2577</v>
      </c>
      <c r="J372" s="33">
        <f>12.2541 * CHOOSE(CONTROL!$C$32, $C$9, 100%, $E$9)</f>
        <v>12.254099999999999</v>
      </c>
      <c r="K372" s="33">
        <f>12.2577 * CHOOSE(CONTROL!$C$32, $C$9, 100%, $E$9)</f>
        <v>12.2577</v>
      </c>
      <c r="L372" s="33">
        <f>6.7486 * CHOOSE(CONTROL!$C$32, $C$9, 100%, $E$9)</f>
        <v>6.7485999999999997</v>
      </c>
      <c r="M372" s="33">
        <f>6.7522 * CHOOSE(CONTROL!$C$32, $C$9, 100%, $E$9)</f>
        <v>6.7522000000000002</v>
      </c>
      <c r="N372" s="33">
        <f>6.7486 * CHOOSE(CONTROL!$C$32, $C$9, 100%, $E$9)</f>
        <v>6.7485999999999997</v>
      </c>
      <c r="O372" s="33">
        <f>6.7522 * CHOOSE(CONTROL!$C$32, $C$9, 100%, $E$9)</f>
        <v>6.7522000000000002</v>
      </c>
    </row>
    <row r="373" spans="1:15" ht="15" x14ac:dyDescent="0.2">
      <c r="A373" s="16">
        <v>52566</v>
      </c>
      <c r="B373" s="32">
        <f>5.7235 * CHOOSE(CONTROL!$C$32, $C$9, 100%, $E$9)</f>
        <v>5.7234999999999996</v>
      </c>
      <c r="C373" s="32">
        <f>5.7235 * CHOOSE(CONTROL!$C$32, $C$9, 100%, $E$9)</f>
        <v>5.7234999999999996</v>
      </c>
      <c r="D373" s="32">
        <f>5.7246 * CHOOSE(CONTROL!$C$32, $C$9, 100%, $E$9)</f>
        <v>5.7245999999999997</v>
      </c>
      <c r="E373" s="33">
        <f>6.6816 * CHOOSE(CONTROL!$C$32, $C$9, 100%, $E$9)</f>
        <v>6.6816000000000004</v>
      </c>
      <c r="F373" s="33">
        <f>6.6816 * CHOOSE(CONTROL!$C$32, $C$9, 100%, $E$9)</f>
        <v>6.6816000000000004</v>
      </c>
      <c r="G373" s="33">
        <f>6.6852 * CHOOSE(CONTROL!$C$32, $C$9, 100%, $E$9)</f>
        <v>6.6852</v>
      </c>
      <c r="H373" s="33">
        <f>12.2796 * CHOOSE(CONTROL!$C$32, $C$9, 100%, $E$9)</f>
        <v>12.2796</v>
      </c>
      <c r="I373" s="33">
        <f>12.2832 * CHOOSE(CONTROL!$C$32, $C$9, 100%, $E$9)</f>
        <v>12.283200000000001</v>
      </c>
      <c r="J373" s="33">
        <f>12.2796 * CHOOSE(CONTROL!$C$32, $C$9, 100%, $E$9)</f>
        <v>12.2796</v>
      </c>
      <c r="K373" s="33">
        <f>12.2832 * CHOOSE(CONTROL!$C$32, $C$9, 100%, $E$9)</f>
        <v>12.283200000000001</v>
      </c>
      <c r="L373" s="33">
        <f>6.6816 * CHOOSE(CONTROL!$C$32, $C$9, 100%, $E$9)</f>
        <v>6.6816000000000004</v>
      </c>
      <c r="M373" s="33">
        <f>6.6852 * CHOOSE(CONTROL!$C$32, $C$9, 100%, $E$9)</f>
        <v>6.6852</v>
      </c>
      <c r="N373" s="33">
        <f>6.6816 * CHOOSE(CONTROL!$C$32, $C$9, 100%, $E$9)</f>
        <v>6.6816000000000004</v>
      </c>
      <c r="O373" s="33">
        <f>6.6852 * CHOOSE(CONTROL!$C$32, $C$9, 100%, $E$9)</f>
        <v>6.6852</v>
      </c>
    </row>
    <row r="374" spans="1:15" ht="15" x14ac:dyDescent="0.2">
      <c r="A374" s="16">
        <v>52597</v>
      </c>
      <c r="B374" s="32">
        <f>5.7676 * CHOOSE(CONTROL!$C$32, $C$9, 100%, $E$9)</f>
        <v>5.7675999999999998</v>
      </c>
      <c r="C374" s="32">
        <f>5.7676 * CHOOSE(CONTROL!$C$32, $C$9, 100%, $E$9)</f>
        <v>5.7675999999999998</v>
      </c>
      <c r="D374" s="32">
        <f>5.7686 * CHOOSE(CONTROL!$C$32, $C$9, 100%, $E$9)</f>
        <v>5.7686000000000002</v>
      </c>
      <c r="E374" s="33">
        <f>6.7573 * CHOOSE(CONTROL!$C$32, $C$9, 100%, $E$9)</f>
        <v>6.7572999999999999</v>
      </c>
      <c r="F374" s="33">
        <f>6.7573 * CHOOSE(CONTROL!$C$32, $C$9, 100%, $E$9)</f>
        <v>6.7572999999999999</v>
      </c>
      <c r="G374" s="33">
        <f>6.7609 * CHOOSE(CONTROL!$C$32, $C$9, 100%, $E$9)</f>
        <v>6.7609000000000004</v>
      </c>
      <c r="H374" s="33">
        <f>12.3052 * CHOOSE(CONTROL!$C$32, $C$9, 100%, $E$9)</f>
        <v>12.305199999999999</v>
      </c>
      <c r="I374" s="33">
        <f>12.3088 * CHOOSE(CONTROL!$C$32, $C$9, 100%, $E$9)</f>
        <v>12.3088</v>
      </c>
      <c r="J374" s="33">
        <f>12.3052 * CHOOSE(CONTROL!$C$32, $C$9, 100%, $E$9)</f>
        <v>12.305199999999999</v>
      </c>
      <c r="K374" s="33">
        <f>12.3088 * CHOOSE(CONTROL!$C$32, $C$9, 100%, $E$9)</f>
        <v>12.3088</v>
      </c>
      <c r="L374" s="33">
        <f>6.7573 * CHOOSE(CONTROL!$C$32, $C$9, 100%, $E$9)</f>
        <v>6.7572999999999999</v>
      </c>
      <c r="M374" s="33">
        <f>6.7609 * CHOOSE(CONTROL!$C$32, $C$9, 100%, $E$9)</f>
        <v>6.7609000000000004</v>
      </c>
      <c r="N374" s="33">
        <f>6.7573 * CHOOSE(CONTROL!$C$32, $C$9, 100%, $E$9)</f>
        <v>6.7572999999999999</v>
      </c>
      <c r="O374" s="33">
        <f>6.7609 * CHOOSE(CONTROL!$C$32, $C$9, 100%, $E$9)</f>
        <v>6.7609000000000004</v>
      </c>
    </row>
    <row r="375" spans="1:15" ht="15" x14ac:dyDescent="0.2">
      <c r="A375" s="16">
        <v>52628</v>
      </c>
      <c r="B375" s="32">
        <f>5.7645 * CHOOSE(CONTROL!$C$32, $C$9, 100%, $E$9)</f>
        <v>5.7645</v>
      </c>
      <c r="C375" s="32">
        <f>5.7645 * CHOOSE(CONTROL!$C$32, $C$9, 100%, $E$9)</f>
        <v>5.7645</v>
      </c>
      <c r="D375" s="32">
        <f>5.7656 * CHOOSE(CONTROL!$C$32, $C$9, 100%, $E$9)</f>
        <v>5.7656000000000001</v>
      </c>
      <c r="E375" s="33">
        <f>6.6244 * CHOOSE(CONTROL!$C$32, $C$9, 100%, $E$9)</f>
        <v>6.6243999999999996</v>
      </c>
      <c r="F375" s="33">
        <f>6.6244 * CHOOSE(CONTROL!$C$32, $C$9, 100%, $E$9)</f>
        <v>6.6243999999999996</v>
      </c>
      <c r="G375" s="33">
        <f>6.628 * CHOOSE(CONTROL!$C$32, $C$9, 100%, $E$9)</f>
        <v>6.6280000000000001</v>
      </c>
      <c r="H375" s="33">
        <f>12.3308 * CHOOSE(CONTROL!$C$32, $C$9, 100%, $E$9)</f>
        <v>12.3308</v>
      </c>
      <c r="I375" s="33">
        <f>12.3344 * CHOOSE(CONTROL!$C$32, $C$9, 100%, $E$9)</f>
        <v>12.3344</v>
      </c>
      <c r="J375" s="33">
        <f>12.3308 * CHOOSE(CONTROL!$C$32, $C$9, 100%, $E$9)</f>
        <v>12.3308</v>
      </c>
      <c r="K375" s="33">
        <f>12.3344 * CHOOSE(CONTROL!$C$32, $C$9, 100%, $E$9)</f>
        <v>12.3344</v>
      </c>
      <c r="L375" s="33">
        <f>6.6244 * CHOOSE(CONTROL!$C$32, $C$9, 100%, $E$9)</f>
        <v>6.6243999999999996</v>
      </c>
      <c r="M375" s="33">
        <f>6.628 * CHOOSE(CONTROL!$C$32, $C$9, 100%, $E$9)</f>
        <v>6.6280000000000001</v>
      </c>
      <c r="N375" s="33">
        <f>6.6244 * CHOOSE(CONTROL!$C$32, $C$9, 100%, $E$9)</f>
        <v>6.6243999999999996</v>
      </c>
      <c r="O375" s="33">
        <f>6.628 * CHOOSE(CONTROL!$C$32, $C$9, 100%, $E$9)</f>
        <v>6.6280000000000001</v>
      </c>
    </row>
    <row r="376" spans="1:15" ht="15" x14ac:dyDescent="0.2">
      <c r="A376" s="16">
        <v>52657</v>
      </c>
      <c r="B376" s="32">
        <f>5.7615 * CHOOSE(CONTROL!$C$32, $C$9, 100%, $E$9)</f>
        <v>5.7614999999999998</v>
      </c>
      <c r="C376" s="32">
        <f>5.7615 * CHOOSE(CONTROL!$C$32, $C$9, 100%, $E$9)</f>
        <v>5.7614999999999998</v>
      </c>
      <c r="D376" s="32">
        <f>5.7626 * CHOOSE(CONTROL!$C$32, $C$9, 100%, $E$9)</f>
        <v>5.7625999999999999</v>
      </c>
      <c r="E376" s="33">
        <f>6.7254 * CHOOSE(CONTROL!$C$32, $C$9, 100%, $E$9)</f>
        <v>6.7253999999999996</v>
      </c>
      <c r="F376" s="33">
        <f>6.7254 * CHOOSE(CONTROL!$C$32, $C$9, 100%, $E$9)</f>
        <v>6.7253999999999996</v>
      </c>
      <c r="G376" s="33">
        <f>6.729 * CHOOSE(CONTROL!$C$32, $C$9, 100%, $E$9)</f>
        <v>6.7290000000000001</v>
      </c>
      <c r="H376" s="33">
        <f>12.3565 * CHOOSE(CONTROL!$C$32, $C$9, 100%, $E$9)</f>
        <v>12.3565</v>
      </c>
      <c r="I376" s="33">
        <f>12.3601 * CHOOSE(CONTROL!$C$32, $C$9, 100%, $E$9)</f>
        <v>12.360099999999999</v>
      </c>
      <c r="J376" s="33">
        <f>12.3565 * CHOOSE(CONTROL!$C$32, $C$9, 100%, $E$9)</f>
        <v>12.3565</v>
      </c>
      <c r="K376" s="33">
        <f>12.3601 * CHOOSE(CONTROL!$C$32, $C$9, 100%, $E$9)</f>
        <v>12.360099999999999</v>
      </c>
      <c r="L376" s="33">
        <f>6.7254 * CHOOSE(CONTROL!$C$32, $C$9, 100%, $E$9)</f>
        <v>6.7253999999999996</v>
      </c>
      <c r="M376" s="33">
        <f>6.729 * CHOOSE(CONTROL!$C$32, $C$9, 100%, $E$9)</f>
        <v>6.7290000000000001</v>
      </c>
      <c r="N376" s="33">
        <f>6.7254 * CHOOSE(CONTROL!$C$32, $C$9, 100%, $E$9)</f>
        <v>6.7253999999999996</v>
      </c>
      <c r="O376" s="33">
        <f>6.729 * CHOOSE(CONTROL!$C$32, $C$9, 100%, $E$9)</f>
        <v>6.7290000000000001</v>
      </c>
    </row>
    <row r="377" spans="1:15" ht="15" x14ac:dyDescent="0.2">
      <c r="A377" s="16">
        <v>52688</v>
      </c>
      <c r="B377" s="32">
        <f>5.7608 * CHOOSE(CONTROL!$C$32, $C$9, 100%, $E$9)</f>
        <v>5.7607999999999997</v>
      </c>
      <c r="C377" s="32">
        <f>5.7608 * CHOOSE(CONTROL!$C$32, $C$9, 100%, $E$9)</f>
        <v>5.7607999999999997</v>
      </c>
      <c r="D377" s="32">
        <f>5.7619 * CHOOSE(CONTROL!$C$32, $C$9, 100%, $E$9)</f>
        <v>5.7618999999999998</v>
      </c>
      <c r="E377" s="33">
        <f>6.8318 * CHOOSE(CONTROL!$C$32, $C$9, 100%, $E$9)</f>
        <v>6.8318000000000003</v>
      </c>
      <c r="F377" s="33">
        <f>6.8318 * CHOOSE(CONTROL!$C$32, $C$9, 100%, $E$9)</f>
        <v>6.8318000000000003</v>
      </c>
      <c r="G377" s="33">
        <f>6.8354 * CHOOSE(CONTROL!$C$32, $C$9, 100%, $E$9)</f>
        <v>6.8353999999999999</v>
      </c>
      <c r="H377" s="33">
        <f>12.3823 * CHOOSE(CONTROL!$C$32, $C$9, 100%, $E$9)</f>
        <v>12.382300000000001</v>
      </c>
      <c r="I377" s="33">
        <f>12.3859 * CHOOSE(CONTROL!$C$32, $C$9, 100%, $E$9)</f>
        <v>12.385899999999999</v>
      </c>
      <c r="J377" s="33">
        <f>12.3823 * CHOOSE(CONTROL!$C$32, $C$9, 100%, $E$9)</f>
        <v>12.382300000000001</v>
      </c>
      <c r="K377" s="33">
        <f>12.3859 * CHOOSE(CONTROL!$C$32, $C$9, 100%, $E$9)</f>
        <v>12.385899999999999</v>
      </c>
      <c r="L377" s="33">
        <f>6.8318 * CHOOSE(CONTROL!$C$32, $C$9, 100%, $E$9)</f>
        <v>6.8318000000000003</v>
      </c>
      <c r="M377" s="33">
        <f>6.8354 * CHOOSE(CONTROL!$C$32, $C$9, 100%, $E$9)</f>
        <v>6.8353999999999999</v>
      </c>
      <c r="N377" s="33">
        <f>6.8318 * CHOOSE(CONTROL!$C$32, $C$9, 100%, $E$9)</f>
        <v>6.8318000000000003</v>
      </c>
      <c r="O377" s="33">
        <f>6.8354 * CHOOSE(CONTROL!$C$32, $C$9, 100%, $E$9)</f>
        <v>6.8353999999999999</v>
      </c>
    </row>
    <row r="378" spans="1:15" ht="15" x14ac:dyDescent="0.2">
      <c r="A378" s="16">
        <v>52718</v>
      </c>
      <c r="B378" s="32">
        <f>5.7608 * CHOOSE(CONTROL!$C$32, $C$9, 100%, $E$9)</f>
        <v>5.7607999999999997</v>
      </c>
      <c r="C378" s="32">
        <f>5.7608 * CHOOSE(CONTROL!$C$32, $C$9, 100%, $E$9)</f>
        <v>5.7607999999999997</v>
      </c>
      <c r="D378" s="32">
        <f>5.7624 * CHOOSE(CONTROL!$C$32, $C$9, 100%, $E$9)</f>
        <v>5.7624000000000004</v>
      </c>
      <c r="E378" s="33">
        <f>6.8733 * CHOOSE(CONTROL!$C$32, $C$9, 100%, $E$9)</f>
        <v>6.8733000000000004</v>
      </c>
      <c r="F378" s="33">
        <f>6.8733 * CHOOSE(CONTROL!$C$32, $C$9, 100%, $E$9)</f>
        <v>6.8733000000000004</v>
      </c>
      <c r="G378" s="33">
        <f>6.8786 * CHOOSE(CONTROL!$C$32, $C$9, 100%, $E$9)</f>
        <v>6.8785999999999996</v>
      </c>
      <c r="H378" s="33">
        <f>12.408 * CHOOSE(CONTROL!$C$32, $C$9, 100%, $E$9)</f>
        <v>12.407999999999999</v>
      </c>
      <c r="I378" s="33">
        <f>12.4133 * CHOOSE(CONTROL!$C$32, $C$9, 100%, $E$9)</f>
        <v>12.4133</v>
      </c>
      <c r="J378" s="33">
        <f>12.408 * CHOOSE(CONTROL!$C$32, $C$9, 100%, $E$9)</f>
        <v>12.407999999999999</v>
      </c>
      <c r="K378" s="33">
        <f>12.4133 * CHOOSE(CONTROL!$C$32, $C$9, 100%, $E$9)</f>
        <v>12.4133</v>
      </c>
      <c r="L378" s="33">
        <f>6.8733 * CHOOSE(CONTROL!$C$32, $C$9, 100%, $E$9)</f>
        <v>6.8733000000000004</v>
      </c>
      <c r="M378" s="33">
        <f>6.8786 * CHOOSE(CONTROL!$C$32, $C$9, 100%, $E$9)</f>
        <v>6.8785999999999996</v>
      </c>
      <c r="N378" s="33">
        <f>6.8733 * CHOOSE(CONTROL!$C$32, $C$9, 100%, $E$9)</f>
        <v>6.8733000000000004</v>
      </c>
      <c r="O378" s="33">
        <f>6.8786 * CHOOSE(CONTROL!$C$32, $C$9, 100%, $E$9)</f>
        <v>6.8785999999999996</v>
      </c>
    </row>
    <row r="379" spans="1:15" ht="15" x14ac:dyDescent="0.2">
      <c r="A379" s="16">
        <v>52749</v>
      </c>
      <c r="B379" s="32">
        <f>5.7669 * CHOOSE(CONTROL!$C$32, $C$9, 100%, $E$9)</f>
        <v>5.7668999999999997</v>
      </c>
      <c r="C379" s="32">
        <f>5.7669 * CHOOSE(CONTROL!$C$32, $C$9, 100%, $E$9)</f>
        <v>5.7668999999999997</v>
      </c>
      <c r="D379" s="32">
        <f>5.7685 * CHOOSE(CONTROL!$C$32, $C$9, 100%, $E$9)</f>
        <v>5.7685000000000004</v>
      </c>
      <c r="E379" s="33">
        <f>6.836 * CHOOSE(CONTROL!$C$32, $C$9, 100%, $E$9)</f>
        <v>6.8360000000000003</v>
      </c>
      <c r="F379" s="33">
        <f>6.836 * CHOOSE(CONTROL!$C$32, $C$9, 100%, $E$9)</f>
        <v>6.8360000000000003</v>
      </c>
      <c r="G379" s="33">
        <f>6.8413 * CHOOSE(CONTROL!$C$32, $C$9, 100%, $E$9)</f>
        <v>6.8413000000000004</v>
      </c>
      <c r="H379" s="33">
        <f>12.4339 * CHOOSE(CONTROL!$C$32, $C$9, 100%, $E$9)</f>
        <v>12.4339</v>
      </c>
      <c r="I379" s="33">
        <f>12.4392 * CHOOSE(CONTROL!$C$32, $C$9, 100%, $E$9)</f>
        <v>12.4392</v>
      </c>
      <c r="J379" s="33">
        <f>12.4339 * CHOOSE(CONTROL!$C$32, $C$9, 100%, $E$9)</f>
        <v>12.4339</v>
      </c>
      <c r="K379" s="33">
        <f>12.4392 * CHOOSE(CONTROL!$C$32, $C$9, 100%, $E$9)</f>
        <v>12.4392</v>
      </c>
      <c r="L379" s="33">
        <f>6.836 * CHOOSE(CONTROL!$C$32, $C$9, 100%, $E$9)</f>
        <v>6.8360000000000003</v>
      </c>
      <c r="M379" s="33">
        <f>6.8413 * CHOOSE(CONTROL!$C$32, $C$9, 100%, $E$9)</f>
        <v>6.8413000000000004</v>
      </c>
      <c r="N379" s="33">
        <f>6.836 * CHOOSE(CONTROL!$C$32, $C$9, 100%, $E$9)</f>
        <v>6.8360000000000003</v>
      </c>
      <c r="O379" s="33">
        <f>6.8413 * CHOOSE(CONTROL!$C$32, $C$9, 100%, $E$9)</f>
        <v>6.8413000000000004</v>
      </c>
    </row>
    <row r="380" spans="1:15" ht="15" x14ac:dyDescent="0.2">
      <c r="A380" s="16">
        <v>52779</v>
      </c>
      <c r="B380" s="32">
        <f>5.845 * CHOOSE(CONTROL!$C$32, $C$9, 100%, $E$9)</f>
        <v>5.8449999999999998</v>
      </c>
      <c r="C380" s="32">
        <f>5.845 * CHOOSE(CONTROL!$C$32, $C$9, 100%, $E$9)</f>
        <v>5.8449999999999998</v>
      </c>
      <c r="D380" s="32">
        <f>5.8465 * CHOOSE(CONTROL!$C$32, $C$9, 100%, $E$9)</f>
        <v>5.8464999999999998</v>
      </c>
      <c r="E380" s="33">
        <f>6.8655 * CHOOSE(CONTROL!$C$32, $C$9, 100%, $E$9)</f>
        <v>6.8654999999999999</v>
      </c>
      <c r="F380" s="33">
        <f>6.8655 * CHOOSE(CONTROL!$C$32, $C$9, 100%, $E$9)</f>
        <v>6.8654999999999999</v>
      </c>
      <c r="G380" s="33">
        <f>6.8708 * CHOOSE(CONTROL!$C$32, $C$9, 100%, $E$9)</f>
        <v>6.8708</v>
      </c>
      <c r="H380" s="33">
        <f>12.4598 * CHOOSE(CONTROL!$C$32, $C$9, 100%, $E$9)</f>
        <v>12.4598</v>
      </c>
      <c r="I380" s="33">
        <f>12.4651 * CHOOSE(CONTROL!$C$32, $C$9, 100%, $E$9)</f>
        <v>12.4651</v>
      </c>
      <c r="J380" s="33">
        <f>12.4598 * CHOOSE(CONTROL!$C$32, $C$9, 100%, $E$9)</f>
        <v>12.4598</v>
      </c>
      <c r="K380" s="33">
        <f>12.4651 * CHOOSE(CONTROL!$C$32, $C$9, 100%, $E$9)</f>
        <v>12.4651</v>
      </c>
      <c r="L380" s="33">
        <f>6.8655 * CHOOSE(CONTROL!$C$32, $C$9, 100%, $E$9)</f>
        <v>6.8654999999999999</v>
      </c>
      <c r="M380" s="33">
        <f>6.8708 * CHOOSE(CONTROL!$C$32, $C$9, 100%, $E$9)</f>
        <v>6.8708</v>
      </c>
      <c r="N380" s="33">
        <f>6.8655 * CHOOSE(CONTROL!$C$32, $C$9, 100%, $E$9)</f>
        <v>6.8654999999999999</v>
      </c>
      <c r="O380" s="33">
        <f>6.8708 * CHOOSE(CONTROL!$C$32, $C$9, 100%, $E$9)</f>
        <v>6.8708</v>
      </c>
    </row>
    <row r="381" spans="1:15" ht="15" x14ac:dyDescent="0.2">
      <c r="A381" s="16">
        <v>52810</v>
      </c>
      <c r="B381" s="32">
        <f>5.8516 * CHOOSE(CONTROL!$C$32, $C$9, 100%, $E$9)</f>
        <v>5.8516000000000004</v>
      </c>
      <c r="C381" s="32">
        <f>5.8516 * CHOOSE(CONTROL!$C$32, $C$9, 100%, $E$9)</f>
        <v>5.8516000000000004</v>
      </c>
      <c r="D381" s="32">
        <f>5.8532 * CHOOSE(CONTROL!$C$32, $C$9, 100%, $E$9)</f>
        <v>5.8532000000000002</v>
      </c>
      <c r="E381" s="33">
        <f>6.7456 * CHOOSE(CONTROL!$C$32, $C$9, 100%, $E$9)</f>
        <v>6.7455999999999996</v>
      </c>
      <c r="F381" s="33">
        <f>6.7456 * CHOOSE(CONTROL!$C$32, $C$9, 100%, $E$9)</f>
        <v>6.7455999999999996</v>
      </c>
      <c r="G381" s="33">
        <f>6.7509 * CHOOSE(CONTROL!$C$32, $C$9, 100%, $E$9)</f>
        <v>6.7508999999999997</v>
      </c>
      <c r="H381" s="33">
        <f>12.4858 * CHOOSE(CONTROL!$C$32, $C$9, 100%, $E$9)</f>
        <v>12.485799999999999</v>
      </c>
      <c r="I381" s="33">
        <f>12.4911 * CHOOSE(CONTROL!$C$32, $C$9, 100%, $E$9)</f>
        <v>12.491099999999999</v>
      </c>
      <c r="J381" s="33">
        <f>12.4858 * CHOOSE(CONTROL!$C$32, $C$9, 100%, $E$9)</f>
        <v>12.485799999999999</v>
      </c>
      <c r="K381" s="33">
        <f>12.4911 * CHOOSE(CONTROL!$C$32, $C$9, 100%, $E$9)</f>
        <v>12.491099999999999</v>
      </c>
      <c r="L381" s="33">
        <f>6.7456 * CHOOSE(CONTROL!$C$32, $C$9, 100%, $E$9)</f>
        <v>6.7455999999999996</v>
      </c>
      <c r="M381" s="33">
        <f>6.7509 * CHOOSE(CONTROL!$C$32, $C$9, 100%, $E$9)</f>
        <v>6.7508999999999997</v>
      </c>
      <c r="N381" s="33">
        <f>6.7456 * CHOOSE(CONTROL!$C$32, $C$9, 100%, $E$9)</f>
        <v>6.7455999999999996</v>
      </c>
      <c r="O381" s="33">
        <f>6.7509 * CHOOSE(CONTROL!$C$32, $C$9, 100%, $E$9)</f>
        <v>6.7508999999999997</v>
      </c>
    </row>
    <row r="382" spans="1:15" ht="15" x14ac:dyDescent="0.2">
      <c r="A382" s="16">
        <v>52841</v>
      </c>
      <c r="B382" s="32">
        <f>5.8486 * CHOOSE(CONTROL!$C$32, $C$9, 100%, $E$9)</f>
        <v>5.8486000000000002</v>
      </c>
      <c r="C382" s="32">
        <f>5.8486 * CHOOSE(CONTROL!$C$32, $C$9, 100%, $E$9)</f>
        <v>5.8486000000000002</v>
      </c>
      <c r="D382" s="32">
        <f>5.8502 * CHOOSE(CONTROL!$C$32, $C$9, 100%, $E$9)</f>
        <v>5.8502000000000001</v>
      </c>
      <c r="E382" s="33">
        <f>6.7297 * CHOOSE(CONTROL!$C$32, $C$9, 100%, $E$9)</f>
        <v>6.7297000000000002</v>
      </c>
      <c r="F382" s="33">
        <f>6.7297 * CHOOSE(CONTROL!$C$32, $C$9, 100%, $E$9)</f>
        <v>6.7297000000000002</v>
      </c>
      <c r="G382" s="33">
        <f>6.735 * CHOOSE(CONTROL!$C$32, $C$9, 100%, $E$9)</f>
        <v>6.7350000000000003</v>
      </c>
      <c r="H382" s="33">
        <f>12.5118 * CHOOSE(CONTROL!$C$32, $C$9, 100%, $E$9)</f>
        <v>12.511799999999999</v>
      </c>
      <c r="I382" s="33">
        <f>12.5171 * CHOOSE(CONTROL!$C$32, $C$9, 100%, $E$9)</f>
        <v>12.517099999999999</v>
      </c>
      <c r="J382" s="33">
        <f>12.5118 * CHOOSE(CONTROL!$C$32, $C$9, 100%, $E$9)</f>
        <v>12.511799999999999</v>
      </c>
      <c r="K382" s="33">
        <f>12.5171 * CHOOSE(CONTROL!$C$32, $C$9, 100%, $E$9)</f>
        <v>12.517099999999999</v>
      </c>
      <c r="L382" s="33">
        <f>6.7297 * CHOOSE(CONTROL!$C$32, $C$9, 100%, $E$9)</f>
        <v>6.7297000000000002</v>
      </c>
      <c r="M382" s="33">
        <f>6.735 * CHOOSE(CONTROL!$C$32, $C$9, 100%, $E$9)</f>
        <v>6.7350000000000003</v>
      </c>
      <c r="N382" s="33">
        <f>6.7297 * CHOOSE(CONTROL!$C$32, $C$9, 100%, $E$9)</f>
        <v>6.7297000000000002</v>
      </c>
      <c r="O382" s="33">
        <f>6.735 * CHOOSE(CONTROL!$C$32, $C$9, 100%, $E$9)</f>
        <v>6.7350000000000003</v>
      </c>
    </row>
    <row r="383" spans="1:15" ht="15" x14ac:dyDescent="0.2">
      <c r="A383" s="16">
        <v>52871</v>
      </c>
      <c r="B383" s="32">
        <f>5.8505 * CHOOSE(CONTROL!$C$32, $C$9, 100%, $E$9)</f>
        <v>5.8505000000000003</v>
      </c>
      <c r="C383" s="32">
        <f>5.8505 * CHOOSE(CONTROL!$C$32, $C$9, 100%, $E$9)</f>
        <v>5.8505000000000003</v>
      </c>
      <c r="D383" s="32">
        <f>5.8516 * CHOOSE(CONTROL!$C$32, $C$9, 100%, $E$9)</f>
        <v>5.8516000000000004</v>
      </c>
      <c r="E383" s="33">
        <f>6.7716 * CHOOSE(CONTROL!$C$32, $C$9, 100%, $E$9)</f>
        <v>6.7716000000000003</v>
      </c>
      <c r="F383" s="33">
        <f>6.7716 * CHOOSE(CONTROL!$C$32, $C$9, 100%, $E$9)</f>
        <v>6.7716000000000003</v>
      </c>
      <c r="G383" s="33">
        <f>6.7752 * CHOOSE(CONTROL!$C$32, $C$9, 100%, $E$9)</f>
        <v>6.7751999999999999</v>
      </c>
      <c r="H383" s="33">
        <f>12.5378 * CHOOSE(CONTROL!$C$32, $C$9, 100%, $E$9)</f>
        <v>12.537800000000001</v>
      </c>
      <c r="I383" s="33">
        <f>12.5415 * CHOOSE(CONTROL!$C$32, $C$9, 100%, $E$9)</f>
        <v>12.541499999999999</v>
      </c>
      <c r="J383" s="33">
        <f>12.5378 * CHOOSE(CONTROL!$C$32, $C$9, 100%, $E$9)</f>
        <v>12.537800000000001</v>
      </c>
      <c r="K383" s="33">
        <f>12.5415 * CHOOSE(CONTROL!$C$32, $C$9, 100%, $E$9)</f>
        <v>12.541499999999999</v>
      </c>
      <c r="L383" s="33">
        <f>6.7716 * CHOOSE(CONTROL!$C$32, $C$9, 100%, $E$9)</f>
        <v>6.7716000000000003</v>
      </c>
      <c r="M383" s="33">
        <f>6.7752 * CHOOSE(CONTROL!$C$32, $C$9, 100%, $E$9)</f>
        <v>6.7751999999999999</v>
      </c>
      <c r="N383" s="33">
        <f>6.7716 * CHOOSE(CONTROL!$C$32, $C$9, 100%, $E$9)</f>
        <v>6.7716000000000003</v>
      </c>
      <c r="O383" s="33">
        <f>6.7752 * CHOOSE(CONTROL!$C$32, $C$9, 100%, $E$9)</f>
        <v>6.7751999999999999</v>
      </c>
    </row>
    <row r="384" spans="1:15" ht="15" x14ac:dyDescent="0.2">
      <c r="A384" s="16">
        <v>52902</v>
      </c>
      <c r="B384" s="32">
        <f>5.8536 * CHOOSE(CONTROL!$C$32, $C$9, 100%, $E$9)</f>
        <v>5.8536000000000001</v>
      </c>
      <c r="C384" s="32">
        <f>5.8536 * CHOOSE(CONTROL!$C$32, $C$9, 100%, $E$9)</f>
        <v>5.8536000000000001</v>
      </c>
      <c r="D384" s="32">
        <f>5.8546 * CHOOSE(CONTROL!$C$32, $C$9, 100%, $E$9)</f>
        <v>5.8545999999999996</v>
      </c>
      <c r="E384" s="33">
        <f>6.8014 * CHOOSE(CONTROL!$C$32, $C$9, 100%, $E$9)</f>
        <v>6.8014000000000001</v>
      </c>
      <c r="F384" s="33">
        <f>6.8014 * CHOOSE(CONTROL!$C$32, $C$9, 100%, $E$9)</f>
        <v>6.8014000000000001</v>
      </c>
      <c r="G384" s="33">
        <f>6.805 * CHOOSE(CONTROL!$C$32, $C$9, 100%, $E$9)</f>
        <v>6.8049999999999997</v>
      </c>
      <c r="H384" s="33">
        <f>12.564 * CHOOSE(CONTROL!$C$32, $C$9, 100%, $E$9)</f>
        <v>12.564</v>
      </c>
      <c r="I384" s="33">
        <f>12.5676 * CHOOSE(CONTROL!$C$32, $C$9, 100%, $E$9)</f>
        <v>12.567600000000001</v>
      </c>
      <c r="J384" s="33">
        <f>12.564 * CHOOSE(CONTROL!$C$32, $C$9, 100%, $E$9)</f>
        <v>12.564</v>
      </c>
      <c r="K384" s="33">
        <f>12.5676 * CHOOSE(CONTROL!$C$32, $C$9, 100%, $E$9)</f>
        <v>12.567600000000001</v>
      </c>
      <c r="L384" s="33">
        <f>6.8014 * CHOOSE(CONTROL!$C$32, $C$9, 100%, $E$9)</f>
        <v>6.8014000000000001</v>
      </c>
      <c r="M384" s="33">
        <f>6.805 * CHOOSE(CONTROL!$C$32, $C$9, 100%, $E$9)</f>
        <v>6.8049999999999997</v>
      </c>
      <c r="N384" s="33">
        <f>6.8014 * CHOOSE(CONTROL!$C$32, $C$9, 100%, $E$9)</f>
        <v>6.8014000000000001</v>
      </c>
      <c r="O384" s="33">
        <f>6.805 * CHOOSE(CONTROL!$C$32, $C$9, 100%, $E$9)</f>
        <v>6.8049999999999997</v>
      </c>
    </row>
    <row r="385" spans="1:15" ht="15" x14ac:dyDescent="0.2">
      <c r="A385" s="16">
        <v>52932</v>
      </c>
      <c r="B385" s="32">
        <f>5.8536 * CHOOSE(CONTROL!$C$32, $C$9, 100%, $E$9)</f>
        <v>5.8536000000000001</v>
      </c>
      <c r="C385" s="32">
        <f>5.8536 * CHOOSE(CONTROL!$C$32, $C$9, 100%, $E$9)</f>
        <v>5.8536000000000001</v>
      </c>
      <c r="D385" s="32">
        <f>5.8546 * CHOOSE(CONTROL!$C$32, $C$9, 100%, $E$9)</f>
        <v>5.8545999999999996</v>
      </c>
      <c r="E385" s="33">
        <f>6.7322 * CHOOSE(CONTROL!$C$32, $C$9, 100%, $E$9)</f>
        <v>6.7321999999999997</v>
      </c>
      <c r="F385" s="33">
        <f>6.7322 * CHOOSE(CONTROL!$C$32, $C$9, 100%, $E$9)</f>
        <v>6.7321999999999997</v>
      </c>
      <c r="G385" s="33">
        <f>6.7358 * CHOOSE(CONTROL!$C$32, $C$9, 100%, $E$9)</f>
        <v>6.7358000000000002</v>
      </c>
      <c r="H385" s="33">
        <f>12.5901 * CHOOSE(CONTROL!$C$32, $C$9, 100%, $E$9)</f>
        <v>12.5901</v>
      </c>
      <c r="I385" s="33">
        <f>12.5938 * CHOOSE(CONTROL!$C$32, $C$9, 100%, $E$9)</f>
        <v>12.5938</v>
      </c>
      <c r="J385" s="33">
        <f>12.5901 * CHOOSE(CONTROL!$C$32, $C$9, 100%, $E$9)</f>
        <v>12.5901</v>
      </c>
      <c r="K385" s="33">
        <f>12.5938 * CHOOSE(CONTROL!$C$32, $C$9, 100%, $E$9)</f>
        <v>12.5938</v>
      </c>
      <c r="L385" s="33">
        <f>6.7322 * CHOOSE(CONTROL!$C$32, $C$9, 100%, $E$9)</f>
        <v>6.7321999999999997</v>
      </c>
      <c r="M385" s="33">
        <f>6.7358 * CHOOSE(CONTROL!$C$32, $C$9, 100%, $E$9)</f>
        <v>6.7358000000000002</v>
      </c>
      <c r="N385" s="33">
        <f>6.7322 * CHOOSE(CONTROL!$C$32, $C$9, 100%, $E$9)</f>
        <v>6.7321999999999997</v>
      </c>
      <c r="O385" s="33">
        <f>6.7358 * CHOOSE(CONTROL!$C$32, $C$9, 100%, $E$9)</f>
        <v>6.7358000000000002</v>
      </c>
    </row>
    <row r="386" spans="1:15" ht="15" x14ac:dyDescent="0.2">
      <c r="A386" s="16">
        <v>52963</v>
      </c>
      <c r="B386" s="32">
        <f>5.8984 * CHOOSE(CONTROL!$C$32, $C$9, 100%, $E$9)</f>
        <v>5.8983999999999996</v>
      </c>
      <c r="C386" s="32">
        <f>5.8984 * CHOOSE(CONTROL!$C$32, $C$9, 100%, $E$9)</f>
        <v>5.8983999999999996</v>
      </c>
      <c r="D386" s="32">
        <f>5.8995 * CHOOSE(CONTROL!$C$32, $C$9, 100%, $E$9)</f>
        <v>5.8994999999999997</v>
      </c>
      <c r="E386" s="33">
        <f>6.8151 * CHOOSE(CONTROL!$C$32, $C$9, 100%, $E$9)</f>
        <v>6.8151000000000002</v>
      </c>
      <c r="F386" s="33">
        <f>6.8151 * CHOOSE(CONTROL!$C$32, $C$9, 100%, $E$9)</f>
        <v>6.8151000000000002</v>
      </c>
      <c r="G386" s="33">
        <f>6.8187 * CHOOSE(CONTROL!$C$32, $C$9, 100%, $E$9)</f>
        <v>6.8186999999999998</v>
      </c>
      <c r="H386" s="33">
        <f>12.6164 * CHOOSE(CONTROL!$C$32, $C$9, 100%, $E$9)</f>
        <v>12.616400000000001</v>
      </c>
      <c r="I386" s="33">
        <f>12.62 * CHOOSE(CONTROL!$C$32, $C$9, 100%, $E$9)</f>
        <v>12.62</v>
      </c>
      <c r="J386" s="33">
        <f>12.6164 * CHOOSE(CONTROL!$C$32, $C$9, 100%, $E$9)</f>
        <v>12.616400000000001</v>
      </c>
      <c r="K386" s="33">
        <f>12.62 * CHOOSE(CONTROL!$C$32, $C$9, 100%, $E$9)</f>
        <v>12.62</v>
      </c>
      <c r="L386" s="33">
        <f>6.8151 * CHOOSE(CONTROL!$C$32, $C$9, 100%, $E$9)</f>
        <v>6.8151000000000002</v>
      </c>
      <c r="M386" s="33">
        <f>6.8187 * CHOOSE(CONTROL!$C$32, $C$9, 100%, $E$9)</f>
        <v>6.8186999999999998</v>
      </c>
      <c r="N386" s="33">
        <f>6.8151 * CHOOSE(CONTROL!$C$32, $C$9, 100%, $E$9)</f>
        <v>6.8151000000000002</v>
      </c>
      <c r="O386" s="33">
        <f>6.8187 * CHOOSE(CONTROL!$C$32, $C$9, 100%, $E$9)</f>
        <v>6.8186999999999998</v>
      </c>
    </row>
    <row r="387" spans="1:15" ht="15" x14ac:dyDescent="0.2">
      <c r="A387" s="16">
        <v>52994</v>
      </c>
      <c r="B387" s="32">
        <f>5.8954 * CHOOSE(CONTROL!$C$32, $C$9, 100%, $E$9)</f>
        <v>5.8954000000000004</v>
      </c>
      <c r="C387" s="32">
        <f>5.8954 * CHOOSE(CONTROL!$C$32, $C$9, 100%, $E$9)</f>
        <v>5.8954000000000004</v>
      </c>
      <c r="D387" s="32">
        <f>5.8965 * CHOOSE(CONTROL!$C$32, $C$9, 100%, $E$9)</f>
        <v>5.8964999999999996</v>
      </c>
      <c r="E387" s="33">
        <f>6.678 * CHOOSE(CONTROL!$C$32, $C$9, 100%, $E$9)</f>
        <v>6.6779999999999999</v>
      </c>
      <c r="F387" s="33">
        <f>6.678 * CHOOSE(CONTROL!$C$32, $C$9, 100%, $E$9)</f>
        <v>6.6779999999999999</v>
      </c>
      <c r="G387" s="33">
        <f>6.6816 * CHOOSE(CONTROL!$C$32, $C$9, 100%, $E$9)</f>
        <v>6.6816000000000004</v>
      </c>
      <c r="H387" s="33">
        <f>12.6426 * CHOOSE(CONTROL!$C$32, $C$9, 100%, $E$9)</f>
        <v>12.6426</v>
      </c>
      <c r="I387" s="33">
        <f>12.6463 * CHOOSE(CONTROL!$C$32, $C$9, 100%, $E$9)</f>
        <v>12.6463</v>
      </c>
      <c r="J387" s="33">
        <f>12.6426 * CHOOSE(CONTROL!$C$32, $C$9, 100%, $E$9)</f>
        <v>12.6426</v>
      </c>
      <c r="K387" s="33">
        <f>12.6463 * CHOOSE(CONTROL!$C$32, $C$9, 100%, $E$9)</f>
        <v>12.6463</v>
      </c>
      <c r="L387" s="33">
        <f>6.678 * CHOOSE(CONTROL!$C$32, $C$9, 100%, $E$9)</f>
        <v>6.6779999999999999</v>
      </c>
      <c r="M387" s="33">
        <f>6.6816 * CHOOSE(CONTROL!$C$32, $C$9, 100%, $E$9)</f>
        <v>6.6816000000000004</v>
      </c>
      <c r="N387" s="33">
        <f>6.678 * CHOOSE(CONTROL!$C$32, $C$9, 100%, $E$9)</f>
        <v>6.6779999999999999</v>
      </c>
      <c r="O387" s="33">
        <f>6.6816 * CHOOSE(CONTROL!$C$32, $C$9, 100%, $E$9)</f>
        <v>6.6816000000000004</v>
      </c>
    </row>
    <row r="388" spans="1:15" ht="15" x14ac:dyDescent="0.2">
      <c r="A388" s="16">
        <v>53022</v>
      </c>
      <c r="B388" s="32">
        <f>5.8924 * CHOOSE(CONTROL!$C$32, $C$9, 100%, $E$9)</f>
        <v>5.8924000000000003</v>
      </c>
      <c r="C388" s="32">
        <f>5.8924 * CHOOSE(CONTROL!$C$32, $C$9, 100%, $E$9)</f>
        <v>5.8924000000000003</v>
      </c>
      <c r="D388" s="32">
        <f>5.8934 * CHOOSE(CONTROL!$C$32, $C$9, 100%, $E$9)</f>
        <v>5.8933999999999997</v>
      </c>
      <c r="E388" s="33">
        <f>6.7823 * CHOOSE(CONTROL!$C$32, $C$9, 100%, $E$9)</f>
        <v>6.7823000000000002</v>
      </c>
      <c r="F388" s="33">
        <f>6.7823 * CHOOSE(CONTROL!$C$32, $C$9, 100%, $E$9)</f>
        <v>6.7823000000000002</v>
      </c>
      <c r="G388" s="33">
        <f>6.7859 * CHOOSE(CONTROL!$C$32, $C$9, 100%, $E$9)</f>
        <v>6.7858999999999998</v>
      </c>
      <c r="H388" s="33">
        <f>12.669 * CHOOSE(CONTROL!$C$32, $C$9, 100%, $E$9)</f>
        <v>12.669</v>
      </c>
      <c r="I388" s="33">
        <f>12.6726 * CHOOSE(CONTROL!$C$32, $C$9, 100%, $E$9)</f>
        <v>12.672599999999999</v>
      </c>
      <c r="J388" s="33">
        <f>12.669 * CHOOSE(CONTROL!$C$32, $C$9, 100%, $E$9)</f>
        <v>12.669</v>
      </c>
      <c r="K388" s="33">
        <f>12.6726 * CHOOSE(CONTROL!$C$32, $C$9, 100%, $E$9)</f>
        <v>12.672599999999999</v>
      </c>
      <c r="L388" s="33">
        <f>6.7823 * CHOOSE(CONTROL!$C$32, $C$9, 100%, $E$9)</f>
        <v>6.7823000000000002</v>
      </c>
      <c r="M388" s="33">
        <f>6.7859 * CHOOSE(CONTROL!$C$32, $C$9, 100%, $E$9)</f>
        <v>6.7858999999999998</v>
      </c>
      <c r="N388" s="33">
        <f>6.7823 * CHOOSE(CONTROL!$C$32, $C$9, 100%, $E$9)</f>
        <v>6.7823000000000002</v>
      </c>
      <c r="O388" s="33">
        <f>6.7859 * CHOOSE(CONTROL!$C$32, $C$9, 100%, $E$9)</f>
        <v>6.7858999999999998</v>
      </c>
    </row>
    <row r="389" spans="1:15" ht="15" x14ac:dyDescent="0.2">
      <c r="A389" s="16">
        <v>53053</v>
      </c>
      <c r="B389" s="32">
        <f>5.8918 * CHOOSE(CONTROL!$C$32, $C$9, 100%, $E$9)</f>
        <v>5.8917999999999999</v>
      </c>
      <c r="C389" s="32">
        <f>5.8918 * CHOOSE(CONTROL!$C$32, $C$9, 100%, $E$9)</f>
        <v>5.8917999999999999</v>
      </c>
      <c r="D389" s="32">
        <f>5.8929 * CHOOSE(CONTROL!$C$32, $C$9, 100%, $E$9)</f>
        <v>5.8929</v>
      </c>
      <c r="E389" s="33">
        <f>6.8923 * CHOOSE(CONTROL!$C$32, $C$9, 100%, $E$9)</f>
        <v>6.8922999999999996</v>
      </c>
      <c r="F389" s="33">
        <f>6.8923 * CHOOSE(CONTROL!$C$32, $C$9, 100%, $E$9)</f>
        <v>6.8922999999999996</v>
      </c>
      <c r="G389" s="33">
        <f>6.896 * CHOOSE(CONTROL!$C$32, $C$9, 100%, $E$9)</f>
        <v>6.8959999999999999</v>
      </c>
      <c r="H389" s="33">
        <f>12.6954 * CHOOSE(CONTROL!$C$32, $C$9, 100%, $E$9)</f>
        <v>12.695399999999999</v>
      </c>
      <c r="I389" s="33">
        <f>12.699 * CHOOSE(CONTROL!$C$32, $C$9, 100%, $E$9)</f>
        <v>12.699</v>
      </c>
      <c r="J389" s="33">
        <f>12.6954 * CHOOSE(CONTROL!$C$32, $C$9, 100%, $E$9)</f>
        <v>12.695399999999999</v>
      </c>
      <c r="K389" s="33">
        <f>12.699 * CHOOSE(CONTROL!$C$32, $C$9, 100%, $E$9)</f>
        <v>12.699</v>
      </c>
      <c r="L389" s="33">
        <f>6.8923 * CHOOSE(CONTROL!$C$32, $C$9, 100%, $E$9)</f>
        <v>6.8922999999999996</v>
      </c>
      <c r="M389" s="33">
        <f>6.896 * CHOOSE(CONTROL!$C$32, $C$9, 100%, $E$9)</f>
        <v>6.8959999999999999</v>
      </c>
      <c r="N389" s="33">
        <f>6.8923 * CHOOSE(CONTROL!$C$32, $C$9, 100%, $E$9)</f>
        <v>6.8922999999999996</v>
      </c>
      <c r="O389" s="33">
        <f>6.896 * CHOOSE(CONTROL!$C$32, $C$9, 100%, $E$9)</f>
        <v>6.8959999999999999</v>
      </c>
    </row>
    <row r="390" spans="1:15" ht="15" x14ac:dyDescent="0.2">
      <c r="A390" s="16">
        <v>53083</v>
      </c>
      <c r="B390" s="32">
        <f>5.8918 * CHOOSE(CONTROL!$C$32, $C$9, 100%, $E$9)</f>
        <v>5.8917999999999999</v>
      </c>
      <c r="C390" s="32">
        <f>5.8918 * CHOOSE(CONTROL!$C$32, $C$9, 100%, $E$9)</f>
        <v>5.8917999999999999</v>
      </c>
      <c r="D390" s="32">
        <f>5.8934 * CHOOSE(CONTROL!$C$32, $C$9, 100%, $E$9)</f>
        <v>5.8933999999999997</v>
      </c>
      <c r="E390" s="33">
        <f>6.9352 * CHOOSE(CONTROL!$C$32, $C$9, 100%, $E$9)</f>
        <v>6.9352</v>
      </c>
      <c r="F390" s="33">
        <f>6.9352 * CHOOSE(CONTROL!$C$32, $C$9, 100%, $E$9)</f>
        <v>6.9352</v>
      </c>
      <c r="G390" s="33">
        <f>6.9405 * CHOOSE(CONTROL!$C$32, $C$9, 100%, $E$9)</f>
        <v>6.9405000000000001</v>
      </c>
      <c r="H390" s="33">
        <f>12.7218 * CHOOSE(CONTROL!$C$32, $C$9, 100%, $E$9)</f>
        <v>12.7218</v>
      </c>
      <c r="I390" s="33">
        <f>12.7271 * CHOOSE(CONTROL!$C$32, $C$9, 100%, $E$9)</f>
        <v>12.7271</v>
      </c>
      <c r="J390" s="33">
        <f>12.7218 * CHOOSE(CONTROL!$C$32, $C$9, 100%, $E$9)</f>
        <v>12.7218</v>
      </c>
      <c r="K390" s="33">
        <f>12.7271 * CHOOSE(CONTROL!$C$32, $C$9, 100%, $E$9)</f>
        <v>12.7271</v>
      </c>
      <c r="L390" s="33">
        <f>6.9352 * CHOOSE(CONTROL!$C$32, $C$9, 100%, $E$9)</f>
        <v>6.9352</v>
      </c>
      <c r="M390" s="33">
        <f>6.9405 * CHOOSE(CONTROL!$C$32, $C$9, 100%, $E$9)</f>
        <v>6.9405000000000001</v>
      </c>
      <c r="N390" s="33">
        <f>6.9352 * CHOOSE(CONTROL!$C$32, $C$9, 100%, $E$9)</f>
        <v>6.9352</v>
      </c>
      <c r="O390" s="33">
        <f>6.9405 * CHOOSE(CONTROL!$C$32, $C$9, 100%, $E$9)</f>
        <v>6.9405000000000001</v>
      </c>
    </row>
    <row r="391" spans="1:15" ht="15" x14ac:dyDescent="0.2">
      <c r="A391" s="16">
        <v>53114</v>
      </c>
      <c r="B391" s="32">
        <f>5.8979 * CHOOSE(CONTROL!$C$32, $C$9, 100%, $E$9)</f>
        <v>5.8978999999999999</v>
      </c>
      <c r="C391" s="32">
        <f>5.8979 * CHOOSE(CONTROL!$C$32, $C$9, 100%, $E$9)</f>
        <v>5.8978999999999999</v>
      </c>
      <c r="D391" s="32">
        <f>5.8995 * CHOOSE(CONTROL!$C$32, $C$9, 100%, $E$9)</f>
        <v>5.8994999999999997</v>
      </c>
      <c r="E391" s="33">
        <f>6.8966 * CHOOSE(CONTROL!$C$32, $C$9, 100%, $E$9)</f>
        <v>6.8966000000000003</v>
      </c>
      <c r="F391" s="33">
        <f>6.8966 * CHOOSE(CONTROL!$C$32, $C$9, 100%, $E$9)</f>
        <v>6.8966000000000003</v>
      </c>
      <c r="G391" s="33">
        <f>6.9019 * CHOOSE(CONTROL!$C$32, $C$9, 100%, $E$9)</f>
        <v>6.9019000000000004</v>
      </c>
      <c r="H391" s="33">
        <f>12.7483 * CHOOSE(CONTROL!$C$32, $C$9, 100%, $E$9)</f>
        <v>12.7483</v>
      </c>
      <c r="I391" s="33">
        <f>12.7536 * CHOOSE(CONTROL!$C$32, $C$9, 100%, $E$9)</f>
        <v>12.7536</v>
      </c>
      <c r="J391" s="33">
        <f>12.7483 * CHOOSE(CONTROL!$C$32, $C$9, 100%, $E$9)</f>
        <v>12.7483</v>
      </c>
      <c r="K391" s="33">
        <f>12.7536 * CHOOSE(CONTROL!$C$32, $C$9, 100%, $E$9)</f>
        <v>12.7536</v>
      </c>
      <c r="L391" s="33">
        <f>6.8966 * CHOOSE(CONTROL!$C$32, $C$9, 100%, $E$9)</f>
        <v>6.8966000000000003</v>
      </c>
      <c r="M391" s="33">
        <f>6.9019 * CHOOSE(CONTROL!$C$32, $C$9, 100%, $E$9)</f>
        <v>6.9019000000000004</v>
      </c>
      <c r="N391" s="33">
        <f>6.8966 * CHOOSE(CONTROL!$C$32, $C$9, 100%, $E$9)</f>
        <v>6.8966000000000003</v>
      </c>
      <c r="O391" s="33">
        <f>6.9019 * CHOOSE(CONTROL!$C$32, $C$9, 100%, $E$9)</f>
        <v>6.9019000000000004</v>
      </c>
    </row>
    <row r="392" spans="1:15" ht="15" x14ac:dyDescent="0.2">
      <c r="A392" s="16">
        <v>53144</v>
      </c>
      <c r="B392" s="32">
        <f>5.9772 * CHOOSE(CONTROL!$C$32, $C$9, 100%, $E$9)</f>
        <v>5.9771999999999998</v>
      </c>
      <c r="C392" s="32">
        <f>5.9772 * CHOOSE(CONTROL!$C$32, $C$9, 100%, $E$9)</f>
        <v>5.9771999999999998</v>
      </c>
      <c r="D392" s="32">
        <f>5.9788 * CHOOSE(CONTROL!$C$32, $C$9, 100%, $E$9)</f>
        <v>5.9787999999999997</v>
      </c>
      <c r="E392" s="33">
        <f>6.9386 * CHOOSE(CONTROL!$C$32, $C$9, 100%, $E$9)</f>
        <v>6.9386000000000001</v>
      </c>
      <c r="F392" s="33">
        <f>6.9386 * CHOOSE(CONTROL!$C$32, $C$9, 100%, $E$9)</f>
        <v>6.9386000000000001</v>
      </c>
      <c r="G392" s="33">
        <f>6.9439 * CHOOSE(CONTROL!$C$32, $C$9, 100%, $E$9)</f>
        <v>6.9439000000000002</v>
      </c>
      <c r="H392" s="33">
        <f>12.7749 * CHOOSE(CONTROL!$C$32, $C$9, 100%, $E$9)</f>
        <v>12.774900000000001</v>
      </c>
      <c r="I392" s="33">
        <f>12.7802 * CHOOSE(CONTROL!$C$32, $C$9, 100%, $E$9)</f>
        <v>12.780200000000001</v>
      </c>
      <c r="J392" s="33">
        <f>12.7749 * CHOOSE(CONTROL!$C$32, $C$9, 100%, $E$9)</f>
        <v>12.774900000000001</v>
      </c>
      <c r="K392" s="33">
        <f>12.7802 * CHOOSE(CONTROL!$C$32, $C$9, 100%, $E$9)</f>
        <v>12.780200000000001</v>
      </c>
      <c r="L392" s="33">
        <f>6.9386 * CHOOSE(CONTROL!$C$32, $C$9, 100%, $E$9)</f>
        <v>6.9386000000000001</v>
      </c>
      <c r="M392" s="33">
        <f>6.9439 * CHOOSE(CONTROL!$C$32, $C$9, 100%, $E$9)</f>
        <v>6.9439000000000002</v>
      </c>
      <c r="N392" s="33">
        <f>6.9386 * CHOOSE(CONTROL!$C$32, $C$9, 100%, $E$9)</f>
        <v>6.9386000000000001</v>
      </c>
      <c r="O392" s="33">
        <f>6.9439 * CHOOSE(CONTROL!$C$32, $C$9, 100%, $E$9)</f>
        <v>6.9439000000000002</v>
      </c>
    </row>
    <row r="393" spans="1:15" ht="15" x14ac:dyDescent="0.2">
      <c r="A393" s="16">
        <v>53175</v>
      </c>
      <c r="B393" s="32">
        <f>5.9839 * CHOOSE(CONTROL!$C$32, $C$9, 100%, $E$9)</f>
        <v>5.9839000000000002</v>
      </c>
      <c r="C393" s="32">
        <f>5.9839 * CHOOSE(CONTROL!$C$32, $C$9, 100%, $E$9)</f>
        <v>5.9839000000000002</v>
      </c>
      <c r="D393" s="32">
        <f>5.9855 * CHOOSE(CONTROL!$C$32, $C$9, 100%, $E$9)</f>
        <v>5.9855</v>
      </c>
      <c r="E393" s="33">
        <f>6.8147 * CHOOSE(CONTROL!$C$32, $C$9, 100%, $E$9)</f>
        <v>6.8147000000000002</v>
      </c>
      <c r="F393" s="33">
        <f>6.8147 * CHOOSE(CONTROL!$C$32, $C$9, 100%, $E$9)</f>
        <v>6.8147000000000002</v>
      </c>
      <c r="G393" s="33">
        <f>6.82 * CHOOSE(CONTROL!$C$32, $C$9, 100%, $E$9)</f>
        <v>6.82</v>
      </c>
      <c r="H393" s="33">
        <f>12.8015 * CHOOSE(CONTROL!$C$32, $C$9, 100%, $E$9)</f>
        <v>12.801500000000001</v>
      </c>
      <c r="I393" s="33">
        <f>12.8068 * CHOOSE(CONTROL!$C$32, $C$9, 100%, $E$9)</f>
        <v>12.806800000000001</v>
      </c>
      <c r="J393" s="33">
        <f>12.8015 * CHOOSE(CONTROL!$C$32, $C$9, 100%, $E$9)</f>
        <v>12.801500000000001</v>
      </c>
      <c r="K393" s="33">
        <f>12.8068 * CHOOSE(CONTROL!$C$32, $C$9, 100%, $E$9)</f>
        <v>12.806800000000001</v>
      </c>
      <c r="L393" s="33">
        <f>6.8147 * CHOOSE(CONTROL!$C$32, $C$9, 100%, $E$9)</f>
        <v>6.8147000000000002</v>
      </c>
      <c r="M393" s="33">
        <f>6.82 * CHOOSE(CONTROL!$C$32, $C$9, 100%, $E$9)</f>
        <v>6.82</v>
      </c>
      <c r="N393" s="33">
        <f>6.8147 * CHOOSE(CONTROL!$C$32, $C$9, 100%, $E$9)</f>
        <v>6.8147000000000002</v>
      </c>
      <c r="O393" s="33">
        <f>6.82 * CHOOSE(CONTROL!$C$32, $C$9, 100%, $E$9)</f>
        <v>6.82</v>
      </c>
    </row>
    <row r="394" spans="1:15" ht="15" x14ac:dyDescent="0.2">
      <c r="A394" s="16">
        <v>53206</v>
      </c>
      <c r="B394" s="32">
        <f>5.9809 * CHOOSE(CONTROL!$C$32, $C$9, 100%, $E$9)</f>
        <v>5.9809000000000001</v>
      </c>
      <c r="C394" s="32">
        <f>5.9809 * CHOOSE(CONTROL!$C$32, $C$9, 100%, $E$9)</f>
        <v>5.9809000000000001</v>
      </c>
      <c r="D394" s="32">
        <f>5.9824 * CHOOSE(CONTROL!$C$32, $C$9, 100%, $E$9)</f>
        <v>5.9824000000000002</v>
      </c>
      <c r="E394" s="33">
        <f>6.7983 * CHOOSE(CONTROL!$C$32, $C$9, 100%, $E$9)</f>
        <v>6.7983000000000002</v>
      </c>
      <c r="F394" s="33">
        <f>6.7983 * CHOOSE(CONTROL!$C$32, $C$9, 100%, $E$9)</f>
        <v>6.7983000000000002</v>
      </c>
      <c r="G394" s="33">
        <f>6.8036 * CHOOSE(CONTROL!$C$32, $C$9, 100%, $E$9)</f>
        <v>6.8036000000000003</v>
      </c>
      <c r="H394" s="33">
        <f>12.8282 * CHOOSE(CONTROL!$C$32, $C$9, 100%, $E$9)</f>
        <v>12.828200000000001</v>
      </c>
      <c r="I394" s="33">
        <f>12.8335 * CHOOSE(CONTROL!$C$32, $C$9, 100%, $E$9)</f>
        <v>12.833500000000001</v>
      </c>
      <c r="J394" s="33">
        <f>12.8282 * CHOOSE(CONTROL!$C$32, $C$9, 100%, $E$9)</f>
        <v>12.828200000000001</v>
      </c>
      <c r="K394" s="33">
        <f>12.8335 * CHOOSE(CONTROL!$C$32, $C$9, 100%, $E$9)</f>
        <v>12.833500000000001</v>
      </c>
      <c r="L394" s="33">
        <f>6.7983 * CHOOSE(CONTROL!$C$32, $C$9, 100%, $E$9)</f>
        <v>6.7983000000000002</v>
      </c>
      <c r="M394" s="33">
        <f>6.8036 * CHOOSE(CONTROL!$C$32, $C$9, 100%, $E$9)</f>
        <v>6.8036000000000003</v>
      </c>
      <c r="N394" s="33">
        <f>6.7983 * CHOOSE(CONTROL!$C$32, $C$9, 100%, $E$9)</f>
        <v>6.7983000000000002</v>
      </c>
      <c r="O394" s="33">
        <f>6.8036 * CHOOSE(CONTROL!$C$32, $C$9, 100%, $E$9)</f>
        <v>6.8036000000000003</v>
      </c>
    </row>
    <row r="395" spans="1:15" ht="15" x14ac:dyDescent="0.2">
      <c r="A395" s="16">
        <v>53236</v>
      </c>
      <c r="B395" s="32">
        <f>5.9833 * CHOOSE(CONTROL!$C$32, $C$9, 100%, $E$9)</f>
        <v>5.9832999999999998</v>
      </c>
      <c r="C395" s="32">
        <f>5.9833 * CHOOSE(CONTROL!$C$32, $C$9, 100%, $E$9)</f>
        <v>5.9832999999999998</v>
      </c>
      <c r="D395" s="32">
        <f>5.9844 * CHOOSE(CONTROL!$C$32, $C$9, 100%, $E$9)</f>
        <v>5.9843999999999999</v>
      </c>
      <c r="E395" s="33">
        <f>6.842 * CHOOSE(CONTROL!$C$32, $C$9, 100%, $E$9)</f>
        <v>6.8419999999999996</v>
      </c>
      <c r="F395" s="33">
        <f>6.842 * CHOOSE(CONTROL!$C$32, $C$9, 100%, $E$9)</f>
        <v>6.8419999999999996</v>
      </c>
      <c r="G395" s="33">
        <f>6.8456 * CHOOSE(CONTROL!$C$32, $C$9, 100%, $E$9)</f>
        <v>6.8456000000000001</v>
      </c>
      <c r="H395" s="33">
        <f>12.8549 * CHOOSE(CONTROL!$C$32, $C$9, 100%, $E$9)</f>
        <v>12.854900000000001</v>
      </c>
      <c r="I395" s="33">
        <f>12.8585 * CHOOSE(CONTROL!$C$32, $C$9, 100%, $E$9)</f>
        <v>12.858499999999999</v>
      </c>
      <c r="J395" s="33">
        <f>12.8549 * CHOOSE(CONTROL!$C$32, $C$9, 100%, $E$9)</f>
        <v>12.854900000000001</v>
      </c>
      <c r="K395" s="33">
        <f>12.8585 * CHOOSE(CONTROL!$C$32, $C$9, 100%, $E$9)</f>
        <v>12.858499999999999</v>
      </c>
      <c r="L395" s="33">
        <f>6.842 * CHOOSE(CONTROL!$C$32, $C$9, 100%, $E$9)</f>
        <v>6.8419999999999996</v>
      </c>
      <c r="M395" s="33">
        <f>6.8456 * CHOOSE(CONTROL!$C$32, $C$9, 100%, $E$9)</f>
        <v>6.8456000000000001</v>
      </c>
      <c r="N395" s="33">
        <f>6.842 * CHOOSE(CONTROL!$C$32, $C$9, 100%, $E$9)</f>
        <v>6.8419999999999996</v>
      </c>
      <c r="O395" s="33">
        <f>6.8456 * CHOOSE(CONTROL!$C$32, $C$9, 100%, $E$9)</f>
        <v>6.8456000000000001</v>
      </c>
    </row>
    <row r="396" spans="1:15" ht="15" x14ac:dyDescent="0.2">
      <c r="A396" s="16">
        <v>53267</v>
      </c>
      <c r="B396" s="32">
        <f>5.9863 * CHOOSE(CONTROL!$C$32, $C$9, 100%, $E$9)</f>
        <v>5.9863</v>
      </c>
      <c r="C396" s="32">
        <f>5.9863 * CHOOSE(CONTROL!$C$32, $C$9, 100%, $E$9)</f>
        <v>5.9863</v>
      </c>
      <c r="D396" s="32">
        <f>5.9874 * CHOOSE(CONTROL!$C$32, $C$9, 100%, $E$9)</f>
        <v>5.9874000000000001</v>
      </c>
      <c r="E396" s="33">
        <f>6.8727 * CHOOSE(CONTROL!$C$32, $C$9, 100%, $E$9)</f>
        <v>6.8727</v>
      </c>
      <c r="F396" s="33">
        <f>6.8727 * CHOOSE(CONTROL!$C$32, $C$9, 100%, $E$9)</f>
        <v>6.8727</v>
      </c>
      <c r="G396" s="33">
        <f>6.8763 * CHOOSE(CONTROL!$C$32, $C$9, 100%, $E$9)</f>
        <v>6.8762999999999996</v>
      </c>
      <c r="H396" s="33">
        <f>12.8817 * CHOOSE(CONTROL!$C$32, $C$9, 100%, $E$9)</f>
        <v>12.8817</v>
      </c>
      <c r="I396" s="33">
        <f>12.8853 * CHOOSE(CONTROL!$C$32, $C$9, 100%, $E$9)</f>
        <v>12.885300000000001</v>
      </c>
      <c r="J396" s="33">
        <f>12.8817 * CHOOSE(CONTROL!$C$32, $C$9, 100%, $E$9)</f>
        <v>12.8817</v>
      </c>
      <c r="K396" s="33">
        <f>12.8853 * CHOOSE(CONTROL!$C$32, $C$9, 100%, $E$9)</f>
        <v>12.885300000000001</v>
      </c>
      <c r="L396" s="33">
        <f>6.8727 * CHOOSE(CONTROL!$C$32, $C$9, 100%, $E$9)</f>
        <v>6.8727</v>
      </c>
      <c r="M396" s="33">
        <f>6.8763 * CHOOSE(CONTROL!$C$32, $C$9, 100%, $E$9)</f>
        <v>6.8762999999999996</v>
      </c>
      <c r="N396" s="33">
        <f>6.8727 * CHOOSE(CONTROL!$C$32, $C$9, 100%, $E$9)</f>
        <v>6.8727</v>
      </c>
      <c r="O396" s="33">
        <f>6.8763 * CHOOSE(CONTROL!$C$32, $C$9, 100%, $E$9)</f>
        <v>6.8762999999999996</v>
      </c>
    </row>
    <row r="397" spans="1:15" ht="15" x14ac:dyDescent="0.2">
      <c r="A397" s="16">
        <v>53297</v>
      </c>
      <c r="B397" s="32">
        <f>5.9863 * CHOOSE(CONTROL!$C$32, $C$9, 100%, $E$9)</f>
        <v>5.9863</v>
      </c>
      <c r="C397" s="32">
        <f>5.9863 * CHOOSE(CONTROL!$C$32, $C$9, 100%, $E$9)</f>
        <v>5.9863</v>
      </c>
      <c r="D397" s="32">
        <f>5.9874 * CHOOSE(CONTROL!$C$32, $C$9, 100%, $E$9)</f>
        <v>5.9874000000000001</v>
      </c>
      <c r="E397" s="33">
        <f>6.8013 * CHOOSE(CONTROL!$C$32, $C$9, 100%, $E$9)</f>
        <v>6.8013000000000003</v>
      </c>
      <c r="F397" s="33">
        <f>6.8013 * CHOOSE(CONTROL!$C$32, $C$9, 100%, $E$9)</f>
        <v>6.8013000000000003</v>
      </c>
      <c r="G397" s="33">
        <f>6.8049 * CHOOSE(CONTROL!$C$32, $C$9, 100%, $E$9)</f>
        <v>6.8048999999999999</v>
      </c>
      <c r="H397" s="33">
        <f>12.9085 * CHOOSE(CONTROL!$C$32, $C$9, 100%, $E$9)</f>
        <v>12.9085</v>
      </c>
      <c r="I397" s="33">
        <f>12.9121 * CHOOSE(CONTROL!$C$32, $C$9, 100%, $E$9)</f>
        <v>12.912100000000001</v>
      </c>
      <c r="J397" s="33">
        <f>12.9085 * CHOOSE(CONTROL!$C$32, $C$9, 100%, $E$9)</f>
        <v>12.9085</v>
      </c>
      <c r="K397" s="33">
        <f>12.9121 * CHOOSE(CONTROL!$C$32, $C$9, 100%, $E$9)</f>
        <v>12.912100000000001</v>
      </c>
      <c r="L397" s="33">
        <f>6.8013 * CHOOSE(CONTROL!$C$32, $C$9, 100%, $E$9)</f>
        <v>6.8013000000000003</v>
      </c>
      <c r="M397" s="33">
        <f>6.8049 * CHOOSE(CONTROL!$C$32, $C$9, 100%, $E$9)</f>
        <v>6.8048999999999999</v>
      </c>
      <c r="N397" s="33">
        <f>6.8013 * CHOOSE(CONTROL!$C$32, $C$9, 100%, $E$9)</f>
        <v>6.8013000000000003</v>
      </c>
      <c r="O397" s="33">
        <f>6.8049 * CHOOSE(CONTROL!$C$32, $C$9, 100%, $E$9)</f>
        <v>6.8048999999999999</v>
      </c>
    </row>
    <row r="398" spans="1:15" ht="15" x14ac:dyDescent="0.2">
      <c r="A398" s="16">
        <v>53328</v>
      </c>
      <c r="B398" s="32">
        <f>6.0321 * CHOOSE(CONTROL!$C$32, $C$9, 100%, $E$9)</f>
        <v>6.0320999999999998</v>
      </c>
      <c r="C398" s="32">
        <f>6.0321 * CHOOSE(CONTROL!$C$32, $C$9, 100%, $E$9)</f>
        <v>6.0320999999999998</v>
      </c>
      <c r="D398" s="32">
        <f>6.0332 * CHOOSE(CONTROL!$C$32, $C$9, 100%, $E$9)</f>
        <v>6.0331999999999999</v>
      </c>
      <c r="E398" s="33">
        <f>6.8926 * CHOOSE(CONTROL!$C$32, $C$9, 100%, $E$9)</f>
        <v>6.8925999999999998</v>
      </c>
      <c r="F398" s="33">
        <f>6.8926 * CHOOSE(CONTROL!$C$32, $C$9, 100%, $E$9)</f>
        <v>6.8925999999999998</v>
      </c>
      <c r="G398" s="33">
        <f>6.8962 * CHOOSE(CONTROL!$C$32, $C$9, 100%, $E$9)</f>
        <v>6.8962000000000003</v>
      </c>
      <c r="H398" s="33">
        <f>12.9354 * CHOOSE(CONTROL!$C$32, $C$9, 100%, $E$9)</f>
        <v>12.9354</v>
      </c>
      <c r="I398" s="33">
        <f>12.939 * CHOOSE(CONTROL!$C$32, $C$9, 100%, $E$9)</f>
        <v>12.939</v>
      </c>
      <c r="J398" s="33">
        <f>12.9354 * CHOOSE(CONTROL!$C$32, $C$9, 100%, $E$9)</f>
        <v>12.9354</v>
      </c>
      <c r="K398" s="33">
        <f>12.939 * CHOOSE(CONTROL!$C$32, $C$9, 100%, $E$9)</f>
        <v>12.939</v>
      </c>
      <c r="L398" s="33">
        <f>6.8926 * CHOOSE(CONTROL!$C$32, $C$9, 100%, $E$9)</f>
        <v>6.8925999999999998</v>
      </c>
      <c r="M398" s="33">
        <f>6.8962 * CHOOSE(CONTROL!$C$32, $C$9, 100%, $E$9)</f>
        <v>6.8962000000000003</v>
      </c>
      <c r="N398" s="33">
        <f>6.8926 * CHOOSE(CONTROL!$C$32, $C$9, 100%, $E$9)</f>
        <v>6.8925999999999998</v>
      </c>
      <c r="O398" s="33">
        <f>6.8962 * CHOOSE(CONTROL!$C$32, $C$9, 100%, $E$9)</f>
        <v>6.8962000000000003</v>
      </c>
    </row>
    <row r="399" spans="1:15" ht="15" x14ac:dyDescent="0.2">
      <c r="A399" s="16">
        <v>53359</v>
      </c>
      <c r="B399" s="32">
        <f>6.0291 * CHOOSE(CONTROL!$C$32, $C$9, 100%, $E$9)</f>
        <v>6.0290999999999997</v>
      </c>
      <c r="C399" s="32">
        <f>6.0291 * CHOOSE(CONTROL!$C$32, $C$9, 100%, $E$9)</f>
        <v>6.0290999999999997</v>
      </c>
      <c r="D399" s="32">
        <f>6.0302 * CHOOSE(CONTROL!$C$32, $C$9, 100%, $E$9)</f>
        <v>6.0301999999999998</v>
      </c>
      <c r="E399" s="33">
        <f>6.7511 * CHOOSE(CONTROL!$C$32, $C$9, 100%, $E$9)</f>
        <v>6.7511000000000001</v>
      </c>
      <c r="F399" s="33">
        <f>6.7511 * CHOOSE(CONTROL!$C$32, $C$9, 100%, $E$9)</f>
        <v>6.7511000000000001</v>
      </c>
      <c r="G399" s="33">
        <f>6.7547 * CHOOSE(CONTROL!$C$32, $C$9, 100%, $E$9)</f>
        <v>6.7546999999999997</v>
      </c>
      <c r="H399" s="33">
        <f>12.9624 * CHOOSE(CONTROL!$C$32, $C$9, 100%, $E$9)</f>
        <v>12.962400000000001</v>
      </c>
      <c r="I399" s="33">
        <f>12.966 * CHOOSE(CONTROL!$C$32, $C$9, 100%, $E$9)</f>
        <v>12.965999999999999</v>
      </c>
      <c r="J399" s="33">
        <f>12.9624 * CHOOSE(CONTROL!$C$32, $C$9, 100%, $E$9)</f>
        <v>12.962400000000001</v>
      </c>
      <c r="K399" s="33">
        <f>12.966 * CHOOSE(CONTROL!$C$32, $C$9, 100%, $E$9)</f>
        <v>12.965999999999999</v>
      </c>
      <c r="L399" s="33">
        <f>6.7511 * CHOOSE(CONTROL!$C$32, $C$9, 100%, $E$9)</f>
        <v>6.7511000000000001</v>
      </c>
      <c r="M399" s="33">
        <f>6.7547 * CHOOSE(CONTROL!$C$32, $C$9, 100%, $E$9)</f>
        <v>6.7546999999999997</v>
      </c>
      <c r="N399" s="33">
        <f>6.7511 * CHOOSE(CONTROL!$C$32, $C$9, 100%, $E$9)</f>
        <v>6.7511000000000001</v>
      </c>
      <c r="O399" s="33">
        <f>6.7547 * CHOOSE(CONTROL!$C$32, $C$9, 100%, $E$9)</f>
        <v>6.7546999999999997</v>
      </c>
    </row>
    <row r="400" spans="1:15" ht="15" x14ac:dyDescent="0.2">
      <c r="A400" s="16">
        <v>53387</v>
      </c>
      <c r="B400" s="32">
        <f>6.0261 * CHOOSE(CONTROL!$C$32, $C$9, 100%, $E$9)</f>
        <v>6.0260999999999996</v>
      </c>
      <c r="C400" s="32">
        <f>6.0261 * CHOOSE(CONTROL!$C$32, $C$9, 100%, $E$9)</f>
        <v>6.0260999999999996</v>
      </c>
      <c r="D400" s="32">
        <f>6.0271 * CHOOSE(CONTROL!$C$32, $C$9, 100%, $E$9)</f>
        <v>6.0270999999999999</v>
      </c>
      <c r="E400" s="33">
        <f>6.8589 * CHOOSE(CONTROL!$C$32, $C$9, 100%, $E$9)</f>
        <v>6.8589000000000002</v>
      </c>
      <c r="F400" s="33">
        <f>6.8589 * CHOOSE(CONTROL!$C$32, $C$9, 100%, $E$9)</f>
        <v>6.8589000000000002</v>
      </c>
      <c r="G400" s="33">
        <f>6.8625 * CHOOSE(CONTROL!$C$32, $C$9, 100%, $E$9)</f>
        <v>6.8624999999999998</v>
      </c>
      <c r="H400" s="33">
        <f>12.9894 * CHOOSE(CONTROL!$C$32, $C$9, 100%, $E$9)</f>
        <v>12.9894</v>
      </c>
      <c r="I400" s="33">
        <f>12.993 * CHOOSE(CONTROL!$C$32, $C$9, 100%, $E$9)</f>
        <v>12.993</v>
      </c>
      <c r="J400" s="33">
        <f>12.9894 * CHOOSE(CONTROL!$C$32, $C$9, 100%, $E$9)</f>
        <v>12.9894</v>
      </c>
      <c r="K400" s="33">
        <f>12.993 * CHOOSE(CONTROL!$C$32, $C$9, 100%, $E$9)</f>
        <v>12.993</v>
      </c>
      <c r="L400" s="33">
        <f>6.8589 * CHOOSE(CONTROL!$C$32, $C$9, 100%, $E$9)</f>
        <v>6.8589000000000002</v>
      </c>
      <c r="M400" s="33">
        <f>6.8625 * CHOOSE(CONTROL!$C$32, $C$9, 100%, $E$9)</f>
        <v>6.8624999999999998</v>
      </c>
      <c r="N400" s="33">
        <f>6.8589 * CHOOSE(CONTROL!$C$32, $C$9, 100%, $E$9)</f>
        <v>6.8589000000000002</v>
      </c>
      <c r="O400" s="33">
        <f>6.8625 * CHOOSE(CONTROL!$C$32, $C$9, 100%, $E$9)</f>
        <v>6.8624999999999998</v>
      </c>
    </row>
    <row r="401" spans="1:15" ht="15" x14ac:dyDescent="0.2">
      <c r="A401" s="16">
        <v>53418</v>
      </c>
      <c r="B401" s="32">
        <f>6.0257 * CHOOSE(CONTROL!$C$32, $C$9, 100%, $E$9)</f>
        <v>6.0256999999999996</v>
      </c>
      <c r="C401" s="32">
        <f>6.0257 * CHOOSE(CONTROL!$C$32, $C$9, 100%, $E$9)</f>
        <v>6.0256999999999996</v>
      </c>
      <c r="D401" s="32">
        <f>6.0268 * CHOOSE(CONTROL!$C$32, $C$9, 100%, $E$9)</f>
        <v>6.0267999999999997</v>
      </c>
      <c r="E401" s="33">
        <f>6.9726 * CHOOSE(CONTROL!$C$32, $C$9, 100%, $E$9)</f>
        <v>6.9725999999999999</v>
      </c>
      <c r="F401" s="33">
        <f>6.9726 * CHOOSE(CONTROL!$C$32, $C$9, 100%, $E$9)</f>
        <v>6.9725999999999999</v>
      </c>
      <c r="G401" s="33">
        <f>6.9762 * CHOOSE(CONTROL!$C$32, $C$9, 100%, $E$9)</f>
        <v>6.9762000000000004</v>
      </c>
      <c r="H401" s="33">
        <f>13.0164 * CHOOSE(CONTROL!$C$32, $C$9, 100%, $E$9)</f>
        <v>13.016400000000001</v>
      </c>
      <c r="I401" s="33">
        <f>13.02 * CHOOSE(CONTROL!$C$32, $C$9, 100%, $E$9)</f>
        <v>13.02</v>
      </c>
      <c r="J401" s="33">
        <f>13.0164 * CHOOSE(CONTROL!$C$32, $C$9, 100%, $E$9)</f>
        <v>13.016400000000001</v>
      </c>
      <c r="K401" s="33">
        <f>13.02 * CHOOSE(CONTROL!$C$32, $C$9, 100%, $E$9)</f>
        <v>13.02</v>
      </c>
      <c r="L401" s="33">
        <f>6.9726 * CHOOSE(CONTROL!$C$32, $C$9, 100%, $E$9)</f>
        <v>6.9725999999999999</v>
      </c>
      <c r="M401" s="33">
        <f>6.9762 * CHOOSE(CONTROL!$C$32, $C$9, 100%, $E$9)</f>
        <v>6.9762000000000004</v>
      </c>
      <c r="N401" s="33">
        <f>6.9726 * CHOOSE(CONTROL!$C$32, $C$9, 100%, $E$9)</f>
        <v>6.9725999999999999</v>
      </c>
      <c r="O401" s="33">
        <f>6.9762 * CHOOSE(CONTROL!$C$32, $C$9, 100%, $E$9)</f>
        <v>6.9762000000000004</v>
      </c>
    </row>
    <row r="402" spans="1:15" ht="15" x14ac:dyDescent="0.2">
      <c r="A402" s="16">
        <v>53448</v>
      </c>
      <c r="B402" s="32">
        <f>6.0257 * CHOOSE(CONTROL!$C$32, $C$9, 100%, $E$9)</f>
        <v>6.0256999999999996</v>
      </c>
      <c r="C402" s="32">
        <f>6.0257 * CHOOSE(CONTROL!$C$32, $C$9, 100%, $E$9)</f>
        <v>6.0256999999999996</v>
      </c>
      <c r="D402" s="32">
        <f>6.0273 * CHOOSE(CONTROL!$C$32, $C$9, 100%, $E$9)</f>
        <v>6.0273000000000003</v>
      </c>
      <c r="E402" s="33">
        <f>7.0168 * CHOOSE(CONTROL!$C$32, $C$9, 100%, $E$9)</f>
        <v>7.0167999999999999</v>
      </c>
      <c r="F402" s="33">
        <f>7.0168 * CHOOSE(CONTROL!$C$32, $C$9, 100%, $E$9)</f>
        <v>7.0167999999999999</v>
      </c>
      <c r="G402" s="33">
        <f>7.0221 * CHOOSE(CONTROL!$C$32, $C$9, 100%, $E$9)</f>
        <v>7.0221</v>
      </c>
      <c r="H402" s="33">
        <f>13.0435 * CHOOSE(CONTROL!$C$32, $C$9, 100%, $E$9)</f>
        <v>13.0435</v>
      </c>
      <c r="I402" s="33">
        <f>13.0488 * CHOOSE(CONTROL!$C$32, $C$9, 100%, $E$9)</f>
        <v>13.0488</v>
      </c>
      <c r="J402" s="33">
        <f>13.0435 * CHOOSE(CONTROL!$C$32, $C$9, 100%, $E$9)</f>
        <v>13.0435</v>
      </c>
      <c r="K402" s="33">
        <f>13.0488 * CHOOSE(CONTROL!$C$32, $C$9, 100%, $E$9)</f>
        <v>13.0488</v>
      </c>
      <c r="L402" s="33">
        <f>7.0168 * CHOOSE(CONTROL!$C$32, $C$9, 100%, $E$9)</f>
        <v>7.0167999999999999</v>
      </c>
      <c r="M402" s="33">
        <f>7.0221 * CHOOSE(CONTROL!$C$32, $C$9, 100%, $E$9)</f>
        <v>7.0221</v>
      </c>
      <c r="N402" s="33">
        <f>7.0168 * CHOOSE(CONTROL!$C$32, $C$9, 100%, $E$9)</f>
        <v>7.0167999999999999</v>
      </c>
      <c r="O402" s="33">
        <f>7.0221 * CHOOSE(CONTROL!$C$32, $C$9, 100%, $E$9)</f>
        <v>7.0221</v>
      </c>
    </row>
    <row r="403" spans="1:15" ht="15" x14ac:dyDescent="0.2">
      <c r="A403" s="16">
        <v>53479</v>
      </c>
      <c r="B403" s="32">
        <f>6.0318 * CHOOSE(CONTROL!$C$32, $C$9, 100%, $E$9)</f>
        <v>6.0317999999999996</v>
      </c>
      <c r="C403" s="32">
        <f>6.0318 * CHOOSE(CONTROL!$C$32, $C$9, 100%, $E$9)</f>
        <v>6.0317999999999996</v>
      </c>
      <c r="D403" s="32">
        <f>6.0333 * CHOOSE(CONTROL!$C$32, $C$9, 100%, $E$9)</f>
        <v>6.0332999999999997</v>
      </c>
      <c r="E403" s="33">
        <f>6.9768 * CHOOSE(CONTROL!$C$32, $C$9, 100%, $E$9)</f>
        <v>6.9767999999999999</v>
      </c>
      <c r="F403" s="33">
        <f>6.9768 * CHOOSE(CONTROL!$C$32, $C$9, 100%, $E$9)</f>
        <v>6.9767999999999999</v>
      </c>
      <c r="G403" s="33">
        <f>6.9821 * CHOOSE(CONTROL!$C$32, $C$9, 100%, $E$9)</f>
        <v>6.9821</v>
      </c>
      <c r="H403" s="33">
        <f>13.0707 * CHOOSE(CONTROL!$C$32, $C$9, 100%, $E$9)</f>
        <v>13.0707</v>
      </c>
      <c r="I403" s="33">
        <f>13.076 * CHOOSE(CONTROL!$C$32, $C$9, 100%, $E$9)</f>
        <v>13.076000000000001</v>
      </c>
      <c r="J403" s="33">
        <f>13.0707 * CHOOSE(CONTROL!$C$32, $C$9, 100%, $E$9)</f>
        <v>13.0707</v>
      </c>
      <c r="K403" s="33">
        <f>13.076 * CHOOSE(CONTROL!$C$32, $C$9, 100%, $E$9)</f>
        <v>13.076000000000001</v>
      </c>
      <c r="L403" s="33">
        <f>6.9768 * CHOOSE(CONTROL!$C$32, $C$9, 100%, $E$9)</f>
        <v>6.9767999999999999</v>
      </c>
      <c r="M403" s="33">
        <f>6.9821 * CHOOSE(CONTROL!$C$32, $C$9, 100%, $E$9)</f>
        <v>6.9821</v>
      </c>
      <c r="N403" s="33">
        <f>6.9768 * CHOOSE(CONTROL!$C$32, $C$9, 100%, $E$9)</f>
        <v>6.9767999999999999</v>
      </c>
      <c r="O403" s="33">
        <f>6.9821 * CHOOSE(CONTROL!$C$32, $C$9, 100%, $E$9)</f>
        <v>6.9821</v>
      </c>
    </row>
    <row r="404" spans="1:15" ht="15" x14ac:dyDescent="0.2">
      <c r="A404" s="16">
        <v>53509</v>
      </c>
      <c r="B404" s="32">
        <f>6.1126 * CHOOSE(CONTROL!$C$32, $C$9, 100%, $E$9)</f>
        <v>6.1125999999999996</v>
      </c>
      <c r="C404" s="32">
        <f>6.1126 * CHOOSE(CONTROL!$C$32, $C$9, 100%, $E$9)</f>
        <v>6.1125999999999996</v>
      </c>
      <c r="D404" s="32">
        <f>6.1142 * CHOOSE(CONTROL!$C$32, $C$9, 100%, $E$9)</f>
        <v>6.1142000000000003</v>
      </c>
      <c r="E404" s="33">
        <f>7.0342 * CHOOSE(CONTROL!$C$32, $C$9, 100%, $E$9)</f>
        <v>7.0342000000000002</v>
      </c>
      <c r="F404" s="33">
        <f>7.0342 * CHOOSE(CONTROL!$C$32, $C$9, 100%, $E$9)</f>
        <v>7.0342000000000002</v>
      </c>
      <c r="G404" s="33">
        <f>7.0395 * CHOOSE(CONTROL!$C$32, $C$9, 100%, $E$9)</f>
        <v>7.0395000000000003</v>
      </c>
      <c r="H404" s="33">
        <f>13.0979 * CHOOSE(CONTROL!$C$32, $C$9, 100%, $E$9)</f>
        <v>13.097899999999999</v>
      </c>
      <c r="I404" s="33">
        <f>13.1032 * CHOOSE(CONTROL!$C$32, $C$9, 100%, $E$9)</f>
        <v>13.103199999999999</v>
      </c>
      <c r="J404" s="33">
        <f>13.0979 * CHOOSE(CONTROL!$C$32, $C$9, 100%, $E$9)</f>
        <v>13.097899999999999</v>
      </c>
      <c r="K404" s="33">
        <f>13.1032 * CHOOSE(CONTROL!$C$32, $C$9, 100%, $E$9)</f>
        <v>13.103199999999999</v>
      </c>
      <c r="L404" s="33">
        <f>7.0342 * CHOOSE(CONTROL!$C$32, $C$9, 100%, $E$9)</f>
        <v>7.0342000000000002</v>
      </c>
      <c r="M404" s="33">
        <f>7.0395 * CHOOSE(CONTROL!$C$32, $C$9, 100%, $E$9)</f>
        <v>7.0395000000000003</v>
      </c>
      <c r="N404" s="33">
        <f>7.0342 * CHOOSE(CONTROL!$C$32, $C$9, 100%, $E$9)</f>
        <v>7.0342000000000002</v>
      </c>
      <c r="O404" s="33">
        <f>7.0395 * CHOOSE(CONTROL!$C$32, $C$9, 100%, $E$9)</f>
        <v>7.0395000000000003</v>
      </c>
    </row>
    <row r="405" spans="1:15" ht="15" x14ac:dyDescent="0.2">
      <c r="A405" s="16">
        <v>53540</v>
      </c>
      <c r="B405" s="32">
        <f>6.1193 * CHOOSE(CONTROL!$C$32, $C$9, 100%, $E$9)</f>
        <v>6.1193</v>
      </c>
      <c r="C405" s="32">
        <f>6.1193 * CHOOSE(CONTROL!$C$32, $C$9, 100%, $E$9)</f>
        <v>6.1193</v>
      </c>
      <c r="D405" s="32">
        <f>6.1209 * CHOOSE(CONTROL!$C$32, $C$9, 100%, $E$9)</f>
        <v>6.1208999999999998</v>
      </c>
      <c r="E405" s="33">
        <f>6.9061 * CHOOSE(CONTROL!$C$32, $C$9, 100%, $E$9)</f>
        <v>6.9061000000000003</v>
      </c>
      <c r="F405" s="33">
        <f>6.9061 * CHOOSE(CONTROL!$C$32, $C$9, 100%, $E$9)</f>
        <v>6.9061000000000003</v>
      </c>
      <c r="G405" s="33">
        <f>6.9114 * CHOOSE(CONTROL!$C$32, $C$9, 100%, $E$9)</f>
        <v>6.9114000000000004</v>
      </c>
      <c r="H405" s="33">
        <f>13.1252 * CHOOSE(CONTROL!$C$32, $C$9, 100%, $E$9)</f>
        <v>13.1252</v>
      </c>
      <c r="I405" s="33">
        <f>13.1305 * CHOOSE(CONTROL!$C$32, $C$9, 100%, $E$9)</f>
        <v>13.1305</v>
      </c>
      <c r="J405" s="33">
        <f>13.1252 * CHOOSE(CONTROL!$C$32, $C$9, 100%, $E$9)</f>
        <v>13.1252</v>
      </c>
      <c r="K405" s="33">
        <f>13.1305 * CHOOSE(CONTROL!$C$32, $C$9, 100%, $E$9)</f>
        <v>13.1305</v>
      </c>
      <c r="L405" s="33">
        <f>6.9061 * CHOOSE(CONTROL!$C$32, $C$9, 100%, $E$9)</f>
        <v>6.9061000000000003</v>
      </c>
      <c r="M405" s="33">
        <f>6.9114 * CHOOSE(CONTROL!$C$32, $C$9, 100%, $E$9)</f>
        <v>6.9114000000000004</v>
      </c>
      <c r="N405" s="33">
        <f>6.9061 * CHOOSE(CONTROL!$C$32, $C$9, 100%, $E$9)</f>
        <v>6.9061000000000003</v>
      </c>
      <c r="O405" s="33">
        <f>6.9114 * CHOOSE(CONTROL!$C$32, $C$9, 100%, $E$9)</f>
        <v>6.9114000000000004</v>
      </c>
    </row>
    <row r="406" spans="1:15" ht="15" x14ac:dyDescent="0.2">
      <c r="A406" s="16">
        <v>53571</v>
      </c>
      <c r="B406" s="32">
        <f>6.1163 * CHOOSE(CONTROL!$C$32, $C$9, 100%, $E$9)</f>
        <v>6.1162999999999998</v>
      </c>
      <c r="C406" s="32">
        <f>6.1163 * CHOOSE(CONTROL!$C$32, $C$9, 100%, $E$9)</f>
        <v>6.1162999999999998</v>
      </c>
      <c r="D406" s="32">
        <f>6.1178 * CHOOSE(CONTROL!$C$32, $C$9, 100%, $E$9)</f>
        <v>6.1177999999999999</v>
      </c>
      <c r="E406" s="33">
        <f>6.8892 * CHOOSE(CONTROL!$C$32, $C$9, 100%, $E$9)</f>
        <v>6.8891999999999998</v>
      </c>
      <c r="F406" s="33">
        <f>6.8892 * CHOOSE(CONTROL!$C$32, $C$9, 100%, $E$9)</f>
        <v>6.8891999999999998</v>
      </c>
      <c r="G406" s="33">
        <f>6.8945 * CHOOSE(CONTROL!$C$32, $C$9, 100%, $E$9)</f>
        <v>6.8944999999999999</v>
      </c>
      <c r="H406" s="33">
        <f>13.1526 * CHOOSE(CONTROL!$C$32, $C$9, 100%, $E$9)</f>
        <v>13.1526</v>
      </c>
      <c r="I406" s="33">
        <f>13.1579 * CHOOSE(CONTROL!$C$32, $C$9, 100%, $E$9)</f>
        <v>13.1579</v>
      </c>
      <c r="J406" s="33">
        <f>13.1526 * CHOOSE(CONTROL!$C$32, $C$9, 100%, $E$9)</f>
        <v>13.1526</v>
      </c>
      <c r="K406" s="33">
        <f>13.1579 * CHOOSE(CONTROL!$C$32, $C$9, 100%, $E$9)</f>
        <v>13.1579</v>
      </c>
      <c r="L406" s="33">
        <f>6.8892 * CHOOSE(CONTROL!$C$32, $C$9, 100%, $E$9)</f>
        <v>6.8891999999999998</v>
      </c>
      <c r="M406" s="33">
        <f>6.8945 * CHOOSE(CONTROL!$C$32, $C$9, 100%, $E$9)</f>
        <v>6.8944999999999999</v>
      </c>
      <c r="N406" s="33">
        <f>6.8892 * CHOOSE(CONTROL!$C$32, $C$9, 100%, $E$9)</f>
        <v>6.8891999999999998</v>
      </c>
      <c r="O406" s="33">
        <f>6.8945 * CHOOSE(CONTROL!$C$32, $C$9, 100%, $E$9)</f>
        <v>6.8944999999999999</v>
      </c>
    </row>
    <row r="407" spans="1:15" ht="15" x14ac:dyDescent="0.2">
      <c r="A407" s="16">
        <v>53601</v>
      </c>
      <c r="B407" s="32">
        <f>6.1192 * CHOOSE(CONTROL!$C$32, $C$9, 100%, $E$9)</f>
        <v>6.1192000000000002</v>
      </c>
      <c r="C407" s="32">
        <f>6.1192 * CHOOSE(CONTROL!$C$32, $C$9, 100%, $E$9)</f>
        <v>6.1192000000000002</v>
      </c>
      <c r="D407" s="32">
        <f>6.1203 * CHOOSE(CONTROL!$C$32, $C$9, 100%, $E$9)</f>
        <v>6.1203000000000003</v>
      </c>
      <c r="E407" s="33">
        <f>6.9348 * CHOOSE(CONTROL!$C$32, $C$9, 100%, $E$9)</f>
        <v>6.9348000000000001</v>
      </c>
      <c r="F407" s="33">
        <f>6.9348 * CHOOSE(CONTROL!$C$32, $C$9, 100%, $E$9)</f>
        <v>6.9348000000000001</v>
      </c>
      <c r="G407" s="33">
        <f>6.9384 * CHOOSE(CONTROL!$C$32, $C$9, 100%, $E$9)</f>
        <v>6.9383999999999997</v>
      </c>
      <c r="H407" s="33">
        <f>13.18 * CHOOSE(CONTROL!$C$32, $C$9, 100%, $E$9)</f>
        <v>13.18</v>
      </c>
      <c r="I407" s="33">
        <f>13.1836 * CHOOSE(CONTROL!$C$32, $C$9, 100%, $E$9)</f>
        <v>13.1836</v>
      </c>
      <c r="J407" s="33">
        <f>13.18 * CHOOSE(CONTROL!$C$32, $C$9, 100%, $E$9)</f>
        <v>13.18</v>
      </c>
      <c r="K407" s="33">
        <f>13.1836 * CHOOSE(CONTROL!$C$32, $C$9, 100%, $E$9)</f>
        <v>13.1836</v>
      </c>
      <c r="L407" s="33">
        <f>6.9348 * CHOOSE(CONTROL!$C$32, $C$9, 100%, $E$9)</f>
        <v>6.9348000000000001</v>
      </c>
      <c r="M407" s="33">
        <f>6.9384 * CHOOSE(CONTROL!$C$32, $C$9, 100%, $E$9)</f>
        <v>6.9383999999999997</v>
      </c>
      <c r="N407" s="33">
        <f>6.9348 * CHOOSE(CONTROL!$C$32, $C$9, 100%, $E$9)</f>
        <v>6.9348000000000001</v>
      </c>
      <c r="O407" s="33">
        <f>6.9384 * CHOOSE(CONTROL!$C$32, $C$9, 100%, $E$9)</f>
        <v>6.9383999999999997</v>
      </c>
    </row>
    <row r="408" spans="1:15" ht="15" x14ac:dyDescent="0.2">
      <c r="A408" s="16">
        <v>53632</v>
      </c>
      <c r="B408" s="32">
        <f>6.1222 * CHOOSE(CONTROL!$C$32, $C$9, 100%, $E$9)</f>
        <v>6.1222000000000003</v>
      </c>
      <c r="C408" s="32">
        <f>6.1222 * CHOOSE(CONTROL!$C$32, $C$9, 100%, $E$9)</f>
        <v>6.1222000000000003</v>
      </c>
      <c r="D408" s="32">
        <f>6.1233 * CHOOSE(CONTROL!$C$32, $C$9, 100%, $E$9)</f>
        <v>6.1233000000000004</v>
      </c>
      <c r="E408" s="33">
        <f>6.9664 * CHOOSE(CONTROL!$C$32, $C$9, 100%, $E$9)</f>
        <v>6.9664000000000001</v>
      </c>
      <c r="F408" s="33">
        <f>6.9664 * CHOOSE(CONTROL!$C$32, $C$9, 100%, $E$9)</f>
        <v>6.9664000000000001</v>
      </c>
      <c r="G408" s="33">
        <f>6.97 * CHOOSE(CONTROL!$C$32, $C$9, 100%, $E$9)</f>
        <v>6.97</v>
      </c>
      <c r="H408" s="33">
        <f>13.2074 * CHOOSE(CONTROL!$C$32, $C$9, 100%, $E$9)</f>
        <v>13.2074</v>
      </c>
      <c r="I408" s="33">
        <f>13.2111 * CHOOSE(CONTROL!$C$32, $C$9, 100%, $E$9)</f>
        <v>13.2111</v>
      </c>
      <c r="J408" s="33">
        <f>13.2074 * CHOOSE(CONTROL!$C$32, $C$9, 100%, $E$9)</f>
        <v>13.2074</v>
      </c>
      <c r="K408" s="33">
        <f>13.2111 * CHOOSE(CONTROL!$C$32, $C$9, 100%, $E$9)</f>
        <v>13.2111</v>
      </c>
      <c r="L408" s="33">
        <f>6.9664 * CHOOSE(CONTROL!$C$32, $C$9, 100%, $E$9)</f>
        <v>6.9664000000000001</v>
      </c>
      <c r="M408" s="33">
        <f>6.97 * CHOOSE(CONTROL!$C$32, $C$9, 100%, $E$9)</f>
        <v>6.97</v>
      </c>
      <c r="N408" s="33">
        <f>6.9664 * CHOOSE(CONTROL!$C$32, $C$9, 100%, $E$9)</f>
        <v>6.9664000000000001</v>
      </c>
      <c r="O408" s="33">
        <f>6.97 * CHOOSE(CONTROL!$C$32, $C$9, 100%, $E$9)</f>
        <v>6.97</v>
      </c>
    </row>
    <row r="409" spans="1:15" ht="15" x14ac:dyDescent="0.2">
      <c r="A409" s="16">
        <v>53662</v>
      </c>
      <c r="B409" s="32">
        <f>6.1222 * CHOOSE(CONTROL!$C$32, $C$9, 100%, $E$9)</f>
        <v>6.1222000000000003</v>
      </c>
      <c r="C409" s="32">
        <f>6.1222 * CHOOSE(CONTROL!$C$32, $C$9, 100%, $E$9)</f>
        <v>6.1222000000000003</v>
      </c>
      <c r="D409" s="32">
        <f>6.1233 * CHOOSE(CONTROL!$C$32, $C$9, 100%, $E$9)</f>
        <v>6.1233000000000004</v>
      </c>
      <c r="E409" s="33">
        <f>6.8927 * CHOOSE(CONTROL!$C$32, $C$9, 100%, $E$9)</f>
        <v>6.8926999999999996</v>
      </c>
      <c r="F409" s="33">
        <f>6.8927 * CHOOSE(CONTROL!$C$32, $C$9, 100%, $E$9)</f>
        <v>6.8926999999999996</v>
      </c>
      <c r="G409" s="33">
        <f>6.8963 * CHOOSE(CONTROL!$C$32, $C$9, 100%, $E$9)</f>
        <v>6.8963000000000001</v>
      </c>
      <c r="H409" s="33">
        <f>13.235 * CHOOSE(CONTROL!$C$32, $C$9, 100%, $E$9)</f>
        <v>13.234999999999999</v>
      </c>
      <c r="I409" s="33">
        <f>13.2386 * CHOOSE(CONTROL!$C$32, $C$9, 100%, $E$9)</f>
        <v>13.2386</v>
      </c>
      <c r="J409" s="33">
        <f>13.235 * CHOOSE(CONTROL!$C$32, $C$9, 100%, $E$9)</f>
        <v>13.234999999999999</v>
      </c>
      <c r="K409" s="33">
        <f>13.2386 * CHOOSE(CONTROL!$C$32, $C$9, 100%, $E$9)</f>
        <v>13.2386</v>
      </c>
      <c r="L409" s="33">
        <f>6.8927 * CHOOSE(CONTROL!$C$32, $C$9, 100%, $E$9)</f>
        <v>6.8926999999999996</v>
      </c>
      <c r="M409" s="33">
        <f>6.8963 * CHOOSE(CONTROL!$C$32, $C$9, 100%, $E$9)</f>
        <v>6.8963000000000001</v>
      </c>
      <c r="N409" s="33">
        <f>6.8927 * CHOOSE(CONTROL!$C$32, $C$9, 100%, $E$9)</f>
        <v>6.8926999999999996</v>
      </c>
      <c r="O409" s="33">
        <f>6.8963 * CHOOSE(CONTROL!$C$32, $C$9, 100%, $E$9)</f>
        <v>6.8963000000000001</v>
      </c>
    </row>
    <row r="410" spans="1:15" ht="15" x14ac:dyDescent="0.2">
      <c r="A410" s="16">
        <v>53693</v>
      </c>
      <c r="B410" s="32">
        <f>6.169 * CHOOSE(CONTROL!$C$32, $C$9, 100%, $E$9)</f>
        <v>6.1689999999999996</v>
      </c>
      <c r="C410" s="32">
        <f>6.169 * CHOOSE(CONTROL!$C$32, $C$9, 100%, $E$9)</f>
        <v>6.1689999999999996</v>
      </c>
      <c r="D410" s="32">
        <f>6.17 * CHOOSE(CONTROL!$C$32, $C$9, 100%, $E$9)</f>
        <v>6.17</v>
      </c>
      <c r="E410" s="33">
        <f>6.9915 * CHOOSE(CONTROL!$C$32, $C$9, 100%, $E$9)</f>
        <v>6.9915000000000003</v>
      </c>
      <c r="F410" s="33">
        <f>6.9915 * CHOOSE(CONTROL!$C$32, $C$9, 100%, $E$9)</f>
        <v>6.9915000000000003</v>
      </c>
      <c r="G410" s="33">
        <f>6.9951 * CHOOSE(CONTROL!$C$32, $C$9, 100%, $E$9)</f>
        <v>6.9950999999999999</v>
      </c>
      <c r="H410" s="33">
        <f>13.2625 * CHOOSE(CONTROL!$C$32, $C$9, 100%, $E$9)</f>
        <v>13.262499999999999</v>
      </c>
      <c r="I410" s="33">
        <f>13.2661 * CHOOSE(CONTROL!$C$32, $C$9, 100%, $E$9)</f>
        <v>13.2661</v>
      </c>
      <c r="J410" s="33">
        <f>13.2625 * CHOOSE(CONTROL!$C$32, $C$9, 100%, $E$9)</f>
        <v>13.262499999999999</v>
      </c>
      <c r="K410" s="33">
        <f>13.2661 * CHOOSE(CONTROL!$C$32, $C$9, 100%, $E$9)</f>
        <v>13.2661</v>
      </c>
      <c r="L410" s="33">
        <f>6.9915 * CHOOSE(CONTROL!$C$32, $C$9, 100%, $E$9)</f>
        <v>6.9915000000000003</v>
      </c>
      <c r="M410" s="33">
        <f>6.9951 * CHOOSE(CONTROL!$C$32, $C$9, 100%, $E$9)</f>
        <v>6.9950999999999999</v>
      </c>
      <c r="N410" s="33">
        <f>6.9915 * CHOOSE(CONTROL!$C$32, $C$9, 100%, $E$9)</f>
        <v>6.9915000000000003</v>
      </c>
      <c r="O410" s="33">
        <f>6.9951 * CHOOSE(CONTROL!$C$32, $C$9, 100%, $E$9)</f>
        <v>6.9950999999999999</v>
      </c>
    </row>
    <row r="411" spans="1:15" ht="15" x14ac:dyDescent="0.2">
      <c r="A411" s="16">
        <v>53724</v>
      </c>
      <c r="B411" s="32">
        <f>6.1659 * CHOOSE(CONTROL!$C$32, $C$9, 100%, $E$9)</f>
        <v>6.1658999999999997</v>
      </c>
      <c r="C411" s="32">
        <f>6.1659 * CHOOSE(CONTROL!$C$32, $C$9, 100%, $E$9)</f>
        <v>6.1658999999999997</v>
      </c>
      <c r="D411" s="32">
        <f>6.167 * CHOOSE(CONTROL!$C$32, $C$9, 100%, $E$9)</f>
        <v>6.1669999999999998</v>
      </c>
      <c r="E411" s="33">
        <f>6.8455 * CHOOSE(CONTROL!$C$32, $C$9, 100%, $E$9)</f>
        <v>6.8455000000000004</v>
      </c>
      <c r="F411" s="33">
        <f>6.8455 * CHOOSE(CONTROL!$C$32, $C$9, 100%, $E$9)</f>
        <v>6.8455000000000004</v>
      </c>
      <c r="G411" s="33">
        <f>6.8491 * CHOOSE(CONTROL!$C$32, $C$9, 100%, $E$9)</f>
        <v>6.8491</v>
      </c>
      <c r="H411" s="33">
        <f>13.2902 * CHOOSE(CONTROL!$C$32, $C$9, 100%, $E$9)</f>
        <v>13.2902</v>
      </c>
      <c r="I411" s="33">
        <f>13.2938 * CHOOSE(CONTROL!$C$32, $C$9, 100%, $E$9)</f>
        <v>13.293799999999999</v>
      </c>
      <c r="J411" s="33">
        <f>13.2902 * CHOOSE(CONTROL!$C$32, $C$9, 100%, $E$9)</f>
        <v>13.2902</v>
      </c>
      <c r="K411" s="33">
        <f>13.2938 * CHOOSE(CONTROL!$C$32, $C$9, 100%, $E$9)</f>
        <v>13.293799999999999</v>
      </c>
      <c r="L411" s="33">
        <f>6.8455 * CHOOSE(CONTROL!$C$32, $C$9, 100%, $E$9)</f>
        <v>6.8455000000000004</v>
      </c>
      <c r="M411" s="33">
        <f>6.8491 * CHOOSE(CONTROL!$C$32, $C$9, 100%, $E$9)</f>
        <v>6.8491</v>
      </c>
      <c r="N411" s="33">
        <f>6.8455 * CHOOSE(CONTROL!$C$32, $C$9, 100%, $E$9)</f>
        <v>6.8455000000000004</v>
      </c>
      <c r="O411" s="33">
        <f>6.8491 * CHOOSE(CONTROL!$C$32, $C$9, 100%, $E$9)</f>
        <v>6.8491</v>
      </c>
    </row>
    <row r="412" spans="1:15" ht="15" x14ac:dyDescent="0.2">
      <c r="A412" s="16">
        <v>53752</v>
      </c>
      <c r="B412" s="32">
        <f>6.1629 * CHOOSE(CONTROL!$C$32, $C$9, 100%, $E$9)</f>
        <v>6.1628999999999996</v>
      </c>
      <c r="C412" s="32">
        <f>6.1629 * CHOOSE(CONTROL!$C$32, $C$9, 100%, $E$9)</f>
        <v>6.1628999999999996</v>
      </c>
      <c r="D412" s="32">
        <f>6.164 * CHOOSE(CONTROL!$C$32, $C$9, 100%, $E$9)</f>
        <v>6.1639999999999997</v>
      </c>
      <c r="E412" s="33">
        <f>6.9568 * CHOOSE(CONTROL!$C$32, $C$9, 100%, $E$9)</f>
        <v>6.9568000000000003</v>
      </c>
      <c r="F412" s="33">
        <f>6.9568 * CHOOSE(CONTROL!$C$32, $C$9, 100%, $E$9)</f>
        <v>6.9568000000000003</v>
      </c>
      <c r="G412" s="33">
        <f>6.9605 * CHOOSE(CONTROL!$C$32, $C$9, 100%, $E$9)</f>
        <v>6.9604999999999997</v>
      </c>
      <c r="H412" s="33">
        <f>13.3178 * CHOOSE(CONTROL!$C$32, $C$9, 100%, $E$9)</f>
        <v>13.3178</v>
      </c>
      <c r="I412" s="33">
        <f>13.3215 * CHOOSE(CONTROL!$C$32, $C$9, 100%, $E$9)</f>
        <v>13.3215</v>
      </c>
      <c r="J412" s="33">
        <f>13.3178 * CHOOSE(CONTROL!$C$32, $C$9, 100%, $E$9)</f>
        <v>13.3178</v>
      </c>
      <c r="K412" s="33">
        <f>13.3215 * CHOOSE(CONTROL!$C$32, $C$9, 100%, $E$9)</f>
        <v>13.3215</v>
      </c>
      <c r="L412" s="33">
        <f>6.9568 * CHOOSE(CONTROL!$C$32, $C$9, 100%, $E$9)</f>
        <v>6.9568000000000003</v>
      </c>
      <c r="M412" s="33">
        <f>6.9605 * CHOOSE(CONTROL!$C$32, $C$9, 100%, $E$9)</f>
        <v>6.9604999999999997</v>
      </c>
      <c r="N412" s="33">
        <f>6.9568 * CHOOSE(CONTROL!$C$32, $C$9, 100%, $E$9)</f>
        <v>6.9568000000000003</v>
      </c>
      <c r="O412" s="33">
        <f>6.9605 * CHOOSE(CONTROL!$C$32, $C$9, 100%, $E$9)</f>
        <v>6.9604999999999997</v>
      </c>
    </row>
    <row r="413" spans="1:15" ht="15" x14ac:dyDescent="0.2">
      <c r="A413" s="16">
        <v>53783</v>
      </c>
      <c r="B413" s="32">
        <f>6.1626 * CHOOSE(CONTROL!$C$32, $C$9, 100%, $E$9)</f>
        <v>6.1626000000000003</v>
      </c>
      <c r="C413" s="32">
        <f>6.1626 * CHOOSE(CONTROL!$C$32, $C$9, 100%, $E$9)</f>
        <v>6.1626000000000003</v>
      </c>
      <c r="D413" s="32">
        <f>6.1637 * CHOOSE(CONTROL!$C$32, $C$9, 100%, $E$9)</f>
        <v>6.1637000000000004</v>
      </c>
      <c r="E413" s="33">
        <f>7.0744 * CHOOSE(CONTROL!$C$32, $C$9, 100%, $E$9)</f>
        <v>7.0743999999999998</v>
      </c>
      <c r="F413" s="33">
        <f>7.0744 * CHOOSE(CONTROL!$C$32, $C$9, 100%, $E$9)</f>
        <v>7.0743999999999998</v>
      </c>
      <c r="G413" s="33">
        <f>7.078 * CHOOSE(CONTROL!$C$32, $C$9, 100%, $E$9)</f>
        <v>7.0780000000000003</v>
      </c>
      <c r="H413" s="33">
        <f>13.3456 * CHOOSE(CONTROL!$C$32, $C$9, 100%, $E$9)</f>
        <v>13.345599999999999</v>
      </c>
      <c r="I413" s="33">
        <f>13.3492 * CHOOSE(CONTROL!$C$32, $C$9, 100%, $E$9)</f>
        <v>13.3492</v>
      </c>
      <c r="J413" s="33">
        <f>13.3456 * CHOOSE(CONTROL!$C$32, $C$9, 100%, $E$9)</f>
        <v>13.345599999999999</v>
      </c>
      <c r="K413" s="33">
        <f>13.3492 * CHOOSE(CONTROL!$C$32, $C$9, 100%, $E$9)</f>
        <v>13.3492</v>
      </c>
      <c r="L413" s="33">
        <f>7.0744 * CHOOSE(CONTROL!$C$32, $C$9, 100%, $E$9)</f>
        <v>7.0743999999999998</v>
      </c>
      <c r="M413" s="33">
        <f>7.078 * CHOOSE(CONTROL!$C$32, $C$9, 100%, $E$9)</f>
        <v>7.0780000000000003</v>
      </c>
      <c r="N413" s="33">
        <f>7.0744 * CHOOSE(CONTROL!$C$32, $C$9, 100%, $E$9)</f>
        <v>7.0743999999999998</v>
      </c>
      <c r="O413" s="33">
        <f>7.078 * CHOOSE(CONTROL!$C$32, $C$9, 100%, $E$9)</f>
        <v>7.0780000000000003</v>
      </c>
    </row>
    <row r="414" spans="1:15" ht="15" x14ac:dyDescent="0.2">
      <c r="A414" s="16">
        <v>53813</v>
      </c>
      <c r="B414" s="32">
        <f>6.1626 * CHOOSE(CONTROL!$C$32, $C$9, 100%, $E$9)</f>
        <v>6.1626000000000003</v>
      </c>
      <c r="C414" s="32">
        <f>6.1626 * CHOOSE(CONTROL!$C$32, $C$9, 100%, $E$9)</f>
        <v>6.1626000000000003</v>
      </c>
      <c r="D414" s="32">
        <f>6.1642 * CHOOSE(CONTROL!$C$32, $C$9, 100%, $E$9)</f>
        <v>6.1642000000000001</v>
      </c>
      <c r="E414" s="33">
        <f>7.1201 * CHOOSE(CONTROL!$C$32, $C$9, 100%, $E$9)</f>
        <v>7.1200999999999999</v>
      </c>
      <c r="F414" s="33">
        <f>7.1201 * CHOOSE(CONTROL!$C$32, $C$9, 100%, $E$9)</f>
        <v>7.1200999999999999</v>
      </c>
      <c r="G414" s="33">
        <f>7.1254 * CHOOSE(CONTROL!$C$32, $C$9, 100%, $E$9)</f>
        <v>7.1254</v>
      </c>
      <c r="H414" s="33">
        <f>13.3734 * CHOOSE(CONTROL!$C$32, $C$9, 100%, $E$9)</f>
        <v>13.3734</v>
      </c>
      <c r="I414" s="33">
        <f>13.3787 * CHOOSE(CONTROL!$C$32, $C$9, 100%, $E$9)</f>
        <v>13.3787</v>
      </c>
      <c r="J414" s="33">
        <f>13.3734 * CHOOSE(CONTROL!$C$32, $C$9, 100%, $E$9)</f>
        <v>13.3734</v>
      </c>
      <c r="K414" s="33">
        <f>13.3787 * CHOOSE(CONTROL!$C$32, $C$9, 100%, $E$9)</f>
        <v>13.3787</v>
      </c>
      <c r="L414" s="33">
        <f>7.1201 * CHOOSE(CONTROL!$C$32, $C$9, 100%, $E$9)</f>
        <v>7.1200999999999999</v>
      </c>
      <c r="M414" s="33">
        <f>7.1254 * CHOOSE(CONTROL!$C$32, $C$9, 100%, $E$9)</f>
        <v>7.1254</v>
      </c>
      <c r="N414" s="33">
        <f>7.1201 * CHOOSE(CONTROL!$C$32, $C$9, 100%, $E$9)</f>
        <v>7.1200999999999999</v>
      </c>
      <c r="O414" s="33">
        <f>7.1254 * CHOOSE(CONTROL!$C$32, $C$9, 100%, $E$9)</f>
        <v>7.1254</v>
      </c>
    </row>
    <row r="415" spans="1:15" ht="15" x14ac:dyDescent="0.2">
      <c r="A415" s="16">
        <v>53844</v>
      </c>
      <c r="B415" s="32">
        <f>6.1687 * CHOOSE(CONTROL!$C$32, $C$9, 100%, $E$9)</f>
        <v>6.1687000000000003</v>
      </c>
      <c r="C415" s="32">
        <f>6.1687 * CHOOSE(CONTROL!$C$32, $C$9, 100%, $E$9)</f>
        <v>6.1687000000000003</v>
      </c>
      <c r="D415" s="32">
        <f>6.1703 * CHOOSE(CONTROL!$C$32, $C$9, 100%, $E$9)</f>
        <v>6.1703000000000001</v>
      </c>
      <c r="E415" s="33">
        <f>7.0787 * CHOOSE(CONTROL!$C$32, $C$9, 100%, $E$9)</f>
        <v>7.0787000000000004</v>
      </c>
      <c r="F415" s="33">
        <f>7.0787 * CHOOSE(CONTROL!$C$32, $C$9, 100%, $E$9)</f>
        <v>7.0787000000000004</v>
      </c>
      <c r="G415" s="33">
        <f>7.0839 * CHOOSE(CONTROL!$C$32, $C$9, 100%, $E$9)</f>
        <v>7.0838999999999999</v>
      </c>
      <c r="H415" s="33">
        <f>13.4013 * CHOOSE(CONTROL!$C$32, $C$9, 100%, $E$9)</f>
        <v>13.401300000000001</v>
      </c>
      <c r="I415" s="33">
        <f>13.4065 * CHOOSE(CONTROL!$C$32, $C$9, 100%, $E$9)</f>
        <v>13.406499999999999</v>
      </c>
      <c r="J415" s="33">
        <f>13.4013 * CHOOSE(CONTROL!$C$32, $C$9, 100%, $E$9)</f>
        <v>13.401300000000001</v>
      </c>
      <c r="K415" s="33">
        <f>13.4065 * CHOOSE(CONTROL!$C$32, $C$9, 100%, $E$9)</f>
        <v>13.406499999999999</v>
      </c>
      <c r="L415" s="33">
        <f>7.0787 * CHOOSE(CONTROL!$C$32, $C$9, 100%, $E$9)</f>
        <v>7.0787000000000004</v>
      </c>
      <c r="M415" s="33">
        <f>7.0839 * CHOOSE(CONTROL!$C$32, $C$9, 100%, $E$9)</f>
        <v>7.0838999999999999</v>
      </c>
      <c r="N415" s="33">
        <f>7.0787 * CHOOSE(CONTROL!$C$32, $C$9, 100%, $E$9)</f>
        <v>7.0787000000000004</v>
      </c>
      <c r="O415" s="33">
        <f>7.0839 * CHOOSE(CONTROL!$C$32, $C$9, 100%, $E$9)</f>
        <v>7.0838999999999999</v>
      </c>
    </row>
    <row r="416" spans="1:15" ht="15" x14ac:dyDescent="0.2">
      <c r="A416" s="16">
        <v>53874</v>
      </c>
      <c r="B416" s="32">
        <f>6.251 * CHOOSE(CONTROL!$C$32, $C$9, 100%, $E$9)</f>
        <v>6.2510000000000003</v>
      </c>
      <c r="C416" s="32">
        <f>6.251 * CHOOSE(CONTROL!$C$32, $C$9, 100%, $E$9)</f>
        <v>6.2510000000000003</v>
      </c>
      <c r="D416" s="32">
        <f>6.2526 * CHOOSE(CONTROL!$C$32, $C$9, 100%, $E$9)</f>
        <v>6.2526000000000002</v>
      </c>
      <c r="E416" s="33">
        <f>7.149 * CHOOSE(CONTROL!$C$32, $C$9, 100%, $E$9)</f>
        <v>7.149</v>
      </c>
      <c r="F416" s="33">
        <f>7.149 * CHOOSE(CONTROL!$C$32, $C$9, 100%, $E$9)</f>
        <v>7.149</v>
      </c>
      <c r="G416" s="33">
        <f>7.1543 * CHOOSE(CONTROL!$C$32, $C$9, 100%, $E$9)</f>
        <v>7.1543000000000001</v>
      </c>
      <c r="H416" s="33">
        <f>13.4292 * CHOOSE(CONTROL!$C$32, $C$9, 100%, $E$9)</f>
        <v>13.4292</v>
      </c>
      <c r="I416" s="33">
        <f>13.4345 * CHOOSE(CONTROL!$C$32, $C$9, 100%, $E$9)</f>
        <v>13.4345</v>
      </c>
      <c r="J416" s="33">
        <f>13.4292 * CHOOSE(CONTROL!$C$32, $C$9, 100%, $E$9)</f>
        <v>13.4292</v>
      </c>
      <c r="K416" s="33">
        <f>13.4345 * CHOOSE(CONTROL!$C$32, $C$9, 100%, $E$9)</f>
        <v>13.4345</v>
      </c>
      <c r="L416" s="33">
        <f>7.149 * CHOOSE(CONTROL!$C$32, $C$9, 100%, $E$9)</f>
        <v>7.149</v>
      </c>
      <c r="M416" s="33">
        <f>7.1543 * CHOOSE(CONTROL!$C$32, $C$9, 100%, $E$9)</f>
        <v>7.1543000000000001</v>
      </c>
      <c r="N416" s="33">
        <f>7.149 * CHOOSE(CONTROL!$C$32, $C$9, 100%, $E$9)</f>
        <v>7.149</v>
      </c>
      <c r="O416" s="33">
        <f>7.1543 * CHOOSE(CONTROL!$C$32, $C$9, 100%, $E$9)</f>
        <v>7.1543000000000001</v>
      </c>
    </row>
    <row r="417" spans="1:15" ht="15" x14ac:dyDescent="0.2">
      <c r="A417" s="16">
        <v>53905</v>
      </c>
      <c r="B417" s="32">
        <f>6.2577 * CHOOSE(CONTROL!$C$32, $C$9, 100%, $E$9)</f>
        <v>6.2576999999999998</v>
      </c>
      <c r="C417" s="32">
        <f>6.2577 * CHOOSE(CONTROL!$C$32, $C$9, 100%, $E$9)</f>
        <v>6.2576999999999998</v>
      </c>
      <c r="D417" s="32">
        <f>6.2593 * CHOOSE(CONTROL!$C$32, $C$9, 100%, $E$9)</f>
        <v>6.2592999999999996</v>
      </c>
      <c r="E417" s="33">
        <f>7.0166 * CHOOSE(CONTROL!$C$32, $C$9, 100%, $E$9)</f>
        <v>7.0166000000000004</v>
      </c>
      <c r="F417" s="33">
        <f>7.0166 * CHOOSE(CONTROL!$C$32, $C$9, 100%, $E$9)</f>
        <v>7.0166000000000004</v>
      </c>
      <c r="G417" s="33">
        <f>7.0219 * CHOOSE(CONTROL!$C$32, $C$9, 100%, $E$9)</f>
        <v>7.0218999999999996</v>
      </c>
      <c r="H417" s="33">
        <f>13.4572 * CHOOSE(CONTROL!$C$32, $C$9, 100%, $E$9)</f>
        <v>13.4572</v>
      </c>
      <c r="I417" s="33">
        <f>13.4624 * CHOOSE(CONTROL!$C$32, $C$9, 100%, $E$9)</f>
        <v>13.462400000000001</v>
      </c>
      <c r="J417" s="33">
        <f>13.4572 * CHOOSE(CONTROL!$C$32, $C$9, 100%, $E$9)</f>
        <v>13.4572</v>
      </c>
      <c r="K417" s="33">
        <f>13.4624 * CHOOSE(CONTROL!$C$32, $C$9, 100%, $E$9)</f>
        <v>13.462400000000001</v>
      </c>
      <c r="L417" s="33">
        <f>7.0166 * CHOOSE(CONTROL!$C$32, $C$9, 100%, $E$9)</f>
        <v>7.0166000000000004</v>
      </c>
      <c r="M417" s="33">
        <f>7.0219 * CHOOSE(CONTROL!$C$32, $C$9, 100%, $E$9)</f>
        <v>7.0218999999999996</v>
      </c>
      <c r="N417" s="33">
        <f>7.0166 * CHOOSE(CONTROL!$C$32, $C$9, 100%, $E$9)</f>
        <v>7.0166000000000004</v>
      </c>
      <c r="O417" s="33">
        <f>7.0219 * CHOOSE(CONTROL!$C$32, $C$9, 100%, $E$9)</f>
        <v>7.0218999999999996</v>
      </c>
    </row>
    <row r="418" spans="1:15" ht="15" x14ac:dyDescent="0.2">
      <c r="A418" s="16">
        <v>53936</v>
      </c>
      <c r="B418" s="32">
        <f>6.2547 * CHOOSE(CONTROL!$C$32, $C$9, 100%, $E$9)</f>
        <v>6.2546999999999997</v>
      </c>
      <c r="C418" s="32">
        <f>6.2547 * CHOOSE(CONTROL!$C$32, $C$9, 100%, $E$9)</f>
        <v>6.2546999999999997</v>
      </c>
      <c r="D418" s="32">
        <f>6.2562 * CHOOSE(CONTROL!$C$32, $C$9, 100%, $E$9)</f>
        <v>6.2561999999999998</v>
      </c>
      <c r="E418" s="33">
        <f>6.9993 * CHOOSE(CONTROL!$C$32, $C$9, 100%, $E$9)</f>
        <v>6.9992999999999999</v>
      </c>
      <c r="F418" s="33">
        <f>6.9993 * CHOOSE(CONTROL!$C$32, $C$9, 100%, $E$9)</f>
        <v>6.9992999999999999</v>
      </c>
      <c r="G418" s="33">
        <f>7.0045 * CHOOSE(CONTROL!$C$32, $C$9, 100%, $E$9)</f>
        <v>7.0045000000000002</v>
      </c>
      <c r="H418" s="33">
        <f>13.4852 * CHOOSE(CONTROL!$C$32, $C$9, 100%, $E$9)</f>
        <v>13.485200000000001</v>
      </c>
      <c r="I418" s="33">
        <f>13.4905 * CHOOSE(CONTROL!$C$32, $C$9, 100%, $E$9)</f>
        <v>13.490500000000001</v>
      </c>
      <c r="J418" s="33">
        <f>13.4852 * CHOOSE(CONTROL!$C$32, $C$9, 100%, $E$9)</f>
        <v>13.485200000000001</v>
      </c>
      <c r="K418" s="33">
        <f>13.4905 * CHOOSE(CONTROL!$C$32, $C$9, 100%, $E$9)</f>
        <v>13.490500000000001</v>
      </c>
      <c r="L418" s="33">
        <f>6.9993 * CHOOSE(CONTROL!$C$32, $C$9, 100%, $E$9)</f>
        <v>6.9992999999999999</v>
      </c>
      <c r="M418" s="33">
        <f>7.0045 * CHOOSE(CONTROL!$C$32, $C$9, 100%, $E$9)</f>
        <v>7.0045000000000002</v>
      </c>
      <c r="N418" s="33">
        <f>6.9993 * CHOOSE(CONTROL!$C$32, $C$9, 100%, $E$9)</f>
        <v>6.9992999999999999</v>
      </c>
      <c r="O418" s="33">
        <f>7.0045 * CHOOSE(CONTROL!$C$32, $C$9, 100%, $E$9)</f>
        <v>7.0045000000000002</v>
      </c>
    </row>
    <row r="419" spans="1:15" ht="15" x14ac:dyDescent="0.2">
      <c r="A419" s="16">
        <v>53966</v>
      </c>
      <c r="B419" s="32">
        <f>6.2581 * CHOOSE(CONTROL!$C$32, $C$9, 100%, $E$9)</f>
        <v>6.2580999999999998</v>
      </c>
      <c r="C419" s="32">
        <f>6.2581 * CHOOSE(CONTROL!$C$32, $C$9, 100%, $E$9)</f>
        <v>6.2580999999999998</v>
      </c>
      <c r="D419" s="32">
        <f>6.2592 * CHOOSE(CONTROL!$C$32, $C$9, 100%, $E$9)</f>
        <v>6.2591999999999999</v>
      </c>
      <c r="E419" s="33">
        <f>7.0467 * CHOOSE(CONTROL!$C$32, $C$9, 100%, $E$9)</f>
        <v>7.0467000000000004</v>
      </c>
      <c r="F419" s="33">
        <f>7.0467 * CHOOSE(CONTROL!$C$32, $C$9, 100%, $E$9)</f>
        <v>7.0467000000000004</v>
      </c>
      <c r="G419" s="33">
        <f>7.0504 * CHOOSE(CONTROL!$C$32, $C$9, 100%, $E$9)</f>
        <v>7.0503999999999998</v>
      </c>
      <c r="H419" s="33">
        <f>13.5133 * CHOOSE(CONTROL!$C$32, $C$9, 100%, $E$9)</f>
        <v>13.513299999999999</v>
      </c>
      <c r="I419" s="33">
        <f>13.5169 * CHOOSE(CONTROL!$C$32, $C$9, 100%, $E$9)</f>
        <v>13.5169</v>
      </c>
      <c r="J419" s="33">
        <f>13.5133 * CHOOSE(CONTROL!$C$32, $C$9, 100%, $E$9)</f>
        <v>13.513299999999999</v>
      </c>
      <c r="K419" s="33">
        <f>13.5169 * CHOOSE(CONTROL!$C$32, $C$9, 100%, $E$9)</f>
        <v>13.5169</v>
      </c>
      <c r="L419" s="33">
        <f>7.0467 * CHOOSE(CONTROL!$C$32, $C$9, 100%, $E$9)</f>
        <v>7.0467000000000004</v>
      </c>
      <c r="M419" s="33">
        <f>7.0504 * CHOOSE(CONTROL!$C$32, $C$9, 100%, $E$9)</f>
        <v>7.0503999999999998</v>
      </c>
      <c r="N419" s="33">
        <f>7.0467 * CHOOSE(CONTROL!$C$32, $C$9, 100%, $E$9)</f>
        <v>7.0467000000000004</v>
      </c>
      <c r="O419" s="33">
        <f>7.0504 * CHOOSE(CONTROL!$C$32, $C$9, 100%, $E$9)</f>
        <v>7.0503999999999998</v>
      </c>
    </row>
    <row r="420" spans="1:15" ht="15" x14ac:dyDescent="0.2">
      <c r="A420" s="16">
        <v>53997</v>
      </c>
      <c r="B420" s="32">
        <f>6.2611 * CHOOSE(CONTROL!$C$32, $C$9, 100%, $E$9)</f>
        <v>6.2610999999999999</v>
      </c>
      <c r="C420" s="32">
        <f>6.2611 * CHOOSE(CONTROL!$C$32, $C$9, 100%, $E$9)</f>
        <v>6.2610999999999999</v>
      </c>
      <c r="D420" s="32">
        <f>6.2622 * CHOOSE(CONTROL!$C$32, $C$9, 100%, $E$9)</f>
        <v>6.2622</v>
      </c>
      <c r="E420" s="33">
        <f>7.0793 * CHOOSE(CONTROL!$C$32, $C$9, 100%, $E$9)</f>
        <v>7.0792999999999999</v>
      </c>
      <c r="F420" s="33">
        <f>7.0793 * CHOOSE(CONTROL!$C$32, $C$9, 100%, $E$9)</f>
        <v>7.0792999999999999</v>
      </c>
      <c r="G420" s="33">
        <f>7.0829 * CHOOSE(CONTROL!$C$32, $C$9, 100%, $E$9)</f>
        <v>7.0829000000000004</v>
      </c>
      <c r="H420" s="33">
        <f>13.5414 * CHOOSE(CONTROL!$C$32, $C$9, 100%, $E$9)</f>
        <v>13.541399999999999</v>
      </c>
      <c r="I420" s="33">
        <f>13.5451 * CHOOSE(CONTROL!$C$32, $C$9, 100%, $E$9)</f>
        <v>13.5451</v>
      </c>
      <c r="J420" s="33">
        <f>13.5414 * CHOOSE(CONTROL!$C$32, $C$9, 100%, $E$9)</f>
        <v>13.541399999999999</v>
      </c>
      <c r="K420" s="33">
        <f>13.5451 * CHOOSE(CONTROL!$C$32, $C$9, 100%, $E$9)</f>
        <v>13.5451</v>
      </c>
      <c r="L420" s="33">
        <f>7.0793 * CHOOSE(CONTROL!$C$32, $C$9, 100%, $E$9)</f>
        <v>7.0792999999999999</v>
      </c>
      <c r="M420" s="33">
        <f>7.0829 * CHOOSE(CONTROL!$C$32, $C$9, 100%, $E$9)</f>
        <v>7.0829000000000004</v>
      </c>
      <c r="N420" s="33">
        <f>7.0793 * CHOOSE(CONTROL!$C$32, $C$9, 100%, $E$9)</f>
        <v>7.0792999999999999</v>
      </c>
      <c r="O420" s="33">
        <f>7.0829 * CHOOSE(CONTROL!$C$32, $C$9, 100%, $E$9)</f>
        <v>7.0829000000000004</v>
      </c>
    </row>
    <row r="421" spans="1:15" ht="15" x14ac:dyDescent="0.2">
      <c r="A421" s="16">
        <v>54027</v>
      </c>
      <c r="B421" s="32">
        <f>6.2611 * CHOOSE(CONTROL!$C$32, $C$9, 100%, $E$9)</f>
        <v>6.2610999999999999</v>
      </c>
      <c r="C421" s="32">
        <f>6.2611 * CHOOSE(CONTROL!$C$32, $C$9, 100%, $E$9)</f>
        <v>6.2610999999999999</v>
      </c>
      <c r="D421" s="32">
        <f>6.2622 * CHOOSE(CONTROL!$C$32, $C$9, 100%, $E$9)</f>
        <v>6.2622</v>
      </c>
      <c r="E421" s="33">
        <f>7.0032 * CHOOSE(CONTROL!$C$32, $C$9, 100%, $E$9)</f>
        <v>7.0031999999999996</v>
      </c>
      <c r="F421" s="33">
        <f>7.0032 * CHOOSE(CONTROL!$C$32, $C$9, 100%, $E$9)</f>
        <v>7.0031999999999996</v>
      </c>
      <c r="G421" s="33">
        <f>7.0068 * CHOOSE(CONTROL!$C$32, $C$9, 100%, $E$9)</f>
        <v>7.0068000000000001</v>
      </c>
      <c r="H421" s="33">
        <f>13.5696 * CHOOSE(CONTROL!$C$32, $C$9, 100%, $E$9)</f>
        <v>13.569599999999999</v>
      </c>
      <c r="I421" s="33">
        <f>13.5733 * CHOOSE(CONTROL!$C$32, $C$9, 100%, $E$9)</f>
        <v>13.5733</v>
      </c>
      <c r="J421" s="33">
        <f>13.5696 * CHOOSE(CONTROL!$C$32, $C$9, 100%, $E$9)</f>
        <v>13.569599999999999</v>
      </c>
      <c r="K421" s="33">
        <f>13.5733 * CHOOSE(CONTROL!$C$32, $C$9, 100%, $E$9)</f>
        <v>13.5733</v>
      </c>
      <c r="L421" s="33">
        <f>7.0032 * CHOOSE(CONTROL!$C$32, $C$9, 100%, $E$9)</f>
        <v>7.0031999999999996</v>
      </c>
      <c r="M421" s="33">
        <f>7.0068 * CHOOSE(CONTROL!$C$32, $C$9, 100%, $E$9)</f>
        <v>7.0068000000000001</v>
      </c>
      <c r="N421" s="33">
        <f>7.0032 * CHOOSE(CONTROL!$C$32, $C$9, 100%, $E$9)</f>
        <v>7.0031999999999996</v>
      </c>
      <c r="O421" s="33">
        <f>7.0068 * CHOOSE(CONTROL!$C$32, $C$9, 100%, $E$9)</f>
        <v>7.0068000000000001</v>
      </c>
    </row>
    <row r="422" spans="1:15" ht="15" x14ac:dyDescent="0.2">
      <c r="A422" s="16">
        <v>54058</v>
      </c>
      <c r="B422" s="32">
        <f>6.3089 * CHOOSE(CONTROL!$C$32, $C$9, 100%, $E$9)</f>
        <v>6.3089000000000004</v>
      </c>
      <c r="C422" s="32">
        <f>6.3089 * CHOOSE(CONTROL!$C$32, $C$9, 100%, $E$9)</f>
        <v>6.3089000000000004</v>
      </c>
      <c r="D422" s="32">
        <f>6.3099 * CHOOSE(CONTROL!$C$32, $C$9, 100%, $E$9)</f>
        <v>6.3098999999999998</v>
      </c>
      <c r="E422" s="33">
        <f>7.1107 * CHOOSE(CONTROL!$C$32, $C$9, 100%, $E$9)</f>
        <v>7.1106999999999996</v>
      </c>
      <c r="F422" s="33">
        <f>7.1107 * CHOOSE(CONTROL!$C$32, $C$9, 100%, $E$9)</f>
        <v>7.1106999999999996</v>
      </c>
      <c r="G422" s="33">
        <f>7.1143 * CHOOSE(CONTROL!$C$32, $C$9, 100%, $E$9)</f>
        <v>7.1143000000000001</v>
      </c>
      <c r="H422" s="33">
        <f>13.5979 * CHOOSE(CONTROL!$C$32, $C$9, 100%, $E$9)</f>
        <v>13.597899999999999</v>
      </c>
      <c r="I422" s="33">
        <f>13.6015 * CHOOSE(CONTROL!$C$32, $C$9, 100%, $E$9)</f>
        <v>13.6015</v>
      </c>
      <c r="J422" s="33">
        <f>13.5979 * CHOOSE(CONTROL!$C$32, $C$9, 100%, $E$9)</f>
        <v>13.597899999999999</v>
      </c>
      <c r="K422" s="33">
        <f>13.6015 * CHOOSE(CONTROL!$C$32, $C$9, 100%, $E$9)</f>
        <v>13.6015</v>
      </c>
      <c r="L422" s="33">
        <f>7.1107 * CHOOSE(CONTROL!$C$32, $C$9, 100%, $E$9)</f>
        <v>7.1106999999999996</v>
      </c>
      <c r="M422" s="33">
        <f>7.1143 * CHOOSE(CONTROL!$C$32, $C$9, 100%, $E$9)</f>
        <v>7.1143000000000001</v>
      </c>
      <c r="N422" s="33">
        <f>7.1107 * CHOOSE(CONTROL!$C$32, $C$9, 100%, $E$9)</f>
        <v>7.1106999999999996</v>
      </c>
      <c r="O422" s="33">
        <f>7.1143 * CHOOSE(CONTROL!$C$32, $C$9, 100%, $E$9)</f>
        <v>7.1143000000000001</v>
      </c>
    </row>
    <row r="423" spans="1:15" ht="15" x14ac:dyDescent="0.2">
      <c r="A423" s="16">
        <v>54089</v>
      </c>
      <c r="B423" s="32">
        <f>6.3058 * CHOOSE(CONTROL!$C$32, $C$9, 100%, $E$9)</f>
        <v>6.3057999999999996</v>
      </c>
      <c r="C423" s="32">
        <f>6.3058 * CHOOSE(CONTROL!$C$32, $C$9, 100%, $E$9)</f>
        <v>6.3057999999999996</v>
      </c>
      <c r="D423" s="32">
        <f>6.3069 * CHOOSE(CONTROL!$C$32, $C$9, 100%, $E$9)</f>
        <v>6.3068999999999997</v>
      </c>
      <c r="E423" s="33">
        <f>6.96 * CHOOSE(CONTROL!$C$32, $C$9, 100%, $E$9)</f>
        <v>6.96</v>
      </c>
      <c r="F423" s="33">
        <f>6.96 * CHOOSE(CONTROL!$C$32, $C$9, 100%, $E$9)</f>
        <v>6.96</v>
      </c>
      <c r="G423" s="33">
        <f>6.9636 * CHOOSE(CONTROL!$C$32, $C$9, 100%, $E$9)</f>
        <v>6.9635999999999996</v>
      </c>
      <c r="H423" s="33">
        <f>13.6262 * CHOOSE(CONTROL!$C$32, $C$9, 100%, $E$9)</f>
        <v>13.626200000000001</v>
      </c>
      <c r="I423" s="33">
        <f>13.6299 * CHOOSE(CONTROL!$C$32, $C$9, 100%, $E$9)</f>
        <v>13.629899999999999</v>
      </c>
      <c r="J423" s="33">
        <f>13.6262 * CHOOSE(CONTROL!$C$32, $C$9, 100%, $E$9)</f>
        <v>13.626200000000001</v>
      </c>
      <c r="K423" s="33">
        <f>13.6299 * CHOOSE(CONTROL!$C$32, $C$9, 100%, $E$9)</f>
        <v>13.629899999999999</v>
      </c>
      <c r="L423" s="33">
        <f>6.96 * CHOOSE(CONTROL!$C$32, $C$9, 100%, $E$9)</f>
        <v>6.96</v>
      </c>
      <c r="M423" s="33">
        <f>6.9636 * CHOOSE(CONTROL!$C$32, $C$9, 100%, $E$9)</f>
        <v>6.9635999999999996</v>
      </c>
      <c r="N423" s="33">
        <f>6.96 * CHOOSE(CONTROL!$C$32, $C$9, 100%, $E$9)</f>
        <v>6.96</v>
      </c>
      <c r="O423" s="33">
        <f>6.9636 * CHOOSE(CONTROL!$C$32, $C$9, 100%, $E$9)</f>
        <v>6.9635999999999996</v>
      </c>
    </row>
    <row r="424" spans="1:15" ht="15" x14ac:dyDescent="0.2">
      <c r="A424" s="16">
        <v>54118</v>
      </c>
      <c r="B424" s="32">
        <f>6.3028 * CHOOSE(CONTROL!$C$32, $C$9, 100%, $E$9)</f>
        <v>6.3028000000000004</v>
      </c>
      <c r="C424" s="32">
        <f>6.3028 * CHOOSE(CONTROL!$C$32, $C$9, 100%, $E$9)</f>
        <v>6.3028000000000004</v>
      </c>
      <c r="D424" s="32">
        <f>6.3038 * CHOOSE(CONTROL!$C$32, $C$9, 100%, $E$9)</f>
        <v>6.3037999999999998</v>
      </c>
      <c r="E424" s="33">
        <f>7.075 * CHOOSE(CONTROL!$C$32, $C$9, 100%, $E$9)</f>
        <v>7.0750000000000002</v>
      </c>
      <c r="F424" s="33">
        <f>7.075 * CHOOSE(CONTROL!$C$32, $C$9, 100%, $E$9)</f>
        <v>7.0750000000000002</v>
      </c>
      <c r="G424" s="33">
        <f>7.0786 * CHOOSE(CONTROL!$C$32, $C$9, 100%, $E$9)</f>
        <v>7.0785999999999998</v>
      </c>
      <c r="H424" s="33">
        <f>13.6546 * CHOOSE(CONTROL!$C$32, $C$9, 100%, $E$9)</f>
        <v>13.6546</v>
      </c>
      <c r="I424" s="33">
        <f>13.6583 * CHOOSE(CONTROL!$C$32, $C$9, 100%, $E$9)</f>
        <v>13.658300000000001</v>
      </c>
      <c r="J424" s="33">
        <f>13.6546 * CHOOSE(CONTROL!$C$32, $C$9, 100%, $E$9)</f>
        <v>13.6546</v>
      </c>
      <c r="K424" s="33">
        <f>13.6583 * CHOOSE(CONTROL!$C$32, $C$9, 100%, $E$9)</f>
        <v>13.658300000000001</v>
      </c>
      <c r="L424" s="33">
        <f>7.075 * CHOOSE(CONTROL!$C$32, $C$9, 100%, $E$9)</f>
        <v>7.0750000000000002</v>
      </c>
      <c r="M424" s="33">
        <f>7.0786 * CHOOSE(CONTROL!$C$32, $C$9, 100%, $E$9)</f>
        <v>7.0785999999999998</v>
      </c>
      <c r="N424" s="33">
        <f>7.075 * CHOOSE(CONTROL!$C$32, $C$9, 100%, $E$9)</f>
        <v>7.0750000000000002</v>
      </c>
      <c r="O424" s="33">
        <f>7.0786 * CHOOSE(CONTROL!$C$32, $C$9, 100%, $E$9)</f>
        <v>7.0785999999999998</v>
      </c>
    </row>
    <row r="425" spans="1:15" ht="15" x14ac:dyDescent="0.2">
      <c r="A425" s="16">
        <v>54149</v>
      </c>
      <c r="B425" s="32">
        <f>6.3027 * CHOOSE(CONTROL!$C$32, $C$9, 100%, $E$9)</f>
        <v>6.3026999999999997</v>
      </c>
      <c r="C425" s="32">
        <f>6.3027 * CHOOSE(CONTROL!$C$32, $C$9, 100%, $E$9)</f>
        <v>6.3026999999999997</v>
      </c>
      <c r="D425" s="32">
        <f>6.3037 * CHOOSE(CONTROL!$C$32, $C$9, 100%, $E$9)</f>
        <v>6.3037000000000001</v>
      </c>
      <c r="E425" s="33">
        <f>7.1965 * CHOOSE(CONTROL!$C$32, $C$9, 100%, $E$9)</f>
        <v>7.1965000000000003</v>
      </c>
      <c r="F425" s="33">
        <f>7.1965 * CHOOSE(CONTROL!$C$32, $C$9, 100%, $E$9)</f>
        <v>7.1965000000000003</v>
      </c>
      <c r="G425" s="33">
        <f>7.2001 * CHOOSE(CONTROL!$C$32, $C$9, 100%, $E$9)</f>
        <v>7.2000999999999999</v>
      </c>
      <c r="H425" s="33">
        <f>13.6831 * CHOOSE(CONTROL!$C$32, $C$9, 100%, $E$9)</f>
        <v>13.6831</v>
      </c>
      <c r="I425" s="33">
        <f>13.6867 * CHOOSE(CONTROL!$C$32, $C$9, 100%, $E$9)</f>
        <v>13.6867</v>
      </c>
      <c r="J425" s="33">
        <f>13.6831 * CHOOSE(CONTROL!$C$32, $C$9, 100%, $E$9)</f>
        <v>13.6831</v>
      </c>
      <c r="K425" s="33">
        <f>13.6867 * CHOOSE(CONTROL!$C$32, $C$9, 100%, $E$9)</f>
        <v>13.6867</v>
      </c>
      <c r="L425" s="33">
        <f>7.1965 * CHOOSE(CONTROL!$C$32, $C$9, 100%, $E$9)</f>
        <v>7.1965000000000003</v>
      </c>
      <c r="M425" s="33">
        <f>7.2001 * CHOOSE(CONTROL!$C$32, $C$9, 100%, $E$9)</f>
        <v>7.2000999999999999</v>
      </c>
      <c r="N425" s="33">
        <f>7.1965 * CHOOSE(CONTROL!$C$32, $C$9, 100%, $E$9)</f>
        <v>7.1965000000000003</v>
      </c>
      <c r="O425" s="33">
        <f>7.2001 * CHOOSE(CONTROL!$C$32, $C$9, 100%, $E$9)</f>
        <v>7.2000999999999999</v>
      </c>
    </row>
    <row r="426" spans="1:15" ht="15" x14ac:dyDescent="0.2">
      <c r="A426" s="16">
        <v>54179</v>
      </c>
      <c r="B426" s="32">
        <f>6.3027 * CHOOSE(CONTROL!$C$32, $C$9, 100%, $E$9)</f>
        <v>6.3026999999999997</v>
      </c>
      <c r="C426" s="32">
        <f>6.3027 * CHOOSE(CONTROL!$C$32, $C$9, 100%, $E$9)</f>
        <v>6.3026999999999997</v>
      </c>
      <c r="D426" s="32">
        <f>6.3042 * CHOOSE(CONTROL!$C$32, $C$9, 100%, $E$9)</f>
        <v>6.3041999999999998</v>
      </c>
      <c r="E426" s="33">
        <f>7.2437 * CHOOSE(CONTROL!$C$32, $C$9, 100%, $E$9)</f>
        <v>7.2436999999999996</v>
      </c>
      <c r="F426" s="33">
        <f>7.2437 * CHOOSE(CONTROL!$C$32, $C$9, 100%, $E$9)</f>
        <v>7.2436999999999996</v>
      </c>
      <c r="G426" s="33">
        <f>7.249 * CHOOSE(CONTROL!$C$32, $C$9, 100%, $E$9)</f>
        <v>7.2489999999999997</v>
      </c>
      <c r="H426" s="33">
        <f>13.7116 * CHOOSE(CONTROL!$C$32, $C$9, 100%, $E$9)</f>
        <v>13.711600000000001</v>
      </c>
      <c r="I426" s="33">
        <f>13.7169 * CHOOSE(CONTROL!$C$32, $C$9, 100%, $E$9)</f>
        <v>13.716900000000001</v>
      </c>
      <c r="J426" s="33">
        <f>13.7116 * CHOOSE(CONTROL!$C$32, $C$9, 100%, $E$9)</f>
        <v>13.711600000000001</v>
      </c>
      <c r="K426" s="33">
        <f>13.7169 * CHOOSE(CONTROL!$C$32, $C$9, 100%, $E$9)</f>
        <v>13.716900000000001</v>
      </c>
      <c r="L426" s="33">
        <f>7.2437 * CHOOSE(CONTROL!$C$32, $C$9, 100%, $E$9)</f>
        <v>7.2436999999999996</v>
      </c>
      <c r="M426" s="33">
        <f>7.249 * CHOOSE(CONTROL!$C$32, $C$9, 100%, $E$9)</f>
        <v>7.2489999999999997</v>
      </c>
      <c r="N426" s="33">
        <f>7.2437 * CHOOSE(CONTROL!$C$32, $C$9, 100%, $E$9)</f>
        <v>7.2436999999999996</v>
      </c>
      <c r="O426" s="33">
        <f>7.249 * CHOOSE(CONTROL!$C$32, $C$9, 100%, $E$9)</f>
        <v>7.2489999999999997</v>
      </c>
    </row>
    <row r="427" spans="1:15" ht="15" x14ac:dyDescent="0.2">
      <c r="A427" s="16">
        <v>54210</v>
      </c>
      <c r="B427" s="32">
        <f>6.3087 * CHOOSE(CONTROL!$C$32, $C$9, 100%, $E$9)</f>
        <v>6.3087</v>
      </c>
      <c r="C427" s="32">
        <f>6.3087 * CHOOSE(CONTROL!$C$32, $C$9, 100%, $E$9)</f>
        <v>6.3087</v>
      </c>
      <c r="D427" s="32">
        <f>6.3103 * CHOOSE(CONTROL!$C$32, $C$9, 100%, $E$9)</f>
        <v>6.3102999999999998</v>
      </c>
      <c r="E427" s="33">
        <f>7.2008 * CHOOSE(CONTROL!$C$32, $C$9, 100%, $E$9)</f>
        <v>7.2008000000000001</v>
      </c>
      <c r="F427" s="33">
        <f>7.2008 * CHOOSE(CONTROL!$C$32, $C$9, 100%, $E$9)</f>
        <v>7.2008000000000001</v>
      </c>
      <c r="G427" s="33">
        <f>7.206 * CHOOSE(CONTROL!$C$32, $C$9, 100%, $E$9)</f>
        <v>7.2060000000000004</v>
      </c>
      <c r="H427" s="33">
        <f>13.7402 * CHOOSE(CONTROL!$C$32, $C$9, 100%, $E$9)</f>
        <v>13.7402</v>
      </c>
      <c r="I427" s="33">
        <f>13.7454 * CHOOSE(CONTROL!$C$32, $C$9, 100%, $E$9)</f>
        <v>13.7454</v>
      </c>
      <c r="J427" s="33">
        <f>13.7402 * CHOOSE(CONTROL!$C$32, $C$9, 100%, $E$9)</f>
        <v>13.7402</v>
      </c>
      <c r="K427" s="33">
        <f>13.7454 * CHOOSE(CONTROL!$C$32, $C$9, 100%, $E$9)</f>
        <v>13.7454</v>
      </c>
      <c r="L427" s="33">
        <f>7.2008 * CHOOSE(CONTROL!$C$32, $C$9, 100%, $E$9)</f>
        <v>7.2008000000000001</v>
      </c>
      <c r="M427" s="33">
        <f>7.206 * CHOOSE(CONTROL!$C$32, $C$9, 100%, $E$9)</f>
        <v>7.2060000000000004</v>
      </c>
      <c r="N427" s="33">
        <f>7.2008 * CHOOSE(CONTROL!$C$32, $C$9, 100%, $E$9)</f>
        <v>7.2008000000000001</v>
      </c>
      <c r="O427" s="33">
        <f>7.206 * CHOOSE(CONTROL!$C$32, $C$9, 100%, $E$9)</f>
        <v>7.2060000000000004</v>
      </c>
    </row>
    <row r="428" spans="1:15" ht="15" x14ac:dyDescent="0.2">
      <c r="A428" s="16">
        <v>54240</v>
      </c>
      <c r="B428" s="32">
        <f>6.3926 * CHOOSE(CONTROL!$C$32, $C$9, 100%, $E$9)</f>
        <v>6.3925999999999998</v>
      </c>
      <c r="C428" s="32">
        <f>6.3926 * CHOOSE(CONTROL!$C$32, $C$9, 100%, $E$9)</f>
        <v>6.3925999999999998</v>
      </c>
      <c r="D428" s="32">
        <f>6.3942 * CHOOSE(CONTROL!$C$32, $C$9, 100%, $E$9)</f>
        <v>6.3941999999999997</v>
      </c>
      <c r="E428" s="33">
        <f>7.2866 * CHOOSE(CONTROL!$C$32, $C$9, 100%, $E$9)</f>
        <v>7.2866</v>
      </c>
      <c r="F428" s="33">
        <f>7.2866 * CHOOSE(CONTROL!$C$32, $C$9, 100%, $E$9)</f>
        <v>7.2866</v>
      </c>
      <c r="G428" s="33">
        <f>7.2919 * CHOOSE(CONTROL!$C$32, $C$9, 100%, $E$9)</f>
        <v>7.2919</v>
      </c>
      <c r="H428" s="33">
        <f>13.7688 * CHOOSE(CONTROL!$C$32, $C$9, 100%, $E$9)</f>
        <v>13.768800000000001</v>
      </c>
      <c r="I428" s="33">
        <f>13.7741 * CHOOSE(CONTROL!$C$32, $C$9, 100%, $E$9)</f>
        <v>13.774100000000001</v>
      </c>
      <c r="J428" s="33">
        <f>13.7688 * CHOOSE(CONTROL!$C$32, $C$9, 100%, $E$9)</f>
        <v>13.768800000000001</v>
      </c>
      <c r="K428" s="33">
        <f>13.7741 * CHOOSE(CONTROL!$C$32, $C$9, 100%, $E$9)</f>
        <v>13.774100000000001</v>
      </c>
      <c r="L428" s="33">
        <f>7.2866 * CHOOSE(CONTROL!$C$32, $C$9, 100%, $E$9)</f>
        <v>7.2866</v>
      </c>
      <c r="M428" s="33">
        <f>7.2919 * CHOOSE(CONTROL!$C$32, $C$9, 100%, $E$9)</f>
        <v>7.2919</v>
      </c>
      <c r="N428" s="33">
        <f>7.2866 * CHOOSE(CONTROL!$C$32, $C$9, 100%, $E$9)</f>
        <v>7.2866</v>
      </c>
      <c r="O428" s="33">
        <f>7.2919 * CHOOSE(CONTROL!$C$32, $C$9, 100%, $E$9)</f>
        <v>7.2919</v>
      </c>
    </row>
    <row r="429" spans="1:15" ht="15" x14ac:dyDescent="0.2">
      <c r="A429" s="16">
        <v>54271</v>
      </c>
      <c r="B429" s="32">
        <f>6.3993 * CHOOSE(CONTROL!$C$32, $C$9, 100%, $E$9)</f>
        <v>6.3993000000000002</v>
      </c>
      <c r="C429" s="32">
        <f>6.3993 * CHOOSE(CONTROL!$C$32, $C$9, 100%, $E$9)</f>
        <v>6.3993000000000002</v>
      </c>
      <c r="D429" s="32">
        <f>6.4009 * CHOOSE(CONTROL!$C$32, $C$9, 100%, $E$9)</f>
        <v>6.4009</v>
      </c>
      <c r="E429" s="33">
        <f>7.1497 * CHOOSE(CONTROL!$C$32, $C$9, 100%, $E$9)</f>
        <v>7.1497000000000002</v>
      </c>
      <c r="F429" s="33">
        <f>7.1497 * CHOOSE(CONTROL!$C$32, $C$9, 100%, $E$9)</f>
        <v>7.1497000000000002</v>
      </c>
      <c r="G429" s="33">
        <f>7.155 * CHOOSE(CONTROL!$C$32, $C$9, 100%, $E$9)</f>
        <v>7.1550000000000002</v>
      </c>
      <c r="H429" s="33">
        <f>13.7975 * CHOOSE(CONTROL!$C$32, $C$9, 100%, $E$9)</f>
        <v>13.797499999999999</v>
      </c>
      <c r="I429" s="33">
        <f>13.8028 * CHOOSE(CONTROL!$C$32, $C$9, 100%, $E$9)</f>
        <v>13.8028</v>
      </c>
      <c r="J429" s="33">
        <f>13.7975 * CHOOSE(CONTROL!$C$32, $C$9, 100%, $E$9)</f>
        <v>13.797499999999999</v>
      </c>
      <c r="K429" s="33">
        <f>13.8028 * CHOOSE(CONTROL!$C$32, $C$9, 100%, $E$9)</f>
        <v>13.8028</v>
      </c>
      <c r="L429" s="33">
        <f>7.1497 * CHOOSE(CONTROL!$C$32, $C$9, 100%, $E$9)</f>
        <v>7.1497000000000002</v>
      </c>
      <c r="M429" s="33">
        <f>7.155 * CHOOSE(CONTROL!$C$32, $C$9, 100%, $E$9)</f>
        <v>7.1550000000000002</v>
      </c>
      <c r="N429" s="33">
        <f>7.1497 * CHOOSE(CONTROL!$C$32, $C$9, 100%, $E$9)</f>
        <v>7.1497000000000002</v>
      </c>
      <c r="O429" s="33">
        <f>7.155 * CHOOSE(CONTROL!$C$32, $C$9, 100%, $E$9)</f>
        <v>7.1550000000000002</v>
      </c>
    </row>
    <row r="430" spans="1:15" ht="15" x14ac:dyDescent="0.2">
      <c r="A430" s="16">
        <v>54302</v>
      </c>
      <c r="B430" s="32">
        <f>6.3963 * CHOOSE(CONTROL!$C$32, $C$9, 100%, $E$9)</f>
        <v>6.3963000000000001</v>
      </c>
      <c r="C430" s="32">
        <f>6.3963 * CHOOSE(CONTROL!$C$32, $C$9, 100%, $E$9)</f>
        <v>6.3963000000000001</v>
      </c>
      <c r="D430" s="32">
        <f>6.3978 * CHOOSE(CONTROL!$C$32, $C$9, 100%, $E$9)</f>
        <v>6.3978000000000002</v>
      </c>
      <c r="E430" s="33">
        <f>7.1319 * CHOOSE(CONTROL!$C$32, $C$9, 100%, $E$9)</f>
        <v>7.1318999999999999</v>
      </c>
      <c r="F430" s="33">
        <f>7.1319 * CHOOSE(CONTROL!$C$32, $C$9, 100%, $E$9)</f>
        <v>7.1318999999999999</v>
      </c>
      <c r="G430" s="33">
        <f>7.1372 * CHOOSE(CONTROL!$C$32, $C$9, 100%, $E$9)</f>
        <v>7.1372</v>
      </c>
      <c r="H430" s="33">
        <f>13.8262 * CHOOSE(CONTROL!$C$32, $C$9, 100%, $E$9)</f>
        <v>13.8262</v>
      </c>
      <c r="I430" s="33">
        <f>13.8315 * CHOOSE(CONTROL!$C$32, $C$9, 100%, $E$9)</f>
        <v>13.8315</v>
      </c>
      <c r="J430" s="33">
        <f>13.8262 * CHOOSE(CONTROL!$C$32, $C$9, 100%, $E$9)</f>
        <v>13.8262</v>
      </c>
      <c r="K430" s="33">
        <f>13.8315 * CHOOSE(CONTROL!$C$32, $C$9, 100%, $E$9)</f>
        <v>13.8315</v>
      </c>
      <c r="L430" s="33">
        <f>7.1319 * CHOOSE(CONTROL!$C$32, $C$9, 100%, $E$9)</f>
        <v>7.1318999999999999</v>
      </c>
      <c r="M430" s="33">
        <f>7.1372 * CHOOSE(CONTROL!$C$32, $C$9, 100%, $E$9)</f>
        <v>7.1372</v>
      </c>
      <c r="N430" s="33">
        <f>7.1319 * CHOOSE(CONTROL!$C$32, $C$9, 100%, $E$9)</f>
        <v>7.1318999999999999</v>
      </c>
      <c r="O430" s="33">
        <f>7.1372 * CHOOSE(CONTROL!$C$32, $C$9, 100%, $E$9)</f>
        <v>7.1372</v>
      </c>
    </row>
    <row r="431" spans="1:15" ht="15" x14ac:dyDescent="0.2">
      <c r="A431" s="16">
        <v>54332</v>
      </c>
      <c r="B431" s="32">
        <f>6.4002 * CHOOSE(CONTROL!$C$32, $C$9, 100%, $E$9)</f>
        <v>6.4001999999999999</v>
      </c>
      <c r="C431" s="32">
        <f>6.4002 * CHOOSE(CONTROL!$C$32, $C$9, 100%, $E$9)</f>
        <v>6.4001999999999999</v>
      </c>
      <c r="D431" s="32">
        <f>6.4013 * CHOOSE(CONTROL!$C$32, $C$9, 100%, $E$9)</f>
        <v>6.4013</v>
      </c>
      <c r="E431" s="33">
        <f>7.1814 * CHOOSE(CONTROL!$C$32, $C$9, 100%, $E$9)</f>
        <v>7.1814</v>
      </c>
      <c r="F431" s="33">
        <f>7.1814 * CHOOSE(CONTROL!$C$32, $C$9, 100%, $E$9)</f>
        <v>7.1814</v>
      </c>
      <c r="G431" s="33">
        <f>7.185 * CHOOSE(CONTROL!$C$32, $C$9, 100%, $E$9)</f>
        <v>7.1849999999999996</v>
      </c>
      <c r="H431" s="33">
        <f>13.855 * CHOOSE(CONTROL!$C$32, $C$9, 100%, $E$9)</f>
        <v>13.855</v>
      </c>
      <c r="I431" s="33">
        <f>13.8586 * CHOOSE(CONTROL!$C$32, $C$9, 100%, $E$9)</f>
        <v>13.858599999999999</v>
      </c>
      <c r="J431" s="33">
        <f>13.855 * CHOOSE(CONTROL!$C$32, $C$9, 100%, $E$9)</f>
        <v>13.855</v>
      </c>
      <c r="K431" s="33">
        <f>13.8586 * CHOOSE(CONTROL!$C$32, $C$9, 100%, $E$9)</f>
        <v>13.858599999999999</v>
      </c>
      <c r="L431" s="33">
        <f>7.1814 * CHOOSE(CONTROL!$C$32, $C$9, 100%, $E$9)</f>
        <v>7.1814</v>
      </c>
      <c r="M431" s="33">
        <f>7.185 * CHOOSE(CONTROL!$C$32, $C$9, 100%, $E$9)</f>
        <v>7.1849999999999996</v>
      </c>
      <c r="N431" s="33">
        <f>7.1814 * CHOOSE(CONTROL!$C$32, $C$9, 100%, $E$9)</f>
        <v>7.1814</v>
      </c>
      <c r="O431" s="33">
        <f>7.185 * CHOOSE(CONTROL!$C$32, $C$9, 100%, $E$9)</f>
        <v>7.1849999999999996</v>
      </c>
    </row>
    <row r="432" spans="1:15" ht="15" x14ac:dyDescent="0.2">
      <c r="A432" s="16">
        <v>54363</v>
      </c>
      <c r="B432" s="32">
        <f>6.4033 * CHOOSE(CONTROL!$C$32, $C$9, 100%, $E$9)</f>
        <v>6.4032999999999998</v>
      </c>
      <c r="C432" s="32">
        <f>6.4033 * CHOOSE(CONTROL!$C$32, $C$9, 100%, $E$9)</f>
        <v>6.4032999999999998</v>
      </c>
      <c r="D432" s="32">
        <f>6.4043 * CHOOSE(CONTROL!$C$32, $C$9, 100%, $E$9)</f>
        <v>6.4043000000000001</v>
      </c>
      <c r="E432" s="33">
        <f>7.2149 * CHOOSE(CONTROL!$C$32, $C$9, 100%, $E$9)</f>
        <v>7.2149000000000001</v>
      </c>
      <c r="F432" s="33">
        <f>7.2149 * CHOOSE(CONTROL!$C$32, $C$9, 100%, $E$9)</f>
        <v>7.2149000000000001</v>
      </c>
      <c r="G432" s="33">
        <f>7.2185 * CHOOSE(CONTROL!$C$32, $C$9, 100%, $E$9)</f>
        <v>7.2184999999999997</v>
      </c>
      <c r="H432" s="33">
        <f>13.8839 * CHOOSE(CONTROL!$C$32, $C$9, 100%, $E$9)</f>
        <v>13.883900000000001</v>
      </c>
      <c r="I432" s="33">
        <f>13.8875 * CHOOSE(CONTROL!$C$32, $C$9, 100%, $E$9)</f>
        <v>13.887499999999999</v>
      </c>
      <c r="J432" s="33">
        <f>13.8839 * CHOOSE(CONTROL!$C$32, $C$9, 100%, $E$9)</f>
        <v>13.883900000000001</v>
      </c>
      <c r="K432" s="33">
        <f>13.8875 * CHOOSE(CONTROL!$C$32, $C$9, 100%, $E$9)</f>
        <v>13.887499999999999</v>
      </c>
      <c r="L432" s="33">
        <f>7.2149 * CHOOSE(CONTROL!$C$32, $C$9, 100%, $E$9)</f>
        <v>7.2149000000000001</v>
      </c>
      <c r="M432" s="33">
        <f>7.2185 * CHOOSE(CONTROL!$C$32, $C$9, 100%, $E$9)</f>
        <v>7.2184999999999997</v>
      </c>
      <c r="N432" s="33">
        <f>7.2149 * CHOOSE(CONTROL!$C$32, $C$9, 100%, $E$9)</f>
        <v>7.2149000000000001</v>
      </c>
      <c r="O432" s="33">
        <f>7.2185 * CHOOSE(CONTROL!$C$32, $C$9, 100%, $E$9)</f>
        <v>7.2184999999999997</v>
      </c>
    </row>
    <row r="433" spans="1:15" ht="15" x14ac:dyDescent="0.2">
      <c r="A433" s="16">
        <v>54393</v>
      </c>
      <c r="B433" s="32">
        <f>6.4033 * CHOOSE(CONTROL!$C$32, $C$9, 100%, $E$9)</f>
        <v>6.4032999999999998</v>
      </c>
      <c r="C433" s="32">
        <f>6.4033 * CHOOSE(CONTROL!$C$32, $C$9, 100%, $E$9)</f>
        <v>6.4032999999999998</v>
      </c>
      <c r="D433" s="32">
        <f>6.4043 * CHOOSE(CONTROL!$C$32, $C$9, 100%, $E$9)</f>
        <v>6.4043000000000001</v>
      </c>
      <c r="E433" s="33">
        <f>7.1363 * CHOOSE(CONTROL!$C$32, $C$9, 100%, $E$9)</f>
        <v>7.1363000000000003</v>
      </c>
      <c r="F433" s="33">
        <f>7.1363 * CHOOSE(CONTROL!$C$32, $C$9, 100%, $E$9)</f>
        <v>7.1363000000000003</v>
      </c>
      <c r="G433" s="33">
        <f>7.1399 * CHOOSE(CONTROL!$C$32, $C$9, 100%, $E$9)</f>
        <v>7.1398999999999999</v>
      </c>
      <c r="H433" s="33">
        <f>13.9128 * CHOOSE(CONTROL!$C$32, $C$9, 100%, $E$9)</f>
        <v>13.912800000000001</v>
      </c>
      <c r="I433" s="33">
        <f>13.9164 * CHOOSE(CONTROL!$C$32, $C$9, 100%, $E$9)</f>
        <v>13.916399999999999</v>
      </c>
      <c r="J433" s="33">
        <f>13.9128 * CHOOSE(CONTROL!$C$32, $C$9, 100%, $E$9)</f>
        <v>13.912800000000001</v>
      </c>
      <c r="K433" s="33">
        <f>13.9164 * CHOOSE(CONTROL!$C$32, $C$9, 100%, $E$9)</f>
        <v>13.916399999999999</v>
      </c>
      <c r="L433" s="33">
        <f>7.1363 * CHOOSE(CONTROL!$C$32, $C$9, 100%, $E$9)</f>
        <v>7.1363000000000003</v>
      </c>
      <c r="M433" s="33">
        <f>7.1399 * CHOOSE(CONTROL!$C$32, $C$9, 100%, $E$9)</f>
        <v>7.1398999999999999</v>
      </c>
      <c r="N433" s="33">
        <f>7.1363 * CHOOSE(CONTROL!$C$32, $C$9, 100%, $E$9)</f>
        <v>7.1363000000000003</v>
      </c>
      <c r="O433" s="33">
        <f>7.1399 * CHOOSE(CONTROL!$C$32, $C$9, 100%, $E$9)</f>
        <v>7.1398999999999999</v>
      </c>
    </row>
    <row r="434" spans="1:15" ht="15" x14ac:dyDescent="0.2">
      <c r="A434" s="16">
        <v>54424</v>
      </c>
      <c r="B434" s="32">
        <f>6.4519 * CHOOSE(CONTROL!$C$32, $C$9, 100%, $E$9)</f>
        <v>6.4519000000000002</v>
      </c>
      <c r="C434" s="32">
        <f>6.4519 * CHOOSE(CONTROL!$C$32, $C$9, 100%, $E$9)</f>
        <v>6.4519000000000002</v>
      </c>
      <c r="D434" s="32">
        <f>6.453 * CHOOSE(CONTROL!$C$32, $C$9, 100%, $E$9)</f>
        <v>6.4530000000000003</v>
      </c>
      <c r="E434" s="33">
        <f>7.2513 * CHOOSE(CONTROL!$C$32, $C$9, 100%, $E$9)</f>
        <v>7.2512999999999996</v>
      </c>
      <c r="F434" s="33">
        <f>7.2513 * CHOOSE(CONTROL!$C$32, $C$9, 100%, $E$9)</f>
        <v>7.2512999999999996</v>
      </c>
      <c r="G434" s="33">
        <f>7.2549 * CHOOSE(CONTROL!$C$32, $C$9, 100%, $E$9)</f>
        <v>7.2549000000000001</v>
      </c>
      <c r="H434" s="33">
        <f>13.9418 * CHOOSE(CONTROL!$C$32, $C$9, 100%, $E$9)</f>
        <v>13.941800000000001</v>
      </c>
      <c r="I434" s="33">
        <f>13.9454 * CHOOSE(CONTROL!$C$32, $C$9, 100%, $E$9)</f>
        <v>13.945399999999999</v>
      </c>
      <c r="J434" s="33">
        <f>13.9418 * CHOOSE(CONTROL!$C$32, $C$9, 100%, $E$9)</f>
        <v>13.941800000000001</v>
      </c>
      <c r="K434" s="33">
        <f>13.9454 * CHOOSE(CONTROL!$C$32, $C$9, 100%, $E$9)</f>
        <v>13.945399999999999</v>
      </c>
      <c r="L434" s="33">
        <f>7.2513 * CHOOSE(CONTROL!$C$32, $C$9, 100%, $E$9)</f>
        <v>7.2512999999999996</v>
      </c>
      <c r="M434" s="33">
        <f>7.2549 * CHOOSE(CONTROL!$C$32, $C$9, 100%, $E$9)</f>
        <v>7.2549000000000001</v>
      </c>
      <c r="N434" s="33">
        <f>7.2513 * CHOOSE(CONTROL!$C$32, $C$9, 100%, $E$9)</f>
        <v>7.2512999999999996</v>
      </c>
      <c r="O434" s="33">
        <f>7.2549 * CHOOSE(CONTROL!$C$32, $C$9, 100%, $E$9)</f>
        <v>7.2549000000000001</v>
      </c>
    </row>
    <row r="435" spans="1:15" ht="15" x14ac:dyDescent="0.2">
      <c r="A435" s="16">
        <v>54455</v>
      </c>
      <c r="B435" s="32">
        <f>6.4489 * CHOOSE(CONTROL!$C$32, $C$9, 100%, $E$9)</f>
        <v>6.4489000000000001</v>
      </c>
      <c r="C435" s="32">
        <f>6.4489 * CHOOSE(CONTROL!$C$32, $C$9, 100%, $E$9)</f>
        <v>6.4489000000000001</v>
      </c>
      <c r="D435" s="32">
        <f>6.45 * CHOOSE(CONTROL!$C$32, $C$9, 100%, $E$9)</f>
        <v>6.45</v>
      </c>
      <c r="E435" s="33">
        <f>7.0958 * CHOOSE(CONTROL!$C$32, $C$9, 100%, $E$9)</f>
        <v>7.0957999999999997</v>
      </c>
      <c r="F435" s="33">
        <f>7.0958 * CHOOSE(CONTROL!$C$32, $C$9, 100%, $E$9)</f>
        <v>7.0957999999999997</v>
      </c>
      <c r="G435" s="33">
        <f>7.0994 * CHOOSE(CONTROL!$C$32, $C$9, 100%, $E$9)</f>
        <v>7.0994000000000002</v>
      </c>
      <c r="H435" s="33">
        <f>13.9708 * CHOOSE(CONTROL!$C$32, $C$9, 100%, $E$9)</f>
        <v>13.970800000000001</v>
      </c>
      <c r="I435" s="33">
        <f>13.9744 * CHOOSE(CONTROL!$C$32, $C$9, 100%, $E$9)</f>
        <v>13.974399999999999</v>
      </c>
      <c r="J435" s="33">
        <f>13.9708 * CHOOSE(CONTROL!$C$32, $C$9, 100%, $E$9)</f>
        <v>13.970800000000001</v>
      </c>
      <c r="K435" s="33">
        <f>13.9744 * CHOOSE(CONTROL!$C$32, $C$9, 100%, $E$9)</f>
        <v>13.974399999999999</v>
      </c>
      <c r="L435" s="33">
        <f>7.0958 * CHOOSE(CONTROL!$C$32, $C$9, 100%, $E$9)</f>
        <v>7.0957999999999997</v>
      </c>
      <c r="M435" s="33">
        <f>7.0994 * CHOOSE(CONTROL!$C$32, $C$9, 100%, $E$9)</f>
        <v>7.0994000000000002</v>
      </c>
      <c r="N435" s="33">
        <f>7.0958 * CHOOSE(CONTROL!$C$32, $C$9, 100%, $E$9)</f>
        <v>7.0957999999999997</v>
      </c>
      <c r="O435" s="33">
        <f>7.0994 * CHOOSE(CONTROL!$C$32, $C$9, 100%, $E$9)</f>
        <v>7.0994000000000002</v>
      </c>
    </row>
    <row r="436" spans="1:15" ht="15" x14ac:dyDescent="0.2">
      <c r="A436" s="16">
        <v>54483</v>
      </c>
      <c r="B436" s="32">
        <f>6.4459 * CHOOSE(CONTROL!$C$32, $C$9, 100%, $E$9)</f>
        <v>6.4459</v>
      </c>
      <c r="C436" s="32">
        <f>6.4459 * CHOOSE(CONTROL!$C$32, $C$9, 100%, $E$9)</f>
        <v>6.4459</v>
      </c>
      <c r="D436" s="32">
        <f>6.4469 * CHOOSE(CONTROL!$C$32, $C$9, 100%, $E$9)</f>
        <v>6.4469000000000003</v>
      </c>
      <c r="E436" s="33">
        <f>7.2146 * CHOOSE(CONTROL!$C$32, $C$9, 100%, $E$9)</f>
        <v>7.2145999999999999</v>
      </c>
      <c r="F436" s="33">
        <f>7.2146 * CHOOSE(CONTROL!$C$32, $C$9, 100%, $E$9)</f>
        <v>7.2145999999999999</v>
      </c>
      <c r="G436" s="33">
        <f>7.2182 * CHOOSE(CONTROL!$C$32, $C$9, 100%, $E$9)</f>
        <v>7.2182000000000004</v>
      </c>
      <c r="H436" s="33">
        <f>13.9999 * CHOOSE(CONTROL!$C$32, $C$9, 100%, $E$9)</f>
        <v>13.9999</v>
      </c>
      <c r="I436" s="33">
        <f>14.0036 * CHOOSE(CONTROL!$C$32, $C$9, 100%, $E$9)</f>
        <v>14.0036</v>
      </c>
      <c r="J436" s="33">
        <f>13.9999 * CHOOSE(CONTROL!$C$32, $C$9, 100%, $E$9)</f>
        <v>13.9999</v>
      </c>
      <c r="K436" s="33">
        <f>14.0036 * CHOOSE(CONTROL!$C$32, $C$9, 100%, $E$9)</f>
        <v>14.0036</v>
      </c>
      <c r="L436" s="33">
        <f>7.2146 * CHOOSE(CONTROL!$C$32, $C$9, 100%, $E$9)</f>
        <v>7.2145999999999999</v>
      </c>
      <c r="M436" s="33">
        <f>7.2182 * CHOOSE(CONTROL!$C$32, $C$9, 100%, $E$9)</f>
        <v>7.2182000000000004</v>
      </c>
      <c r="N436" s="33">
        <f>7.2146 * CHOOSE(CONTROL!$C$32, $C$9, 100%, $E$9)</f>
        <v>7.2145999999999999</v>
      </c>
      <c r="O436" s="33">
        <f>7.2182 * CHOOSE(CONTROL!$C$32, $C$9, 100%, $E$9)</f>
        <v>7.2182000000000004</v>
      </c>
    </row>
    <row r="437" spans="1:15" ht="15" x14ac:dyDescent="0.2">
      <c r="A437" s="16">
        <v>54514</v>
      </c>
      <c r="B437" s="32">
        <f>6.4459 * CHOOSE(CONTROL!$C$32, $C$9, 100%, $E$9)</f>
        <v>6.4459</v>
      </c>
      <c r="C437" s="32">
        <f>6.4459 * CHOOSE(CONTROL!$C$32, $C$9, 100%, $E$9)</f>
        <v>6.4459</v>
      </c>
      <c r="D437" s="32">
        <f>6.447 * CHOOSE(CONTROL!$C$32, $C$9, 100%, $E$9)</f>
        <v>6.4470000000000001</v>
      </c>
      <c r="E437" s="33">
        <f>7.3402 * CHOOSE(CONTROL!$C$32, $C$9, 100%, $E$9)</f>
        <v>7.3402000000000003</v>
      </c>
      <c r="F437" s="33">
        <f>7.3402 * CHOOSE(CONTROL!$C$32, $C$9, 100%, $E$9)</f>
        <v>7.3402000000000003</v>
      </c>
      <c r="G437" s="33">
        <f>7.3438 * CHOOSE(CONTROL!$C$32, $C$9, 100%, $E$9)</f>
        <v>7.3437999999999999</v>
      </c>
      <c r="H437" s="33">
        <f>14.0291 * CHOOSE(CONTROL!$C$32, $C$9, 100%, $E$9)</f>
        <v>14.0291</v>
      </c>
      <c r="I437" s="33">
        <f>14.0327 * CHOOSE(CONTROL!$C$32, $C$9, 100%, $E$9)</f>
        <v>14.0327</v>
      </c>
      <c r="J437" s="33">
        <f>14.0291 * CHOOSE(CONTROL!$C$32, $C$9, 100%, $E$9)</f>
        <v>14.0291</v>
      </c>
      <c r="K437" s="33">
        <f>14.0327 * CHOOSE(CONTROL!$C$32, $C$9, 100%, $E$9)</f>
        <v>14.0327</v>
      </c>
      <c r="L437" s="33">
        <f>7.3402 * CHOOSE(CONTROL!$C$32, $C$9, 100%, $E$9)</f>
        <v>7.3402000000000003</v>
      </c>
      <c r="M437" s="33">
        <f>7.3438 * CHOOSE(CONTROL!$C$32, $C$9, 100%, $E$9)</f>
        <v>7.3437999999999999</v>
      </c>
      <c r="N437" s="33">
        <f>7.3402 * CHOOSE(CONTROL!$C$32, $C$9, 100%, $E$9)</f>
        <v>7.3402000000000003</v>
      </c>
      <c r="O437" s="33">
        <f>7.3438 * CHOOSE(CONTROL!$C$32, $C$9, 100%, $E$9)</f>
        <v>7.3437999999999999</v>
      </c>
    </row>
    <row r="438" spans="1:15" ht="15" x14ac:dyDescent="0.2">
      <c r="A438" s="16">
        <v>54544</v>
      </c>
      <c r="B438" s="32">
        <f>6.4459 * CHOOSE(CONTROL!$C$32, $C$9, 100%, $E$9)</f>
        <v>6.4459</v>
      </c>
      <c r="C438" s="32">
        <f>6.4459 * CHOOSE(CONTROL!$C$32, $C$9, 100%, $E$9)</f>
        <v>6.4459</v>
      </c>
      <c r="D438" s="32">
        <f>6.4475 * CHOOSE(CONTROL!$C$32, $C$9, 100%, $E$9)</f>
        <v>6.4474999999999998</v>
      </c>
      <c r="E438" s="33">
        <f>7.3889 * CHOOSE(CONTROL!$C$32, $C$9, 100%, $E$9)</f>
        <v>7.3888999999999996</v>
      </c>
      <c r="F438" s="33">
        <f>7.3889 * CHOOSE(CONTROL!$C$32, $C$9, 100%, $E$9)</f>
        <v>7.3888999999999996</v>
      </c>
      <c r="G438" s="33">
        <f>7.3942 * CHOOSE(CONTROL!$C$32, $C$9, 100%, $E$9)</f>
        <v>7.3941999999999997</v>
      </c>
      <c r="H438" s="33">
        <f>14.0583 * CHOOSE(CONTROL!$C$32, $C$9, 100%, $E$9)</f>
        <v>14.058299999999999</v>
      </c>
      <c r="I438" s="33">
        <f>14.0636 * CHOOSE(CONTROL!$C$32, $C$9, 100%, $E$9)</f>
        <v>14.063599999999999</v>
      </c>
      <c r="J438" s="33">
        <f>14.0583 * CHOOSE(CONTROL!$C$32, $C$9, 100%, $E$9)</f>
        <v>14.058299999999999</v>
      </c>
      <c r="K438" s="33">
        <f>14.0636 * CHOOSE(CONTROL!$C$32, $C$9, 100%, $E$9)</f>
        <v>14.063599999999999</v>
      </c>
      <c r="L438" s="33">
        <f>7.3889 * CHOOSE(CONTROL!$C$32, $C$9, 100%, $E$9)</f>
        <v>7.3888999999999996</v>
      </c>
      <c r="M438" s="33">
        <f>7.3942 * CHOOSE(CONTROL!$C$32, $C$9, 100%, $E$9)</f>
        <v>7.3941999999999997</v>
      </c>
      <c r="N438" s="33">
        <f>7.3889 * CHOOSE(CONTROL!$C$32, $C$9, 100%, $E$9)</f>
        <v>7.3888999999999996</v>
      </c>
      <c r="O438" s="33">
        <f>7.3942 * CHOOSE(CONTROL!$C$32, $C$9, 100%, $E$9)</f>
        <v>7.3941999999999997</v>
      </c>
    </row>
    <row r="439" spans="1:15" ht="15" x14ac:dyDescent="0.2">
      <c r="A439" s="16">
        <v>54575</v>
      </c>
      <c r="B439" s="32">
        <f>6.452 * CHOOSE(CONTROL!$C$32, $C$9, 100%, $E$9)</f>
        <v>6.452</v>
      </c>
      <c r="C439" s="32">
        <f>6.452 * CHOOSE(CONTROL!$C$32, $C$9, 100%, $E$9)</f>
        <v>6.452</v>
      </c>
      <c r="D439" s="32">
        <f>6.4535 * CHOOSE(CONTROL!$C$32, $C$9, 100%, $E$9)</f>
        <v>6.4535</v>
      </c>
      <c r="E439" s="33">
        <f>7.3444 * CHOOSE(CONTROL!$C$32, $C$9, 100%, $E$9)</f>
        <v>7.3444000000000003</v>
      </c>
      <c r="F439" s="33">
        <f>7.3444 * CHOOSE(CONTROL!$C$32, $C$9, 100%, $E$9)</f>
        <v>7.3444000000000003</v>
      </c>
      <c r="G439" s="33">
        <f>7.3497 * CHOOSE(CONTROL!$C$32, $C$9, 100%, $E$9)</f>
        <v>7.3497000000000003</v>
      </c>
      <c r="H439" s="33">
        <f>14.0876 * CHOOSE(CONTROL!$C$32, $C$9, 100%, $E$9)</f>
        <v>14.0876</v>
      </c>
      <c r="I439" s="33">
        <f>14.0929 * CHOOSE(CONTROL!$C$32, $C$9, 100%, $E$9)</f>
        <v>14.0929</v>
      </c>
      <c r="J439" s="33">
        <f>14.0876 * CHOOSE(CONTROL!$C$32, $C$9, 100%, $E$9)</f>
        <v>14.0876</v>
      </c>
      <c r="K439" s="33">
        <f>14.0929 * CHOOSE(CONTROL!$C$32, $C$9, 100%, $E$9)</f>
        <v>14.0929</v>
      </c>
      <c r="L439" s="33">
        <f>7.3444 * CHOOSE(CONTROL!$C$32, $C$9, 100%, $E$9)</f>
        <v>7.3444000000000003</v>
      </c>
      <c r="M439" s="33">
        <f>7.3497 * CHOOSE(CONTROL!$C$32, $C$9, 100%, $E$9)</f>
        <v>7.3497000000000003</v>
      </c>
      <c r="N439" s="33">
        <f>7.3444 * CHOOSE(CONTROL!$C$32, $C$9, 100%, $E$9)</f>
        <v>7.3444000000000003</v>
      </c>
      <c r="O439" s="33">
        <f>7.3497 * CHOOSE(CONTROL!$C$32, $C$9, 100%, $E$9)</f>
        <v>7.3497000000000003</v>
      </c>
    </row>
    <row r="440" spans="1:15" ht="15" x14ac:dyDescent="0.2">
      <c r="A440" s="16">
        <v>54605</v>
      </c>
      <c r="B440" s="32">
        <f>6.5374 * CHOOSE(CONTROL!$C$32, $C$9, 100%, $E$9)</f>
        <v>6.5373999999999999</v>
      </c>
      <c r="C440" s="32">
        <f>6.5374 * CHOOSE(CONTROL!$C$32, $C$9, 100%, $E$9)</f>
        <v>6.5373999999999999</v>
      </c>
      <c r="D440" s="32">
        <f>6.539 * CHOOSE(CONTROL!$C$32, $C$9, 100%, $E$9)</f>
        <v>6.5389999999999997</v>
      </c>
      <c r="E440" s="33">
        <f>7.4428 * CHOOSE(CONTROL!$C$32, $C$9, 100%, $E$9)</f>
        <v>7.4428000000000001</v>
      </c>
      <c r="F440" s="33">
        <f>7.4428 * CHOOSE(CONTROL!$C$32, $C$9, 100%, $E$9)</f>
        <v>7.4428000000000001</v>
      </c>
      <c r="G440" s="33">
        <f>7.448 * CHOOSE(CONTROL!$C$32, $C$9, 100%, $E$9)</f>
        <v>7.4480000000000004</v>
      </c>
      <c r="H440" s="33">
        <f>14.117 * CHOOSE(CONTROL!$C$32, $C$9, 100%, $E$9)</f>
        <v>14.117000000000001</v>
      </c>
      <c r="I440" s="33">
        <f>14.1223 * CHOOSE(CONTROL!$C$32, $C$9, 100%, $E$9)</f>
        <v>14.122299999999999</v>
      </c>
      <c r="J440" s="33">
        <f>14.117 * CHOOSE(CONTROL!$C$32, $C$9, 100%, $E$9)</f>
        <v>14.117000000000001</v>
      </c>
      <c r="K440" s="33">
        <f>14.1223 * CHOOSE(CONTROL!$C$32, $C$9, 100%, $E$9)</f>
        <v>14.122299999999999</v>
      </c>
      <c r="L440" s="33">
        <f>7.4428 * CHOOSE(CONTROL!$C$32, $C$9, 100%, $E$9)</f>
        <v>7.4428000000000001</v>
      </c>
      <c r="M440" s="33">
        <f>7.448 * CHOOSE(CONTROL!$C$32, $C$9, 100%, $E$9)</f>
        <v>7.4480000000000004</v>
      </c>
      <c r="N440" s="33">
        <f>7.4428 * CHOOSE(CONTROL!$C$32, $C$9, 100%, $E$9)</f>
        <v>7.4428000000000001</v>
      </c>
      <c r="O440" s="33">
        <f>7.448 * CHOOSE(CONTROL!$C$32, $C$9, 100%, $E$9)</f>
        <v>7.4480000000000004</v>
      </c>
    </row>
    <row r="441" spans="1:15" ht="15" x14ac:dyDescent="0.2">
      <c r="A441" s="16">
        <v>54636</v>
      </c>
      <c r="B441" s="32">
        <f>6.5441 * CHOOSE(CONTROL!$C$32, $C$9, 100%, $E$9)</f>
        <v>6.5441000000000003</v>
      </c>
      <c r="C441" s="32">
        <f>6.5441 * CHOOSE(CONTROL!$C$32, $C$9, 100%, $E$9)</f>
        <v>6.5441000000000003</v>
      </c>
      <c r="D441" s="32">
        <f>6.5457 * CHOOSE(CONTROL!$C$32, $C$9, 100%, $E$9)</f>
        <v>6.5457000000000001</v>
      </c>
      <c r="E441" s="33">
        <f>7.3013 * CHOOSE(CONTROL!$C$32, $C$9, 100%, $E$9)</f>
        <v>7.3013000000000003</v>
      </c>
      <c r="F441" s="33">
        <f>7.3013 * CHOOSE(CONTROL!$C$32, $C$9, 100%, $E$9)</f>
        <v>7.3013000000000003</v>
      </c>
      <c r="G441" s="33">
        <f>7.3066 * CHOOSE(CONTROL!$C$32, $C$9, 100%, $E$9)</f>
        <v>7.3066000000000004</v>
      </c>
      <c r="H441" s="33">
        <f>14.1464 * CHOOSE(CONTROL!$C$32, $C$9, 100%, $E$9)</f>
        <v>14.1464</v>
      </c>
      <c r="I441" s="33">
        <f>14.1517 * CHOOSE(CONTROL!$C$32, $C$9, 100%, $E$9)</f>
        <v>14.1517</v>
      </c>
      <c r="J441" s="33">
        <f>14.1464 * CHOOSE(CONTROL!$C$32, $C$9, 100%, $E$9)</f>
        <v>14.1464</v>
      </c>
      <c r="K441" s="33">
        <f>14.1517 * CHOOSE(CONTROL!$C$32, $C$9, 100%, $E$9)</f>
        <v>14.1517</v>
      </c>
      <c r="L441" s="33">
        <f>7.3013 * CHOOSE(CONTROL!$C$32, $C$9, 100%, $E$9)</f>
        <v>7.3013000000000003</v>
      </c>
      <c r="M441" s="33">
        <f>7.3066 * CHOOSE(CONTROL!$C$32, $C$9, 100%, $E$9)</f>
        <v>7.3066000000000004</v>
      </c>
      <c r="N441" s="33">
        <f>7.3013 * CHOOSE(CONTROL!$C$32, $C$9, 100%, $E$9)</f>
        <v>7.3013000000000003</v>
      </c>
      <c r="O441" s="33">
        <f>7.3066 * CHOOSE(CONTROL!$C$32, $C$9, 100%, $E$9)</f>
        <v>7.3066000000000004</v>
      </c>
    </row>
    <row r="442" spans="1:15" ht="15" x14ac:dyDescent="0.2">
      <c r="A442" s="16">
        <v>54667</v>
      </c>
      <c r="B442" s="32">
        <f>6.541 * CHOOSE(CONTROL!$C$32, $C$9, 100%, $E$9)</f>
        <v>6.5410000000000004</v>
      </c>
      <c r="C442" s="32">
        <f>6.541 * CHOOSE(CONTROL!$C$32, $C$9, 100%, $E$9)</f>
        <v>6.5410000000000004</v>
      </c>
      <c r="D442" s="32">
        <f>6.5426 * CHOOSE(CONTROL!$C$32, $C$9, 100%, $E$9)</f>
        <v>6.5426000000000002</v>
      </c>
      <c r="E442" s="33">
        <f>7.283 * CHOOSE(CONTROL!$C$32, $C$9, 100%, $E$9)</f>
        <v>7.2830000000000004</v>
      </c>
      <c r="F442" s="33">
        <f>7.283 * CHOOSE(CONTROL!$C$32, $C$9, 100%, $E$9)</f>
        <v>7.2830000000000004</v>
      </c>
      <c r="G442" s="33">
        <f>7.2883 * CHOOSE(CONTROL!$C$32, $C$9, 100%, $E$9)</f>
        <v>7.2882999999999996</v>
      </c>
      <c r="H442" s="33">
        <f>14.1759 * CHOOSE(CONTROL!$C$32, $C$9, 100%, $E$9)</f>
        <v>14.1759</v>
      </c>
      <c r="I442" s="33">
        <f>14.1811 * CHOOSE(CONTROL!$C$32, $C$9, 100%, $E$9)</f>
        <v>14.181100000000001</v>
      </c>
      <c r="J442" s="33">
        <f>14.1759 * CHOOSE(CONTROL!$C$32, $C$9, 100%, $E$9)</f>
        <v>14.1759</v>
      </c>
      <c r="K442" s="33">
        <f>14.1811 * CHOOSE(CONTROL!$C$32, $C$9, 100%, $E$9)</f>
        <v>14.181100000000001</v>
      </c>
      <c r="L442" s="33">
        <f>7.283 * CHOOSE(CONTROL!$C$32, $C$9, 100%, $E$9)</f>
        <v>7.2830000000000004</v>
      </c>
      <c r="M442" s="33">
        <f>7.2883 * CHOOSE(CONTROL!$C$32, $C$9, 100%, $E$9)</f>
        <v>7.2882999999999996</v>
      </c>
      <c r="N442" s="33">
        <f>7.283 * CHOOSE(CONTROL!$C$32, $C$9, 100%, $E$9)</f>
        <v>7.2830000000000004</v>
      </c>
      <c r="O442" s="33">
        <f>7.2883 * CHOOSE(CONTROL!$C$32, $C$9, 100%, $E$9)</f>
        <v>7.2882999999999996</v>
      </c>
    </row>
    <row r="443" spans="1:15" ht="15" x14ac:dyDescent="0.2">
      <c r="A443" s="16">
        <v>54697</v>
      </c>
      <c r="B443" s="32">
        <f>6.5456 * CHOOSE(CONTROL!$C$32, $C$9, 100%, $E$9)</f>
        <v>6.5456000000000003</v>
      </c>
      <c r="C443" s="32">
        <f>6.5456 * CHOOSE(CONTROL!$C$32, $C$9, 100%, $E$9)</f>
        <v>6.5456000000000003</v>
      </c>
      <c r="D443" s="32">
        <f>6.5466 * CHOOSE(CONTROL!$C$32, $C$9, 100%, $E$9)</f>
        <v>6.5465999999999998</v>
      </c>
      <c r="E443" s="33">
        <f>7.3345 * CHOOSE(CONTROL!$C$32, $C$9, 100%, $E$9)</f>
        <v>7.3345000000000002</v>
      </c>
      <c r="F443" s="33">
        <f>7.3345 * CHOOSE(CONTROL!$C$32, $C$9, 100%, $E$9)</f>
        <v>7.3345000000000002</v>
      </c>
      <c r="G443" s="33">
        <f>7.3381 * CHOOSE(CONTROL!$C$32, $C$9, 100%, $E$9)</f>
        <v>7.3380999999999998</v>
      </c>
      <c r="H443" s="33">
        <f>14.2054 * CHOOSE(CONTROL!$C$32, $C$9, 100%, $E$9)</f>
        <v>14.205399999999999</v>
      </c>
      <c r="I443" s="33">
        <f>14.209 * CHOOSE(CONTROL!$C$32, $C$9, 100%, $E$9)</f>
        <v>14.209</v>
      </c>
      <c r="J443" s="33">
        <f>14.2054 * CHOOSE(CONTROL!$C$32, $C$9, 100%, $E$9)</f>
        <v>14.205399999999999</v>
      </c>
      <c r="K443" s="33">
        <f>14.209 * CHOOSE(CONTROL!$C$32, $C$9, 100%, $E$9)</f>
        <v>14.209</v>
      </c>
      <c r="L443" s="33">
        <f>7.3345 * CHOOSE(CONTROL!$C$32, $C$9, 100%, $E$9)</f>
        <v>7.3345000000000002</v>
      </c>
      <c r="M443" s="33">
        <f>7.3381 * CHOOSE(CONTROL!$C$32, $C$9, 100%, $E$9)</f>
        <v>7.3380999999999998</v>
      </c>
      <c r="N443" s="33">
        <f>7.3345 * CHOOSE(CONTROL!$C$32, $C$9, 100%, $E$9)</f>
        <v>7.3345000000000002</v>
      </c>
      <c r="O443" s="33">
        <f>7.3381 * CHOOSE(CONTROL!$C$32, $C$9, 100%, $E$9)</f>
        <v>7.3380999999999998</v>
      </c>
    </row>
    <row r="444" spans="1:15" ht="15" x14ac:dyDescent="0.2">
      <c r="A444" s="16">
        <v>54728</v>
      </c>
      <c r="B444" s="32">
        <f>6.5486 * CHOOSE(CONTROL!$C$32, $C$9, 100%, $E$9)</f>
        <v>6.5486000000000004</v>
      </c>
      <c r="C444" s="32">
        <f>6.5486 * CHOOSE(CONTROL!$C$32, $C$9, 100%, $E$9)</f>
        <v>6.5486000000000004</v>
      </c>
      <c r="D444" s="32">
        <f>6.5497 * CHOOSE(CONTROL!$C$32, $C$9, 100%, $E$9)</f>
        <v>6.5496999999999996</v>
      </c>
      <c r="E444" s="33">
        <f>7.3691 * CHOOSE(CONTROL!$C$32, $C$9, 100%, $E$9)</f>
        <v>7.3691000000000004</v>
      </c>
      <c r="F444" s="33">
        <f>7.3691 * CHOOSE(CONTROL!$C$32, $C$9, 100%, $E$9)</f>
        <v>7.3691000000000004</v>
      </c>
      <c r="G444" s="33">
        <f>7.3727 * CHOOSE(CONTROL!$C$32, $C$9, 100%, $E$9)</f>
        <v>7.3727</v>
      </c>
      <c r="H444" s="33">
        <f>14.235 * CHOOSE(CONTROL!$C$32, $C$9, 100%, $E$9)</f>
        <v>14.234999999999999</v>
      </c>
      <c r="I444" s="33">
        <f>14.2386 * CHOOSE(CONTROL!$C$32, $C$9, 100%, $E$9)</f>
        <v>14.2386</v>
      </c>
      <c r="J444" s="33">
        <f>14.235 * CHOOSE(CONTROL!$C$32, $C$9, 100%, $E$9)</f>
        <v>14.234999999999999</v>
      </c>
      <c r="K444" s="33">
        <f>14.2386 * CHOOSE(CONTROL!$C$32, $C$9, 100%, $E$9)</f>
        <v>14.2386</v>
      </c>
      <c r="L444" s="33">
        <f>7.3691 * CHOOSE(CONTROL!$C$32, $C$9, 100%, $E$9)</f>
        <v>7.3691000000000004</v>
      </c>
      <c r="M444" s="33">
        <f>7.3727 * CHOOSE(CONTROL!$C$32, $C$9, 100%, $E$9)</f>
        <v>7.3727</v>
      </c>
      <c r="N444" s="33">
        <f>7.3691 * CHOOSE(CONTROL!$C$32, $C$9, 100%, $E$9)</f>
        <v>7.3691000000000004</v>
      </c>
      <c r="O444" s="33">
        <f>7.3727 * CHOOSE(CONTROL!$C$32, $C$9, 100%, $E$9)</f>
        <v>7.3727</v>
      </c>
    </row>
    <row r="445" spans="1:15" ht="15" x14ac:dyDescent="0.2">
      <c r="A445" s="16">
        <v>54758</v>
      </c>
      <c r="B445" s="32">
        <f>6.5486 * CHOOSE(CONTROL!$C$32, $C$9, 100%, $E$9)</f>
        <v>6.5486000000000004</v>
      </c>
      <c r="C445" s="32">
        <f>6.5486 * CHOOSE(CONTROL!$C$32, $C$9, 100%, $E$9)</f>
        <v>6.5486000000000004</v>
      </c>
      <c r="D445" s="32">
        <f>6.5497 * CHOOSE(CONTROL!$C$32, $C$9, 100%, $E$9)</f>
        <v>6.5496999999999996</v>
      </c>
      <c r="E445" s="33">
        <f>7.2879 * CHOOSE(CONTROL!$C$32, $C$9, 100%, $E$9)</f>
        <v>7.2878999999999996</v>
      </c>
      <c r="F445" s="33">
        <f>7.2879 * CHOOSE(CONTROL!$C$32, $C$9, 100%, $E$9)</f>
        <v>7.2878999999999996</v>
      </c>
      <c r="G445" s="33">
        <f>7.2915 * CHOOSE(CONTROL!$C$32, $C$9, 100%, $E$9)</f>
        <v>7.2915000000000001</v>
      </c>
      <c r="H445" s="33">
        <f>14.2646 * CHOOSE(CONTROL!$C$32, $C$9, 100%, $E$9)</f>
        <v>14.2646</v>
      </c>
      <c r="I445" s="33">
        <f>14.2683 * CHOOSE(CONTROL!$C$32, $C$9, 100%, $E$9)</f>
        <v>14.2683</v>
      </c>
      <c r="J445" s="33">
        <f>14.2646 * CHOOSE(CONTROL!$C$32, $C$9, 100%, $E$9)</f>
        <v>14.2646</v>
      </c>
      <c r="K445" s="33">
        <f>14.2683 * CHOOSE(CONTROL!$C$32, $C$9, 100%, $E$9)</f>
        <v>14.2683</v>
      </c>
      <c r="L445" s="33">
        <f>7.2879 * CHOOSE(CONTROL!$C$32, $C$9, 100%, $E$9)</f>
        <v>7.2878999999999996</v>
      </c>
      <c r="M445" s="33">
        <f>7.2915 * CHOOSE(CONTROL!$C$32, $C$9, 100%, $E$9)</f>
        <v>7.2915000000000001</v>
      </c>
      <c r="N445" s="33">
        <f>7.2879 * CHOOSE(CONTROL!$C$32, $C$9, 100%, $E$9)</f>
        <v>7.2878999999999996</v>
      </c>
      <c r="O445" s="33">
        <f>7.2915 * CHOOSE(CONTROL!$C$32, $C$9, 100%, $E$9)</f>
        <v>7.2915000000000001</v>
      </c>
    </row>
    <row r="446" spans="1:15" ht="15" x14ac:dyDescent="0.2">
      <c r="A446" s="16">
        <v>54789</v>
      </c>
      <c r="B446" s="32">
        <f>6.5983 * CHOOSE(CONTROL!$C$32, $C$9, 100%, $E$9)</f>
        <v>6.5983000000000001</v>
      </c>
      <c r="C446" s="32">
        <f>6.5983 * CHOOSE(CONTROL!$C$32, $C$9, 100%, $E$9)</f>
        <v>6.5983000000000001</v>
      </c>
      <c r="D446" s="32">
        <f>6.5993 * CHOOSE(CONTROL!$C$32, $C$9, 100%, $E$9)</f>
        <v>6.5993000000000004</v>
      </c>
      <c r="E446" s="33">
        <f>7.4077 * CHOOSE(CONTROL!$C$32, $C$9, 100%, $E$9)</f>
        <v>7.4077000000000002</v>
      </c>
      <c r="F446" s="33">
        <f>7.4077 * CHOOSE(CONTROL!$C$32, $C$9, 100%, $E$9)</f>
        <v>7.4077000000000002</v>
      </c>
      <c r="G446" s="33">
        <f>7.4113 * CHOOSE(CONTROL!$C$32, $C$9, 100%, $E$9)</f>
        <v>7.4112999999999998</v>
      </c>
      <c r="H446" s="33">
        <f>14.2944 * CHOOSE(CONTROL!$C$32, $C$9, 100%, $E$9)</f>
        <v>14.2944</v>
      </c>
      <c r="I446" s="33">
        <f>14.298 * CHOOSE(CONTROL!$C$32, $C$9, 100%, $E$9)</f>
        <v>14.298</v>
      </c>
      <c r="J446" s="33">
        <f>14.2944 * CHOOSE(CONTROL!$C$32, $C$9, 100%, $E$9)</f>
        <v>14.2944</v>
      </c>
      <c r="K446" s="33">
        <f>14.298 * CHOOSE(CONTROL!$C$32, $C$9, 100%, $E$9)</f>
        <v>14.298</v>
      </c>
      <c r="L446" s="33">
        <f>7.4077 * CHOOSE(CONTROL!$C$32, $C$9, 100%, $E$9)</f>
        <v>7.4077000000000002</v>
      </c>
      <c r="M446" s="33">
        <f>7.4113 * CHOOSE(CONTROL!$C$32, $C$9, 100%, $E$9)</f>
        <v>7.4112999999999998</v>
      </c>
      <c r="N446" s="33">
        <f>7.4077 * CHOOSE(CONTROL!$C$32, $C$9, 100%, $E$9)</f>
        <v>7.4077000000000002</v>
      </c>
      <c r="O446" s="33">
        <f>7.4113 * CHOOSE(CONTROL!$C$32, $C$9, 100%, $E$9)</f>
        <v>7.4112999999999998</v>
      </c>
    </row>
    <row r="447" spans="1:15" ht="15" x14ac:dyDescent="0.2">
      <c r="A447" s="16">
        <v>54820</v>
      </c>
      <c r="B447" s="32">
        <f>6.5952 * CHOOSE(CONTROL!$C$32, $C$9, 100%, $E$9)</f>
        <v>6.5952000000000002</v>
      </c>
      <c r="C447" s="32">
        <f>6.5952 * CHOOSE(CONTROL!$C$32, $C$9, 100%, $E$9)</f>
        <v>6.5952000000000002</v>
      </c>
      <c r="D447" s="32">
        <f>6.5963 * CHOOSE(CONTROL!$C$32, $C$9, 100%, $E$9)</f>
        <v>6.5963000000000003</v>
      </c>
      <c r="E447" s="33">
        <f>7.2472 * CHOOSE(CONTROL!$C$32, $C$9, 100%, $E$9)</f>
        <v>7.2472000000000003</v>
      </c>
      <c r="F447" s="33">
        <f>7.2472 * CHOOSE(CONTROL!$C$32, $C$9, 100%, $E$9)</f>
        <v>7.2472000000000003</v>
      </c>
      <c r="G447" s="33">
        <f>7.2508 * CHOOSE(CONTROL!$C$32, $C$9, 100%, $E$9)</f>
        <v>7.2507999999999999</v>
      </c>
      <c r="H447" s="33">
        <f>14.3241 * CHOOSE(CONTROL!$C$32, $C$9, 100%, $E$9)</f>
        <v>14.3241</v>
      </c>
      <c r="I447" s="33">
        <f>14.3278 * CHOOSE(CONTROL!$C$32, $C$9, 100%, $E$9)</f>
        <v>14.3278</v>
      </c>
      <c r="J447" s="33">
        <f>14.3241 * CHOOSE(CONTROL!$C$32, $C$9, 100%, $E$9)</f>
        <v>14.3241</v>
      </c>
      <c r="K447" s="33">
        <f>14.3278 * CHOOSE(CONTROL!$C$32, $C$9, 100%, $E$9)</f>
        <v>14.3278</v>
      </c>
      <c r="L447" s="33">
        <f>7.2472 * CHOOSE(CONTROL!$C$32, $C$9, 100%, $E$9)</f>
        <v>7.2472000000000003</v>
      </c>
      <c r="M447" s="33">
        <f>7.2508 * CHOOSE(CONTROL!$C$32, $C$9, 100%, $E$9)</f>
        <v>7.2507999999999999</v>
      </c>
      <c r="N447" s="33">
        <f>7.2472 * CHOOSE(CONTROL!$C$32, $C$9, 100%, $E$9)</f>
        <v>7.2472000000000003</v>
      </c>
      <c r="O447" s="33">
        <f>7.2508 * CHOOSE(CONTROL!$C$32, $C$9, 100%, $E$9)</f>
        <v>7.2507999999999999</v>
      </c>
    </row>
    <row r="448" spans="1:15" ht="15" x14ac:dyDescent="0.2">
      <c r="A448" s="16">
        <v>54848</v>
      </c>
      <c r="B448" s="32">
        <f>6.5922 * CHOOSE(CONTROL!$C$32, $C$9, 100%, $E$9)</f>
        <v>6.5922000000000001</v>
      </c>
      <c r="C448" s="32">
        <f>6.5922 * CHOOSE(CONTROL!$C$32, $C$9, 100%, $E$9)</f>
        <v>6.5922000000000001</v>
      </c>
      <c r="D448" s="32">
        <f>6.5933 * CHOOSE(CONTROL!$C$32, $C$9, 100%, $E$9)</f>
        <v>6.5933000000000002</v>
      </c>
      <c r="E448" s="33">
        <f>7.3699 * CHOOSE(CONTROL!$C$32, $C$9, 100%, $E$9)</f>
        <v>7.3699000000000003</v>
      </c>
      <c r="F448" s="33">
        <f>7.3699 * CHOOSE(CONTROL!$C$32, $C$9, 100%, $E$9)</f>
        <v>7.3699000000000003</v>
      </c>
      <c r="G448" s="33">
        <f>7.3735 * CHOOSE(CONTROL!$C$32, $C$9, 100%, $E$9)</f>
        <v>7.3734999999999999</v>
      </c>
      <c r="H448" s="33">
        <f>14.354 * CHOOSE(CONTROL!$C$32, $C$9, 100%, $E$9)</f>
        <v>14.353999999999999</v>
      </c>
      <c r="I448" s="33">
        <f>14.3576 * CHOOSE(CONTROL!$C$32, $C$9, 100%, $E$9)</f>
        <v>14.3576</v>
      </c>
      <c r="J448" s="33">
        <f>14.354 * CHOOSE(CONTROL!$C$32, $C$9, 100%, $E$9)</f>
        <v>14.353999999999999</v>
      </c>
      <c r="K448" s="33">
        <f>14.3576 * CHOOSE(CONTROL!$C$32, $C$9, 100%, $E$9)</f>
        <v>14.3576</v>
      </c>
      <c r="L448" s="33">
        <f>7.3699 * CHOOSE(CONTROL!$C$32, $C$9, 100%, $E$9)</f>
        <v>7.3699000000000003</v>
      </c>
      <c r="M448" s="33">
        <f>7.3735 * CHOOSE(CONTROL!$C$32, $C$9, 100%, $E$9)</f>
        <v>7.3734999999999999</v>
      </c>
      <c r="N448" s="33">
        <f>7.3699 * CHOOSE(CONTROL!$C$32, $C$9, 100%, $E$9)</f>
        <v>7.3699000000000003</v>
      </c>
      <c r="O448" s="33">
        <f>7.3735 * CHOOSE(CONTROL!$C$32, $C$9, 100%, $E$9)</f>
        <v>7.3734999999999999</v>
      </c>
    </row>
    <row r="449" spans="1:15" ht="15" x14ac:dyDescent="0.2">
      <c r="A449" s="16">
        <v>54879</v>
      </c>
      <c r="B449" s="32">
        <f>6.5923 * CHOOSE(CONTROL!$C$32, $C$9, 100%, $E$9)</f>
        <v>6.5922999999999998</v>
      </c>
      <c r="C449" s="32">
        <f>6.5923 * CHOOSE(CONTROL!$C$32, $C$9, 100%, $E$9)</f>
        <v>6.5922999999999998</v>
      </c>
      <c r="D449" s="32">
        <f>6.5934 * CHOOSE(CONTROL!$C$32, $C$9, 100%, $E$9)</f>
        <v>6.5933999999999999</v>
      </c>
      <c r="E449" s="33">
        <f>7.4998 * CHOOSE(CONTROL!$C$32, $C$9, 100%, $E$9)</f>
        <v>7.4997999999999996</v>
      </c>
      <c r="F449" s="33">
        <f>7.4998 * CHOOSE(CONTROL!$C$32, $C$9, 100%, $E$9)</f>
        <v>7.4997999999999996</v>
      </c>
      <c r="G449" s="33">
        <f>7.5034 * CHOOSE(CONTROL!$C$32, $C$9, 100%, $E$9)</f>
        <v>7.5034000000000001</v>
      </c>
      <c r="H449" s="33">
        <f>14.3839 * CHOOSE(CONTROL!$C$32, $C$9, 100%, $E$9)</f>
        <v>14.383900000000001</v>
      </c>
      <c r="I449" s="33">
        <f>14.3875 * CHOOSE(CONTROL!$C$32, $C$9, 100%, $E$9)</f>
        <v>14.387499999999999</v>
      </c>
      <c r="J449" s="33">
        <f>14.3839 * CHOOSE(CONTROL!$C$32, $C$9, 100%, $E$9)</f>
        <v>14.383900000000001</v>
      </c>
      <c r="K449" s="33">
        <f>14.3875 * CHOOSE(CONTROL!$C$32, $C$9, 100%, $E$9)</f>
        <v>14.387499999999999</v>
      </c>
      <c r="L449" s="33">
        <f>7.4998 * CHOOSE(CONTROL!$C$32, $C$9, 100%, $E$9)</f>
        <v>7.4997999999999996</v>
      </c>
      <c r="M449" s="33">
        <f>7.5034 * CHOOSE(CONTROL!$C$32, $C$9, 100%, $E$9)</f>
        <v>7.5034000000000001</v>
      </c>
      <c r="N449" s="33">
        <f>7.4998 * CHOOSE(CONTROL!$C$32, $C$9, 100%, $E$9)</f>
        <v>7.4997999999999996</v>
      </c>
      <c r="O449" s="33">
        <f>7.5034 * CHOOSE(CONTROL!$C$32, $C$9, 100%, $E$9)</f>
        <v>7.5034000000000001</v>
      </c>
    </row>
    <row r="450" spans="1:15" ht="15" x14ac:dyDescent="0.2">
      <c r="A450" s="16">
        <v>54909</v>
      </c>
      <c r="B450" s="32">
        <f>6.5923 * CHOOSE(CONTROL!$C$32, $C$9, 100%, $E$9)</f>
        <v>6.5922999999999998</v>
      </c>
      <c r="C450" s="32">
        <f>6.5923 * CHOOSE(CONTROL!$C$32, $C$9, 100%, $E$9)</f>
        <v>6.5922999999999998</v>
      </c>
      <c r="D450" s="32">
        <f>6.5939 * CHOOSE(CONTROL!$C$32, $C$9, 100%, $E$9)</f>
        <v>6.5938999999999997</v>
      </c>
      <c r="E450" s="33">
        <f>7.55 * CHOOSE(CONTROL!$C$32, $C$9, 100%, $E$9)</f>
        <v>7.55</v>
      </c>
      <c r="F450" s="33">
        <f>7.55 * CHOOSE(CONTROL!$C$32, $C$9, 100%, $E$9)</f>
        <v>7.55</v>
      </c>
      <c r="G450" s="33">
        <f>7.5553 * CHOOSE(CONTROL!$C$32, $C$9, 100%, $E$9)</f>
        <v>7.5552999999999999</v>
      </c>
      <c r="H450" s="33">
        <f>14.4138 * CHOOSE(CONTROL!$C$32, $C$9, 100%, $E$9)</f>
        <v>14.4138</v>
      </c>
      <c r="I450" s="33">
        <f>14.4191 * CHOOSE(CONTROL!$C$32, $C$9, 100%, $E$9)</f>
        <v>14.4191</v>
      </c>
      <c r="J450" s="33">
        <f>14.4138 * CHOOSE(CONTROL!$C$32, $C$9, 100%, $E$9)</f>
        <v>14.4138</v>
      </c>
      <c r="K450" s="33">
        <f>14.4191 * CHOOSE(CONTROL!$C$32, $C$9, 100%, $E$9)</f>
        <v>14.4191</v>
      </c>
      <c r="L450" s="33">
        <f>7.55 * CHOOSE(CONTROL!$C$32, $C$9, 100%, $E$9)</f>
        <v>7.55</v>
      </c>
      <c r="M450" s="33">
        <f>7.5553 * CHOOSE(CONTROL!$C$32, $C$9, 100%, $E$9)</f>
        <v>7.5552999999999999</v>
      </c>
      <c r="N450" s="33">
        <f>7.55 * CHOOSE(CONTROL!$C$32, $C$9, 100%, $E$9)</f>
        <v>7.55</v>
      </c>
      <c r="O450" s="33">
        <f>7.5553 * CHOOSE(CONTROL!$C$32, $C$9, 100%, $E$9)</f>
        <v>7.5552999999999999</v>
      </c>
    </row>
    <row r="451" spans="1:15" ht="15" x14ac:dyDescent="0.2">
      <c r="A451" s="16">
        <v>54940</v>
      </c>
      <c r="B451" s="32">
        <f>6.5984 * CHOOSE(CONTROL!$C$32, $C$9, 100%, $E$9)</f>
        <v>6.5983999999999998</v>
      </c>
      <c r="C451" s="32">
        <f>6.5984 * CHOOSE(CONTROL!$C$32, $C$9, 100%, $E$9)</f>
        <v>6.5983999999999998</v>
      </c>
      <c r="D451" s="32">
        <f>6.6 * CHOOSE(CONTROL!$C$32, $C$9, 100%, $E$9)</f>
        <v>6.6</v>
      </c>
      <c r="E451" s="33">
        <f>7.504 * CHOOSE(CONTROL!$C$32, $C$9, 100%, $E$9)</f>
        <v>7.5039999999999996</v>
      </c>
      <c r="F451" s="33">
        <f>7.504 * CHOOSE(CONTROL!$C$32, $C$9, 100%, $E$9)</f>
        <v>7.5039999999999996</v>
      </c>
      <c r="G451" s="33">
        <f>7.5093 * CHOOSE(CONTROL!$C$32, $C$9, 100%, $E$9)</f>
        <v>7.5092999999999996</v>
      </c>
      <c r="H451" s="33">
        <f>14.4439 * CHOOSE(CONTROL!$C$32, $C$9, 100%, $E$9)</f>
        <v>14.443899999999999</v>
      </c>
      <c r="I451" s="33">
        <f>14.4492 * CHOOSE(CONTROL!$C$32, $C$9, 100%, $E$9)</f>
        <v>14.449199999999999</v>
      </c>
      <c r="J451" s="33">
        <f>14.4439 * CHOOSE(CONTROL!$C$32, $C$9, 100%, $E$9)</f>
        <v>14.443899999999999</v>
      </c>
      <c r="K451" s="33">
        <f>14.4492 * CHOOSE(CONTROL!$C$32, $C$9, 100%, $E$9)</f>
        <v>14.449199999999999</v>
      </c>
      <c r="L451" s="33">
        <f>7.504 * CHOOSE(CONTROL!$C$32, $C$9, 100%, $E$9)</f>
        <v>7.5039999999999996</v>
      </c>
      <c r="M451" s="33">
        <f>7.5093 * CHOOSE(CONTROL!$C$32, $C$9, 100%, $E$9)</f>
        <v>7.5092999999999996</v>
      </c>
      <c r="N451" s="33">
        <f>7.504 * CHOOSE(CONTROL!$C$32, $C$9, 100%, $E$9)</f>
        <v>7.5039999999999996</v>
      </c>
      <c r="O451" s="33">
        <f>7.5093 * CHOOSE(CONTROL!$C$32, $C$9, 100%, $E$9)</f>
        <v>7.5092999999999996</v>
      </c>
    </row>
    <row r="452" spans="1:15" ht="15" x14ac:dyDescent="0.2">
      <c r="A452" s="16">
        <v>54970</v>
      </c>
      <c r="B452" s="32">
        <f>6.6855 * CHOOSE(CONTROL!$C$32, $C$9, 100%, $E$9)</f>
        <v>6.6855000000000002</v>
      </c>
      <c r="C452" s="32">
        <f>6.6855 * CHOOSE(CONTROL!$C$32, $C$9, 100%, $E$9)</f>
        <v>6.6855000000000002</v>
      </c>
      <c r="D452" s="32">
        <f>6.6871 * CHOOSE(CONTROL!$C$32, $C$9, 100%, $E$9)</f>
        <v>6.6871</v>
      </c>
      <c r="E452" s="33">
        <f>7.6081 * CHOOSE(CONTROL!$C$32, $C$9, 100%, $E$9)</f>
        <v>7.6081000000000003</v>
      </c>
      <c r="F452" s="33">
        <f>7.6081 * CHOOSE(CONTROL!$C$32, $C$9, 100%, $E$9)</f>
        <v>7.6081000000000003</v>
      </c>
      <c r="G452" s="33">
        <f>7.6134 * CHOOSE(CONTROL!$C$32, $C$9, 100%, $E$9)</f>
        <v>7.6134000000000004</v>
      </c>
      <c r="H452" s="33">
        <f>14.474 * CHOOSE(CONTROL!$C$32, $C$9, 100%, $E$9)</f>
        <v>14.474</v>
      </c>
      <c r="I452" s="33">
        <f>14.4793 * CHOOSE(CONTROL!$C$32, $C$9, 100%, $E$9)</f>
        <v>14.4793</v>
      </c>
      <c r="J452" s="33">
        <f>14.474 * CHOOSE(CONTROL!$C$32, $C$9, 100%, $E$9)</f>
        <v>14.474</v>
      </c>
      <c r="K452" s="33">
        <f>14.4793 * CHOOSE(CONTROL!$C$32, $C$9, 100%, $E$9)</f>
        <v>14.4793</v>
      </c>
      <c r="L452" s="33">
        <f>7.6081 * CHOOSE(CONTROL!$C$32, $C$9, 100%, $E$9)</f>
        <v>7.6081000000000003</v>
      </c>
      <c r="M452" s="33">
        <f>7.6134 * CHOOSE(CONTROL!$C$32, $C$9, 100%, $E$9)</f>
        <v>7.6134000000000004</v>
      </c>
      <c r="N452" s="33">
        <f>7.6081 * CHOOSE(CONTROL!$C$32, $C$9, 100%, $E$9)</f>
        <v>7.6081000000000003</v>
      </c>
      <c r="O452" s="33">
        <f>7.6134 * CHOOSE(CONTROL!$C$32, $C$9, 100%, $E$9)</f>
        <v>7.6134000000000004</v>
      </c>
    </row>
    <row r="453" spans="1:15" ht="15" x14ac:dyDescent="0.2">
      <c r="A453" s="16">
        <v>55001</v>
      </c>
      <c r="B453" s="32">
        <f>6.6922 * CHOOSE(CONTROL!$C$32, $C$9, 100%, $E$9)</f>
        <v>6.6921999999999997</v>
      </c>
      <c r="C453" s="32">
        <f>6.6922 * CHOOSE(CONTROL!$C$32, $C$9, 100%, $E$9)</f>
        <v>6.6921999999999997</v>
      </c>
      <c r="D453" s="32">
        <f>6.6937 * CHOOSE(CONTROL!$C$32, $C$9, 100%, $E$9)</f>
        <v>6.6936999999999998</v>
      </c>
      <c r="E453" s="33">
        <f>7.4619 * CHOOSE(CONTROL!$C$32, $C$9, 100%, $E$9)</f>
        <v>7.4619</v>
      </c>
      <c r="F453" s="33">
        <f>7.4619 * CHOOSE(CONTROL!$C$32, $C$9, 100%, $E$9)</f>
        <v>7.4619</v>
      </c>
      <c r="G453" s="33">
        <f>7.4672 * CHOOSE(CONTROL!$C$32, $C$9, 100%, $E$9)</f>
        <v>7.4672000000000001</v>
      </c>
      <c r="H453" s="33">
        <f>14.5041 * CHOOSE(CONTROL!$C$32, $C$9, 100%, $E$9)</f>
        <v>14.504099999999999</v>
      </c>
      <c r="I453" s="33">
        <f>14.5094 * CHOOSE(CONTROL!$C$32, $C$9, 100%, $E$9)</f>
        <v>14.509399999999999</v>
      </c>
      <c r="J453" s="33">
        <f>14.5041 * CHOOSE(CONTROL!$C$32, $C$9, 100%, $E$9)</f>
        <v>14.504099999999999</v>
      </c>
      <c r="K453" s="33">
        <f>14.5094 * CHOOSE(CONTROL!$C$32, $C$9, 100%, $E$9)</f>
        <v>14.509399999999999</v>
      </c>
      <c r="L453" s="33">
        <f>7.4619 * CHOOSE(CONTROL!$C$32, $C$9, 100%, $E$9)</f>
        <v>7.4619</v>
      </c>
      <c r="M453" s="33">
        <f>7.4672 * CHOOSE(CONTROL!$C$32, $C$9, 100%, $E$9)</f>
        <v>7.4672000000000001</v>
      </c>
      <c r="N453" s="33">
        <f>7.4619 * CHOOSE(CONTROL!$C$32, $C$9, 100%, $E$9)</f>
        <v>7.4619</v>
      </c>
      <c r="O453" s="33">
        <f>7.4672 * CHOOSE(CONTROL!$C$32, $C$9, 100%, $E$9)</f>
        <v>7.4672000000000001</v>
      </c>
    </row>
    <row r="454" spans="1:15" ht="15" x14ac:dyDescent="0.2">
      <c r="A454" s="16">
        <v>55032</v>
      </c>
      <c r="B454" s="32">
        <f>6.6891 * CHOOSE(CONTROL!$C$32, $C$9, 100%, $E$9)</f>
        <v>6.6890999999999998</v>
      </c>
      <c r="C454" s="32">
        <f>6.6891 * CHOOSE(CONTROL!$C$32, $C$9, 100%, $E$9)</f>
        <v>6.6890999999999998</v>
      </c>
      <c r="D454" s="32">
        <f>6.6907 * CHOOSE(CONTROL!$C$32, $C$9, 100%, $E$9)</f>
        <v>6.6906999999999996</v>
      </c>
      <c r="E454" s="33">
        <f>7.443 * CHOOSE(CONTROL!$C$32, $C$9, 100%, $E$9)</f>
        <v>7.4429999999999996</v>
      </c>
      <c r="F454" s="33">
        <f>7.443 * CHOOSE(CONTROL!$C$32, $C$9, 100%, $E$9)</f>
        <v>7.4429999999999996</v>
      </c>
      <c r="G454" s="33">
        <f>7.4483 * CHOOSE(CONTROL!$C$32, $C$9, 100%, $E$9)</f>
        <v>7.4482999999999997</v>
      </c>
      <c r="H454" s="33">
        <f>14.5343 * CHOOSE(CONTROL!$C$32, $C$9, 100%, $E$9)</f>
        <v>14.5343</v>
      </c>
      <c r="I454" s="33">
        <f>14.5396 * CHOOSE(CONTROL!$C$32, $C$9, 100%, $E$9)</f>
        <v>14.5396</v>
      </c>
      <c r="J454" s="33">
        <f>14.5343 * CHOOSE(CONTROL!$C$32, $C$9, 100%, $E$9)</f>
        <v>14.5343</v>
      </c>
      <c r="K454" s="33">
        <f>14.5396 * CHOOSE(CONTROL!$C$32, $C$9, 100%, $E$9)</f>
        <v>14.5396</v>
      </c>
      <c r="L454" s="33">
        <f>7.443 * CHOOSE(CONTROL!$C$32, $C$9, 100%, $E$9)</f>
        <v>7.4429999999999996</v>
      </c>
      <c r="M454" s="33">
        <f>7.4483 * CHOOSE(CONTROL!$C$32, $C$9, 100%, $E$9)</f>
        <v>7.4482999999999997</v>
      </c>
      <c r="N454" s="33">
        <f>7.443 * CHOOSE(CONTROL!$C$32, $C$9, 100%, $E$9)</f>
        <v>7.4429999999999996</v>
      </c>
      <c r="O454" s="33">
        <f>7.4483 * CHOOSE(CONTROL!$C$32, $C$9, 100%, $E$9)</f>
        <v>7.4482999999999997</v>
      </c>
    </row>
    <row r="455" spans="1:15" ht="15" x14ac:dyDescent="0.2">
      <c r="A455" s="16">
        <v>55062</v>
      </c>
      <c r="B455" s="32">
        <f>6.6942 * CHOOSE(CONTROL!$C$32, $C$9, 100%, $E$9)</f>
        <v>6.6942000000000004</v>
      </c>
      <c r="C455" s="32">
        <f>6.6942 * CHOOSE(CONTROL!$C$32, $C$9, 100%, $E$9)</f>
        <v>6.6942000000000004</v>
      </c>
      <c r="D455" s="32">
        <f>6.6953 * CHOOSE(CONTROL!$C$32, $C$9, 100%, $E$9)</f>
        <v>6.6952999999999996</v>
      </c>
      <c r="E455" s="33">
        <f>7.4966 * CHOOSE(CONTROL!$C$32, $C$9, 100%, $E$9)</f>
        <v>7.4965999999999999</v>
      </c>
      <c r="F455" s="33">
        <f>7.4966 * CHOOSE(CONTROL!$C$32, $C$9, 100%, $E$9)</f>
        <v>7.4965999999999999</v>
      </c>
      <c r="G455" s="33">
        <f>7.5002 * CHOOSE(CONTROL!$C$32, $C$9, 100%, $E$9)</f>
        <v>7.5002000000000004</v>
      </c>
      <c r="H455" s="33">
        <f>14.5646 * CHOOSE(CONTROL!$C$32, $C$9, 100%, $E$9)</f>
        <v>14.5646</v>
      </c>
      <c r="I455" s="33">
        <f>14.5682 * CHOOSE(CONTROL!$C$32, $C$9, 100%, $E$9)</f>
        <v>14.568199999999999</v>
      </c>
      <c r="J455" s="33">
        <f>14.5646 * CHOOSE(CONTROL!$C$32, $C$9, 100%, $E$9)</f>
        <v>14.5646</v>
      </c>
      <c r="K455" s="33">
        <f>14.5682 * CHOOSE(CONTROL!$C$32, $C$9, 100%, $E$9)</f>
        <v>14.568199999999999</v>
      </c>
      <c r="L455" s="33">
        <f>7.4966 * CHOOSE(CONTROL!$C$32, $C$9, 100%, $E$9)</f>
        <v>7.4965999999999999</v>
      </c>
      <c r="M455" s="33">
        <f>7.5002 * CHOOSE(CONTROL!$C$32, $C$9, 100%, $E$9)</f>
        <v>7.5002000000000004</v>
      </c>
      <c r="N455" s="33">
        <f>7.4966 * CHOOSE(CONTROL!$C$32, $C$9, 100%, $E$9)</f>
        <v>7.4965999999999999</v>
      </c>
      <c r="O455" s="33">
        <f>7.5002 * CHOOSE(CONTROL!$C$32, $C$9, 100%, $E$9)</f>
        <v>7.5002000000000004</v>
      </c>
    </row>
    <row r="456" spans="1:15" ht="15" x14ac:dyDescent="0.2">
      <c r="A456" s="16">
        <v>55093</v>
      </c>
      <c r="B456" s="32">
        <f>6.6972 * CHOOSE(CONTROL!$C$32, $C$9, 100%, $E$9)</f>
        <v>6.6971999999999996</v>
      </c>
      <c r="C456" s="32">
        <f>6.6972 * CHOOSE(CONTROL!$C$32, $C$9, 100%, $E$9)</f>
        <v>6.6971999999999996</v>
      </c>
      <c r="D456" s="32">
        <f>6.6983 * CHOOSE(CONTROL!$C$32, $C$9, 100%, $E$9)</f>
        <v>6.6982999999999997</v>
      </c>
      <c r="E456" s="33">
        <f>7.5323 * CHOOSE(CONTROL!$C$32, $C$9, 100%, $E$9)</f>
        <v>7.5323000000000002</v>
      </c>
      <c r="F456" s="33">
        <f>7.5323 * CHOOSE(CONTROL!$C$32, $C$9, 100%, $E$9)</f>
        <v>7.5323000000000002</v>
      </c>
      <c r="G456" s="33">
        <f>7.5359 * CHOOSE(CONTROL!$C$32, $C$9, 100%, $E$9)</f>
        <v>7.5358999999999998</v>
      </c>
      <c r="H456" s="33">
        <f>14.595 * CHOOSE(CONTROL!$C$32, $C$9, 100%, $E$9)</f>
        <v>14.595000000000001</v>
      </c>
      <c r="I456" s="33">
        <f>14.5986 * CHOOSE(CONTROL!$C$32, $C$9, 100%, $E$9)</f>
        <v>14.598599999999999</v>
      </c>
      <c r="J456" s="33">
        <f>14.595 * CHOOSE(CONTROL!$C$32, $C$9, 100%, $E$9)</f>
        <v>14.595000000000001</v>
      </c>
      <c r="K456" s="33">
        <f>14.5986 * CHOOSE(CONTROL!$C$32, $C$9, 100%, $E$9)</f>
        <v>14.598599999999999</v>
      </c>
      <c r="L456" s="33">
        <f>7.5323 * CHOOSE(CONTROL!$C$32, $C$9, 100%, $E$9)</f>
        <v>7.5323000000000002</v>
      </c>
      <c r="M456" s="33">
        <f>7.5359 * CHOOSE(CONTROL!$C$32, $C$9, 100%, $E$9)</f>
        <v>7.5358999999999998</v>
      </c>
      <c r="N456" s="33">
        <f>7.5323 * CHOOSE(CONTROL!$C$32, $C$9, 100%, $E$9)</f>
        <v>7.5323000000000002</v>
      </c>
      <c r="O456" s="33">
        <f>7.5359 * CHOOSE(CONTROL!$C$32, $C$9, 100%, $E$9)</f>
        <v>7.5358999999999998</v>
      </c>
    </row>
    <row r="457" spans="1:15" ht="15" x14ac:dyDescent="0.2">
      <c r="A457" s="16">
        <v>55123</v>
      </c>
      <c r="B457" s="32">
        <f>6.6972 * CHOOSE(CONTROL!$C$32, $C$9, 100%, $E$9)</f>
        <v>6.6971999999999996</v>
      </c>
      <c r="C457" s="32">
        <f>6.6972 * CHOOSE(CONTROL!$C$32, $C$9, 100%, $E$9)</f>
        <v>6.6971999999999996</v>
      </c>
      <c r="D457" s="32">
        <f>6.6983 * CHOOSE(CONTROL!$C$32, $C$9, 100%, $E$9)</f>
        <v>6.6982999999999997</v>
      </c>
      <c r="E457" s="33">
        <f>7.4485 * CHOOSE(CONTROL!$C$32, $C$9, 100%, $E$9)</f>
        <v>7.4485000000000001</v>
      </c>
      <c r="F457" s="33">
        <f>7.4485 * CHOOSE(CONTROL!$C$32, $C$9, 100%, $E$9)</f>
        <v>7.4485000000000001</v>
      </c>
      <c r="G457" s="33">
        <f>7.4521 * CHOOSE(CONTROL!$C$32, $C$9, 100%, $E$9)</f>
        <v>7.4520999999999997</v>
      </c>
      <c r="H457" s="33">
        <f>14.6254 * CHOOSE(CONTROL!$C$32, $C$9, 100%, $E$9)</f>
        <v>14.625400000000001</v>
      </c>
      <c r="I457" s="33">
        <f>14.629 * CHOOSE(CONTROL!$C$32, $C$9, 100%, $E$9)</f>
        <v>14.629</v>
      </c>
      <c r="J457" s="33">
        <f>14.6254 * CHOOSE(CONTROL!$C$32, $C$9, 100%, $E$9)</f>
        <v>14.625400000000001</v>
      </c>
      <c r="K457" s="33">
        <f>14.629 * CHOOSE(CONTROL!$C$32, $C$9, 100%, $E$9)</f>
        <v>14.629</v>
      </c>
      <c r="L457" s="33">
        <f>7.4485 * CHOOSE(CONTROL!$C$32, $C$9, 100%, $E$9)</f>
        <v>7.4485000000000001</v>
      </c>
      <c r="M457" s="33">
        <f>7.4521 * CHOOSE(CONTROL!$C$32, $C$9, 100%, $E$9)</f>
        <v>7.4520999999999997</v>
      </c>
      <c r="N457" s="33">
        <f>7.4485 * CHOOSE(CONTROL!$C$32, $C$9, 100%, $E$9)</f>
        <v>7.4485000000000001</v>
      </c>
      <c r="O457" s="33">
        <f>7.4521 * CHOOSE(CONTROL!$C$32, $C$9, 100%, $E$9)</f>
        <v>7.4520999999999997</v>
      </c>
    </row>
    <row r="458" spans="1:15" ht="15" x14ac:dyDescent="0.2">
      <c r="A458" s="16">
        <v>55154</v>
      </c>
      <c r="B458" s="32">
        <f>6.7479 * CHOOSE(CONTROL!$C$32, $C$9, 100%, $E$9)</f>
        <v>6.7478999999999996</v>
      </c>
      <c r="C458" s="32">
        <f>6.7479 * CHOOSE(CONTROL!$C$32, $C$9, 100%, $E$9)</f>
        <v>6.7478999999999996</v>
      </c>
      <c r="D458" s="32">
        <f>6.749 * CHOOSE(CONTROL!$C$32, $C$9, 100%, $E$9)</f>
        <v>6.7489999999999997</v>
      </c>
      <c r="E458" s="33">
        <f>7.571 * CHOOSE(CONTROL!$C$32, $C$9, 100%, $E$9)</f>
        <v>7.5709999999999997</v>
      </c>
      <c r="F458" s="33">
        <f>7.571 * CHOOSE(CONTROL!$C$32, $C$9, 100%, $E$9)</f>
        <v>7.5709999999999997</v>
      </c>
      <c r="G458" s="33">
        <f>7.5746 * CHOOSE(CONTROL!$C$32, $C$9, 100%, $E$9)</f>
        <v>7.5746000000000002</v>
      </c>
      <c r="H458" s="33">
        <f>14.6558 * CHOOSE(CONTROL!$C$32, $C$9, 100%, $E$9)</f>
        <v>14.655799999999999</v>
      </c>
      <c r="I458" s="33">
        <f>14.6595 * CHOOSE(CONTROL!$C$32, $C$9, 100%, $E$9)</f>
        <v>14.6595</v>
      </c>
      <c r="J458" s="33">
        <f>14.6558 * CHOOSE(CONTROL!$C$32, $C$9, 100%, $E$9)</f>
        <v>14.655799999999999</v>
      </c>
      <c r="K458" s="33">
        <f>14.6595 * CHOOSE(CONTROL!$C$32, $C$9, 100%, $E$9)</f>
        <v>14.6595</v>
      </c>
      <c r="L458" s="33">
        <f>7.571 * CHOOSE(CONTROL!$C$32, $C$9, 100%, $E$9)</f>
        <v>7.5709999999999997</v>
      </c>
      <c r="M458" s="33">
        <f>7.5746 * CHOOSE(CONTROL!$C$32, $C$9, 100%, $E$9)</f>
        <v>7.5746000000000002</v>
      </c>
      <c r="N458" s="33">
        <f>7.571 * CHOOSE(CONTROL!$C$32, $C$9, 100%, $E$9)</f>
        <v>7.5709999999999997</v>
      </c>
      <c r="O458" s="33">
        <f>7.5746 * CHOOSE(CONTROL!$C$32, $C$9, 100%, $E$9)</f>
        <v>7.5746000000000002</v>
      </c>
    </row>
    <row r="459" spans="1:15" ht="15" x14ac:dyDescent="0.2">
      <c r="A459" s="16">
        <v>55185</v>
      </c>
      <c r="B459" s="32">
        <f>6.7449 * CHOOSE(CONTROL!$C$32, $C$9, 100%, $E$9)</f>
        <v>6.7449000000000003</v>
      </c>
      <c r="C459" s="32">
        <f>6.7449 * CHOOSE(CONTROL!$C$32, $C$9, 100%, $E$9)</f>
        <v>6.7449000000000003</v>
      </c>
      <c r="D459" s="32">
        <f>6.746 * CHOOSE(CONTROL!$C$32, $C$9, 100%, $E$9)</f>
        <v>6.7460000000000004</v>
      </c>
      <c r="E459" s="33">
        <f>7.4053 * CHOOSE(CONTROL!$C$32, $C$9, 100%, $E$9)</f>
        <v>7.4053000000000004</v>
      </c>
      <c r="F459" s="33">
        <f>7.4053 * CHOOSE(CONTROL!$C$32, $C$9, 100%, $E$9)</f>
        <v>7.4053000000000004</v>
      </c>
      <c r="G459" s="33">
        <f>7.409 * CHOOSE(CONTROL!$C$32, $C$9, 100%, $E$9)</f>
        <v>7.4089999999999998</v>
      </c>
      <c r="H459" s="33">
        <f>14.6864 * CHOOSE(CONTROL!$C$32, $C$9, 100%, $E$9)</f>
        <v>14.686400000000001</v>
      </c>
      <c r="I459" s="33">
        <f>14.69 * CHOOSE(CONTROL!$C$32, $C$9, 100%, $E$9)</f>
        <v>14.69</v>
      </c>
      <c r="J459" s="33">
        <f>14.6864 * CHOOSE(CONTROL!$C$32, $C$9, 100%, $E$9)</f>
        <v>14.686400000000001</v>
      </c>
      <c r="K459" s="33">
        <f>14.69 * CHOOSE(CONTROL!$C$32, $C$9, 100%, $E$9)</f>
        <v>14.69</v>
      </c>
      <c r="L459" s="33">
        <f>7.4053 * CHOOSE(CONTROL!$C$32, $C$9, 100%, $E$9)</f>
        <v>7.4053000000000004</v>
      </c>
      <c r="M459" s="33">
        <f>7.409 * CHOOSE(CONTROL!$C$32, $C$9, 100%, $E$9)</f>
        <v>7.4089999999999998</v>
      </c>
      <c r="N459" s="33">
        <f>7.4053 * CHOOSE(CONTROL!$C$32, $C$9, 100%, $E$9)</f>
        <v>7.4053000000000004</v>
      </c>
      <c r="O459" s="33">
        <f>7.409 * CHOOSE(CONTROL!$C$32, $C$9, 100%, $E$9)</f>
        <v>7.4089999999999998</v>
      </c>
    </row>
    <row r="460" spans="1:15" ht="15" x14ac:dyDescent="0.2">
      <c r="A460" s="16">
        <v>55213</v>
      </c>
      <c r="B460" s="32">
        <f>6.7418 * CHOOSE(CONTROL!$C$32, $C$9, 100%, $E$9)</f>
        <v>6.7417999999999996</v>
      </c>
      <c r="C460" s="32">
        <f>6.7418 * CHOOSE(CONTROL!$C$32, $C$9, 100%, $E$9)</f>
        <v>6.7417999999999996</v>
      </c>
      <c r="D460" s="32">
        <f>6.7429 * CHOOSE(CONTROL!$C$32, $C$9, 100%, $E$9)</f>
        <v>6.7428999999999997</v>
      </c>
      <c r="E460" s="33">
        <f>7.5321 * CHOOSE(CONTROL!$C$32, $C$9, 100%, $E$9)</f>
        <v>7.5320999999999998</v>
      </c>
      <c r="F460" s="33">
        <f>7.5321 * CHOOSE(CONTROL!$C$32, $C$9, 100%, $E$9)</f>
        <v>7.5320999999999998</v>
      </c>
      <c r="G460" s="33">
        <f>7.5357 * CHOOSE(CONTROL!$C$32, $C$9, 100%, $E$9)</f>
        <v>7.5357000000000003</v>
      </c>
      <c r="H460" s="33">
        <f>14.717 * CHOOSE(CONTROL!$C$32, $C$9, 100%, $E$9)</f>
        <v>14.717000000000001</v>
      </c>
      <c r="I460" s="33">
        <f>14.7206 * CHOOSE(CONTROL!$C$32, $C$9, 100%, $E$9)</f>
        <v>14.720599999999999</v>
      </c>
      <c r="J460" s="33">
        <f>14.717 * CHOOSE(CONTROL!$C$32, $C$9, 100%, $E$9)</f>
        <v>14.717000000000001</v>
      </c>
      <c r="K460" s="33">
        <f>14.7206 * CHOOSE(CONTROL!$C$32, $C$9, 100%, $E$9)</f>
        <v>14.720599999999999</v>
      </c>
      <c r="L460" s="33">
        <f>7.5321 * CHOOSE(CONTROL!$C$32, $C$9, 100%, $E$9)</f>
        <v>7.5320999999999998</v>
      </c>
      <c r="M460" s="33">
        <f>7.5357 * CHOOSE(CONTROL!$C$32, $C$9, 100%, $E$9)</f>
        <v>7.5357000000000003</v>
      </c>
      <c r="N460" s="33">
        <f>7.5321 * CHOOSE(CONTROL!$C$32, $C$9, 100%, $E$9)</f>
        <v>7.5320999999999998</v>
      </c>
      <c r="O460" s="33">
        <f>7.5357 * CHOOSE(CONTROL!$C$32, $C$9, 100%, $E$9)</f>
        <v>7.5357000000000003</v>
      </c>
    </row>
    <row r="461" spans="1:15" ht="15" x14ac:dyDescent="0.2">
      <c r="A461" s="16">
        <v>55244</v>
      </c>
      <c r="B461" s="32">
        <f>6.7421 * CHOOSE(CONTROL!$C$32, $C$9, 100%, $E$9)</f>
        <v>6.7420999999999998</v>
      </c>
      <c r="C461" s="32">
        <f>6.7421 * CHOOSE(CONTROL!$C$32, $C$9, 100%, $E$9)</f>
        <v>6.7420999999999998</v>
      </c>
      <c r="D461" s="32">
        <f>6.7432 * CHOOSE(CONTROL!$C$32, $C$9, 100%, $E$9)</f>
        <v>6.7431999999999999</v>
      </c>
      <c r="E461" s="33">
        <f>7.6663 * CHOOSE(CONTROL!$C$32, $C$9, 100%, $E$9)</f>
        <v>7.6662999999999997</v>
      </c>
      <c r="F461" s="33">
        <f>7.6663 * CHOOSE(CONTROL!$C$32, $C$9, 100%, $E$9)</f>
        <v>7.6662999999999997</v>
      </c>
      <c r="G461" s="33">
        <f>7.6699 * CHOOSE(CONTROL!$C$32, $C$9, 100%, $E$9)</f>
        <v>7.6699000000000002</v>
      </c>
      <c r="H461" s="33">
        <f>14.7476 * CHOOSE(CONTROL!$C$32, $C$9, 100%, $E$9)</f>
        <v>14.7476</v>
      </c>
      <c r="I461" s="33">
        <f>14.7512 * CHOOSE(CONTROL!$C$32, $C$9, 100%, $E$9)</f>
        <v>14.751200000000001</v>
      </c>
      <c r="J461" s="33">
        <f>14.7476 * CHOOSE(CONTROL!$C$32, $C$9, 100%, $E$9)</f>
        <v>14.7476</v>
      </c>
      <c r="K461" s="33">
        <f>14.7512 * CHOOSE(CONTROL!$C$32, $C$9, 100%, $E$9)</f>
        <v>14.751200000000001</v>
      </c>
      <c r="L461" s="33">
        <f>7.6663 * CHOOSE(CONTROL!$C$32, $C$9, 100%, $E$9)</f>
        <v>7.6662999999999997</v>
      </c>
      <c r="M461" s="33">
        <f>7.6699 * CHOOSE(CONTROL!$C$32, $C$9, 100%, $E$9)</f>
        <v>7.6699000000000002</v>
      </c>
      <c r="N461" s="33">
        <f>7.6663 * CHOOSE(CONTROL!$C$32, $C$9, 100%, $E$9)</f>
        <v>7.6662999999999997</v>
      </c>
      <c r="O461" s="33">
        <f>7.6699 * CHOOSE(CONTROL!$C$32, $C$9, 100%, $E$9)</f>
        <v>7.6699000000000002</v>
      </c>
    </row>
    <row r="462" spans="1:15" ht="15" x14ac:dyDescent="0.2">
      <c r="A462" s="16">
        <v>55274</v>
      </c>
      <c r="B462" s="32">
        <f>6.7421 * CHOOSE(CONTROL!$C$32, $C$9, 100%, $E$9)</f>
        <v>6.7420999999999998</v>
      </c>
      <c r="C462" s="32">
        <f>6.7421 * CHOOSE(CONTROL!$C$32, $C$9, 100%, $E$9)</f>
        <v>6.7420999999999998</v>
      </c>
      <c r="D462" s="32">
        <f>6.7437 * CHOOSE(CONTROL!$C$32, $C$9, 100%, $E$9)</f>
        <v>6.7436999999999996</v>
      </c>
      <c r="E462" s="33">
        <f>7.7182 * CHOOSE(CONTROL!$C$32, $C$9, 100%, $E$9)</f>
        <v>7.7182000000000004</v>
      </c>
      <c r="F462" s="33">
        <f>7.7182 * CHOOSE(CONTROL!$C$32, $C$9, 100%, $E$9)</f>
        <v>7.7182000000000004</v>
      </c>
      <c r="G462" s="33">
        <f>7.7235 * CHOOSE(CONTROL!$C$32, $C$9, 100%, $E$9)</f>
        <v>7.7234999999999996</v>
      </c>
      <c r="H462" s="33">
        <f>14.7783 * CHOOSE(CONTROL!$C$32, $C$9, 100%, $E$9)</f>
        <v>14.7783</v>
      </c>
      <c r="I462" s="33">
        <f>14.7836 * CHOOSE(CONTROL!$C$32, $C$9, 100%, $E$9)</f>
        <v>14.7836</v>
      </c>
      <c r="J462" s="33">
        <f>14.7783 * CHOOSE(CONTROL!$C$32, $C$9, 100%, $E$9)</f>
        <v>14.7783</v>
      </c>
      <c r="K462" s="33">
        <f>14.7836 * CHOOSE(CONTROL!$C$32, $C$9, 100%, $E$9)</f>
        <v>14.7836</v>
      </c>
      <c r="L462" s="33">
        <f>7.7182 * CHOOSE(CONTROL!$C$32, $C$9, 100%, $E$9)</f>
        <v>7.7182000000000004</v>
      </c>
      <c r="M462" s="33">
        <f>7.7235 * CHOOSE(CONTROL!$C$32, $C$9, 100%, $E$9)</f>
        <v>7.7234999999999996</v>
      </c>
      <c r="N462" s="33">
        <f>7.7182 * CHOOSE(CONTROL!$C$32, $C$9, 100%, $E$9)</f>
        <v>7.7182000000000004</v>
      </c>
      <c r="O462" s="33">
        <f>7.7235 * CHOOSE(CONTROL!$C$32, $C$9, 100%, $E$9)</f>
        <v>7.7234999999999996</v>
      </c>
    </row>
    <row r="463" spans="1:15" ht="15" x14ac:dyDescent="0.2">
      <c r="A463" s="16">
        <v>55305</v>
      </c>
      <c r="B463" s="32">
        <f>6.7482 * CHOOSE(CONTROL!$C$32, $C$9, 100%, $E$9)</f>
        <v>6.7481999999999998</v>
      </c>
      <c r="C463" s="32">
        <f>6.7482 * CHOOSE(CONTROL!$C$32, $C$9, 100%, $E$9)</f>
        <v>6.7481999999999998</v>
      </c>
      <c r="D463" s="32">
        <f>6.7498 * CHOOSE(CONTROL!$C$32, $C$9, 100%, $E$9)</f>
        <v>6.7497999999999996</v>
      </c>
      <c r="E463" s="33">
        <f>7.6706 * CHOOSE(CONTROL!$C$32, $C$9, 100%, $E$9)</f>
        <v>7.6706000000000003</v>
      </c>
      <c r="F463" s="33">
        <f>7.6706 * CHOOSE(CONTROL!$C$32, $C$9, 100%, $E$9)</f>
        <v>7.6706000000000003</v>
      </c>
      <c r="G463" s="33">
        <f>7.6759 * CHOOSE(CONTROL!$C$32, $C$9, 100%, $E$9)</f>
        <v>7.6759000000000004</v>
      </c>
      <c r="H463" s="33">
        <f>14.8091 * CHOOSE(CONTROL!$C$32, $C$9, 100%, $E$9)</f>
        <v>14.809100000000001</v>
      </c>
      <c r="I463" s="33">
        <f>14.8144 * CHOOSE(CONTROL!$C$32, $C$9, 100%, $E$9)</f>
        <v>14.814399999999999</v>
      </c>
      <c r="J463" s="33">
        <f>14.8091 * CHOOSE(CONTROL!$C$32, $C$9, 100%, $E$9)</f>
        <v>14.809100000000001</v>
      </c>
      <c r="K463" s="33">
        <f>14.8144 * CHOOSE(CONTROL!$C$32, $C$9, 100%, $E$9)</f>
        <v>14.814399999999999</v>
      </c>
      <c r="L463" s="33">
        <f>7.6706 * CHOOSE(CONTROL!$C$32, $C$9, 100%, $E$9)</f>
        <v>7.6706000000000003</v>
      </c>
      <c r="M463" s="33">
        <f>7.6759 * CHOOSE(CONTROL!$C$32, $C$9, 100%, $E$9)</f>
        <v>7.6759000000000004</v>
      </c>
      <c r="N463" s="33">
        <f>7.6706 * CHOOSE(CONTROL!$C$32, $C$9, 100%, $E$9)</f>
        <v>7.6706000000000003</v>
      </c>
      <c r="O463" s="33">
        <f>7.6759 * CHOOSE(CONTROL!$C$32, $C$9, 100%, $E$9)</f>
        <v>7.6759000000000004</v>
      </c>
    </row>
    <row r="464" spans="1:15" ht="15" x14ac:dyDescent="0.2">
      <c r="A464" s="16">
        <v>55335</v>
      </c>
      <c r="B464" s="32">
        <f>6.8369 * CHOOSE(CONTROL!$C$32, $C$9, 100%, $E$9)</f>
        <v>6.8369</v>
      </c>
      <c r="C464" s="32">
        <f>6.8369 * CHOOSE(CONTROL!$C$32, $C$9, 100%, $E$9)</f>
        <v>6.8369</v>
      </c>
      <c r="D464" s="32">
        <f>6.8385 * CHOOSE(CONTROL!$C$32, $C$9, 100%, $E$9)</f>
        <v>6.8384999999999998</v>
      </c>
      <c r="E464" s="33">
        <f>7.7751 * CHOOSE(CONTROL!$C$32, $C$9, 100%, $E$9)</f>
        <v>7.7751000000000001</v>
      </c>
      <c r="F464" s="33">
        <f>7.7751 * CHOOSE(CONTROL!$C$32, $C$9, 100%, $E$9)</f>
        <v>7.7751000000000001</v>
      </c>
      <c r="G464" s="33">
        <f>7.7804 * CHOOSE(CONTROL!$C$32, $C$9, 100%, $E$9)</f>
        <v>7.7804000000000002</v>
      </c>
      <c r="H464" s="33">
        <f>14.84 * CHOOSE(CONTROL!$C$32, $C$9, 100%, $E$9)</f>
        <v>14.84</v>
      </c>
      <c r="I464" s="33">
        <f>14.8453 * CHOOSE(CONTROL!$C$32, $C$9, 100%, $E$9)</f>
        <v>14.8453</v>
      </c>
      <c r="J464" s="33">
        <f>14.84 * CHOOSE(CONTROL!$C$32, $C$9, 100%, $E$9)</f>
        <v>14.84</v>
      </c>
      <c r="K464" s="33">
        <f>14.8453 * CHOOSE(CONTROL!$C$32, $C$9, 100%, $E$9)</f>
        <v>14.8453</v>
      </c>
      <c r="L464" s="33">
        <f>7.7751 * CHOOSE(CONTROL!$C$32, $C$9, 100%, $E$9)</f>
        <v>7.7751000000000001</v>
      </c>
      <c r="M464" s="33">
        <f>7.7804 * CHOOSE(CONTROL!$C$32, $C$9, 100%, $E$9)</f>
        <v>7.7804000000000002</v>
      </c>
      <c r="N464" s="33">
        <f>7.7751 * CHOOSE(CONTROL!$C$32, $C$9, 100%, $E$9)</f>
        <v>7.7751000000000001</v>
      </c>
      <c r="O464" s="33">
        <f>7.7804 * CHOOSE(CONTROL!$C$32, $C$9, 100%, $E$9)</f>
        <v>7.7804000000000002</v>
      </c>
    </row>
    <row r="465" spans="1:15" ht="15" x14ac:dyDescent="0.2">
      <c r="A465" s="16">
        <v>55366</v>
      </c>
      <c r="B465" s="32">
        <f>6.8436 * CHOOSE(CONTROL!$C$32, $C$9, 100%, $E$9)</f>
        <v>6.8436000000000003</v>
      </c>
      <c r="C465" s="32">
        <f>6.8436 * CHOOSE(CONTROL!$C$32, $C$9, 100%, $E$9)</f>
        <v>6.8436000000000003</v>
      </c>
      <c r="D465" s="32">
        <f>6.8452 * CHOOSE(CONTROL!$C$32, $C$9, 100%, $E$9)</f>
        <v>6.8452000000000002</v>
      </c>
      <c r="E465" s="33">
        <f>7.6241 * CHOOSE(CONTROL!$C$32, $C$9, 100%, $E$9)</f>
        <v>7.6241000000000003</v>
      </c>
      <c r="F465" s="33">
        <f>7.6241 * CHOOSE(CONTROL!$C$32, $C$9, 100%, $E$9)</f>
        <v>7.6241000000000003</v>
      </c>
      <c r="G465" s="33">
        <f>7.6294 * CHOOSE(CONTROL!$C$32, $C$9, 100%, $E$9)</f>
        <v>7.6294000000000004</v>
      </c>
      <c r="H465" s="33">
        <f>14.8709 * CHOOSE(CONTROL!$C$32, $C$9, 100%, $E$9)</f>
        <v>14.870900000000001</v>
      </c>
      <c r="I465" s="33">
        <f>14.8762 * CHOOSE(CONTROL!$C$32, $C$9, 100%, $E$9)</f>
        <v>14.876200000000001</v>
      </c>
      <c r="J465" s="33">
        <f>14.8709 * CHOOSE(CONTROL!$C$32, $C$9, 100%, $E$9)</f>
        <v>14.870900000000001</v>
      </c>
      <c r="K465" s="33">
        <f>14.8762 * CHOOSE(CONTROL!$C$32, $C$9, 100%, $E$9)</f>
        <v>14.876200000000001</v>
      </c>
      <c r="L465" s="33">
        <f>7.6241 * CHOOSE(CONTROL!$C$32, $C$9, 100%, $E$9)</f>
        <v>7.6241000000000003</v>
      </c>
      <c r="M465" s="33">
        <f>7.6294 * CHOOSE(CONTROL!$C$32, $C$9, 100%, $E$9)</f>
        <v>7.6294000000000004</v>
      </c>
      <c r="N465" s="33">
        <f>7.6241 * CHOOSE(CONTROL!$C$32, $C$9, 100%, $E$9)</f>
        <v>7.6241000000000003</v>
      </c>
      <c r="O465" s="33">
        <f>7.6294 * CHOOSE(CONTROL!$C$32, $C$9, 100%, $E$9)</f>
        <v>7.6294000000000004</v>
      </c>
    </row>
    <row r="466" spans="1:15" ht="15" x14ac:dyDescent="0.2">
      <c r="A466" s="16">
        <v>55397</v>
      </c>
      <c r="B466" s="32">
        <f>6.8406 * CHOOSE(CONTROL!$C$32, $C$9, 100%, $E$9)</f>
        <v>6.8406000000000002</v>
      </c>
      <c r="C466" s="32">
        <f>6.8406 * CHOOSE(CONTROL!$C$32, $C$9, 100%, $E$9)</f>
        <v>6.8406000000000002</v>
      </c>
      <c r="D466" s="32">
        <f>6.8422 * CHOOSE(CONTROL!$C$32, $C$9, 100%, $E$9)</f>
        <v>6.8422000000000001</v>
      </c>
      <c r="E466" s="33">
        <f>7.6046 * CHOOSE(CONTROL!$C$32, $C$9, 100%, $E$9)</f>
        <v>7.6045999999999996</v>
      </c>
      <c r="F466" s="33">
        <f>7.6046 * CHOOSE(CONTROL!$C$32, $C$9, 100%, $E$9)</f>
        <v>7.6045999999999996</v>
      </c>
      <c r="G466" s="33">
        <f>7.6099 * CHOOSE(CONTROL!$C$32, $C$9, 100%, $E$9)</f>
        <v>7.6098999999999997</v>
      </c>
      <c r="H466" s="33">
        <f>14.9019 * CHOOSE(CONTROL!$C$32, $C$9, 100%, $E$9)</f>
        <v>14.901899999999999</v>
      </c>
      <c r="I466" s="33">
        <f>14.9072 * CHOOSE(CONTROL!$C$32, $C$9, 100%, $E$9)</f>
        <v>14.9072</v>
      </c>
      <c r="J466" s="33">
        <f>14.9019 * CHOOSE(CONTROL!$C$32, $C$9, 100%, $E$9)</f>
        <v>14.901899999999999</v>
      </c>
      <c r="K466" s="33">
        <f>14.9072 * CHOOSE(CONTROL!$C$32, $C$9, 100%, $E$9)</f>
        <v>14.9072</v>
      </c>
      <c r="L466" s="33">
        <f>7.6046 * CHOOSE(CONTROL!$C$32, $C$9, 100%, $E$9)</f>
        <v>7.6045999999999996</v>
      </c>
      <c r="M466" s="33">
        <f>7.6099 * CHOOSE(CONTROL!$C$32, $C$9, 100%, $E$9)</f>
        <v>7.6098999999999997</v>
      </c>
      <c r="N466" s="33">
        <f>7.6046 * CHOOSE(CONTROL!$C$32, $C$9, 100%, $E$9)</f>
        <v>7.6045999999999996</v>
      </c>
      <c r="O466" s="33">
        <f>7.6099 * CHOOSE(CONTROL!$C$32, $C$9, 100%, $E$9)</f>
        <v>7.6098999999999997</v>
      </c>
    </row>
    <row r="467" spans="1:15" ht="15" x14ac:dyDescent="0.2">
      <c r="A467" s="16">
        <v>55427</v>
      </c>
      <c r="B467" s="32">
        <f>6.8462 * CHOOSE(CONTROL!$C$32, $C$9, 100%, $E$9)</f>
        <v>6.8461999999999996</v>
      </c>
      <c r="C467" s="32">
        <f>6.8462 * CHOOSE(CONTROL!$C$32, $C$9, 100%, $E$9)</f>
        <v>6.8461999999999996</v>
      </c>
      <c r="D467" s="32">
        <f>6.8473 * CHOOSE(CONTROL!$C$32, $C$9, 100%, $E$9)</f>
        <v>6.8472999999999997</v>
      </c>
      <c r="E467" s="33">
        <f>7.6604 * CHOOSE(CONTROL!$C$32, $C$9, 100%, $E$9)</f>
        <v>7.6604000000000001</v>
      </c>
      <c r="F467" s="33">
        <f>7.6604 * CHOOSE(CONTROL!$C$32, $C$9, 100%, $E$9)</f>
        <v>7.6604000000000001</v>
      </c>
      <c r="G467" s="33">
        <f>7.6641 * CHOOSE(CONTROL!$C$32, $C$9, 100%, $E$9)</f>
        <v>7.6641000000000004</v>
      </c>
      <c r="H467" s="33">
        <f>14.9329 * CHOOSE(CONTROL!$C$32, $C$9, 100%, $E$9)</f>
        <v>14.9329</v>
      </c>
      <c r="I467" s="33">
        <f>14.9366 * CHOOSE(CONTROL!$C$32, $C$9, 100%, $E$9)</f>
        <v>14.9366</v>
      </c>
      <c r="J467" s="33">
        <f>14.9329 * CHOOSE(CONTROL!$C$32, $C$9, 100%, $E$9)</f>
        <v>14.9329</v>
      </c>
      <c r="K467" s="33">
        <f>14.9366 * CHOOSE(CONTROL!$C$32, $C$9, 100%, $E$9)</f>
        <v>14.9366</v>
      </c>
      <c r="L467" s="33">
        <f>7.6604 * CHOOSE(CONTROL!$C$32, $C$9, 100%, $E$9)</f>
        <v>7.6604000000000001</v>
      </c>
      <c r="M467" s="33">
        <f>7.6641 * CHOOSE(CONTROL!$C$32, $C$9, 100%, $E$9)</f>
        <v>7.6641000000000004</v>
      </c>
      <c r="N467" s="33">
        <f>7.6604 * CHOOSE(CONTROL!$C$32, $C$9, 100%, $E$9)</f>
        <v>7.6604000000000001</v>
      </c>
      <c r="O467" s="33">
        <f>7.6641 * CHOOSE(CONTROL!$C$32, $C$9, 100%, $E$9)</f>
        <v>7.6641000000000004</v>
      </c>
    </row>
    <row r="468" spans="1:15" ht="15" x14ac:dyDescent="0.2">
      <c r="A468" s="16">
        <v>55458</v>
      </c>
      <c r="B468" s="32">
        <f>6.8492 * CHOOSE(CONTROL!$C$32, $C$9, 100%, $E$9)</f>
        <v>6.8491999999999997</v>
      </c>
      <c r="C468" s="32">
        <f>6.8492 * CHOOSE(CONTROL!$C$32, $C$9, 100%, $E$9)</f>
        <v>6.8491999999999997</v>
      </c>
      <c r="D468" s="32">
        <f>6.8503 * CHOOSE(CONTROL!$C$32, $C$9, 100%, $E$9)</f>
        <v>6.8502999999999998</v>
      </c>
      <c r="E468" s="33">
        <f>7.6972 * CHOOSE(CONTROL!$C$32, $C$9, 100%, $E$9)</f>
        <v>7.6971999999999996</v>
      </c>
      <c r="F468" s="33">
        <f>7.6972 * CHOOSE(CONTROL!$C$32, $C$9, 100%, $E$9)</f>
        <v>7.6971999999999996</v>
      </c>
      <c r="G468" s="33">
        <f>7.7008 * CHOOSE(CONTROL!$C$32, $C$9, 100%, $E$9)</f>
        <v>7.7008000000000001</v>
      </c>
      <c r="H468" s="33">
        <f>14.964 * CHOOSE(CONTROL!$C$32, $C$9, 100%, $E$9)</f>
        <v>14.964</v>
      </c>
      <c r="I468" s="33">
        <f>14.9677 * CHOOSE(CONTROL!$C$32, $C$9, 100%, $E$9)</f>
        <v>14.967700000000001</v>
      </c>
      <c r="J468" s="33">
        <f>14.964 * CHOOSE(CONTROL!$C$32, $C$9, 100%, $E$9)</f>
        <v>14.964</v>
      </c>
      <c r="K468" s="33">
        <f>14.9677 * CHOOSE(CONTROL!$C$32, $C$9, 100%, $E$9)</f>
        <v>14.967700000000001</v>
      </c>
      <c r="L468" s="33">
        <f>7.6972 * CHOOSE(CONTROL!$C$32, $C$9, 100%, $E$9)</f>
        <v>7.6971999999999996</v>
      </c>
      <c r="M468" s="33">
        <f>7.7008 * CHOOSE(CONTROL!$C$32, $C$9, 100%, $E$9)</f>
        <v>7.7008000000000001</v>
      </c>
      <c r="N468" s="33">
        <f>7.6972 * CHOOSE(CONTROL!$C$32, $C$9, 100%, $E$9)</f>
        <v>7.6971999999999996</v>
      </c>
      <c r="O468" s="33">
        <f>7.7008 * CHOOSE(CONTROL!$C$32, $C$9, 100%, $E$9)</f>
        <v>7.7008000000000001</v>
      </c>
    </row>
    <row r="469" spans="1:15" ht="15" x14ac:dyDescent="0.2">
      <c r="A469" s="16">
        <v>55488</v>
      </c>
      <c r="B469" s="32">
        <f>6.8492 * CHOOSE(CONTROL!$C$32, $C$9, 100%, $E$9)</f>
        <v>6.8491999999999997</v>
      </c>
      <c r="C469" s="32">
        <f>6.8492 * CHOOSE(CONTROL!$C$32, $C$9, 100%, $E$9)</f>
        <v>6.8491999999999997</v>
      </c>
      <c r="D469" s="32">
        <f>6.8503 * CHOOSE(CONTROL!$C$32, $C$9, 100%, $E$9)</f>
        <v>6.8502999999999998</v>
      </c>
      <c r="E469" s="33">
        <f>7.6106 * CHOOSE(CONTROL!$C$32, $C$9, 100%, $E$9)</f>
        <v>7.6105999999999998</v>
      </c>
      <c r="F469" s="33">
        <f>7.6106 * CHOOSE(CONTROL!$C$32, $C$9, 100%, $E$9)</f>
        <v>7.6105999999999998</v>
      </c>
      <c r="G469" s="33">
        <f>7.6143 * CHOOSE(CONTROL!$C$32, $C$9, 100%, $E$9)</f>
        <v>7.6143000000000001</v>
      </c>
      <c r="H469" s="33">
        <f>14.9952 * CHOOSE(CONTROL!$C$32, $C$9, 100%, $E$9)</f>
        <v>14.995200000000001</v>
      </c>
      <c r="I469" s="33">
        <f>14.9988 * CHOOSE(CONTROL!$C$32, $C$9, 100%, $E$9)</f>
        <v>14.998799999999999</v>
      </c>
      <c r="J469" s="33">
        <f>14.9952 * CHOOSE(CONTROL!$C$32, $C$9, 100%, $E$9)</f>
        <v>14.995200000000001</v>
      </c>
      <c r="K469" s="33">
        <f>14.9988 * CHOOSE(CONTROL!$C$32, $C$9, 100%, $E$9)</f>
        <v>14.998799999999999</v>
      </c>
      <c r="L469" s="33">
        <f>7.6106 * CHOOSE(CONTROL!$C$32, $C$9, 100%, $E$9)</f>
        <v>7.6105999999999998</v>
      </c>
      <c r="M469" s="33">
        <f>7.6143 * CHOOSE(CONTROL!$C$32, $C$9, 100%, $E$9)</f>
        <v>7.6143000000000001</v>
      </c>
      <c r="N469" s="33">
        <f>7.6106 * CHOOSE(CONTROL!$C$32, $C$9, 100%, $E$9)</f>
        <v>7.6105999999999998</v>
      </c>
      <c r="O469" s="33">
        <f>7.6143 * CHOOSE(CONTROL!$C$32, $C$9, 100%, $E$9)</f>
        <v>7.6143000000000001</v>
      </c>
    </row>
    <row r="470" spans="1:15" ht="15" x14ac:dyDescent="0.2">
      <c r="A470" s="16">
        <v>55519</v>
      </c>
      <c r="B470" s="32">
        <f>6.901 * CHOOSE(CONTROL!$C$32, $C$9, 100%, $E$9)</f>
        <v>6.9009999999999998</v>
      </c>
      <c r="C470" s="32">
        <f>6.901 * CHOOSE(CONTROL!$C$32, $C$9, 100%, $E$9)</f>
        <v>6.9009999999999998</v>
      </c>
      <c r="D470" s="32">
        <f>6.9021 * CHOOSE(CONTROL!$C$32, $C$9, 100%, $E$9)</f>
        <v>6.9020999999999999</v>
      </c>
      <c r="E470" s="33">
        <f>7.7372 * CHOOSE(CONTROL!$C$32, $C$9, 100%, $E$9)</f>
        <v>7.7371999999999996</v>
      </c>
      <c r="F470" s="33">
        <f>7.7372 * CHOOSE(CONTROL!$C$32, $C$9, 100%, $E$9)</f>
        <v>7.7371999999999996</v>
      </c>
      <c r="G470" s="33">
        <f>7.7408 * CHOOSE(CONTROL!$C$32, $C$9, 100%, $E$9)</f>
        <v>7.7408000000000001</v>
      </c>
      <c r="H470" s="33">
        <f>15.0265 * CHOOSE(CONTROL!$C$32, $C$9, 100%, $E$9)</f>
        <v>15.0265</v>
      </c>
      <c r="I470" s="33">
        <f>15.0301 * CHOOSE(CONTROL!$C$32, $C$9, 100%, $E$9)</f>
        <v>15.030099999999999</v>
      </c>
      <c r="J470" s="33">
        <f>15.0265 * CHOOSE(CONTROL!$C$32, $C$9, 100%, $E$9)</f>
        <v>15.0265</v>
      </c>
      <c r="K470" s="33">
        <f>15.0301 * CHOOSE(CONTROL!$C$32, $C$9, 100%, $E$9)</f>
        <v>15.030099999999999</v>
      </c>
      <c r="L470" s="33">
        <f>7.7372 * CHOOSE(CONTROL!$C$32, $C$9, 100%, $E$9)</f>
        <v>7.7371999999999996</v>
      </c>
      <c r="M470" s="33">
        <f>7.7408 * CHOOSE(CONTROL!$C$32, $C$9, 100%, $E$9)</f>
        <v>7.7408000000000001</v>
      </c>
      <c r="N470" s="33">
        <f>7.7372 * CHOOSE(CONTROL!$C$32, $C$9, 100%, $E$9)</f>
        <v>7.7371999999999996</v>
      </c>
      <c r="O470" s="33">
        <f>7.7408 * CHOOSE(CONTROL!$C$32, $C$9, 100%, $E$9)</f>
        <v>7.7408000000000001</v>
      </c>
    </row>
    <row r="471" spans="1:15" ht="15" x14ac:dyDescent="0.2">
      <c r="A471" s="16">
        <v>55550</v>
      </c>
      <c r="B471" s="32">
        <f>6.8979 * CHOOSE(CONTROL!$C$32, $C$9, 100%, $E$9)</f>
        <v>6.8978999999999999</v>
      </c>
      <c r="C471" s="32">
        <f>6.8979 * CHOOSE(CONTROL!$C$32, $C$9, 100%, $E$9)</f>
        <v>6.8978999999999999</v>
      </c>
      <c r="D471" s="32">
        <f>6.899 * CHOOSE(CONTROL!$C$32, $C$9, 100%, $E$9)</f>
        <v>6.899</v>
      </c>
      <c r="E471" s="33">
        <f>7.5663 * CHOOSE(CONTROL!$C$32, $C$9, 100%, $E$9)</f>
        <v>7.5663</v>
      </c>
      <c r="F471" s="33">
        <f>7.5663 * CHOOSE(CONTROL!$C$32, $C$9, 100%, $E$9)</f>
        <v>7.5663</v>
      </c>
      <c r="G471" s="33">
        <f>7.5699 * CHOOSE(CONTROL!$C$32, $C$9, 100%, $E$9)</f>
        <v>7.5698999999999996</v>
      </c>
      <c r="H471" s="33">
        <f>15.0578 * CHOOSE(CONTROL!$C$32, $C$9, 100%, $E$9)</f>
        <v>15.0578</v>
      </c>
      <c r="I471" s="33">
        <f>15.0614 * CHOOSE(CONTROL!$C$32, $C$9, 100%, $E$9)</f>
        <v>15.061400000000001</v>
      </c>
      <c r="J471" s="33">
        <f>15.0578 * CHOOSE(CONTROL!$C$32, $C$9, 100%, $E$9)</f>
        <v>15.0578</v>
      </c>
      <c r="K471" s="33">
        <f>15.0614 * CHOOSE(CONTROL!$C$32, $C$9, 100%, $E$9)</f>
        <v>15.061400000000001</v>
      </c>
      <c r="L471" s="33">
        <f>7.5663 * CHOOSE(CONTROL!$C$32, $C$9, 100%, $E$9)</f>
        <v>7.5663</v>
      </c>
      <c r="M471" s="33">
        <f>7.5699 * CHOOSE(CONTROL!$C$32, $C$9, 100%, $E$9)</f>
        <v>7.5698999999999996</v>
      </c>
      <c r="N471" s="33">
        <f>7.5663 * CHOOSE(CONTROL!$C$32, $C$9, 100%, $E$9)</f>
        <v>7.5663</v>
      </c>
      <c r="O471" s="33">
        <f>7.5699 * CHOOSE(CONTROL!$C$32, $C$9, 100%, $E$9)</f>
        <v>7.5698999999999996</v>
      </c>
    </row>
    <row r="472" spans="1:15" ht="15" x14ac:dyDescent="0.2">
      <c r="A472" s="16">
        <v>55579</v>
      </c>
      <c r="B472" s="32">
        <f>6.8949 * CHOOSE(CONTROL!$C$32, $C$9, 100%, $E$9)</f>
        <v>6.8948999999999998</v>
      </c>
      <c r="C472" s="32">
        <f>6.8949 * CHOOSE(CONTROL!$C$32, $C$9, 100%, $E$9)</f>
        <v>6.8948999999999998</v>
      </c>
      <c r="D472" s="32">
        <f>6.896 * CHOOSE(CONTROL!$C$32, $C$9, 100%, $E$9)</f>
        <v>6.8959999999999999</v>
      </c>
      <c r="E472" s="33">
        <f>7.6972 * CHOOSE(CONTROL!$C$32, $C$9, 100%, $E$9)</f>
        <v>7.6971999999999996</v>
      </c>
      <c r="F472" s="33">
        <f>7.6972 * CHOOSE(CONTROL!$C$32, $C$9, 100%, $E$9)</f>
        <v>7.6971999999999996</v>
      </c>
      <c r="G472" s="33">
        <f>7.7008 * CHOOSE(CONTROL!$C$32, $C$9, 100%, $E$9)</f>
        <v>7.7008000000000001</v>
      </c>
      <c r="H472" s="33">
        <f>15.0891 * CHOOSE(CONTROL!$C$32, $C$9, 100%, $E$9)</f>
        <v>15.0891</v>
      </c>
      <c r="I472" s="33">
        <f>15.0928 * CHOOSE(CONTROL!$C$32, $C$9, 100%, $E$9)</f>
        <v>15.0928</v>
      </c>
      <c r="J472" s="33">
        <f>15.0891 * CHOOSE(CONTROL!$C$32, $C$9, 100%, $E$9)</f>
        <v>15.0891</v>
      </c>
      <c r="K472" s="33">
        <f>15.0928 * CHOOSE(CONTROL!$C$32, $C$9, 100%, $E$9)</f>
        <v>15.0928</v>
      </c>
      <c r="L472" s="33">
        <f>7.6972 * CHOOSE(CONTROL!$C$32, $C$9, 100%, $E$9)</f>
        <v>7.6971999999999996</v>
      </c>
      <c r="M472" s="33">
        <f>7.7008 * CHOOSE(CONTROL!$C$32, $C$9, 100%, $E$9)</f>
        <v>7.7008000000000001</v>
      </c>
      <c r="N472" s="33">
        <f>7.6972 * CHOOSE(CONTROL!$C$32, $C$9, 100%, $E$9)</f>
        <v>7.6971999999999996</v>
      </c>
      <c r="O472" s="33">
        <f>7.7008 * CHOOSE(CONTROL!$C$32, $C$9, 100%, $E$9)</f>
        <v>7.7008000000000001</v>
      </c>
    </row>
    <row r="473" spans="1:15" ht="15" x14ac:dyDescent="0.2">
      <c r="A473" s="16">
        <v>55610</v>
      </c>
      <c r="B473" s="32">
        <f>6.8953 * CHOOSE(CONTROL!$C$32, $C$9, 100%, $E$9)</f>
        <v>6.8952999999999998</v>
      </c>
      <c r="C473" s="32">
        <f>6.8953 * CHOOSE(CONTROL!$C$32, $C$9, 100%, $E$9)</f>
        <v>6.8952999999999998</v>
      </c>
      <c r="D473" s="32">
        <f>6.8964 * CHOOSE(CONTROL!$C$32, $C$9, 100%, $E$9)</f>
        <v>6.8963999999999999</v>
      </c>
      <c r="E473" s="33">
        <f>7.8359 * CHOOSE(CONTROL!$C$32, $C$9, 100%, $E$9)</f>
        <v>7.8358999999999996</v>
      </c>
      <c r="F473" s="33">
        <f>7.8359 * CHOOSE(CONTROL!$C$32, $C$9, 100%, $E$9)</f>
        <v>7.8358999999999996</v>
      </c>
      <c r="G473" s="33">
        <f>7.8395 * CHOOSE(CONTROL!$C$32, $C$9, 100%, $E$9)</f>
        <v>7.8395000000000001</v>
      </c>
      <c r="H473" s="33">
        <f>15.1206 * CHOOSE(CONTROL!$C$32, $C$9, 100%, $E$9)</f>
        <v>15.1206</v>
      </c>
      <c r="I473" s="33">
        <f>15.1242 * CHOOSE(CONTROL!$C$32, $C$9, 100%, $E$9)</f>
        <v>15.1242</v>
      </c>
      <c r="J473" s="33">
        <f>15.1206 * CHOOSE(CONTROL!$C$32, $C$9, 100%, $E$9)</f>
        <v>15.1206</v>
      </c>
      <c r="K473" s="33">
        <f>15.1242 * CHOOSE(CONTROL!$C$32, $C$9, 100%, $E$9)</f>
        <v>15.1242</v>
      </c>
      <c r="L473" s="33">
        <f>7.8359 * CHOOSE(CONTROL!$C$32, $C$9, 100%, $E$9)</f>
        <v>7.8358999999999996</v>
      </c>
      <c r="M473" s="33">
        <f>7.8395 * CHOOSE(CONTROL!$C$32, $C$9, 100%, $E$9)</f>
        <v>7.8395000000000001</v>
      </c>
      <c r="N473" s="33">
        <f>7.8359 * CHOOSE(CONTROL!$C$32, $C$9, 100%, $E$9)</f>
        <v>7.8358999999999996</v>
      </c>
      <c r="O473" s="33">
        <f>7.8395 * CHOOSE(CONTROL!$C$32, $C$9, 100%, $E$9)</f>
        <v>7.8395000000000001</v>
      </c>
    </row>
    <row r="474" spans="1:15" ht="15" x14ac:dyDescent="0.2">
      <c r="A474" s="16">
        <v>55640</v>
      </c>
      <c r="B474" s="32">
        <f>6.8953 * CHOOSE(CONTROL!$C$32, $C$9, 100%, $E$9)</f>
        <v>6.8952999999999998</v>
      </c>
      <c r="C474" s="32">
        <f>6.8953 * CHOOSE(CONTROL!$C$32, $C$9, 100%, $E$9)</f>
        <v>6.8952999999999998</v>
      </c>
      <c r="D474" s="32">
        <f>6.8969 * CHOOSE(CONTROL!$C$32, $C$9, 100%, $E$9)</f>
        <v>6.8968999999999996</v>
      </c>
      <c r="E474" s="33">
        <f>7.8895 * CHOOSE(CONTROL!$C$32, $C$9, 100%, $E$9)</f>
        <v>7.8895</v>
      </c>
      <c r="F474" s="33">
        <f>7.8895 * CHOOSE(CONTROL!$C$32, $C$9, 100%, $E$9)</f>
        <v>7.8895</v>
      </c>
      <c r="G474" s="33">
        <f>7.8948 * CHOOSE(CONTROL!$C$32, $C$9, 100%, $E$9)</f>
        <v>7.8948</v>
      </c>
      <c r="H474" s="33">
        <f>15.1521 * CHOOSE(CONTROL!$C$32, $C$9, 100%, $E$9)</f>
        <v>15.152100000000001</v>
      </c>
      <c r="I474" s="33">
        <f>15.1574 * CHOOSE(CONTROL!$C$32, $C$9, 100%, $E$9)</f>
        <v>15.157400000000001</v>
      </c>
      <c r="J474" s="33">
        <f>15.1521 * CHOOSE(CONTROL!$C$32, $C$9, 100%, $E$9)</f>
        <v>15.152100000000001</v>
      </c>
      <c r="K474" s="33">
        <f>15.1574 * CHOOSE(CONTROL!$C$32, $C$9, 100%, $E$9)</f>
        <v>15.157400000000001</v>
      </c>
      <c r="L474" s="33">
        <f>7.8895 * CHOOSE(CONTROL!$C$32, $C$9, 100%, $E$9)</f>
        <v>7.8895</v>
      </c>
      <c r="M474" s="33">
        <f>7.8948 * CHOOSE(CONTROL!$C$32, $C$9, 100%, $E$9)</f>
        <v>7.8948</v>
      </c>
      <c r="N474" s="33">
        <f>7.8895 * CHOOSE(CONTROL!$C$32, $C$9, 100%, $E$9)</f>
        <v>7.8895</v>
      </c>
      <c r="O474" s="33">
        <f>7.8948 * CHOOSE(CONTROL!$C$32, $C$9, 100%, $E$9)</f>
        <v>7.8948</v>
      </c>
    </row>
    <row r="475" spans="1:15" ht="15" x14ac:dyDescent="0.2">
      <c r="A475" s="16">
        <v>55671</v>
      </c>
      <c r="B475" s="32">
        <f>6.9014 * CHOOSE(CONTROL!$C$32, $C$9, 100%, $E$9)</f>
        <v>6.9013999999999998</v>
      </c>
      <c r="C475" s="32">
        <f>6.9014 * CHOOSE(CONTROL!$C$32, $C$9, 100%, $E$9)</f>
        <v>6.9013999999999998</v>
      </c>
      <c r="D475" s="32">
        <f>6.903 * CHOOSE(CONTROL!$C$32, $C$9, 100%, $E$9)</f>
        <v>6.9029999999999996</v>
      </c>
      <c r="E475" s="33">
        <f>7.8402 * CHOOSE(CONTROL!$C$32, $C$9, 100%, $E$9)</f>
        <v>7.8402000000000003</v>
      </c>
      <c r="F475" s="33">
        <f>7.8402 * CHOOSE(CONTROL!$C$32, $C$9, 100%, $E$9)</f>
        <v>7.8402000000000003</v>
      </c>
      <c r="G475" s="33">
        <f>7.8455 * CHOOSE(CONTROL!$C$32, $C$9, 100%, $E$9)</f>
        <v>7.8455000000000004</v>
      </c>
      <c r="H475" s="33">
        <f>15.1836 * CHOOSE(CONTROL!$C$32, $C$9, 100%, $E$9)</f>
        <v>15.1836</v>
      </c>
      <c r="I475" s="33">
        <f>15.1889 * CHOOSE(CONTROL!$C$32, $C$9, 100%, $E$9)</f>
        <v>15.1889</v>
      </c>
      <c r="J475" s="33">
        <f>15.1836 * CHOOSE(CONTROL!$C$32, $C$9, 100%, $E$9)</f>
        <v>15.1836</v>
      </c>
      <c r="K475" s="33">
        <f>15.1889 * CHOOSE(CONTROL!$C$32, $C$9, 100%, $E$9)</f>
        <v>15.1889</v>
      </c>
      <c r="L475" s="33">
        <f>7.8402 * CHOOSE(CONTROL!$C$32, $C$9, 100%, $E$9)</f>
        <v>7.8402000000000003</v>
      </c>
      <c r="M475" s="33">
        <f>7.8455 * CHOOSE(CONTROL!$C$32, $C$9, 100%, $E$9)</f>
        <v>7.8455000000000004</v>
      </c>
      <c r="N475" s="33">
        <f>7.8402 * CHOOSE(CONTROL!$C$32, $C$9, 100%, $E$9)</f>
        <v>7.8402000000000003</v>
      </c>
      <c r="O475" s="33">
        <f>7.8455 * CHOOSE(CONTROL!$C$32, $C$9, 100%, $E$9)</f>
        <v>7.8455000000000004</v>
      </c>
    </row>
    <row r="476" spans="1:15" ht="15" x14ac:dyDescent="0.2">
      <c r="A476" s="16">
        <v>55701</v>
      </c>
      <c r="B476" s="32">
        <f>6.9918 * CHOOSE(CONTROL!$C$32, $C$9, 100%, $E$9)</f>
        <v>6.9917999999999996</v>
      </c>
      <c r="C476" s="32">
        <f>6.9918 * CHOOSE(CONTROL!$C$32, $C$9, 100%, $E$9)</f>
        <v>6.9917999999999996</v>
      </c>
      <c r="D476" s="32">
        <f>6.9934 * CHOOSE(CONTROL!$C$32, $C$9, 100%, $E$9)</f>
        <v>6.9934000000000003</v>
      </c>
      <c r="E476" s="33">
        <f>7.9482 * CHOOSE(CONTROL!$C$32, $C$9, 100%, $E$9)</f>
        <v>7.9481999999999999</v>
      </c>
      <c r="F476" s="33">
        <f>7.9482 * CHOOSE(CONTROL!$C$32, $C$9, 100%, $E$9)</f>
        <v>7.9481999999999999</v>
      </c>
      <c r="G476" s="33">
        <f>7.9535 * CHOOSE(CONTROL!$C$32, $C$9, 100%, $E$9)</f>
        <v>7.9535</v>
      </c>
      <c r="H476" s="33">
        <f>15.2153 * CHOOSE(CONTROL!$C$32, $C$9, 100%, $E$9)</f>
        <v>15.215299999999999</v>
      </c>
      <c r="I476" s="33">
        <f>15.2206 * CHOOSE(CONTROL!$C$32, $C$9, 100%, $E$9)</f>
        <v>15.220599999999999</v>
      </c>
      <c r="J476" s="33">
        <f>15.2153 * CHOOSE(CONTROL!$C$32, $C$9, 100%, $E$9)</f>
        <v>15.215299999999999</v>
      </c>
      <c r="K476" s="33">
        <f>15.2206 * CHOOSE(CONTROL!$C$32, $C$9, 100%, $E$9)</f>
        <v>15.220599999999999</v>
      </c>
      <c r="L476" s="33">
        <f>7.9482 * CHOOSE(CONTROL!$C$32, $C$9, 100%, $E$9)</f>
        <v>7.9481999999999999</v>
      </c>
      <c r="M476" s="33">
        <f>7.9535 * CHOOSE(CONTROL!$C$32, $C$9, 100%, $E$9)</f>
        <v>7.9535</v>
      </c>
      <c r="N476" s="33">
        <f>7.9482 * CHOOSE(CONTROL!$C$32, $C$9, 100%, $E$9)</f>
        <v>7.9481999999999999</v>
      </c>
      <c r="O476" s="33">
        <f>7.9535 * CHOOSE(CONTROL!$C$32, $C$9, 100%, $E$9)</f>
        <v>7.9535</v>
      </c>
    </row>
    <row r="477" spans="1:15" ht="15" x14ac:dyDescent="0.2">
      <c r="A477" s="16">
        <v>55732</v>
      </c>
      <c r="B477" s="32">
        <f>6.9985 * CHOOSE(CONTROL!$C$32, $C$9, 100%, $E$9)</f>
        <v>6.9984999999999999</v>
      </c>
      <c r="C477" s="32">
        <f>6.9985 * CHOOSE(CONTROL!$C$32, $C$9, 100%, $E$9)</f>
        <v>6.9984999999999999</v>
      </c>
      <c r="D477" s="32">
        <f>7.0001 * CHOOSE(CONTROL!$C$32, $C$9, 100%, $E$9)</f>
        <v>7.0000999999999998</v>
      </c>
      <c r="E477" s="33">
        <f>7.7921 * CHOOSE(CONTROL!$C$32, $C$9, 100%, $E$9)</f>
        <v>7.7920999999999996</v>
      </c>
      <c r="F477" s="33">
        <f>7.7921 * CHOOSE(CONTROL!$C$32, $C$9, 100%, $E$9)</f>
        <v>7.7920999999999996</v>
      </c>
      <c r="G477" s="33">
        <f>7.7974 * CHOOSE(CONTROL!$C$32, $C$9, 100%, $E$9)</f>
        <v>7.7973999999999997</v>
      </c>
      <c r="H477" s="33">
        <f>15.247 * CHOOSE(CONTROL!$C$32, $C$9, 100%, $E$9)</f>
        <v>15.247</v>
      </c>
      <c r="I477" s="33">
        <f>15.2523 * CHOOSE(CONTROL!$C$32, $C$9, 100%, $E$9)</f>
        <v>15.2523</v>
      </c>
      <c r="J477" s="33">
        <f>15.247 * CHOOSE(CONTROL!$C$32, $C$9, 100%, $E$9)</f>
        <v>15.247</v>
      </c>
      <c r="K477" s="33">
        <f>15.2523 * CHOOSE(CONTROL!$C$32, $C$9, 100%, $E$9)</f>
        <v>15.2523</v>
      </c>
      <c r="L477" s="33">
        <f>7.7921 * CHOOSE(CONTROL!$C$32, $C$9, 100%, $E$9)</f>
        <v>7.7920999999999996</v>
      </c>
      <c r="M477" s="33">
        <f>7.7974 * CHOOSE(CONTROL!$C$32, $C$9, 100%, $E$9)</f>
        <v>7.7973999999999997</v>
      </c>
      <c r="N477" s="33">
        <f>7.7921 * CHOOSE(CONTROL!$C$32, $C$9, 100%, $E$9)</f>
        <v>7.7920999999999996</v>
      </c>
      <c r="O477" s="33">
        <f>7.7974 * CHOOSE(CONTROL!$C$32, $C$9, 100%, $E$9)</f>
        <v>7.7973999999999997</v>
      </c>
    </row>
    <row r="478" spans="1:15" ht="15" x14ac:dyDescent="0.2">
      <c r="A478" s="16">
        <v>55763</v>
      </c>
      <c r="B478" s="32">
        <f>6.9955 * CHOOSE(CONTROL!$C$32, $C$9, 100%, $E$9)</f>
        <v>6.9954999999999998</v>
      </c>
      <c r="C478" s="32">
        <f>6.9955 * CHOOSE(CONTROL!$C$32, $C$9, 100%, $E$9)</f>
        <v>6.9954999999999998</v>
      </c>
      <c r="D478" s="32">
        <f>6.997 * CHOOSE(CONTROL!$C$32, $C$9, 100%, $E$9)</f>
        <v>6.9969999999999999</v>
      </c>
      <c r="E478" s="33">
        <f>7.7721 * CHOOSE(CONTROL!$C$32, $C$9, 100%, $E$9)</f>
        <v>7.7721</v>
      </c>
      <c r="F478" s="33">
        <f>7.7721 * CHOOSE(CONTROL!$C$32, $C$9, 100%, $E$9)</f>
        <v>7.7721</v>
      </c>
      <c r="G478" s="33">
        <f>7.7774 * CHOOSE(CONTROL!$C$32, $C$9, 100%, $E$9)</f>
        <v>7.7774000000000001</v>
      </c>
      <c r="H478" s="33">
        <f>15.2787 * CHOOSE(CONTROL!$C$32, $C$9, 100%, $E$9)</f>
        <v>15.278700000000001</v>
      </c>
      <c r="I478" s="33">
        <f>15.284 * CHOOSE(CONTROL!$C$32, $C$9, 100%, $E$9)</f>
        <v>15.284000000000001</v>
      </c>
      <c r="J478" s="33">
        <f>15.2787 * CHOOSE(CONTROL!$C$32, $C$9, 100%, $E$9)</f>
        <v>15.278700000000001</v>
      </c>
      <c r="K478" s="33">
        <f>15.284 * CHOOSE(CONTROL!$C$32, $C$9, 100%, $E$9)</f>
        <v>15.284000000000001</v>
      </c>
      <c r="L478" s="33">
        <f>7.7721 * CHOOSE(CONTROL!$C$32, $C$9, 100%, $E$9)</f>
        <v>7.7721</v>
      </c>
      <c r="M478" s="33">
        <f>7.7774 * CHOOSE(CONTROL!$C$32, $C$9, 100%, $E$9)</f>
        <v>7.7774000000000001</v>
      </c>
      <c r="N478" s="33">
        <f>7.7721 * CHOOSE(CONTROL!$C$32, $C$9, 100%, $E$9)</f>
        <v>7.7721</v>
      </c>
      <c r="O478" s="33">
        <f>7.7774 * CHOOSE(CONTROL!$C$32, $C$9, 100%, $E$9)</f>
        <v>7.7774000000000001</v>
      </c>
    </row>
    <row r="479" spans="1:15" ht="15" x14ac:dyDescent="0.2">
      <c r="A479" s="16">
        <v>55793</v>
      </c>
      <c r="B479" s="32">
        <f>7.0017 * CHOOSE(CONTROL!$C$32, $C$9, 100%, $E$9)</f>
        <v>7.0016999999999996</v>
      </c>
      <c r="C479" s="32">
        <f>7.0017 * CHOOSE(CONTROL!$C$32, $C$9, 100%, $E$9)</f>
        <v>7.0016999999999996</v>
      </c>
      <c r="D479" s="32">
        <f>7.0027 * CHOOSE(CONTROL!$C$32, $C$9, 100%, $E$9)</f>
        <v>7.0026999999999999</v>
      </c>
      <c r="E479" s="33">
        <f>7.8302 * CHOOSE(CONTROL!$C$32, $C$9, 100%, $E$9)</f>
        <v>7.8301999999999996</v>
      </c>
      <c r="F479" s="33">
        <f>7.8302 * CHOOSE(CONTROL!$C$32, $C$9, 100%, $E$9)</f>
        <v>7.8301999999999996</v>
      </c>
      <c r="G479" s="33">
        <f>7.8338 * CHOOSE(CONTROL!$C$32, $C$9, 100%, $E$9)</f>
        <v>7.8338000000000001</v>
      </c>
      <c r="H479" s="33">
        <f>15.3106 * CHOOSE(CONTROL!$C$32, $C$9, 100%, $E$9)</f>
        <v>15.310600000000001</v>
      </c>
      <c r="I479" s="33">
        <f>15.3142 * CHOOSE(CONTROL!$C$32, $C$9, 100%, $E$9)</f>
        <v>15.3142</v>
      </c>
      <c r="J479" s="33">
        <f>15.3106 * CHOOSE(CONTROL!$C$32, $C$9, 100%, $E$9)</f>
        <v>15.310600000000001</v>
      </c>
      <c r="K479" s="33">
        <f>15.3142 * CHOOSE(CONTROL!$C$32, $C$9, 100%, $E$9)</f>
        <v>15.3142</v>
      </c>
      <c r="L479" s="33">
        <f>7.8302 * CHOOSE(CONTROL!$C$32, $C$9, 100%, $E$9)</f>
        <v>7.8301999999999996</v>
      </c>
      <c r="M479" s="33">
        <f>7.8338 * CHOOSE(CONTROL!$C$32, $C$9, 100%, $E$9)</f>
        <v>7.8338000000000001</v>
      </c>
      <c r="N479" s="33">
        <f>7.8302 * CHOOSE(CONTROL!$C$32, $C$9, 100%, $E$9)</f>
        <v>7.8301999999999996</v>
      </c>
      <c r="O479" s="33">
        <f>7.8338 * CHOOSE(CONTROL!$C$32, $C$9, 100%, $E$9)</f>
        <v>7.8338000000000001</v>
      </c>
    </row>
    <row r="480" spans="1:15" ht="15" x14ac:dyDescent="0.2">
      <c r="A480" s="16">
        <v>55824</v>
      </c>
      <c r="B480" s="32">
        <f>7.0047 * CHOOSE(CONTROL!$C$32, $C$9, 100%, $E$9)</f>
        <v>7.0046999999999997</v>
      </c>
      <c r="C480" s="32">
        <f>7.0047 * CHOOSE(CONTROL!$C$32, $C$9, 100%, $E$9)</f>
        <v>7.0046999999999997</v>
      </c>
      <c r="D480" s="32">
        <f>7.0058 * CHOOSE(CONTROL!$C$32, $C$9, 100%, $E$9)</f>
        <v>7.0057999999999998</v>
      </c>
      <c r="E480" s="33">
        <f>7.868 * CHOOSE(CONTROL!$C$32, $C$9, 100%, $E$9)</f>
        <v>7.8680000000000003</v>
      </c>
      <c r="F480" s="33">
        <f>7.868 * CHOOSE(CONTROL!$C$32, $C$9, 100%, $E$9)</f>
        <v>7.8680000000000003</v>
      </c>
      <c r="G480" s="33">
        <f>7.8716 * CHOOSE(CONTROL!$C$32, $C$9, 100%, $E$9)</f>
        <v>7.8715999999999999</v>
      </c>
      <c r="H480" s="33">
        <f>15.3425 * CHOOSE(CONTROL!$C$32, $C$9, 100%, $E$9)</f>
        <v>15.342499999999999</v>
      </c>
      <c r="I480" s="33">
        <f>15.3461 * CHOOSE(CONTROL!$C$32, $C$9, 100%, $E$9)</f>
        <v>15.3461</v>
      </c>
      <c r="J480" s="33">
        <f>15.3425 * CHOOSE(CONTROL!$C$32, $C$9, 100%, $E$9)</f>
        <v>15.342499999999999</v>
      </c>
      <c r="K480" s="33">
        <f>15.3461 * CHOOSE(CONTROL!$C$32, $C$9, 100%, $E$9)</f>
        <v>15.3461</v>
      </c>
      <c r="L480" s="33">
        <f>7.868 * CHOOSE(CONTROL!$C$32, $C$9, 100%, $E$9)</f>
        <v>7.8680000000000003</v>
      </c>
      <c r="M480" s="33">
        <f>7.8716 * CHOOSE(CONTROL!$C$32, $C$9, 100%, $E$9)</f>
        <v>7.8715999999999999</v>
      </c>
      <c r="N480" s="33">
        <f>7.868 * CHOOSE(CONTROL!$C$32, $C$9, 100%, $E$9)</f>
        <v>7.8680000000000003</v>
      </c>
      <c r="O480" s="33">
        <f>7.8716 * CHOOSE(CONTROL!$C$32, $C$9, 100%, $E$9)</f>
        <v>7.8715999999999999</v>
      </c>
    </row>
    <row r="481" spans="1:15" ht="15" x14ac:dyDescent="0.2">
      <c r="A481" s="16">
        <v>55854</v>
      </c>
      <c r="B481" s="32">
        <f>7.0047 * CHOOSE(CONTROL!$C$32, $C$9, 100%, $E$9)</f>
        <v>7.0046999999999997</v>
      </c>
      <c r="C481" s="32">
        <f>7.0047 * CHOOSE(CONTROL!$C$32, $C$9, 100%, $E$9)</f>
        <v>7.0046999999999997</v>
      </c>
      <c r="D481" s="32">
        <f>7.0058 * CHOOSE(CONTROL!$C$32, $C$9, 100%, $E$9)</f>
        <v>7.0057999999999998</v>
      </c>
      <c r="E481" s="33">
        <f>7.7787 * CHOOSE(CONTROL!$C$32, $C$9, 100%, $E$9)</f>
        <v>7.7786999999999997</v>
      </c>
      <c r="F481" s="33">
        <f>7.7787 * CHOOSE(CONTROL!$C$32, $C$9, 100%, $E$9)</f>
        <v>7.7786999999999997</v>
      </c>
      <c r="G481" s="33">
        <f>7.7823 * CHOOSE(CONTROL!$C$32, $C$9, 100%, $E$9)</f>
        <v>7.7823000000000002</v>
      </c>
      <c r="H481" s="33">
        <f>15.3744 * CHOOSE(CONTROL!$C$32, $C$9, 100%, $E$9)</f>
        <v>15.3744</v>
      </c>
      <c r="I481" s="33">
        <f>15.378 * CHOOSE(CONTROL!$C$32, $C$9, 100%, $E$9)</f>
        <v>15.378</v>
      </c>
      <c r="J481" s="33">
        <f>15.3744 * CHOOSE(CONTROL!$C$32, $C$9, 100%, $E$9)</f>
        <v>15.3744</v>
      </c>
      <c r="K481" s="33">
        <f>15.378 * CHOOSE(CONTROL!$C$32, $C$9, 100%, $E$9)</f>
        <v>15.378</v>
      </c>
      <c r="L481" s="33">
        <f>7.7787 * CHOOSE(CONTROL!$C$32, $C$9, 100%, $E$9)</f>
        <v>7.7786999999999997</v>
      </c>
      <c r="M481" s="33">
        <f>7.7823 * CHOOSE(CONTROL!$C$32, $C$9, 100%, $E$9)</f>
        <v>7.7823000000000002</v>
      </c>
      <c r="N481" s="33">
        <f>7.7787 * CHOOSE(CONTROL!$C$32, $C$9, 100%, $E$9)</f>
        <v>7.7786999999999997</v>
      </c>
      <c r="O481" s="33">
        <f>7.7823 * CHOOSE(CONTROL!$C$32, $C$9, 100%, $E$9)</f>
        <v>7.7823000000000002</v>
      </c>
    </row>
    <row r="482" spans="1:15" ht="15" x14ac:dyDescent="0.2">
      <c r="A482" s="16">
        <v>55885</v>
      </c>
      <c r="B482" s="32">
        <f>7.0575 * CHOOSE(CONTROL!$C$32, $C$9, 100%, $E$9)</f>
        <v>7.0575000000000001</v>
      </c>
      <c r="C482" s="32">
        <f>7.0575 * CHOOSE(CONTROL!$C$32, $C$9, 100%, $E$9)</f>
        <v>7.0575000000000001</v>
      </c>
      <c r="D482" s="32">
        <f>7.0586 * CHOOSE(CONTROL!$C$32, $C$9, 100%, $E$9)</f>
        <v>7.0586000000000002</v>
      </c>
      <c r="E482" s="33">
        <f>7.9087 * CHOOSE(CONTROL!$C$32, $C$9, 100%, $E$9)</f>
        <v>7.9086999999999996</v>
      </c>
      <c r="F482" s="33">
        <f>7.9087 * CHOOSE(CONTROL!$C$32, $C$9, 100%, $E$9)</f>
        <v>7.9086999999999996</v>
      </c>
      <c r="G482" s="33">
        <f>7.9124 * CHOOSE(CONTROL!$C$32, $C$9, 100%, $E$9)</f>
        <v>7.9123999999999999</v>
      </c>
      <c r="H482" s="33">
        <f>15.4065 * CHOOSE(CONTROL!$C$32, $C$9, 100%, $E$9)</f>
        <v>15.406499999999999</v>
      </c>
      <c r="I482" s="33">
        <f>15.4101 * CHOOSE(CONTROL!$C$32, $C$9, 100%, $E$9)</f>
        <v>15.4101</v>
      </c>
      <c r="J482" s="33">
        <f>15.4065 * CHOOSE(CONTROL!$C$32, $C$9, 100%, $E$9)</f>
        <v>15.406499999999999</v>
      </c>
      <c r="K482" s="33">
        <f>15.4101 * CHOOSE(CONTROL!$C$32, $C$9, 100%, $E$9)</f>
        <v>15.4101</v>
      </c>
      <c r="L482" s="33">
        <f>7.9087 * CHOOSE(CONTROL!$C$32, $C$9, 100%, $E$9)</f>
        <v>7.9086999999999996</v>
      </c>
      <c r="M482" s="33">
        <f>7.9124 * CHOOSE(CONTROL!$C$32, $C$9, 100%, $E$9)</f>
        <v>7.9123999999999999</v>
      </c>
      <c r="N482" s="33">
        <f>7.9087 * CHOOSE(CONTROL!$C$32, $C$9, 100%, $E$9)</f>
        <v>7.9086999999999996</v>
      </c>
      <c r="O482" s="33">
        <f>7.9124 * CHOOSE(CONTROL!$C$32, $C$9, 100%, $E$9)</f>
        <v>7.9123999999999999</v>
      </c>
    </row>
    <row r="483" spans="1:15" ht="15" x14ac:dyDescent="0.2">
      <c r="A483" s="16">
        <v>55916</v>
      </c>
      <c r="B483" s="32">
        <f>7.0545 * CHOOSE(CONTROL!$C$32, $C$9, 100%, $E$9)</f>
        <v>7.0545</v>
      </c>
      <c r="C483" s="32">
        <f>7.0545 * CHOOSE(CONTROL!$C$32, $C$9, 100%, $E$9)</f>
        <v>7.0545</v>
      </c>
      <c r="D483" s="32">
        <f>7.0555 * CHOOSE(CONTROL!$C$32, $C$9, 100%, $E$9)</f>
        <v>7.0555000000000003</v>
      </c>
      <c r="E483" s="33">
        <f>7.7323 * CHOOSE(CONTROL!$C$32, $C$9, 100%, $E$9)</f>
        <v>7.7323000000000004</v>
      </c>
      <c r="F483" s="33">
        <f>7.7323 * CHOOSE(CONTROL!$C$32, $C$9, 100%, $E$9)</f>
        <v>7.7323000000000004</v>
      </c>
      <c r="G483" s="33">
        <f>7.7359 * CHOOSE(CONTROL!$C$32, $C$9, 100%, $E$9)</f>
        <v>7.7359</v>
      </c>
      <c r="H483" s="33">
        <f>15.4386 * CHOOSE(CONTROL!$C$32, $C$9, 100%, $E$9)</f>
        <v>15.438599999999999</v>
      </c>
      <c r="I483" s="33">
        <f>15.4422 * CHOOSE(CONTROL!$C$32, $C$9, 100%, $E$9)</f>
        <v>15.4422</v>
      </c>
      <c r="J483" s="33">
        <f>15.4386 * CHOOSE(CONTROL!$C$32, $C$9, 100%, $E$9)</f>
        <v>15.438599999999999</v>
      </c>
      <c r="K483" s="33">
        <f>15.4422 * CHOOSE(CONTROL!$C$32, $C$9, 100%, $E$9)</f>
        <v>15.4422</v>
      </c>
      <c r="L483" s="33">
        <f>7.7323 * CHOOSE(CONTROL!$C$32, $C$9, 100%, $E$9)</f>
        <v>7.7323000000000004</v>
      </c>
      <c r="M483" s="33">
        <f>7.7359 * CHOOSE(CONTROL!$C$32, $C$9, 100%, $E$9)</f>
        <v>7.7359</v>
      </c>
      <c r="N483" s="33">
        <f>7.7323 * CHOOSE(CONTROL!$C$32, $C$9, 100%, $E$9)</f>
        <v>7.7323000000000004</v>
      </c>
      <c r="O483" s="33">
        <f>7.7359 * CHOOSE(CONTROL!$C$32, $C$9, 100%, $E$9)</f>
        <v>7.7359</v>
      </c>
    </row>
    <row r="484" spans="1:15" ht="15" x14ac:dyDescent="0.2">
      <c r="A484" s="16">
        <v>55944</v>
      </c>
      <c r="B484" s="32">
        <f>7.0514 * CHOOSE(CONTROL!$C$32, $C$9, 100%, $E$9)</f>
        <v>7.0514000000000001</v>
      </c>
      <c r="C484" s="32">
        <f>7.0514 * CHOOSE(CONTROL!$C$32, $C$9, 100%, $E$9)</f>
        <v>7.0514000000000001</v>
      </c>
      <c r="D484" s="32">
        <f>7.0525 * CHOOSE(CONTROL!$C$32, $C$9, 100%, $E$9)</f>
        <v>7.0525000000000002</v>
      </c>
      <c r="E484" s="33">
        <f>7.8676 * CHOOSE(CONTROL!$C$32, $C$9, 100%, $E$9)</f>
        <v>7.8676000000000004</v>
      </c>
      <c r="F484" s="33">
        <f>7.8676 * CHOOSE(CONTROL!$C$32, $C$9, 100%, $E$9)</f>
        <v>7.8676000000000004</v>
      </c>
      <c r="G484" s="33">
        <f>7.8712 * CHOOSE(CONTROL!$C$32, $C$9, 100%, $E$9)</f>
        <v>7.8712</v>
      </c>
      <c r="H484" s="33">
        <f>15.4707 * CHOOSE(CONTROL!$C$32, $C$9, 100%, $E$9)</f>
        <v>15.470700000000001</v>
      </c>
      <c r="I484" s="33">
        <f>15.4743 * CHOOSE(CONTROL!$C$32, $C$9, 100%, $E$9)</f>
        <v>15.474299999999999</v>
      </c>
      <c r="J484" s="33">
        <f>15.4707 * CHOOSE(CONTROL!$C$32, $C$9, 100%, $E$9)</f>
        <v>15.470700000000001</v>
      </c>
      <c r="K484" s="33">
        <f>15.4743 * CHOOSE(CONTROL!$C$32, $C$9, 100%, $E$9)</f>
        <v>15.474299999999999</v>
      </c>
      <c r="L484" s="33">
        <f>7.8676 * CHOOSE(CONTROL!$C$32, $C$9, 100%, $E$9)</f>
        <v>7.8676000000000004</v>
      </c>
      <c r="M484" s="33">
        <f>7.8712 * CHOOSE(CONTROL!$C$32, $C$9, 100%, $E$9)</f>
        <v>7.8712</v>
      </c>
      <c r="N484" s="33">
        <f>7.8676 * CHOOSE(CONTROL!$C$32, $C$9, 100%, $E$9)</f>
        <v>7.8676000000000004</v>
      </c>
      <c r="O484" s="33">
        <f>7.8712 * CHOOSE(CONTROL!$C$32, $C$9, 100%, $E$9)</f>
        <v>7.8712</v>
      </c>
    </row>
    <row r="485" spans="1:15" ht="15" x14ac:dyDescent="0.2">
      <c r="A485" s="16">
        <v>55975</v>
      </c>
      <c r="B485" s="32">
        <f>7.052 * CHOOSE(CONTROL!$C$32, $C$9, 100%, $E$9)</f>
        <v>7.0519999999999996</v>
      </c>
      <c r="C485" s="32">
        <f>7.052 * CHOOSE(CONTROL!$C$32, $C$9, 100%, $E$9)</f>
        <v>7.0519999999999996</v>
      </c>
      <c r="D485" s="32">
        <f>7.0531 * CHOOSE(CONTROL!$C$32, $C$9, 100%, $E$9)</f>
        <v>7.0530999999999997</v>
      </c>
      <c r="E485" s="33">
        <f>8.011 * CHOOSE(CONTROL!$C$32, $C$9, 100%, $E$9)</f>
        <v>8.0109999999999992</v>
      </c>
      <c r="F485" s="33">
        <f>8.011 * CHOOSE(CONTROL!$C$32, $C$9, 100%, $E$9)</f>
        <v>8.0109999999999992</v>
      </c>
      <c r="G485" s="33">
        <f>8.0146 * CHOOSE(CONTROL!$C$32, $C$9, 100%, $E$9)</f>
        <v>8.0145999999999997</v>
      </c>
      <c r="H485" s="33">
        <f>15.5029 * CHOOSE(CONTROL!$C$32, $C$9, 100%, $E$9)</f>
        <v>15.5029</v>
      </c>
      <c r="I485" s="33">
        <f>15.5066 * CHOOSE(CONTROL!$C$32, $C$9, 100%, $E$9)</f>
        <v>15.506600000000001</v>
      </c>
      <c r="J485" s="33">
        <f>15.5029 * CHOOSE(CONTROL!$C$32, $C$9, 100%, $E$9)</f>
        <v>15.5029</v>
      </c>
      <c r="K485" s="33">
        <f>15.5066 * CHOOSE(CONTROL!$C$32, $C$9, 100%, $E$9)</f>
        <v>15.506600000000001</v>
      </c>
      <c r="L485" s="33">
        <f>8.011 * CHOOSE(CONTROL!$C$32, $C$9, 100%, $E$9)</f>
        <v>8.0109999999999992</v>
      </c>
      <c r="M485" s="33">
        <f>8.0146 * CHOOSE(CONTROL!$C$32, $C$9, 100%, $E$9)</f>
        <v>8.0145999999999997</v>
      </c>
      <c r="N485" s="33">
        <f>8.011 * CHOOSE(CONTROL!$C$32, $C$9, 100%, $E$9)</f>
        <v>8.0109999999999992</v>
      </c>
      <c r="O485" s="33">
        <f>8.0146 * CHOOSE(CONTROL!$C$32, $C$9, 100%, $E$9)</f>
        <v>8.0145999999999997</v>
      </c>
    </row>
    <row r="486" spans="1:15" ht="15" x14ac:dyDescent="0.2">
      <c r="A486" s="16">
        <v>56005</v>
      </c>
      <c r="B486" s="32">
        <f>7.052 * CHOOSE(CONTROL!$C$32, $C$9, 100%, $E$9)</f>
        <v>7.0519999999999996</v>
      </c>
      <c r="C486" s="32">
        <f>7.052 * CHOOSE(CONTROL!$C$32, $C$9, 100%, $E$9)</f>
        <v>7.0519999999999996</v>
      </c>
      <c r="D486" s="32">
        <f>7.0536 * CHOOSE(CONTROL!$C$32, $C$9, 100%, $E$9)</f>
        <v>7.0536000000000003</v>
      </c>
      <c r="E486" s="33">
        <f>8.0663 * CHOOSE(CONTROL!$C$32, $C$9, 100%, $E$9)</f>
        <v>8.0663</v>
      </c>
      <c r="F486" s="33">
        <f>8.0663 * CHOOSE(CONTROL!$C$32, $C$9, 100%, $E$9)</f>
        <v>8.0663</v>
      </c>
      <c r="G486" s="33">
        <f>8.0716 * CHOOSE(CONTROL!$C$32, $C$9, 100%, $E$9)</f>
        <v>8.0716000000000001</v>
      </c>
      <c r="H486" s="33">
        <f>15.5352 * CHOOSE(CONTROL!$C$32, $C$9, 100%, $E$9)</f>
        <v>15.5352</v>
      </c>
      <c r="I486" s="33">
        <f>15.5405 * CHOOSE(CONTROL!$C$32, $C$9, 100%, $E$9)</f>
        <v>15.5405</v>
      </c>
      <c r="J486" s="33">
        <f>15.5352 * CHOOSE(CONTROL!$C$32, $C$9, 100%, $E$9)</f>
        <v>15.5352</v>
      </c>
      <c r="K486" s="33">
        <f>15.5405 * CHOOSE(CONTROL!$C$32, $C$9, 100%, $E$9)</f>
        <v>15.5405</v>
      </c>
      <c r="L486" s="33">
        <f>8.0663 * CHOOSE(CONTROL!$C$32, $C$9, 100%, $E$9)</f>
        <v>8.0663</v>
      </c>
      <c r="M486" s="33">
        <f>8.0716 * CHOOSE(CONTROL!$C$32, $C$9, 100%, $E$9)</f>
        <v>8.0716000000000001</v>
      </c>
      <c r="N486" s="33">
        <f>8.0663 * CHOOSE(CONTROL!$C$32, $C$9, 100%, $E$9)</f>
        <v>8.0663</v>
      </c>
      <c r="O486" s="33">
        <f>8.0716 * CHOOSE(CONTROL!$C$32, $C$9, 100%, $E$9)</f>
        <v>8.0716000000000001</v>
      </c>
    </row>
    <row r="487" spans="1:15" ht="15" x14ac:dyDescent="0.2">
      <c r="A487" s="16">
        <v>56036</v>
      </c>
      <c r="B487" s="32">
        <f>7.0581 * CHOOSE(CONTROL!$C$32, $C$9, 100%, $E$9)</f>
        <v>7.0580999999999996</v>
      </c>
      <c r="C487" s="32">
        <f>7.0581 * CHOOSE(CONTROL!$C$32, $C$9, 100%, $E$9)</f>
        <v>7.0580999999999996</v>
      </c>
      <c r="D487" s="32">
        <f>7.0597 * CHOOSE(CONTROL!$C$32, $C$9, 100%, $E$9)</f>
        <v>7.0597000000000003</v>
      </c>
      <c r="E487" s="33">
        <f>8.0152 * CHOOSE(CONTROL!$C$32, $C$9, 100%, $E$9)</f>
        <v>8.0152000000000001</v>
      </c>
      <c r="F487" s="33">
        <f>8.0152 * CHOOSE(CONTROL!$C$32, $C$9, 100%, $E$9)</f>
        <v>8.0152000000000001</v>
      </c>
      <c r="G487" s="33">
        <f>8.0205 * CHOOSE(CONTROL!$C$32, $C$9, 100%, $E$9)</f>
        <v>8.0205000000000002</v>
      </c>
      <c r="H487" s="33">
        <f>15.5676 * CHOOSE(CONTROL!$C$32, $C$9, 100%, $E$9)</f>
        <v>15.567600000000001</v>
      </c>
      <c r="I487" s="33">
        <f>15.5729 * CHOOSE(CONTROL!$C$32, $C$9, 100%, $E$9)</f>
        <v>15.572900000000001</v>
      </c>
      <c r="J487" s="33">
        <f>15.5676 * CHOOSE(CONTROL!$C$32, $C$9, 100%, $E$9)</f>
        <v>15.567600000000001</v>
      </c>
      <c r="K487" s="33">
        <f>15.5729 * CHOOSE(CONTROL!$C$32, $C$9, 100%, $E$9)</f>
        <v>15.572900000000001</v>
      </c>
      <c r="L487" s="33">
        <f>8.0152 * CHOOSE(CONTROL!$C$32, $C$9, 100%, $E$9)</f>
        <v>8.0152000000000001</v>
      </c>
      <c r="M487" s="33">
        <f>8.0205 * CHOOSE(CONTROL!$C$32, $C$9, 100%, $E$9)</f>
        <v>8.0205000000000002</v>
      </c>
      <c r="N487" s="33">
        <f>8.0152 * CHOOSE(CONTROL!$C$32, $C$9, 100%, $E$9)</f>
        <v>8.0152000000000001</v>
      </c>
      <c r="O487" s="33">
        <f>8.0205 * CHOOSE(CONTROL!$C$32, $C$9, 100%, $E$9)</f>
        <v>8.0205000000000002</v>
      </c>
    </row>
    <row r="488" spans="1:15" ht="15" x14ac:dyDescent="0.2">
      <c r="A488" s="16">
        <v>56066</v>
      </c>
      <c r="B488" s="32">
        <f>7.1502 * CHOOSE(CONTROL!$C$32, $C$9, 100%, $E$9)</f>
        <v>7.1501999999999999</v>
      </c>
      <c r="C488" s="32">
        <f>7.1502 * CHOOSE(CONTROL!$C$32, $C$9, 100%, $E$9)</f>
        <v>7.1501999999999999</v>
      </c>
      <c r="D488" s="32">
        <f>7.1518 * CHOOSE(CONTROL!$C$32, $C$9, 100%, $E$9)</f>
        <v>7.1517999999999997</v>
      </c>
      <c r="E488" s="33">
        <f>8.1252 * CHOOSE(CONTROL!$C$32, $C$9, 100%, $E$9)</f>
        <v>8.1251999999999995</v>
      </c>
      <c r="F488" s="33">
        <f>8.1252 * CHOOSE(CONTROL!$C$32, $C$9, 100%, $E$9)</f>
        <v>8.1251999999999995</v>
      </c>
      <c r="G488" s="33">
        <f>8.1305 * CHOOSE(CONTROL!$C$32, $C$9, 100%, $E$9)</f>
        <v>8.1304999999999996</v>
      </c>
      <c r="H488" s="33">
        <f>15.6 * CHOOSE(CONTROL!$C$32, $C$9, 100%, $E$9)</f>
        <v>15.6</v>
      </c>
      <c r="I488" s="33">
        <f>15.6053 * CHOOSE(CONTROL!$C$32, $C$9, 100%, $E$9)</f>
        <v>15.6053</v>
      </c>
      <c r="J488" s="33">
        <f>15.6 * CHOOSE(CONTROL!$C$32, $C$9, 100%, $E$9)</f>
        <v>15.6</v>
      </c>
      <c r="K488" s="33">
        <f>15.6053 * CHOOSE(CONTROL!$C$32, $C$9, 100%, $E$9)</f>
        <v>15.6053</v>
      </c>
      <c r="L488" s="33">
        <f>8.1252 * CHOOSE(CONTROL!$C$32, $C$9, 100%, $E$9)</f>
        <v>8.1251999999999995</v>
      </c>
      <c r="M488" s="33">
        <f>8.1305 * CHOOSE(CONTROL!$C$32, $C$9, 100%, $E$9)</f>
        <v>8.1304999999999996</v>
      </c>
      <c r="N488" s="33">
        <f>8.1252 * CHOOSE(CONTROL!$C$32, $C$9, 100%, $E$9)</f>
        <v>8.1251999999999995</v>
      </c>
      <c r="O488" s="33">
        <f>8.1305 * CHOOSE(CONTROL!$C$32, $C$9, 100%, $E$9)</f>
        <v>8.1304999999999996</v>
      </c>
    </row>
    <row r="489" spans="1:15" ht="15" x14ac:dyDescent="0.2">
      <c r="A489" s="16">
        <v>56097</v>
      </c>
      <c r="B489" s="32">
        <f>7.1569 * CHOOSE(CONTROL!$C$32, $C$9, 100%, $E$9)</f>
        <v>7.1569000000000003</v>
      </c>
      <c r="C489" s="32">
        <f>7.1569 * CHOOSE(CONTROL!$C$32, $C$9, 100%, $E$9)</f>
        <v>7.1569000000000003</v>
      </c>
      <c r="D489" s="32">
        <f>7.1585 * CHOOSE(CONTROL!$C$32, $C$9, 100%, $E$9)</f>
        <v>7.1585000000000001</v>
      </c>
      <c r="E489" s="33">
        <f>7.9639 * CHOOSE(CONTROL!$C$32, $C$9, 100%, $E$9)</f>
        <v>7.9638999999999998</v>
      </c>
      <c r="F489" s="33">
        <f>7.9639 * CHOOSE(CONTROL!$C$32, $C$9, 100%, $E$9)</f>
        <v>7.9638999999999998</v>
      </c>
      <c r="G489" s="33">
        <f>7.9692 * CHOOSE(CONTROL!$C$32, $C$9, 100%, $E$9)</f>
        <v>7.9691999999999998</v>
      </c>
      <c r="H489" s="33">
        <f>15.6325 * CHOOSE(CONTROL!$C$32, $C$9, 100%, $E$9)</f>
        <v>15.6325</v>
      </c>
      <c r="I489" s="33">
        <f>15.6378 * CHOOSE(CONTROL!$C$32, $C$9, 100%, $E$9)</f>
        <v>15.6378</v>
      </c>
      <c r="J489" s="33">
        <f>15.6325 * CHOOSE(CONTROL!$C$32, $C$9, 100%, $E$9)</f>
        <v>15.6325</v>
      </c>
      <c r="K489" s="33">
        <f>15.6378 * CHOOSE(CONTROL!$C$32, $C$9, 100%, $E$9)</f>
        <v>15.6378</v>
      </c>
      <c r="L489" s="33">
        <f>7.9639 * CHOOSE(CONTROL!$C$32, $C$9, 100%, $E$9)</f>
        <v>7.9638999999999998</v>
      </c>
      <c r="M489" s="33">
        <f>7.9692 * CHOOSE(CONTROL!$C$32, $C$9, 100%, $E$9)</f>
        <v>7.9691999999999998</v>
      </c>
      <c r="N489" s="33">
        <f>7.9639 * CHOOSE(CONTROL!$C$32, $C$9, 100%, $E$9)</f>
        <v>7.9638999999999998</v>
      </c>
      <c r="O489" s="33">
        <f>7.9692 * CHOOSE(CONTROL!$C$32, $C$9, 100%, $E$9)</f>
        <v>7.9691999999999998</v>
      </c>
    </row>
    <row r="490" spans="1:15" ht="15" x14ac:dyDescent="0.2">
      <c r="A490" s="16">
        <v>56128</v>
      </c>
      <c r="B490" s="32">
        <f>7.1539 * CHOOSE(CONTROL!$C$32, $C$9, 100%, $E$9)</f>
        <v>7.1539000000000001</v>
      </c>
      <c r="C490" s="32">
        <f>7.1539 * CHOOSE(CONTROL!$C$32, $C$9, 100%, $E$9)</f>
        <v>7.1539000000000001</v>
      </c>
      <c r="D490" s="32">
        <f>7.1554 * CHOOSE(CONTROL!$C$32, $C$9, 100%, $E$9)</f>
        <v>7.1554000000000002</v>
      </c>
      <c r="E490" s="33">
        <f>7.9433 * CHOOSE(CONTROL!$C$32, $C$9, 100%, $E$9)</f>
        <v>7.9432999999999998</v>
      </c>
      <c r="F490" s="33">
        <f>7.9433 * CHOOSE(CONTROL!$C$32, $C$9, 100%, $E$9)</f>
        <v>7.9432999999999998</v>
      </c>
      <c r="G490" s="33">
        <f>7.9486 * CHOOSE(CONTROL!$C$32, $C$9, 100%, $E$9)</f>
        <v>7.9485999999999999</v>
      </c>
      <c r="H490" s="33">
        <f>15.6651 * CHOOSE(CONTROL!$C$32, $C$9, 100%, $E$9)</f>
        <v>15.665100000000001</v>
      </c>
      <c r="I490" s="33">
        <f>15.6704 * CHOOSE(CONTROL!$C$32, $C$9, 100%, $E$9)</f>
        <v>15.670400000000001</v>
      </c>
      <c r="J490" s="33">
        <f>15.6651 * CHOOSE(CONTROL!$C$32, $C$9, 100%, $E$9)</f>
        <v>15.665100000000001</v>
      </c>
      <c r="K490" s="33">
        <f>15.6704 * CHOOSE(CONTROL!$C$32, $C$9, 100%, $E$9)</f>
        <v>15.670400000000001</v>
      </c>
      <c r="L490" s="33">
        <f>7.9433 * CHOOSE(CONTROL!$C$32, $C$9, 100%, $E$9)</f>
        <v>7.9432999999999998</v>
      </c>
      <c r="M490" s="33">
        <f>7.9486 * CHOOSE(CONTROL!$C$32, $C$9, 100%, $E$9)</f>
        <v>7.9485999999999999</v>
      </c>
      <c r="N490" s="33">
        <f>7.9433 * CHOOSE(CONTROL!$C$32, $C$9, 100%, $E$9)</f>
        <v>7.9432999999999998</v>
      </c>
      <c r="O490" s="33">
        <f>7.9486 * CHOOSE(CONTROL!$C$32, $C$9, 100%, $E$9)</f>
        <v>7.9485999999999999</v>
      </c>
    </row>
    <row r="491" spans="1:15" ht="15" x14ac:dyDescent="0.2">
      <c r="A491" s="16">
        <v>56158</v>
      </c>
      <c r="B491" s="32">
        <f>7.1607 * CHOOSE(CONTROL!$C$32, $C$9, 100%, $E$9)</f>
        <v>7.1607000000000003</v>
      </c>
      <c r="C491" s="32">
        <f>7.1607 * CHOOSE(CONTROL!$C$32, $C$9, 100%, $E$9)</f>
        <v>7.1607000000000003</v>
      </c>
      <c r="D491" s="32">
        <f>7.1617 * CHOOSE(CONTROL!$C$32, $C$9, 100%, $E$9)</f>
        <v>7.1616999999999997</v>
      </c>
      <c r="E491" s="33">
        <f>8.0037 * CHOOSE(CONTROL!$C$32, $C$9, 100%, $E$9)</f>
        <v>8.0037000000000003</v>
      </c>
      <c r="F491" s="33">
        <f>8.0037 * CHOOSE(CONTROL!$C$32, $C$9, 100%, $E$9)</f>
        <v>8.0037000000000003</v>
      </c>
      <c r="G491" s="33">
        <f>8.0073 * CHOOSE(CONTROL!$C$32, $C$9, 100%, $E$9)</f>
        <v>8.0073000000000008</v>
      </c>
      <c r="H491" s="33">
        <f>15.6977 * CHOOSE(CONTROL!$C$32, $C$9, 100%, $E$9)</f>
        <v>15.697699999999999</v>
      </c>
      <c r="I491" s="33">
        <f>15.7014 * CHOOSE(CONTROL!$C$32, $C$9, 100%, $E$9)</f>
        <v>15.7014</v>
      </c>
      <c r="J491" s="33">
        <f>15.6977 * CHOOSE(CONTROL!$C$32, $C$9, 100%, $E$9)</f>
        <v>15.697699999999999</v>
      </c>
      <c r="K491" s="33">
        <f>15.7014 * CHOOSE(CONTROL!$C$32, $C$9, 100%, $E$9)</f>
        <v>15.7014</v>
      </c>
      <c r="L491" s="33">
        <f>8.0037 * CHOOSE(CONTROL!$C$32, $C$9, 100%, $E$9)</f>
        <v>8.0037000000000003</v>
      </c>
      <c r="M491" s="33">
        <f>8.0073 * CHOOSE(CONTROL!$C$32, $C$9, 100%, $E$9)</f>
        <v>8.0073000000000008</v>
      </c>
      <c r="N491" s="33">
        <f>8.0037 * CHOOSE(CONTROL!$C$32, $C$9, 100%, $E$9)</f>
        <v>8.0037000000000003</v>
      </c>
      <c r="O491" s="33">
        <f>8.0073 * CHOOSE(CONTROL!$C$32, $C$9, 100%, $E$9)</f>
        <v>8.0073000000000008</v>
      </c>
    </row>
    <row r="492" spans="1:15" ht="15" x14ac:dyDescent="0.2">
      <c r="A492" s="16">
        <v>56189</v>
      </c>
      <c r="B492" s="32">
        <f>7.1637 * CHOOSE(CONTROL!$C$32, $C$9, 100%, $E$9)</f>
        <v>7.1637000000000004</v>
      </c>
      <c r="C492" s="32">
        <f>7.1637 * CHOOSE(CONTROL!$C$32, $C$9, 100%, $E$9)</f>
        <v>7.1637000000000004</v>
      </c>
      <c r="D492" s="32">
        <f>7.1648 * CHOOSE(CONTROL!$C$32, $C$9, 100%, $E$9)</f>
        <v>7.1647999999999996</v>
      </c>
      <c r="E492" s="33">
        <f>8.0427 * CHOOSE(CONTROL!$C$32, $C$9, 100%, $E$9)</f>
        <v>8.0427</v>
      </c>
      <c r="F492" s="33">
        <f>8.0427 * CHOOSE(CONTROL!$C$32, $C$9, 100%, $E$9)</f>
        <v>8.0427</v>
      </c>
      <c r="G492" s="33">
        <f>8.0463 * CHOOSE(CONTROL!$C$32, $C$9, 100%, $E$9)</f>
        <v>8.0463000000000005</v>
      </c>
      <c r="H492" s="33">
        <f>15.7304 * CHOOSE(CONTROL!$C$32, $C$9, 100%, $E$9)</f>
        <v>15.730399999999999</v>
      </c>
      <c r="I492" s="33">
        <f>15.7341 * CHOOSE(CONTROL!$C$32, $C$9, 100%, $E$9)</f>
        <v>15.7341</v>
      </c>
      <c r="J492" s="33">
        <f>15.7304 * CHOOSE(CONTROL!$C$32, $C$9, 100%, $E$9)</f>
        <v>15.730399999999999</v>
      </c>
      <c r="K492" s="33">
        <f>15.7341 * CHOOSE(CONTROL!$C$32, $C$9, 100%, $E$9)</f>
        <v>15.7341</v>
      </c>
      <c r="L492" s="33">
        <f>8.0427 * CHOOSE(CONTROL!$C$32, $C$9, 100%, $E$9)</f>
        <v>8.0427</v>
      </c>
      <c r="M492" s="33">
        <f>8.0463 * CHOOSE(CONTROL!$C$32, $C$9, 100%, $E$9)</f>
        <v>8.0463000000000005</v>
      </c>
      <c r="N492" s="33">
        <f>8.0427 * CHOOSE(CONTROL!$C$32, $C$9, 100%, $E$9)</f>
        <v>8.0427</v>
      </c>
      <c r="O492" s="33">
        <f>8.0463 * CHOOSE(CONTROL!$C$32, $C$9, 100%, $E$9)</f>
        <v>8.0463000000000005</v>
      </c>
    </row>
    <row r="493" spans="1:15" ht="15" x14ac:dyDescent="0.2">
      <c r="A493" s="16">
        <v>56219</v>
      </c>
      <c r="B493" s="32">
        <f>7.1637 * CHOOSE(CONTROL!$C$32, $C$9, 100%, $E$9)</f>
        <v>7.1637000000000004</v>
      </c>
      <c r="C493" s="32">
        <f>7.1637 * CHOOSE(CONTROL!$C$32, $C$9, 100%, $E$9)</f>
        <v>7.1637000000000004</v>
      </c>
      <c r="D493" s="32">
        <f>7.1648 * CHOOSE(CONTROL!$C$32, $C$9, 100%, $E$9)</f>
        <v>7.1647999999999996</v>
      </c>
      <c r="E493" s="33">
        <f>7.9504 * CHOOSE(CONTROL!$C$32, $C$9, 100%, $E$9)</f>
        <v>7.9504000000000001</v>
      </c>
      <c r="F493" s="33">
        <f>7.9504 * CHOOSE(CONTROL!$C$32, $C$9, 100%, $E$9)</f>
        <v>7.9504000000000001</v>
      </c>
      <c r="G493" s="33">
        <f>7.9541 * CHOOSE(CONTROL!$C$32, $C$9, 100%, $E$9)</f>
        <v>7.9541000000000004</v>
      </c>
      <c r="H493" s="33">
        <f>15.7632 * CHOOSE(CONTROL!$C$32, $C$9, 100%, $E$9)</f>
        <v>15.763199999999999</v>
      </c>
      <c r="I493" s="33">
        <f>15.7668 * CHOOSE(CONTROL!$C$32, $C$9, 100%, $E$9)</f>
        <v>15.7668</v>
      </c>
      <c r="J493" s="33">
        <f>15.7632 * CHOOSE(CONTROL!$C$32, $C$9, 100%, $E$9)</f>
        <v>15.763199999999999</v>
      </c>
      <c r="K493" s="33">
        <f>15.7668 * CHOOSE(CONTROL!$C$32, $C$9, 100%, $E$9)</f>
        <v>15.7668</v>
      </c>
      <c r="L493" s="33">
        <f>7.9504 * CHOOSE(CONTROL!$C$32, $C$9, 100%, $E$9)</f>
        <v>7.9504000000000001</v>
      </c>
      <c r="M493" s="33">
        <f>7.9541 * CHOOSE(CONTROL!$C$32, $C$9, 100%, $E$9)</f>
        <v>7.9541000000000004</v>
      </c>
      <c r="N493" s="33">
        <f>7.9504 * CHOOSE(CONTROL!$C$32, $C$9, 100%, $E$9)</f>
        <v>7.9504000000000001</v>
      </c>
      <c r="O493" s="33">
        <f>7.9541 * CHOOSE(CONTROL!$C$32, $C$9, 100%, $E$9)</f>
        <v>7.9541000000000004</v>
      </c>
    </row>
    <row r="494" spans="1:15" ht="15" x14ac:dyDescent="0.2">
      <c r="A494" s="16">
        <v>56250</v>
      </c>
      <c r="B494" s="32">
        <f>7.2176 * CHOOSE(CONTROL!$C$32, $C$9, 100%, $E$9)</f>
        <v>7.2176</v>
      </c>
      <c r="C494" s="32">
        <f>7.2176 * CHOOSE(CONTROL!$C$32, $C$9, 100%, $E$9)</f>
        <v>7.2176</v>
      </c>
      <c r="D494" s="32">
        <f>7.2187 * CHOOSE(CONTROL!$C$32, $C$9, 100%, $E$9)</f>
        <v>7.2187000000000001</v>
      </c>
      <c r="E494" s="33">
        <f>8.0845 * CHOOSE(CONTROL!$C$32, $C$9, 100%, $E$9)</f>
        <v>8.0845000000000002</v>
      </c>
      <c r="F494" s="33">
        <f>8.0845 * CHOOSE(CONTROL!$C$32, $C$9, 100%, $E$9)</f>
        <v>8.0845000000000002</v>
      </c>
      <c r="G494" s="33">
        <f>8.0881 * CHOOSE(CONTROL!$C$32, $C$9, 100%, $E$9)</f>
        <v>8.0881000000000007</v>
      </c>
      <c r="H494" s="33">
        <f>15.7961 * CHOOSE(CONTROL!$C$32, $C$9, 100%, $E$9)</f>
        <v>15.796099999999999</v>
      </c>
      <c r="I494" s="33">
        <f>15.7997 * CHOOSE(CONTROL!$C$32, $C$9, 100%, $E$9)</f>
        <v>15.7997</v>
      </c>
      <c r="J494" s="33">
        <f>15.7961 * CHOOSE(CONTROL!$C$32, $C$9, 100%, $E$9)</f>
        <v>15.796099999999999</v>
      </c>
      <c r="K494" s="33">
        <f>15.7997 * CHOOSE(CONTROL!$C$32, $C$9, 100%, $E$9)</f>
        <v>15.7997</v>
      </c>
      <c r="L494" s="33">
        <f>8.0845 * CHOOSE(CONTROL!$C$32, $C$9, 100%, $E$9)</f>
        <v>8.0845000000000002</v>
      </c>
      <c r="M494" s="33">
        <f>8.0881 * CHOOSE(CONTROL!$C$32, $C$9, 100%, $E$9)</f>
        <v>8.0881000000000007</v>
      </c>
      <c r="N494" s="33">
        <f>8.0845 * CHOOSE(CONTROL!$C$32, $C$9, 100%, $E$9)</f>
        <v>8.0845000000000002</v>
      </c>
      <c r="O494" s="33">
        <f>8.0881 * CHOOSE(CONTROL!$C$32, $C$9, 100%, $E$9)</f>
        <v>8.0881000000000007</v>
      </c>
    </row>
    <row r="495" spans="1:15" ht="15" x14ac:dyDescent="0.2">
      <c r="A495" s="16">
        <v>56281</v>
      </c>
      <c r="B495" s="32">
        <f>7.2146 * CHOOSE(CONTROL!$C$32, $C$9, 100%, $E$9)</f>
        <v>7.2145999999999999</v>
      </c>
      <c r="C495" s="32">
        <f>7.2146 * CHOOSE(CONTROL!$C$32, $C$9, 100%, $E$9)</f>
        <v>7.2145999999999999</v>
      </c>
      <c r="D495" s="32">
        <f>7.2156 * CHOOSE(CONTROL!$C$32, $C$9, 100%, $E$9)</f>
        <v>7.2156000000000002</v>
      </c>
      <c r="E495" s="33">
        <f>7.9024 * CHOOSE(CONTROL!$C$32, $C$9, 100%, $E$9)</f>
        <v>7.9024000000000001</v>
      </c>
      <c r="F495" s="33">
        <f>7.9024 * CHOOSE(CONTROL!$C$32, $C$9, 100%, $E$9)</f>
        <v>7.9024000000000001</v>
      </c>
      <c r="G495" s="33">
        <f>7.906 * CHOOSE(CONTROL!$C$32, $C$9, 100%, $E$9)</f>
        <v>7.9059999999999997</v>
      </c>
      <c r="H495" s="33">
        <f>15.829 * CHOOSE(CONTROL!$C$32, $C$9, 100%, $E$9)</f>
        <v>15.829000000000001</v>
      </c>
      <c r="I495" s="33">
        <f>15.8326 * CHOOSE(CONTROL!$C$32, $C$9, 100%, $E$9)</f>
        <v>15.832599999999999</v>
      </c>
      <c r="J495" s="33">
        <f>15.829 * CHOOSE(CONTROL!$C$32, $C$9, 100%, $E$9)</f>
        <v>15.829000000000001</v>
      </c>
      <c r="K495" s="33">
        <f>15.8326 * CHOOSE(CONTROL!$C$32, $C$9, 100%, $E$9)</f>
        <v>15.832599999999999</v>
      </c>
      <c r="L495" s="33">
        <f>7.9024 * CHOOSE(CONTROL!$C$32, $C$9, 100%, $E$9)</f>
        <v>7.9024000000000001</v>
      </c>
      <c r="M495" s="33">
        <f>7.906 * CHOOSE(CONTROL!$C$32, $C$9, 100%, $E$9)</f>
        <v>7.9059999999999997</v>
      </c>
      <c r="N495" s="33">
        <f>7.9024 * CHOOSE(CONTROL!$C$32, $C$9, 100%, $E$9)</f>
        <v>7.9024000000000001</v>
      </c>
      <c r="O495" s="33">
        <f>7.906 * CHOOSE(CONTROL!$C$32, $C$9, 100%, $E$9)</f>
        <v>7.9059999999999997</v>
      </c>
    </row>
    <row r="496" spans="1:15" ht="15" x14ac:dyDescent="0.2">
      <c r="A496" s="16">
        <v>56309</v>
      </c>
      <c r="B496" s="32">
        <f>7.2115 * CHOOSE(CONTROL!$C$32, $C$9, 100%, $E$9)</f>
        <v>7.2115</v>
      </c>
      <c r="C496" s="32">
        <f>7.2115 * CHOOSE(CONTROL!$C$32, $C$9, 100%, $E$9)</f>
        <v>7.2115</v>
      </c>
      <c r="D496" s="32">
        <f>7.2126 * CHOOSE(CONTROL!$C$32, $C$9, 100%, $E$9)</f>
        <v>7.2126000000000001</v>
      </c>
      <c r="E496" s="33">
        <f>8.0422 * CHOOSE(CONTROL!$C$32, $C$9, 100%, $E$9)</f>
        <v>8.0421999999999993</v>
      </c>
      <c r="F496" s="33">
        <f>8.0422 * CHOOSE(CONTROL!$C$32, $C$9, 100%, $E$9)</f>
        <v>8.0421999999999993</v>
      </c>
      <c r="G496" s="33">
        <f>8.0458 * CHOOSE(CONTROL!$C$32, $C$9, 100%, $E$9)</f>
        <v>8.0457999999999998</v>
      </c>
      <c r="H496" s="33">
        <f>15.8619 * CHOOSE(CONTROL!$C$32, $C$9, 100%, $E$9)</f>
        <v>15.8619</v>
      </c>
      <c r="I496" s="33">
        <f>15.8656 * CHOOSE(CONTROL!$C$32, $C$9, 100%, $E$9)</f>
        <v>15.865600000000001</v>
      </c>
      <c r="J496" s="33">
        <f>15.8619 * CHOOSE(CONTROL!$C$32, $C$9, 100%, $E$9)</f>
        <v>15.8619</v>
      </c>
      <c r="K496" s="33">
        <f>15.8656 * CHOOSE(CONTROL!$C$32, $C$9, 100%, $E$9)</f>
        <v>15.865600000000001</v>
      </c>
      <c r="L496" s="33">
        <f>8.0422 * CHOOSE(CONTROL!$C$32, $C$9, 100%, $E$9)</f>
        <v>8.0421999999999993</v>
      </c>
      <c r="M496" s="33">
        <f>8.0458 * CHOOSE(CONTROL!$C$32, $C$9, 100%, $E$9)</f>
        <v>8.0457999999999998</v>
      </c>
      <c r="N496" s="33">
        <f>8.0422 * CHOOSE(CONTROL!$C$32, $C$9, 100%, $E$9)</f>
        <v>8.0421999999999993</v>
      </c>
      <c r="O496" s="33">
        <f>8.0458 * CHOOSE(CONTROL!$C$32, $C$9, 100%, $E$9)</f>
        <v>8.0457999999999998</v>
      </c>
    </row>
    <row r="497" spans="1:15" ht="15" x14ac:dyDescent="0.2">
      <c r="A497" s="16">
        <v>56340</v>
      </c>
      <c r="B497" s="32">
        <f>7.2123 * CHOOSE(CONTROL!$C$32, $C$9, 100%, $E$9)</f>
        <v>7.2122999999999999</v>
      </c>
      <c r="C497" s="32">
        <f>7.2123 * CHOOSE(CONTROL!$C$32, $C$9, 100%, $E$9)</f>
        <v>7.2122999999999999</v>
      </c>
      <c r="D497" s="32">
        <f>7.2134 * CHOOSE(CONTROL!$C$32, $C$9, 100%, $E$9)</f>
        <v>7.2134</v>
      </c>
      <c r="E497" s="33">
        <f>8.1903 * CHOOSE(CONTROL!$C$32, $C$9, 100%, $E$9)</f>
        <v>8.1903000000000006</v>
      </c>
      <c r="F497" s="33">
        <f>8.1903 * CHOOSE(CONTROL!$C$32, $C$9, 100%, $E$9)</f>
        <v>8.1903000000000006</v>
      </c>
      <c r="G497" s="33">
        <f>8.1939 * CHOOSE(CONTROL!$C$32, $C$9, 100%, $E$9)</f>
        <v>8.1938999999999993</v>
      </c>
      <c r="H497" s="33">
        <f>15.895 * CHOOSE(CONTROL!$C$32, $C$9, 100%, $E$9)</f>
        <v>15.895</v>
      </c>
      <c r="I497" s="33">
        <f>15.8986 * CHOOSE(CONTROL!$C$32, $C$9, 100%, $E$9)</f>
        <v>15.8986</v>
      </c>
      <c r="J497" s="33">
        <f>15.895 * CHOOSE(CONTROL!$C$32, $C$9, 100%, $E$9)</f>
        <v>15.895</v>
      </c>
      <c r="K497" s="33">
        <f>15.8986 * CHOOSE(CONTROL!$C$32, $C$9, 100%, $E$9)</f>
        <v>15.8986</v>
      </c>
      <c r="L497" s="33">
        <f>8.1903 * CHOOSE(CONTROL!$C$32, $C$9, 100%, $E$9)</f>
        <v>8.1903000000000006</v>
      </c>
      <c r="M497" s="33">
        <f>8.1939 * CHOOSE(CONTROL!$C$32, $C$9, 100%, $E$9)</f>
        <v>8.1938999999999993</v>
      </c>
      <c r="N497" s="33">
        <f>8.1903 * CHOOSE(CONTROL!$C$32, $C$9, 100%, $E$9)</f>
        <v>8.1903000000000006</v>
      </c>
      <c r="O497" s="33">
        <f>8.1939 * CHOOSE(CONTROL!$C$32, $C$9, 100%, $E$9)</f>
        <v>8.1938999999999993</v>
      </c>
    </row>
    <row r="498" spans="1:15" ht="15" x14ac:dyDescent="0.2">
      <c r="A498" s="16">
        <v>56370</v>
      </c>
      <c r="B498" s="32">
        <f>7.2123 * CHOOSE(CONTROL!$C$32, $C$9, 100%, $E$9)</f>
        <v>7.2122999999999999</v>
      </c>
      <c r="C498" s="32">
        <f>7.2123 * CHOOSE(CONTROL!$C$32, $C$9, 100%, $E$9)</f>
        <v>7.2122999999999999</v>
      </c>
      <c r="D498" s="32">
        <f>7.2139 * CHOOSE(CONTROL!$C$32, $C$9, 100%, $E$9)</f>
        <v>7.2138999999999998</v>
      </c>
      <c r="E498" s="33">
        <f>8.2474 * CHOOSE(CONTROL!$C$32, $C$9, 100%, $E$9)</f>
        <v>8.2474000000000007</v>
      </c>
      <c r="F498" s="33">
        <f>8.2474 * CHOOSE(CONTROL!$C$32, $C$9, 100%, $E$9)</f>
        <v>8.2474000000000007</v>
      </c>
      <c r="G498" s="33">
        <f>8.2527 * CHOOSE(CONTROL!$C$32, $C$9, 100%, $E$9)</f>
        <v>8.2527000000000008</v>
      </c>
      <c r="H498" s="33">
        <f>15.9281 * CHOOSE(CONTROL!$C$32, $C$9, 100%, $E$9)</f>
        <v>15.928100000000001</v>
      </c>
      <c r="I498" s="33">
        <f>15.9334 * CHOOSE(CONTROL!$C$32, $C$9, 100%, $E$9)</f>
        <v>15.933400000000001</v>
      </c>
      <c r="J498" s="33">
        <f>15.9281 * CHOOSE(CONTROL!$C$32, $C$9, 100%, $E$9)</f>
        <v>15.928100000000001</v>
      </c>
      <c r="K498" s="33">
        <f>15.9334 * CHOOSE(CONTROL!$C$32, $C$9, 100%, $E$9)</f>
        <v>15.933400000000001</v>
      </c>
      <c r="L498" s="33">
        <f>8.2474 * CHOOSE(CONTROL!$C$32, $C$9, 100%, $E$9)</f>
        <v>8.2474000000000007</v>
      </c>
      <c r="M498" s="33">
        <f>8.2527 * CHOOSE(CONTROL!$C$32, $C$9, 100%, $E$9)</f>
        <v>8.2527000000000008</v>
      </c>
      <c r="N498" s="33">
        <f>8.2474 * CHOOSE(CONTROL!$C$32, $C$9, 100%, $E$9)</f>
        <v>8.2474000000000007</v>
      </c>
      <c r="O498" s="33">
        <f>8.2527 * CHOOSE(CONTROL!$C$32, $C$9, 100%, $E$9)</f>
        <v>8.2527000000000008</v>
      </c>
    </row>
    <row r="499" spans="1:15" ht="15" x14ac:dyDescent="0.2">
      <c r="A499" s="16">
        <v>56401</v>
      </c>
      <c r="B499" s="32">
        <f>7.2184 * CHOOSE(CONTROL!$C$32, $C$9, 100%, $E$9)</f>
        <v>7.2183999999999999</v>
      </c>
      <c r="C499" s="32">
        <f>7.2184 * CHOOSE(CONTROL!$C$32, $C$9, 100%, $E$9)</f>
        <v>7.2183999999999999</v>
      </c>
      <c r="D499" s="32">
        <f>7.2199 * CHOOSE(CONTROL!$C$32, $C$9, 100%, $E$9)</f>
        <v>7.2199</v>
      </c>
      <c r="E499" s="33">
        <f>8.1945 * CHOOSE(CONTROL!$C$32, $C$9, 100%, $E$9)</f>
        <v>8.1944999999999997</v>
      </c>
      <c r="F499" s="33">
        <f>8.1945 * CHOOSE(CONTROL!$C$32, $C$9, 100%, $E$9)</f>
        <v>8.1944999999999997</v>
      </c>
      <c r="G499" s="33">
        <f>8.1998 * CHOOSE(CONTROL!$C$32, $C$9, 100%, $E$9)</f>
        <v>8.1997999999999998</v>
      </c>
      <c r="H499" s="33">
        <f>15.9613 * CHOOSE(CONTROL!$C$32, $C$9, 100%, $E$9)</f>
        <v>15.9613</v>
      </c>
      <c r="I499" s="33">
        <f>15.9666 * CHOOSE(CONTROL!$C$32, $C$9, 100%, $E$9)</f>
        <v>15.9666</v>
      </c>
      <c r="J499" s="33">
        <f>15.9613 * CHOOSE(CONTROL!$C$32, $C$9, 100%, $E$9)</f>
        <v>15.9613</v>
      </c>
      <c r="K499" s="33">
        <f>15.9666 * CHOOSE(CONTROL!$C$32, $C$9, 100%, $E$9)</f>
        <v>15.9666</v>
      </c>
      <c r="L499" s="33">
        <f>8.1945 * CHOOSE(CONTROL!$C$32, $C$9, 100%, $E$9)</f>
        <v>8.1944999999999997</v>
      </c>
      <c r="M499" s="33">
        <f>8.1998 * CHOOSE(CONTROL!$C$32, $C$9, 100%, $E$9)</f>
        <v>8.1997999999999998</v>
      </c>
      <c r="N499" s="33">
        <f>8.1945 * CHOOSE(CONTROL!$C$32, $C$9, 100%, $E$9)</f>
        <v>8.1944999999999997</v>
      </c>
      <c r="O499" s="33">
        <f>8.1998 * CHOOSE(CONTROL!$C$32, $C$9, 100%, $E$9)</f>
        <v>8.1997999999999998</v>
      </c>
    </row>
    <row r="500" spans="1:15" ht="15" x14ac:dyDescent="0.2">
      <c r="A500" s="16">
        <v>56431</v>
      </c>
      <c r="B500" s="32">
        <f>7.3122 * CHOOSE(CONTROL!$C$32, $C$9, 100%, $E$9)</f>
        <v>7.3121999999999998</v>
      </c>
      <c r="C500" s="32">
        <f>7.3122 * CHOOSE(CONTROL!$C$32, $C$9, 100%, $E$9)</f>
        <v>7.3121999999999998</v>
      </c>
      <c r="D500" s="32">
        <f>7.3138 * CHOOSE(CONTROL!$C$32, $C$9, 100%, $E$9)</f>
        <v>7.3137999999999996</v>
      </c>
      <c r="E500" s="33">
        <f>8.3075 * CHOOSE(CONTROL!$C$32, $C$9, 100%, $E$9)</f>
        <v>8.3074999999999992</v>
      </c>
      <c r="F500" s="33">
        <f>8.3075 * CHOOSE(CONTROL!$C$32, $C$9, 100%, $E$9)</f>
        <v>8.3074999999999992</v>
      </c>
      <c r="G500" s="33">
        <f>8.3128 * CHOOSE(CONTROL!$C$32, $C$9, 100%, $E$9)</f>
        <v>8.3127999999999993</v>
      </c>
      <c r="H500" s="33">
        <f>15.9945 * CHOOSE(CONTROL!$C$32, $C$9, 100%, $E$9)</f>
        <v>15.9945</v>
      </c>
      <c r="I500" s="33">
        <f>15.9998 * CHOOSE(CONTROL!$C$32, $C$9, 100%, $E$9)</f>
        <v>15.9998</v>
      </c>
      <c r="J500" s="33">
        <f>15.9945 * CHOOSE(CONTROL!$C$32, $C$9, 100%, $E$9)</f>
        <v>15.9945</v>
      </c>
      <c r="K500" s="33">
        <f>15.9998 * CHOOSE(CONTROL!$C$32, $C$9, 100%, $E$9)</f>
        <v>15.9998</v>
      </c>
      <c r="L500" s="33">
        <f>8.3075 * CHOOSE(CONTROL!$C$32, $C$9, 100%, $E$9)</f>
        <v>8.3074999999999992</v>
      </c>
      <c r="M500" s="33">
        <f>8.3128 * CHOOSE(CONTROL!$C$32, $C$9, 100%, $E$9)</f>
        <v>8.3127999999999993</v>
      </c>
      <c r="N500" s="33">
        <f>8.3075 * CHOOSE(CONTROL!$C$32, $C$9, 100%, $E$9)</f>
        <v>8.3074999999999992</v>
      </c>
      <c r="O500" s="33">
        <f>8.3128 * CHOOSE(CONTROL!$C$32, $C$9, 100%, $E$9)</f>
        <v>8.3127999999999993</v>
      </c>
    </row>
    <row r="501" spans="1:15" ht="15" x14ac:dyDescent="0.2">
      <c r="A501" s="16">
        <v>56462</v>
      </c>
      <c r="B501" s="32">
        <f>7.3189 * CHOOSE(CONTROL!$C$32, $C$9, 100%, $E$9)</f>
        <v>7.3189000000000002</v>
      </c>
      <c r="C501" s="32">
        <f>7.3189 * CHOOSE(CONTROL!$C$32, $C$9, 100%, $E$9)</f>
        <v>7.3189000000000002</v>
      </c>
      <c r="D501" s="32">
        <f>7.3205 * CHOOSE(CONTROL!$C$32, $C$9, 100%, $E$9)</f>
        <v>7.3205</v>
      </c>
      <c r="E501" s="33">
        <f>8.1407 * CHOOSE(CONTROL!$C$32, $C$9, 100%, $E$9)</f>
        <v>8.1407000000000007</v>
      </c>
      <c r="F501" s="33">
        <f>8.1407 * CHOOSE(CONTROL!$C$32, $C$9, 100%, $E$9)</f>
        <v>8.1407000000000007</v>
      </c>
      <c r="G501" s="33">
        <f>8.146 * CHOOSE(CONTROL!$C$32, $C$9, 100%, $E$9)</f>
        <v>8.1460000000000008</v>
      </c>
      <c r="H501" s="33">
        <f>16.0279 * CHOOSE(CONTROL!$C$32, $C$9, 100%, $E$9)</f>
        <v>16.027899999999999</v>
      </c>
      <c r="I501" s="33">
        <f>16.0332 * CHOOSE(CONTROL!$C$32, $C$9, 100%, $E$9)</f>
        <v>16.033200000000001</v>
      </c>
      <c r="J501" s="33">
        <f>16.0279 * CHOOSE(CONTROL!$C$32, $C$9, 100%, $E$9)</f>
        <v>16.027899999999999</v>
      </c>
      <c r="K501" s="33">
        <f>16.0332 * CHOOSE(CONTROL!$C$32, $C$9, 100%, $E$9)</f>
        <v>16.033200000000001</v>
      </c>
      <c r="L501" s="33">
        <f>8.1407 * CHOOSE(CONTROL!$C$32, $C$9, 100%, $E$9)</f>
        <v>8.1407000000000007</v>
      </c>
      <c r="M501" s="33">
        <f>8.146 * CHOOSE(CONTROL!$C$32, $C$9, 100%, $E$9)</f>
        <v>8.1460000000000008</v>
      </c>
      <c r="N501" s="33">
        <f>8.1407 * CHOOSE(CONTROL!$C$32, $C$9, 100%, $E$9)</f>
        <v>8.1407000000000007</v>
      </c>
      <c r="O501" s="33">
        <f>8.146 * CHOOSE(CONTROL!$C$32, $C$9, 100%, $E$9)</f>
        <v>8.1460000000000008</v>
      </c>
    </row>
    <row r="502" spans="1:15" ht="15" x14ac:dyDescent="0.2">
      <c r="A502" s="16">
        <v>56493</v>
      </c>
      <c r="B502" s="32">
        <f>7.3159 * CHOOSE(CONTROL!$C$32, $C$9, 100%, $E$9)</f>
        <v>7.3159000000000001</v>
      </c>
      <c r="C502" s="32">
        <f>7.3159 * CHOOSE(CONTROL!$C$32, $C$9, 100%, $E$9)</f>
        <v>7.3159000000000001</v>
      </c>
      <c r="D502" s="32">
        <f>7.3174 * CHOOSE(CONTROL!$C$32, $C$9, 100%, $E$9)</f>
        <v>7.3174000000000001</v>
      </c>
      <c r="E502" s="33">
        <f>8.1196 * CHOOSE(CONTROL!$C$32, $C$9, 100%, $E$9)</f>
        <v>8.1196000000000002</v>
      </c>
      <c r="F502" s="33">
        <f>8.1196 * CHOOSE(CONTROL!$C$32, $C$9, 100%, $E$9)</f>
        <v>8.1196000000000002</v>
      </c>
      <c r="G502" s="33">
        <f>8.1249 * CHOOSE(CONTROL!$C$32, $C$9, 100%, $E$9)</f>
        <v>8.1249000000000002</v>
      </c>
      <c r="H502" s="33">
        <f>16.0613 * CHOOSE(CONTROL!$C$32, $C$9, 100%, $E$9)</f>
        <v>16.061299999999999</v>
      </c>
      <c r="I502" s="33">
        <f>16.0665 * CHOOSE(CONTROL!$C$32, $C$9, 100%, $E$9)</f>
        <v>16.066500000000001</v>
      </c>
      <c r="J502" s="33">
        <f>16.0613 * CHOOSE(CONTROL!$C$32, $C$9, 100%, $E$9)</f>
        <v>16.061299999999999</v>
      </c>
      <c r="K502" s="33">
        <f>16.0665 * CHOOSE(CONTROL!$C$32, $C$9, 100%, $E$9)</f>
        <v>16.066500000000001</v>
      </c>
      <c r="L502" s="33">
        <f>8.1196 * CHOOSE(CONTROL!$C$32, $C$9, 100%, $E$9)</f>
        <v>8.1196000000000002</v>
      </c>
      <c r="M502" s="33">
        <f>8.1249 * CHOOSE(CONTROL!$C$32, $C$9, 100%, $E$9)</f>
        <v>8.1249000000000002</v>
      </c>
      <c r="N502" s="33">
        <f>8.1196 * CHOOSE(CONTROL!$C$32, $C$9, 100%, $E$9)</f>
        <v>8.1196000000000002</v>
      </c>
      <c r="O502" s="33">
        <f>8.1249 * CHOOSE(CONTROL!$C$32, $C$9, 100%, $E$9)</f>
        <v>8.1249000000000002</v>
      </c>
    </row>
    <row r="503" spans="1:15" ht="15" x14ac:dyDescent="0.2">
      <c r="A503" s="16">
        <v>56523</v>
      </c>
      <c r="B503" s="32">
        <f>7.3233 * CHOOSE(CONTROL!$C$32, $C$9, 100%, $E$9)</f>
        <v>7.3232999999999997</v>
      </c>
      <c r="C503" s="32">
        <f>7.3233 * CHOOSE(CONTROL!$C$32, $C$9, 100%, $E$9)</f>
        <v>7.3232999999999997</v>
      </c>
      <c r="D503" s="32">
        <f>7.3243 * CHOOSE(CONTROL!$C$32, $C$9, 100%, $E$9)</f>
        <v>7.3243</v>
      </c>
      <c r="E503" s="33">
        <f>8.1823 * CHOOSE(CONTROL!$C$32, $C$9, 100%, $E$9)</f>
        <v>8.1822999999999997</v>
      </c>
      <c r="F503" s="33">
        <f>8.1823 * CHOOSE(CONTROL!$C$32, $C$9, 100%, $E$9)</f>
        <v>8.1822999999999997</v>
      </c>
      <c r="G503" s="33">
        <f>8.186 * CHOOSE(CONTROL!$C$32, $C$9, 100%, $E$9)</f>
        <v>8.1859999999999999</v>
      </c>
      <c r="H503" s="33">
        <f>16.0947 * CHOOSE(CONTROL!$C$32, $C$9, 100%, $E$9)</f>
        <v>16.0947</v>
      </c>
      <c r="I503" s="33">
        <f>16.0983 * CHOOSE(CONTROL!$C$32, $C$9, 100%, $E$9)</f>
        <v>16.098299999999998</v>
      </c>
      <c r="J503" s="33">
        <f>16.0947 * CHOOSE(CONTROL!$C$32, $C$9, 100%, $E$9)</f>
        <v>16.0947</v>
      </c>
      <c r="K503" s="33">
        <f>16.0983 * CHOOSE(CONTROL!$C$32, $C$9, 100%, $E$9)</f>
        <v>16.098299999999998</v>
      </c>
      <c r="L503" s="33">
        <f>8.1823 * CHOOSE(CONTROL!$C$32, $C$9, 100%, $E$9)</f>
        <v>8.1822999999999997</v>
      </c>
      <c r="M503" s="33">
        <f>8.186 * CHOOSE(CONTROL!$C$32, $C$9, 100%, $E$9)</f>
        <v>8.1859999999999999</v>
      </c>
      <c r="N503" s="33">
        <f>8.1823 * CHOOSE(CONTROL!$C$32, $C$9, 100%, $E$9)</f>
        <v>8.1822999999999997</v>
      </c>
      <c r="O503" s="33">
        <f>8.186 * CHOOSE(CONTROL!$C$32, $C$9, 100%, $E$9)</f>
        <v>8.1859999999999999</v>
      </c>
    </row>
    <row r="504" spans="1:15" ht="15" x14ac:dyDescent="0.2">
      <c r="A504" s="16">
        <v>56554</v>
      </c>
      <c r="B504" s="32">
        <f>7.3263 * CHOOSE(CONTROL!$C$32, $C$9, 100%, $E$9)</f>
        <v>7.3262999999999998</v>
      </c>
      <c r="C504" s="32">
        <f>7.3263 * CHOOSE(CONTROL!$C$32, $C$9, 100%, $E$9)</f>
        <v>7.3262999999999998</v>
      </c>
      <c r="D504" s="32">
        <f>7.3274 * CHOOSE(CONTROL!$C$32, $C$9, 100%, $E$9)</f>
        <v>7.3273999999999999</v>
      </c>
      <c r="E504" s="33">
        <f>8.2226 * CHOOSE(CONTROL!$C$32, $C$9, 100%, $E$9)</f>
        <v>8.2225999999999999</v>
      </c>
      <c r="F504" s="33">
        <f>8.2226 * CHOOSE(CONTROL!$C$32, $C$9, 100%, $E$9)</f>
        <v>8.2225999999999999</v>
      </c>
      <c r="G504" s="33">
        <f>8.2262 * CHOOSE(CONTROL!$C$32, $C$9, 100%, $E$9)</f>
        <v>8.2262000000000004</v>
      </c>
      <c r="H504" s="33">
        <f>16.1282 * CHOOSE(CONTROL!$C$32, $C$9, 100%, $E$9)</f>
        <v>16.1282</v>
      </c>
      <c r="I504" s="33">
        <f>16.1319 * CHOOSE(CONTROL!$C$32, $C$9, 100%, $E$9)</f>
        <v>16.131900000000002</v>
      </c>
      <c r="J504" s="33">
        <f>16.1282 * CHOOSE(CONTROL!$C$32, $C$9, 100%, $E$9)</f>
        <v>16.1282</v>
      </c>
      <c r="K504" s="33">
        <f>16.1319 * CHOOSE(CONTROL!$C$32, $C$9, 100%, $E$9)</f>
        <v>16.131900000000002</v>
      </c>
      <c r="L504" s="33">
        <f>8.2226 * CHOOSE(CONTROL!$C$32, $C$9, 100%, $E$9)</f>
        <v>8.2225999999999999</v>
      </c>
      <c r="M504" s="33">
        <f>8.2262 * CHOOSE(CONTROL!$C$32, $C$9, 100%, $E$9)</f>
        <v>8.2262000000000004</v>
      </c>
      <c r="N504" s="33">
        <f>8.2226 * CHOOSE(CONTROL!$C$32, $C$9, 100%, $E$9)</f>
        <v>8.2225999999999999</v>
      </c>
      <c r="O504" s="33">
        <f>8.2262 * CHOOSE(CONTROL!$C$32, $C$9, 100%, $E$9)</f>
        <v>8.2262000000000004</v>
      </c>
    </row>
    <row r="505" spans="1:15" ht="15" x14ac:dyDescent="0.2">
      <c r="A505" s="16">
        <v>56584</v>
      </c>
      <c r="B505" s="32">
        <f>7.3263 * CHOOSE(CONTROL!$C$32, $C$9, 100%, $E$9)</f>
        <v>7.3262999999999998</v>
      </c>
      <c r="C505" s="32">
        <f>7.3263 * CHOOSE(CONTROL!$C$32, $C$9, 100%, $E$9)</f>
        <v>7.3262999999999998</v>
      </c>
      <c r="D505" s="32">
        <f>7.3274 * CHOOSE(CONTROL!$C$32, $C$9, 100%, $E$9)</f>
        <v>7.3273999999999999</v>
      </c>
      <c r="E505" s="33">
        <f>8.1273 * CHOOSE(CONTROL!$C$32, $C$9, 100%, $E$9)</f>
        <v>8.1273</v>
      </c>
      <c r="F505" s="33">
        <f>8.1273 * CHOOSE(CONTROL!$C$32, $C$9, 100%, $E$9)</f>
        <v>8.1273</v>
      </c>
      <c r="G505" s="33">
        <f>8.1309 * CHOOSE(CONTROL!$C$32, $C$9, 100%, $E$9)</f>
        <v>8.1309000000000005</v>
      </c>
      <c r="H505" s="33">
        <f>16.1618 * CHOOSE(CONTROL!$C$32, $C$9, 100%, $E$9)</f>
        <v>16.161799999999999</v>
      </c>
      <c r="I505" s="33">
        <f>16.1655 * CHOOSE(CONTROL!$C$32, $C$9, 100%, $E$9)</f>
        <v>16.165500000000002</v>
      </c>
      <c r="J505" s="33">
        <f>16.1618 * CHOOSE(CONTROL!$C$32, $C$9, 100%, $E$9)</f>
        <v>16.161799999999999</v>
      </c>
      <c r="K505" s="33">
        <f>16.1655 * CHOOSE(CONTROL!$C$32, $C$9, 100%, $E$9)</f>
        <v>16.165500000000002</v>
      </c>
      <c r="L505" s="33">
        <f>8.1273 * CHOOSE(CONTROL!$C$32, $C$9, 100%, $E$9)</f>
        <v>8.1273</v>
      </c>
      <c r="M505" s="33">
        <f>8.1309 * CHOOSE(CONTROL!$C$32, $C$9, 100%, $E$9)</f>
        <v>8.1309000000000005</v>
      </c>
      <c r="N505" s="33">
        <f>8.1273 * CHOOSE(CONTROL!$C$32, $C$9, 100%, $E$9)</f>
        <v>8.1273</v>
      </c>
      <c r="O505" s="33">
        <f>8.1309 * CHOOSE(CONTROL!$C$32, $C$9, 100%, $E$9)</f>
        <v>8.1309000000000005</v>
      </c>
    </row>
    <row r="506" spans="1:15" ht="15" x14ac:dyDescent="0.2">
      <c r="A506" s="16">
        <v>56615</v>
      </c>
      <c r="B506" s="32">
        <f>7.3813 * CHOOSE(CONTROL!$C$32, $C$9, 100%, $E$9)</f>
        <v>7.3813000000000004</v>
      </c>
      <c r="C506" s="32">
        <f>7.3813 * CHOOSE(CONTROL!$C$32, $C$9, 100%, $E$9)</f>
        <v>7.3813000000000004</v>
      </c>
      <c r="D506" s="32">
        <f>7.3824 * CHOOSE(CONTROL!$C$32, $C$9, 100%, $E$9)</f>
        <v>7.3823999999999996</v>
      </c>
      <c r="E506" s="33">
        <f>8.2653 * CHOOSE(CONTROL!$C$32, $C$9, 100%, $E$9)</f>
        <v>8.2652999999999999</v>
      </c>
      <c r="F506" s="33">
        <f>8.2653 * CHOOSE(CONTROL!$C$32, $C$9, 100%, $E$9)</f>
        <v>8.2652999999999999</v>
      </c>
      <c r="G506" s="33">
        <f>8.2689 * CHOOSE(CONTROL!$C$32, $C$9, 100%, $E$9)</f>
        <v>8.2689000000000004</v>
      </c>
      <c r="H506" s="33">
        <f>16.1955 * CHOOSE(CONTROL!$C$32, $C$9, 100%, $E$9)</f>
        <v>16.195499999999999</v>
      </c>
      <c r="I506" s="33">
        <f>16.1991 * CHOOSE(CONTROL!$C$32, $C$9, 100%, $E$9)</f>
        <v>16.199100000000001</v>
      </c>
      <c r="J506" s="33">
        <f>16.1955 * CHOOSE(CONTROL!$C$32, $C$9, 100%, $E$9)</f>
        <v>16.195499999999999</v>
      </c>
      <c r="K506" s="33">
        <f>16.1991 * CHOOSE(CONTROL!$C$32, $C$9, 100%, $E$9)</f>
        <v>16.199100000000001</v>
      </c>
      <c r="L506" s="33">
        <f>8.2653 * CHOOSE(CONTROL!$C$32, $C$9, 100%, $E$9)</f>
        <v>8.2652999999999999</v>
      </c>
      <c r="M506" s="33">
        <f>8.2689 * CHOOSE(CONTROL!$C$32, $C$9, 100%, $E$9)</f>
        <v>8.2689000000000004</v>
      </c>
      <c r="N506" s="33">
        <f>8.2653 * CHOOSE(CONTROL!$C$32, $C$9, 100%, $E$9)</f>
        <v>8.2652999999999999</v>
      </c>
      <c r="O506" s="33">
        <f>8.2689 * CHOOSE(CONTROL!$C$32, $C$9, 100%, $E$9)</f>
        <v>8.2689000000000004</v>
      </c>
    </row>
    <row r="507" spans="1:15" ht="15" x14ac:dyDescent="0.2">
      <c r="A507" s="16">
        <v>56646</v>
      </c>
      <c r="B507" s="32">
        <f>7.3783 * CHOOSE(CONTROL!$C$32, $C$9, 100%, $E$9)</f>
        <v>7.3783000000000003</v>
      </c>
      <c r="C507" s="32">
        <f>7.3783 * CHOOSE(CONTROL!$C$32, $C$9, 100%, $E$9)</f>
        <v>7.3783000000000003</v>
      </c>
      <c r="D507" s="32">
        <f>7.3794 * CHOOSE(CONTROL!$C$32, $C$9, 100%, $E$9)</f>
        <v>7.3794000000000004</v>
      </c>
      <c r="E507" s="33">
        <f>8.0773 * CHOOSE(CONTROL!$C$32, $C$9, 100%, $E$9)</f>
        <v>8.0772999999999993</v>
      </c>
      <c r="F507" s="33">
        <f>8.0773 * CHOOSE(CONTROL!$C$32, $C$9, 100%, $E$9)</f>
        <v>8.0772999999999993</v>
      </c>
      <c r="G507" s="33">
        <f>8.0809 * CHOOSE(CONTROL!$C$32, $C$9, 100%, $E$9)</f>
        <v>8.0808999999999997</v>
      </c>
      <c r="H507" s="33">
        <f>16.2293 * CHOOSE(CONTROL!$C$32, $C$9, 100%, $E$9)</f>
        <v>16.229299999999999</v>
      </c>
      <c r="I507" s="33">
        <f>16.2329 * CHOOSE(CONTROL!$C$32, $C$9, 100%, $E$9)</f>
        <v>16.232900000000001</v>
      </c>
      <c r="J507" s="33">
        <f>16.2293 * CHOOSE(CONTROL!$C$32, $C$9, 100%, $E$9)</f>
        <v>16.229299999999999</v>
      </c>
      <c r="K507" s="33">
        <f>16.2329 * CHOOSE(CONTROL!$C$32, $C$9, 100%, $E$9)</f>
        <v>16.232900000000001</v>
      </c>
      <c r="L507" s="33">
        <f>8.0773 * CHOOSE(CONTROL!$C$32, $C$9, 100%, $E$9)</f>
        <v>8.0772999999999993</v>
      </c>
      <c r="M507" s="33">
        <f>8.0809 * CHOOSE(CONTROL!$C$32, $C$9, 100%, $E$9)</f>
        <v>8.0808999999999997</v>
      </c>
      <c r="N507" s="33">
        <f>8.0773 * CHOOSE(CONTROL!$C$32, $C$9, 100%, $E$9)</f>
        <v>8.0772999999999993</v>
      </c>
      <c r="O507" s="33">
        <f>8.0809 * CHOOSE(CONTROL!$C$32, $C$9, 100%, $E$9)</f>
        <v>8.0808999999999997</v>
      </c>
    </row>
    <row r="508" spans="1:15" ht="15" x14ac:dyDescent="0.2">
      <c r="A508" s="16">
        <v>56674</v>
      </c>
      <c r="B508" s="32">
        <f>7.3752 * CHOOSE(CONTROL!$C$32, $C$9, 100%, $E$9)</f>
        <v>7.3752000000000004</v>
      </c>
      <c r="C508" s="32">
        <f>7.3752 * CHOOSE(CONTROL!$C$32, $C$9, 100%, $E$9)</f>
        <v>7.3752000000000004</v>
      </c>
      <c r="D508" s="32">
        <f>7.3763 * CHOOSE(CONTROL!$C$32, $C$9, 100%, $E$9)</f>
        <v>7.3762999999999996</v>
      </c>
      <c r="E508" s="33">
        <f>8.2217 * CHOOSE(CONTROL!$C$32, $C$9, 100%, $E$9)</f>
        <v>8.2217000000000002</v>
      </c>
      <c r="F508" s="33">
        <f>8.2217 * CHOOSE(CONTROL!$C$32, $C$9, 100%, $E$9)</f>
        <v>8.2217000000000002</v>
      </c>
      <c r="G508" s="33">
        <f>8.2253 * CHOOSE(CONTROL!$C$32, $C$9, 100%, $E$9)</f>
        <v>8.2253000000000007</v>
      </c>
      <c r="H508" s="33">
        <f>16.2631 * CHOOSE(CONTROL!$C$32, $C$9, 100%, $E$9)</f>
        <v>16.263100000000001</v>
      </c>
      <c r="I508" s="33">
        <f>16.2667 * CHOOSE(CONTROL!$C$32, $C$9, 100%, $E$9)</f>
        <v>16.2667</v>
      </c>
      <c r="J508" s="33">
        <f>16.2631 * CHOOSE(CONTROL!$C$32, $C$9, 100%, $E$9)</f>
        <v>16.263100000000001</v>
      </c>
      <c r="K508" s="33">
        <f>16.2667 * CHOOSE(CONTROL!$C$32, $C$9, 100%, $E$9)</f>
        <v>16.2667</v>
      </c>
      <c r="L508" s="33">
        <f>8.2217 * CHOOSE(CONTROL!$C$32, $C$9, 100%, $E$9)</f>
        <v>8.2217000000000002</v>
      </c>
      <c r="M508" s="33">
        <f>8.2253 * CHOOSE(CONTROL!$C$32, $C$9, 100%, $E$9)</f>
        <v>8.2253000000000007</v>
      </c>
      <c r="N508" s="33">
        <f>8.2217 * CHOOSE(CONTROL!$C$32, $C$9, 100%, $E$9)</f>
        <v>8.2217000000000002</v>
      </c>
      <c r="O508" s="33">
        <f>8.2253 * CHOOSE(CONTROL!$C$32, $C$9, 100%, $E$9)</f>
        <v>8.2253000000000007</v>
      </c>
    </row>
    <row r="509" spans="1:15" ht="15" x14ac:dyDescent="0.2">
      <c r="A509" s="16">
        <v>56705</v>
      </c>
      <c r="B509" s="32">
        <f>7.3762 * CHOOSE(CONTROL!$C$32, $C$9, 100%, $E$9)</f>
        <v>7.3761999999999999</v>
      </c>
      <c r="C509" s="32">
        <f>7.3762 * CHOOSE(CONTROL!$C$32, $C$9, 100%, $E$9)</f>
        <v>7.3761999999999999</v>
      </c>
      <c r="D509" s="32">
        <f>7.3772 * CHOOSE(CONTROL!$C$32, $C$9, 100%, $E$9)</f>
        <v>7.3772000000000002</v>
      </c>
      <c r="E509" s="33">
        <f>8.3748 * CHOOSE(CONTROL!$C$32, $C$9, 100%, $E$9)</f>
        <v>8.3748000000000005</v>
      </c>
      <c r="F509" s="33">
        <f>8.3748 * CHOOSE(CONTROL!$C$32, $C$9, 100%, $E$9)</f>
        <v>8.3748000000000005</v>
      </c>
      <c r="G509" s="33">
        <f>8.3784 * CHOOSE(CONTROL!$C$32, $C$9, 100%, $E$9)</f>
        <v>8.3783999999999992</v>
      </c>
      <c r="H509" s="33">
        <f>16.297 * CHOOSE(CONTROL!$C$32, $C$9, 100%, $E$9)</f>
        <v>16.297000000000001</v>
      </c>
      <c r="I509" s="33">
        <f>16.3006 * CHOOSE(CONTROL!$C$32, $C$9, 100%, $E$9)</f>
        <v>16.300599999999999</v>
      </c>
      <c r="J509" s="33">
        <f>16.297 * CHOOSE(CONTROL!$C$32, $C$9, 100%, $E$9)</f>
        <v>16.297000000000001</v>
      </c>
      <c r="K509" s="33">
        <f>16.3006 * CHOOSE(CONTROL!$C$32, $C$9, 100%, $E$9)</f>
        <v>16.300599999999999</v>
      </c>
      <c r="L509" s="33">
        <f>8.3748 * CHOOSE(CONTROL!$C$32, $C$9, 100%, $E$9)</f>
        <v>8.3748000000000005</v>
      </c>
      <c r="M509" s="33">
        <f>8.3784 * CHOOSE(CONTROL!$C$32, $C$9, 100%, $E$9)</f>
        <v>8.3783999999999992</v>
      </c>
      <c r="N509" s="33">
        <f>8.3748 * CHOOSE(CONTROL!$C$32, $C$9, 100%, $E$9)</f>
        <v>8.3748000000000005</v>
      </c>
      <c r="O509" s="33">
        <f>8.3784 * CHOOSE(CONTROL!$C$32, $C$9, 100%, $E$9)</f>
        <v>8.3783999999999992</v>
      </c>
    </row>
    <row r="510" spans="1:15" ht="15" x14ac:dyDescent="0.2">
      <c r="A510" s="16">
        <v>56735</v>
      </c>
      <c r="B510" s="32">
        <f>7.3762 * CHOOSE(CONTROL!$C$32, $C$9, 100%, $E$9)</f>
        <v>7.3761999999999999</v>
      </c>
      <c r="C510" s="32">
        <f>7.3762 * CHOOSE(CONTROL!$C$32, $C$9, 100%, $E$9)</f>
        <v>7.3761999999999999</v>
      </c>
      <c r="D510" s="32">
        <f>7.3777 * CHOOSE(CONTROL!$C$32, $C$9, 100%, $E$9)</f>
        <v>7.3776999999999999</v>
      </c>
      <c r="E510" s="33">
        <f>8.4338 * CHOOSE(CONTROL!$C$32, $C$9, 100%, $E$9)</f>
        <v>8.4337999999999997</v>
      </c>
      <c r="F510" s="33">
        <f>8.4338 * CHOOSE(CONTROL!$C$32, $C$9, 100%, $E$9)</f>
        <v>8.4337999999999997</v>
      </c>
      <c r="G510" s="33">
        <f>8.4391 * CHOOSE(CONTROL!$C$32, $C$9, 100%, $E$9)</f>
        <v>8.4390999999999998</v>
      </c>
      <c r="H510" s="33">
        <f>16.3309 * CHOOSE(CONTROL!$C$32, $C$9, 100%, $E$9)</f>
        <v>16.3309</v>
      </c>
      <c r="I510" s="33">
        <f>16.3362 * CHOOSE(CONTROL!$C$32, $C$9, 100%, $E$9)</f>
        <v>16.336200000000002</v>
      </c>
      <c r="J510" s="33">
        <f>16.3309 * CHOOSE(CONTROL!$C$32, $C$9, 100%, $E$9)</f>
        <v>16.3309</v>
      </c>
      <c r="K510" s="33">
        <f>16.3362 * CHOOSE(CONTROL!$C$32, $C$9, 100%, $E$9)</f>
        <v>16.336200000000002</v>
      </c>
      <c r="L510" s="33">
        <f>8.4338 * CHOOSE(CONTROL!$C$32, $C$9, 100%, $E$9)</f>
        <v>8.4337999999999997</v>
      </c>
      <c r="M510" s="33">
        <f>8.4391 * CHOOSE(CONTROL!$C$32, $C$9, 100%, $E$9)</f>
        <v>8.4390999999999998</v>
      </c>
      <c r="N510" s="33">
        <f>8.4338 * CHOOSE(CONTROL!$C$32, $C$9, 100%, $E$9)</f>
        <v>8.4337999999999997</v>
      </c>
      <c r="O510" s="33">
        <f>8.4391 * CHOOSE(CONTROL!$C$32, $C$9, 100%, $E$9)</f>
        <v>8.4390999999999998</v>
      </c>
    </row>
    <row r="511" spans="1:15" ht="15" x14ac:dyDescent="0.2">
      <c r="A511" s="16">
        <v>56766</v>
      </c>
      <c r="B511" s="32">
        <f>7.3822 * CHOOSE(CONTROL!$C$32, $C$9, 100%, $E$9)</f>
        <v>7.3822000000000001</v>
      </c>
      <c r="C511" s="32">
        <f>7.3822 * CHOOSE(CONTROL!$C$32, $C$9, 100%, $E$9)</f>
        <v>7.3822000000000001</v>
      </c>
      <c r="D511" s="32">
        <f>7.3838 * CHOOSE(CONTROL!$C$32, $C$9, 100%, $E$9)</f>
        <v>7.3837999999999999</v>
      </c>
      <c r="E511" s="33">
        <f>8.379 * CHOOSE(CONTROL!$C$32, $C$9, 100%, $E$9)</f>
        <v>8.3789999999999996</v>
      </c>
      <c r="F511" s="33">
        <f>8.379 * CHOOSE(CONTROL!$C$32, $C$9, 100%, $E$9)</f>
        <v>8.3789999999999996</v>
      </c>
      <c r="G511" s="33">
        <f>8.3843 * CHOOSE(CONTROL!$C$32, $C$9, 100%, $E$9)</f>
        <v>8.3842999999999996</v>
      </c>
      <c r="H511" s="33">
        <f>16.3649 * CHOOSE(CONTROL!$C$32, $C$9, 100%, $E$9)</f>
        <v>16.364899999999999</v>
      </c>
      <c r="I511" s="33">
        <f>16.3702 * CHOOSE(CONTROL!$C$32, $C$9, 100%, $E$9)</f>
        <v>16.370200000000001</v>
      </c>
      <c r="J511" s="33">
        <f>16.3649 * CHOOSE(CONTROL!$C$32, $C$9, 100%, $E$9)</f>
        <v>16.364899999999999</v>
      </c>
      <c r="K511" s="33">
        <f>16.3702 * CHOOSE(CONTROL!$C$32, $C$9, 100%, $E$9)</f>
        <v>16.370200000000001</v>
      </c>
      <c r="L511" s="33">
        <f>8.379 * CHOOSE(CONTROL!$C$32, $C$9, 100%, $E$9)</f>
        <v>8.3789999999999996</v>
      </c>
      <c r="M511" s="33">
        <f>8.3843 * CHOOSE(CONTROL!$C$32, $C$9, 100%, $E$9)</f>
        <v>8.3842999999999996</v>
      </c>
      <c r="N511" s="33">
        <f>8.379 * CHOOSE(CONTROL!$C$32, $C$9, 100%, $E$9)</f>
        <v>8.3789999999999996</v>
      </c>
      <c r="O511" s="33">
        <f>8.3843 * CHOOSE(CONTROL!$C$32, $C$9, 100%, $E$9)</f>
        <v>8.3842999999999996</v>
      </c>
    </row>
    <row r="512" spans="1:15" ht="15" x14ac:dyDescent="0.2">
      <c r="A512" s="16">
        <v>56796</v>
      </c>
      <c r="B512" s="32">
        <f>7.4779 * CHOOSE(CONTROL!$C$32, $C$9, 100%, $E$9)</f>
        <v>7.4779</v>
      </c>
      <c r="C512" s="32">
        <f>7.4779 * CHOOSE(CONTROL!$C$32, $C$9, 100%, $E$9)</f>
        <v>7.4779</v>
      </c>
      <c r="D512" s="32">
        <f>7.4795 * CHOOSE(CONTROL!$C$32, $C$9, 100%, $E$9)</f>
        <v>7.4794999999999998</v>
      </c>
      <c r="E512" s="33">
        <f>8.4945 * CHOOSE(CONTROL!$C$32, $C$9, 100%, $E$9)</f>
        <v>8.4945000000000004</v>
      </c>
      <c r="F512" s="33">
        <f>8.4945 * CHOOSE(CONTROL!$C$32, $C$9, 100%, $E$9)</f>
        <v>8.4945000000000004</v>
      </c>
      <c r="G512" s="33">
        <f>8.4998 * CHOOSE(CONTROL!$C$32, $C$9, 100%, $E$9)</f>
        <v>8.4998000000000005</v>
      </c>
      <c r="H512" s="33">
        <f>16.399 * CHOOSE(CONTROL!$C$32, $C$9, 100%, $E$9)</f>
        <v>16.399000000000001</v>
      </c>
      <c r="I512" s="33">
        <f>16.4043 * CHOOSE(CONTROL!$C$32, $C$9, 100%, $E$9)</f>
        <v>16.404299999999999</v>
      </c>
      <c r="J512" s="33">
        <f>16.399 * CHOOSE(CONTROL!$C$32, $C$9, 100%, $E$9)</f>
        <v>16.399000000000001</v>
      </c>
      <c r="K512" s="33">
        <f>16.4043 * CHOOSE(CONTROL!$C$32, $C$9, 100%, $E$9)</f>
        <v>16.404299999999999</v>
      </c>
      <c r="L512" s="33">
        <f>8.4945 * CHOOSE(CONTROL!$C$32, $C$9, 100%, $E$9)</f>
        <v>8.4945000000000004</v>
      </c>
      <c r="M512" s="33">
        <f>8.4998 * CHOOSE(CONTROL!$C$32, $C$9, 100%, $E$9)</f>
        <v>8.4998000000000005</v>
      </c>
      <c r="N512" s="33">
        <f>8.4945 * CHOOSE(CONTROL!$C$32, $C$9, 100%, $E$9)</f>
        <v>8.4945000000000004</v>
      </c>
      <c r="O512" s="33">
        <f>8.4998 * CHOOSE(CONTROL!$C$32, $C$9, 100%, $E$9)</f>
        <v>8.4998000000000005</v>
      </c>
    </row>
    <row r="513" spans="1:15" ht="15" x14ac:dyDescent="0.2">
      <c r="A513" s="16">
        <v>56827</v>
      </c>
      <c r="B513" s="32">
        <f>7.4846 * CHOOSE(CONTROL!$C$32, $C$9, 100%, $E$9)</f>
        <v>7.4846000000000004</v>
      </c>
      <c r="C513" s="32">
        <f>7.4846 * CHOOSE(CONTROL!$C$32, $C$9, 100%, $E$9)</f>
        <v>7.4846000000000004</v>
      </c>
      <c r="D513" s="32">
        <f>7.4862 * CHOOSE(CONTROL!$C$32, $C$9, 100%, $E$9)</f>
        <v>7.4862000000000002</v>
      </c>
      <c r="E513" s="33">
        <f>8.3222 * CHOOSE(CONTROL!$C$32, $C$9, 100%, $E$9)</f>
        <v>8.3222000000000005</v>
      </c>
      <c r="F513" s="33">
        <f>8.3222 * CHOOSE(CONTROL!$C$32, $C$9, 100%, $E$9)</f>
        <v>8.3222000000000005</v>
      </c>
      <c r="G513" s="33">
        <f>8.3275 * CHOOSE(CONTROL!$C$32, $C$9, 100%, $E$9)</f>
        <v>8.3275000000000006</v>
      </c>
      <c r="H513" s="33">
        <f>16.4332 * CHOOSE(CONTROL!$C$32, $C$9, 100%, $E$9)</f>
        <v>16.433199999999999</v>
      </c>
      <c r="I513" s="33">
        <f>16.4385 * CHOOSE(CONTROL!$C$32, $C$9, 100%, $E$9)</f>
        <v>16.438500000000001</v>
      </c>
      <c r="J513" s="33">
        <f>16.4332 * CHOOSE(CONTROL!$C$32, $C$9, 100%, $E$9)</f>
        <v>16.433199999999999</v>
      </c>
      <c r="K513" s="33">
        <f>16.4385 * CHOOSE(CONTROL!$C$32, $C$9, 100%, $E$9)</f>
        <v>16.438500000000001</v>
      </c>
      <c r="L513" s="33">
        <f>8.3222 * CHOOSE(CONTROL!$C$32, $C$9, 100%, $E$9)</f>
        <v>8.3222000000000005</v>
      </c>
      <c r="M513" s="33">
        <f>8.3275 * CHOOSE(CONTROL!$C$32, $C$9, 100%, $E$9)</f>
        <v>8.3275000000000006</v>
      </c>
      <c r="N513" s="33">
        <f>8.3222 * CHOOSE(CONTROL!$C$32, $C$9, 100%, $E$9)</f>
        <v>8.3222000000000005</v>
      </c>
      <c r="O513" s="33">
        <f>8.3275 * CHOOSE(CONTROL!$C$32, $C$9, 100%, $E$9)</f>
        <v>8.3275000000000006</v>
      </c>
    </row>
    <row r="514" spans="1:15" ht="15" x14ac:dyDescent="0.2">
      <c r="A514" s="16">
        <v>56858</v>
      </c>
      <c r="B514" s="32">
        <f>7.4816 * CHOOSE(CONTROL!$C$32, $C$9, 100%, $E$9)</f>
        <v>7.4816000000000003</v>
      </c>
      <c r="C514" s="32">
        <f>7.4816 * CHOOSE(CONTROL!$C$32, $C$9, 100%, $E$9)</f>
        <v>7.4816000000000003</v>
      </c>
      <c r="D514" s="32">
        <f>7.4831 * CHOOSE(CONTROL!$C$32, $C$9, 100%, $E$9)</f>
        <v>7.4831000000000003</v>
      </c>
      <c r="E514" s="33">
        <f>8.3004 * CHOOSE(CONTROL!$C$32, $C$9, 100%, $E$9)</f>
        <v>8.3003999999999998</v>
      </c>
      <c r="F514" s="33">
        <f>8.3004 * CHOOSE(CONTROL!$C$32, $C$9, 100%, $E$9)</f>
        <v>8.3003999999999998</v>
      </c>
      <c r="G514" s="33">
        <f>8.3057 * CHOOSE(CONTROL!$C$32, $C$9, 100%, $E$9)</f>
        <v>8.3056999999999999</v>
      </c>
      <c r="H514" s="33">
        <f>16.4674 * CHOOSE(CONTROL!$C$32, $C$9, 100%, $E$9)</f>
        <v>16.467400000000001</v>
      </c>
      <c r="I514" s="33">
        <f>16.4727 * CHOOSE(CONTROL!$C$32, $C$9, 100%, $E$9)</f>
        <v>16.4727</v>
      </c>
      <c r="J514" s="33">
        <f>16.4674 * CHOOSE(CONTROL!$C$32, $C$9, 100%, $E$9)</f>
        <v>16.467400000000001</v>
      </c>
      <c r="K514" s="33">
        <f>16.4727 * CHOOSE(CONTROL!$C$32, $C$9, 100%, $E$9)</f>
        <v>16.4727</v>
      </c>
      <c r="L514" s="33">
        <f>8.3004 * CHOOSE(CONTROL!$C$32, $C$9, 100%, $E$9)</f>
        <v>8.3003999999999998</v>
      </c>
      <c r="M514" s="33">
        <f>8.3057 * CHOOSE(CONTROL!$C$32, $C$9, 100%, $E$9)</f>
        <v>8.3056999999999999</v>
      </c>
      <c r="N514" s="33">
        <f>8.3004 * CHOOSE(CONTROL!$C$32, $C$9, 100%, $E$9)</f>
        <v>8.3003999999999998</v>
      </c>
      <c r="O514" s="33">
        <f>8.3057 * CHOOSE(CONTROL!$C$32, $C$9, 100%, $E$9)</f>
        <v>8.3056999999999999</v>
      </c>
    </row>
    <row r="515" spans="1:15" ht="15" x14ac:dyDescent="0.2">
      <c r="A515" s="16">
        <v>56888</v>
      </c>
      <c r="B515" s="32">
        <f>7.4896 * CHOOSE(CONTROL!$C$32, $C$9, 100%, $E$9)</f>
        <v>7.4896000000000003</v>
      </c>
      <c r="C515" s="32">
        <f>7.4896 * CHOOSE(CONTROL!$C$32, $C$9, 100%, $E$9)</f>
        <v>7.4896000000000003</v>
      </c>
      <c r="D515" s="32">
        <f>7.4906 * CHOOSE(CONTROL!$C$32, $C$9, 100%, $E$9)</f>
        <v>7.4905999999999997</v>
      </c>
      <c r="E515" s="33">
        <f>8.3656 * CHOOSE(CONTROL!$C$32, $C$9, 100%, $E$9)</f>
        <v>8.3656000000000006</v>
      </c>
      <c r="F515" s="33">
        <f>8.3656 * CHOOSE(CONTROL!$C$32, $C$9, 100%, $E$9)</f>
        <v>8.3656000000000006</v>
      </c>
      <c r="G515" s="33">
        <f>8.3692 * CHOOSE(CONTROL!$C$32, $C$9, 100%, $E$9)</f>
        <v>8.3691999999999993</v>
      </c>
      <c r="H515" s="33">
        <f>16.5017 * CHOOSE(CONTROL!$C$32, $C$9, 100%, $E$9)</f>
        <v>16.5017</v>
      </c>
      <c r="I515" s="33">
        <f>16.5053 * CHOOSE(CONTROL!$C$32, $C$9, 100%, $E$9)</f>
        <v>16.505299999999998</v>
      </c>
      <c r="J515" s="33">
        <f>16.5017 * CHOOSE(CONTROL!$C$32, $C$9, 100%, $E$9)</f>
        <v>16.5017</v>
      </c>
      <c r="K515" s="33">
        <f>16.5053 * CHOOSE(CONTROL!$C$32, $C$9, 100%, $E$9)</f>
        <v>16.505299999999998</v>
      </c>
      <c r="L515" s="33">
        <f>8.3656 * CHOOSE(CONTROL!$C$32, $C$9, 100%, $E$9)</f>
        <v>8.3656000000000006</v>
      </c>
      <c r="M515" s="33">
        <f>8.3692 * CHOOSE(CONTROL!$C$32, $C$9, 100%, $E$9)</f>
        <v>8.3691999999999993</v>
      </c>
      <c r="N515" s="33">
        <f>8.3656 * CHOOSE(CONTROL!$C$32, $C$9, 100%, $E$9)</f>
        <v>8.3656000000000006</v>
      </c>
      <c r="O515" s="33">
        <f>8.3692 * CHOOSE(CONTROL!$C$32, $C$9, 100%, $E$9)</f>
        <v>8.3691999999999993</v>
      </c>
    </row>
    <row r="516" spans="1:15" ht="15" x14ac:dyDescent="0.2">
      <c r="A516" s="16">
        <v>56919</v>
      </c>
      <c r="B516" s="32">
        <f>7.4926 * CHOOSE(CONTROL!$C$32, $C$9, 100%, $E$9)</f>
        <v>7.4926000000000004</v>
      </c>
      <c r="C516" s="32">
        <f>7.4926 * CHOOSE(CONTROL!$C$32, $C$9, 100%, $E$9)</f>
        <v>7.4926000000000004</v>
      </c>
      <c r="D516" s="32">
        <f>7.4937 * CHOOSE(CONTROL!$C$32, $C$9, 100%, $E$9)</f>
        <v>7.4936999999999996</v>
      </c>
      <c r="E516" s="33">
        <f>8.4071 * CHOOSE(CONTROL!$C$32, $C$9, 100%, $E$9)</f>
        <v>8.4070999999999998</v>
      </c>
      <c r="F516" s="33">
        <f>8.4071 * CHOOSE(CONTROL!$C$32, $C$9, 100%, $E$9)</f>
        <v>8.4070999999999998</v>
      </c>
      <c r="G516" s="33">
        <f>8.4107 * CHOOSE(CONTROL!$C$32, $C$9, 100%, $E$9)</f>
        <v>8.4107000000000003</v>
      </c>
      <c r="H516" s="33">
        <f>16.5361 * CHOOSE(CONTROL!$C$32, $C$9, 100%, $E$9)</f>
        <v>16.536100000000001</v>
      </c>
      <c r="I516" s="33">
        <f>16.5397 * CHOOSE(CONTROL!$C$32, $C$9, 100%, $E$9)</f>
        <v>16.5397</v>
      </c>
      <c r="J516" s="33">
        <f>16.5361 * CHOOSE(CONTROL!$C$32, $C$9, 100%, $E$9)</f>
        <v>16.536100000000001</v>
      </c>
      <c r="K516" s="33">
        <f>16.5397 * CHOOSE(CONTROL!$C$32, $C$9, 100%, $E$9)</f>
        <v>16.5397</v>
      </c>
      <c r="L516" s="33">
        <f>8.4071 * CHOOSE(CONTROL!$C$32, $C$9, 100%, $E$9)</f>
        <v>8.4070999999999998</v>
      </c>
      <c r="M516" s="33">
        <f>8.4107 * CHOOSE(CONTROL!$C$32, $C$9, 100%, $E$9)</f>
        <v>8.4107000000000003</v>
      </c>
      <c r="N516" s="33">
        <f>8.4071 * CHOOSE(CONTROL!$C$32, $C$9, 100%, $E$9)</f>
        <v>8.4070999999999998</v>
      </c>
      <c r="O516" s="33">
        <f>8.4107 * CHOOSE(CONTROL!$C$32, $C$9, 100%, $E$9)</f>
        <v>8.4107000000000003</v>
      </c>
    </row>
    <row r="517" spans="1:15" ht="15" x14ac:dyDescent="0.2">
      <c r="A517" s="16">
        <v>56949</v>
      </c>
      <c r="B517" s="32">
        <f>7.4926 * CHOOSE(CONTROL!$C$32, $C$9, 100%, $E$9)</f>
        <v>7.4926000000000004</v>
      </c>
      <c r="C517" s="32">
        <f>7.4926 * CHOOSE(CONTROL!$C$32, $C$9, 100%, $E$9)</f>
        <v>7.4926000000000004</v>
      </c>
      <c r="D517" s="32">
        <f>7.4937 * CHOOSE(CONTROL!$C$32, $C$9, 100%, $E$9)</f>
        <v>7.4936999999999996</v>
      </c>
      <c r="E517" s="33">
        <f>8.3087 * CHOOSE(CONTROL!$C$32, $C$9, 100%, $E$9)</f>
        <v>8.3087</v>
      </c>
      <c r="F517" s="33">
        <f>8.3087 * CHOOSE(CONTROL!$C$32, $C$9, 100%, $E$9)</f>
        <v>8.3087</v>
      </c>
      <c r="G517" s="33">
        <f>8.3124 * CHOOSE(CONTROL!$C$32, $C$9, 100%, $E$9)</f>
        <v>8.3124000000000002</v>
      </c>
      <c r="H517" s="33">
        <f>16.5706 * CHOOSE(CONTROL!$C$32, $C$9, 100%, $E$9)</f>
        <v>16.570599999999999</v>
      </c>
      <c r="I517" s="33">
        <f>16.5742 * CHOOSE(CONTROL!$C$32, $C$9, 100%, $E$9)</f>
        <v>16.574200000000001</v>
      </c>
      <c r="J517" s="33">
        <f>16.5706 * CHOOSE(CONTROL!$C$32, $C$9, 100%, $E$9)</f>
        <v>16.570599999999999</v>
      </c>
      <c r="K517" s="33">
        <f>16.5742 * CHOOSE(CONTROL!$C$32, $C$9, 100%, $E$9)</f>
        <v>16.574200000000001</v>
      </c>
      <c r="L517" s="33">
        <f>8.3087 * CHOOSE(CONTROL!$C$32, $C$9, 100%, $E$9)</f>
        <v>8.3087</v>
      </c>
      <c r="M517" s="33">
        <f>8.3124 * CHOOSE(CONTROL!$C$32, $C$9, 100%, $E$9)</f>
        <v>8.3124000000000002</v>
      </c>
      <c r="N517" s="33">
        <f>8.3087 * CHOOSE(CONTROL!$C$32, $C$9, 100%, $E$9)</f>
        <v>8.3087</v>
      </c>
      <c r="O517" s="33">
        <f>8.3124 * CHOOSE(CONTROL!$C$32, $C$9, 100%, $E$9)</f>
        <v>8.3124000000000002</v>
      </c>
    </row>
    <row r="518" spans="1:15" ht="15" x14ac:dyDescent="0.2">
      <c r="A518" s="16">
        <v>56980</v>
      </c>
      <c r="B518" s="32">
        <f>7.5488 * CHOOSE(CONTROL!$C$32, $C$9, 100%, $E$9)</f>
        <v>7.5488</v>
      </c>
      <c r="C518" s="32">
        <f>7.5488 * CHOOSE(CONTROL!$C$32, $C$9, 100%, $E$9)</f>
        <v>7.5488</v>
      </c>
      <c r="D518" s="32">
        <f>7.5498 * CHOOSE(CONTROL!$C$32, $C$9, 100%, $E$9)</f>
        <v>7.5498000000000003</v>
      </c>
      <c r="E518" s="33">
        <f>8.4508 * CHOOSE(CONTROL!$C$32, $C$9, 100%, $E$9)</f>
        <v>8.4507999999999992</v>
      </c>
      <c r="F518" s="33">
        <f>8.4508 * CHOOSE(CONTROL!$C$32, $C$9, 100%, $E$9)</f>
        <v>8.4507999999999992</v>
      </c>
      <c r="G518" s="33">
        <f>8.4544 * CHOOSE(CONTROL!$C$32, $C$9, 100%, $E$9)</f>
        <v>8.4543999999999997</v>
      </c>
      <c r="H518" s="33">
        <f>16.6051 * CHOOSE(CONTROL!$C$32, $C$9, 100%, $E$9)</f>
        <v>16.6051</v>
      </c>
      <c r="I518" s="33">
        <f>16.6087 * CHOOSE(CONTROL!$C$32, $C$9, 100%, $E$9)</f>
        <v>16.608699999999999</v>
      </c>
      <c r="J518" s="33">
        <f>16.6051 * CHOOSE(CONTROL!$C$32, $C$9, 100%, $E$9)</f>
        <v>16.6051</v>
      </c>
      <c r="K518" s="33">
        <f>16.6087 * CHOOSE(CONTROL!$C$32, $C$9, 100%, $E$9)</f>
        <v>16.608699999999999</v>
      </c>
      <c r="L518" s="33">
        <f>8.4508 * CHOOSE(CONTROL!$C$32, $C$9, 100%, $E$9)</f>
        <v>8.4507999999999992</v>
      </c>
      <c r="M518" s="33">
        <f>8.4544 * CHOOSE(CONTROL!$C$32, $C$9, 100%, $E$9)</f>
        <v>8.4543999999999997</v>
      </c>
      <c r="N518" s="33">
        <f>8.4508 * CHOOSE(CONTROL!$C$32, $C$9, 100%, $E$9)</f>
        <v>8.4507999999999992</v>
      </c>
      <c r="O518" s="33">
        <f>8.4544 * CHOOSE(CONTROL!$C$32, $C$9, 100%, $E$9)</f>
        <v>8.4543999999999997</v>
      </c>
    </row>
    <row r="519" spans="1:15" ht="15" x14ac:dyDescent="0.2">
      <c r="A519" s="16">
        <v>57011</v>
      </c>
      <c r="B519" s="32">
        <f>7.5457 * CHOOSE(CONTROL!$C$32, $C$9, 100%, $E$9)</f>
        <v>7.5457000000000001</v>
      </c>
      <c r="C519" s="32">
        <f>7.5457 * CHOOSE(CONTROL!$C$32, $C$9, 100%, $E$9)</f>
        <v>7.5457000000000001</v>
      </c>
      <c r="D519" s="32">
        <f>7.5468 * CHOOSE(CONTROL!$C$32, $C$9, 100%, $E$9)</f>
        <v>7.5468000000000002</v>
      </c>
      <c r="E519" s="33">
        <f>8.2568 * CHOOSE(CONTROL!$C$32, $C$9, 100%, $E$9)</f>
        <v>8.2568000000000001</v>
      </c>
      <c r="F519" s="33">
        <f>8.2568 * CHOOSE(CONTROL!$C$32, $C$9, 100%, $E$9)</f>
        <v>8.2568000000000001</v>
      </c>
      <c r="G519" s="33">
        <f>8.2604 * CHOOSE(CONTROL!$C$32, $C$9, 100%, $E$9)</f>
        <v>8.2604000000000006</v>
      </c>
      <c r="H519" s="33">
        <f>16.6397 * CHOOSE(CONTROL!$C$32, $C$9, 100%, $E$9)</f>
        <v>16.639700000000001</v>
      </c>
      <c r="I519" s="33">
        <f>16.6433 * CHOOSE(CONTROL!$C$32, $C$9, 100%, $E$9)</f>
        <v>16.6433</v>
      </c>
      <c r="J519" s="33">
        <f>16.6397 * CHOOSE(CONTROL!$C$32, $C$9, 100%, $E$9)</f>
        <v>16.639700000000001</v>
      </c>
      <c r="K519" s="33">
        <f>16.6433 * CHOOSE(CONTROL!$C$32, $C$9, 100%, $E$9)</f>
        <v>16.6433</v>
      </c>
      <c r="L519" s="33">
        <f>8.2568 * CHOOSE(CONTROL!$C$32, $C$9, 100%, $E$9)</f>
        <v>8.2568000000000001</v>
      </c>
      <c r="M519" s="33">
        <f>8.2604 * CHOOSE(CONTROL!$C$32, $C$9, 100%, $E$9)</f>
        <v>8.2604000000000006</v>
      </c>
      <c r="N519" s="33">
        <f>8.2568 * CHOOSE(CONTROL!$C$32, $C$9, 100%, $E$9)</f>
        <v>8.2568000000000001</v>
      </c>
      <c r="O519" s="33">
        <f>8.2604 * CHOOSE(CONTROL!$C$32, $C$9, 100%, $E$9)</f>
        <v>8.2604000000000006</v>
      </c>
    </row>
    <row r="520" spans="1:15" ht="15" x14ac:dyDescent="0.2">
      <c r="A520" s="16">
        <v>57040</v>
      </c>
      <c r="B520" s="32">
        <f>7.5427 * CHOOSE(CONTROL!$C$32, $C$9, 100%, $E$9)</f>
        <v>7.5427</v>
      </c>
      <c r="C520" s="32">
        <f>7.5427 * CHOOSE(CONTROL!$C$32, $C$9, 100%, $E$9)</f>
        <v>7.5427</v>
      </c>
      <c r="D520" s="32">
        <f>7.5438 * CHOOSE(CONTROL!$C$32, $C$9, 100%, $E$9)</f>
        <v>7.5438000000000001</v>
      </c>
      <c r="E520" s="33">
        <f>8.406 * CHOOSE(CONTROL!$C$32, $C$9, 100%, $E$9)</f>
        <v>8.4060000000000006</v>
      </c>
      <c r="F520" s="33">
        <f>8.406 * CHOOSE(CONTROL!$C$32, $C$9, 100%, $E$9)</f>
        <v>8.4060000000000006</v>
      </c>
      <c r="G520" s="33">
        <f>8.4096 * CHOOSE(CONTROL!$C$32, $C$9, 100%, $E$9)</f>
        <v>8.4095999999999993</v>
      </c>
      <c r="H520" s="33">
        <f>16.6743 * CHOOSE(CONTROL!$C$32, $C$9, 100%, $E$9)</f>
        <v>16.674299999999999</v>
      </c>
      <c r="I520" s="33">
        <f>16.678 * CHOOSE(CONTROL!$C$32, $C$9, 100%, $E$9)</f>
        <v>16.678000000000001</v>
      </c>
      <c r="J520" s="33">
        <f>16.6743 * CHOOSE(CONTROL!$C$32, $C$9, 100%, $E$9)</f>
        <v>16.674299999999999</v>
      </c>
      <c r="K520" s="33">
        <f>16.678 * CHOOSE(CONTROL!$C$32, $C$9, 100%, $E$9)</f>
        <v>16.678000000000001</v>
      </c>
      <c r="L520" s="33">
        <f>8.406 * CHOOSE(CONTROL!$C$32, $C$9, 100%, $E$9)</f>
        <v>8.4060000000000006</v>
      </c>
      <c r="M520" s="33">
        <f>8.4096 * CHOOSE(CONTROL!$C$32, $C$9, 100%, $E$9)</f>
        <v>8.4095999999999993</v>
      </c>
      <c r="N520" s="33">
        <f>8.406 * CHOOSE(CONTROL!$C$32, $C$9, 100%, $E$9)</f>
        <v>8.4060000000000006</v>
      </c>
      <c r="O520" s="33">
        <f>8.4096 * CHOOSE(CONTROL!$C$32, $C$9, 100%, $E$9)</f>
        <v>8.4095999999999993</v>
      </c>
    </row>
    <row r="521" spans="1:15" ht="15" x14ac:dyDescent="0.2">
      <c r="A521" s="16">
        <v>57071</v>
      </c>
      <c r="B521" s="32">
        <f>7.5438 * CHOOSE(CONTROL!$C$32, $C$9, 100%, $E$9)</f>
        <v>7.5438000000000001</v>
      </c>
      <c r="C521" s="32">
        <f>7.5438 * CHOOSE(CONTROL!$C$32, $C$9, 100%, $E$9)</f>
        <v>7.5438000000000001</v>
      </c>
      <c r="D521" s="32">
        <f>7.5448 * CHOOSE(CONTROL!$C$32, $C$9, 100%, $E$9)</f>
        <v>7.5448000000000004</v>
      </c>
      <c r="E521" s="33">
        <f>8.5642 * CHOOSE(CONTROL!$C$32, $C$9, 100%, $E$9)</f>
        <v>8.5641999999999996</v>
      </c>
      <c r="F521" s="33">
        <f>8.5642 * CHOOSE(CONTROL!$C$32, $C$9, 100%, $E$9)</f>
        <v>8.5641999999999996</v>
      </c>
      <c r="G521" s="33">
        <f>8.5678 * CHOOSE(CONTROL!$C$32, $C$9, 100%, $E$9)</f>
        <v>8.5678000000000001</v>
      </c>
      <c r="H521" s="33">
        <f>16.7091 * CHOOSE(CONTROL!$C$32, $C$9, 100%, $E$9)</f>
        <v>16.709099999999999</v>
      </c>
      <c r="I521" s="33">
        <f>16.7127 * CHOOSE(CONTROL!$C$32, $C$9, 100%, $E$9)</f>
        <v>16.712700000000002</v>
      </c>
      <c r="J521" s="33">
        <f>16.7091 * CHOOSE(CONTROL!$C$32, $C$9, 100%, $E$9)</f>
        <v>16.709099999999999</v>
      </c>
      <c r="K521" s="33">
        <f>16.7127 * CHOOSE(CONTROL!$C$32, $C$9, 100%, $E$9)</f>
        <v>16.712700000000002</v>
      </c>
      <c r="L521" s="33">
        <f>8.5642 * CHOOSE(CONTROL!$C$32, $C$9, 100%, $E$9)</f>
        <v>8.5641999999999996</v>
      </c>
      <c r="M521" s="33">
        <f>8.5678 * CHOOSE(CONTROL!$C$32, $C$9, 100%, $E$9)</f>
        <v>8.5678000000000001</v>
      </c>
      <c r="N521" s="33">
        <f>8.5642 * CHOOSE(CONTROL!$C$32, $C$9, 100%, $E$9)</f>
        <v>8.5641999999999996</v>
      </c>
      <c r="O521" s="33">
        <f>8.5678 * CHOOSE(CONTROL!$C$32, $C$9, 100%, $E$9)</f>
        <v>8.5678000000000001</v>
      </c>
    </row>
    <row r="522" spans="1:15" ht="15" x14ac:dyDescent="0.2">
      <c r="A522" s="16">
        <v>57101</v>
      </c>
      <c r="B522" s="32">
        <f>7.5438 * CHOOSE(CONTROL!$C$32, $C$9, 100%, $E$9)</f>
        <v>7.5438000000000001</v>
      </c>
      <c r="C522" s="32">
        <f>7.5438 * CHOOSE(CONTROL!$C$32, $C$9, 100%, $E$9)</f>
        <v>7.5438000000000001</v>
      </c>
      <c r="D522" s="32">
        <f>7.5454 * CHOOSE(CONTROL!$C$32, $C$9, 100%, $E$9)</f>
        <v>7.5453999999999999</v>
      </c>
      <c r="E522" s="33">
        <f>8.6251 * CHOOSE(CONTROL!$C$32, $C$9, 100%, $E$9)</f>
        <v>8.6250999999999998</v>
      </c>
      <c r="F522" s="33">
        <f>8.6251 * CHOOSE(CONTROL!$C$32, $C$9, 100%, $E$9)</f>
        <v>8.6250999999999998</v>
      </c>
      <c r="G522" s="33">
        <f>8.6304 * CHOOSE(CONTROL!$C$32, $C$9, 100%, $E$9)</f>
        <v>8.6303999999999998</v>
      </c>
      <c r="H522" s="33">
        <f>16.7439 * CHOOSE(CONTROL!$C$32, $C$9, 100%, $E$9)</f>
        <v>16.7439</v>
      </c>
      <c r="I522" s="33">
        <f>16.7492 * CHOOSE(CONTROL!$C$32, $C$9, 100%, $E$9)</f>
        <v>16.749199999999998</v>
      </c>
      <c r="J522" s="33">
        <f>16.7439 * CHOOSE(CONTROL!$C$32, $C$9, 100%, $E$9)</f>
        <v>16.7439</v>
      </c>
      <c r="K522" s="33">
        <f>16.7492 * CHOOSE(CONTROL!$C$32, $C$9, 100%, $E$9)</f>
        <v>16.749199999999998</v>
      </c>
      <c r="L522" s="33">
        <f>8.6251 * CHOOSE(CONTROL!$C$32, $C$9, 100%, $E$9)</f>
        <v>8.6250999999999998</v>
      </c>
      <c r="M522" s="33">
        <f>8.6304 * CHOOSE(CONTROL!$C$32, $C$9, 100%, $E$9)</f>
        <v>8.6303999999999998</v>
      </c>
      <c r="N522" s="33">
        <f>8.6251 * CHOOSE(CONTROL!$C$32, $C$9, 100%, $E$9)</f>
        <v>8.6250999999999998</v>
      </c>
      <c r="O522" s="33">
        <f>8.6304 * CHOOSE(CONTROL!$C$32, $C$9, 100%, $E$9)</f>
        <v>8.6303999999999998</v>
      </c>
    </row>
    <row r="523" spans="1:15" ht="15" x14ac:dyDescent="0.2">
      <c r="A523" s="16">
        <v>57132</v>
      </c>
      <c r="B523" s="32">
        <f>7.5499 * CHOOSE(CONTROL!$C$32, $C$9, 100%, $E$9)</f>
        <v>7.5499000000000001</v>
      </c>
      <c r="C523" s="32">
        <f>7.5499 * CHOOSE(CONTROL!$C$32, $C$9, 100%, $E$9)</f>
        <v>7.5499000000000001</v>
      </c>
      <c r="D523" s="32">
        <f>7.5514 * CHOOSE(CONTROL!$C$32, $C$9, 100%, $E$9)</f>
        <v>7.5514000000000001</v>
      </c>
      <c r="E523" s="33">
        <f>8.5684 * CHOOSE(CONTROL!$C$32, $C$9, 100%, $E$9)</f>
        <v>8.5684000000000005</v>
      </c>
      <c r="F523" s="33">
        <f>8.5684 * CHOOSE(CONTROL!$C$32, $C$9, 100%, $E$9)</f>
        <v>8.5684000000000005</v>
      </c>
      <c r="G523" s="33">
        <f>8.5737 * CHOOSE(CONTROL!$C$32, $C$9, 100%, $E$9)</f>
        <v>8.5737000000000005</v>
      </c>
      <c r="H523" s="33">
        <f>16.7788 * CHOOSE(CONTROL!$C$32, $C$9, 100%, $E$9)</f>
        <v>16.7788</v>
      </c>
      <c r="I523" s="33">
        <f>16.7841 * CHOOSE(CONTROL!$C$32, $C$9, 100%, $E$9)</f>
        <v>16.784099999999999</v>
      </c>
      <c r="J523" s="33">
        <f>16.7788 * CHOOSE(CONTROL!$C$32, $C$9, 100%, $E$9)</f>
        <v>16.7788</v>
      </c>
      <c r="K523" s="33">
        <f>16.7841 * CHOOSE(CONTROL!$C$32, $C$9, 100%, $E$9)</f>
        <v>16.784099999999999</v>
      </c>
      <c r="L523" s="33">
        <f>8.5684 * CHOOSE(CONTROL!$C$32, $C$9, 100%, $E$9)</f>
        <v>8.5684000000000005</v>
      </c>
      <c r="M523" s="33">
        <f>8.5737 * CHOOSE(CONTROL!$C$32, $C$9, 100%, $E$9)</f>
        <v>8.5737000000000005</v>
      </c>
      <c r="N523" s="33">
        <f>8.5684 * CHOOSE(CONTROL!$C$32, $C$9, 100%, $E$9)</f>
        <v>8.5684000000000005</v>
      </c>
      <c r="O523" s="33">
        <f>8.5737 * CHOOSE(CONTROL!$C$32, $C$9, 100%, $E$9)</f>
        <v>8.5737000000000005</v>
      </c>
    </row>
    <row r="524" spans="1:15" ht="15" x14ac:dyDescent="0.2">
      <c r="A524" s="16">
        <v>57162</v>
      </c>
      <c r="B524" s="32">
        <f>7.6474 * CHOOSE(CONTROL!$C$32, $C$9, 100%, $E$9)</f>
        <v>7.6474000000000002</v>
      </c>
      <c r="C524" s="32">
        <f>7.6474 * CHOOSE(CONTROL!$C$32, $C$9, 100%, $E$9)</f>
        <v>7.6474000000000002</v>
      </c>
      <c r="D524" s="32">
        <f>7.6489 * CHOOSE(CONTROL!$C$32, $C$9, 100%, $E$9)</f>
        <v>7.6489000000000003</v>
      </c>
      <c r="E524" s="33">
        <f>8.6867 * CHOOSE(CONTROL!$C$32, $C$9, 100%, $E$9)</f>
        <v>8.6867000000000001</v>
      </c>
      <c r="F524" s="33">
        <f>8.6867 * CHOOSE(CONTROL!$C$32, $C$9, 100%, $E$9)</f>
        <v>8.6867000000000001</v>
      </c>
      <c r="G524" s="33">
        <f>8.692 * CHOOSE(CONTROL!$C$32, $C$9, 100%, $E$9)</f>
        <v>8.6920000000000002</v>
      </c>
      <c r="H524" s="33">
        <f>16.8137 * CHOOSE(CONTROL!$C$32, $C$9, 100%, $E$9)</f>
        <v>16.813700000000001</v>
      </c>
      <c r="I524" s="33">
        <f>16.819 * CHOOSE(CONTROL!$C$32, $C$9, 100%, $E$9)</f>
        <v>16.818999999999999</v>
      </c>
      <c r="J524" s="33">
        <f>16.8137 * CHOOSE(CONTROL!$C$32, $C$9, 100%, $E$9)</f>
        <v>16.813700000000001</v>
      </c>
      <c r="K524" s="33">
        <f>16.819 * CHOOSE(CONTROL!$C$32, $C$9, 100%, $E$9)</f>
        <v>16.818999999999999</v>
      </c>
      <c r="L524" s="33">
        <f>8.6867 * CHOOSE(CONTROL!$C$32, $C$9, 100%, $E$9)</f>
        <v>8.6867000000000001</v>
      </c>
      <c r="M524" s="33">
        <f>8.692 * CHOOSE(CONTROL!$C$32, $C$9, 100%, $E$9)</f>
        <v>8.6920000000000002</v>
      </c>
      <c r="N524" s="33">
        <f>8.6867 * CHOOSE(CONTROL!$C$32, $C$9, 100%, $E$9)</f>
        <v>8.6867000000000001</v>
      </c>
      <c r="O524" s="33">
        <f>8.692 * CHOOSE(CONTROL!$C$32, $C$9, 100%, $E$9)</f>
        <v>8.6920000000000002</v>
      </c>
    </row>
    <row r="525" spans="1:15" ht="15" x14ac:dyDescent="0.2">
      <c r="A525" s="16">
        <v>57193</v>
      </c>
      <c r="B525" s="32">
        <f>7.654 * CHOOSE(CONTROL!$C$32, $C$9, 100%, $E$9)</f>
        <v>7.6539999999999999</v>
      </c>
      <c r="C525" s="32">
        <f>7.654 * CHOOSE(CONTROL!$C$32, $C$9, 100%, $E$9)</f>
        <v>7.6539999999999999</v>
      </c>
      <c r="D525" s="32">
        <f>7.6556 * CHOOSE(CONTROL!$C$32, $C$9, 100%, $E$9)</f>
        <v>7.6555999999999997</v>
      </c>
      <c r="E525" s="33">
        <f>8.5087 * CHOOSE(CONTROL!$C$32, $C$9, 100%, $E$9)</f>
        <v>8.5086999999999993</v>
      </c>
      <c r="F525" s="33">
        <f>8.5087 * CHOOSE(CONTROL!$C$32, $C$9, 100%, $E$9)</f>
        <v>8.5086999999999993</v>
      </c>
      <c r="G525" s="33">
        <f>8.5139 * CHOOSE(CONTROL!$C$32, $C$9, 100%, $E$9)</f>
        <v>8.5138999999999996</v>
      </c>
      <c r="H525" s="33">
        <f>16.8488 * CHOOSE(CONTROL!$C$32, $C$9, 100%, $E$9)</f>
        <v>16.848800000000001</v>
      </c>
      <c r="I525" s="33">
        <f>16.854 * CHOOSE(CONTROL!$C$32, $C$9, 100%, $E$9)</f>
        <v>16.853999999999999</v>
      </c>
      <c r="J525" s="33">
        <f>16.8488 * CHOOSE(CONTROL!$C$32, $C$9, 100%, $E$9)</f>
        <v>16.848800000000001</v>
      </c>
      <c r="K525" s="33">
        <f>16.854 * CHOOSE(CONTROL!$C$32, $C$9, 100%, $E$9)</f>
        <v>16.853999999999999</v>
      </c>
      <c r="L525" s="33">
        <f>8.5087 * CHOOSE(CONTROL!$C$32, $C$9, 100%, $E$9)</f>
        <v>8.5086999999999993</v>
      </c>
      <c r="M525" s="33">
        <f>8.5139 * CHOOSE(CONTROL!$C$32, $C$9, 100%, $E$9)</f>
        <v>8.5138999999999996</v>
      </c>
      <c r="N525" s="33">
        <f>8.5087 * CHOOSE(CONTROL!$C$32, $C$9, 100%, $E$9)</f>
        <v>8.5086999999999993</v>
      </c>
      <c r="O525" s="33">
        <f>8.5139 * CHOOSE(CONTROL!$C$32, $C$9, 100%, $E$9)</f>
        <v>8.5138999999999996</v>
      </c>
    </row>
    <row r="526" spans="1:15" ht="15" x14ac:dyDescent="0.2">
      <c r="A526" s="16">
        <v>57224</v>
      </c>
      <c r="B526" s="32">
        <f>7.651 * CHOOSE(CONTROL!$C$32, $C$9, 100%, $E$9)</f>
        <v>7.6509999999999998</v>
      </c>
      <c r="C526" s="32">
        <f>7.651 * CHOOSE(CONTROL!$C$32, $C$9, 100%, $E$9)</f>
        <v>7.6509999999999998</v>
      </c>
      <c r="D526" s="32">
        <f>7.6526 * CHOOSE(CONTROL!$C$32, $C$9, 100%, $E$9)</f>
        <v>7.6525999999999996</v>
      </c>
      <c r="E526" s="33">
        <f>8.4862 * CHOOSE(CONTROL!$C$32, $C$9, 100%, $E$9)</f>
        <v>8.4862000000000002</v>
      </c>
      <c r="F526" s="33">
        <f>8.4862 * CHOOSE(CONTROL!$C$32, $C$9, 100%, $E$9)</f>
        <v>8.4862000000000002</v>
      </c>
      <c r="G526" s="33">
        <f>8.4915 * CHOOSE(CONTROL!$C$32, $C$9, 100%, $E$9)</f>
        <v>8.4915000000000003</v>
      </c>
      <c r="H526" s="33">
        <f>16.8839 * CHOOSE(CONTROL!$C$32, $C$9, 100%, $E$9)</f>
        <v>16.883900000000001</v>
      </c>
      <c r="I526" s="33">
        <f>16.8891 * CHOOSE(CONTROL!$C$32, $C$9, 100%, $E$9)</f>
        <v>16.889099999999999</v>
      </c>
      <c r="J526" s="33">
        <f>16.8839 * CHOOSE(CONTROL!$C$32, $C$9, 100%, $E$9)</f>
        <v>16.883900000000001</v>
      </c>
      <c r="K526" s="33">
        <f>16.8891 * CHOOSE(CONTROL!$C$32, $C$9, 100%, $E$9)</f>
        <v>16.889099999999999</v>
      </c>
      <c r="L526" s="33">
        <f>8.4862 * CHOOSE(CONTROL!$C$32, $C$9, 100%, $E$9)</f>
        <v>8.4862000000000002</v>
      </c>
      <c r="M526" s="33">
        <f>8.4915 * CHOOSE(CONTROL!$C$32, $C$9, 100%, $E$9)</f>
        <v>8.4915000000000003</v>
      </c>
      <c r="N526" s="33">
        <f>8.4862 * CHOOSE(CONTROL!$C$32, $C$9, 100%, $E$9)</f>
        <v>8.4862000000000002</v>
      </c>
      <c r="O526" s="33">
        <f>8.4915 * CHOOSE(CONTROL!$C$32, $C$9, 100%, $E$9)</f>
        <v>8.4915000000000003</v>
      </c>
    </row>
    <row r="527" spans="1:15" ht="15" x14ac:dyDescent="0.2">
      <c r="A527" s="16">
        <v>57254</v>
      </c>
      <c r="B527" s="32">
        <f>7.6597 * CHOOSE(CONTROL!$C$32, $C$9, 100%, $E$9)</f>
        <v>7.6597</v>
      </c>
      <c r="C527" s="32">
        <f>7.6597 * CHOOSE(CONTROL!$C$32, $C$9, 100%, $E$9)</f>
        <v>7.6597</v>
      </c>
      <c r="D527" s="32">
        <f>7.6607 * CHOOSE(CONTROL!$C$32, $C$9, 100%, $E$9)</f>
        <v>7.6607000000000003</v>
      </c>
      <c r="E527" s="33">
        <f>8.554 * CHOOSE(CONTROL!$C$32, $C$9, 100%, $E$9)</f>
        <v>8.5540000000000003</v>
      </c>
      <c r="F527" s="33">
        <f>8.554 * CHOOSE(CONTROL!$C$32, $C$9, 100%, $E$9)</f>
        <v>8.5540000000000003</v>
      </c>
      <c r="G527" s="33">
        <f>8.5577 * CHOOSE(CONTROL!$C$32, $C$9, 100%, $E$9)</f>
        <v>8.5577000000000005</v>
      </c>
      <c r="H527" s="33">
        <f>16.919 * CHOOSE(CONTROL!$C$32, $C$9, 100%, $E$9)</f>
        <v>16.919</v>
      </c>
      <c r="I527" s="33">
        <f>16.9226 * CHOOSE(CONTROL!$C$32, $C$9, 100%, $E$9)</f>
        <v>16.922599999999999</v>
      </c>
      <c r="J527" s="33">
        <f>16.919 * CHOOSE(CONTROL!$C$32, $C$9, 100%, $E$9)</f>
        <v>16.919</v>
      </c>
      <c r="K527" s="33">
        <f>16.9226 * CHOOSE(CONTROL!$C$32, $C$9, 100%, $E$9)</f>
        <v>16.922599999999999</v>
      </c>
      <c r="L527" s="33">
        <f>8.554 * CHOOSE(CONTROL!$C$32, $C$9, 100%, $E$9)</f>
        <v>8.5540000000000003</v>
      </c>
      <c r="M527" s="33">
        <f>8.5577 * CHOOSE(CONTROL!$C$32, $C$9, 100%, $E$9)</f>
        <v>8.5577000000000005</v>
      </c>
      <c r="N527" s="33">
        <f>8.554 * CHOOSE(CONTROL!$C$32, $C$9, 100%, $E$9)</f>
        <v>8.5540000000000003</v>
      </c>
      <c r="O527" s="33">
        <f>8.5577 * CHOOSE(CONTROL!$C$32, $C$9, 100%, $E$9)</f>
        <v>8.5577000000000005</v>
      </c>
    </row>
    <row r="528" spans="1:15" ht="15" x14ac:dyDescent="0.2">
      <c r="A528" s="16">
        <v>57285</v>
      </c>
      <c r="B528" s="32">
        <f>7.6627 * CHOOSE(CONTROL!$C$32, $C$9, 100%, $E$9)</f>
        <v>7.6627000000000001</v>
      </c>
      <c r="C528" s="32">
        <f>7.6627 * CHOOSE(CONTROL!$C$32, $C$9, 100%, $E$9)</f>
        <v>7.6627000000000001</v>
      </c>
      <c r="D528" s="32">
        <f>7.6638 * CHOOSE(CONTROL!$C$32, $C$9, 100%, $E$9)</f>
        <v>7.6638000000000002</v>
      </c>
      <c r="E528" s="33">
        <f>8.5968 * CHOOSE(CONTROL!$C$32, $C$9, 100%, $E$9)</f>
        <v>8.5968</v>
      </c>
      <c r="F528" s="33">
        <f>8.5968 * CHOOSE(CONTROL!$C$32, $C$9, 100%, $E$9)</f>
        <v>8.5968</v>
      </c>
      <c r="G528" s="33">
        <f>8.6004 * CHOOSE(CONTROL!$C$32, $C$9, 100%, $E$9)</f>
        <v>8.6004000000000005</v>
      </c>
      <c r="H528" s="33">
        <f>16.9543 * CHOOSE(CONTROL!$C$32, $C$9, 100%, $E$9)</f>
        <v>16.9543</v>
      </c>
      <c r="I528" s="33">
        <f>16.9579 * CHOOSE(CONTROL!$C$32, $C$9, 100%, $E$9)</f>
        <v>16.957899999999999</v>
      </c>
      <c r="J528" s="33">
        <f>16.9543 * CHOOSE(CONTROL!$C$32, $C$9, 100%, $E$9)</f>
        <v>16.9543</v>
      </c>
      <c r="K528" s="33">
        <f>16.9579 * CHOOSE(CONTROL!$C$32, $C$9, 100%, $E$9)</f>
        <v>16.957899999999999</v>
      </c>
      <c r="L528" s="33">
        <f>8.5968 * CHOOSE(CONTROL!$C$32, $C$9, 100%, $E$9)</f>
        <v>8.5968</v>
      </c>
      <c r="M528" s="33">
        <f>8.6004 * CHOOSE(CONTROL!$C$32, $C$9, 100%, $E$9)</f>
        <v>8.6004000000000005</v>
      </c>
      <c r="N528" s="33">
        <f>8.5968 * CHOOSE(CONTROL!$C$32, $C$9, 100%, $E$9)</f>
        <v>8.5968</v>
      </c>
      <c r="O528" s="33">
        <f>8.6004 * CHOOSE(CONTROL!$C$32, $C$9, 100%, $E$9)</f>
        <v>8.6004000000000005</v>
      </c>
    </row>
    <row r="529" spans="1:15" ht="15" x14ac:dyDescent="0.2">
      <c r="A529" s="16">
        <v>57315</v>
      </c>
      <c r="B529" s="32">
        <f>7.6627 * CHOOSE(CONTROL!$C$32, $C$9, 100%, $E$9)</f>
        <v>7.6627000000000001</v>
      </c>
      <c r="C529" s="32">
        <f>7.6627 * CHOOSE(CONTROL!$C$32, $C$9, 100%, $E$9)</f>
        <v>7.6627000000000001</v>
      </c>
      <c r="D529" s="32">
        <f>7.6638 * CHOOSE(CONTROL!$C$32, $C$9, 100%, $E$9)</f>
        <v>7.6638000000000002</v>
      </c>
      <c r="E529" s="33">
        <f>8.4952 * CHOOSE(CONTROL!$C$32, $C$9, 100%, $E$9)</f>
        <v>8.4952000000000005</v>
      </c>
      <c r="F529" s="33">
        <f>8.4952 * CHOOSE(CONTROL!$C$32, $C$9, 100%, $E$9)</f>
        <v>8.4952000000000005</v>
      </c>
      <c r="G529" s="33">
        <f>8.4989 * CHOOSE(CONTROL!$C$32, $C$9, 100%, $E$9)</f>
        <v>8.4989000000000008</v>
      </c>
      <c r="H529" s="33">
        <f>16.9896 * CHOOSE(CONTROL!$C$32, $C$9, 100%, $E$9)</f>
        <v>16.989599999999999</v>
      </c>
      <c r="I529" s="33">
        <f>16.9932 * CHOOSE(CONTROL!$C$32, $C$9, 100%, $E$9)</f>
        <v>16.993200000000002</v>
      </c>
      <c r="J529" s="33">
        <f>16.9896 * CHOOSE(CONTROL!$C$32, $C$9, 100%, $E$9)</f>
        <v>16.989599999999999</v>
      </c>
      <c r="K529" s="33">
        <f>16.9932 * CHOOSE(CONTROL!$C$32, $C$9, 100%, $E$9)</f>
        <v>16.993200000000002</v>
      </c>
      <c r="L529" s="33">
        <f>8.4952 * CHOOSE(CONTROL!$C$32, $C$9, 100%, $E$9)</f>
        <v>8.4952000000000005</v>
      </c>
      <c r="M529" s="33">
        <f>8.4989 * CHOOSE(CONTROL!$C$32, $C$9, 100%, $E$9)</f>
        <v>8.4989000000000008</v>
      </c>
      <c r="N529" s="33">
        <f>8.4952 * CHOOSE(CONTROL!$C$32, $C$9, 100%, $E$9)</f>
        <v>8.4952000000000005</v>
      </c>
      <c r="O529" s="33">
        <f>8.4989 * CHOOSE(CONTROL!$C$32, $C$9, 100%, $E$9)</f>
        <v>8.4989000000000008</v>
      </c>
    </row>
    <row r="530" spans="1:15" ht="15" x14ac:dyDescent="0.2">
      <c r="A530" s="16">
        <v>57346</v>
      </c>
      <c r="B530" s="32">
        <f>7.72 * CHOOSE(CONTROL!$C$32, $C$9, 100%, $E$9)</f>
        <v>7.72</v>
      </c>
      <c r="C530" s="32">
        <f>7.72 * CHOOSE(CONTROL!$C$32, $C$9, 100%, $E$9)</f>
        <v>7.72</v>
      </c>
      <c r="D530" s="32">
        <f>7.7211 * CHOOSE(CONTROL!$C$32, $C$9, 100%, $E$9)</f>
        <v>7.7210999999999999</v>
      </c>
      <c r="E530" s="33">
        <f>8.6415 * CHOOSE(CONTROL!$C$32, $C$9, 100%, $E$9)</f>
        <v>8.6415000000000006</v>
      </c>
      <c r="F530" s="33">
        <f>8.6415 * CHOOSE(CONTROL!$C$32, $C$9, 100%, $E$9)</f>
        <v>8.6415000000000006</v>
      </c>
      <c r="G530" s="33">
        <f>8.6451 * CHOOSE(CONTROL!$C$32, $C$9, 100%, $E$9)</f>
        <v>8.6450999999999993</v>
      </c>
      <c r="H530" s="33">
        <f>17.025 * CHOOSE(CONTROL!$C$32, $C$9, 100%, $E$9)</f>
        <v>17.024999999999999</v>
      </c>
      <c r="I530" s="33">
        <f>17.0286 * CHOOSE(CONTROL!$C$32, $C$9, 100%, $E$9)</f>
        <v>17.028600000000001</v>
      </c>
      <c r="J530" s="33">
        <f>17.025 * CHOOSE(CONTROL!$C$32, $C$9, 100%, $E$9)</f>
        <v>17.024999999999999</v>
      </c>
      <c r="K530" s="33">
        <f>17.0286 * CHOOSE(CONTROL!$C$32, $C$9, 100%, $E$9)</f>
        <v>17.028600000000001</v>
      </c>
      <c r="L530" s="33">
        <f>8.6415 * CHOOSE(CONTROL!$C$32, $C$9, 100%, $E$9)</f>
        <v>8.6415000000000006</v>
      </c>
      <c r="M530" s="33">
        <f>8.6451 * CHOOSE(CONTROL!$C$32, $C$9, 100%, $E$9)</f>
        <v>8.6450999999999993</v>
      </c>
      <c r="N530" s="33">
        <f>8.6415 * CHOOSE(CONTROL!$C$32, $C$9, 100%, $E$9)</f>
        <v>8.6415000000000006</v>
      </c>
      <c r="O530" s="33">
        <f>8.6451 * CHOOSE(CONTROL!$C$32, $C$9, 100%, $E$9)</f>
        <v>8.6450999999999993</v>
      </c>
    </row>
    <row r="531" spans="1:15" ht="15" x14ac:dyDescent="0.2">
      <c r="A531" s="16">
        <v>57377</v>
      </c>
      <c r="B531" s="32">
        <f>7.717 * CHOOSE(CONTROL!$C$32, $C$9, 100%, $E$9)</f>
        <v>7.7169999999999996</v>
      </c>
      <c r="C531" s="32">
        <f>7.717 * CHOOSE(CONTROL!$C$32, $C$9, 100%, $E$9)</f>
        <v>7.7169999999999996</v>
      </c>
      <c r="D531" s="32">
        <f>7.7181 * CHOOSE(CONTROL!$C$32, $C$9, 100%, $E$9)</f>
        <v>7.7180999999999997</v>
      </c>
      <c r="E531" s="33">
        <f>8.4413 * CHOOSE(CONTROL!$C$32, $C$9, 100%, $E$9)</f>
        <v>8.4413</v>
      </c>
      <c r="F531" s="33">
        <f>8.4413 * CHOOSE(CONTROL!$C$32, $C$9, 100%, $E$9)</f>
        <v>8.4413</v>
      </c>
      <c r="G531" s="33">
        <f>8.4449 * CHOOSE(CONTROL!$C$32, $C$9, 100%, $E$9)</f>
        <v>8.4449000000000005</v>
      </c>
      <c r="H531" s="33">
        <f>17.0605 * CHOOSE(CONTROL!$C$32, $C$9, 100%, $E$9)</f>
        <v>17.060500000000001</v>
      </c>
      <c r="I531" s="33">
        <f>17.0641 * CHOOSE(CONTROL!$C$32, $C$9, 100%, $E$9)</f>
        <v>17.0641</v>
      </c>
      <c r="J531" s="33">
        <f>17.0605 * CHOOSE(CONTROL!$C$32, $C$9, 100%, $E$9)</f>
        <v>17.060500000000001</v>
      </c>
      <c r="K531" s="33">
        <f>17.0641 * CHOOSE(CONTROL!$C$32, $C$9, 100%, $E$9)</f>
        <v>17.0641</v>
      </c>
      <c r="L531" s="33">
        <f>8.4413 * CHOOSE(CONTROL!$C$32, $C$9, 100%, $E$9)</f>
        <v>8.4413</v>
      </c>
      <c r="M531" s="33">
        <f>8.4449 * CHOOSE(CONTROL!$C$32, $C$9, 100%, $E$9)</f>
        <v>8.4449000000000005</v>
      </c>
      <c r="N531" s="33">
        <f>8.4413 * CHOOSE(CONTROL!$C$32, $C$9, 100%, $E$9)</f>
        <v>8.4413</v>
      </c>
      <c r="O531" s="33">
        <f>8.4449 * CHOOSE(CONTROL!$C$32, $C$9, 100%, $E$9)</f>
        <v>8.4449000000000005</v>
      </c>
    </row>
    <row r="532" spans="1:15" ht="15" x14ac:dyDescent="0.2">
      <c r="A532" s="16">
        <v>57405</v>
      </c>
      <c r="B532" s="32">
        <f>7.7139 * CHOOSE(CONTROL!$C$32, $C$9, 100%, $E$9)</f>
        <v>7.7138999999999998</v>
      </c>
      <c r="C532" s="32">
        <f>7.7139 * CHOOSE(CONTROL!$C$32, $C$9, 100%, $E$9)</f>
        <v>7.7138999999999998</v>
      </c>
      <c r="D532" s="32">
        <f>7.715 * CHOOSE(CONTROL!$C$32, $C$9, 100%, $E$9)</f>
        <v>7.7149999999999999</v>
      </c>
      <c r="E532" s="33">
        <f>8.5954 * CHOOSE(CONTROL!$C$32, $C$9, 100%, $E$9)</f>
        <v>8.5953999999999997</v>
      </c>
      <c r="F532" s="33">
        <f>8.5954 * CHOOSE(CONTROL!$C$32, $C$9, 100%, $E$9)</f>
        <v>8.5953999999999997</v>
      </c>
      <c r="G532" s="33">
        <f>8.599 * CHOOSE(CONTROL!$C$32, $C$9, 100%, $E$9)</f>
        <v>8.5990000000000002</v>
      </c>
      <c r="H532" s="33">
        <f>17.096 * CHOOSE(CONTROL!$C$32, $C$9, 100%, $E$9)</f>
        <v>17.096</v>
      </c>
      <c r="I532" s="33">
        <f>17.0996 * CHOOSE(CONTROL!$C$32, $C$9, 100%, $E$9)</f>
        <v>17.099599999999999</v>
      </c>
      <c r="J532" s="33">
        <f>17.096 * CHOOSE(CONTROL!$C$32, $C$9, 100%, $E$9)</f>
        <v>17.096</v>
      </c>
      <c r="K532" s="33">
        <f>17.0996 * CHOOSE(CONTROL!$C$32, $C$9, 100%, $E$9)</f>
        <v>17.099599999999999</v>
      </c>
      <c r="L532" s="33">
        <f>8.5954 * CHOOSE(CONTROL!$C$32, $C$9, 100%, $E$9)</f>
        <v>8.5953999999999997</v>
      </c>
      <c r="M532" s="33">
        <f>8.599 * CHOOSE(CONTROL!$C$32, $C$9, 100%, $E$9)</f>
        <v>8.5990000000000002</v>
      </c>
      <c r="N532" s="33">
        <f>8.5954 * CHOOSE(CONTROL!$C$32, $C$9, 100%, $E$9)</f>
        <v>8.5953999999999997</v>
      </c>
      <c r="O532" s="33">
        <f>8.599 * CHOOSE(CONTROL!$C$32, $C$9, 100%, $E$9)</f>
        <v>8.5990000000000002</v>
      </c>
    </row>
    <row r="533" spans="1:15" ht="15" x14ac:dyDescent="0.2">
      <c r="A533" s="16">
        <v>57436</v>
      </c>
      <c r="B533" s="32">
        <f>7.7152 * CHOOSE(CONTROL!$C$32, $C$9, 100%, $E$9)</f>
        <v>7.7152000000000003</v>
      </c>
      <c r="C533" s="32">
        <f>7.7152 * CHOOSE(CONTROL!$C$32, $C$9, 100%, $E$9)</f>
        <v>7.7152000000000003</v>
      </c>
      <c r="D533" s="32">
        <f>7.7163 * CHOOSE(CONTROL!$C$32, $C$9, 100%, $E$9)</f>
        <v>7.7163000000000004</v>
      </c>
      <c r="E533" s="33">
        <f>8.7588 * CHOOSE(CONTROL!$C$32, $C$9, 100%, $E$9)</f>
        <v>8.7588000000000008</v>
      </c>
      <c r="F533" s="33">
        <f>8.7588 * CHOOSE(CONTROL!$C$32, $C$9, 100%, $E$9)</f>
        <v>8.7588000000000008</v>
      </c>
      <c r="G533" s="33">
        <f>8.7625 * CHOOSE(CONTROL!$C$32, $C$9, 100%, $E$9)</f>
        <v>8.7624999999999993</v>
      </c>
      <c r="H533" s="33">
        <f>17.1316 * CHOOSE(CONTROL!$C$32, $C$9, 100%, $E$9)</f>
        <v>17.131599999999999</v>
      </c>
      <c r="I533" s="33">
        <f>17.1352 * CHOOSE(CONTROL!$C$32, $C$9, 100%, $E$9)</f>
        <v>17.135200000000001</v>
      </c>
      <c r="J533" s="33">
        <f>17.1316 * CHOOSE(CONTROL!$C$32, $C$9, 100%, $E$9)</f>
        <v>17.131599999999999</v>
      </c>
      <c r="K533" s="33">
        <f>17.1352 * CHOOSE(CONTROL!$C$32, $C$9, 100%, $E$9)</f>
        <v>17.135200000000001</v>
      </c>
      <c r="L533" s="33">
        <f>8.7588 * CHOOSE(CONTROL!$C$32, $C$9, 100%, $E$9)</f>
        <v>8.7588000000000008</v>
      </c>
      <c r="M533" s="33">
        <f>8.7625 * CHOOSE(CONTROL!$C$32, $C$9, 100%, $E$9)</f>
        <v>8.7624999999999993</v>
      </c>
      <c r="N533" s="33">
        <f>8.7588 * CHOOSE(CONTROL!$C$32, $C$9, 100%, $E$9)</f>
        <v>8.7588000000000008</v>
      </c>
      <c r="O533" s="33">
        <f>8.7625 * CHOOSE(CONTROL!$C$32, $C$9, 100%, $E$9)</f>
        <v>8.7624999999999993</v>
      </c>
    </row>
    <row r="534" spans="1:15" ht="15" x14ac:dyDescent="0.2">
      <c r="A534" s="16">
        <v>57466</v>
      </c>
      <c r="B534" s="32">
        <f>7.7152 * CHOOSE(CONTROL!$C$32, $C$9, 100%, $E$9)</f>
        <v>7.7152000000000003</v>
      </c>
      <c r="C534" s="32">
        <f>7.7152 * CHOOSE(CONTROL!$C$32, $C$9, 100%, $E$9)</f>
        <v>7.7152000000000003</v>
      </c>
      <c r="D534" s="32">
        <f>7.7168 * CHOOSE(CONTROL!$C$32, $C$9, 100%, $E$9)</f>
        <v>7.7168000000000001</v>
      </c>
      <c r="E534" s="33">
        <f>8.8217 * CHOOSE(CONTROL!$C$32, $C$9, 100%, $E$9)</f>
        <v>8.8216999999999999</v>
      </c>
      <c r="F534" s="33">
        <f>8.8217 * CHOOSE(CONTROL!$C$32, $C$9, 100%, $E$9)</f>
        <v>8.8216999999999999</v>
      </c>
      <c r="G534" s="33">
        <f>8.827 * CHOOSE(CONTROL!$C$32, $C$9, 100%, $E$9)</f>
        <v>8.827</v>
      </c>
      <c r="H534" s="33">
        <f>17.1673 * CHOOSE(CONTROL!$C$32, $C$9, 100%, $E$9)</f>
        <v>17.167300000000001</v>
      </c>
      <c r="I534" s="33">
        <f>17.1726 * CHOOSE(CONTROL!$C$32, $C$9, 100%, $E$9)</f>
        <v>17.172599999999999</v>
      </c>
      <c r="J534" s="33">
        <f>17.1673 * CHOOSE(CONTROL!$C$32, $C$9, 100%, $E$9)</f>
        <v>17.167300000000001</v>
      </c>
      <c r="K534" s="33">
        <f>17.1726 * CHOOSE(CONTROL!$C$32, $C$9, 100%, $E$9)</f>
        <v>17.172599999999999</v>
      </c>
      <c r="L534" s="33">
        <f>8.8217 * CHOOSE(CONTROL!$C$32, $C$9, 100%, $E$9)</f>
        <v>8.8216999999999999</v>
      </c>
      <c r="M534" s="33">
        <f>8.827 * CHOOSE(CONTROL!$C$32, $C$9, 100%, $E$9)</f>
        <v>8.827</v>
      </c>
      <c r="N534" s="33">
        <f>8.8217 * CHOOSE(CONTROL!$C$32, $C$9, 100%, $E$9)</f>
        <v>8.8216999999999999</v>
      </c>
      <c r="O534" s="33">
        <f>8.827 * CHOOSE(CONTROL!$C$32, $C$9, 100%, $E$9)</f>
        <v>8.827</v>
      </c>
    </row>
    <row r="535" spans="1:15" ht="15" x14ac:dyDescent="0.2">
      <c r="A535" s="16">
        <v>57497</v>
      </c>
      <c r="B535" s="32">
        <f>7.7213 * CHOOSE(CONTROL!$C$32, $C$9, 100%, $E$9)</f>
        <v>7.7213000000000003</v>
      </c>
      <c r="C535" s="32">
        <f>7.7213 * CHOOSE(CONTROL!$C$32, $C$9, 100%, $E$9)</f>
        <v>7.7213000000000003</v>
      </c>
      <c r="D535" s="32">
        <f>7.7228 * CHOOSE(CONTROL!$C$32, $C$9, 100%, $E$9)</f>
        <v>7.7228000000000003</v>
      </c>
      <c r="E535" s="33">
        <f>8.7631 * CHOOSE(CONTROL!$C$32, $C$9, 100%, $E$9)</f>
        <v>8.7630999999999997</v>
      </c>
      <c r="F535" s="33">
        <f>8.7631 * CHOOSE(CONTROL!$C$32, $C$9, 100%, $E$9)</f>
        <v>8.7630999999999997</v>
      </c>
      <c r="G535" s="33">
        <f>8.7684 * CHOOSE(CONTROL!$C$32, $C$9, 100%, $E$9)</f>
        <v>8.7683999999999997</v>
      </c>
      <c r="H535" s="33">
        <f>17.2031 * CHOOSE(CONTROL!$C$32, $C$9, 100%, $E$9)</f>
        <v>17.203099999999999</v>
      </c>
      <c r="I535" s="33">
        <f>17.2084 * CHOOSE(CONTROL!$C$32, $C$9, 100%, $E$9)</f>
        <v>17.208400000000001</v>
      </c>
      <c r="J535" s="33">
        <f>17.2031 * CHOOSE(CONTROL!$C$32, $C$9, 100%, $E$9)</f>
        <v>17.203099999999999</v>
      </c>
      <c r="K535" s="33">
        <f>17.2084 * CHOOSE(CONTROL!$C$32, $C$9, 100%, $E$9)</f>
        <v>17.208400000000001</v>
      </c>
      <c r="L535" s="33">
        <f>8.7631 * CHOOSE(CONTROL!$C$32, $C$9, 100%, $E$9)</f>
        <v>8.7630999999999997</v>
      </c>
      <c r="M535" s="33">
        <f>8.7684 * CHOOSE(CONTROL!$C$32, $C$9, 100%, $E$9)</f>
        <v>8.7683999999999997</v>
      </c>
      <c r="N535" s="33">
        <f>8.7631 * CHOOSE(CONTROL!$C$32, $C$9, 100%, $E$9)</f>
        <v>8.7630999999999997</v>
      </c>
      <c r="O535" s="33">
        <f>8.7684 * CHOOSE(CONTROL!$C$32, $C$9, 100%, $E$9)</f>
        <v>8.7683999999999997</v>
      </c>
    </row>
    <row r="536" spans="1:15" ht="15" x14ac:dyDescent="0.2">
      <c r="A536" s="16">
        <v>57527</v>
      </c>
      <c r="B536" s="32">
        <f>7.8207 * CHOOSE(CONTROL!$C$32, $C$9, 100%, $E$9)</f>
        <v>7.8207000000000004</v>
      </c>
      <c r="C536" s="32">
        <f>7.8207 * CHOOSE(CONTROL!$C$32, $C$9, 100%, $E$9)</f>
        <v>7.8207000000000004</v>
      </c>
      <c r="D536" s="32">
        <f>7.8222 * CHOOSE(CONTROL!$C$32, $C$9, 100%, $E$9)</f>
        <v>7.8221999999999996</v>
      </c>
      <c r="E536" s="33">
        <f>8.8842 * CHOOSE(CONTROL!$C$32, $C$9, 100%, $E$9)</f>
        <v>8.8841999999999999</v>
      </c>
      <c r="F536" s="33">
        <f>8.8842 * CHOOSE(CONTROL!$C$32, $C$9, 100%, $E$9)</f>
        <v>8.8841999999999999</v>
      </c>
      <c r="G536" s="33">
        <f>8.8895 * CHOOSE(CONTROL!$C$32, $C$9, 100%, $E$9)</f>
        <v>8.8895</v>
      </c>
      <c r="H536" s="33">
        <f>17.2389 * CHOOSE(CONTROL!$C$32, $C$9, 100%, $E$9)</f>
        <v>17.238900000000001</v>
      </c>
      <c r="I536" s="33">
        <f>17.2442 * CHOOSE(CONTROL!$C$32, $C$9, 100%, $E$9)</f>
        <v>17.244199999999999</v>
      </c>
      <c r="J536" s="33">
        <f>17.2389 * CHOOSE(CONTROL!$C$32, $C$9, 100%, $E$9)</f>
        <v>17.238900000000001</v>
      </c>
      <c r="K536" s="33">
        <f>17.2442 * CHOOSE(CONTROL!$C$32, $C$9, 100%, $E$9)</f>
        <v>17.244199999999999</v>
      </c>
      <c r="L536" s="33">
        <f>8.8842 * CHOOSE(CONTROL!$C$32, $C$9, 100%, $E$9)</f>
        <v>8.8841999999999999</v>
      </c>
      <c r="M536" s="33">
        <f>8.8895 * CHOOSE(CONTROL!$C$32, $C$9, 100%, $E$9)</f>
        <v>8.8895</v>
      </c>
      <c r="N536" s="33">
        <f>8.8842 * CHOOSE(CONTROL!$C$32, $C$9, 100%, $E$9)</f>
        <v>8.8841999999999999</v>
      </c>
      <c r="O536" s="33">
        <f>8.8895 * CHOOSE(CONTROL!$C$32, $C$9, 100%, $E$9)</f>
        <v>8.8895</v>
      </c>
    </row>
    <row r="537" spans="1:15" ht="15" x14ac:dyDescent="0.2">
      <c r="A537" s="16">
        <v>57558</v>
      </c>
      <c r="B537" s="32">
        <f>7.8273 * CHOOSE(CONTROL!$C$32, $C$9, 100%, $E$9)</f>
        <v>7.8273000000000001</v>
      </c>
      <c r="C537" s="32">
        <f>7.8273 * CHOOSE(CONTROL!$C$32, $C$9, 100%, $E$9)</f>
        <v>7.8273000000000001</v>
      </c>
      <c r="D537" s="32">
        <f>7.8289 * CHOOSE(CONTROL!$C$32, $C$9, 100%, $E$9)</f>
        <v>7.8289</v>
      </c>
      <c r="E537" s="33">
        <f>8.7002 * CHOOSE(CONTROL!$C$32, $C$9, 100%, $E$9)</f>
        <v>8.7002000000000006</v>
      </c>
      <c r="F537" s="33">
        <f>8.7002 * CHOOSE(CONTROL!$C$32, $C$9, 100%, $E$9)</f>
        <v>8.7002000000000006</v>
      </c>
      <c r="G537" s="33">
        <f>8.7055 * CHOOSE(CONTROL!$C$32, $C$9, 100%, $E$9)</f>
        <v>8.7055000000000007</v>
      </c>
      <c r="H537" s="33">
        <f>17.2748 * CHOOSE(CONTROL!$C$32, $C$9, 100%, $E$9)</f>
        <v>17.274799999999999</v>
      </c>
      <c r="I537" s="33">
        <f>17.2801 * CHOOSE(CONTROL!$C$32, $C$9, 100%, $E$9)</f>
        <v>17.280100000000001</v>
      </c>
      <c r="J537" s="33">
        <f>17.2748 * CHOOSE(CONTROL!$C$32, $C$9, 100%, $E$9)</f>
        <v>17.274799999999999</v>
      </c>
      <c r="K537" s="33">
        <f>17.2801 * CHOOSE(CONTROL!$C$32, $C$9, 100%, $E$9)</f>
        <v>17.280100000000001</v>
      </c>
      <c r="L537" s="33">
        <f>8.7002 * CHOOSE(CONTROL!$C$32, $C$9, 100%, $E$9)</f>
        <v>8.7002000000000006</v>
      </c>
      <c r="M537" s="33">
        <f>8.7055 * CHOOSE(CONTROL!$C$32, $C$9, 100%, $E$9)</f>
        <v>8.7055000000000007</v>
      </c>
      <c r="N537" s="33">
        <f>8.7002 * CHOOSE(CONTROL!$C$32, $C$9, 100%, $E$9)</f>
        <v>8.7002000000000006</v>
      </c>
      <c r="O537" s="33">
        <f>8.7055 * CHOOSE(CONTROL!$C$32, $C$9, 100%, $E$9)</f>
        <v>8.7055000000000007</v>
      </c>
    </row>
    <row r="538" spans="1:15" ht="15" x14ac:dyDescent="0.2">
      <c r="A538" s="16">
        <v>57589</v>
      </c>
      <c r="B538" s="32">
        <f>7.8243 * CHOOSE(CONTROL!$C$32, $C$9, 100%, $E$9)</f>
        <v>7.8243</v>
      </c>
      <c r="C538" s="32">
        <f>7.8243 * CHOOSE(CONTROL!$C$32, $C$9, 100%, $E$9)</f>
        <v>7.8243</v>
      </c>
      <c r="D538" s="32">
        <f>7.8259 * CHOOSE(CONTROL!$C$32, $C$9, 100%, $E$9)</f>
        <v>7.8258999999999999</v>
      </c>
      <c r="E538" s="33">
        <f>8.6771 * CHOOSE(CONTROL!$C$32, $C$9, 100%, $E$9)</f>
        <v>8.6770999999999994</v>
      </c>
      <c r="F538" s="33">
        <f>8.6771 * CHOOSE(CONTROL!$C$32, $C$9, 100%, $E$9)</f>
        <v>8.6770999999999994</v>
      </c>
      <c r="G538" s="33">
        <f>8.6824 * CHOOSE(CONTROL!$C$32, $C$9, 100%, $E$9)</f>
        <v>8.6823999999999995</v>
      </c>
      <c r="H538" s="33">
        <f>17.3108 * CHOOSE(CONTROL!$C$32, $C$9, 100%, $E$9)</f>
        <v>17.3108</v>
      </c>
      <c r="I538" s="33">
        <f>17.3161 * CHOOSE(CONTROL!$C$32, $C$9, 100%, $E$9)</f>
        <v>17.316099999999999</v>
      </c>
      <c r="J538" s="33">
        <f>17.3108 * CHOOSE(CONTROL!$C$32, $C$9, 100%, $E$9)</f>
        <v>17.3108</v>
      </c>
      <c r="K538" s="33">
        <f>17.3161 * CHOOSE(CONTROL!$C$32, $C$9, 100%, $E$9)</f>
        <v>17.316099999999999</v>
      </c>
      <c r="L538" s="33">
        <f>8.6771 * CHOOSE(CONTROL!$C$32, $C$9, 100%, $E$9)</f>
        <v>8.6770999999999994</v>
      </c>
      <c r="M538" s="33">
        <f>8.6824 * CHOOSE(CONTROL!$C$32, $C$9, 100%, $E$9)</f>
        <v>8.6823999999999995</v>
      </c>
      <c r="N538" s="33">
        <f>8.6771 * CHOOSE(CONTROL!$C$32, $C$9, 100%, $E$9)</f>
        <v>8.6770999999999994</v>
      </c>
      <c r="O538" s="33">
        <f>8.6824 * CHOOSE(CONTROL!$C$32, $C$9, 100%, $E$9)</f>
        <v>8.6823999999999995</v>
      </c>
    </row>
    <row r="539" spans="1:15" ht="15" x14ac:dyDescent="0.2">
      <c r="A539" s="16">
        <v>57619</v>
      </c>
      <c r="B539" s="32">
        <f>7.8336 * CHOOSE(CONTROL!$C$32, $C$9, 100%, $E$9)</f>
        <v>7.8335999999999997</v>
      </c>
      <c r="C539" s="32">
        <f>7.8336 * CHOOSE(CONTROL!$C$32, $C$9, 100%, $E$9)</f>
        <v>7.8335999999999997</v>
      </c>
      <c r="D539" s="32">
        <f>7.8347 * CHOOSE(CONTROL!$C$32, $C$9, 100%, $E$9)</f>
        <v>7.8346999999999998</v>
      </c>
      <c r="E539" s="33">
        <f>8.7475 * CHOOSE(CONTROL!$C$32, $C$9, 100%, $E$9)</f>
        <v>8.7475000000000005</v>
      </c>
      <c r="F539" s="33">
        <f>8.7475 * CHOOSE(CONTROL!$C$32, $C$9, 100%, $E$9)</f>
        <v>8.7475000000000005</v>
      </c>
      <c r="G539" s="33">
        <f>8.7511 * CHOOSE(CONTROL!$C$32, $C$9, 100%, $E$9)</f>
        <v>8.7510999999999992</v>
      </c>
      <c r="H539" s="33">
        <f>17.3469 * CHOOSE(CONTROL!$C$32, $C$9, 100%, $E$9)</f>
        <v>17.346900000000002</v>
      </c>
      <c r="I539" s="33">
        <f>17.3505 * CHOOSE(CONTROL!$C$32, $C$9, 100%, $E$9)</f>
        <v>17.3505</v>
      </c>
      <c r="J539" s="33">
        <f>17.3469 * CHOOSE(CONTROL!$C$32, $C$9, 100%, $E$9)</f>
        <v>17.346900000000002</v>
      </c>
      <c r="K539" s="33">
        <f>17.3505 * CHOOSE(CONTROL!$C$32, $C$9, 100%, $E$9)</f>
        <v>17.3505</v>
      </c>
      <c r="L539" s="33">
        <f>8.7475 * CHOOSE(CONTROL!$C$32, $C$9, 100%, $E$9)</f>
        <v>8.7475000000000005</v>
      </c>
      <c r="M539" s="33">
        <f>8.7511 * CHOOSE(CONTROL!$C$32, $C$9, 100%, $E$9)</f>
        <v>8.7510999999999992</v>
      </c>
      <c r="N539" s="33">
        <f>8.7475 * CHOOSE(CONTROL!$C$32, $C$9, 100%, $E$9)</f>
        <v>8.7475000000000005</v>
      </c>
      <c r="O539" s="33">
        <f>8.7511 * CHOOSE(CONTROL!$C$32, $C$9, 100%, $E$9)</f>
        <v>8.7510999999999992</v>
      </c>
    </row>
    <row r="540" spans="1:15" ht="15" x14ac:dyDescent="0.2">
      <c r="A540" s="16">
        <v>57650</v>
      </c>
      <c r="B540" s="32">
        <f>7.8366 * CHOOSE(CONTROL!$C$32, $C$9, 100%, $E$9)</f>
        <v>7.8365999999999998</v>
      </c>
      <c r="C540" s="32">
        <f>7.8366 * CHOOSE(CONTROL!$C$32, $C$9, 100%, $E$9)</f>
        <v>7.8365999999999998</v>
      </c>
      <c r="D540" s="32">
        <f>7.8377 * CHOOSE(CONTROL!$C$32, $C$9, 100%, $E$9)</f>
        <v>7.8376999999999999</v>
      </c>
      <c r="E540" s="33">
        <f>8.7916 * CHOOSE(CONTROL!$C$32, $C$9, 100%, $E$9)</f>
        <v>8.7916000000000007</v>
      </c>
      <c r="F540" s="33">
        <f>8.7916 * CHOOSE(CONTROL!$C$32, $C$9, 100%, $E$9)</f>
        <v>8.7916000000000007</v>
      </c>
      <c r="G540" s="33">
        <f>8.7952 * CHOOSE(CONTROL!$C$32, $C$9, 100%, $E$9)</f>
        <v>8.7951999999999995</v>
      </c>
      <c r="H540" s="33">
        <f>17.383 * CHOOSE(CONTROL!$C$32, $C$9, 100%, $E$9)</f>
        <v>17.382999999999999</v>
      </c>
      <c r="I540" s="33">
        <f>17.3866 * CHOOSE(CONTROL!$C$32, $C$9, 100%, $E$9)</f>
        <v>17.386600000000001</v>
      </c>
      <c r="J540" s="33">
        <f>17.383 * CHOOSE(CONTROL!$C$32, $C$9, 100%, $E$9)</f>
        <v>17.382999999999999</v>
      </c>
      <c r="K540" s="33">
        <f>17.3866 * CHOOSE(CONTROL!$C$32, $C$9, 100%, $E$9)</f>
        <v>17.386600000000001</v>
      </c>
      <c r="L540" s="33">
        <f>8.7916 * CHOOSE(CONTROL!$C$32, $C$9, 100%, $E$9)</f>
        <v>8.7916000000000007</v>
      </c>
      <c r="M540" s="33">
        <f>8.7952 * CHOOSE(CONTROL!$C$32, $C$9, 100%, $E$9)</f>
        <v>8.7951999999999995</v>
      </c>
      <c r="N540" s="33">
        <f>8.7916 * CHOOSE(CONTROL!$C$32, $C$9, 100%, $E$9)</f>
        <v>8.7916000000000007</v>
      </c>
      <c r="O540" s="33">
        <f>8.7952 * CHOOSE(CONTROL!$C$32, $C$9, 100%, $E$9)</f>
        <v>8.7951999999999995</v>
      </c>
    </row>
    <row r="541" spans="1:15" ht="15" x14ac:dyDescent="0.2">
      <c r="A541" s="16">
        <v>57680</v>
      </c>
      <c r="B541" s="32">
        <f>7.8366 * CHOOSE(CONTROL!$C$32, $C$9, 100%, $E$9)</f>
        <v>7.8365999999999998</v>
      </c>
      <c r="C541" s="32">
        <f>7.8366 * CHOOSE(CONTROL!$C$32, $C$9, 100%, $E$9)</f>
        <v>7.8365999999999998</v>
      </c>
      <c r="D541" s="32">
        <f>7.8377 * CHOOSE(CONTROL!$C$32, $C$9, 100%, $E$9)</f>
        <v>7.8376999999999999</v>
      </c>
      <c r="E541" s="33">
        <f>8.6867 * CHOOSE(CONTROL!$C$32, $C$9, 100%, $E$9)</f>
        <v>8.6867000000000001</v>
      </c>
      <c r="F541" s="33">
        <f>8.6867 * CHOOSE(CONTROL!$C$32, $C$9, 100%, $E$9)</f>
        <v>8.6867000000000001</v>
      </c>
      <c r="G541" s="33">
        <f>8.6904 * CHOOSE(CONTROL!$C$32, $C$9, 100%, $E$9)</f>
        <v>8.6904000000000003</v>
      </c>
      <c r="H541" s="33">
        <f>17.4192 * CHOOSE(CONTROL!$C$32, $C$9, 100%, $E$9)</f>
        <v>17.4192</v>
      </c>
      <c r="I541" s="33">
        <f>17.4229 * CHOOSE(CONTROL!$C$32, $C$9, 100%, $E$9)</f>
        <v>17.422899999999998</v>
      </c>
      <c r="J541" s="33">
        <f>17.4192 * CHOOSE(CONTROL!$C$32, $C$9, 100%, $E$9)</f>
        <v>17.4192</v>
      </c>
      <c r="K541" s="33">
        <f>17.4229 * CHOOSE(CONTROL!$C$32, $C$9, 100%, $E$9)</f>
        <v>17.422899999999998</v>
      </c>
      <c r="L541" s="33">
        <f>8.6867 * CHOOSE(CONTROL!$C$32, $C$9, 100%, $E$9)</f>
        <v>8.6867000000000001</v>
      </c>
      <c r="M541" s="33">
        <f>8.6904 * CHOOSE(CONTROL!$C$32, $C$9, 100%, $E$9)</f>
        <v>8.6904000000000003</v>
      </c>
      <c r="N541" s="33">
        <f>8.6867 * CHOOSE(CONTROL!$C$32, $C$9, 100%, $E$9)</f>
        <v>8.6867000000000001</v>
      </c>
      <c r="O541" s="33">
        <f>8.6904 * CHOOSE(CONTROL!$C$32, $C$9, 100%, $E$9)</f>
        <v>8.6904000000000003</v>
      </c>
    </row>
    <row r="542" spans="1:15" ht="15" x14ac:dyDescent="0.2">
      <c r="A542" s="16">
        <v>57711</v>
      </c>
      <c r="B542" s="32">
        <f>7.8952 * CHOOSE(CONTROL!$C$32, $C$9, 100%, $E$9)</f>
        <v>7.8952</v>
      </c>
      <c r="C542" s="32">
        <f>7.8952 * CHOOSE(CONTROL!$C$32, $C$9, 100%, $E$9)</f>
        <v>7.8952</v>
      </c>
      <c r="D542" s="32">
        <f>7.8962 * CHOOSE(CONTROL!$C$32, $C$9, 100%, $E$9)</f>
        <v>7.8962000000000003</v>
      </c>
      <c r="E542" s="33">
        <f>8.8374 * CHOOSE(CONTROL!$C$32, $C$9, 100%, $E$9)</f>
        <v>8.8374000000000006</v>
      </c>
      <c r="F542" s="33">
        <f>8.8374 * CHOOSE(CONTROL!$C$32, $C$9, 100%, $E$9)</f>
        <v>8.8374000000000006</v>
      </c>
      <c r="G542" s="33">
        <f>8.841 * CHOOSE(CONTROL!$C$32, $C$9, 100%, $E$9)</f>
        <v>8.8409999999999993</v>
      </c>
      <c r="H542" s="33">
        <f>17.4555 * CHOOSE(CONTROL!$C$32, $C$9, 100%, $E$9)</f>
        <v>17.455500000000001</v>
      </c>
      <c r="I542" s="33">
        <f>17.4591 * CHOOSE(CONTROL!$C$32, $C$9, 100%, $E$9)</f>
        <v>17.459099999999999</v>
      </c>
      <c r="J542" s="33">
        <f>17.4555 * CHOOSE(CONTROL!$C$32, $C$9, 100%, $E$9)</f>
        <v>17.455500000000001</v>
      </c>
      <c r="K542" s="33">
        <f>17.4591 * CHOOSE(CONTROL!$C$32, $C$9, 100%, $E$9)</f>
        <v>17.459099999999999</v>
      </c>
      <c r="L542" s="33">
        <f>8.8374 * CHOOSE(CONTROL!$C$32, $C$9, 100%, $E$9)</f>
        <v>8.8374000000000006</v>
      </c>
      <c r="M542" s="33">
        <f>8.841 * CHOOSE(CONTROL!$C$32, $C$9, 100%, $E$9)</f>
        <v>8.8409999999999993</v>
      </c>
      <c r="N542" s="33">
        <f>8.8374 * CHOOSE(CONTROL!$C$32, $C$9, 100%, $E$9)</f>
        <v>8.8374000000000006</v>
      </c>
      <c r="O542" s="33">
        <f>8.841 * CHOOSE(CONTROL!$C$32, $C$9, 100%, $E$9)</f>
        <v>8.8409999999999993</v>
      </c>
    </row>
    <row r="543" spans="1:15" ht="15" x14ac:dyDescent="0.2">
      <c r="A543" s="16">
        <v>57742</v>
      </c>
      <c r="B543" s="32">
        <f>7.8921 * CHOOSE(CONTROL!$C$32, $C$9, 100%, $E$9)</f>
        <v>7.8921000000000001</v>
      </c>
      <c r="C543" s="32">
        <f>7.8921 * CHOOSE(CONTROL!$C$32, $C$9, 100%, $E$9)</f>
        <v>7.8921000000000001</v>
      </c>
      <c r="D543" s="32">
        <f>7.8932 * CHOOSE(CONTROL!$C$32, $C$9, 100%, $E$9)</f>
        <v>7.8932000000000002</v>
      </c>
      <c r="E543" s="33">
        <f>8.6307 * CHOOSE(CONTROL!$C$32, $C$9, 100%, $E$9)</f>
        <v>8.6306999999999992</v>
      </c>
      <c r="F543" s="33">
        <f>8.6307 * CHOOSE(CONTROL!$C$32, $C$9, 100%, $E$9)</f>
        <v>8.6306999999999992</v>
      </c>
      <c r="G543" s="33">
        <f>8.6344 * CHOOSE(CONTROL!$C$32, $C$9, 100%, $E$9)</f>
        <v>8.6343999999999994</v>
      </c>
      <c r="H543" s="33">
        <f>17.4919 * CHOOSE(CONTROL!$C$32, $C$9, 100%, $E$9)</f>
        <v>17.491900000000001</v>
      </c>
      <c r="I543" s="33">
        <f>17.4955 * CHOOSE(CONTROL!$C$32, $C$9, 100%, $E$9)</f>
        <v>17.4955</v>
      </c>
      <c r="J543" s="33">
        <f>17.4919 * CHOOSE(CONTROL!$C$32, $C$9, 100%, $E$9)</f>
        <v>17.491900000000001</v>
      </c>
      <c r="K543" s="33">
        <f>17.4955 * CHOOSE(CONTROL!$C$32, $C$9, 100%, $E$9)</f>
        <v>17.4955</v>
      </c>
      <c r="L543" s="33">
        <f>8.6307 * CHOOSE(CONTROL!$C$32, $C$9, 100%, $E$9)</f>
        <v>8.6306999999999992</v>
      </c>
      <c r="M543" s="33">
        <f>8.6344 * CHOOSE(CONTROL!$C$32, $C$9, 100%, $E$9)</f>
        <v>8.6343999999999994</v>
      </c>
      <c r="N543" s="33">
        <f>8.6307 * CHOOSE(CONTROL!$C$32, $C$9, 100%, $E$9)</f>
        <v>8.6306999999999992</v>
      </c>
      <c r="O543" s="33">
        <f>8.6344 * CHOOSE(CONTROL!$C$32, $C$9, 100%, $E$9)</f>
        <v>8.6343999999999994</v>
      </c>
    </row>
    <row r="544" spans="1:15" ht="15" x14ac:dyDescent="0.2">
      <c r="A544" s="16">
        <v>57770</v>
      </c>
      <c r="B544" s="32">
        <f>7.8891 * CHOOSE(CONTROL!$C$32, $C$9, 100%, $E$9)</f>
        <v>7.8891</v>
      </c>
      <c r="C544" s="32">
        <f>7.8891 * CHOOSE(CONTROL!$C$32, $C$9, 100%, $E$9)</f>
        <v>7.8891</v>
      </c>
      <c r="D544" s="32">
        <f>7.8902 * CHOOSE(CONTROL!$C$32, $C$9, 100%, $E$9)</f>
        <v>7.8902000000000001</v>
      </c>
      <c r="E544" s="33">
        <f>8.7899 * CHOOSE(CONTROL!$C$32, $C$9, 100%, $E$9)</f>
        <v>8.7898999999999994</v>
      </c>
      <c r="F544" s="33">
        <f>8.7899 * CHOOSE(CONTROL!$C$32, $C$9, 100%, $E$9)</f>
        <v>8.7898999999999994</v>
      </c>
      <c r="G544" s="33">
        <f>8.7935 * CHOOSE(CONTROL!$C$32, $C$9, 100%, $E$9)</f>
        <v>8.7934999999999999</v>
      </c>
      <c r="H544" s="33">
        <f>17.5283 * CHOOSE(CONTROL!$C$32, $C$9, 100%, $E$9)</f>
        <v>17.528300000000002</v>
      </c>
      <c r="I544" s="33">
        <f>17.532 * CHOOSE(CONTROL!$C$32, $C$9, 100%, $E$9)</f>
        <v>17.532</v>
      </c>
      <c r="J544" s="33">
        <f>17.5283 * CHOOSE(CONTROL!$C$32, $C$9, 100%, $E$9)</f>
        <v>17.528300000000002</v>
      </c>
      <c r="K544" s="33">
        <f>17.532 * CHOOSE(CONTROL!$C$32, $C$9, 100%, $E$9)</f>
        <v>17.532</v>
      </c>
      <c r="L544" s="33">
        <f>8.7899 * CHOOSE(CONTROL!$C$32, $C$9, 100%, $E$9)</f>
        <v>8.7898999999999994</v>
      </c>
      <c r="M544" s="33">
        <f>8.7935 * CHOOSE(CONTROL!$C$32, $C$9, 100%, $E$9)</f>
        <v>8.7934999999999999</v>
      </c>
      <c r="N544" s="33">
        <f>8.7899 * CHOOSE(CONTROL!$C$32, $C$9, 100%, $E$9)</f>
        <v>8.7898999999999994</v>
      </c>
      <c r="O544" s="33">
        <f>8.7935 * CHOOSE(CONTROL!$C$32, $C$9, 100%, $E$9)</f>
        <v>8.7934999999999999</v>
      </c>
    </row>
    <row r="545" spans="1:15" ht="15" x14ac:dyDescent="0.2">
      <c r="A545" s="16">
        <v>57801</v>
      </c>
      <c r="B545" s="32">
        <f>7.8905 * CHOOSE(CONTROL!$C$32, $C$9, 100%, $E$9)</f>
        <v>7.8905000000000003</v>
      </c>
      <c r="C545" s="32">
        <f>7.8905 * CHOOSE(CONTROL!$C$32, $C$9, 100%, $E$9)</f>
        <v>7.8905000000000003</v>
      </c>
      <c r="D545" s="32">
        <f>7.8916 * CHOOSE(CONTROL!$C$32, $C$9, 100%, $E$9)</f>
        <v>7.8916000000000004</v>
      </c>
      <c r="E545" s="33">
        <f>8.9588 * CHOOSE(CONTROL!$C$32, $C$9, 100%, $E$9)</f>
        <v>8.9588000000000001</v>
      </c>
      <c r="F545" s="33">
        <f>8.9588 * CHOOSE(CONTROL!$C$32, $C$9, 100%, $E$9)</f>
        <v>8.9588000000000001</v>
      </c>
      <c r="G545" s="33">
        <f>8.9624 * CHOOSE(CONTROL!$C$32, $C$9, 100%, $E$9)</f>
        <v>8.9624000000000006</v>
      </c>
      <c r="H545" s="33">
        <f>17.5649 * CHOOSE(CONTROL!$C$32, $C$9, 100%, $E$9)</f>
        <v>17.564900000000002</v>
      </c>
      <c r="I545" s="33">
        <f>17.5685 * CHOOSE(CONTROL!$C$32, $C$9, 100%, $E$9)</f>
        <v>17.5685</v>
      </c>
      <c r="J545" s="33">
        <f>17.5649 * CHOOSE(CONTROL!$C$32, $C$9, 100%, $E$9)</f>
        <v>17.564900000000002</v>
      </c>
      <c r="K545" s="33">
        <f>17.5685 * CHOOSE(CONTROL!$C$32, $C$9, 100%, $E$9)</f>
        <v>17.5685</v>
      </c>
      <c r="L545" s="33">
        <f>8.9588 * CHOOSE(CONTROL!$C$32, $C$9, 100%, $E$9)</f>
        <v>8.9588000000000001</v>
      </c>
      <c r="M545" s="33">
        <f>8.9624 * CHOOSE(CONTROL!$C$32, $C$9, 100%, $E$9)</f>
        <v>8.9624000000000006</v>
      </c>
      <c r="N545" s="33">
        <f>8.9588 * CHOOSE(CONTROL!$C$32, $C$9, 100%, $E$9)</f>
        <v>8.9588000000000001</v>
      </c>
      <c r="O545" s="33">
        <f>8.9624 * CHOOSE(CONTROL!$C$32, $C$9, 100%, $E$9)</f>
        <v>8.9624000000000006</v>
      </c>
    </row>
    <row r="546" spans="1:15" ht="15" x14ac:dyDescent="0.2">
      <c r="A546" s="16">
        <v>57831</v>
      </c>
      <c r="B546" s="32">
        <f>7.8905 * CHOOSE(CONTROL!$C$32, $C$9, 100%, $E$9)</f>
        <v>7.8905000000000003</v>
      </c>
      <c r="C546" s="32">
        <f>7.8905 * CHOOSE(CONTROL!$C$32, $C$9, 100%, $E$9)</f>
        <v>7.8905000000000003</v>
      </c>
      <c r="D546" s="32">
        <f>7.8921 * CHOOSE(CONTROL!$C$32, $C$9, 100%, $E$9)</f>
        <v>7.8921000000000001</v>
      </c>
      <c r="E546" s="33">
        <f>9.0237 * CHOOSE(CONTROL!$C$32, $C$9, 100%, $E$9)</f>
        <v>9.0236999999999998</v>
      </c>
      <c r="F546" s="33">
        <f>9.0237 * CHOOSE(CONTROL!$C$32, $C$9, 100%, $E$9)</f>
        <v>9.0236999999999998</v>
      </c>
      <c r="G546" s="33">
        <f>9.029 * CHOOSE(CONTROL!$C$32, $C$9, 100%, $E$9)</f>
        <v>9.0289999999999999</v>
      </c>
      <c r="H546" s="33">
        <f>17.6014 * CHOOSE(CONTROL!$C$32, $C$9, 100%, $E$9)</f>
        <v>17.601400000000002</v>
      </c>
      <c r="I546" s="33">
        <f>17.6067 * CHOOSE(CONTROL!$C$32, $C$9, 100%, $E$9)</f>
        <v>17.6067</v>
      </c>
      <c r="J546" s="33">
        <f>17.6014 * CHOOSE(CONTROL!$C$32, $C$9, 100%, $E$9)</f>
        <v>17.601400000000002</v>
      </c>
      <c r="K546" s="33">
        <f>17.6067 * CHOOSE(CONTROL!$C$32, $C$9, 100%, $E$9)</f>
        <v>17.6067</v>
      </c>
      <c r="L546" s="33">
        <f>9.0237 * CHOOSE(CONTROL!$C$32, $C$9, 100%, $E$9)</f>
        <v>9.0236999999999998</v>
      </c>
      <c r="M546" s="33">
        <f>9.029 * CHOOSE(CONTROL!$C$32, $C$9, 100%, $E$9)</f>
        <v>9.0289999999999999</v>
      </c>
      <c r="N546" s="33">
        <f>9.0237 * CHOOSE(CONTROL!$C$32, $C$9, 100%, $E$9)</f>
        <v>9.0236999999999998</v>
      </c>
      <c r="O546" s="33">
        <f>9.029 * CHOOSE(CONTROL!$C$32, $C$9, 100%, $E$9)</f>
        <v>9.0289999999999999</v>
      </c>
    </row>
    <row r="547" spans="1:15" ht="15" x14ac:dyDescent="0.2">
      <c r="A547" s="16">
        <v>57862</v>
      </c>
      <c r="B547" s="32">
        <f>7.8966 * CHOOSE(CONTROL!$C$32, $C$9, 100%, $E$9)</f>
        <v>7.8966000000000003</v>
      </c>
      <c r="C547" s="32">
        <f>7.8966 * CHOOSE(CONTROL!$C$32, $C$9, 100%, $E$9)</f>
        <v>7.8966000000000003</v>
      </c>
      <c r="D547" s="32">
        <f>7.8982 * CHOOSE(CONTROL!$C$32, $C$9, 100%, $E$9)</f>
        <v>7.8982000000000001</v>
      </c>
      <c r="E547" s="33">
        <f>8.963 * CHOOSE(CONTROL!$C$32, $C$9, 100%, $E$9)</f>
        <v>8.9629999999999992</v>
      </c>
      <c r="F547" s="33">
        <f>8.963 * CHOOSE(CONTROL!$C$32, $C$9, 100%, $E$9)</f>
        <v>8.9629999999999992</v>
      </c>
      <c r="G547" s="33">
        <f>8.9683 * CHOOSE(CONTROL!$C$32, $C$9, 100%, $E$9)</f>
        <v>8.9682999999999993</v>
      </c>
      <c r="H547" s="33">
        <f>17.6381 * CHOOSE(CONTROL!$C$32, $C$9, 100%, $E$9)</f>
        <v>17.638100000000001</v>
      </c>
      <c r="I547" s="33">
        <f>17.6434 * CHOOSE(CONTROL!$C$32, $C$9, 100%, $E$9)</f>
        <v>17.6434</v>
      </c>
      <c r="J547" s="33">
        <f>17.6381 * CHOOSE(CONTROL!$C$32, $C$9, 100%, $E$9)</f>
        <v>17.638100000000001</v>
      </c>
      <c r="K547" s="33">
        <f>17.6434 * CHOOSE(CONTROL!$C$32, $C$9, 100%, $E$9)</f>
        <v>17.6434</v>
      </c>
      <c r="L547" s="33">
        <f>8.963 * CHOOSE(CONTROL!$C$32, $C$9, 100%, $E$9)</f>
        <v>8.9629999999999992</v>
      </c>
      <c r="M547" s="33">
        <f>8.9683 * CHOOSE(CONTROL!$C$32, $C$9, 100%, $E$9)</f>
        <v>8.9682999999999993</v>
      </c>
      <c r="N547" s="33">
        <f>8.963 * CHOOSE(CONTROL!$C$32, $C$9, 100%, $E$9)</f>
        <v>8.9629999999999992</v>
      </c>
      <c r="O547" s="33">
        <f>8.9683 * CHOOSE(CONTROL!$C$32, $C$9, 100%, $E$9)</f>
        <v>8.9682999999999993</v>
      </c>
    </row>
    <row r="548" spans="1:15" ht="15" x14ac:dyDescent="0.2">
      <c r="A548" s="16">
        <v>57892</v>
      </c>
      <c r="B548" s="32">
        <f>7.9979 * CHOOSE(CONTROL!$C$32, $C$9, 100%, $E$9)</f>
        <v>7.9978999999999996</v>
      </c>
      <c r="C548" s="32">
        <f>7.9979 * CHOOSE(CONTROL!$C$32, $C$9, 100%, $E$9)</f>
        <v>7.9978999999999996</v>
      </c>
      <c r="D548" s="32">
        <f>7.9995 * CHOOSE(CONTROL!$C$32, $C$9, 100%, $E$9)</f>
        <v>7.9995000000000003</v>
      </c>
      <c r="E548" s="33">
        <f>9.0871 * CHOOSE(CONTROL!$C$32, $C$9, 100%, $E$9)</f>
        <v>9.0870999999999995</v>
      </c>
      <c r="F548" s="33">
        <f>9.0871 * CHOOSE(CONTROL!$C$32, $C$9, 100%, $E$9)</f>
        <v>9.0870999999999995</v>
      </c>
      <c r="G548" s="33">
        <f>9.0924 * CHOOSE(CONTROL!$C$32, $C$9, 100%, $E$9)</f>
        <v>9.0923999999999996</v>
      </c>
      <c r="H548" s="33">
        <f>17.6749 * CHOOSE(CONTROL!$C$32, $C$9, 100%, $E$9)</f>
        <v>17.674900000000001</v>
      </c>
      <c r="I548" s="33">
        <f>17.6802 * CHOOSE(CONTROL!$C$32, $C$9, 100%, $E$9)</f>
        <v>17.680199999999999</v>
      </c>
      <c r="J548" s="33">
        <f>17.6749 * CHOOSE(CONTROL!$C$32, $C$9, 100%, $E$9)</f>
        <v>17.674900000000001</v>
      </c>
      <c r="K548" s="33">
        <f>17.6802 * CHOOSE(CONTROL!$C$32, $C$9, 100%, $E$9)</f>
        <v>17.680199999999999</v>
      </c>
      <c r="L548" s="33">
        <f>9.0871 * CHOOSE(CONTROL!$C$32, $C$9, 100%, $E$9)</f>
        <v>9.0870999999999995</v>
      </c>
      <c r="M548" s="33">
        <f>9.0924 * CHOOSE(CONTROL!$C$32, $C$9, 100%, $E$9)</f>
        <v>9.0923999999999996</v>
      </c>
      <c r="N548" s="33">
        <f>9.0871 * CHOOSE(CONTROL!$C$32, $C$9, 100%, $E$9)</f>
        <v>9.0870999999999995</v>
      </c>
      <c r="O548" s="33">
        <f>9.0924 * CHOOSE(CONTROL!$C$32, $C$9, 100%, $E$9)</f>
        <v>9.0923999999999996</v>
      </c>
    </row>
    <row r="549" spans="1:15" ht="15" x14ac:dyDescent="0.2">
      <c r="A549" s="16">
        <v>57923</v>
      </c>
      <c r="B549" s="32">
        <f>8.0046 * CHOOSE(CONTROL!$C$32, $C$9, 100%, $E$9)</f>
        <v>8.0045999999999999</v>
      </c>
      <c r="C549" s="32">
        <f>8.0046 * CHOOSE(CONTROL!$C$32, $C$9, 100%, $E$9)</f>
        <v>8.0045999999999999</v>
      </c>
      <c r="D549" s="32">
        <f>8.0062 * CHOOSE(CONTROL!$C$32, $C$9, 100%, $E$9)</f>
        <v>8.0061999999999998</v>
      </c>
      <c r="E549" s="33">
        <f>8.897 * CHOOSE(CONTROL!$C$32, $C$9, 100%, $E$9)</f>
        <v>8.8970000000000002</v>
      </c>
      <c r="F549" s="33">
        <f>8.897 * CHOOSE(CONTROL!$C$32, $C$9, 100%, $E$9)</f>
        <v>8.8970000000000002</v>
      </c>
      <c r="G549" s="33">
        <f>8.9022 * CHOOSE(CONTROL!$C$32, $C$9, 100%, $E$9)</f>
        <v>8.9022000000000006</v>
      </c>
      <c r="H549" s="33">
        <f>17.7117 * CHOOSE(CONTROL!$C$32, $C$9, 100%, $E$9)</f>
        <v>17.7117</v>
      </c>
      <c r="I549" s="33">
        <f>17.717 * CHOOSE(CONTROL!$C$32, $C$9, 100%, $E$9)</f>
        <v>17.716999999999999</v>
      </c>
      <c r="J549" s="33">
        <f>17.7117 * CHOOSE(CONTROL!$C$32, $C$9, 100%, $E$9)</f>
        <v>17.7117</v>
      </c>
      <c r="K549" s="33">
        <f>17.717 * CHOOSE(CONTROL!$C$32, $C$9, 100%, $E$9)</f>
        <v>17.716999999999999</v>
      </c>
      <c r="L549" s="33">
        <f>8.897 * CHOOSE(CONTROL!$C$32, $C$9, 100%, $E$9)</f>
        <v>8.8970000000000002</v>
      </c>
      <c r="M549" s="33">
        <f>8.9022 * CHOOSE(CONTROL!$C$32, $C$9, 100%, $E$9)</f>
        <v>8.9022000000000006</v>
      </c>
      <c r="N549" s="33">
        <f>8.897 * CHOOSE(CONTROL!$C$32, $C$9, 100%, $E$9)</f>
        <v>8.8970000000000002</v>
      </c>
      <c r="O549" s="33">
        <f>8.9022 * CHOOSE(CONTROL!$C$32, $C$9, 100%, $E$9)</f>
        <v>8.9022000000000006</v>
      </c>
    </row>
    <row r="550" spans="1:15" ht="15" x14ac:dyDescent="0.2">
      <c r="A550" s="16">
        <v>57954</v>
      </c>
      <c r="B550" s="32">
        <f>8.0015 * CHOOSE(CONTROL!$C$32, $C$9, 100%, $E$9)</f>
        <v>8.0015000000000001</v>
      </c>
      <c r="C550" s="32">
        <f>8.0015 * CHOOSE(CONTROL!$C$32, $C$9, 100%, $E$9)</f>
        <v>8.0015000000000001</v>
      </c>
      <c r="D550" s="32">
        <f>8.0031 * CHOOSE(CONTROL!$C$32, $C$9, 100%, $E$9)</f>
        <v>8.0030999999999999</v>
      </c>
      <c r="E550" s="33">
        <f>8.8732 * CHOOSE(CONTROL!$C$32, $C$9, 100%, $E$9)</f>
        <v>8.8732000000000006</v>
      </c>
      <c r="F550" s="33">
        <f>8.8732 * CHOOSE(CONTROL!$C$32, $C$9, 100%, $E$9)</f>
        <v>8.8732000000000006</v>
      </c>
      <c r="G550" s="33">
        <f>8.8785 * CHOOSE(CONTROL!$C$32, $C$9, 100%, $E$9)</f>
        <v>8.8785000000000007</v>
      </c>
      <c r="H550" s="33">
        <f>17.7486 * CHOOSE(CONTROL!$C$32, $C$9, 100%, $E$9)</f>
        <v>17.7486</v>
      </c>
      <c r="I550" s="33">
        <f>17.7539 * CHOOSE(CONTROL!$C$32, $C$9, 100%, $E$9)</f>
        <v>17.753900000000002</v>
      </c>
      <c r="J550" s="33">
        <f>17.7486 * CHOOSE(CONTROL!$C$32, $C$9, 100%, $E$9)</f>
        <v>17.7486</v>
      </c>
      <c r="K550" s="33">
        <f>17.7539 * CHOOSE(CONTROL!$C$32, $C$9, 100%, $E$9)</f>
        <v>17.753900000000002</v>
      </c>
      <c r="L550" s="33">
        <f>8.8732 * CHOOSE(CONTROL!$C$32, $C$9, 100%, $E$9)</f>
        <v>8.8732000000000006</v>
      </c>
      <c r="M550" s="33">
        <f>8.8785 * CHOOSE(CONTROL!$C$32, $C$9, 100%, $E$9)</f>
        <v>8.8785000000000007</v>
      </c>
      <c r="N550" s="33">
        <f>8.8732 * CHOOSE(CONTROL!$C$32, $C$9, 100%, $E$9)</f>
        <v>8.8732000000000006</v>
      </c>
      <c r="O550" s="33">
        <f>8.8785 * CHOOSE(CONTROL!$C$32, $C$9, 100%, $E$9)</f>
        <v>8.8785000000000007</v>
      </c>
    </row>
    <row r="551" spans="1:15" ht="15" x14ac:dyDescent="0.2">
      <c r="A551" s="16">
        <v>57984</v>
      </c>
      <c r="B551" s="32">
        <f>8.0115 * CHOOSE(CONTROL!$C$32, $C$9, 100%, $E$9)</f>
        <v>8.0114999999999998</v>
      </c>
      <c r="C551" s="32">
        <f>8.0115 * CHOOSE(CONTROL!$C$32, $C$9, 100%, $E$9)</f>
        <v>8.0114999999999998</v>
      </c>
      <c r="D551" s="32">
        <f>8.0126 * CHOOSE(CONTROL!$C$32, $C$9, 100%, $E$9)</f>
        <v>8.0126000000000008</v>
      </c>
      <c r="E551" s="33">
        <f>8.9464 * CHOOSE(CONTROL!$C$32, $C$9, 100%, $E$9)</f>
        <v>8.9464000000000006</v>
      </c>
      <c r="F551" s="33">
        <f>8.9464 * CHOOSE(CONTROL!$C$32, $C$9, 100%, $E$9)</f>
        <v>8.9464000000000006</v>
      </c>
      <c r="G551" s="33">
        <f>8.95 * CHOOSE(CONTROL!$C$32, $C$9, 100%, $E$9)</f>
        <v>8.9499999999999993</v>
      </c>
      <c r="H551" s="33">
        <f>17.7856 * CHOOSE(CONTROL!$C$32, $C$9, 100%, $E$9)</f>
        <v>17.785599999999999</v>
      </c>
      <c r="I551" s="33">
        <f>17.7892 * CHOOSE(CONTROL!$C$32, $C$9, 100%, $E$9)</f>
        <v>17.789200000000001</v>
      </c>
      <c r="J551" s="33">
        <f>17.7856 * CHOOSE(CONTROL!$C$32, $C$9, 100%, $E$9)</f>
        <v>17.785599999999999</v>
      </c>
      <c r="K551" s="33">
        <f>17.7892 * CHOOSE(CONTROL!$C$32, $C$9, 100%, $E$9)</f>
        <v>17.789200000000001</v>
      </c>
      <c r="L551" s="33">
        <f>8.9464 * CHOOSE(CONTROL!$C$32, $C$9, 100%, $E$9)</f>
        <v>8.9464000000000006</v>
      </c>
      <c r="M551" s="33">
        <f>8.95 * CHOOSE(CONTROL!$C$32, $C$9, 100%, $E$9)</f>
        <v>8.9499999999999993</v>
      </c>
      <c r="N551" s="33">
        <f>8.9464 * CHOOSE(CONTROL!$C$32, $C$9, 100%, $E$9)</f>
        <v>8.9464000000000006</v>
      </c>
      <c r="O551" s="33">
        <f>8.95 * CHOOSE(CONTROL!$C$32, $C$9, 100%, $E$9)</f>
        <v>8.9499999999999993</v>
      </c>
    </row>
    <row r="552" spans="1:15" ht="15" x14ac:dyDescent="0.2">
      <c r="A552" s="16">
        <v>58015</v>
      </c>
      <c r="B552" s="32">
        <f>8.0145 * CHOOSE(CONTROL!$C$32, $C$9, 100%, $E$9)</f>
        <v>8.0145</v>
      </c>
      <c r="C552" s="32">
        <f>8.0145 * CHOOSE(CONTROL!$C$32, $C$9, 100%, $E$9)</f>
        <v>8.0145</v>
      </c>
      <c r="D552" s="32">
        <f>8.0156 * CHOOSE(CONTROL!$C$32, $C$9, 100%, $E$9)</f>
        <v>8.0155999999999992</v>
      </c>
      <c r="E552" s="33">
        <f>8.9918 * CHOOSE(CONTROL!$C$32, $C$9, 100%, $E$9)</f>
        <v>8.9917999999999996</v>
      </c>
      <c r="F552" s="33">
        <f>8.9918 * CHOOSE(CONTROL!$C$32, $C$9, 100%, $E$9)</f>
        <v>8.9917999999999996</v>
      </c>
      <c r="G552" s="33">
        <f>8.9954 * CHOOSE(CONTROL!$C$32, $C$9, 100%, $E$9)</f>
        <v>8.9954000000000001</v>
      </c>
      <c r="H552" s="33">
        <f>17.8226 * CHOOSE(CONTROL!$C$32, $C$9, 100%, $E$9)</f>
        <v>17.822600000000001</v>
      </c>
      <c r="I552" s="33">
        <f>17.8262 * CHOOSE(CONTROL!$C$32, $C$9, 100%, $E$9)</f>
        <v>17.8262</v>
      </c>
      <c r="J552" s="33">
        <f>17.8226 * CHOOSE(CONTROL!$C$32, $C$9, 100%, $E$9)</f>
        <v>17.822600000000001</v>
      </c>
      <c r="K552" s="33">
        <f>17.8262 * CHOOSE(CONTROL!$C$32, $C$9, 100%, $E$9)</f>
        <v>17.8262</v>
      </c>
      <c r="L552" s="33">
        <f>8.9918 * CHOOSE(CONTROL!$C$32, $C$9, 100%, $E$9)</f>
        <v>8.9917999999999996</v>
      </c>
      <c r="M552" s="33">
        <f>8.9954 * CHOOSE(CONTROL!$C$32, $C$9, 100%, $E$9)</f>
        <v>8.9954000000000001</v>
      </c>
      <c r="N552" s="33">
        <f>8.9918 * CHOOSE(CONTROL!$C$32, $C$9, 100%, $E$9)</f>
        <v>8.9917999999999996</v>
      </c>
      <c r="O552" s="33">
        <f>8.9954 * CHOOSE(CONTROL!$C$32, $C$9, 100%, $E$9)</f>
        <v>8.9954000000000001</v>
      </c>
    </row>
    <row r="553" spans="1:15" ht="15" x14ac:dyDescent="0.2">
      <c r="A553" s="16">
        <v>58045</v>
      </c>
      <c r="B553" s="32">
        <f>8.0145 * CHOOSE(CONTROL!$C$32, $C$9, 100%, $E$9)</f>
        <v>8.0145</v>
      </c>
      <c r="C553" s="32">
        <f>8.0145 * CHOOSE(CONTROL!$C$32, $C$9, 100%, $E$9)</f>
        <v>8.0145</v>
      </c>
      <c r="D553" s="32">
        <f>8.0156 * CHOOSE(CONTROL!$C$32, $C$9, 100%, $E$9)</f>
        <v>8.0155999999999992</v>
      </c>
      <c r="E553" s="33">
        <f>8.8835 * CHOOSE(CONTROL!$C$32, $C$9, 100%, $E$9)</f>
        <v>8.8834999999999997</v>
      </c>
      <c r="F553" s="33">
        <f>8.8835 * CHOOSE(CONTROL!$C$32, $C$9, 100%, $E$9)</f>
        <v>8.8834999999999997</v>
      </c>
      <c r="G553" s="33">
        <f>8.8872 * CHOOSE(CONTROL!$C$32, $C$9, 100%, $E$9)</f>
        <v>8.8872</v>
      </c>
      <c r="H553" s="33">
        <f>17.8597 * CHOOSE(CONTROL!$C$32, $C$9, 100%, $E$9)</f>
        <v>17.8597</v>
      </c>
      <c r="I553" s="33">
        <f>17.8634 * CHOOSE(CONTROL!$C$32, $C$9, 100%, $E$9)</f>
        <v>17.863399999999999</v>
      </c>
      <c r="J553" s="33">
        <f>17.8597 * CHOOSE(CONTROL!$C$32, $C$9, 100%, $E$9)</f>
        <v>17.8597</v>
      </c>
      <c r="K553" s="33">
        <f>17.8634 * CHOOSE(CONTROL!$C$32, $C$9, 100%, $E$9)</f>
        <v>17.863399999999999</v>
      </c>
      <c r="L553" s="33">
        <f>8.8835 * CHOOSE(CONTROL!$C$32, $C$9, 100%, $E$9)</f>
        <v>8.8834999999999997</v>
      </c>
      <c r="M553" s="33">
        <f>8.8872 * CHOOSE(CONTROL!$C$32, $C$9, 100%, $E$9)</f>
        <v>8.8872</v>
      </c>
      <c r="N553" s="33">
        <f>8.8835 * CHOOSE(CONTROL!$C$32, $C$9, 100%, $E$9)</f>
        <v>8.8834999999999997</v>
      </c>
      <c r="O553" s="33">
        <f>8.8872 * CHOOSE(CONTROL!$C$32, $C$9, 100%, $E$9)</f>
        <v>8.8872</v>
      </c>
    </row>
    <row r="554" spans="1:15" ht="15" x14ac:dyDescent="0.2">
      <c r="A554" s="16">
        <v>58076</v>
      </c>
      <c r="B554" s="32">
        <f>8.0743 * CHOOSE(CONTROL!$C$32, $C$9, 100%, $E$9)</f>
        <v>8.0742999999999991</v>
      </c>
      <c r="C554" s="32">
        <f>8.0743 * CHOOSE(CONTROL!$C$32, $C$9, 100%, $E$9)</f>
        <v>8.0742999999999991</v>
      </c>
      <c r="D554" s="32">
        <f>8.0754 * CHOOSE(CONTROL!$C$32, $C$9, 100%, $E$9)</f>
        <v>8.0754000000000001</v>
      </c>
      <c r="E554" s="33">
        <f>9.0387 * CHOOSE(CONTROL!$C$32, $C$9, 100%, $E$9)</f>
        <v>9.0387000000000004</v>
      </c>
      <c r="F554" s="33">
        <f>9.0387 * CHOOSE(CONTROL!$C$32, $C$9, 100%, $E$9)</f>
        <v>9.0387000000000004</v>
      </c>
      <c r="G554" s="33">
        <f>9.0423 * CHOOSE(CONTROL!$C$32, $C$9, 100%, $E$9)</f>
        <v>9.0422999999999991</v>
      </c>
      <c r="H554" s="33">
        <f>17.897 * CHOOSE(CONTROL!$C$32, $C$9, 100%, $E$9)</f>
        <v>17.896999999999998</v>
      </c>
      <c r="I554" s="33">
        <f>17.9006 * CHOOSE(CONTROL!$C$32, $C$9, 100%, $E$9)</f>
        <v>17.900600000000001</v>
      </c>
      <c r="J554" s="33">
        <f>17.897 * CHOOSE(CONTROL!$C$32, $C$9, 100%, $E$9)</f>
        <v>17.896999999999998</v>
      </c>
      <c r="K554" s="33">
        <f>17.9006 * CHOOSE(CONTROL!$C$32, $C$9, 100%, $E$9)</f>
        <v>17.900600000000001</v>
      </c>
      <c r="L554" s="33">
        <f>9.0387 * CHOOSE(CONTROL!$C$32, $C$9, 100%, $E$9)</f>
        <v>9.0387000000000004</v>
      </c>
      <c r="M554" s="33">
        <f>9.0423 * CHOOSE(CONTROL!$C$32, $C$9, 100%, $E$9)</f>
        <v>9.0422999999999991</v>
      </c>
      <c r="N554" s="33">
        <f>9.0387 * CHOOSE(CONTROL!$C$32, $C$9, 100%, $E$9)</f>
        <v>9.0387000000000004</v>
      </c>
      <c r="O554" s="33">
        <f>9.0423 * CHOOSE(CONTROL!$C$32, $C$9, 100%, $E$9)</f>
        <v>9.0422999999999991</v>
      </c>
    </row>
    <row r="555" spans="1:15" ht="15" x14ac:dyDescent="0.2">
      <c r="A555" s="16">
        <v>58107</v>
      </c>
      <c r="B555" s="32">
        <f>8.0713 * CHOOSE(CONTROL!$C$32, $C$9, 100%, $E$9)</f>
        <v>8.0713000000000008</v>
      </c>
      <c r="C555" s="32">
        <f>8.0713 * CHOOSE(CONTROL!$C$32, $C$9, 100%, $E$9)</f>
        <v>8.0713000000000008</v>
      </c>
      <c r="D555" s="32">
        <f>8.0723 * CHOOSE(CONTROL!$C$32, $C$9, 100%, $E$9)</f>
        <v>8.0723000000000003</v>
      </c>
      <c r="E555" s="33">
        <f>8.8254 * CHOOSE(CONTROL!$C$32, $C$9, 100%, $E$9)</f>
        <v>8.8254000000000001</v>
      </c>
      <c r="F555" s="33">
        <f>8.8254 * CHOOSE(CONTROL!$C$32, $C$9, 100%, $E$9)</f>
        <v>8.8254000000000001</v>
      </c>
      <c r="G555" s="33">
        <f>8.829 * CHOOSE(CONTROL!$C$32, $C$9, 100%, $E$9)</f>
        <v>8.8290000000000006</v>
      </c>
      <c r="H555" s="33">
        <f>17.9342 * CHOOSE(CONTROL!$C$32, $C$9, 100%, $E$9)</f>
        <v>17.934200000000001</v>
      </c>
      <c r="I555" s="33">
        <f>17.9379 * CHOOSE(CONTROL!$C$32, $C$9, 100%, $E$9)</f>
        <v>17.937899999999999</v>
      </c>
      <c r="J555" s="33">
        <f>17.9342 * CHOOSE(CONTROL!$C$32, $C$9, 100%, $E$9)</f>
        <v>17.934200000000001</v>
      </c>
      <c r="K555" s="33">
        <f>17.9379 * CHOOSE(CONTROL!$C$32, $C$9, 100%, $E$9)</f>
        <v>17.937899999999999</v>
      </c>
      <c r="L555" s="33">
        <f>8.8254 * CHOOSE(CONTROL!$C$32, $C$9, 100%, $E$9)</f>
        <v>8.8254000000000001</v>
      </c>
      <c r="M555" s="33">
        <f>8.829 * CHOOSE(CONTROL!$C$32, $C$9, 100%, $E$9)</f>
        <v>8.8290000000000006</v>
      </c>
      <c r="N555" s="33">
        <f>8.8254 * CHOOSE(CONTROL!$C$32, $C$9, 100%, $E$9)</f>
        <v>8.8254000000000001</v>
      </c>
      <c r="O555" s="33">
        <f>8.829 * CHOOSE(CONTROL!$C$32, $C$9, 100%, $E$9)</f>
        <v>8.8290000000000006</v>
      </c>
    </row>
    <row r="556" spans="1:15" ht="15" x14ac:dyDescent="0.2">
      <c r="A556" s="16">
        <v>58135</v>
      </c>
      <c r="B556" s="32">
        <f>8.0682 * CHOOSE(CONTROL!$C$32, $C$9, 100%, $E$9)</f>
        <v>8.0681999999999992</v>
      </c>
      <c r="C556" s="32">
        <f>8.0682 * CHOOSE(CONTROL!$C$32, $C$9, 100%, $E$9)</f>
        <v>8.0681999999999992</v>
      </c>
      <c r="D556" s="32">
        <f>8.0693 * CHOOSE(CONTROL!$C$32, $C$9, 100%, $E$9)</f>
        <v>8.0693000000000001</v>
      </c>
      <c r="E556" s="33">
        <f>8.9897 * CHOOSE(CONTROL!$C$32, $C$9, 100%, $E$9)</f>
        <v>8.9896999999999991</v>
      </c>
      <c r="F556" s="33">
        <f>8.9897 * CHOOSE(CONTROL!$C$32, $C$9, 100%, $E$9)</f>
        <v>8.9896999999999991</v>
      </c>
      <c r="G556" s="33">
        <f>8.9934 * CHOOSE(CONTROL!$C$32, $C$9, 100%, $E$9)</f>
        <v>8.9933999999999994</v>
      </c>
      <c r="H556" s="33">
        <f>17.9716 * CHOOSE(CONTROL!$C$32, $C$9, 100%, $E$9)</f>
        <v>17.971599999999999</v>
      </c>
      <c r="I556" s="33">
        <f>17.9752 * CHOOSE(CONTROL!$C$32, $C$9, 100%, $E$9)</f>
        <v>17.975200000000001</v>
      </c>
      <c r="J556" s="33">
        <f>17.9716 * CHOOSE(CONTROL!$C$32, $C$9, 100%, $E$9)</f>
        <v>17.971599999999999</v>
      </c>
      <c r="K556" s="33">
        <f>17.9752 * CHOOSE(CONTROL!$C$32, $C$9, 100%, $E$9)</f>
        <v>17.975200000000001</v>
      </c>
      <c r="L556" s="33">
        <f>8.9897 * CHOOSE(CONTROL!$C$32, $C$9, 100%, $E$9)</f>
        <v>8.9896999999999991</v>
      </c>
      <c r="M556" s="33">
        <f>8.9934 * CHOOSE(CONTROL!$C$32, $C$9, 100%, $E$9)</f>
        <v>8.9933999999999994</v>
      </c>
      <c r="N556" s="33">
        <f>8.9897 * CHOOSE(CONTROL!$C$32, $C$9, 100%, $E$9)</f>
        <v>8.9896999999999991</v>
      </c>
      <c r="O556" s="33">
        <f>8.9934 * CHOOSE(CONTROL!$C$32, $C$9, 100%, $E$9)</f>
        <v>8.9933999999999994</v>
      </c>
    </row>
    <row r="557" spans="1:15" ht="15" x14ac:dyDescent="0.2">
      <c r="A557" s="16">
        <v>58166</v>
      </c>
      <c r="B557" s="32">
        <f>8.0698 * CHOOSE(CONTROL!$C$32, $C$9, 100%, $E$9)</f>
        <v>8.0698000000000008</v>
      </c>
      <c r="C557" s="32">
        <f>8.0698 * CHOOSE(CONTROL!$C$32, $C$9, 100%, $E$9)</f>
        <v>8.0698000000000008</v>
      </c>
      <c r="D557" s="32">
        <f>8.0709 * CHOOSE(CONTROL!$C$32, $C$9, 100%, $E$9)</f>
        <v>8.0709</v>
      </c>
      <c r="E557" s="33">
        <f>9.1643 * CHOOSE(CONTROL!$C$32, $C$9, 100%, $E$9)</f>
        <v>9.1643000000000008</v>
      </c>
      <c r="F557" s="33">
        <f>9.1643 * CHOOSE(CONTROL!$C$32, $C$9, 100%, $E$9)</f>
        <v>9.1643000000000008</v>
      </c>
      <c r="G557" s="33">
        <f>9.1679 * CHOOSE(CONTROL!$C$32, $C$9, 100%, $E$9)</f>
        <v>9.1678999999999995</v>
      </c>
      <c r="H557" s="33">
        <f>18.009 * CHOOSE(CONTROL!$C$32, $C$9, 100%, $E$9)</f>
        <v>18.009</v>
      </c>
      <c r="I557" s="33">
        <f>18.0127 * CHOOSE(CONTROL!$C$32, $C$9, 100%, $E$9)</f>
        <v>18.012699999999999</v>
      </c>
      <c r="J557" s="33">
        <f>18.009 * CHOOSE(CONTROL!$C$32, $C$9, 100%, $E$9)</f>
        <v>18.009</v>
      </c>
      <c r="K557" s="33">
        <f>18.0127 * CHOOSE(CONTROL!$C$32, $C$9, 100%, $E$9)</f>
        <v>18.012699999999999</v>
      </c>
      <c r="L557" s="33">
        <f>9.1643 * CHOOSE(CONTROL!$C$32, $C$9, 100%, $E$9)</f>
        <v>9.1643000000000008</v>
      </c>
      <c r="M557" s="33">
        <f>9.1679 * CHOOSE(CONTROL!$C$32, $C$9, 100%, $E$9)</f>
        <v>9.1678999999999995</v>
      </c>
      <c r="N557" s="33">
        <f>9.1643 * CHOOSE(CONTROL!$C$32, $C$9, 100%, $E$9)</f>
        <v>9.1643000000000008</v>
      </c>
      <c r="O557" s="33">
        <f>9.1679 * CHOOSE(CONTROL!$C$32, $C$9, 100%, $E$9)</f>
        <v>9.1678999999999995</v>
      </c>
    </row>
    <row r="558" spans="1:15" ht="15" x14ac:dyDescent="0.2">
      <c r="A558" s="16">
        <v>58196</v>
      </c>
      <c r="B558" s="32">
        <f>8.0698 * CHOOSE(CONTROL!$C$32, $C$9, 100%, $E$9)</f>
        <v>8.0698000000000008</v>
      </c>
      <c r="C558" s="32">
        <f>8.0698 * CHOOSE(CONTROL!$C$32, $C$9, 100%, $E$9)</f>
        <v>8.0698000000000008</v>
      </c>
      <c r="D558" s="32">
        <f>8.0714 * CHOOSE(CONTROL!$C$32, $C$9, 100%, $E$9)</f>
        <v>8.0714000000000006</v>
      </c>
      <c r="E558" s="33">
        <f>9.2313 * CHOOSE(CONTROL!$C$32, $C$9, 100%, $E$9)</f>
        <v>9.2312999999999992</v>
      </c>
      <c r="F558" s="33">
        <f>9.2313 * CHOOSE(CONTROL!$C$32, $C$9, 100%, $E$9)</f>
        <v>9.2312999999999992</v>
      </c>
      <c r="G558" s="33">
        <f>9.2366 * CHOOSE(CONTROL!$C$32, $C$9, 100%, $E$9)</f>
        <v>9.2365999999999993</v>
      </c>
      <c r="H558" s="33">
        <f>18.0466 * CHOOSE(CONTROL!$C$32, $C$9, 100%, $E$9)</f>
        <v>18.046600000000002</v>
      </c>
      <c r="I558" s="33">
        <f>18.0519 * CHOOSE(CONTROL!$C$32, $C$9, 100%, $E$9)</f>
        <v>18.0519</v>
      </c>
      <c r="J558" s="33">
        <f>18.0466 * CHOOSE(CONTROL!$C$32, $C$9, 100%, $E$9)</f>
        <v>18.046600000000002</v>
      </c>
      <c r="K558" s="33">
        <f>18.0519 * CHOOSE(CONTROL!$C$32, $C$9, 100%, $E$9)</f>
        <v>18.0519</v>
      </c>
      <c r="L558" s="33">
        <f>9.2313 * CHOOSE(CONTROL!$C$32, $C$9, 100%, $E$9)</f>
        <v>9.2312999999999992</v>
      </c>
      <c r="M558" s="33">
        <f>9.2366 * CHOOSE(CONTROL!$C$32, $C$9, 100%, $E$9)</f>
        <v>9.2365999999999993</v>
      </c>
      <c r="N558" s="33">
        <f>9.2313 * CHOOSE(CONTROL!$C$32, $C$9, 100%, $E$9)</f>
        <v>9.2312999999999992</v>
      </c>
      <c r="O558" s="33">
        <f>9.2366 * CHOOSE(CONTROL!$C$32, $C$9, 100%, $E$9)</f>
        <v>9.2365999999999993</v>
      </c>
    </row>
    <row r="559" spans="1:15" ht="15" x14ac:dyDescent="0.2">
      <c r="A559" s="16">
        <v>58227</v>
      </c>
      <c r="B559" s="32">
        <f>8.0759 * CHOOSE(CONTROL!$C$32, $C$9, 100%, $E$9)</f>
        <v>8.0759000000000007</v>
      </c>
      <c r="C559" s="32">
        <f>8.0759 * CHOOSE(CONTROL!$C$32, $C$9, 100%, $E$9)</f>
        <v>8.0759000000000007</v>
      </c>
      <c r="D559" s="32">
        <f>8.0775 * CHOOSE(CONTROL!$C$32, $C$9, 100%, $E$9)</f>
        <v>8.0775000000000006</v>
      </c>
      <c r="E559" s="33">
        <f>9.1685 * CHOOSE(CONTROL!$C$32, $C$9, 100%, $E$9)</f>
        <v>9.1684999999999999</v>
      </c>
      <c r="F559" s="33">
        <f>9.1685 * CHOOSE(CONTROL!$C$32, $C$9, 100%, $E$9)</f>
        <v>9.1684999999999999</v>
      </c>
      <c r="G559" s="33">
        <f>9.1738 * CHOOSE(CONTROL!$C$32, $C$9, 100%, $E$9)</f>
        <v>9.1738</v>
      </c>
      <c r="H559" s="33">
        <f>18.0842 * CHOOSE(CONTROL!$C$32, $C$9, 100%, $E$9)</f>
        <v>18.084199999999999</v>
      </c>
      <c r="I559" s="33">
        <f>18.0895 * CHOOSE(CONTROL!$C$32, $C$9, 100%, $E$9)</f>
        <v>18.089500000000001</v>
      </c>
      <c r="J559" s="33">
        <f>18.0842 * CHOOSE(CONTROL!$C$32, $C$9, 100%, $E$9)</f>
        <v>18.084199999999999</v>
      </c>
      <c r="K559" s="33">
        <f>18.0895 * CHOOSE(CONTROL!$C$32, $C$9, 100%, $E$9)</f>
        <v>18.089500000000001</v>
      </c>
      <c r="L559" s="33">
        <f>9.1685 * CHOOSE(CONTROL!$C$32, $C$9, 100%, $E$9)</f>
        <v>9.1684999999999999</v>
      </c>
      <c r="M559" s="33">
        <f>9.1738 * CHOOSE(CONTROL!$C$32, $C$9, 100%, $E$9)</f>
        <v>9.1738</v>
      </c>
      <c r="N559" s="33">
        <f>9.1685 * CHOOSE(CONTROL!$C$32, $C$9, 100%, $E$9)</f>
        <v>9.1684999999999999</v>
      </c>
      <c r="O559" s="33">
        <f>9.1738 * CHOOSE(CONTROL!$C$32, $C$9, 100%, $E$9)</f>
        <v>9.1738</v>
      </c>
    </row>
    <row r="560" spans="1:15" ht="15" x14ac:dyDescent="0.2">
      <c r="A560" s="16">
        <v>58257</v>
      </c>
      <c r="B560" s="32">
        <f>8.1792 * CHOOSE(CONTROL!$C$32, $C$9, 100%, $E$9)</f>
        <v>8.1791999999999998</v>
      </c>
      <c r="C560" s="32">
        <f>8.1792 * CHOOSE(CONTROL!$C$32, $C$9, 100%, $E$9)</f>
        <v>8.1791999999999998</v>
      </c>
      <c r="D560" s="32">
        <f>8.1807 * CHOOSE(CONTROL!$C$32, $C$9, 100%, $E$9)</f>
        <v>8.1806999999999999</v>
      </c>
      <c r="E560" s="33">
        <f>9.2956 * CHOOSE(CONTROL!$C$32, $C$9, 100%, $E$9)</f>
        <v>9.2956000000000003</v>
      </c>
      <c r="F560" s="33">
        <f>9.2956 * CHOOSE(CONTROL!$C$32, $C$9, 100%, $E$9)</f>
        <v>9.2956000000000003</v>
      </c>
      <c r="G560" s="33">
        <f>9.3009 * CHOOSE(CONTROL!$C$32, $C$9, 100%, $E$9)</f>
        <v>9.3009000000000004</v>
      </c>
      <c r="H560" s="33">
        <f>18.1218 * CHOOSE(CONTROL!$C$32, $C$9, 100%, $E$9)</f>
        <v>18.1218</v>
      </c>
      <c r="I560" s="33">
        <f>18.1271 * CHOOSE(CONTROL!$C$32, $C$9, 100%, $E$9)</f>
        <v>18.127099999999999</v>
      </c>
      <c r="J560" s="33">
        <f>18.1218 * CHOOSE(CONTROL!$C$32, $C$9, 100%, $E$9)</f>
        <v>18.1218</v>
      </c>
      <c r="K560" s="33">
        <f>18.1271 * CHOOSE(CONTROL!$C$32, $C$9, 100%, $E$9)</f>
        <v>18.127099999999999</v>
      </c>
      <c r="L560" s="33">
        <f>9.2956 * CHOOSE(CONTROL!$C$32, $C$9, 100%, $E$9)</f>
        <v>9.2956000000000003</v>
      </c>
      <c r="M560" s="33">
        <f>9.3009 * CHOOSE(CONTROL!$C$32, $C$9, 100%, $E$9)</f>
        <v>9.3009000000000004</v>
      </c>
      <c r="N560" s="33">
        <f>9.2956 * CHOOSE(CONTROL!$C$32, $C$9, 100%, $E$9)</f>
        <v>9.2956000000000003</v>
      </c>
      <c r="O560" s="33">
        <f>9.3009 * CHOOSE(CONTROL!$C$32, $C$9, 100%, $E$9)</f>
        <v>9.3009000000000004</v>
      </c>
    </row>
    <row r="561" spans="1:15" ht="15" x14ac:dyDescent="0.2">
      <c r="A561" s="16">
        <v>58288</v>
      </c>
      <c r="B561" s="32">
        <f>8.1858 * CHOOSE(CONTROL!$C$32, $C$9, 100%, $E$9)</f>
        <v>8.1858000000000004</v>
      </c>
      <c r="C561" s="32">
        <f>8.1858 * CHOOSE(CONTROL!$C$32, $C$9, 100%, $E$9)</f>
        <v>8.1858000000000004</v>
      </c>
      <c r="D561" s="32">
        <f>8.1874 * CHOOSE(CONTROL!$C$32, $C$9, 100%, $E$9)</f>
        <v>8.1874000000000002</v>
      </c>
      <c r="E561" s="33">
        <f>9.0991 * CHOOSE(CONTROL!$C$32, $C$9, 100%, $E$9)</f>
        <v>9.0991</v>
      </c>
      <c r="F561" s="33">
        <f>9.0991 * CHOOSE(CONTROL!$C$32, $C$9, 100%, $E$9)</f>
        <v>9.0991</v>
      </c>
      <c r="G561" s="33">
        <f>9.1044 * CHOOSE(CONTROL!$C$32, $C$9, 100%, $E$9)</f>
        <v>9.1044</v>
      </c>
      <c r="H561" s="33">
        <f>18.1596 * CHOOSE(CONTROL!$C$32, $C$9, 100%, $E$9)</f>
        <v>18.159600000000001</v>
      </c>
      <c r="I561" s="33">
        <f>18.1649 * CHOOSE(CONTROL!$C$32, $C$9, 100%, $E$9)</f>
        <v>18.164899999999999</v>
      </c>
      <c r="J561" s="33">
        <f>18.1596 * CHOOSE(CONTROL!$C$32, $C$9, 100%, $E$9)</f>
        <v>18.159600000000001</v>
      </c>
      <c r="K561" s="33">
        <f>18.1649 * CHOOSE(CONTROL!$C$32, $C$9, 100%, $E$9)</f>
        <v>18.164899999999999</v>
      </c>
      <c r="L561" s="33">
        <f>9.0991 * CHOOSE(CONTROL!$C$32, $C$9, 100%, $E$9)</f>
        <v>9.0991</v>
      </c>
      <c r="M561" s="33">
        <f>9.1044 * CHOOSE(CONTROL!$C$32, $C$9, 100%, $E$9)</f>
        <v>9.1044</v>
      </c>
      <c r="N561" s="33">
        <f>9.0991 * CHOOSE(CONTROL!$C$32, $C$9, 100%, $E$9)</f>
        <v>9.0991</v>
      </c>
      <c r="O561" s="33">
        <f>9.1044 * CHOOSE(CONTROL!$C$32, $C$9, 100%, $E$9)</f>
        <v>9.1044</v>
      </c>
    </row>
    <row r="562" spans="1:15" ht="15" x14ac:dyDescent="0.2">
      <c r="A562" s="16">
        <v>58319</v>
      </c>
      <c r="B562" s="32">
        <f>8.1828 * CHOOSE(CONTROL!$C$32, $C$9, 100%, $E$9)</f>
        <v>8.1828000000000003</v>
      </c>
      <c r="C562" s="32">
        <f>8.1828 * CHOOSE(CONTROL!$C$32, $C$9, 100%, $E$9)</f>
        <v>8.1828000000000003</v>
      </c>
      <c r="D562" s="32">
        <f>8.1844 * CHOOSE(CONTROL!$C$32, $C$9, 100%, $E$9)</f>
        <v>8.1844000000000001</v>
      </c>
      <c r="E562" s="33">
        <f>9.0746 * CHOOSE(CONTROL!$C$32, $C$9, 100%, $E$9)</f>
        <v>9.0746000000000002</v>
      </c>
      <c r="F562" s="33">
        <f>9.0746 * CHOOSE(CONTROL!$C$32, $C$9, 100%, $E$9)</f>
        <v>9.0746000000000002</v>
      </c>
      <c r="G562" s="33">
        <f>9.0799 * CHOOSE(CONTROL!$C$32, $C$9, 100%, $E$9)</f>
        <v>9.0799000000000003</v>
      </c>
      <c r="H562" s="33">
        <f>18.1974 * CHOOSE(CONTROL!$C$32, $C$9, 100%, $E$9)</f>
        <v>18.197399999999998</v>
      </c>
      <c r="I562" s="33">
        <f>18.2027 * CHOOSE(CONTROL!$C$32, $C$9, 100%, $E$9)</f>
        <v>18.2027</v>
      </c>
      <c r="J562" s="33">
        <f>18.1974 * CHOOSE(CONTROL!$C$32, $C$9, 100%, $E$9)</f>
        <v>18.197399999999998</v>
      </c>
      <c r="K562" s="33">
        <f>18.2027 * CHOOSE(CONTROL!$C$32, $C$9, 100%, $E$9)</f>
        <v>18.2027</v>
      </c>
      <c r="L562" s="33">
        <f>9.0746 * CHOOSE(CONTROL!$C$32, $C$9, 100%, $E$9)</f>
        <v>9.0746000000000002</v>
      </c>
      <c r="M562" s="33">
        <f>9.0799 * CHOOSE(CONTROL!$C$32, $C$9, 100%, $E$9)</f>
        <v>9.0799000000000003</v>
      </c>
      <c r="N562" s="33">
        <f>9.0746 * CHOOSE(CONTROL!$C$32, $C$9, 100%, $E$9)</f>
        <v>9.0746000000000002</v>
      </c>
      <c r="O562" s="33">
        <f>9.0799 * CHOOSE(CONTROL!$C$32, $C$9, 100%, $E$9)</f>
        <v>9.0799000000000003</v>
      </c>
    </row>
    <row r="563" spans="1:15" ht="15" x14ac:dyDescent="0.2">
      <c r="A563" s="16">
        <v>58349</v>
      </c>
      <c r="B563" s="32">
        <f>8.1934 * CHOOSE(CONTROL!$C$32, $C$9, 100%, $E$9)</f>
        <v>8.1934000000000005</v>
      </c>
      <c r="C563" s="32">
        <f>8.1934 * CHOOSE(CONTROL!$C$32, $C$9, 100%, $E$9)</f>
        <v>8.1934000000000005</v>
      </c>
      <c r="D563" s="32">
        <f>8.1945 * CHOOSE(CONTROL!$C$32, $C$9, 100%, $E$9)</f>
        <v>8.1944999999999997</v>
      </c>
      <c r="E563" s="33">
        <f>9.1506 * CHOOSE(CONTROL!$C$32, $C$9, 100%, $E$9)</f>
        <v>9.1506000000000007</v>
      </c>
      <c r="F563" s="33">
        <f>9.1506 * CHOOSE(CONTROL!$C$32, $C$9, 100%, $E$9)</f>
        <v>9.1506000000000007</v>
      </c>
      <c r="G563" s="33">
        <f>9.1542 * CHOOSE(CONTROL!$C$32, $C$9, 100%, $E$9)</f>
        <v>9.1541999999999994</v>
      </c>
      <c r="H563" s="33">
        <f>18.2353 * CHOOSE(CONTROL!$C$32, $C$9, 100%, $E$9)</f>
        <v>18.235299999999999</v>
      </c>
      <c r="I563" s="33">
        <f>18.2389 * CHOOSE(CONTROL!$C$32, $C$9, 100%, $E$9)</f>
        <v>18.238900000000001</v>
      </c>
      <c r="J563" s="33">
        <f>18.2353 * CHOOSE(CONTROL!$C$32, $C$9, 100%, $E$9)</f>
        <v>18.235299999999999</v>
      </c>
      <c r="K563" s="33">
        <f>18.2389 * CHOOSE(CONTROL!$C$32, $C$9, 100%, $E$9)</f>
        <v>18.238900000000001</v>
      </c>
      <c r="L563" s="33">
        <f>9.1506 * CHOOSE(CONTROL!$C$32, $C$9, 100%, $E$9)</f>
        <v>9.1506000000000007</v>
      </c>
      <c r="M563" s="33">
        <f>9.1542 * CHOOSE(CONTROL!$C$32, $C$9, 100%, $E$9)</f>
        <v>9.1541999999999994</v>
      </c>
      <c r="N563" s="33">
        <f>9.1506 * CHOOSE(CONTROL!$C$32, $C$9, 100%, $E$9)</f>
        <v>9.1506000000000007</v>
      </c>
      <c r="O563" s="33">
        <f>9.1542 * CHOOSE(CONTROL!$C$32, $C$9, 100%, $E$9)</f>
        <v>9.1541999999999994</v>
      </c>
    </row>
    <row r="564" spans="1:15" ht="15" x14ac:dyDescent="0.2">
      <c r="A564" s="16">
        <v>58380</v>
      </c>
      <c r="B564" s="32">
        <f>8.1965 * CHOOSE(CONTROL!$C$32, $C$9, 100%, $E$9)</f>
        <v>8.1965000000000003</v>
      </c>
      <c r="C564" s="32">
        <f>8.1965 * CHOOSE(CONTROL!$C$32, $C$9, 100%, $E$9)</f>
        <v>8.1965000000000003</v>
      </c>
      <c r="D564" s="32">
        <f>8.1976 * CHOOSE(CONTROL!$C$32, $C$9, 100%, $E$9)</f>
        <v>8.1975999999999996</v>
      </c>
      <c r="E564" s="33">
        <f>9.1974 * CHOOSE(CONTROL!$C$32, $C$9, 100%, $E$9)</f>
        <v>9.1974</v>
      </c>
      <c r="F564" s="33">
        <f>9.1974 * CHOOSE(CONTROL!$C$32, $C$9, 100%, $E$9)</f>
        <v>9.1974</v>
      </c>
      <c r="G564" s="33">
        <f>9.2011 * CHOOSE(CONTROL!$C$32, $C$9, 100%, $E$9)</f>
        <v>9.2011000000000003</v>
      </c>
      <c r="H564" s="33">
        <f>18.2733 * CHOOSE(CONTROL!$C$32, $C$9, 100%, $E$9)</f>
        <v>18.273299999999999</v>
      </c>
      <c r="I564" s="33">
        <f>18.2769 * CHOOSE(CONTROL!$C$32, $C$9, 100%, $E$9)</f>
        <v>18.276900000000001</v>
      </c>
      <c r="J564" s="33">
        <f>18.2733 * CHOOSE(CONTROL!$C$32, $C$9, 100%, $E$9)</f>
        <v>18.273299999999999</v>
      </c>
      <c r="K564" s="33">
        <f>18.2769 * CHOOSE(CONTROL!$C$32, $C$9, 100%, $E$9)</f>
        <v>18.276900000000001</v>
      </c>
      <c r="L564" s="33">
        <f>9.1974 * CHOOSE(CONTROL!$C$32, $C$9, 100%, $E$9)</f>
        <v>9.1974</v>
      </c>
      <c r="M564" s="33">
        <f>9.2011 * CHOOSE(CONTROL!$C$32, $C$9, 100%, $E$9)</f>
        <v>9.2011000000000003</v>
      </c>
      <c r="N564" s="33">
        <f>9.1974 * CHOOSE(CONTROL!$C$32, $C$9, 100%, $E$9)</f>
        <v>9.1974</v>
      </c>
      <c r="O564" s="33">
        <f>9.2011 * CHOOSE(CONTROL!$C$32, $C$9, 100%, $E$9)</f>
        <v>9.2011000000000003</v>
      </c>
    </row>
    <row r="565" spans="1:15" ht="15" x14ac:dyDescent="0.2">
      <c r="A565" s="16">
        <v>58410</v>
      </c>
      <c r="B565" s="32">
        <f>8.1965 * CHOOSE(CONTROL!$C$32, $C$9, 100%, $E$9)</f>
        <v>8.1965000000000003</v>
      </c>
      <c r="C565" s="32">
        <f>8.1965 * CHOOSE(CONTROL!$C$32, $C$9, 100%, $E$9)</f>
        <v>8.1965000000000003</v>
      </c>
      <c r="D565" s="32">
        <f>8.1976 * CHOOSE(CONTROL!$C$32, $C$9, 100%, $E$9)</f>
        <v>8.1975999999999996</v>
      </c>
      <c r="E565" s="33">
        <f>9.0857 * CHOOSE(CONTROL!$C$32, $C$9, 100%, $E$9)</f>
        <v>9.0856999999999992</v>
      </c>
      <c r="F565" s="33">
        <f>9.0857 * CHOOSE(CONTROL!$C$32, $C$9, 100%, $E$9)</f>
        <v>9.0856999999999992</v>
      </c>
      <c r="G565" s="33">
        <f>9.0893 * CHOOSE(CONTROL!$C$32, $C$9, 100%, $E$9)</f>
        <v>9.0892999999999997</v>
      </c>
      <c r="H565" s="33">
        <f>18.3114 * CHOOSE(CONTROL!$C$32, $C$9, 100%, $E$9)</f>
        <v>18.311399999999999</v>
      </c>
      <c r="I565" s="33">
        <f>18.315 * CHOOSE(CONTROL!$C$32, $C$9, 100%, $E$9)</f>
        <v>18.315000000000001</v>
      </c>
      <c r="J565" s="33">
        <f>18.3114 * CHOOSE(CONTROL!$C$32, $C$9, 100%, $E$9)</f>
        <v>18.311399999999999</v>
      </c>
      <c r="K565" s="33">
        <f>18.315 * CHOOSE(CONTROL!$C$32, $C$9, 100%, $E$9)</f>
        <v>18.315000000000001</v>
      </c>
      <c r="L565" s="33">
        <f>9.0857 * CHOOSE(CONTROL!$C$32, $C$9, 100%, $E$9)</f>
        <v>9.0856999999999992</v>
      </c>
      <c r="M565" s="33">
        <f>9.0893 * CHOOSE(CONTROL!$C$32, $C$9, 100%, $E$9)</f>
        <v>9.0892999999999997</v>
      </c>
      <c r="N565" s="33">
        <f>9.0857 * CHOOSE(CONTROL!$C$32, $C$9, 100%, $E$9)</f>
        <v>9.0856999999999992</v>
      </c>
      <c r="O565" s="33">
        <f>9.0893 * CHOOSE(CONTROL!$C$32, $C$9, 100%, $E$9)</f>
        <v>9.0892999999999997</v>
      </c>
    </row>
    <row r="566" spans="1:15" ht="15" x14ac:dyDescent="0.2">
      <c r="A566" s="16">
        <v>58441</v>
      </c>
      <c r="B566" s="32">
        <f>8.2575 * CHOOSE(CONTROL!$C$32, $C$9, 100%, $E$9)</f>
        <v>8.2575000000000003</v>
      </c>
      <c r="C566" s="32">
        <f>8.2575 * CHOOSE(CONTROL!$C$32, $C$9, 100%, $E$9)</f>
        <v>8.2575000000000003</v>
      </c>
      <c r="D566" s="32">
        <f>8.2586 * CHOOSE(CONTROL!$C$32, $C$9, 100%, $E$9)</f>
        <v>8.2585999999999995</v>
      </c>
      <c r="E566" s="33">
        <f>9.2455 * CHOOSE(CONTROL!$C$32, $C$9, 100%, $E$9)</f>
        <v>9.2454999999999998</v>
      </c>
      <c r="F566" s="33">
        <f>9.2455 * CHOOSE(CONTROL!$C$32, $C$9, 100%, $E$9)</f>
        <v>9.2454999999999998</v>
      </c>
      <c r="G566" s="33">
        <f>9.2491 * CHOOSE(CONTROL!$C$32, $C$9, 100%, $E$9)</f>
        <v>9.2491000000000003</v>
      </c>
      <c r="H566" s="33">
        <f>18.3495 * CHOOSE(CONTROL!$C$32, $C$9, 100%, $E$9)</f>
        <v>18.349499999999999</v>
      </c>
      <c r="I566" s="33">
        <f>18.3532 * CHOOSE(CONTROL!$C$32, $C$9, 100%, $E$9)</f>
        <v>18.353200000000001</v>
      </c>
      <c r="J566" s="33">
        <f>18.3495 * CHOOSE(CONTROL!$C$32, $C$9, 100%, $E$9)</f>
        <v>18.349499999999999</v>
      </c>
      <c r="K566" s="33">
        <f>18.3532 * CHOOSE(CONTROL!$C$32, $C$9, 100%, $E$9)</f>
        <v>18.353200000000001</v>
      </c>
      <c r="L566" s="33">
        <f>9.2455 * CHOOSE(CONTROL!$C$32, $C$9, 100%, $E$9)</f>
        <v>9.2454999999999998</v>
      </c>
      <c r="M566" s="33">
        <f>9.2491 * CHOOSE(CONTROL!$C$32, $C$9, 100%, $E$9)</f>
        <v>9.2491000000000003</v>
      </c>
      <c r="N566" s="33">
        <f>9.2455 * CHOOSE(CONTROL!$C$32, $C$9, 100%, $E$9)</f>
        <v>9.2454999999999998</v>
      </c>
      <c r="O566" s="33">
        <f>9.2491 * CHOOSE(CONTROL!$C$32, $C$9, 100%, $E$9)</f>
        <v>9.2491000000000003</v>
      </c>
    </row>
    <row r="567" spans="1:15" ht="15" x14ac:dyDescent="0.2">
      <c r="A567" s="16">
        <v>58472</v>
      </c>
      <c r="B567" s="32">
        <f>8.2544 * CHOOSE(CONTROL!$C$32, $C$9, 100%, $E$9)</f>
        <v>8.2544000000000004</v>
      </c>
      <c r="C567" s="32">
        <f>8.2544 * CHOOSE(CONTROL!$C$32, $C$9, 100%, $E$9)</f>
        <v>8.2544000000000004</v>
      </c>
      <c r="D567" s="32">
        <f>8.2555 * CHOOSE(CONTROL!$C$32, $C$9, 100%, $E$9)</f>
        <v>8.2554999999999996</v>
      </c>
      <c r="E567" s="33">
        <f>9.0253 * CHOOSE(CONTROL!$C$32, $C$9, 100%, $E$9)</f>
        <v>9.0252999999999997</v>
      </c>
      <c r="F567" s="33">
        <f>9.0253 * CHOOSE(CONTROL!$C$32, $C$9, 100%, $E$9)</f>
        <v>9.0252999999999997</v>
      </c>
      <c r="G567" s="33">
        <f>9.0289 * CHOOSE(CONTROL!$C$32, $C$9, 100%, $E$9)</f>
        <v>9.0289000000000001</v>
      </c>
      <c r="H567" s="33">
        <f>18.3878 * CHOOSE(CONTROL!$C$32, $C$9, 100%, $E$9)</f>
        <v>18.387799999999999</v>
      </c>
      <c r="I567" s="33">
        <f>18.3914 * CHOOSE(CONTROL!$C$32, $C$9, 100%, $E$9)</f>
        <v>18.391400000000001</v>
      </c>
      <c r="J567" s="33">
        <f>18.3878 * CHOOSE(CONTROL!$C$32, $C$9, 100%, $E$9)</f>
        <v>18.387799999999999</v>
      </c>
      <c r="K567" s="33">
        <f>18.3914 * CHOOSE(CONTROL!$C$32, $C$9, 100%, $E$9)</f>
        <v>18.391400000000001</v>
      </c>
      <c r="L567" s="33">
        <f>9.0253 * CHOOSE(CONTROL!$C$32, $C$9, 100%, $E$9)</f>
        <v>9.0252999999999997</v>
      </c>
      <c r="M567" s="33">
        <f>9.0289 * CHOOSE(CONTROL!$C$32, $C$9, 100%, $E$9)</f>
        <v>9.0289000000000001</v>
      </c>
      <c r="N567" s="33">
        <f>9.0253 * CHOOSE(CONTROL!$C$32, $C$9, 100%, $E$9)</f>
        <v>9.0252999999999997</v>
      </c>
      <c r="O567" s="33">
        <f>9.0289 * CHOOSE(CONTROL!$C$32, $C$9, 100%, $E$9)</f>
        <v>9.0289000000000001</v>
      </c>
    </row>
    <row r="568" spans="1:15" ht="15" x14ac:dyDescent="0.2">
      <c r="A568" s="16">
        <v>58501</v>
      </c>
      <c r="B568" s="32">
        <f>8.2514 * CHOOSE(CONTROL!$C$32, $C$9, 100%, $E$9)</f>
        <v>8.2514000000000003</v>
      </c>
      <c r="C568" s="32">
        <f>8.2514 * CHOOSE(CONTROL!$C$32, $C$9, 100%, $E$9)</f>
        <v>8.2514000000000003</v>
      </c>
      <c r="D568" s="32">
        <f>8.2525 * CHOOSE(CONTROL!$C$32, $C$9, 100%, $E$9)</f>
        <v>8.2524999999999995</v>
      </c>
      <c r="E568" s="33">
        <f>9.1951 * CHOOSE(CONTROL!$C$32, $C$9, 100%, $E$9)</f>
        <v>9.1951000000000001</v>
      </c>
      <c r="F568" s="33">
        <f>9.1951 * CHOOSE(CONTROL!$C$32, $C$9, 100%, $E$9)</f>
        <v>9.1951000000000001</v>
      </c>
      <c r="G568" s="33">
        <f>9.1987 * CHOOSE(CONTROL!$C$32, $C$9, 100%, $E$9)</f>
        <v>9.1987000000000005</v>
      </c>
      <c r="H568" s="33">
        <f>18.4261 * CHOOSE(CONTROL!$C$32, $C$9, 100%, $E$9)</f>
        <v>18.426100000000002</v>
      </c>
      <c r="I568" s="33">
        <f>18.4297 * CHOOSE(CONTROL!$C$32, $C$9, 100%, $E$9)</f>
        <v>18.4297</v>
      </c>
      <c r="J568" s="33">
        <f>18.4261 * CHOOSE(CONTROL!$C$32, $C$9, 100%, $E$9)</f>
        <v>18.426100000000002</v>
      </c>
      <c r="K568" s="33">
        <f>18.4297 * CHOOSE(CONTROL!$C$32, $C$9, 100%, $E$9)</f>
        <v>18.4297</v>
      </c>
      <c r="L568" s="33">
        <f>9.1951 * CHOOSE(CONTROL!$C$32, $C$9, 100%, $E$9)</f>
        <v>9.1951000000000001</v>
      </c>
      <c r="M568" s="33">
        <f>9.1987 * CHOOSE(CONTROL!$C$32, $C$9, 100%, $E$9)</f>
        <v>9.1987000000000005</v>
      </c>
      <c r="N568" s="33">
        <f>9.1951 * CHOOSE(CONTROL!$C$32, $C$9, 100%, $E$9)</f>
        <v>9.1951000000000001</v>
      </c>
      <c r="O568" s="33">
        <f>9.1987 * CHOOSE(CONTROL!$C$32, $C$9, 100%, $E$9)</f>
        <v>9.1987000000000005</v>
      </c>
    </row>
    <row r="569" spans="1:15" ht="15" x14ac:dyDescent="0.2">
      <c r="A569" s="16">
        <v>58532</v>
      </c>
      <c r="B569" s="32">
        <f>8.2532 * CHOOSE(CONTROL!$C$32, $C$9, 100%, $E$9)</f>
        <v>8.2531999999999996</v>
      </c>
      <c r="C569" s="32">
        <f>8.2532 * CHOOSE(CONTROL!$C$32, $C$9, 100%, $E$9)</f>
        <v>8.2531999999999996</v>
      </c>
      <c r="D569" s="32">
        <f>8.2542 * CHOOSE(CONTROL!$C$32, $C$9, 100%, $E$9)</f>
        <v>8.2542000000000009</v>
      </c>
      <c r="E569" s="33">
        <f>9.3755 * CHOOSE(CONTROL!$C$32, $C$9, 100%, $E$9)</f>
        <v>9.3755000000000006</v>
      </c>
      <c r="F569" s="33">
        <f>9.3755 * CHOOSE(CONTROL!$C$32, $C$9, 100%, $E$9)</f>
        <v>9.3755000000000006</v>
      </c>
      <c r="G569" s="33">
        <f>9.3791 * CHOOSE(CONTROL!$C$32, $C$9, 100%, $E$9)</f>
        <v>9.3790999999999993</v>
      </c>
      <c r="H569" s="33">
        <f>18.4645 * CHOOSE(CONTROL!$C$32, $C$9, 100%, $E$9)</f>
        <v>18.464500000000001</v>
      </c>
      <c r="I569" s="33">
        <f>18.4681 * CHOOSE(CONTROL!$C$32, $C$9, 100%, $E$9)</f>
        <v>18.4681</v>
      </c>
      <c r="J569" s="33">
        <f>18.4645 * CHOOSE(CONTROL!$C$32, $C$9, 100%, $E$9)</f>
        <v>18.464500000000001</v>
      </c>
      <c r="K569" s="33">
        <f>18.4681 * CHOOSE(CONTROL!$C$32, $C$9, 100%, $E$9)</f>
        <v>18.4681</v>
      </c>
      <c r="L569" s="33">
        <f>9.3755 * CHOOSE(CONTROL!$C$32, $C$9, 100%, $E$9)</f>
        <v>9.3755000000000006</v>
      </c>
      <c r="M569" s="33">
        <f>9.3791 * CHOOSE(CONTROL!$C$32, $C$9, 100%, $E$9)</f>
        <v>9.3790999999999993</v>
      </c>
      <c r="N569" s="33">
        <f>9.3755 * CHOOSE(CONTROL!$C$32, $C$9, 100%, $E$9)</f>
        <v>9.3755000000000006</v>
      </c>
      <c r="O569" s="33">
        <f>9.3791 * CHOOSE(CONTROL!$C$32, $C$9, 100%, $E$9)</f>
        <v>9.3790999999999993</v>
      </c>
    </row>
    <row r="570" spans="1:15" ht="15" x14ac:dyDescent="0.2">
      <c r="A570" s="16">
        <v>58562</v>
      </c>
      <c r="B570" s="32">
        <f>8.2532 * CHOOSE(CONTROL!$C$32, $C$9, 100%, $E$9)</f>
        <v>8.2531999999999996</v>
      </c>
      <c r="C570" s="32">
        <f>8.2532 * CHOOSE(CONTROL!$C$32, $C$9, 100%, $E$9)</f>
        <v>8.2531999999999996</v>
      </c>
      <c r="D570" s="32">
        <f>8.2548 * CHOOSE(CONTROL!$C$32, $C$9, 100%, $E$9)</f>
        <v>8.2547999999999995</v>
      </c>
      <c r="E570" s="33">
        <f>9.4447 * CHOOSE(CONTROL!$C$32, $C$9, 100%, $E$9)</f>
        <v>9.4446999999999992</v>
      </c>
      <c r="F570" s="33">
        <f>9.4447 * CHOOSE(CONTROL!$C$32, $C$9, 100%, $E$9)</f>
        <v>9.4446999999999992</v>
      </c>
      <c r="G570" s="33">
        <f>9.45 * CHOOSE(CONTROL!$C$32, $C$9, 100%, $E$9)</f>
        <v>9.4499999999999993</v>
      </c>
      <c r="H570" s="33">
        <f>18.5029 * CHOOSE(CONTROL!$C$32, $C$9, 100%, $E$9)</f>
        <v>18.5029</v>
      </c>
      <c r="I570" s="33">
        <f>18.5082 * CHOOSE(CONTROL!$C$32, $C$9, 100%, $E$9)</f>
        <v>18.508199999999999</v>
      </c>
      <c r="J570" s="33">
        <f>18.5029 * CHOOSE(CONTROL!$C$32, $C$9, 100%, $E$9)</f>
        <v>18.5029</v>
      </c>
      <c r="K570" s="33">
        <f>18.5082 * CHOOSE(CONTROL!$C$32, $C$9, 100%, $E$9)</f>
        <v>18.508199999999999</v>
      </c>
      <c r="L570" s="33">
        <f>9.4447 * CHOOSE(CONTROL!$C$32, $C$9, 100%, $E$9)</f>
        <v>9.4446999999999992</v>
      </c>
      <c r="M570" s="33">
        <f>9.45 * CHOOSE(CONTROL!$C$32, $C$9, 100%, $E$9)</f>
        <v>9.4499999999999993</v>
      </c>
      <c r="N570" s="33">
        <f>9.4447 * CHOOSE(CONTROL!$C$32, $C$9, 100%, $E$9)</f>
        <v>9.4446999999999992</v>
      </c>
      <c r="O570" s="33">
        <f>9.45 * CHOOSE(CONTROL!$C$32, $C$9, 100%, $E$9)</f>
        <v>9.4499999999999993</v>
      </c>
    </row>
    <row r="571" spans="1:15" ht="15" x14ac:dyDescent="0.2">
      <c r="A571" s="16">
        <v>58593</v>
      </c>
      <c r="B571" s="32">
        <f>8.2593 * CHOOSE(CONTROL!$C$32, $C$9, 100%, $E$9)</f>
        <v>8.2592999999999996</v>
      </c>
      <c r="C571" s="32">
        <f>8.2593 * CHOOSE(CONTROL!$C$32, $C$9, 100%, $E$9)</f>
        <v>8.2592999999999996</v>
      </c>
      <c r="D571" s="32">
        <f>8.2608 * CHOOSE(CONTROL!$C$32, $C$9, 100%, $E$9)</f>
        <v>8.2607999999999997</v>
      </c>
      <c r="E571" s="33">
        <f>9.3797 * CHOOSE(CONTROL!$C$32, $C$9, 100%, $E$9)</f>
        <v>9.3796999999999997</v>
      </c>
      <c r="F571" s="33">
        <f>9.3797 * CHOOSE(CONTROL!$C$32, $C$9, 100%, $E$9)</f>
        <v>9.3796999999999997</v>
      </c>
      <c r="G571" s="33">
        <f>9.385 * CHOOSE(CONTROL!$C$32, $C$9, 100%, $E$9)</f>
        <v>9.3849999999999998</v>
      </c>
      <c r="H571" s="33">
        <f>18.5415 * CHOOSE(CONTROL!$C$32, $C$9, 100%, $E$9)</f>
        <v>18.541499999999999</v>
      </c>
      <c r="I571" s="33">
        <f>18.5468 * CHOOSE(CONTROL!$C$32, $C$9, 100%, $E$9)</f>
        <v>18.546800000000001</v>
      </c>
      <c r="J571" s="33">
        <f>18.5415 * CHOOSE(CONTROL!$C$32, $C$9, 100%, $E$9)</f>
        <v>18.541499999999999</v>
      </c>
      <c r="K571" s="33">
        <f>18.5468 * CHOOSE(CONTROL!$C$32, $C$9, 100%, $E$9)</f>
        <v>18.546800000000001</v>
      </c>
      <c r="L571" s="33">
        <f>9.3797 * CHOOSE(CONTROL!$C$32, $C$9, 100%, $E$9)</f>
        <v>9.3796999999999997</v>
      </c>
      <c r="M571" s="33">
        <f>9.385 * CHOOSE(CONTROL!$C$32, $C$9, 100%, $E$9)</f>
        <v>9.3849999999999998</v>
      </c>
      <c r="N571" s="33">
        <f>9.3797 * CHOOSE(CONTROL!$C$32, $C$9, 100%, $E$9)</f>
        <v>9.3796999999999997</v>
      </c>
      <c r="O571" s="33">
        <f>9.385 * CHOOSE(CONTROL!$C$32, $C$9, 100%, $E$9)</f>
        <v>9.3849999999999998</v>
      </c>
    </row>
    <row r="572" spans="1:15" ht="15" x14ac:dyDescent="0.2">
      <c r="A572" s="16">
        <v>58623</v>
      </c>
      <c r="B572" s="32">
        <f>8.3645 * CHOOSE(CONTROL!$C$32, $C$9, 100%, $E$9)</f>
        <v>8.3644999999999996</v>
      </c>
      <c r="C572" s="32">
        <f>8.3645 * CHOOSE(CONTROL!$C$32, $C$9, 100%, $E$9)</f>
        <v>8.3644999999999996</v>
      </c>
      <c r="D572" s="32">
        <f>8.3661 * CHOOSE(CONTROL!$C$32, $C$9, 100%, $E$9)</f>
        <v>8.3660999999999994</v>
      </c>
      <c r="E572" s="33">
        <f>9.5099 * CHOOSE(CONTROL!$C$32, $C$9, 100%, $E$9)</f>
        <v>9.5099</v>
      </c>
      <c r="F572" s="33">
        <f>9.5099 * CHOOSE(CONTROL!$C$32, $C$9, 100%, $E$9)</f>
        <v>9.5099</v>
      </c>
      <c r="G572" s="33">
        <f>9.5151 * CHOOSE(CONTROL!$C$32, $C$9, 100%, $E$9)</f>
        <v>9.5151000000000003</v>
      </c>
      <c r="H572" s="33">
        <f>18.5801 * CHOOSE(CONTROL!$C$32, $C$9, 100%, $E$9)</f>
        <v>18.580100000000002</v>
      </c>
      <c r="I572" s="33">
        <f>18.5854 * CHOOSE(CONTROL!$C$32, $C$9, 100%, $E$9)</f>
        <v>18.5854</v>
      </c>
      <c r="J572" s="33">
        <f>18.5801 * CHOOSE(CONTROL!$C$32, $C$9, 100%, $E$9)</f>
        <v>18.580100000000002</v>
      </c>
      <c r="K572" s="33">
        <f>18.5854 * CHOOSE(CONTROL!$C$32, $C$9, 100%, $E$9)</f>
        <v>18.5854</v>
      </c>
      <c r="L572" s="33">
        <f>9.5099 * CHOOSE(CONTROL!$C$32, $C$9, 100%, $E$9)</f>
        <v>9.5099</v>
      </c>
      <c r="M572" s="33">
        <f>9.5151 * CHOOSE(CONTROL!$C$32, $C$9, 100%, $E$9)</f>
        <v>9.5151000000000003</v>
      </c>
      <c r="N572" s="33">
        <f>9.5099 * CHOOSE(CONTROL!$C$32, $C$9, 100%, $E$9)</f>
        <v>9.5099</v>
      </c>
      <c r="O572" s="33">
        <f>9.5151 * CHOOSE(CONTROL!$C$32, $C$9, 100%, $E$9)</f>
        <v>9.5151000000000003</v>
      </c>
    </row>
    <row r="573" spans="1:15" ht="15" x14ac:dyDescent="0.2">
      <c r="A573" s="16">
        <v>58654</v>
      </c>
      <c r="B573" s="32">
        <f>8.3712 * CHOOSE(CONTROL!$C$32, $C$9, 100%, $E$9)</f>
        <v>8.3712</v>
      </c>
      <c r="C573" s="32">
        <f>8.3712 * CHOOSE(CONTROL!$C$32, $C$9, 100%, $E$9)</f>
        <v>8.3712</v>
      </c>
      <c r="D573" s="32">
        <f>8.3728 * CHOOSE(CONTROL!$C$32, $C$9, 100%, $E$9)</f>
        <v>8.3727999999999998</v>
      </c>
      <c r="E573" s="33">
        <f>9.3068 * CHOOSE(CONTROL!$C$32, $C$9, 100%, $E$9)</f>
        <v>9.3068000000000008</v>
      </c>
      <c r="F573" s="33">
        <f>9.3068 * CHOOSE(CONTROL!$C$32, $C$9, 100%, $E$9)</f>
        <v>9.3068000000000008</v>
      </c>
      <c r="G573" s="33">
        <f>9.3121 * CHOOSE(CONTROL!$C$32, $C$9, 100%, $E$9)</f>
        <v>9.3120999999999992</v>
      </c>
      <c r="H573" s="33">
        <f>18.6188 * CHOOSE(CONTROL!$C$32, $C$9, 100%, $E$9)</f>
        <v>18.6188</v>
      </c>
      <c r="I573" s="33">
        <f>18.6241 * CHOOSE(CONTROL!$C$32, $C$9, 100%, $E$9)</f>
        <v>18.624099999999999</v>
      </c>
      <c r="J573" s="33">
        <f>18.6188 * CHOOSE(CONTROL!$C$32, $C$9, 100%, $E$9)</f>
        <v>18.6188</v>
      </c>
      <c r="K573" s="33">
        <f>18.6241 * CHOOSE(CONTROL!$C$32, $C$9, 100%, $E$9)</f>
        <v>18.624099999999999</v>
      </c>
      <c r="L573" s="33">
        <f>9.3068 * CHOOSE(CONTROL!$C$32, $C$9, 100%, $E$9)</f>
        <v>9.3068000000000008</v>
      </c>
      <c r="M573" s="33">
        <f>9.3121 * CHOOSE(CONTROL!$C$32, $C$9, 100%, $E$9)</f>
        <v>9.3120999999999992</v>
      </c>
      <c r="N573" s="33">
        <f>9.3068 * CHOOSE(CONTROL!$C$32, $C$9, 100%, $E$9)</f>
        <v>9.3068000000000008</v>
      </c>
      <c r="O573" s="33">
        <f>9.3121 * CHOOSE(CONTROL!$C$32, $C$9, 100%, $E$9)</f>
        <v>9.3120999999999992</v>
      </c>
    </row>
    <row r="574" spans="1:15" ht="15" x14ac:dyDescent="0.2">
      <c r="A574" s="16">
        <v>58685</v>
      </c>
      <c r="B574" s="32">
        <f>8.3682 * CHOOSE(CONTROL!$C$32, $C$9, 100%, $E$9)</f>
        <v>8.3681999999999999</v>
      </c>
      <c r="C574" s="32">
        <f>8.3682 * CHOOSE(CONTROL!$C$32, $C$9, 100%, $E$9)</f>
        <v>8.3681999999999999</v>
      </c>
      <c r="D574" s="32">
        <f>8.3698 * CHOOSE(CONTROL!$C$32, $C$9, 100%, $E$9)</f>
        <v>8.3697999999999997</v>
      </c>
      <c r="E574" s="33">
        <f>9.2816 * CHOOSE(CONTROL!$C$32, $C$9, 100%, $E$9)</f>
        <v>9.2815999999999992</v>
      </c>
      <c r="F574" s="33">
        <f>9.2816 * CHOOSE(CONTROL!$C$32, $C$9, 100%, $E$9)</f>
        <v>9.2815999999999992</v>
      </c>
      <c r="G574" s="33">
        <f>9.2869 * CHOOSE(CONTROL!$C$32, $C$9, 100%, $E$9)</f>
        <v>9.2868999999999993</v>
      </c>
      <c r="H574" s="33">
        <f>18.6576 * CHOOSE(CONTROL!$C$32, $C$9, 100%, $E$9)</f>
        <v>18.657599999999999</v>
      </c>
      <c r="I574" s="33">
        <f>18.6629 * CHOOSE(CONTROL!$C$32, $C$9, 100%, $E$9)</f>
        <v>18.6629</v>
      </c>
      <c r="J574" s="33">
        <f>18.6576 * CHOOSE(CONTROL!$C$32, $C$9, 100%, $E$9)</f>
        <v>18.657599999999999</v>
      </c>
      <c r="K574" s="33">
        <f>18.6629 * CHOOSE(CONTROL!$C$32, $C$9, 100%, $E$9)</f>
        <v>18.6629</v>
      </c>
      <c r="L574" s="33">
        <f>9.2816 * CHOOSE(CONTROL!$C$32, $C$9, 100%, $E$9)</f>
        <v>9.2815999999999992</v>
      </c>
      <c r="M574" s="33">
        <f>9.2869 * CHOOSE(CONTROL!$C$32, $C$9, 100%, $E$9)</f>
        <v>9.2868999999999993</v>
      </c>
      <c r="N574" s="33">
        <f>9.2816 * CHOOSE(CONTROL!$C$32, $C$9, 100%, $E$9)</f>
        <v>9.2815999999999992</v>
      </c>
      <c r="O574" s="33">
        <f>9.2869 * CHOOSE(CONTROL!$C$32, $C$9, 100%, $E$9)</f>
        <v>9.2868999999999993</v>
      </c>
    </row>
    <row r="575" spans="1:15" ht="15" x14ac:dyDescent="0.2">
      <c r="A575" s="16">
        <v>58715</v>
      </c>
      <c r="B575" s="32">
        <f>8.3795 * CHOOSE(CONTROL!$C$32, $C$9, 100%, $E$9)</f>
        <v>8.3795000000000002</v>
      </c>
      <c r="C575" s="32">
        <f>8.3795 * CHOOSE(CONTROL!$C$32, $C$9, 100%, $E$9)</f>
        <v>8.3795000000000002</v>
      </c>
      <c r="D575" s="32">
        <f>8.3806 * CHOOSE(CONTROL!$C$32, $C$9, 100%, $E$9)</f>
        <v>8.3805999999999994</v>
      </c>
      <c r="E575" s="33">
        <f>9.3605 * CHOOSE(CONTROL!$C$32, $C$9, 100%, $E$9)</f>
        <v>9.3605</v>
      </c>
      <c r="F575" s="33">
        <f>9.3605 * CHOOSE(CONTROL!$C$32, $C$9, 100%, $E$9)</f>
        <v>9.3605</v>
      </c>
      <c r="G575" s="33">
        <f>9.3641 * CHOOSE(CONTROL!$C$32, $C$9, 100%, $E$9)</f>
        <v>9.3641000000000005</v>
      </c>
      <c r="H575" s="33">
        <f>18.6965 * CHOOSE(CONTROL!$C$32, $C$9, 100%, $E$9)</f>
        <v>18.6965</v>
      </c>
      <c r="I575" s="33">
        <f>18.7001 * CHOOSE(CONTROL!$C$32, $C$9, 100%, $E$9)</f>
        <v>18.700099999999999</v>
      </c>
      <c r="J575" s="33">
        <f>18.6965 * CHOOSE(CONTROL!$C$32, $C$9, 100%, $E$9)</f>
        <v>18.6965</v>
      </c>
      <c r="K575" s="33">
        <f>18.7001 * CHOOSE(CONTROL!$C$32, $C$9, 100%, $E$9)</f>
        <v>18.700099999999999</v>
      </c>
      <c r="L575" s="33">
        <f>9.3605 * CHOOSE(CONTROL!$C$32, $C$9, 100%, $E$9)</f>
        <v>9.3605</v>
      </c>
      <c r="M575" s="33">
        <f>9.3641 * CHOOSE(CONTROL!$C$32, $C$9, 100%, $E$9)</f>
        <v>9.3641000000000005</v>
      </c>
      <c r="N575" s="33">
        <f>9.3605 * CHOOSE(CONTROL!$C$32, $C$9, 100%, $E$9)</f>
        <v>9.3605</v>
      </c>
      <c r="O575" s="33">
        <f>9.3641 * CHOOSE(CONTROL!$C$32, $C$9, 100%, $E$9)</f>
        <v>9.3641000000000005</v>
      </c>
    </row>
    <row r="576" spans="1:15" ht="15" x14ac:dyDescent="0.2">
      <c r="A576" s="16">
        <v>58746</v>
      </c>
      <c r="B576" s="32">
        <f>8.3826 * CHOOSE(CONTROL!$C$32, $C$9, 100%, $E$9)</f>
        <v>8.3826000000000001</v>
      </c>
      <c r="C576" s="32">
        <f>8.3826 * CHOOSE(CONTROL!$C$32, $C$9, 100%, $E$9)</f>
        <v>8.3826000000000001</v>
      </c>
      <c r="D576" s="32">
        <f>8.3836 * CHOOSE(CONTROL!$C$32, $C$9, 100%, $E$9)</f>
        <v>8.3835999999999995</v>
      </c>
      <c r="E576" s="33">
        <f>9.4088 * CHOOSE(CONTROL!$C$32, $C$9, 100%, $E$9)</f>
        <v>9.4087999999999994</v>
      </c>
      <c r="F576" s="33">
        <f>9.4088 * CHOOSE(CONTROL!$C$32, $C$9, 100%, $E$9)</f>
        <v>9.4087999999999994</v>
      </c>
      <c r="G576" s="33">
        <f>9.4124 * CHOOSE(CONTROL!$C$32, $C$9, 100%, $E$9)</f>
        <v>9.4123999999999999</v>
      </c>
      <c r="H576" s="33">
        <f>18.7354 * CHOOSE(CONTROL!$C$32, $C$9, 100%, $E$9)</f>
        <v>18.735399999999998</v>
      </c>
      <c r="I576" s="33">
        <f>18.739 * CHOOSE(CONTROL!$C$32, $C$9, 100%, $E$9)</f>
        <v>18.739000000000001</v>
      </c>
      <c r="J576" s="33">
        <f>18.7354 * CHOOSE(CONTROL!$C$32, $C$9, 100%, $E$9)</f>
        <v>18.735399999999998</v>
      </c>
      <c r="K576" s="33">
        <f>18.739 * CHOOSE(CONTROL!$C$32, $C$9, 100%, $E$9)</f>
        <v>18.739000000000001</v>
      </c>
      <c r="L576" s="33">
        <f>9.4088 * CHOOSE(CONTROL!$C$32, $C$9, 100%, $E$9)</f>
        <v>9.4087999999999994</v>
      </c>
      <c r="M576" s="33">
        <f>9.4124 * CHOOSE(CONTROL!$C$32, $C$9, 100%, $E$9)</f>
        <v>9.4123999999999999</v>
      </c>
      <c r="N576" s="33">
        <f>9.4088 * CHOOSE(CONTROL!$C$32, $C$9, 100%, $E$9)</f>
        <v>9.4087999999999994</v>
      </c>
      <c r="O576" s="33">
        <f>9.4124 * CHOOSE(CONTROL!$C$32, $C$9, 100%, $E$9)</f>
        <v>9.4123999999999999</v>
      </c>
    </row>
    <row r="577" spans="1:15" ht="15" x14ac:dyDescent="0.2">
      <c r="A577" s="16">
        <v>58776</v>
      </c>
      <c r="B577" s="32">
        <f>8.3826 * CHOOSE(CONTROL!$C$32, $C$9, 100%, $E$9)</f>
        <v>8.3826000000000001</v>
      </c>
      <c r="C577" s="32">
        <f>8.3826 * CHOOSE(CONTROL!$C$32, $C$9, 100%, $E$9)</f>
        <v>8.3826000000000001</v>
      </c>
      <c r="D577" s="32">
        <f>8.3836 * CHOOSE(CONTROL!$C$32, $C$9, 100%, $E$9)</f>
        <v>8.3835999999999995</v>
      </c>
      <c r="E577" s="33">
        <f>9.2934 * CHOOSE(CONTROL!$C$32, $C$9, 100%, $E$9)</f>
        <v>9.2934000000000001</v>
      </c>
      <c r="F577" s="33">
        <f>9.2934 * CHOOSE(CONTROL!$C$32, $C$9, 100%, $E$9)</f>
        <v>9.2934000000000001</v>
      </c>
      <c r="G577" s="33">
        <f>9.297 * CHOOSE(CONTROL!$C$32, $C$9, 100%, $E$9)</f>
        <v>9.2970000000000006</v>
      </c>
      <c r="H577" s="33">
        <f>18.7745 * CHOOSE(CONTROL!$C$32, $C$9, 100%, $E$9)</f>
        <v>18.7745</v>
      </c>
      <c r="I577" s="33">
        <f>18.7781 * CHOOSE(CONTROL!$C$32, $C$9, 100%, $E$9)</f>
        <v>18.778099999999998</v>
      </c>
      <c r="J577" s="33">
        <f>18.7745 * CHOOSE(CONTROL!$C$32, $C$9, 100%, $E$9)</f>
        <v>18.7745</v>
      </c>
      <c r="K577" s="33">
        <f>18.7781 * CHOOSE(CONTROL!$C$32, $C$9, 100%, $E$9)</f>
        <v>18.778099999999998</v>
      </c>
      <c r="L577" s="33">
        <f>9.2934 * CHOOSE(CONTROL!$C$32, $C$9, 100%, $E$9)</f>
        <v>9.2934000000000001</v>
      </c>
      <c r="M577" s="33">
        <f>9.297 * CHOOSE(CONTROL!$C$32, $C$9, 100%, $E$9)</f>
        <v>9.2970000000000006</v>
      </c>
      <c r="N577" s="33">
        <f>9.2934 * CHOOSE(CONTROL!$C$32, $C$9, 100%, $E$9)</f>
        <v>9.2934000000000001</v>
      </c>
      <c r="O577" s="33">
        <f>9.297 * CHOOSE(CONTROL!$C$32, $C$9, 100%, $E$9)</f>
        <v>9.2970000000000006</v>
      </c>
    </row>
    <row r="578" spans="1:15" ht="15" x14ac:dyDescent="0.2">
      <c r="A578" s="16">
        <v>58807</v>
      </c>
      <c r="B578" s="32">
        <f>8.4448 * CHOOSE(CONTROL!$C$32, $C$9, 100%, $E$9)</f>
        <v>8.4448000000000008</v>
      </c>
      <c r="C578" s="32">
        <f>8.4448 * CHOOSE(CONTROL!$C$32, $C$9, 100%, $E$9)</f>
        <v>8.4448000000000008</v>
      </c>
      <c r="D578" s="32">
        <f>8.4459 * CHOOSE(CONTROL!$C$32, $C$9, 100%, $E$9)</f>
        <v>8.4459</v>
      </c>
      <c r="E578" s="33">
        <f>9.458 * CHOOSE(CONTROL!$C$32, $C$9, 100%, $E$9)</f>
        <v>9.4580000000000002</v>
      </c>
      <c r="F578" s="33">
        <f>9.458 * CHOOSE(CONTROL!$C$32, $C$9, 100%, $E$9)</f>
        <v>9.4580000000000002</v>
      </c>
      <c r="G578" s="33">
        <f>9.4616 * CHOOSE(CONTROL!$C$32, $C$9, 100%, $E$9)</f>
        <v>9.4616000000000007</v>
      </c>
      <c r="H578" s="33">
        <f>18.8136 * CHOOSE(CONTROL!$C$32, $C$9, 100%, $E$9)</f>
        <v>18.813600000000001</v>
      </c>
      <c r="I578" s="33">
        <f>18.8172 * CHOOSE(CONTROL!$C$32, $C$9, 100%, $E$9)</f>
        <v>18.8172</v>
      </c>
      <c r="J578" s="33">
        <f>18.8136 * CHOOSE(CONTROL!$C$32, $C$9, 100%, $E$9)</f>
        <v>18.813600000000001</v>
      </c>
      <c r="K578" s="33">
        <f>18.8172 * CHOOSE(CONTROL!$C$32, $C$9, 100%, $E$9)</f>
        <v>18.8172</v>
      </c>
      <c r="L578" s="33">
        <f>9.458 * CHOOSE(CONTROL!$C$32, $C$9, 100%, $E$9)</f>
        <v>9.4580000000000002</v>
      </c>
      <c r="M578" s="33">
        <f>9.4616 * CHOOSE(CONTROL!$C$32, $C$9, 100%, $E$9)</f>
        <v>9.4616000000000007</v>
      </c>
      <c r="N578" s="33">
        <f>9.458 * CHOOSE(CONTROL!$C$32, $C$9, 100%, $E$9)</f>
        <v>9.4580000000000002</v>
      </c>
      <c r="O578" s="33">
        <f>9.4616 * CHOOSE(CONTROL!$C$32, $C$9, 100%, $E$9)</f>
        <v>9.4616000000000007</v>
      </c>
    </row>
    <row r="579" spans="1:15" ht="15" x14ac:dyDescent="0.2">
      <c r="A579" s="16">
        <v>58838</v>
      </c>
      <c r="B579" s="32">
        <f>8.4418 * CHOOSE(CONTROL!$C$32, $C$9, 100%, $E$9)</f>
        <v>8.4418000000000006</v>
      </c>
      <c r="C579" s="32">
        <f>8.4418 * CHOOSE(CONTROL!$C$32, $C$9, 100%, $E$9)</f>
        <v>8.4418000000000006</v>
      </c>
      <c r="D579" s="32">
        <f>8.4429 * CHOOSE(CONTROL!$C$32, $C$9, 100%, $E$9)</f>
        <v>8.4428999999999998</v>
      </c>
      <c r="E579" s="33">
        <f>9.2307 * CHOOSE(CONTROL!$C$32, $C$9, 100%, $E$9)</f>
        <v>9.2307000000000006</v>
      </c>
      <c r="F579" s="33">
        <f>9.2307 * CHOOSE(CONTROL!$C$32, $C$9, 100%, $E$9)</f>
        <v>9.2307000000000006</v>
      </c>
      <c r="G579" s="33">
        <f>9.2343 * CHOOSE(CONTROL!$C$32, $C$9, 100%, $E$9)</f>
        <v>9.2342999999999993</v>
      </c>
      <c r="H579" s="33">
        <f>18.8528 * CHOOSE(CONTROL!$C$32, $C$9, 100%, $E$9)</f>
        <v>18.852799999999998</v>
      </c>
      <c r="I579" s="33">
        <f>18.8564 * CHOOSE(CONTROL!$C$32, $C$9, 100%, $E$9)</f>
        <v>18.856400000000001</v>
      </c>
      <c r="J579" s="33">
        <f>18.8528 * CHOOSE(CONTROL!$C$32, $C$9, 100%, $E$9)</f>
        <v>18.852799999999998</v>
      </c>
      <c r="K579" s="33">
        <f>18.8564 * CHOOSE(CONTROL!$C$32, $C$9, 100%, $E$9)</f>
        <v>18.856400000000001</v>
      </c>
      <c r="L579" s="33">
        <f>9.2307 * CHOOSE(CONTROL!$C$32, $C$9, 100%, $E$9)</f>
        <v>9.2307000000000006</v>
      </c>
      <c r="M579" s="33">
        <f>9.2343 * CHOOSE(CONTROL!$C$32, $C$9, 100%, $E$9)</f>
        <v>9.2342999999999993</v>
      </c>
      <c r="N579" s="33">
        <f>9.2307 * CHOOSE(CONTROL!$C$32, $C$9, 100%, $E$9)</f>
        <v>9.2307000000000006</v>
      </c>
      <c r="O579" s="33">
        <f>9.2343 * CHOOSE(CONTROL!$C$32, $C$9, 100%, $E$9)</f>
        <v>9.2342999999999993</v>
      </c>
    </row>
    <row r="580" spans="1:15" ht="15" x14ac:dyDescent="0.2">
      <c r="A580" s="16">
        <v>58866</v>
      </c>
      <c r="B580" s="32">
        <f>8.4388 * CHOOSE(CONTROL!$C$32, $C$9, 100%, $E$9)</f>
        <v>8.4388000000000005</v>
      </c>
      <c r="C580" s="32">
        <f>8.4388 * CHOOSE(CONTROL!$C$32, $C$9, 100%, $E$9)</f>
        <v>8.4388000000000005</v>
      </c>
      <c r="D580" s="32">
        <f>8.4398 * CHOOSE(CONTROL!$C$32, $C$9, 100%, $E$9)</f>
        <v>8.4398</v>
      </c>
      <c r="E580" s="33">
        <f>9.4061 * CHOOSE(CONTROL!$C$32, $C$9, 100%, $E$9)</f>
        <v>9.4061000000000003</v>
      </c>
      <c r="F580" s="33">
        <f>9.4061 * CHOOSE(CONTROL!$C$32, $C$9, 100%, $E$9)</f>
        <v>9.4061000000000003</v>
      </c>
      <c r="G580" s="33">
        <f>9.4097 * CHOOSE(CONTROL!$C$32, $C$9, 100%, $E$9)</f>
        <v>9.4097000000000008</v>
      </c>
      <c r="H580" s="33">
        <f>18.892 * CHOOSE(CONTROL!$C$32, $C$9, 100%, $E$9)</f>
        <v>18.891999999999999</v>
      </c>
      <c r="I580" s="33">
        <f>18.8957 * CHOOSE(CONTROL!$C$32, $C$9, 100%, $E$9)</f>
        <v>18.895700000000001</v>
      </c>
      <c r="J580" s="33">
        <f>18.892 * CHOOSE(CONTROL!$C$32, $C$9, 100%, $E$9)</f>
        <v>18.891999999999999</v>
      </c>
      <c r="K580" s="33">
        <f>18.8957 * CHOOSE(CONTROL!$C$32, $C$9, 100%, $E$9)</f>
        <v>18.895700000000001</v>
      </c>
      <c r="L580" s="33">
        <f>9.4061 * CHOOSE(CONTROL!$C$32, $C$9, 100%, $E$9)</f>
        <v>9.4061000000000003</v>
      </c>
      <c r="M580" s="33">
        <f>9.4097 * CHOOSE(CONTROL!$C$32, $C$9, 100%, $E$9)</f>
        <v>9.4097000000000008</v>
      </c>
      <c r="N580" s="33">
        <f>9.4061 * CHOOSE(CONTROL!$C$32, $C$9, 100%, $E$9)</f>
        <v>9.4061000000000003</v>
      </c>
      <c r="O580" s="33">
        <f>9.4097 * CHOOSE(CONTROL!$C$32, $C$9, 100%, $E$9)</f>
        <v>9.4097000000000008</v>
      </c>
    </row>
    <row r="581" spans="1:15" ht="15" x14ac:dyDescent="0.2">
      <c r="A581" s="16">
        <v>58897</v>
      </c>
      <c r="B581" s="32">
        <f>8.4407 * CHOOSE(CONTROL!$C$32, $C$9, 100%, $E$9)</f>
        <v>8.4406999999999996</v>
      </c>
      <c r="C581" s="32">
        <f>8.4407 * CHOOSE(CONTROL!$C$32, $C$9, 100%, $E$9)</f>
        <v>8.4406999999999996</v>
      </c>
      <c r="D581" s="32">
        <f>8.4418 * CHOOSE(CONTROL!$C$32, $C$9, 100%, $E$9)</f>
        <v>8.4418000000000006</v>
      </c>
      <c r="E581" s="33">
        <f>9.5925 * CHOOSE(CONTROL!$C$32, $C$9, 100%, $E$9)</f>
        <v>9.5924999999999994</v>
      </c>
      <c r="F581" s="33">
        <f>9.5925 * CHOOSE(CONTROL!$C$32, $C$9, 100%, $E$9)</f>
        <v>9.5924999999999994</v>
      </c>
      <c r="G581" s="33">
        <f>9.5961 * CHOOSE(CONTROL!$C$32, $C$9, 100%, $E$9)</f>
        <v>9.5960999999999999</v>
      </c>
      <c r="H581" s="33">
        <f>18.9314 * CHOOSE(CONTROL!$C$32, $C$9, 100%, $E$9)</f>
        <v>18.9314</v>
      </c>
      <c r="I581" s="33">
        <f>18.935 * CHOOSE(CONTROL!$C$32, $C$9, 100%, $E$9)</f>
        <v>18.934999999999999</v>
      </c>
      <c r="J581" s="33">
        <f>18.9314 * CHOOSE(CONTROL!$C$32, $C$9, 100%, $E$9)</f>
        <v>18.9314</v>
      </c>
      <c r="K581" s="33">
        <f>18.935 * CHOOSE(CONTROL!$C$32, $C$9, 100%, $E$9)</f>
        <v>18.934999999999999</v>
      </c>
      <c r="L581" s="33">
        <f>9.5925 * CHOOSE(CONTROL!$C$32, $C$9, 100%, $E$9)</f>
        <v>9.5924999999999994</v>
      </c>
      <c r="M581" s="33">
        <f>9.5961 * CHOOSE(CONTROL!$C$32, $C$9, 100%, $E$9)</f>
        <v>9.5960999999999999</v>
      </c>
      <c r="N581" s="33">
        <f>9.5925 * CHOOSE(CONTROL!$C$32, $C$9, 100%, $E$9)</f>
        <v>9.5924999999999994</v>
      </c>
      <c r="O581" s="33">
        <f>9.5961 * CHOOSE(CONTROL!$C$32, $C$9, 100%, $E$9)</f>
        <v>9.5960999999999999</v>
      </c>
    </row>
    <row r="582" spans="1:15" ht="15" x14ac:dyDescent="0.2">
      <c r="A582" s="16">
        <v>58927</v>
      </c>
      <c r="B582" s="32">
        <f>8.4407 * CHOOSE(CONTROL!$C$32, $C$9, 100%, $E$9)</f>
        <v>8.4406999999999996</v>
      </c>
      <c r="C582" s="32">
        <f>8.4407 * CHOOSE(CONTROL!$C$32, $C$9, 100%, $E$9)</f>
        <v>8.4406999999999996</v>
      </c>
      <c r="D582" s="32">
        <f>8.4423 * CHOOSE(CONTROL!$C$32, $C$9, 100%, $E$9)</f>
        <v>8.4422999999999995</v>
      </c>
      <c r="E582" s="33">
        <f>9.6639 * CHOOSE(CONTROL!$C$32, $C$9, 100%, $E$9)</f>
        <v>9.6638999999999999</v>
      </c>
      <c r="F582" s="33">
        <f>9.6639 * CHOOSE(CONTROL!$C$32, $C$9, 100%, $E$9)</f>
        <v>9.6638999999999999</v>
      </c>
      <c r="G582" s="33">
        <f>9.6692 * CHOOSE(CONTROL!$C$32, $C$9, 100%, $E$9)</f>
        <v>9.6692</v>
      </c>
      <c r="H582" s="33">
        <f>18.9708 * CHOOSE(CONTROL!$C$32, $C$9, 100%, $E$9)</f>
        <v>18.970800000000001</v>
      </c>
      <c r="I582" s="33">
        <f>18.9761 * CHOOSE(CONTROL!$C$32, $C$9, 100%, $E$9)</f>
        <v>18.976099999999999</v>
      </c>
      <c r="J582" s="33">
        <f>18.9708 * CHOOSE(CONTROL!$C$32, $C$9, 100%, $E$9)</f>
        <v>18.970800000000001</v>
      </c>
      <c r="K582" s="33">
        <f>18.9761 * CHOOSE(CONTROL!$C$32, $C$9, 100%, $E$9)</f>
        <v>18.976099999999999</v>
      </c>
      <c r="L582" s="33">
        <f>9.6639 * CHOOSE(CONTROL!$C$32, $C$9, 100%, $E$9)</f>
        <v>9.6638999999999999</v>
      </c>
      <c r="M582" s="33">
        <f>9.6692 * CHOOSE(CONTROL!$C$32, $C$9, 100%, $E$9)</f>
        <v>9.6692</v>
      </c>
      <c r="N582" s="33">
        <f>9.6639 * CHOOSE(CONTROL!$C$32, $C$9, 100%, $E$9)</f>
        <v>9.6638999999999999</v>
      </c>
      <c r="O582" s="33">
        <f>9.6692 * CHOOSE(CONTROL!$C$32, $C$9, 100%, $E$9)</f>
        <v>9.6692</v>
      </c>
    </row>
    <row r="583" spans="1:15" ht="15" x14ac:dyDescent="0.2">
      <c r="A583" s="16">
        <v>58958</v>
      </c>
      <c r="B583" s="32">
        <f>8.4468 * CHOOSE(CONTROL!$C$32, $C$9, 100%, $E$9)</f>
        <v>8.4467999999999996</v>
      </c>
      <c r="C583" s="32">
        <f>8.4468 * CHOOSE(CONTROL!$C$32, $C$9, 100%, $E$9)</f>
        <v>8.4467999999999996</v>
      </c>
      <c r="D583" s="32">
        <f>8.4484 * CHOOSE(CONTROL!$C$32, $C$9, 100%, $E$9)</f>
        <v>8.4483999999999995</v>
      </c>
      <c r="E583" s="33">
        <f>9.5967 * CHOOSE(CONTROL!$C$32, $C$9, 100%, $E$9)</f>
        <v>9.5967000000000002</v>
      </c>
      <c r="F583" s="33">
        <f>9.5967 * CHOOSE(CONTROL!$C$32, $C$9, 100%, $E$9)</f>
        <v>9.5967000000000002</v>
      </c>
      <c r="G583" s="33">
        <f>9.602 * CHOOSE(CONTROL!$C$32, $C$9, 100%, $E$9)</f>
        <v>9.6020000000000003</v>
      </c>
      <c r="H583" s="33">
        <f>19.0104 * CHOOSE(CONTROL!$C$32, $C$9, 100%, $E$9)</f>
        <v>19.010400000000001</v>
      </c>
      <c r="I583" s="33">
        <f>19.0157 * CHOOSE(CONTROL!$C$32, $C$9, 100%, $E$9)</f>
        <v>19.015699999999999</v>
      </c>
      <c r="J583" s="33">
        <f>19.0104 * CHOOSE(CONTROL!$C$32, $C$9, 100%, $E$9)</f>
        <v>19.010400000000001</v>
      </c>
      <c r="K583" s="33">
        <f>19.0157 * CHOOSE(CONTROL!$C$32, $C$9, 100%, $E$9)</f>
        <v>19.015699999999999</v>
      </c>
      <c r="L583" s="33">
        <f>9.5967 * CHOOSE(CONTROL!$C$32, $C$9, 100%, $E$9)</f>
        <v>9.5967000000000002</v>
      </c>
      <c r="M583" s="33">
        <f>9.602 * CHOOSE(CONTROL!$C$32, $C$9, 100%, $E$9)</f>
        <v>9.6020000000000003</v>
      </c>
      <c r="N583" s="33">
        <f>9.5967 * CHOOSE(CONTROL!$C$32, $C$9, 100%, $E$9)</f>
        <v>9.5967000000000002</v>
      </c>
      <c r="O583" s="33">
        <f>9.602 * CHOOSE(CONTROL!$C$32, $C$9, 100%, $E$9)</f>
        <v>9.6020000000000003</v>
      </c>
    </row>
    <row r="584" spans="1:15" ht="15" x14ac:dyDescent="0.2">
      <c r="A584" s="16">
        <v>58988</v>
      </c>
      <c r="B584" s="32">
        <f>8.5541 * CHOOSE(CONTROL!$C$32, $C$9, 100%, $E$9)</f>
        <v>8.5541</v>
      </c>
      <c r="C584" s="32">
        <f>8.5541 * CHOOSE(CONTROL!$C$32, $C$9, 100%, $E$9)</f>
        <v>8.5541</v>
      </c>
      <c r="D584" s="32">
        <f>8.5557 * CHOOSE(CONTROL!$C$32, $C$9, 100%, $E$9)</f>
        <v>8.5556999999999999</v>
      </c>
      <c r="E584" s="33">
        <f>9.73 * CHOOSE(CONTROL!$C$32, $C$9, 100%, $E$9)</f>
        <v>9.73</v>
      </c>
      <c r="F584" s="33">
        <f>9.73 * CHOOSE(CONTROL!$C$32, $C$9, 100%, $E$9)</f>
        <v>9.73</v>
      </c>
      <c r="G584" s="33">
        <f>9.7353 * CHOOSE(CONTROL!$C$32, $C$9, 100%, $E$9)</f>
        <v>9.7353000000000005</v>
      </c>
      <c r="H584" s="33">
        <f>19.05 * CHOOSE(CONTROL!$C$32, $C$9, 100%, $E$9)</f>
        <v>19.05</v>
      </c>
      <c r="I584" s="33">
        <f>19.0553 * CHOOSE(CONTROL!$C$32, $C$9, 100%, $E$9)</f>
        <v>19.055299999999999</v>
      </c>
      <c r="J584" s="33">
        <f>19.05 * CHOOSE(CONTROL!$C$32, $C$9, 100%, $E$9)</f>
        <v>19.05</v>
      </c>
      <c r="K584" s="33">
        <f>19.0553 * CHOOSE(CONTROL!$C$32, $C$9, 100%, $E$9)</f>
        <v>19.055299999999999</v>
      </c>
      <c r="L584" s="33">
        <f>9.73 * CHOOSE(CONTROL!$C$32, $C$9, 100%, $E$9)</f>
        <v>9.73</v>
      </c>
      <c r="M584" s="33">
        <f>9.7353 * CHOOSE(CONTROL!$C$32, $C$9, 100%, $E$9)</f>
        <v>9.7353000000000005</v>
      </c>
      <c r="N584" s="33">
        <f>9.73 * CHOOSE(CONTROL!$C$32, $C$9, 100%, $E$9)</f>
        <v>9.73</v>
      </c>
      <c r="O584" s="33">
        <f>9.7353 * CHOOSE(CONTROL!$C$32, $C$9, 100%, $E$9)</f>
        <v>9.7353000000000005</v>
      </c>
    </row>
    <row r="585" spans="1:15" ht="15" x14ac:dyDescent="0.2">
      <c r="A585" s="16">
        <v>59019</v>
      </c>
      <c r="B585" s="32">
        <f>8.5608 * CHOOSE(CONTROL!$C$32, $C$9, 100%, $E$9)</f>
        <v>8.5608000000000004</v>
      </c>
      <c r="C585" s="32">
        <f>8.5608 * CHOOSE(CONTROL!$C$32, $C$9, 100%, $E$9)</f>
        <v>8.5608000000000004</v>
      </c>
      <c r="D585" s="32">
        <f>8.5624 * CHOOSE(CONTROL!$C$32, $C$9, 100%, $E$9)</f>
        <v>8.5624000000000002</v>
      </c>
      <c r="E585" s="33">
        <f>9.5203 * CHOOSE(CONTROL!$C$32, $C$9, 100%, $E$9)</f>
        <v>9.5203000000000007</v>
      </c>
      <c r="F585" s="33">
        <f>9.5203 * CHOOSE(CONTROL!$C$32, $C$9, 100%, $E$9)</f>
        <v>9.5203000000000007</v>
      </c>
      <c r="G585" s="33">
        <f>9.5256 * CHOOSE(CONTROL!$C$32, $C$9, 100%, $E$9)</f>
        <v>9.5256000000000007</v>
      </c>
      <c r="H585" s="33">
        <f>19.0897 * CHOOSE(CONTROL!$C$32, $C$9, 100%, $E$9)</f>
        <v>19.089700000000001</v>
      </c>
      <c r="I585" s="33">
        <f>19.095 * CHOOSE(CONTROL!$C$32, $C$9, 100%, $E$9)</f>
        <v>19.094999999999999</v>
      </c>
      <c r="J585" s="33">
        <f>19.0897 * CHOOSE(CONTROL!$C$32, $C$9, 100%, $E$9)</f>
        <v>19.089700000000001</v>
      </c>
      <c r="K585" s="33">
        <f>19.095 * CHOOSE(CONTROL!$C$32, $C$9, 100%, $E$9)</f>
        <v>19.094999999999999</v>
      </c>
      <c r="L585" s="33">
        <f>9.5203 * CHOOSE(CONTROL!$C$32, $C$9, 100%, $E$9)</f>
        <v>9.5203000000000007</v>
      </c>
      <c r="M585" s="33">
        <f>9.5256 * CHOOSE(CONTROL!$C$32, $C$9, 100%, $E$9)</f>
        <v>9.5256000000000007</v>
      </c>
      <c r="N585" s="33">
        <f>9.5203 * CHOOSE(CONTROL!$C$32, $C$9, 100%, $E$9)</f>
        <v>9.5203000000000007</v>
      </c>
      <c r="O585" s="33">
        <f>9.5256 * CHOOSE(CONTROL!$C$32, $C$9, 100%, $E$9)</f>
        <v>9.5256000000000007</v>
      </c>
    </row>
    <row r="586" spans="1:15" ht="15" x14ac:dyDescent="0.2">
      <c r="A586" s="16">
        <v>59050</v>
      </c>
      <c r="B586" s="32">
        <f>8.5578 * CHOOSE(CONTROL!$C$32, $C$9, 100%, $E$9)</f>
        <v>8.5578000000000003</v>
      </c>
      <c r="C586" s="32">
        <f>8.5578 * CHOOSE(CONTROL!$C$32, $C$9, 100%, $E$9)</f>
        <v>8.5578000000000003</v>
      </c>
      <c r="D586" s="32">
        <f>8.5594 * CHOOSE(CONTROL!$C$32, $C$9, 100%, $E$9)</f>
        <v>8.5594000000000001</v>
      </c>
      <c r="E586" s="33">
        <f>9.4943 * CHOOSE(CONTROL!$C$32, $C$9, 100%, $E$9)</f>
        <v>9.4943000000000008</v>
      </c>
      <c r="F586" s="33">
        <f>9.4943 * CHOOSE(CONTROL!$C$32, $C$9, 100%, $E$9)</f>
        <v>9.4943000000000008</v>
      </c>
      <c r="G586" s="33">
        <f>9.4996 * CHOOSE(CONTROL!$C$32, $C$9, 100%, $E$9)</f>
        <v>9.4995999999999992</v>
      </c>
      <c r="H586" s="33">
        <f>19.1294 * CHOOSE(CONTROL!$C$32, $C$9, 100%, $E$9)</f>
        <v>19.1294</v>
      </c>
      <c r="I586" s="33">
        <f>19.1347 * CHOOSE(CONTROL!$C$32, $C$9, 100%, $E$9)</f>
        <v>19.134699999999999</v>
      </c>
      <c r="J586" s="33">
        <f>19.1294 * CHOOSE(CONTROL!$C$32, $C$9, 100%, $E$9)</f>
        <v>19.1294</v>
      </c>
      <c r="K586" s="33">
        <f>19.1347 * CHOOSE(CONTROL!$C$32, $C$9, 100%, $E$9)</f>
        <v>19.134699999999999</v>
      </c>
      <c r="L586" s="33">
        <f>9.4943 * CHOOSE(CONTROL!$C$32, $C$9, 100%, $E$9)</f>
        <v>9.4943000000000008</v>
      </c>
      <c r="M586" s="33">
        <f>9.4996 * CHOOSE(CONTROL!$C$32, $C$9, 100%, $E$9)</f>
        <v>9.4995999999999992</v>
      </c>
      <c r="N586" s="33">
        <f>9.4943 * CHOOSE(CONTROL!$C$32, $C$9, 100%, $E$9)</f>
        <v>9.4943000000000008</v>
      </c>
      <c r="O586" s="33">
        <f>9.4996 * CHOOSE(CONTROL!$C$32, $C$9, 100%, $E$9)</f>
        <v>9.4995999999999992</v>
      </c>
    </row>
    <row r="587" spans="1:15" ht="15" x14ac:dyDescent="0.2">
      <c r="A587" s="16">
        <v>59080</v>
      </c>
      <c r="B587" s="32">
        <f>8.5698 * CHOOSE(CONTROL!$C$32, $C$9, 100%, $E$9)</f>
        <v>8.5698000000000008</v>
      </c>
      <c r="C587" s="32">
        <f>8.5698 * CHOOSE(CONTROL!$C$32, $C$9, 100%, $E$9)</f>
        <v>8.5698000000000008</v>
      </c>
      <c r="D587" s="32">
        <f>8.5709 * CHOOSE(CONTROL!$C$32, $C$9, 100%, $E$9)</f>
        <v>8.5709</v>
      </c>
      <c r="E587" s="33">
        <f>9.5762 * CHOOSE(CONTROL!$C$32, $C$9, 100%, $E$9)</f>
        <v>9.5762</v>
      </c>
      <c r="F587" s="33">
        <f>9.5762 * CHOOSE(CONTROL!$C$32, $C$9, 100%, $E$9)</f>
        <v>9.5762</v>
      </c>
      <c r="G587" s="33">
        <f>9.5798 * CHOOSE(CONTROL!$C$32, $C$9, 100%, $E$9)</f>
        <v>9.5798000000000005</v>
      </c>
      <c r="H587" s="33">
        <f>19.1693 * CHOOSE(CONTROL!$C$32, $C$9, 100%, $E$9)</f>
        <v>19.1693</v>
      </c>
      <c r="I587" s="33">
        <f>19.1729 * CHOOSE(CONTROL!$C$32, $C$9, 100%, $E$9)</f>
        <v>19.172899999999998</v>
      </c>
      <c r="J587" s="33">
        <f>19.1693 * CHOOSE(CONTROL!$C$32, $C$9, 100%, $E$9)</f>
        <v>19.1693</v>
      </c>
      <c r="K587" s="33">
        <f>19.1729 * CHOOSE(CONTROL!$C$32, $C$9, 100%, $E$9)</f>
        <v>19.172899999999998</v>
      </c>
      <c r="L587" s="33">
        <f>9.5762 * CHOOSE(CONTROL!$C$32, $C$9, 100%, $E$9)</f>
        <v>9.5762</v>
      </c>
      <c r="M587" s="33">
        <f>9.5798 * CHOOSE(CONTROL!$C$32, $C$9, 100%, $E$9)</f>
        <v>9.5798000000000005</v>
      </c>
      <c r="N587" s="33">
        <f>9.5762 * CHOOSE(CONTROL!$C$32, $C$9, 100%, $E$9)</f>
        <v>9.5762</v>
      </c>
      <c r="O587" s="33">
        <f>9.5798 * CHOOSE(CONTROL!$C$32, $C$9, 100%, $E$9)</f>
        <v>9.5798000000000005</v>
      </c>
    </row>
    <row r="588" spans="1:15" ht="15" x14ac:dyDescent="0.2">
      <c r="A588" s="16">
        <v>59111</v>
      </c>
      <c r="B588" s="32">
        <f>8.5729 * CHOOSE(CONTROL!$C$32, $C$9, 100%, $E$9)</f>
        <v>8.5729000000000006</v>
      </c>
      <c r="C588" s="32">
        <f>8.5729 * CHOOSE(CONTROL!$C$32, $C$9, 100%, $E$9)</f>
        <v>8.5729000000000006</v>
      </c>
      <c r="D588" s="32">
        <f>8.5739 * CHOOSE(CONTROL!$C$32, $C$9, 100%, $E$9)</f>
        <v>8.5739000000000001</v>
      </c>
      <c r="E588" s="33">
        <f>9.626 * CHOOSE(CONTROL!$C$32, $C$9, 100%, $E$9)</f>
        <v>9.6259999999999994</v>
      </c>
      <c r="F588" s="33">
        <f>9.626 * CHOOSE(CONTROL!$C$32, $C$9, 100%, $E$9)</f>
        <v>9.6259999999999994</v>
      </c>
      <c r="G588" s="33">
        <f>9.6296 * CHOOSE(CONTROL!$C$32, $C$9, 100%, $E$9)</f>
        <v>9.6295999999999999</v>
      </c>
      <c r="H588" s="33">
        <f>19.2092 * CHOOSE(CONTROL!$C$32, $C$9, 100%, $E$9)</f>
        <v>19.209199999999999</v>
      </c>
      <c r="I588" s="33">
        <f>19.2128 * CHOOSE(CONTROL!$C$32, $C$9, 100%, $E$9)</f>
        <v>19.212800000000001</v>
      </c>
      <c r="J588" s="33">
        <f>19.2092 * CHOOSE(CONTROL!$C$32, $C$9, 100%, $E$9)</f>
        <v>19.209199999999999</v>
      </c>
      <c r="K588" s="33">
        <f>19.2128 * CHOOSE(CONTROL!$C$32, $C$9, 100%, $E$9)</f>
        <v>19.212800000000001</v>
      </c>
      <c r="L588" s="33">
        <f>9.626 * CHOOSE(CONTROL!$C$32, $C$9, 100%, $E$9)</f>
        <v>9.6259999999999994</v>
      </c>
      <c r="M588" s="33">
        <f>9.6296 * CHOOSE(CONTROL!$C$32, $C$9, 100%, $E$9)</f>
        <v>9.6295999999999999</v>
      </c>
      <c r="N588" s="33">
        <f>9.626 * CHOOSE(CONTROL!$C$32, $C$9, 100%, $E$9)</f>
        <v>9.6259999999999994</v>
      </c>
      <c r="O588" s="33">
        <f>9.6296 * CHOOSE(CONTROL!$C$32, $C$9, 100%, $E$9)</f>
        <v>9.6295999999999999</v>
      </c>
    </row>
    <row r="589" spans="1:15" ht="15" x14ac:dyDescent="0.2">
      <c r="A589" s="16">
        <v>59141</v>
      </c>
      <c r="B589" s="32">
        <f>8.5729 * CHOOSE(CONTROL!$C$32, $C$9, 100%, $E$9)</f>
        <v>8.5729000000000006</v>
      </c>
      <c r="C589" s="32">
        <f>8.5729 * CHOOSE(CONTROL!$C$32, $C$9, 100%, $E$9)</f>
        <v>8.5729000000000006</v>
      </c>
      <c r="D589" s="32">
        <f>8.5739 * CHOOSE(CONTROL!$C$32, $C$9, 100%, $E$9)</f>
        <v>8.5739000000000001</v>
      </c>
      <c r="E589" s="33">
        <f>9.5068 * CHOOSE(CONTROL!$C$32, $C$9, 100%, $E$9)</f>
        <v>9.5068000000000001</v>
      </c>
      <c r="F589" s="33">
        <f>9.5068 * CHOOSE(CONTROL!$C$32, $C$9, 100%, $E$9)</f>
        <v>9.5068000000000001</v>
      </c>
      <c r="G589" s="33">
        <f>9.5105 * CHOOSE(CONTROL!$C$32, $C$9, 100%, $E$9)</f>
        <v>9.5105000000000004</v>
      </c>
      <c r="H589" s="33">
        <f>19.2492 * CHOOSE(CONTROL!$C$32, $C$9, 100%, $E$9)</f>
        <v>19.249199999999998</v>
      </c>
      <c r="I589" s="33">
        <f>19.2529 * CHOOSE(CONTROL!$C$32, $C$9, 100%, $E$9)</f>
        <v>19.2529</v>
      </c>
      <c r="J589" s="33">
        <f>19.2492 * CHOOSE(CONTROL!$C$32, $C$9, 100%, $E$9)</f>
        <v>19.249199999999998</v>
      </c>
      <c r="K589" s="33">
        <f>19.2529 * CHOOSE(CONTROL!$C$32, $C$9, 100%, $E$9)</f>
        <v>19.2529</v>
      </c>
      <c r="L589" s="33">
        <f>9.5068 * CHOOSE(CONTROL!$C$32, $C$9, 100%, $E$9)</f>
        <v>9.5068000000000001</v>
      </c>
      <c r="M589" s="33">
        <f>9.5105 * CHOOSE(CONTROL!$C$32, $C$9, 100%, $E$9)</f>
        <v>9.5105000000000004</v>
      </c>
      <c r="N589" s="33">
        <f>9.5068 * CHOOSE(CONTROL!$C$32, $C$9, 100%, $E$9)</f>
        <v>9.5068000000000001</v>
      </c>
      <c r="O589" s="33">
        <f>9.5105 * CHOOSE(CONTROL!$C$32, $C$9, 100%, $E$9)</f>
        <v>9.5105000000000004</v>
      </c>
    </row>
    <row r="590" spans="1:15" ht="15" x14ac:dyDescent="0.2">
      <c r="A590" s="16">
        <v>59172</v>
      </c>
      <c r="B590" s="32">
        <f>8.6322 * CHOOSE(CONTROL!$C$32, $C$9, 100%, $E$9)</f>
        <v>8.6321999999999992</v>
      </c>
      <c r="C590" s="32">
        <f>8.6322 * CHOOSE(CONTROL!$C$32, $C$9, 100%, $E$9)</f>
        <v>8.6321999999999992</v>
      </c>
      <c r="D590" s="32">
        <f>8.6333 * CHOOSE(CONTROL!$C$32, $C$9, 100%, $E$9)</f>
        <v>8.6333000000000002</v>
      </c>
      <c r="E590" s="33">
        <f>9.6705 * CHOOSE(CONTROL!$C$32, $C$9, 100%, $E$9)</f>
        <v>9.6705000000000005</v>
      </c>
      <c r="F590" s="33">
        <f>9.6705 * CHOOSE(CONTROL!$C$32, $C$9, 100%, $E$9)</f>
        <v>9.6705000000000005</v>
      </c>
      <c r="G590" s="33">
        <f>9.6741 * CHOOSE(CONTROL!$C$32, $C$9, 100%, $E$9)</f>
        <v>9.6740999999999993</v>
      </c>
      <c r="H590" s="33">
        <f>19.2776 * CHOOSE(CONTROL!$C$32, $C$9, 100%, $E$9)</f>
        <v>19.2776</v>
      </c>
      <c r="I590" s="33">
        <f>19.2812 * CHOOSE(CONTROL!$C$32, $C$9, 100%, $E$9)</f>
        <v>19.281199999999998</v>
      </c>
      <c r="J590" s="33">
        <f>19.2776 * CHOOSE(CONTROL!$C$32, $C$9, 100%, $E$9)</f>
        <v>19.2776</v>
      </c>
      <c r="K590" s="33">
        <f>19.2812 * CHOOSE(CONTROL!$C$32, $C$9, 100%, $E$9)</f>
        <v>19.281199999999998</v>
      </c>
      <c r="L590" s="33">
        <f>9.6705 * CHOOSE(CONTROL!$C$32, $C$9, 100%, $E$9)</f>
        <v>9.6705000000000005</v>
      </c>
      <c r="M590" s="33">
        <f>9.6741 * CHOOSE(CONTROL!$C$32, $C$9, 100%, $E$9)</f>
        <v>9.6740999999999993</v>
      </c>
      <c r="N590" s="33">
        <f>9.6705 * CHOOSE(CONTROL!$C$32, $C$9, 100%, $E$9)</f>
        <v>9.6705000000000005</v>
      </c>
      <c r="O590" s="33">
        <f>9.6741 * CHOOSE(CONTROL!$C$32, $C$9, 100%, $E$9)</f>
        <v>9.6740999999999993</v>
      </c>
    </row>
    <row r="591" spans="1:15" ht="15" x14ac:dyDescent="0.2">
      <c r="A591" s="16">
        <v>59203</v>
      </c>
      <c r="B591" s="32">
        <f>8.6292 * CHOOSE(CONTROL!$C$32, $C$9, 100%, $E$9)</f>
        <v>8.6292000000000009</v>
      </c>
      <c r="C591" s="32">
        <f>8.6292 * CHOOSE(CONTROL!$C$32, $C$9, 100%, $E$9)</f>
        <v>8.6292000000000009</v>
      </c>
      <c r="D591" s="32">
        <f>8.6302 * CHOOSE(CONTROL!$C$32, $C$9, 100%, $E$9)</f>
        <v>8.6302000000000003</v>
      </c>
      <c r="E591" s="33">
        <f>9.4361 * CHOOSE(CONTROL!$C$32, $C$9, 100%, $E$9)</f>
        <v>9.4360999999999997</v>
      </c>
      <c r="F591" s="33">
        <f>9.4361 * CHOOSE(CONTROL!$C$32, $C$9, 100%, $E$9)</f>
        <v>9.4360999999999997</v>
      </c>
      <c r="G591" s="33">
        <f>9.4398 * CHOOSE(CONTROL!$C$32, $C$9, 100%, $E$9)</f>
        <v>9.4398</v>
      </c>
      <c r="H591" s="33">
        <f>19.3178 * CHOOSE(CONTROL!$C$32, $C$9, 100%, $E$9)</f>
        <v>19.317799999999998</v>
      </c>
      <c r="I591" s="33">
        <f>19.3214 * CHOOSE(CONTROL!$C$32, $C$9, 100%, $E$9)</f>
        <v>19.321400000000001</v>
      </c>
      <c r="J591" s="33">
        <f>19.3178 * CHOOSE(CONTROL!$C$32, $C$9, 100%, $E$9)</f>
        <v>19.317799999999998</v>
      </c>
      <c r="K591" s="33">
        <f>19.3214 * CHOOSE(CONTROL!$C$32, $C$9, 100%, $E$9)</f>
        <v>19.321400000000001</v>
      </c>
      <c r="L591" s="33">
        <f>9.4361 * CHOOSE(CONTROL!$C$32, $C$9, 100%, $E$9)</f>
        <v>9.4360999999999997</v>
      </c>
      <c r="M591" s="33">
        <f>9.4398 * CHOOSE(CONTROL!$C$32, $C$9, 100%, $E$9)</f>
        <v>9.4398</v>
      </c>
      <c r="N591" s="33">
        <f>9.4361 * CHOOSE(CONTROL!$C$32, $C$9, 100%, $E$9)</f>
        <v>9.4360999999999997</v>
      </c>
      <c r="O591" s="33">
        <f>9.4398 * CHOOSE(CONTROL!$C$32, $C$9, 100%, $E$9)</f>
        <v>9.4398</v>
      </c>
    </row>
    <row r="592" spans="1:15" ht="15" x14ac:dyDescent="0.2">
      <c r="A592" s="16">
        <v>59231</v>
      </c>
      <c r="B592" s="32">
        <f>8.6261 * CHOOSE(CONTROL!$C$32, $C$9, 100%, $E$9)</f>
        <v>8.6260999999999992</v>
      </c>
      <c r="C592" s="32">
        <f>8.6261 * CHOOSE(CONTROL!$C$32, $C$9, 100%, $E$9)</f>
        <v>8.6260999999999992</v>
      </c>
      <c r="D592" s="32">
        <f>8.6272 * CHOOSE(CONTROL!$C$32, $C$9, 100%, $E$9)</f>
        <v>8.6272000000000002</v>
      </c>
      <c r="E592" s="33">
        <f>9.6171 * CHOOSE(CONTROL!$C$32, $C$9, 100%, $E$9)</f>
        <v>9.6171000000000006</v>
      </c>
      <c r="F592" s="33">
        <f>9.6171 * CHOOSE(CONTROL!$C$32, $C$9, 100%, $E$9)</f>
        <v>9.6171000000000006</v>
      </c>
      <c r="G592" s="33">
        <f>9.6207 * CHOOSE(CONTROL!$C$32, $C$9, 100%, $E$9)</f>
        <v>9.6206999999999994</v>
      </c>
      <c r="H592" s="33">
        <f>19.358 * CHOOSE(CONTROL!$C$32, $C$9, 100%, $E$9)</f>
        <v>19.358000000000001</v>
      </c>
      <c r="I592" s="33">
        <f>19.3616 * CHOOSE(CONTROL!$C$32, $C$9, 100%, $E$9)</f>
        <v>19.361599999999999</v>
      </c>
      <c r="J592" s="33">
        <f>19.358 * CHOOSE(CONTROL!$C$32, $C$9, 100%, $E$9)</f>
        <v>19.358000000000001</v>
      </c>
      <c r="K592" s="33">
        <f>19.3616 * CHOOSE(CONTROL!$C$32, $C$9, 100%, $E$9)</f>
        <v>19.361599999999999</v>
      </c>
      <c r="L592" s="33">
        <f>9.6171 * CHOOSE(CONTROL!$C$32, $C$9, 100%, $E$9)</f>
        <v>9.6171000000000006</v>
      </c>
      <c r="M592" s="33">
        <f>9.6207 * CHOOSE(CONTROL!$C$32, $C$9, 100%, $E$9)</f>
        <v>9.6206999999999994</v>
      </c>
      <c r="N592" s="33">
        <f>9.6171 * CHOOSE(CONTROL!$C$32, $C$9, 100%, $E$9)</f>
        <v>9.6171000000000006</v>
      </c>
      <c r="O592" s="33">
        <f>9.6207 * CHOOSE(CONTROL!$C$32, $C$9, 100%, $E$9)</f>
        <v>9.6206999999999994</v>
      </c>
    </row>
    <row r="593" spans="1:15" ht="15" x14ac:dyDescent="0.2">
      <c r="A593" s="16">
        <v>59262</v>
      </c>
      <c r="B593" s="32">
        <f>8.6283 * CHOOSE(CONTROL!$C$32, $C$9, 100%, $E$9)</f>
        <v>8.6282999999999994</v>
      </c>
      <c r="C593" s="32">
        <f>8.6283 * CHOOSE(CONTROL!$C$32, $C$9, 100%, $E$9)</f>
        <v>8.6282999999999994</v>
      </c>
      <c r="D593" s="32">
        <f>8.6293 * CHOOSE(CONTROL!$C$32, $C$9, 100%, $E$9)</f>
        <v>8.6293000000000006</v>
      </c>
      <c r="E593" s="33">
        <f>9.8095 * CHOOSE(CONTROL!$C$32, $C$9, 100%, $E$9)</f>
        <v>9.8094999999999999</v>
      </c>
      <c r="F593" s="33">
        <f>9.8095 * CHOOSE(CONTROL!$C$32, $C$9, 100%, $E$9)</f>
        <v>9.8094999999999999</v>
      </c>
      <c r="G593" s="33">
        <f>9.8131 * CHOOSE(CONTROL!$C$32, $C$9, 100%, $E$9)</f>
        <v>9.8131000000000004</v>
      </c>
      <c r="H593" s="33">
        <f>19.3983 * CHOOSE(CONTROL!$C$32, $C$9, 100%, $E$9)</f>
        <v>19.398299999999999</v>
      </c>
      <c r="I593" s="33">
        <f>19.402 * CHOOSE(CONTROL!$C$32, $C$9, 100%, $E$9)</f>
        <v>19.402000000000001</v>
      </c>
      <c r="J593" s="33">
        <f>19.3983 * CHOOSE(CONTROL!$C$32, $C$9, 100%, $E$9)</f>
        <v>19.398299999999999</v>
      </c>
      <c r="K593" s="33">
        <f>19.402 * CHOOSE(CONTROL!$C$32, $C$9, 100%, $E$9)</f>
        <v>19.402000000000001</v>
      </c>
      <c r="L593" s="33">
        <f>9.8095 * CHOOSE(CONTROL!$C$32, $C$9, 100%, $E$9)</f>
        <v>9.8094999999999999</v>
      </c>
      <c r="M593" s="33">
        <f>9.8131 * CHOOSE(CONTROL!$C$32, $C$9, 100%, $E$9)</f>
        <v>9.8131000000000004</v>
      </c>
      <c r="N593" s="33">
        <f>9.8095 * CHOOSE(CONTROL!$C$32, $C$9, 100%, $E$9)</f>
        <v>9.8094999999999999</v>
      </c>
      <c r="O593" s="33">
        <f>9.8131 * CHOOSE(CONTROL!$C$32, $C$9, 100%, $E$9)</f>
        <v>9.8131000000000004</v>
      </c>
    </row>
    <row r="594" spans="1:15" ht="15" x14ac:dyDescent="0.2">
      <c r="A594" s="16">
        <v>59292</v>
      </c>
      <c r="B594" s="32">
        <f>8.6283 * CHOOSE(CONTROL!$C$32, $C$9, 100%, $E$9)</f>
        <v>8.6282999999999994</v>
      </c>
      <c r="C594" s="32">
        <f>8.6283 * CHOOSE(CONTROL!$C$32, $C$9, 100%, $E$9)</f>
        <v>8.6282999999999994</v>
      </c>
      <c r="D594" s="32">
        <f>8.6298 * CHOOSE(CONTROL!$C$32, $C$9, 100%, $E$9)</f>
        <v>8.6297999999999995</v>
      </c>
      <c r="E594" s="33">
        <f>9.8832 * CHOOSE(CONTROL!$C$32, $C$9, 100%, $E$9)</f>
        <v>9.8832000000000004</v>
      </c>
      <c r="F594" s="33">
        <f>9.8832 * CHOOSE(CONTROL!$C$32, $C$9, 100%, $E$9)</f>
        <v>9.8832000000000004</v>
      </c>
      <c r="G594" s="33">
        <f>9.8885 * CHOOSE(CONTROL!$C$32, $C$9, 100%, $E$9)</f>
        <v>9.8885000000000005</v>
      </c>
      <c r="H594" s="33">
        <f>19.4388 * CHOOSE(CONTROL!$C$32, $C$9, 100%, $E$9)</f>
        <v>19.438800000000001</v>
      </c>
      <c r="I594" s="33">
        <f>19.444 * CHOOSE(CONTROL!$C$32, $C$9, 100%, $E$9)</f>
        <v>19.443999999999999</v>
      </c>
      <c r="J594" s="33">
        <f>19.4388 * CHOOSE(CONTROL!$C$32, $C$9, 100%, $E$9)</f>
        <v>19.438800000000001</v>
      </c>
      <c r="K594" s="33">
        <f>19.444 * CHOOSE(CONTROL!$C$32, $C$9, 100%, $E$9)</f>
        <v>19.443999999999999</v>
      </c>
      <c r="L594" s="33">
        <f>9.8832 * CHOOSE(CONTROL!$C$32, $C$9, 100%, $E$9)</f>
        <v>9.8832000000000004</v>
      </c>
      <c r="M594" s="33">
        <f>9.8885 * CHOOSE(CONTROL!$C$32, $C$9, 100%, $E$9)</f>
        <v>9.8885000000000005</v>
      </c>
      <c r="N594" s="33">
        <f>9.8832 * CHOOSE(CONTROL!$C$32, $C$9, 100%, $E$9)</f>
        <v>9.8832000000000004</v>
      </c>
      <c r="O594" s="33">
        <f>9.8885 * CHOOSE(CONTROL!$C$32, $C$9, 100%, $E$9)</f>
        <v>9.8885000000000005</v>
      </c>
    </row>
    <row r="595" spans="1:15" ht="15" x14ac:dyDescent="0.2">
      <c r="A595" s="16">
        <v>59323</v>
      </c>
      <c r="B595" s="32">
        <f>8.6343 * CHOOSE(CONTROL!$C$32, $C$9, 100%, $E$9)</f>
        <v>8.6342999999999996</v>
      </c>
      <c r="C595" s="32">
        <f>8.6343 * CHOOSE(CONTROL!$C$32, $C$9, 100%, $E$9)</f>
        <v>8.6342999999999996</v>
      </c>
      <c r="D595" s="32">
        <f>8.6359 * CHOOSE(CONTROL!$C$32, $C$9, 100%, $E$9)</f>
        <v>8.6358999999999995</v>
      </c>
      <c r="E595" s="33">
        <f>9.8137 * CHOOSE(CONTROL!$C$32, $C$9, 100%, $E$9)</f>
        <v>9.8137000000000008</v>
      </c>
      <c r="F595" s="33">
        <f>9.8137 * CHOOSE(CONTROL!$C$32, $C$9, 100%, $E$9)</f>
        <v>9.8137000000000008</v>
      </c>
      <c r="G595" s="33">
        <f>9.819 * CHOOSE(CONTROL!$C$32, $C$9, 100%, $E$9)</f>
        <v>9.8190000000000008</v>
      </c>
      <c r="H595" s="33">
        <f>19.4793 * CHOOSE(CONTROL!$C$32, $C$9, 100%, $E$9)</f>
        <v>19.479299999999999</v>
      </c>
      <c r="I595" s="33">
        <f>19.4845 * CHOOSE(CONTROL!$C$32, $C$9, 100%, $E$9)</f>
        <v>19.484500000000001</v>
      </c>
      <c r="J595" s="33">
        <f>19.4793 * CHOOSE(CONTROL!$C$32, $C$9, 100%, $E$9)</f>
        <v>19.479299999999999</v>
      </c>
      <c r="K595" s="33">
        <f>19.4845 * CHOOSE(CONTROL!$C$32, $C$9, 100%, $E$9)</f>
        <v>19.484500000000001</v>
      </c>
      <c r="L595" s="33">
        <f>9.8137 * CHOOSE(CONTROL!$C$32, $C$9, 100%, $E$9)</f>
        <v>9.8137000000000008</v>
      </c>
      <c r="M595" s="33">
        <f>9.819 * CHOOSE(CONTROL!$C$32, $C$9, 100%, $E$9)</f>
        <v>9.8190000000000008</v>
      </c>
      <c r="N595" s="33">
        <f>9.8137 * CHOOSE(CONTROL!$C$32, $C$9, 100%, $E$9)</f>
        <v>9.8137000000000008</v>
      </c>
      <c r="O595" s="33">
        <f>9.819 * CHOOSE(CONTROL!$C$32, $C$9, 100%, $E$9)</f>
        <v>9.8190000000000008</v>
      </c>
    </row>
    <row r="596" spans="1:15" ht="15" x14ac:dyDescent="0.2">
      <c r="A596" s="16">
        <v>59353</v>
      </c>
      <c r="B596" s="32">
        <f>8.7437 * CHOOSE(CONTROL!$C$32, $C$9, 100%, $E$9)</f>
        <v>8.7437000000000005</v>
      </c>
      <c r="C596" s="32">
        <f>8.7437 * CHOOSE(CONTROL!$C$32, $C$9, 100%, $E$9)</f>
        <v>8.7437000000000005</v>
      </c>
      <c r="D596" s="32">
        <f>8.7453 * CHOOSE(CONTROL!$C$32, $C$9, 100%, $E$9)</f>
        <v>8.7453000000000003</v>
      </c>
      <c r="E596" s="33">
        <f>9.9502 * CHOOSE(CONTROL!$C$32, $C$9, 100%, $E$9)</f>
        <v>9.9502000000000006</v>
      </c>
      <c r="F596" s="33">
        <f>9.9502 * CHOOSE(CONTROL!$C$32, $C$9, 100%, $E$9)</f>
        <v>9.9502000000000006</v>
      </c>
      <c r="G596" s="33">
        <f>9.9555 * CHOOSE(CONTROL!$C$32, $C$9, 100%, $E$9)</f>
        <v>9.9555000000000007</v>
      </c>
      <c r="H596" s="33">
        <f>19.5198 * CHOOSE(CONTROL!$C$32, $C$9, 100%, $E$9)</f>
        <v>19.5198</v>
      </c>
      <c r="I596" s="33">
        <f>19.5251 * CHOOSE(CONTROL!$C$32, $C$9, 100%, $E$9)</f>
        <v>19.525099999999998</v>
      </c>
      <c r="J596" s="33">
        <f>19.5198 * CHOOSE(CONTROL!$C$32, $C$9, 100%, $E$9)</f>
        <v>19.5198</v>
      </c>
      <c r="K596" s="33">
        <f>19.5251 * CHOOSE(CONTROL!$C$32, $C$9, 100%, $E$9)</f>
        <v>19.525099999999998</v>
      </c>
      <c r="L596" s="33">
        <f>9.9502 * CHOOSE(CONTROL!$C$32, $C$9, 100%, $E$9)</f>
        <v>9.9502000000000006</v>
      </c>
      <c r="M596" s="33">
        <f>9.9555 * CHOOSE(CONTROL!$C$32, $C$9, 100%, $E$9)</f>
        <v>9.9555000000000007</v>
      </c>
      <c r="N596" s="33">
        <f>9.9502 * CHOOSE(CONTROL!$C$32, $C$9, 100%, $E$9)</f>
        <v>9.9502000000000006</v>
      </c>
      <c r="O596" s="33">
        <f>9.9555 * CHOOSE(CONTROL!$C$32, $C$9, 100%, $E$9)</f>
        <v>9.9555000000000007</v>
      </c>
    </row>
    <row r="597" spans="1:15" ht="15" x14ac:dyDescent="0.2">
      <c r="A597" s="16">
        <v>59384</v>
      </c>
      <c r="B597" s="32">
        <f>8.7504 * CHOOSE(CONTROL!$C$32, $C$9, 100%, $E$9)</f>
        <v>8.7504000000000008</v>
      </c>
      <c r="C597" s="32">
        <f>8.7504 * CHOOSE(CONTROL!$C$32, $C$9, 100%, $E$9)</f>
        <v>8.7504000000000008</v>
      </c>
      <c r="D597" s="32">
        <f>8.752 * CHOOSE(CONTROL!$C$32, $C$9, 100%, $E$9)</f>
        <v>8.7520000000000007</v>
      </c>
      <c r="E597" s="33">
        <f>9.7337 * CHOOSE(CONTROL!$C$32, $C$9, 100%, $E$9)</f>
        <v>9.7337000000000007</v>
      </c>
      <c r="F597" s="33">
        <f>9.7337 * CHOOSE(CONTROL!$C$32, $C$9, 100%, $E$9)</f>
        <v>9.7337000000000007</v>
      </c>
      <c r="G597" s="33">
        <f>9.739 * CHOOSE(CONTROL!$C$32, $C$9, 100%, $E$9)</f>
        <v>9.7390000000000008</v>
      </c>
      <c r="H597" s="33">
        <f>19.5605 * CHOOSE(CONTROL!$C$32, $C$9, 100%, $E$9)</f>
        <v>19.560500000000001</v>
      </c>
      <c r="I597" s="33">
        <f>19.5658 * CHOOSE(CONTROL!$C$32, $C$9, 100%, $E$9)</f>
        <v>19.565799999999999</v>
      </c>
      <c r="J597" s="33">
        <f>19.5605 * CHOOSE(CONTROL!$C$32, $C$9, 100%, $E$9)</f>
        <v>19.560500000000001</v>
      </c>
      <c r="K597" s="33">
        <f>19.5658 * CHOOSE(CONTROL!$C$32, $C$9, 100%, $E$9)</f>
        <v>19.565799999999999</v>
      </c>
      <c r="L597" s="33">
        <f>9.7337 * CHOOSE(CONTROL!$C$32, $C$9, 100%, $E$9)</f>
        <v>9.7337000000000007</v>
      </c>
      <c r="M597" s="33">
        <f>9.739 * CHOOSE(CONTROL!$C$32, $C$9, 100%, $E$9)</f>
        <v>9.7390000000000008</v>
      </c>
      <c r="N597" s="33">
        <f>9.7337 * CHOOSE(CONTROL!$C$32, $C$9, 100%, $E$9)</f>
        <v>9.7337000000000007</v>
      </c>
      <c r="O597" s="33">
        <f>9.739 * CHOOSE(CONTROL!$C$32, $C$9, 100%, $E$9)</f>
        <v>9.7390000000000008</v>
      </c>
    </row>
    <row r="598" spans="1:15" ht="15" x14ac:dyDescent="0.2">
      <c r="A598" s="16">
        <v>59415</v>
      </c>
      <c r="B598" s="32">
        <f>8.7474 * CHOOSE(CONTROL!$C$32, $C$9, 100%, $E$9)</f>
        <v>8.7474000000000007</v>
      </c>
      <c r="C598" s="32">
        <f>8.7474 * CHOOSE(CONTROL!$C$32, $C$9, 100%, $E$9)</f>
        <v>8.7474000000000007</v>
      </c>
      <c r="D598" s="32">
        <f>8.749 * CHOOSE(CONTROL!$C$32, $C$9, 100%, $E$9)</f>
        <v>8.7490000000000006</v>
      </c>
      <c r="E598" s="33">
        <f>9.707 * CHOOSE(CONTROL!$C$32, $C$9, 100%, $E$9)</f>
        <v>9.7070000000000007</v>
      </c>
      <c r="F598" s="33">
        <f>9.707 * CHOOSE(CONTROL!$C$32, $C$9, 100%, $E$9)</f>
        <v>9.7070000000000007</v>
      </c>
      <c r="G598" s="33">
        <f>9.7123 * CHOOSE(CONTROL!$C$32, $C$9, 100%, $E$9)</f>
        <v>9.7123000000000008</v>
      </c>
      <c r="H598" s="33">
        <f>19.6012 * CHOOSE(CONTROL!$C$32, $C$9, 100%, $E$9)</f>
        <v>19.601199999999999</v>
      </c>
      <c r="I598" s="33">
        <f>19.6065 * CHOOSE(CONTROL!$C$32, $C$9, 100%, $E$9)</f>
        <v>19.6065</v>
      </c>
      <c r="J598" s="33">
        <f>19.6012 * CHOOSE(CONTROL!$C$32, $C$9, 100%, $E$9)</f>
        <v>19.601199999999999</v>
      </c>
      <c r="K598" s="33">
        <f>19.6065 * CHOOSE(CONTROL!$C$32, $C$9, 100%, $E$9)</f>
        <v>19.6065</v>
      </c>
      <c r="L598" s="33">
        <f>9.707 * CHOOSE(CONTROL!$C$32, $C$9, 100%, $E$9)</f>
        <v>9.7070000000000007</v>
      </c>
      <c r="M598" s="33">
        <f>9.7123 * CHOOSE(CONTROL!$C$32, $C$9, 100%, $E$9)</f>
        <v>9.7123000000000008</v>
      </c>
      <c r="N598" s="33">
        <f>9.707 * CHOOSE(CONTROL!$C$32, $C$9, 100%, $E$9)</f>
        <v>9.7070000000000007</v>
      </c>
      <c r="O598" s="33">
        <f>9.7123 * CHOOSE(CONTROL!$C$32, $C$9, 100%, $E$9)</f>
        <v>9.7123000000000008</v>
      </c>
    </row>
    <row r="599" spans="1:15" ht="15" x14ac:dyDescent="0.2">
      <c r="A599" s="16">
        <v>59445</v>
      </c>
      <c r="B599" s="32">
        <f>8.7601 * CHOOSE(CONTROL!$C$32, $C$9, 100%, $E$9)</f>
        <v>8.7600999999999996</v>
      </c>
      <c r="C599" s="32">
        <f>8.7601 * CHOOSE(CONTROL!$C$32, $C$9, 100%, $E$9)</f>
        <v>8.7600999999999996</v>
      </c>
      <c r="D599" s="32">
        <f>8.7612 * CHOOSE(CONTROL!$C$32, $C$9, 100%, $E$9)</f>
        <v>8.7612000000000005</v>
      </c>
      <c r="E599" s="33">
        <f>9.7919 * CHOOSE(CONTROL!$C$32, $C$9, 100%, $E$9)</f>
        <v>9.7919</v>
      </c>
      <c r="F599" s="33">
        <f>9.7919 * CHOOSE(CONTROL!$C$32, $C$9, 100%, $E$9)</f>
        <v>9.7919</v>
      </c>
      <c r="G599" s="33">
        <f>9.7955 * CHOOSE(CONTROL!$C$32, $C$9, 100%, $E$9)</f>
        <v>9.7955000000000005</v>
      </c>
      <c r="H599" s="33">
        <f>19.6421 * CHOOSE(CONTROL!$C$32, $C$9, 100%, $E$9)</f>
        <v>19.642099999999999</v>
      </c>
      <c r="I599" s="33">
        <f>19.6457 * CHOOSE(CONTROL!$C$32, $C$9, 100%, $E$9)</f>
        <v>19.645700000000001</v>
      </c>
      <c r="J599" s="33">
        <f>19.6421 * CHOOSE(CONTROL!$C$32, $C$9, 100%, $E$9)</f>
        <v>19.642099999999999</v>
      </c>
      <c r="K599" s="33">
        <f>19.6457 * CHOOSE(CONTROL!$C$32, $C$9, 100%, $E$9)</f>
        <v>19.645700000000001</v>
      </c>
      <c r="L599" s="33">
        <f>9.7919 * CHOOSE(CONTROL!$C$32, $C$9, 100%, $E$9)</f>
        <v>9.7919</v>
      </c>
      <c r="M599" s="33">
        <f>9.7955 * CHOOSE(CONTROL!$C$32, $C$9, 100%, $E$9)</f>
        <v>9.7955000000000005</v>
      </c>
      <c r="N599" s="33">
        <f>9.7919 * CHOOSE(CONTROL!$C$32, $C$9, 100%, $E$9)</f>
        <v>9.7919</v>
      </c>
      <c r="O599" s="33">
        <f>9.7955 * CHOOSE(CONTROL!$C$32, $C$9, 100%, $E$9)</f>
        <v>9.7955000000000005</v>
      </c>
    </row>
    <row r="600" spans="1:15" ht="15" x14ac:dyDescent="0.2">
      <c r="A600" s="16">
        <v>59476</v>
      </c>
      <c r="B600" s="32">
        <f>8.7632 * CHOOSE(CONTROL!$C$32, $C$9, 100%, $E$9)</f>
        <v>8.7631999999999994</v>
      </c>
      <c r="C600" s="32">
        <f>8.7632 * CHOOSE(CONTROL!$C$32, $C$9, 100%, $E$9)</f>
        <v>8.7631999999999994</v>
      </c>
      <c r="D600" s="32">
        <f>8.7643 * CHOOSE(CONTROL!$C$32, $C$9, 100%, $E$9)</f>
        <v>8.7643000000000004</v>
      </c>
      <c r="E600" s="33">
        <f>9.8432 * CHOOSE(CONTROL!$C$32, $C$9, 100%, $E$9)</f>
        <v>9.8431999999999995</v>
      </c>
      <c r="F600" s="33">
        <f>9.8432 * CHOOSE(CONTROL!$C$32, $C$9, 100%, $E$9)</f>
        <v>9.8431999999999995</v>
      </c>
      <c r="G600" s="33">
        <f>9.8468 * CHOOSE(CONTROL!$C$32, $C$9, 100%, $E$9)</f>
        <v>9.8468</v>
      </c>
      <c r="H600" s="33">
        <f>19.683 * CHOOSE(CONTROL!$C$32, $C$9, 100%, $E$9)</f>
        <v>19.683</v>
      </c>
      <c r="I600" s="33">
        <f>19.6866 * CHOOSE(CONTROL!$C$32, $C$9, 100%, $E$9)</f>
        <v>19.686599999999999</v>
      </c>
      <c r="J600" s="33">
        <f>19.683 * CHOOSE(CONTROL!$C$32, $C$9, 100%, $E$9)</f>
        <v>19.683</v>
      </c>
      <c r="K600" s="33">
        <f>19.6866 * CHOOSE(CONTROL!$C$32, $C$9, 100%, $E$9)</f>
        <v>19.686599999999999</v>
      </c>
      <c r="L600" s="33">
        <f>9.8432 * CHOOSE(CONTROL!$C$32, $C$9, 100%, $E$9)</f>
        <v>9.8431999999999995</v>
      </c>
      <c r="M600" s="33">
        <f>9.8468 * CHOOSE(CONTROL!$C$32, $C$9, 100%, $E$9)</f>
        <v>9.8468</v>
      </c>
      <c r="N600" s="33">
        <f>9.8432 * CHOOSE(CONTROL!$C$32, $C$9, 100%, $E$9)</f>
        <v>9.8431999999999995</v>
      </c>
      <c r="O600" s="33">
        <f>9.8468 * CHOOSE(CONTROL!$C$32, $C$9, 100%, $E$9)</f>
        <v>9.8468</v>
      </c>
    </row>
    <row r="601" spans="1:15" ht="15" x14ac:dyDescent="0.2">
      <c r="A601" s="16">
        <v>59506</v>
      </c>
      <c r="B601" s="32">
        <f>8.7632 * CHOOSE(CONTROL!$C$32, $C$9, 100%, $E$9)</f>
        <v>8.7631999999999994</v>
      </c>
      <c r="C601" s="32">
        <f>8.7632 * CHOOSE(CONTROL!$C$32, $C$9, 100%, $E$9)</f>
        <v>8.7631999999999994</v>
      </c>
      <c r="D601" s="32">
        <f>8.7643 * CHOOSE(CONTROL!$C$32, $C$9, 100%, $E$9)</f>
        <v>8.7643000000000004</v>
      </c>
      <c r="E601" s="33">
        <f>9.7203 * CHOOSE(CONTROL!$C$32, $C$9, 100%, $E$9)</f>
        <v>9.7202999999999999</v>
      </c>
      <c r="F601" s="33">
        <f>9.7203 * CHOOSE(CONTROL!$C$32, $C$9, 100%, $E$9)</f>
        <v>9.7202999999999999</v>
      </c>
      <c r="G601" s="33">
        <f>9.7239 * CHOOSE(CONTROL!$C$32, $C$9, 100%, $E$9)</f>
        <v>9.7239000000000004</v>
      </c>
      <c r="H601" s="33">
        <f>19.724 * CHOOSE(CONTROL!$C$32, $C$9, 100%, $E$9)</f>
        <v>19.724</v>
      </c>
      <c r="I601" s="33">
        <f>19.7276 * CHOOSE(CONTROL!$C$32, $C$9, 100%, $E$9)</f>
        <v>19.727599999999999</v>
      </c>
      <c r="J601" s="33">
        <f>19.724 * CHOOSE(CONTROL!$C$32, $C$9, 100%, $E$9)</f>
        <v>19.724</v>
      </c>
      <c r="K601" s="33">
        <f>19.7276 * CHOOSE(CONTROL!$C$32, $C$9, 100%, $E$9)</f>
        <v>19.727599999999999</v>
      </c>
      <c r="L601" s="33">
        <f>9.7203 * CHOOSE(CONTROL!$C$32, $C$9, 100%, $E$9)</f>
        <v>9.7202999999999999</v>
      </c>
      <c r="M601" s="33">
        <f>9.7239 * CHOOSE(CONTROL!$C$32, $C$9, 100%, $E$9)</f>
        <v>9.7239000000000004</v>
      </c>
      <c r="N601" s="33">
        <f>9.7203 * CHOOSE(CONTROL!$C$32, $C$9, 100%, $E$9)</f>
        <v>9.7202999999999999</v>
      </c>
      <c r="O601" s="33">
        <f>9.7239 * CHOOSE(CONTROL!$C$32, $C$9, 100%, $E$9)</f>
        <v>9.7239000000000004</v>
      </c>
    </row>
    <row r="602" spans="1:15" ht="15" x14ac:dyDescent="0.2">
      <c r="A602" s="16">
        <v>59537</v>
      </c>
      <c r="B602" s="32">
        <f>8.8196 * CHOOSE(CONTROL!$C$32, $C$9, 100%, $E$9)</f>
        <v>8.8195999999999994</v>
      </c>
      <c r="C602" s="32">
        <f>8.8196 * CHOOSE(CONTROL!$C$32, $C$9, 100%, $E$9)</f>
        <v>8.8195999999999994</v>
      </c>
      <c r="D602" s="32">
        <f>8.8206 * CHOOSE(CONTROL!$C$32, $C$9, 100%, $E$9)</f>
        <v>8.8206000000000007</v>
      </c>
      <c r="E602" s="33">
        <f>9.883 * CHOOSE(CONTROL!$C$32, $C$9, 100%, $E$9)</f>
        <v>9.8829999999999991</v>
      </c>
      <c r="F602" s="33">
        <f>9.883 * CHOOSE(CONTROL!$C$32, $C$9, 100%, $E$9)</f>
        <v>9.8829999999999991</v>
      </c>
      <c r="G602" s="33">
        <f>9.8866 * CHOOSE(CONTROL!$C$32, $C$9, 100%, $E$9)</f>
        <v>9.8865999999999996</v>
      </c>
      <c r="H602" s="33">
        <f>19.7416 * CHOOSE(CONTROL!$C$32, $C$9, 100%, $E$9)</f>
        <v>19.741599999999998</v>
      </c>
      <c r="I602" s="33">
        <f>19.7453 * CHOOSE(CONTROL!$C$32, $C$9, 100%, $E$9)</f>
        <v>19.7453</v>
      </c>
      <c r="J602" s="33">
        <f>19.7416 * CHOOSE(CONTROL!$C$32, $C$9, 100%, $E$9)</f>
        <v>19.741599999999998</v>
      </c>
      <c r="K602" s="33">
        <f>19.7453 * CHOOSE(CONTROL!$C$32, $C$9, 100%, $E$9)</f>
        <v>19.7453</v>
      </c>
      <c r="L602" s="33">
        <f>9.883 * CHOOSE(CONTROL!$C$32, $C$9, 100%, $E$9)</f>
        <v>9.8829999999999991</v>
      </c>
      <c r="M602" s="33">
        <f>9.8866 * CHOOSE(CONTROL!$C$32, $C$9, 100%, $E$9)</f>
        <v>9.8865999999999996</v>
      </c>
      <c r="N602" s="33">
        <f>9.883 * CHOOSE(CONTROL!$C$32, $C$9, 100%, $E$9)</f>
        <v>9.8829999999999991</v>
      </c>
      <c r="O602" s="33">
        <f>9.8866 * CHOOSE(CONTROL!$C$32, $C$9, 100%, $E$9)</f>
        <v>9.8865999999999996</v>
      </c>
    </row>
    <row r="603" spans="1:15" ht="15" x14ac:dyDescent="0.2">
      <c r="A603" s="16">
        <v>59568</v>
      </c>
      <c r="B603" s="32">
        <f>8.8165 * CHOOSE(CONTROL!$C$32, $C$9, 100%, $E$9)</f>
        <v>8.8164999999999996</v>
      </c>
      <c r="C603" s="32">
        <f>8.8165 * CHOOSE(CONTROL!$C$32, $C$9, 100%, $E$9)</f>
        <v>8.8164999999999996</v>
      </c>
      <c r="D603" s="32">
        <f>8.8176 * CHOOSE(CONTROL!$C$32, $C$9, 100%, $E$9)</f>
        <v>8.8176000000000005</v>
      </c>
      <c r="E603" s="33">
        <f>9.6416 * CHOOSE(CONTROL!$C$32, $C$9, 100%, $E$9)</f>
        <v>9.6416000000000004</v>
      </c>
      <c r="F603" s="33">
        <f>9.6416 * CHOOSE(CONTROL!$C$32, $C$9, 100%, $E$9)</f>
        <v>9.6416000000000004</v>
      </c>
      <c r="G603" s="33">
        <f>9.6452 * CHOOSE(CONTROL!$C$32, $C$9, 100%, $E$9)</f>
        <v>9.6452000000000009</v>
      </c>
      <c r="H603" s="33">
        <f>19.7828 * CHOOSE(CONTROL!$C$32, $C$9, 100%, $E$9)</f>
        <v>19.782800000000002</v>
      </c>
      <c r="I603" s="33">
        <f>19.7864 * CHOOSE(CONTROL!$C$32, $C$9, 100%, $E$9)</f>
        <v>19.7864</v>
      </c>
      <c r="J603" s="33">
        <f>19.7828 * CHOOSE(CONTROL!$C$32, $C$9, 100%, $E$9)</f>
        <v>19.782800000000002</v>
      </c>
      <c r="K603" s="33">
        <f>19.7864 * CHOOSE(CONTROL!$C$32, $C$9, 100%, $E$9)</f>
        <v>19.7864</v>
      </c>
      <c r="L603" s="33">
        <f>9.6416 * CHOOSE(CONTROL!$C$32, $C$9, 100%, $E$9)</f>
        <v>9.6416000000000004</v>
      </c>
      <c r="M603" s="33">
        <f>9.6452 * CHOOSE(CONTROL!$C$32, $C$9, 100%, $E$9)</f>
        <v>9.6452000000000009</v>
      </c>
      <c r="N603" s="33">
        <f>9.6416 * CHOOSE(CONTROL!$C$32, $C$9, 100%, $E$9)</f>
        <v>9.6416000000000004</v>
      </c>
      <c r="O603" s="33">
        <f>9.6452 * CHOOSE(CONTROL!$C$32, $C$9, 100%, $E$9)</f>
        <v>9.6452000000000009</v>
      </c>
    </row>
    <row r="604" spans="1:15" ht="15" x14ac:dyDescent="0.2">
      <c r="A604" s="16">
        <v>59596</v>
      </c>
      <c r="B604" s="32">
        <f>8.8135 * CHOOSE(CONTROL!$C$32, $C$9, 100%, $E$9)</f>
        <v>8.8134999999999994</v>
      </c>
      <c r="C604" s="32">
        <f>8.8135 * CHOOSE(CONTROL!$C$32, $C$9, 100%, $E$9)</f>
        <v>8.8134999999999994</v>
      </c>
      <c r="D604" s="32">
        <f>8.8146 * CHOOSE(CONTROL!$C$32, $C$9, 100%, $E$9)</f>
        <v>8.8146000000000004</v>
      </c>
      <c r="E604" s="33">
        <f>9.8281 * CHOOSE(CONTROL!$C$32, $C$9, 100%, $E$9)</f>
        <v>9.8280999999999992</v>
      </c>
      <c r="F604" s="33">
        <f>9.8281 * CHOOSE(CONTROL!$C$32, $C$9, 100%, $E$9)</f>
        <v>9.8280999999999992</v>
      </c>
      <c r="G604" s="33">
        <f>9.8317 * CHOOSE(CONTROL!$C$32, $C$9, 100%, $E$9)</f>
        <v>9.8316999999999997</v>
      </c>
      <c r="H604" s="33">
        <f>19.824 * CHOOSE(CONTROL!$C$32, $C$9, 100%, $E$9)</f>
        <v>19.824000000000002</v>
      </c>
      <c r="I604" s="33">
        <f>19.8276 * CHOOSE(CONTROL!$C$32, $C$9, 100%, $E$9)</f>
        <v>19.8276</v>
      </c>
      <c r="J604" s="33">
        <f>19.824 * CHOOSE(CONTROL!$C$32, $C$9, 100%, $E$9)</f>
        <v>19.824000000000002</v>
      </c>
      <c r="K604" s="33">
        <f>19.8276 * CHOOSE(CONTROL!$C$32, $C$9, 100%, $E$9)</f>
        <v>19.8276</v>
      </c>
      <c r="L604" s="33">
        <f>9.8281 * CHOOSE(CONTROL!$C$32, $C$9, 100%, $E$9)</f>
        <v>9.8280999999999992</v>
      </c>
      <c r="M604" s="33">
        <f>9.8317 * CHOOSE(CONTROL!$C$32, $C$9, 100%, $E$9)</f>
        <v>9.8316999999999997</v>
      </c>
      <c r="N604" s="33">
        <f>9.8281 * CHOOSE(CONTROL!$C$32, $C$9, 100%, $E$9)</f>
        <v>9.8280999999999992</v>
      </c>
      <c r="O604" s="33">
        <f>9.8317 * CHOOSE(CONTROL!$C$32, $C$9, 100%, $E$9)</f>
        <v>9.8316999999999997</v>
      </c>
    </row>
    <row r="605" spans="1:15" ht="15" x14ac:dyDescent="0.2">
      <c r="A605" s="16">
        <v>59627</v>
      </c>
      <c r="B605" s="32">
        <f>8.8158 * CHOOSE(CONTROL!$C$32, $C$9, 100%, $E$9)</f>
        <v>8.8157999999999994</v>
      </c>
      <c r="C605" s="32">
        <f>8.8158 * CHOOSE(CONTROL!$C$32, $C$9, 100%, $E$9)</f>
        <v>8.8157999999999994</v>
      </c>
      <c r="D605" s="32">
        <f>8.8169 * CHOOSE(CONTROL!$C$32, $C$9, 100%, $E$9)</f>
        <v>8.8169000000000004</v>
      </c>
      <c r="E605" s="33">
        <f>10.0265 * CHOOSE(CONTROL!$C$32, $C$9, 100%, $E$9)</f>
        <v>10.0265</v>
      </c>
      <c r="F605" s="33">
        <f>10.0265 * CHOOSE(CONTROL!$C$32, $C$9, 100%, $E$9)</f>
        <v>10.0265</v>
      </c>
      <c r="G605" s="33">
        <f>10.0301 * CHOOSE(CONTROL!$C$32, $C$9, 100%, $E$9)</f>
        <v>10.030099999999999</v>
      </c>
      <c r="H605" s="33">
        <f>19.8653 * CHOOSE(CONTROL!$C$32, $C$9, 100%, $E$9)</f>
        <v>19.865300000000001</v>
      </c>
      <c r="I605" s="33">
        <f>19.8689 * CHOOSE(CONTROL!$C$32, $C$9, 100%, $E$9)</f>
        <v>19.8689</v>
      </c>
      <c r="J605" s="33">
        <f>19.8653 * CHOOSE(CONTROL!$C$32, $C$9, 100%, $E$9)</f>
        <v>19.865300000000001</v>
      </c>
      <c r="K605" s="33">
        <f>19.8689 * CHOOSE(CONTROL!$C$32, $C$9, 100%, $E$9)</f>
        <v>19.8689</v>
      </c>
      <c r="L605" s="33">
        <f>10.0265 * CHOOSE(CONTROL!$C$32, $C$9, 100%, $E$9)</f>
        <v>10.0265</v>
      </c>
      <c r="M605" s="33">
        <f>10.0301 * CHOOSE(CONTROL!$C$32, $C$9, 100%, $E$9)</f>
        <v>10.030099999999999</v>
      </c>
      <c r="N605" s="33">
        <f>10.0265 * CHOOSE(CONTROL!$C$32, $C$9, 100%, $E$9)</f>
        <v>10.0265</v>
      </c>
      <c r="O605" s="33">
        <f>10.0301 * CHOOSE(CONTROL!$C$32, $C$9, 100%, $E$9)</f>
        <v>10.030099999999999</v>
      </c>
    </row>
    <row r="606" spans="1:15" ht="15" x14ac:dyDescent="0.2">
      <c r="A606" s="16">
        <v>59657</v>
      </c>
      <c r="B606" s="32">
        <f>8.8158 * CHOOSE(CONTROL!$C$32, $C$9, 100%, $E$9)</f>
        <v>8.8157999999999994</v>
      </c>
      <c r="C606" s="32">
        <f>8.8158 * CHOOSE(CONTROL!$C$32, $C$9, 100%, $E$9)</f>
        <v>8.8157999999999994</v>
      </c>
      <c r="D606" s="32">
        <f>8.8174 * CHOOSE(CONTROL!$C$32, $C$9, 100%, $E$9)</f>
        <v>8.8173999999999992</v>
      </c>
      <c r="E606" s="33">
        <f>10.1024 * CHOOSE(CONTROL!$C$32, $C$9, 100%, $E$9)</f>
        <v>10.102399999999999</v>
      </c>
      <c r="F606" s="33">
        <f>10.1024 * CHOOSE(CONTROL!$C$32, $C$9, 100%, $E$9)</f>
        <v>10.102399999999999</v>
      </c>
      <c r="G606" s="33">
        <f>10.1077 * CHOOSE(CONTROL!$C$32, $C$9, 100%, $E$9)</f>
        <v>10.107699999999999</v>
      </c>
      <c r="H606" s="33">
        <f>19.9067 * CHOOSE(CONTROL!$C$32, $C$9, 100%, $E$9)</f>
        <v>19.906700000000001</v>
      </c>
      <c r="I606" s="33">
        <f>19.912 * CHOOSE(CONTROL!$C$32, $C$9, 100%, $E$9)</f>
        <v>19.911999999999999</v>
      </c>
      <c r="J606" s="33">
        <f>19.9067 * CHOOSE(CONTROL!$C$32, $C$9, 100%, $E$9)</f>
        <v>19.906700000000001</v>
      </c>
      <c r="K606" s="33">
        <f>19.912 * CHOOSE(CONTROL!$C$32, $C$9, 100%, $E$9)</f>
        <v>19.911999999999999</v>
      </c>
      <c r="L606" s="33">
        <f>10.1024 * CHOOSE(CONTROL!$C$32, $C$9, 100%, $E$9)</f>
        <v>10.102399999999999</v>
      </c>
      <c r="M606" s="33">
        <f>10.1077 * CHOOSE(CONTROL!$C$32, $C$9, 100%, $E$9)</f>
        <v>10.107699999999999</v>
      </c>
      <c r="N606" s="33">
        <f>10.1024 * CHOOSE(CONTROL!$C$32, $C$9, 100%, $E$9)</f>
        <v>10.102399999999999</v>
      </c>
      <c r="O606" s="33">
        <f>10.1077 * CHOOSE(CONTROL!$C$32, $C$9, 100%, $E$9)</f>
        <v>10.107699999999999</v>
      </c>
    </row>
    <row r="607" spans="1:15" ht="15" x14ac:dyDescent="0.2">
      <c r="A607" s="16">
        <v>59688</v>
      </c>
      <c r="B607" s="32">
        <f>8.8219 * CHOOSE(CONTROL!$C$32, $C$9, 100%, $E$9)</f>
        <v>8.8218999999999994</v>
      </c>
      <c r="C607" s="32">
        <f>8.8219 * CHOOSE(CONTROL!$C$32, $C$9, 100%, $E$9)</f>
        <v>8.8218999999999994</v>
      </c>
      <c r="D607" s="32">
        <f>8.8235 * CHOOSE(CONTROL!$C$32, $C$9, 100%, $E$9)</f>
        <v>8.8234999999999992</v>
      </c>
      <c r="E607" s="33">
        <f>10.0307 * CHOOSE(CONTROL!$C$32, $C$9, 100%, $E$9)</f>
        <v>10.0307</v>
      </c>
      <c r="F607" s="33">
        <f>10.0307 * CHOOSE(CONTROL!$C$32, $C$9, 100%, $E$9)</f>
        <v>10.0307</v>
      </c>
      <c r="G607" s="33">
        <f>10.036 * CHOOSE(CONTROL!$C$32, $C$9, 100%, $E$9)</f>
        <v>10.036</v>
      </c>
      <c r="H607" s="33">
        <f>19.9481 * CHOOSE(CONTROL!$C$32, $C$9, 100%, $E$9)</f>
        <v>19.9481</v>
      </c>
      <c r="I607" s="33">
        <f>19.9534 * CHOOSE(CONTROL!$C$32, $C$9, 100%, $E$9)</f>
        <v>19.953399999999998</v>
      </c>
      <c r="J607" s="33">
        <f>19.9481 * CHOOSE(CONTROL!$C$32, $C$9, 100%, $E$9)</f>
        <v>19.9481</v>
      </c>
      <c r="K607" s="33">
        <f>19.9534 * CHOOSE(CONTROL!$C$32, $C$9, 100%, $E$9)</f>
        <v>19.953399999999998</v>
      </c>
      <c r="L607" s="33">
        <f>10.0307 * CHOOSE(CONTROL!$C$32, $C$9, 100%, $E$9)</f>
        <v>10.0307</v>
      </c>
      <c r="M607" s="33">
        <f>10.036 * CHOOSE(CONTROL!$C$32, $C$9, 100%, $E$9)</f>
        <v>10.036</v>
      </c>
      <c r="N607" s="33">
        <f>10.0307 * CHOOSE(CONTROL!$C$32, $C$9, 100%, $E$9)</f>
        <v>10.0307</v>
      </c>
      <c r="O607" s="33">
        <f>10.036 * CHOOSE(CONTROL!$C$32, $C$9, 100%, $E$9)</f>
        <v>10.036</v>
      </c>
    </row>
    <row r="608" spans="1:15" ht="15" x14ac:dyDescent="0.2">
      <c r="A608" s="16">
        <v>59718</v>
      </c>
      <c r="B608" s="32">
        <f>8.9333 * CHOOSE(CONTROL!$C$32, $C$9, 100%, $E$9)</f>
        <v>8.9332999999999991</v>
      </c>
      <c r="C608" s="32">
        <f>8.9333 * CHOOSE(CONTROL!$C$32, $C$9, 100%, $E$9)</f>
        <v>8.9332999999999991</v>
      </c>
      <c r="D608" s="32">
        <f>8.9349 * CHOOSE(CONTROL!$C$32, $C$9, 100%, $E$9)</f>
        <v>8.9349000000000007</v>
      </c>
      <c r="E608" s="33">
        <f>10.1704 * CHOOSE(CONTROL!$C$32, $C$9, 100%, $E$9)</f>
        <v>10.170400000000001</v>
      </c>
      <c r="F608" s="33">
        <f>10.1704 * CHOOSE(CONTROL!$C$32, $C$9, 100%, $E$9)</f>
        <v>10.170400000000001</v>
      </c>
      <c r="G608" s="33">
        <f>10.1757 * CHOOSE(CONTROL!$C$32, $C$9, 100%, $E$9)</f>
        <v>10.175700000000001</v>
      </c>
      <c r="H608" s="33">
        <f>19.9897 * CHOOSE(CONTROL!$C$32, $C$9, 100%, $E$9)</f>
        <v>19.989699999999999</v>
      </c>
      <c r="I608" s="33">
        <f>19.995 * CHOOSE(CONTROL!$C$32, $C$9, 100%, $E$9)</f>
        <v>19.995000000000001</v>
      </c>
      <c r="J608" s="33">
        <f>19.9897 * CHOOSE(CONTROL!$C$32, $C$9, 100%, $E$9)</f>
        <v>19.989699999999999</v>
      </c>
      <c r="K608" s="33">
        <f>19.995 * CHOOSE(CONTROL!$C$32, $C$9, 100%, $E$9)</f>
        <v>19.995000000000001</v>
      </c>
      <c r="L608" s="33">
        <f>10.1704 * CHOOSE(CONTROL!$C$32, $C$9, 100%, $E$9)</f>
        <v>10.170400000000001</v>
      </c>
      <c r="M608" s="33">
        <f>10.1757 * CHOOSE(CONTROL!$C$32, $C$9, 100%, $E$9)</f>
        <v>10.175700000000001</v>
      </c>
      <c r="N608" s="33">
        <f>10.1704 * CHOOSE(CONTROL!$C$32, $C$9, 100%, $E$9)</f>
        <v>10.170400000000001</v>
      </c>
      <c r="O608" s="33">
        <f>10.1757 * CHOOSE(CONTROL!$C$32, $C$9, 100%, $E$9)</f>
        <v>10.175700000000001</v>
      </c>
    </row>
    <row r="609" spans="1:15" ht="15" x14ac:dyDescent="0.2">
      <c r="A609" s="16">
        <v>59749</v>
      </c>
      <c r="B609" s="32">
        <f>8.94 * CHOOSE(CONTROL!$C$32, $C$9, 100%, $E$9)</f>
        <v>8.94</v>
      </c>
      <c r="C609" s="32">
        <f>8.94 * CHOOSE(CONTROL!$C$32, $C$9, 100%, $E$9)</f>
        <v>8.94</v>
      </c>
      <c r="D609" s="32">
        <f>8.9416 * CHOOSE(CONTROL!$C$32, $C$9, 100%, $E$9)</f>
        <v>8.9415999999999993</v>
      </c>
      <c r="E609" s="33">
        <f>9.9471 * CHOOSE(CONTROL!$C$32, $C$9, 100%, $E$9)</f>
        <v>9.9471000000000007</v>
      </c>
      <c r="F609" s="33">
        <f>9.9471 * CHOOSE(CONTROL!$C$32, $C$9, 100%, $E$9)</f>
        <v>9.9471000000000007</v>
      </c>
      <c r="G609" s="33">
        <f>9.9524 * CHOOSE(CONTROL!$C$32, $C$9, 100%, $E$9)</f>
        <v>9.9524000000000008</v>
      </c>
      <c r="H609" s="33">
        <f>20.0313 * CHOOSE(CONTROL!$C$32, $C$9, 100%, $E$9)</f>
        <v>20.031300000000002</v>
      </c>
      <c r="I609" s="33">
        <f>20.0366 * CHOOSE(CONTROL!$C$32, $C$9, 100%, $E$9)</f>
        <v>20.0366</v>
      </c>
      <c r="J609" s="33">
        <f>20.0313 * CHOOSE(CONTROL!$C$32, $C$9, 100%, $E$9)</f>
        <v>20.031300000000002</v>
      </c>
      <c r="K609" s="33">
        <f>20.0366 * CHOOSE(CONTROL!$C$32, $C$9, 100%, $E$9)</f>
        <v>20.0366</v>
      </c>
      <c r="L609" s="33">
        <f>9.9471 * CHOOSE(CONTROL!$C$32, $C$9, 100%, $E$9)</f>
        <v>9.9471000000000007</v>
      </c>
      <c r="M609" s="33">
        <f>9.9524 * CHOOSE(CONTROL!$C$32, $C$9, 100%, $E$9)</f>
        <v>9.9524000000000008</v>
      </c>
      <c r="N609" s="33">
        <f>9.9471 * CHOOSE(CONTROL!$C$32, $C$9, 100%, $E$9)</f>
        <v>9.9471000000000007</v>
      </c>
      <c r="O609" s="33">
        <f>9.9524 * CHOOSE(CONTROL!$C$32, $C$9, 100%, $E$9)</f>
        <v>9.9524000000000008</v>
      </c>
    </row>
    <row r="610" spans="1:15" ht="15" x14ac:dyDescent="0.2">
      <c r="A610" s="16">
        <v>59780</v>
      </c>
      <c r="B610" s="32">
        <f>8.937 * CHOOSE(CONTROL!$C$32, $C$9, 100%, $E$9)</f>
        <v>8.9369999999999994</v>
      </c>
      <c r="C610" s="32">
        <f>8.937 * CHOOSE(CONTROL!$C$32, $C$9, 100%, $E$9)</f>
        <v>8.9369999999999994</v>
      </c>
      <c r="D610" s="32">
        <f>8.9386 * CHOOSE(CONTROL!$C$32, $C$9, 100%, $E$9)</f>
        <v>8.9385999999999992</v>
      </c>
      <c r="E610" s="33">
        <f>9.9197 * CHOOSE(CONTROL!$C$32, $C$9, 100%, $E$9)</f>
        <v>9.9197000000000006</v>
      </c>
      <c r="F610" s="33">
        <f>9.9197 * CHOOSE(CONTROL!$C$32, $C$9, 100%, $E$9)</f>
        <v>9.9197000000000006</v>
      </c>
      <c r="G610" s="33">
        <f>9.925 * CHOOSE(CONTROL!$C$32, $C$9, 100%, $E$9)</f>
        <v>9.9250000000000007</v>
      </c>
      <c r="H610" s="33">
        <f>20.0731 * CHOOSE(CONTROL!$C$32, $C$9, 100%, $E$9)</f>
        <v>20.0731</v>
      </c>
      <c r="I610" s="33">
        <f>20.0784 * CHOOSE(CONTROL!$C$32, $C$9, 100%, $E$9)</f>
        <v>20.078399999999998</v>
      </c>
      <c r="J610" s="33">
        <f>20.0731 * CHOOSE(CONTROL!$C$32, $C$9, 100%, $E$9)</f>
        <v>20.0731</v>
      </c>
      <c r="K610" s="33">
        <f>20.0784 * CHOOSE(CONTROL!$C$32, $C$9, 100%, $E$9)</f>
        <v>20.078399999999998</v>
      </c>
      <c r="L610" s="33">
        <f>9.9197 * CHOOSE(CONTROL!$C$32, $C$9, 100%, $E$9)</f>
        <v>9.9197000000000006</v>
      </c>
      <c r="M610" s="33">
        <f>9.925 * CHOOSE(CONTROL!$C$32, $C$9, 100%, $E$9)</f>
        <v>9.9250000000000007</v>
      </c>
      <c r="N610" s="33">
        <f>9.9197 * CHOOSE(CONTROL!$C$32, $C$9, 100%, $E$9)</f>
        <v>9.9197000000000006</v>
      </c>
      <c r="O610" s="33">
        <f>9.925 * CHOOSE(CONTROL!$C$32, $C$9, 100%, $E$9)</f>
        <v>9.9250000000000007</v>
      </c>
    </row>
    <row r="611" spans="1:15" ht="15" x14ac:dyDescent="0.2">
      <c r="A611" s="16">
        <v>59810</v>
      </c>
      <c r="B611" s="32">
        <f>8.9505 * CHOOSE(CONTROL!$C$32, $C$9, 100%, $E$9)</f>
        <v>8.9504999999999999</v>
      </c>
      <c r="C611" s="32">
        <f>8.9505 * CHOOSE(CONTROL!$C$32, $C$9, 100%, $E$9)</f>
        <v>8.9504999999999999</v>
      </c>
      <c r="D611" s="32">
        <f>8.9515 * CHOOSE(CONTROL!$C$32, $C$9, 100%, $E$9)</f>
        <v>8.9514999999999993</v>
      </c>
      <c r="E611" s="33">
        <f>10.0076 * CHOOSE(CONTROL!$C$32, $C$9, 100%, $E$9)</f>
        <v>10.0076</v>
      </c>
      <c r="F611" s="33">
        <f>10.0076 * CHOOSE(CONTROL!$C$32, $C$9, 100%, $E$9)</f>
        <v>10.0076</v>
      </c>
      <c r="G611" s="33">
        <f>10.0112 * CHOOSE(CONTROL!$C$32, $C$9, 100%, $E$9)</f>
        <v>10.011200000000001</v>
      </c>
      <c r="H611" s="33">
        <f>20.1149 * CHOOSE(CONTROL!$C$32, $C$9, 100%, $E$9)</f>
        <v>20.114899999999999</v>
      </c>
      <c r="I611" s="33">
        <f>20.1185 * CHOOSE(CONTROL!$C$32, $C$9, 100%, $E$9)</f>
        <v>20.118500000000001</v>
      </c>
      <c r="J611" s="33">
        <f>20.1149 * CHOOSE(CONTROL!$C$32, $C$9, 100%, $E$9)</f>
        <v>20.114899999999999</v>
      </c>
      <c r="K611" s="33">
        <f>20.1185 * CHOOSE(CONTROL!$C$32, $C$9, 100%, $E$9)</f>
        <v>20.118500000000001</v>
      </c>
      <c r="L611" s="33">
        <f>10.0076 * CHOOSE(CONTROL!$C$32, $C$9, 100%, $E$9)</f>
        <v>10.0076</v>
      </c>
      <c r="M611" s="33">
        <f>10.0112 * CHOOSE(CONTROL!$C$32, $C$9, 100%, $E$9)</f>
        <v>10.011200000000001</v>
      </c>
      <c r="N611" s="33">
        <f>10.0076 * CHOOSE(CONTROL!$C$32, $C$9, 100%, $E$9)</f>
        <v>10.0076</v>
      </c>
      <c r="O611" s="33">
        <f>10.0112 * CHOOSE(CONTROL!$C$32, $C$9, 100%, $E$9)</f>
        <v>10.011200000000001</v>
      </c>
    </row>
    <row r="612" spans="1:15" ht="15" x14ac:dyDescent="0.2">
      <c r="A612" s="16">
        <v>59841</v>
      </c>
      <c r="B612" s="32">
        <f>8.9535 * CHOOSE(CONTROL!$C$32, $C$9, 100%, $E$9)</f>
        <v>8.9535</v>
      </c>
      <c r="C612" s="32">
        <f>8.9535 * CHOOSE(CONTROL!$C$32, $C$9, 100%, $E$9)</f>
        <v>8.9535</v>
      </c>
      <c r="D612" s="32">
        <f>8.9546 * CHOOSE(CONTROL!$C$32, $C$9, 100%, $E$9)</f>
        <v>8.9545999999999992</v>
      </c>
      <c r="E612" s="33">
        <f>10.0603 * CHOOSE(CONTROL!$C$32, $C$9, 100%, $E$9)</f>
        <v>10.0603</v>
      </c>
      <c r="F612" s="33">
        <f>10.0603 * CHOOSE(CONTROL!$C$32, $C$9, 100%, $E$9)</f>
        <v>10.0603</v>
      </c>
      <c r="G612" s="33">
        <f>10.064 * CHOOSE(CONTROL!$C$32, $C$9, 100%, $E$9)</f>
        <v>10.064</v>
      </c>
      <c r="H612" s="33">
        <f>20.1568 * CHOOSE(CONTROL!$C$32, $C$9, 100%, $E$9)</f>
        <v>20.1568</v>
      </c>
      <c r="I612" s="33">
        <f>20.1604 * CHOOSE(CONTROL!$C$32, $C$9, 100%, $E$9)</f>
        <v>20.160399999999999</v>
      </c>
      <c r="J612" s="33">
        <f>20.1568 * CHOOSE(CONTROL!$C$32, $C$9, 100%, $E$9)</f>
        <v>20.1568</v>
      </c>
      <c r="K612" s="33">
        <f>20.1604 * CHOOSE(CONTROL!$C$32, $C$9, 100%, $E$9)</f>
        <v>20.160399999999999</v>
      </c>
      <c r="L612" s="33">
        <f>10.0603 * CHOOSE(CONTROL!$C$32, $C$9, 100%, $E$9)</f>
        <v>10.0603</v>
      </c>
      <c r="M612" s="33">
        <f>10.064 * CHOOSE(CONTROL!$C$32, $C$9, 100%, $E$9)</f>
        <v>10.064</v>
      </c>
      <c r="N612" s="33">
        <f>10.0603 * CHOOSE(CONTROL!$C$32, $C$9, 100%, $E$9)</f>
        <v>10.0603</v>
      </c>
      <c r="O612" s="33">
        <f>10.064 * CHOOSE(CONTROL!$C$32, $C$9, 100%, $E$9)</f>
        <v>10.064</v>
      </c>
    </row>
    <row r="613" spans="1:15" ht="15" x14ac:dyDescent="0.2">
      <c r="A613" s="16">
        <v>59871</v>
      </c>
      <c r="B613" s="32">
        <f>8.9535 * CHOOSE(CONTROL!$C$32, $C$9, 100%, $E$9)</f>
        <v>8.9535</v>
      </c>
      <c r="C613" s="32">
        <f>8.9535 * CHOOSE(CONTROL!$C$32, $C$9, 100%, $E$9)</f>
        <v>8.9535</v>
      </c>
      <c r="D613" s="32">
        <f>8.9546 * CHOOSE(CONTROL!$C$32, $C$9, 100%, $E$9)</f>
        <v>8.9545999999999992</v>
      </c>
      <c r="E613" s="33">
        <f>9.9337 * CHOOSE(CONTROL!$C$32, $C$9, 100%, $E$9)</f>
        <v>9.9337</v>
      </c>
      <c r="F613" s="33">
        <f>9.9337 * CHOOSE(CONTROL!$C$32, $C$9, 100%, $E$9)</f>
        <v>9.9337</v>
      </c>
      <c r="G613" s="33">
        <f>9.9373 * CHOOSE(CONTROL!$C$32, $C$9, 100%, $E$9)</f>
        <v>9.9373000000000005</v>
      </c>
      <c r="H613" s="33">
        <f>20.1988 * CHOOSE(CONTROL!$C$32, $C$9, 100%, $E$9)</f>
        <v>20.198799999999999</v>
      </c>
      <c r="I613" s="33">
        <f>20.2024 * CHOOSE(CONTROL!$C$32, $C$9, 100%, $E$9)</f>
        <v>20.202400000000001</v>
      </c>
      <c r="J613" s="33">
        <f>20.1988 * CHOOSE(CONTROL!$C$32, $C$9, 100%, $E$9)</f>
        <v>20.198799999999999</v>
      </c>
      <c r="K613" s="33">
        <f>20.2024 * CHOOSE(CONTROL!$C$32, $C$9, 100%, $E$9)</f>
        <v>20.202400000000001</v>
      </c>
      <c r="L613" s="33">
        <f>9.9337 * CHOOSE(CONTROL!$C$32, $C$9, 100%, $E$9)</f>
        <v>9.9337</v>
      </c>
      <c r="M613" s="33">
        <f>9.9373 * CHOOSE(CONTROL!$C$32, $C$9, 100%, $E$9)</f>
        <v>9.9373000000000005</v>
      </c>
      <c r="N613" s="33">
        <f>9.9337 * CHOOSE(CONTROL!$C$32, $C$9, 100%, $E$9)</f>
        <v>9.9337</v>
      </c>
      <c r="O613" s="33">
        <f>9.9373 * CHOOSE(CONTROL!$C$32, $C$9, 100%, $E$9)</f>
        <v>9.9373000000000005</v>
      </c>
    </row>
    <row r="614" spans="1:15" ht="15" x14ac:dyDescent="0.2">
      <c r="A614" s="16">
        <v>59902</v>
      </c>
      <c r="B614" s="32">
        <f>9.0069 * CHOOSE(CONTROL!$C$32, $C$9, 100%, $E$9)</f>
        <v>9.0068999999999999</v>
      </c>
      <c r="C614" s="32">
        <f>9.0069 * CHOOSE(CONTROL!$C$32, $C$9, 100%, $E$9)</f>
        <v>9.0068999999999999</v>
      </c>
      <c r="D614" s="32">
        <f>9.008 * CHOOSE(CONTROL!$C$32, $C$9, 100%, $E$9)</f>
        <v>9.0079999999999991</v>
      </c>
      <c r="E614" s="33">
        <f>10.0955 * CHOOSE(CONTROL!$C$32, $C$9, 100%, $E$9)</f>
        <v>10.095499999999999</v>
      </c>
      <c r="F614" s="33">
        <f>10.0955 * CHOOSE(CONTROL!$C$32, $C$9, 100%, $E$9)</f>
        <v>10.095499999999999</v>
      </c>
      <c r="G614" s="33">
        <f>10.0991 * CHOOSE(CONTROL!$C$32, $C$9, 100%, $E$9)</f>
        <v>10.0991</v>
      </c>
      <c r="H614" s="33">
        <f>20.2057 * CHOOSE(CONTROL!$C$32, $C$9, 100%, $E$9)</f>
        <v>20.2057</v>
      </c>
      <c r="I614" s="33">
        <f>20.2093 * CHOOSE(CONTROL!$C$32, $C$9, 100%, $E$9)</f>
        <v>20.209299999999999</v>
      </c>
      <c r="J614" s="33">
        <f>20.2057 * CHOOSE(CONTROL!$C$32, $C$9, 100%, $E$9)</f>
        <v>20.2057</v>
      </c>
      <c r="K614" s="33">
        <f>20.2093 * CHOOSE(CONTROL!$C$32, $C$9, 100%, $E$9)</f>
        <v>20.209299999999999</v>
      </c>
      <c r="L614" s="33">
        <f>10.0955 * CHOOSE(CONTROL!$C$32, $C$9, 100%, $E$9)</f>
        <v>10.095499999999999</v>
      </c>
      <c r="M614" s="33">
        <f>10.0991 * CHOOSE(CONTROL!$C$32, $C$9, 100%, $E$9)</f>
        <v>10.0991</v>
      </c>
      <c r="N614" s="33">
        <f>10.0955 * CHOOSE(CONTROL!$C$32, $C$9, 100%, $E$9)</f>
        <v>10.095499999999999</v>
      </c>
      <c r="O614" s="33">
        <f>10.0991 * CHOOSE(CONTROL!$C$32, $C$9, 100%, $E$9)</f>
        <v>10.0991</v>
      </c>
    </row>
    <row r="615" spans="1:15" ht="15" x14ac:dyDescent="0.2">
      <c r="A615" s="16">
        <v>59933</v>
      </c>
      <c r="B615" s="32">
        <f>9.0039 * CHOOSE(CONTROL!$C$32, $C$9, 100%, $E$9)</f>
        <v>9.0038999999999998</v>
      </c>
      <c r="C615" s="32">
        <f>9.0039 * CHOOSE(CONTROL!$C$32, $C$9, 100%, $E$9)</f>
        <v>9.0038999999999998</v>
      </c>
      <c r="D615" s="32">
        <f>9.005 * CHOOSE(CONTROL!$C$32, $C$9, 100%, $E$9)</f>
        <v>9.0050000000000008</v>
      </c>
      <c r="E615" s="33">
        <f>9.847 * CHOOSE(CONTROL!$C$32, $C$9, 100%, $E$9)</f>
        <v>9.8469999999999995</v>
      </c>
      <c r="F615" s="33">
        <f>9.847 * CHOOSE(CONTROL!$C$32, $C$9, 100%, $E$9)</f>
        <v>9.8469999999999995</v>
      </c>
      <c r="G615" s="33">
        <f>9.8506 * CHOOSE(CONTROL!$C$32, $C$9, 100%, $E$9)</f>
        <v>9.8506</v>
      </c>
      <c r="H615" s="33">
        <f>20.2478 * CHOOSE(CONTROL!$C$32, $C$9, 100%, $E$9)</f>
        <v>20.247800000000002</v>
      </c>
      <c r="I615" s="33">
        <f>20.2514 * CHOOSE(CONTROL!$C$32, $C$9, 100%, $E$9)</f>
        <v>20.2514</v>
      </c>
      <c r="J615" s="33">
        <f>20.2478 * CHOOSE(CONTROL!$C$32, $C$9, 100%, $E$9)</f>
        <v>20.247800000000002</v>
      </c>
      <c r="K615" s="33">
        <f>20.2514 * CHOOSE(CONTROL!$C$32, $C$9, 100%, $E$9)</f>
        <v>20.2514</v>
      </c>
      <c r="L615" s="33">
        <f>9.847 * CHOOSE(CONTROL!$C$32, $C$9, 100%, $E$9)</f>
        <v>9.8469999999999995</v>
      </c>
      <c r="M615" s="33">
        <f>9.8506 * CHOOSE(CONTROL!$C$32, $C$9, 100%, $E$9)</f>
        <v>9.8506</v>
      </c>
      <c r="N615" s="33">
        <f>9.847 * CHOOSE(CONTROL!$C$32, $C$9, 100%, $E$9)</f>
        <v>9.8469999999999995</v>
      </c>
      <c r="O615" s="33">
        <f>9.8506 * CHOOSE(CONTROL!$C$32, $C$9, 100%, $E$9)</f>
        <v>9.8506</v>
      </c>
    </row>
    <row r="616" spans="1:15" ht="15" x14ac:dyDescent="0.2">
      <c r="A616" s="16">
        <v>59962</v>
      </c>
      <c r="B616" s="32">
        <f>9.0008 * CHOOSE(CONTROL!$C$32, $C$9, 100%, $E$9)</f>
        <v>9.0007999999999999</v>
      </c>
      <c r="C616" s="32">
        <f>9.0008 * CHOOSE(CONTROL!$C$32, $C$9, 100%, $E$9)</f>
        <v>9.0007999999999999</v>
      </c>
      <c r="D616" s="32">
        <f>9.0019 * CHOOSE(CONTROL!$C$32, $C$9, 100%, $E$9)</f>
        <v>9.0018999999999991</v>
      </c>
      <c r="E616" s="33">
        <f>10.0391 * CHOOSE(CONTROL!$C$32, $C$9, 100%, $E$9)</f>
        <v>10.039099999999999</v>
      </c>
      <c r="F616" s="33">
        <f>10.0391 * CHOOSE(CONTROL!$C$32, $C$9, 100%, $E$9)</f>
        <v>10.039099999999999</v>
      </c>
      <c r="G616" s="33">
        <f>10.0427 * CHOOSE(CONTROL!$C$32, $C$9, 100%, $E$9)</f>
        <v>10.0427</v>
      </c>
      <c r="H616" s="33">
        <f>20.2899 * CHOOSE(CONTROL!$C$32, $C$9, 100%, $E$9)</f>
        <v>20.289899999999999</v>
      </c>
      <c r="I616" s="33">
        <f>20.2936 * CHOOSE(CONTROL!$C$32, $C$9, 100%, $E$9)</f>
        <v>20.293600000000001</v>
      </c>
      <c r="J616" s="33">
        <f>20.2899 * CHOOSE(CONTROL!$C$32, $C$9, 100%, $E$9)</f>
        <v>20.289899999999999</v>
      </c>
      <c r="K616" s="33">
        <f>20.2936 * CHOOSE(CONTROL!$C$32, $C$9, 100%, $E$9)</f>
        <v>20.293600000000001</v>
      </c>
      <c r="L616" s="33">
        <f>10.0391 * CHOOSE(CONTROL!$C$32, $C$9, 100%, $E$9)</f>
        <v>10.039099999999999</v>
      </c>
      <c r="M616" s="33">
        <f>10.0427 * CHOOSE(CONTROL!$C$32, $C$9, 100%, $E$9)</f>
        <v>10.0427</v>
      </c>
      <c r="N616" s="33">
        <f>10.0391 * CHOOSE(CONTROL!$C$32, $C$9, 100%, $E$9)</f>
        <v>10.039099999999999</v>
      </c>
      <c r="O616" s="33">
        <f>10.0427 * CHOOSE(CONTROL!$C$32, $C$9, 100%, $E$9)</f>
        <v>10.0427</v>
      </c>
    </row>
    <row r="617" spans="1:15" ht="15" x14ac:dyDescent="0.2">
      <c r="A617" s="16">
        <v>59993</v>
      </c>
      <c r="B617" s="32">
        <f>9.0033 * CHOOSE(CONTROL!$C$32, $C$9, 100%, $E$9)</f>
        <v>9.0032999999999994</v>
      </c>
      <c r="C617" s="32">
        <f>9.0033 * CHOOSE(CONTROL!$C$32, $C$9, 100%, $E$9)</f>
        <v>9.0032999999999994</v>
      </c>
      <c r="D617" s="32">
        <f>9.0044 * CHOOSE(CONTROL!$C$32, $C$9, 100%, $E$9)</f>
        <v>9.0044000000000004</v>
      </c>
      <c r="E617" s="33">
        <f>10.2435 * CHOOSE(CONTROL!$C$32, $C$9, 100%, $E$9)</f>
        <v>10.243499999999999</v>
      </c>
      <c r="F617" s="33">
        <f>10.2435 * CHOOSE(CONTROL!$C$32, $C$9, 100%, $E$9)</f>
        <v>10.243499999999999</v>
      </c>
      <c r="G617" s="33">
        <f>10.2471 * CHOOSE(CONTROL!$C$32, $C$9, 100%, $E$9)</f>
        <v>10.2471</v>
      </c>
      <c r="H617" s="33">
        <f>20.3322 * CHOOSE(CONTROL!$C$32, $C$9, 100%, $E$9)</f>
        <v>20.3322</v>
      </c>
      <c r="I617" s="33">
        <f>20.3358 * CHOOSE(CONTROL!$C$32, $C$9, 100%, $E$9)</f>
        <v>20.335799999999999</v>
      </c>
      <c r="J617" s="33">
        <f>20.3322 * CHOOSE(CONTROL!$C$32, $C$9, 100%, $E$9)</f>
        <v>20.3322</v>
      </c>
      <c r="K617" s="33">
        <f>20.3358 * CHOOSE(CONTROL!$C$32, $C$9, 100%, $E$9)</f>
        <v>20.335799999999999</v>
      </c>
      <c r="L617" s="33">
        <f>10.2435 * CHOOSE(CONTROL!$C$32, $C$9, 100%, $E$9)</f>
        <v>10.243499999999999</v>
      </c>
      <c r="M617" s="33">
        <f>10.2471 * CHOOSE(CONTROL!$C$32, $C$9, 100%, $E$9)</f>
        <v>10.2471</v>
      </c>
      <c r="N617" s="33">
        <f>10.2435 * CHOOSE(CONTROL!$C$32, $C$9, 100%, $E$9)</f>
        <v>10.243499999999999</v>
      </c>
      <c r="O617" s="33">
        <f>10.2471 * CHOOSE(CONTROL!$C$32, $C$9, 100%, $E$9)</f>
        <v>10.2471</v>
      </c>
    </row>
    <row r="618" spans="1:15" ht="15" x14ac:dyDescent="0.2">
      <c r="A618" s="16">
        <v>60023</v>
      </c>
      <c r="B618" s="32">
        <f>9.0033 * CHOOSE(CONTROL!$C$32, $C$9, 100%, $E$9)</f>
        <v>9.0032999999999994</v>
      </c>
      <c r="C618" s="32">
        <f>9.0033 * CHOOSE(CONTROL!$C$32, $C$9, 100%, $E$9)</f>
        <v>9.0032999999999994</v>
      </c>
      <c r="D618" s="32">
        <f>9.0049 * CHOOSE(CONTROL!$C$32, $C$9, 100%, $E$9)</f>
        <v>9.0048999999999992</v>
      </c>
      <c r="E618" s="33">
        <f>10.3217 * CHOOSE(CONTROL!$C$32, $C$9, 100%, $E$9)</f>
        <v>10.3217</v>
      </c>
      <c r="F618" s="33">
        <f>10.3217 * CHOOSE(CONTROL!$C$32, $C$9, 100%, $E$9)</f>
        <v>10.3217</v>
      </c>
      <c r="G618" s="33">
        <f>10.327 * CHOOSE(CONTROL!$C$32, $C$9, 100%, $E$9)</f>
        <v>10.327</v>
      </c>
      <c r="H618" s="33">
        <f>20.3746 * CHOOSE(CONTROL!$C$32, $C$9, 100%, $E$9)</f>
        <v>20.374600000000001</v>
      </c>
      <c r="I618" s="33">
        <f>20.3799 * CHOOSE(CONTROL!$C$32, $C$9, 100%, $E$9)</f>
        <v>20.379899999999999</v>
      </c>
      <c r="J618" s="33">
        <f>20.3746 * CHOOSE(CONTROL!$C$32, $C$9, 100%, $E$9)</f>
        <v>20.374600000000001</v>
      </c>
      <c r="K618" s="33">
        <f>20.3799 * CHOOSE(CONTROL!$C$32, $C$9, 100%, $E$9)</f>
        <v>20.379899999999999</v>
      </c>
      <c r="L618" s="33">
        <f>10.3217 * CHOOSE(CONTROL!$C$32, $C$9, 100%, $E$9)</f>
        <v>10.3217</v>
      </c>
      <c r="M618" s="33">
        <f>10.327 * CHOOSE(CONTROL!$C$32, $C$9, 100%, $E$9)</f>
        <v>10.327</v>
      </c>
      <c r="N618" s="33">
        <f>10.3217 * CHOOSE(CONTROL!$C$32, $C$9, 100%, $E$9)</f>
        <v>10.3217</v>
      </c>
      <c r="O618" s="33">
        <f>10.327 * CHOOSE(CONTROL!$C$32, $C$9, 100%, $E$9)</f>
        <v>10.327</v>
      </c>
    </row>
    <row r="619" spans="1:15" ht="15" x14ac:dyDescent="0.2">
      <c r="A619" s="16">
        <v>60054</v>
      </c>
      <c r="B619" s="32">
        <f>9.0094 * CHOOSE(CONTROL!$C$32, $C$9, 100%, $E$9)</f>
        <v>9.0093999999999994</v>
      </c>
      <c r="C619" s="32">
        <f>9.0094 * CHOOSE(CONTROL!$C$32, $C$9, 100%, $E$9)</f>
        <v>9.0093999999999994</v>
      </c>
      <c r="D619" s="32">
        <f>9.011 * CHOOSE(CONTROL!$C$32, $C$9, 100%, $E$9)</f>
        <v>9.0109999999999992</v>
      </c>
      <c r="E619" s="33">
        <f>10.2477 * CHOOSE(CONTROL!$C$32, $C$9, 100%, $E$9)</f>
        <v>10.2477</v>
      </c>
      <c r="F619" s="33">
        <f>10.2477 * CHOOSE(CONTROL!$C$32, $C$9, 100%, $E$9)</f>
        <v>10.2477</v>
      </c>
      <c r="G619" s="33">
        <f>10.253 * CHOOSE(CONTROL!$C$32, $C$9, 100%, $E$9)</f>
        <v>10.253</v>
      </c>
      <c r="H619" s="33">
        <f>20.417 * CHOOSE(CONTROL!$C$32, $C$9, 100%, $E$9)</f>
        <v>20.417000000000002</v>
      </c>
      <c r="I619" s="33">
        <f>20.4223 * CHOOSE(CONTROL!$C$32, $C$9, 100%, $E$9)</f>
        <v>20.4223</v>
      </c>
      <c r="J619" s="33">
        <f>20.417 * CHOOSE(CONTROL!$C$32, $C$9, 100%, $E$9)</f>
        <v>20.417000000000002</v>
      </c>
      <c r="K619" s="33">
        <f>20.4223 * CHOOSE(CONTROL!$C$32, $C$9, 100%, $E$9)</f>
        <v>20.4223</v>
      </c>
      <c r="L619" s="33">
        <f>10.2477 * CHOOSE(CONTROL!$C$32, $C$9, 100%, $E$9)</f>
        <v>10.2477</v>
      </c>
      <c r="M619" s="33">
        <f>10.253 * CHOOSE(CONTROL!$C$32, $C$9, 100%, $E$9)</f>
        <v>10.253</v>
      </c>
      <c r="N619" s="33">
        <f>10.2477 * CHOOSE(CONTROL!$C$32, $C$9, 100%, $E$9)</f>
        <v>10.2477</v>
      </c>
      <c r="O619" s="33">
        <f>10.253 * CHOOSE(CONTROL!$C$32, $C$9, 100%, $E$9)</f>
        <v>10.253</v>
      </c>
    </row>
    <row r="620" spans="1:15" ht="15" x14ac:dyDescent="0.2">
      <c r="A620" s="16">
        <v>60084</v>
      </c>
      <c r="B620" s="32">
        <f>9.1229 * CHOOSE(CONTROL!$C$32, $C$9, 100%, $E$9)</f>
        <v>9.1228999999999996</v>
      </c>
      <c r="C620" s="32">
        <f>9.1229 * CHOOSE(CONTROL!$C$32, $C$9, 100%, $E$9)</f>
        <v>9.1228999999999996</v>
      </c>
      <c r="D620" s="32">
        <f>9.1245 * CHOOSE(CONTROL!$C$32, $C$9, 100%, $E$9)</f>
        <v>9.1244999999999994</v>
      </c>
      <c r="E620" s="33">
        <f>10.3906 * CHOOSE(CONTROL!$C$32, $C$9, 100%, $E$9)</f>
        <v>10.390599999999999</v>
      </c>
      <c r="F620" s="33">
        <f>10.3906 * CHOOSE(CONTROL!$C$32, $C$9, 100%, $E$9)</f>
        <v>10.390599999999999</v>
      </c>
      <c r="G620" s="33">
        <f>10.3959 * CHOOSE(CONTROL!$C$32, $C$9, 100%, $E$9)</f>
        <v>10.395899999999999</v>
      </c>
      <c r="H620" s="33">
        <f>20.4596 * CHOOSE(CONTROL!$C$32, $C$9, 100%, $E$9)</f>
        <v>20.459599999999998</v>
      </c>
      <c r="I620" s="33">
        <f>20.4649 * CHOOSE(CONTROL!$C$32, $C$9, 100%, $E$9)</f>
        <v>20.4649</v>
      </c>
      <c r="J620" s="33">
        <f>20.4596 * CHOOSE(CONTROL!$C$32, $C$9, 100%, $E$9)</f>
        <v>20.459599999999998</v>
      </c>
      <c r="K620" s="33">
        <f>20.4649 * CHOOSE(CONTROL!$C$32, $C$9, 100%, $E$9)</f>
        <v>20.4649</v>
      </c>
      <c r="L620" s="33">
        <f>10.3906 * CHOOSE(CONTROL!$C$32, $C$9, 100%, $E$9)</f>
        <v>10.390599999999999</v>
      </c>
      <c r="M620" s="33">
        <f>10.3959 * CHOOSE(CONTROL!$C$32, $C$9, 100%, $E$9)</f>
        <v>10.395899999999999</v>
      </c>
      <c r="N620" s="33">
        <f>10.3906 * CHOOSE(CONTROL!$C$32, $C$9, 100%, $E$9)</f>
        <v>10.390599999999999</v>
      </c>
      <c r="O620" s="33">
        <f>10.3959 * CHOOSE(CONTROL!$C$32, $C$9, 100%, $E$9)</f>
        <v>10.395899999999999</v>
      </c>
    </row>
    <row r="621" spans="1:15" ht="15" x14ac:dyDescent="0.2">
      <c r="A621" s="16">
        <v>60115</v>
      </c>
      <c r="B621" s="32">
        <f>9.1296 * CHOOSE(CONTROL!$C$32, $C$9, 100%, $E$9)</f>
        <v>9.1295999999999999</v>
      </c>
      <c r="C621" s="32">
        <f>9.1296 * CHOOSE(CONTROL!$C$32, $C$9, 100%, $E$9)</f>
        <v>9.1295999999999999</v>
      </c>
      <c r="D621" s="32">
        <f>9.1312 * CHOOSE(CONTROL!$C$32, $C$9, 100%, $E$9)</f>
        <v>9.1311999999999998</v>
      </c>
      <c r="E621" s="33">
        <f>10.1606 * CHOOSE(CONTROL!$C$32, $C$9, 100%, $E$9)</f>
        <v>10.160600000000001</v>
      </c>
      <c r="F621" s="33">
        <f>10.1606 * CHOOSE(CONTROL!$C$32, $C$9, 100%, $E$9)</f>
        <v>10.160600000000001</v>
      </c>
      <c r="G621" s="33">
        <f>10.1659 * CHOOSE(CONTROL!$C$32, $C$9, 100%, $E$9)</f>
        <v>10.165900000000001</v>
      </c>
      <c r="H621" s="33">
        <f>20.5022 * CHOOSE(CONTROL!$C$32, $C$9, 100%, $E$9)</f>
        <v>20.502199999999998</v>
      </c>
      <c r="I621" s="33">
        <f>20.5075 * CHOOSE(CONTROL!$C$32, $C$9, 100%, $E$9)</f>
        <v>20.5075</v>
      </c>
      <c r="J621" s="33">
        <f>20.5022 * CHOOSE(CONTROL!$C$32, $C$9, 100%, $E$9)</f>
        <v>20.502199999999998</v>
      </c>
      <c r="K621" s="33">
        <f>20.5075 * CHOOSE(CONTROL!$C$32, $C$9, 100%, $E$9)</f>
        <v>20.5075</v>
      </c>
      <c r="L621" s="33">
        <f>10.1606 * CHOOSE(CONTROL!$C$32, $C$9, 100%, $E$9)</f>
        <v>10.160600000000001</v>
      </c>
      <c r="M621" s="33">
        <f>10.1659 * CHOOSE(CONTROL!$C$32, $C$9, 100%, $E$9)</f>
        <v>10.165900000000001</v>
      </c>
      <c r="N621" s="33">
        <f>10.1606 * CHOOSE(CONTROL!$C$32, $C$9, 100%, $E$9)</f>
        <v>10.160600000000001</v>
      </c>
      <c r="O621" s="33">
        <f>10.1659 * CHOOSE(CONTROL!$C$32, $C$9, 100%, $E$9)</f>
        <v>10.165900000000001</v>
      </c>
    </row>
    <row r="622" spans="1:15" ht="15" x14ac:dyDescent="0.2">
      <c r="A622" s="16">
        <v>60146</v>
      </c>
      <c r="B622" s="32">
        <f>9.1266 * CHOOSE(CONTROL!$C$32, $C$9, 100%, $E$9)</f>
        <v>9.1265999999999998</v>
      </c>
      <c r="C622" s="32">
        <f>9.1266 * CHOOSE(CONTROL!$C$32, $C$9, 100%, $E$9)</f>
        <v>9.1265999999999998</v>
      </c>
      <c r="D622" s="32">
        <f>9.1282 * CHOOSE(CONTROL!$C$32, $C$9, 100%, $E$9)</f>
        <v>9.1281999999999996</v>
      </c>
      <c r="E622" s="33">
        <f>10.1324 * CHOOSE(CONTROL!$C$32, $C$9, 100%, $E$9)</f>
        <v>10.132400000000001</v>
      </c>
      <c r="F622" s="33">
        <f>10.1324 * CHOOSE(CONTROL!$C$32, $C$9, 100%, $E$9)</f>
        <v>10.132400000000001</v>
      </c>
      <c r="G622" s="33">
        <f>10.1377 * CHOOSE(CONTROL!$C$32, $C$9, 100%, $E$9)</f>
        <v>10.137700000000001</v>
      </c>
      <c r="H622" s="33">
        <f>20.5449 * CHOOSE(CONTROL!$C$32, $C$9, 100%, $E$9)</f>
        <v>20.544899999999998</v>
      </c>
      <c r="I622" s="33">
        <f>20.5502 * CHOOSE(CONTROL!$C$32, $C$9, 100%, $E$9)</f>
        <v>20.5502</v>
      </c>
      <c r="J622" s="33">
        <f>20.5449 * CHOOSE(CONTROL!$C$32, $C$9, 100%, $E$9)</f>
        <v>20.544899999999998</v>
      </c>
      <c r="K622" s="33">
        <f>20.5502 * CHOOSE(CONTROL!$C$32, $C$9, 100%, $E$9)</f>
        <v>20.5502</v>
      </c>
      <c r="L622" s="33">
        <f>10.1324 * CHOOSE(CONTROL!$C$32, $C$9, 100%, $E$9)</f>
        <v>10.132400000000001</v>
      </c>
      <c r="M622" s="33">
        <f>10.1377 * CHOOSE(CONTROL!$C$32, $C$9, 100%, $E$9)</f>
        <v>10.137700000000001</v>
      </c>
      <c r="N622" s="33">
        <f>10.1324 * CHOOSE(CONTROL!$C$32, $C$9, 100%, $E$9)</f>
        <v>10.132400000000001</v>
      </c>
      <c r="O622" s="33">
        <f>10.1377 * CHOOSE(CONTROL!$C$32, $C$9, 100%, $E$9)</f>
        <v>10.137700000000001</v>
      </c>
    </row>
    <row r="623" spans="1:15" ht="15" x14ac:dyDescent="0.2">
      <c r="A623" s="16">
        <v>60176</v>
      </c>
      <c r="B623" s="32">
        <f>9.1408 * CHOOSE(CONTROL!$C$32, $C$9, 100%, $E$9)</f>
        <v>9.1408000000000005</v>
      </c>
      <c r="C623" s="32">
        <f>9.1408 * CHOOSE(CONTROL!$C$32, $C$9, 100%, $E$9)</f>
        <v>9.1408000000000005</v>
      </c>
      <c r="D623" s="32">
        <f>9.1418 * CHOOSE(CONTROL!$C$32, $C$9, 100%, $E$9)</f>
        <v>9.1417999999999999</v>
      </c>
      <c r="E623" s="33">
        <f>10.2233 * CHOOSE(CONTROL!$C$32, $C$9, 100%, $E$9)</f>
        <v>10.2233</v>
      </c>
      <c r="F623" s="33">
        <f>10.2233 * CHOOSE(CONTROL!$C$32, $C$9, 100%, $E$9)</f>
        <v>10.2233</v>
      </c>
      <c r="G623" s="33">
        <f>10.2269 * CHOOSE(CONTROL!$C$32, $C$9, 100%, $E$9)</f>
        <v>10.226900000000001</v>
      </c>
      <c r="H623" s="33">
        <f>20.5877 * CHOOSE(CONTROL!$C$32, $C$9, 100%, $E$9)</f>
        <v>20.587700000000002</v>
      </c>
      <c r="I623" s="33">
        <f>20.5913 * CHOOSE(CONTROL!$C$32, $C$9, 100%, $E$9)</f>
        <v>20.5913</v>
      </c>
      <c r="J623" s="33">
        <f>20.5877 * CHOOSE(CONTROL!$C$32, $C$9, 100%, $E$9)</f>
        <v>20.587700000000002</v>
      </c>
      <c r="K623" s="33">
        <f>20.5913 * CHOOSE(CONTROL!$C$32, $C$9, 100%, $E$9)</f>
        <v>20.5913</v>
      </c>
      <c r="L623" s="33">
        <f>10.2233 * CHOOSE(CONTROL!$C$32, $C$9, 100%, $E$9)</f>
        <v>10.2233</v>
      </c>
      <c r="M623" s="33">
        <f>10.2269 * CHOOSE(CONTROL!$C$32, $C$9, 100%, $E$9)</f>
        <v>10.226900000000001</v>
      </c>
      <c r="N623" s="33">
        <f>10.2233 * CHOOSE(CONTROL!$C$32, $C$9, 100%, $E$9)</f>
        <v>10.2233</v>
      </c>
      <c r="O623" s="33">
        <f>10.2269 * CHOOSE(CONTROL!$C$32, $C$9, 100%, $E$9)</f>
        <v>10.226900000000001</v>
      </c>
    </row>
    <row r="624" spans="1:15" ht="15" x14ac:dyDescent="0.2">
      <c r="A624" s="16">
        <v>60207</v>
      </c>
      <c r="B624" s="32">
        <f>9.1438 * CHOOSE(CONTROL!$C$32, $C$9, 100%, $E$9)</f>
        <v>9.1438000000000006</v>
      </c>
      <c r="C624" s="32">
        <f>9.1438 * CHOOSE(CONTROL!$C$32, $C$9, 100%, $E$9)</f>
        <v>9.1438000000000006</v>
      </c>
      <c r="D624" s="32">
        <f>9.1449 * CHOOSE(CONTROL!$C$32, $C$9, 100%, $E$9)</f>
        <v>9.1448999999999998</v>
      </c>
      <c r="E624" s="33">
        <f>10.2775 * CHOOSE(CONTROL!$C$32, $C$9, 100%, $E$9)</f>
        <v>10.2775</v>
      </c>
      <c r="F624" s="33">
        <f>10.2775 * CHOOSE(CONTROL!$C$32, $C$9, 100%, $E$9)</f>
        <v>10.2775</v>
      </c>
      <c r="G624" s="33">
        <f>10.2811 * CHOOSE(CONTROL!$C$32, $C$9, 100%, $E$9)</f>
        <v>10.2811</v>
      </c>
      <c r="H624" s="33">
        <f>20.6306 * CHOOSE(CONTROL!$C$32, $C$9, 100%, $E$9)</f>
        <v>20.630600000000001</v>
      </c>
      <c r="I624" s="33">
        <f>20.6342 * CHOOSE(CONTROL!$C$32, $C$9, 100%, $E$9)</f>
        <v>20.6342</v>
      </c>
      <c r="J624" s="33">
        <f>20.6306 * CHOOSE(CONTROL!$C$32, $C$9, 100%, $E$9)</f>
        <v>20.630600000000001</v>
      </c>
      <c r="K624" s="33">
        <f>20.6342 * CHOOSE(CONTROL!$C$32, $C$9, 100%, $E$9)</f>
        <v>20.6342</v>
      </c>
      <c r="L624" s="33">
        <f>10.2775 * CHOOSE(CONTROL!$C$32, $C$9, 100%, $E$9)</f>
        <v>10.2775</v>
      </c>
      <c r="M624" s="33">
        <f>10.2811 * CHOOSE(CONTROL!$C$32, $C$9, 100%, $E$9)</f>
        <v>10.2811</v>
      </c>
      <c r="N624" s="33">
        <f>10.2775 * CHOOSE(CONTROL!$C$32, $C$9, 100%, $E$9)</f>
        <v>10.2775</v>
      </c>
      <c r="O624" s="33">
        <f>10.2811 * CHOOSE(CONTROL!$C$32, $C$9, 100%, $E$9)</f>
        <v>10.2811</v>
      </c>
    </row>
    <row r="625" spans="1:15" ht="15" x14ac:dyDescent="0.2">
      <c r="A625" s="16">
        <v>60237</v>
      </c>
      <c r="B625" s="32">
        <f>9.1438 * CHOOSE(CONTROL!$C$32, $C$9, 100%, $E$9)</f>
        <v>9.1438000000000006</v>
      </c>
      <c r="C625" s="32">
        <f>9.1438 * CHOOSE(CONTROL!$C$32, $C$9, 100%, $E$9)</f>
        <v>9.1438000000000006</v>
      </c>
      <c r="D625" s="32">
        <f>9.1449 * CHOOSE(CONTROL!$C$32, $C$9, 100%, $E$9)</f>
        <v>9.1448999999999998</v>
      </c>
      <c r="E625" s="33">
        <f>10.1471 * CHOOSE(CONTROL!$C$32, $C$9, 100%, $E$9)</f>
        <v>10.1471</v>
      </c>
      <c r="F625" s="33">
        <f>10.1471 * CHOOSE(CONTROL!$C$32, $C$9, 100%, $E$9)</f>
        <v>10.1471</v>
      </c>
      <c r="G625" s="33">
        <f>10.1508 * CHOOSE(CONTROL!$C$32, $C$9, 100%, $E$9)</f>
        <v>10.1508</v>
      </c>
      <c r="H625" s="33">
        <f>20.6736 * CHOOSE(CONTROL!$C$32, $C$9, 100%, $E$9)</f>
        <v>20.6736</v>
      </c>
      <c r="I625" s="33">
        <f>20.6772 * CHOOSE(CONTROL!$C$32, $C$9, 100%, $E$9)</f>
        <v>20.677199999999999</v>
      </c>
      <c r="J625" s="33">
        <f>20.6736 * CHOOSE(CONTROL!$C$32, $C$9, 100%, $E$9)</f>
        <v>20.6736</v>
      </c>
      <c r="K625" s="33">
        <f>20.6772 * CHOOSE(CONTROL!$C$32, $C$9, 100%, $E$9)</f>
        <v>20.677199999999999</v>
      </c>
      <c r="L625" s="33">
        <f>10.1471 * CHOOSE(CONTROL!$C$32, $C$9, 100%, $E$9)</f>
        <v>10.1471</v>
      </c>
      <c r="M625" s="33">
        <f>10.1508 * CHOOSE(CONTROL!$C$32, $C$9, 100%, $E$9)</f>
        <v>10.1508</v>
      </c>
      <c r="N625" s="33">
        <f>10.1471 * CHOOSE(CONTROL!$C$32, $C$9, 100%, $E$9)</f>
        <v>10.1471</v>
      </c>
      <c r="O625" s="33">
        <f>10.1508 * CHOOSE(CONTROL!$C$32, $C$9, 100%, $E$9)</f>
        <v>10.1508</v>
      </c>
    </row>
    <row r="626" spans="1:15" ht="15" x14ac:dyDescent="0.2">
      <c r="A626" s="16">
        <v>60268</v>
      </c>
      <c r="B626" s="32">
        <f>9.1943 * CHOOSE(CONTROL!$C$32, $C$9, 100%, $E$9)</f>
        <v>9.1943000000000001</v>
      </c>
      <c r="C626" s="32">
        <f>9.1943 * CHOOSE(CONTROL!$C$32, $C$9, 100%, $E$9)</f>
        <v>9.1943000000000001</v>
      </c>
      <c r="D626" s="32">
        <f>9.1954 * CHOOSE(CONTROL!$C$32, $C$9, 100%, $E$9)</f>
        <v>9.1953999999999994</v>
      </c>
      <c r="E626" s="33">
        <f>10.308 * CHOOSE(CONTROL!$C$32, $C$9, 100%, $E$9)</f>
        <v>10.308</v>
      </c>
      <c r="F626" s="33">
        <f>10.308 * CHOOSE(CONTROL!$C$32, $C$9, 100%, $E$9)</f>
        <v>10.308</v>
      </c>
      <c r="G626" s="33">
        <f>10.3116 * CHOOSE(CONTROL!$C$32, $C$9, 100%, $E$9)</f>
        <v>10.3116</v>
      </c>
      <c r="H626" s="33">
        <f>20.6697 * CHOOSE(CONTROL!$C$32, $C$9, 100%, $E$9)</f>
        <v>20.669699999999999</v>
      </c>
      <c r="I626" s="33">
        <f>20.6733 * CHOOSE(CONTROL!$C$32, $C$9, 100%, $E$9)</f>
        <v>20.673300000000001</v>
      </c>
      <c r="J626" s="33">
        <f>20.6697 * CHOOSE(CONTROL!$C$32, $C$9, 100%, $E$9)</f>
        <v>20.669699999999999</v>
      </c>
      <c r="K626" s="33">
        <f>20.6733 * CHOOSE(CONTROL!$C$32, $C$9, 100%, $E$9)</f>
        <v>20.673300000000001</v>
      </c>
      <c r="L626" s="33">
        <f>10.308 * CHOOSE(CONTROL!$C$32, $C$9, 100%, $E$9)</f>
        <v>10.308</v>
      </c>
      <c r="M626" s="33">
        <f>10.3116 * CHOOSE(CONTROL!$C$32, $C$9, 100%, $E$9)</f>
        <v>10.3116</v>
      </c>
      <c r="N626" s="33">
        <f>10.308 * CHOOSE(CONTROL!$C$32, $C$9, 100%, $E$9)</f>
        <v>10.308</v>
      </c>
      <c r="O626" s="33">
        <f>10.3116 * CHOOSE(CONTROL!$C$32, $C$9, 100%, $E$9)</f>
        <v>10.3116</v>
      </c>
    </row>
    <row r="627" spans="1:15" ht="15" x14ac:dyDescent="0.2">
      <c r="A627" s="16">
        <v>60299</v>
      </c>
      <c r="B627" s="32">
        <f>9.1912 * CHOOSE(CONTROL!$C$32, $C$9, 100%, $E$9)</f>
        <v>9.1912000000000003</v>
      </c>
      <c r="C627" s="32">
        <f>9.1912 * CHOOSE(CONTROL!$C$32, $C$9, 100%, $E$9)</f>
        <v>9.1912000000000003</v>
      </c>
      <c r="D627" s="32">
        <f>9.1923 * CHOOSE(CONTROL!$C$32, $C$9, 100%, $E$9)</f>
        <v>9.1922999999999995</v>
      </c>
      <c r="E627" s="33">
        <f>10.0524 * CHOOSE(CONTROL!$C$32, $C$9, 100%, $E$9)</f>
        <v>10.0524</v>
      </c>
      <c r="F627" s="33">
        <f>10.0524 * CHOOSE(CONTROL!$C$32, $C$9, 100%, $E$9)</f>
        <v>10.0524</v>
      </c>
      <c r="G627" s="33">
        <f>10.056 * CHOOSE(CONTROL!$C$32, $C$9, 100%, $E$9)</f>
        <v>10.055999999999999</v>
      </c>
      <c r="H627" s="33">
        <f>20.7128 * CHOOSE(CONTROL!$C$32, $C$9, 100%, $E$9)</f>
        <v>20.712800000000001</v>
      </c>
      <c r="I627" s="33">
        <f>20.7164 * CHOOSE(CONTROL!$C$32, $C$9, 100%, $E$9)</f>
        <v>20.7164</v>
      </c>
      <c r="J627" s="33">
        <f>20.7128 * CHOOSE(CONTROL!$C$32, $C$9, 100%, $E$9)</f>
        <v>20.712800000000001</v>
      </c>
      <c r="K627" s="33">
        <f>20.7164 * CHOOSE(CONTROL!$C$32, $C$9, 100%, $E$9)</f>
        <v>20.7164</v>
      </c>
      <c r="L627" s="33">
        <f>10.0524 * CHOOSE(CONTROL!$C$32, $C$9, 100%, $E$9)</f>
        <v>10.0524</v>
      </c>
      <c r="M627" s="33">
        <f>10.056 * CHOOSE(CONTROL!$C$32, $C$9, 100%, $E$9)</f>
        <v>10.055999999999999</v>
      </c>
      <c r="N627" s="33">
        <f>10.0524 * CHOOSE(CONTROL!$C$32, $C$9, 100%, $E$9)</f>
        <v>10.0524</v>
      </c>
      <c r="O627" s="33">
        <f>10.056 * CHOOSE(CONTROL!$C$32, $C$9, 100%, $E$9)</f>
        <v>10.055999999999999</v>
      </c>
    </row>
    <row r="628" spans="1:15" ht="15" x14ac:dyDescent="0.2">
      <c r="A628" s="16">
        <v>60327</v>
      </c>
      <c r="B628" s="32">
        <f>9.1882 * CHOOSE(CONTROL!$C$32, $C$9, 100%, $E$9)</f>
        <v>9.1882000000000001</v>
      </c>
      <c r="C628" s="32">
        <f>9.1882 * CHOOSE(CONTROL!$C$32, $C$9, 100%, $E$9)</f>
        <v>9.1882000000000001</v>
      </c>
      <c r="D628" s="32">
        <f>9.1893 * CHOOSE(CONTROL!$C$32, $C$9, 100%, $E$9)</f>
        <v>9.1892999999999994</v>
      </c>
      <c r="E628" s="33">
        <f>10.2501 * CHOOSE(CONTROL!$C$32, $C$9, 100%, $E$9)</f>
        <v>10.2501</v>
      </c>
      <c r="F628" s="33">
        <f>10.2501 * CHOOSE(CONTROL!$C$32, $C$9, 100%, $E$9)</f>
        <v>10.2501</v>
      </c>
      <c r="G628" s="33">
        <f>10.2537 * CHOOSE(CONTROL!$C$32, $C$9, 100%, $E$9)</f>
        <v>10.2537</v>
      </c>
      <c r="H628" s="33">
        <f>20.7559 * CHOOSE(CONTROL!$C$32, $C$9, 100%, $E$9)</f>
        <v>20.7559</v>
      </c>
      <c r="I628" s="33">
        <f>20.7595 * CHOOSE(CONTROL!$C$32, $C$9, 100%, $E$9)</f>
        <v>20.759499999999999</v>
      </c>
      <c r="J628" s="33">
        <f>20.7559 * CHOOSE(CONTROL!$C$32, $C$9, 100%, $E$9)</f>
        <v>20.7559</v>
      </c>
      <c r="K628" s="33">
        <f>20.7595 * CHOOSE(CONTROL!$C$32, $C$9, 100%, $E$9)</f>
        <v>20.759499999999999</v>
      </c>
      <c r="L628" s="33">
        <f>10.2501 * CHOOSE(CONTROL!$C$32, $C$9, 100%, $E$9)</f>
        <v>10.2501</v>
      </c>
      <c r="M628" s="33">
        <f>10.2537 * CHOOSE(CONTROL!$C$32, $C$9, 100%, $E$9)</f>
        <v>10.2537</v>
      </c>
      <c r="N628" s="33">
        <f>10.2501 * CHOOSE(CONTROL!$C$32, $C$9, 100%, $E$9)</f>
        <v>10.2501</v>
      </c>
      <c r="O628" s="33">
        <f>10.2537 * CHOOSE(CONTROL!$C$32, $C$9, 100%, $E$9)</f>
        <v>10.2537</v>
      </c>
    </row>
    <row r="629" spans="1:15" ht="15" x14ac:dyDescent="0.2">
      <c r="A629" s="16">
        <v>60358</v>
      </c>
      <c r="B629" s="32">
        <f>9.1909 * CHOOSE(CONTROL!$C$32, $C$9, 100%, $E$9)</f>
        <v>9.1908999999999992</v>
      </c>
      <c r="C629" s="32">
        <f>9.1909 * CHOOSE(CONTROL!$C$32, $C$9, 100%, $E$9)</f>
        <v>9.1908999999999992</v>
      </c>
      <c r="D629" s="32">
        <f>9.192 * CHOOSE(CONTROL!$C$32, $C$9, 100%, $E$9)</f>
        <v>9.1920000000000002</v>
      </c>
      <c r="E629" s="33">
        <f>10.4605 * CHOOSE(CONTROL!$C$32, $C$9, 100%, $E$9)</f>
        <v>10.4605</v>
      </c>
      <c r="F629" s="33">
        <f>10.4605 * CHOOSE(CONTROL!$C$32, $C$9, 100%, $E$9)</f>
        <v>10.4605</v>
      </c>
      <c r="G629" s="33">
        <f>10.4641 * CHOOSE(CONTROL!$C$32, $C$9, 100%, $E$9)</f>
        <v>10.4641</v>
      </c>
      <c r="H629" s="33">
        <f>20.7992 * CHOOSE(CONTROL!$C$32, $C$9, 100%, $E$9)</f>
        <v>20.799199999999999</v>
      </c>
      <c r="I629" s="33">
        <f>20.8028 * CHOOSE(CONTROL!$C$32, $C$9, 100%, $E$9)</f>
        <v>20.802800000000001</v>
      </c>
      <c r="J629" s="33">
        <f>20.7992 * CHOOSE(CONTROL!$C$32, $C$9, 100%, $E$9)</f>
        <v>20.799199999999999</v>
      </c>
      <c r="K629" s="33">
        <f>20.8028 * CHOOSE(CONTROL!$C$32, $C$9, 100%, $E$9)</f>
        <v>20.802800000000001</v>
      </c>
      <c r="L629" s="33">
        <f>10.4605 * CHOOSE(CONTROL!$C$32, $C$9, 100%, $E$9)</f>
        <v>10.4605</v>
      </c>
      <c r="M629" s="33">
        <f>10.4641 * CHOOSE(CONTROL!$C$32, $C$9, 100%, $E$9)</f>
        <v>10.4641</v>
      </c>
      <c r="N629" s="33">
        <f>10.4605 * CHOOSE(CONTROL!$C$32, $C$9, 100%, $E$9)</f>
        <v>10.4605</v>
      </c>
      <c r="O629" s="33">
        <f>10.4641 * CHOOSE(CONTROL!$C$32, $C$9, 100%, $E$9)</f>
        <v>10.4641</v>
      </c>
    </row>
    <row r="630" spans="1:15" ht="15" x14ac:dyDescent="0.2">
      <c r="A630" s="16">
        <v>60388</v>
      </c>
      <c r="B630" s="32">
        <f>9.1909 * CHOOSE(CONTROL!$C$32, $C$9, 100%, $E$9)</f>
        <v>9.1908999999999992</v>
      </c>
      <c r="C630" s="32">
        <f>9.1909 * CHOOSE(CONTROL!$C$32, $C$9, 100%, $E$9)</f>
        <v>9.1908999999999992</v>
      </c>
      <c r="D630" s="32">
        <f>9.1925 * CHOOSE(CONTROL!$C$32, $C$9, 100%, $E$9)</f>
        <v>9.1925000000000008</v>
      </c>
      <c r="E630" s="33">
        <f>10.541 * CHOOSE(CONTROL!$C$32, $C$9, 100%, $E$9)</f>
        <v>10.541</v>
      </c>
      <c r="F630" s="33">
        <f>10.541 * CHOOSE(CONTROL!$C$32, $C$9, 100%, $E$9)</f>
        <v>10.541</v>
      </c>
      <c r="G630" s="33">
        <f>10.5462 * CHOOSE(CONTROL!$C$32, $C$9, 100%, $E$9)</f>
        <v>10.546200000000001</v>
      </c>
      <c r="H630" s="33">
        <f>20.8425 * CHOOSE(CONTROL!$C$32, $C$9, 100%, $E$9)</f>
        <v>20.842500000000001</v>
      </c>
      <c r="I630" s="33">
        <f>20.8478 * CHOOSE(CONTROL!$C$32, $C$9, 100%, $E$9)</f>
        <v>20.847799999999999</v>
      </c>
      <c r="J630" s="33">
        <f>20.8425 * CHOOSE(CONTROL!$C$32, $C$9, 100%, $E$9)</f>
        <v>20.842500000000001</v>
      </c>
      <c r="K630" s="33">
        <f>20.8478 * CHOOSE(CONTROL!$C$32, $C$9, 100%, $E$9)</f>
        <v>20.847799999999999</v>
      </c>
      <c r="L630" s="33">
        <f>10.541 * CHOOSE(CONTROL!$C$32, $C$9, 100%, $E$9)</f>
        <v>10.541</v>
      </c>
      <c r="M630" s="33">
        <f>10.5462 * CHOOSE(CONTROL!$C$32, $C$9, 100%, $E$9)</f>
        <v>10.546200000000001</v>
      </c>
      <c r="N630" s="33">
        <f>10.541 * CHOOSE(CONTROL!$C$32, $C$9, 100%, $E$9)</f>
        <v>10.541</v>
      </c>
      <c r="O630" s="33">
        <f>10.5462 * CHOOSE(CONTROL!$C$32, $C$9, 100%, $E$9)</f>
        <v>10.546200000000001</v>
      </c>
    </row>
    <row r="631" spans="1:15" ht="15" x14ac:dyDescent="0.2">
      <c r="A631" s="16">
        <v>60419</v>
      </c>
      <c r="B631" s="32">
        <f>9.197 * CHOOSE(CONTROL!$C$32, $C$9, 100%, $E$9)</f>
        <v>9.1969999999999992</v>
      </c>
      <c r="C631" s="32">
        <f>9.197 * CHOOSE(CONTROL!$C$32, $C$9, 100%, $E$9)</f>
        <v>9.1969999999999992</v>
      </c>
      <c r="D631" s="32">
        <f>9.1985 * CHOOSE(CONTROL!$C$32, $C$9, 100%, $E$9)</f>
        <v>9.1984999999999992</v>
      </c>
      <c r="E631" s="33">
        <f>10.4647 * CHOOSE(CONTROL!$C$32, $C$9, 100%, $E$9)</f>
        <v>10.464700000000001</v>
      </c>
      <c r="F631" s="33">
        <f>10.4647 * CHOOSE(CONTROL!$C$32, $C$9, 100%, $E$9)</f>
        <v>10.464700000000001</v>
      </c>
      <c r="G631" s="33">
        <f>10.47 * CHOOSE(CONTROL!$C$32, $C$9, 100%, $E$9)</f>
        <v>10.47</v>
      </c>
      <c r="H631" s="33">
        <f>20.8859 * CHOOSE(CONTROL!$C$32, $C$9, 100%, $E$9)</f>
        <v>20.885899999999999</v>
      </c>
      <c r="I631" s="33">
        <f>20.8912 * CHOOSE(CONTROL!$C$32, $C$9, 100%, $E$9)</f>
        <v>20.891200000000001</v>
      </c>
      <c r="J631" s="33">
        <f>20.8859 * CHOOSE(CONTROL!$C$32, $C$9, 100%, $E$9)</f>
        <v>20.885899999999999</v>
      </c>
      <c r="K631" s="33">
        <f>20.8912 * CHOOSE(CONTROL!$C$32, $C$9, 100%, $E$9)</f>
        <v>20.891200000000001</v>
      </c>
      <c r="L631" s="33">
        <f>10.4647 * CHOOSE(CONTROL!$C$32, $C$9, 100%, $E$9)</f>
        <v>10.464700000000001</v>
      </c>
      <c r="M631" s="33">
        <f>10.47 * CHOOSE(CONTROL!$C$32, $C$9, 100%, $E$9)</f>
        <v>10.47</v>
      </c>
      <c r="N631" s="33">
        <f>10.4647 * CHOOSE(CONTROL!$C$32, $C$9, 100%, $E$9)</f>
        <v>10.464700000000001</v>
      </c>
      <c r="O631" s="33">
        <f>10.47 * CHOOSE(CONTROL!$C$32, $C$9, 100%, $E$9)</f>
        <v>10.47</v>
      </c>
    </row>
    <row r="632" spans="1:15" ht="15" x14ac:dyDescent="0.2">
      <c r="A632" s="16">
        <v>60449</v>
      </c>
      <c r="B632" s="32">
        <f>9.3125 * CHOOSE(CONTROL!$C$32, $C$9, 100%, $E$9)</f>
        <v>9.3125</v>
      </c>
      <c r="C632" s="32">
        <f>9.3125 * CHOOSE(CONTROL!$C$32, $C$9, 100%, $E$9)</f>
        <v>9.3125</v>
      </c>
      <c r="D632" s="32">
        <f>9.3141 * CHOOSE(CONTROL!$C$32, $C$9, 100%, $E$9)</f>
        <v>9.3140999999999998</v>
      </c>
      <c r="E632" s="33">
        <f>10.6108 * CHOOSE(CONTROL!$C$32, $C$9, 100%, $E$9)</f>
        <v>10.610799999999999</v>
      </c>
      <c r="F632" s="33">
        <f>10.6108 * CHOOSE(CONTROL!$C$32, $C$9, 100%, $E$9)</f>
        <v>10.610799999999999</v>
      </c>
      <c r="G632" s="33">
        <f>10.6161 * CHOOSE(CONTROL!$C$32, $C$9, 100%, $E$9)</f>
        <v>10.616099999999999</v>
      </c>
      <c r="H632" s="33">
        <f>20.9294 * CHOOSE(CONTROL!$C$32, $C$9, 100%, $E$9)</f>
        <v>20.929400000000001</v>
      </c>
      <c r="I632" s="33">
        <f>20.9347 * CHOOSE(CONTROL!$C$32, $C$9, 100%, $E$9)</f>
        <v>20.934699999999999</v>
      </c>
      <c r="J632" s="33">
        <f>20.9294 * CHOOSE(CONTROL!$C$32, $C$9, 100%, $E$9)</f>
        <v>20.929400000000001</v>
      </c>
      <c r="K632" s="33">
        <f>20.9347 * CHOOSE(CONTROL!$C$32, $C$9, 100%, $E$9)</f>
        <v>20.934699999999999</v>
      </c>
      <c r="L632" s="33">
        <f>10.6108 * CHOOSE(CONTROL!$C$32, $C$9, 100%, $E$9)</f>
        <v>10.610799999999999</v>
      </c>
      <c r="M632" s="33">
        <f>10.6161 * CHOOSE(CONTROL!$C$32, $C$9, 100%, $E$9)</f>
        <v>10.616099999999999</v>
      </c>
      <c r="N632" s="33">
        <f>10.6108 * CHOOSE(CONTROL!$C$32, $C$9, 100%, $E$9)</f>
        <v>10.610799999999999</v>
      </c>
      <c r="O632" s="33">
        <f>10.6161 * CHOOSE(CONTROL!$C$32, $C$9, 100%, $E$9)</f>
        <v>10.616099999999999</v>
      </c>
    </row>
    <row r="633" spans="1:15" ht="15" x14ac:dyDescent="0.2">
      <c r="A633" s="16">
        <v>60480</v>
      </c>
      <c r="B633" s="32">
        <f>9.3192 * CHOOSE(CONTROL!$C$32, $C$9, 100%, $E$9)</f>
        <v>9.3192000000000004</v>
      </c>
      <c r="C633" s="32">
        <f>9.3192 * CHOOSE(CONTROL!$C$32, $C$9, 100%, $E$9)</f>
        <v>9.3192000000000004</v>
      </c>
      <c r="D633" s="32">
        <f>9.3208 * CHOOSE(CONTROL!$C$32, $C$9, 100%, $E$9)</f>
        <v>9.3208000000000002</v>
      </c>
      <c r="E633" s="33">
        <f>10.374 * CHOOSE(CONTROL!$C$32, $C$9, 100%, $E$9)</f>
        <v>10.374000000000001</v>
      </c>
      <c r="F633" s="33">
        <f>10.374 * CHOOSE(CONTROL!$C$32, $C$9, 100%, $E$9)</f>
        <v>10.374000000000001</v>
      </c>
      <c r="G633" s="33">
        <f>10.3793 * CHOOSE(CONTROL!$C$32, $C$9, 100%, $E$9)</f>
        <v>10.379300000000001</v>
      </c>
      <c r="H633" s="33">
        <f>20.973 * CHOOSE(CONTROL!$C$32, $C$9, 100%, $E$9)</f>
        <v>20.972999999999999</v>
      </c>
      <c r="I633" s="33">
        <f>20.9783 * CHOOSE(CONTROL!$C$32, $C$9, 100%, $E$9)</f>
        <v>20.978300000000001</v>
      </c>
      <c r="J633" s="33">
        <f>20.973 * CHOOSE(CONTROL!$C$32, $C$9, 100%, $E$9)</f>
        <v>20.972999999999999</v>
      </c>
      <c r="K633" s="33">
        <f>20.9783 * CHOOSE(CONTROL!$C$32, $C$9, 100%, $E$9)</f>
        <v>20.978300000000001</v>
      </c>
      <c r="L633" s="33">
        <f>10.374 * CHOOSE(CONTROL!$C$32, $C$9, 100%, $E$9)</f>
        <v>10.374000000000001</v>
      </c>
      <c r="M633" s="33">
        <f>10.3793 * CHOOSE(CONTROL!$C$32, $C$9, 100%, $E$9)</f>
        <v>10.379300000000001</v>
      </c>
      <c r="N633" s="33">
        <f>10.374 * CHOOSE(CONTROL!$C$32, $C$9, 100%, $E$9)</f>
        <v>10.374000000000001</v>
      </c>
      <c r="O633" s="33">
        <f>10.3793 * CHOOSE(CONTROL!$C$32, $C$9, 100%, $E$9)</f>
        <v>10.379300000000001</v>
      </c>
    </row>
    <row r="634" spans="1:15" ht="15" x14ac:dyDescent="0.2">
      <c r="A634" s="16">
        <v>60511</v>
      </c>
      <c r="B634" s="32">
        <f>9.3162 * CHOOSE(CONTROL!$C$32, $C$9, 100%, $E$9)</f>
        <v>9.3162000000000003</v>
      </c>
      <c r="C634" s="32">
        <f>9.3162 * CHOOSE(CONTROL!$C$32, $C$9, 100%, $E$9)</f>
        <v>9.3162000000000003</v>
      </c>
      <c r="D634" s="32">
        <f>9.3178 * CHOOSE(CONTROL!$C$32, $C$9, 100%, $E$9)</f>
        <v>9.3178000000000001</v>
      </c>
      <c r="E634" s="33">
        <f>10.345 * CHOOSE(CONTROL!$C$32, $C$9, 100%, $E$9)</f>
        <v>10.345000000000001</v>
      </c>
      <c r="F634" s="33">
        <f>10.345 * CHOOSE(CONTROL!$C$32, $C$9, 100%, $E$9)</f>
        <v>10.345000000000001</v>
      </c>
      <c r="G634" s="33">
        <f>10.3503 * CHOOSE(CONTROL!$C$32, $C$9, 100%, $E$9)</f>
        <v>10.350300000000001</v>
      </c>
      <c r="H634" s="33">
        <f>21.0167 * CHOOSE(CONTROL!$C$32, $C$9, 100%, $E$9)</f>
        <v>21.0167</v>
      </c>
      <c r="I634" s="33">
        <f>21.022 * CHOOSE(CONTROL!$C$32, $C$9, 100%, $E$9)</f>
        <v>21.021999999999998</v>
      </c>
      <c r="J634" s="33">
        <f>21.0167 * CHOOSE(CONTROL!$C$32, $C$9, 100%, $E$9)</f>
        <v>21.0167</v>
      </c>
      <c r="K634" s="33">
        <f>21.022 * CHOOSE(CONTROL!$C$32, $C$9, 100%, $E$9)</f>
        <v>21.021999999999998</v>
      </c>
      <c r="L634" s="33">
        <f>10.345 * CHOOSE(CONTROL!$C$32, $C$9, 100%, $E$9)</f>
        <v>10.345000000000001</v>
      </c>
      <c r="M634" s="33">
        <f>10.3503 * CHOOSE(CONTROL!$C$32, $C$9, 100%, $E$9)</f>
        <v>10.350300000000001</v>
      </c>
      <c r="N634" s="33">
        <f>10.345 * CHOOSE(CONTROL!$C$32, $C$9, 100%, $E$9)</f>
        <v>10.345000000000001</v>
      </c>
      <c r="O634" s="33">
        <f>10.3503 * CHOOSE(CONTROL!$C$32, $C$9, 100%, $E$9)</f>
        <v>10.350300000000001</v>
      </c>
    </row>
    <row r="635" spans="1:15" ht="15" x14ac:dyDescent="0.2">
      <c r="A635" s="16">
        <v>60541</v>
      </c>
      <c r="B635" s="32">
        <f>9.3311 * CHOOSE(CONTROL!$C$32, $C$9, 100%, $E$9)</f>
        <v>9.3310999999999993</v>
      </c>
      <c r="C635" s="32">
        <f>9.3311 * CHOOSE(CONTROL!$C$32, $C$9, 100%, $E$9)</f>
        <v>9.3310999999999993</v>
      </c>
      <c r="D635" s="32">
        <f>9.3321 * CHOOSE(CONTROL!$C$32, $C$9, 100%, $E$9)</f>
        <v>9.3321000000000005</v>
      </c>
      <c r="E635" s="33">
        <f>10.4389 * CHOOSE(CONTROL!$C$32, $C$9, 100%, $E$9)</f>
        <v>10.4389</v>
      </c>
      <c r="F635" s="33">
        <f>10.4389 * CHOOSE(CONTROL!$C$32, $C$9, 100%, $E$9)</f>
        <v>10.4389</v>
      </c>
      <c r="G635" s="33">
        <f>10.4426 * CHOOSE(CONTROL!$C$32, $C$9, 100%, $E$9)</f>
        <v>10.442600000000001</v>
      </c>
      <c r="H635" s="33">
        <f>21.0605 * CHOOSE(CONTROL!$C$32, $C$9, 100%, $E$9)</f>
        <v>21.060500000000001</v>
      </c>
      <c r="I635" s="33">
        <f>21.0641 * CHOOSE(CONTROL!$C$32, $C$9, 100%, $E$9)</f>
        <v>21.0641</v>
      </c>
      <c r="J635" s="33">
        <f>21.0605 * CHOOSE(CONTROL!$C$32, $C$9, 100%, $E$9)</f>
        <v>21.060500000000001</v>
      </c>
      <c r="K635" s="33">
        <f>21.0641 * CHOOSE(CONTROL!$C$32, $C$9, 100%, $E$9)</f>
        <v>21.0641</v>
      </c>
      <c r="L635" s="33">
        <f>10.4389 * CHOOSE(CONTROL!$C$32, $C$9, 100%, $E$9)</f>
        <v>10.4389</v>
      </c>
      <c r="M635" s="33">
        <f>10.4426 * CHOOSE(CONTROL!$C$32, $C$9, 100%, $E$9)</f>
        <v>10.442600000000001</v>
      </c>
      <c r="N635" s="33">
        <f>10.4389 * CHOOSE(CONTROL!$C$32, $C$9, 100%, $E$9)</f>
        <v>10.4389</v>
      </c>
      <c r="O635" s="33">
        <f>10.4426 * CHOOSE(CONTROL!$C$32, $C$9, 100%, $E$9)</f>
        <v>10.442600000000001</v>
      </c>
    </row>
    <row r="636" spans="1:15" ht="15" x14ac:dyDescent="0.2">
      <c r="A636" s="16">
        <v>60572</v>
      </c>
      <c r="B636" s="32">
        <f>9.3341 * CHOOSE(CONTROL!$C$32, $C$9, 100%, $E$9)</f>
        <v>9.3340999999999994</v>
      </c>
      <c r="C636" s="32">
        <f>9.3341 * CHOOSE(CONTROL!$C$32, $C$9, 100%, $E$9)</f>
        <v>9.3340999999999994</v>
      </c>
      <c r="D636" s="32">
        <f>9.3352 * CHOOSE(CONTROL!$C$32, $C$9, 100%, $E$9)</f>
        <v>9.3352000000000004</v>
      </c>
      <c r="E636" s="33">
        <f>10.4947 * CHOOSE(CONTROL!$C$32, $C$9, 100%, $E$9)</f>
        <v>10.4947</v>
      </c>
      <c r="F636" s="33">
        <f>10.4947 * CHOOSE(CONTROL!$C$32, $C$9, 100%, $E$9)</f>
        <v>10.4947</v>
      </c>
      <c r="G636" s="33">
        <f>10.4983 * CHOOSE(CONTROL!$C$32, $C$9, 100%, $E$9)</f>
        <v>10.4983</v>
      </c>
      <c r="H636" s="33">
        <f>21.1044 * CHOOSE(CONTROL!$C$32, $C$9, 100%, $E$9)</f>
        <v>21.104399999999998</v>
      </c>
      <c r="I636" s="33">
        <f>21.108 * CHOOSE(CONTROL!$C$32, $C$9, 100%, $E$9)</f>
        <v>21.108000000000001</v>
      </c>
      <c r="J636" s="33">
        <f>21.1044 * CHOOSE(CONTROL!$C$32, $C$9, 100%, $E$9)</f>
        <v>21.104399999999998</v>
      </c>
      <c r="K636" s="33">
        <f>21.108 * CHOOSE(CONTROL!$C$32, $C$9, 100%, $E$9)</f>
        <v>21.108000000000001</v>
      </c>
      <c r="L636" s="33">
        <f>10.4947 * CHOOSE(CONTROL!$C$32, $C$9, 100%, $E$9)</f>
        <v>10.4947</v>
      </c>
      <c r="M636" s="33">
        <f>10.4983 * CHOOSE(CONTROL!$C$32, $C$9, 100%, $E$9)</f>
        <v>10.4983</v>
      </c>
      <c r="N636" s="33">
        <f>10.4947 * CHOOSE(CONTROL!$C$32, $C$9, 100%, $E$9)</f>
        <v>10.4947</v>
      </c>
      <c r="O636" s="33">
        <f>10.4983 * CHOOSE(CONTROL!$C$32, $C$9, 100%, $E$9)</f>
        <v>10.4983</v>
      </c>
    </row>
    <row r="637" spans="1:15" ht="15" x14ac:dyDescent="0.2">
      <c r="A637" s="16">
        <v>60602</v>
      </c>
      <c r="B637" s="32">
        <f>9.3341 * CHOOSE(CONTROL!$C$32, $C$9, 100%, $E$9)</f>
        <v>9.3340999999999994</v>
      </c>
      <c r="C637" s="32">
        <f>9.3341 * CHOOSE(CONTROL!$C$32, $C$9, 100%, $E$9)</f>
        <v>9.3340999999999994</v>
      </c>
      <c r="D637" s="32">
        <f>9.3352 * CHOOSE(CONTROL!$C$32, $C$9, 100%, $E$9)</f>
        <v>9.3352000000000004</v>
      </c>
      <c r="E637" s="33">
        <f>10.3606 * CHOOSE(CONTROL!$C$32, $C$9, 100%, $E$9)</f>
        <v>10.3606</v>
      </c>
      <c r="F637" s="33">
        <f>10.3606 * CHOOSE(CONTROL!$C$32, $C$9, 100%, $E$9)</f>
        <v>10.3606</v>
      </c>
      <c r="G637" s="33">
        <f>10.3642 * CHOOSE(CONTROL!$C$32, $C$9, 100%, $E$9)</f>
        <v>10.3642</v>
      </c>
      <c r="H637" s="33">
        <f>21.1483 * CHOOSE(CONTROL!$C$32, $C$9, 100%, $E$9)</f>
        <v>21.148299999999999</v>
      </c>
      <c r="I637" s="33">
        <f>21.152 * CHOOSE(CONTROL!$C$32, $C$9, 100%, $E$9)</f>
        <v>21.152000000000001</v>
      </c>
      <c r="J637" s="33">
        <f>21.1483 * CHOOSE(CONTROL!$C$32, $C$9, 100%, $E$9)</f>
        <v>21.148299999999999</v>
      </c>
      <c r="K637" s="33">
        <f>21.152 * CHOOSE(CONTROL!$C$32, $C$9, 100%, $E$9)</f>
        <v>21.152000000000001</v>
      </c>
      <c r="L637" s="33">
        <f>10.3606 * CHOOSE(CONTROL!$C$32, $C$9, 100%, $E$9)</f>
        <v>10.3606</v>
      </c>
      <c r="M637" s="33">
        <f>10.3642 * CHOOSE(CONTROL!$C$32, $C$9, 100%, $E$9)</f>
        <v>10.3642</v>
      </c>
      <c r="N637" s="33">
        <f>10.3606 * CHOOSE(CONTROL!$C$32, $C$9, 100%, $E$9)</f>
        <v>10.3606</v>
      </c>
      <c r="O637" s="33">
        <f>10.3642 * CHOOSE(CONTROL!$C$32, $C$9, 100%, $E$9)</f>
        <v>10.3642</v>
      </c>
    </row>
    <row r="638" spans="1:15" ht="15" x14ac:dyDescent="0.2">
      <c r="A638" s="16">
        <v>60633</v>
      </c>
      <c r="B638" s="32">
        <f>9.3816 * CHOOSE(CONTROL!$C$32, $C$9, 100%, $E$9)</f>
        <v>9.3816000000000006</v>
      </c>
      <c r="C638" s="32">
        <f>9.3816 * CHOOSE(CONTROL!$C$32, $C$9, 100%, $E$9)</f>
        <v>9.3816000000000006</v>
      </c>
      <c r="D638" s="32">
        <f>9.3827 * CHOOSE(CONTROL!$C$32, $C$9, 100%, $E$9)</f>
        <v>9.3826999999999998</v>
      </c>
      <c r="E638" s="33">
        <f>10.5205 * CHOOSE(CONTROL!$C$32, $C$9, 100%, $E$9)</f>
        <v>10.5205</v>
      </c>
      <c r="F638" s="33">
        <f>10.5205 * CHOOSE(CONTROL!$C$32, $C$9, 100%, $E$9)</f>
        <v>10.5205</v>
      </c>
      <c r="G638" s="33">
        <f>10.5241 * CHOOSE(CONTROL!$C$32, $C$9, 100%, $E$9)</f>
        <v>10.524100000000001</v>
      </c>
      <c r="H638" s="33">
        <f>21.1337 * CHOOSE(CONTROL!$C$32, $C$9, 100%, $E$9)</f>
        <v>21.133700000000001</v>
      </c>
      <c r="I638" s="33">
        <f>21.1373 * CHOOSE(CONTROL!$C$32, $C$9, 100%, $E$9)</f>
        <v>21.1373</v>
      </c>
      <c r="J638" s="33">
        <f>21.1337 * CHOOSE(CONTROL!$C$32, $C$9, 100%, $E$9)</f>
        <v>21.133700000000001</v>
      </c>
      <c r="K638" s="33">
        <f>21.1373 * CHOOSE(CONTROL!$C$32, $C$9, 100%, $E$9)</f>
        <v>21.1373</v>
      </c>
      <c r="L638" s="33">
        <f>10.5205 * CHOOSE(CONTROL!$C$32, $C$9, 100%, $E$9)</f>
        <v>10.5205</v>
      </c>
      <c r="M638" s="33">
        <f>10.5241 * CHOOSE(CONTROL!$C$32, $C$9, 100%, $E$9)</f>
        <v>10.524100000000001</v>
      </c>
      <c r="N638" s="33">
        <f>10.5205 * CHOOSE(CONTROL!$C$32, $C$9, 100%, $E$9)</f>
        <v>10.5205</v>
      </c>
      <c r="O638" s="33">
        <f>10.5241 * CHOOSE(CONTROL!$C$32, $C$9, 100%, $E$9)</f>
        <v>10.524100000000001</v>
      </c>
    </row>
    <row r="639" spans="1:15" ht="15" x14ac:dyDescent="0.2">
      <c r="A639" s="16">
        <v>60664</v>
      </c>
      <c r="B639" s="32">
        <f>9.3786 * CHOOSE(CONTROL!$C$32, $C$9, 100%, $E$9)</f>
        <v>9.3786000000000005</v>
      </c>
      <c r="C639" s="32">
        <f>9.3786 * CHOOSE(CONTROL!$C$32, $C$9, 100%, $E$9)</f>
        <v>9.3786000000000005</v>
      </c>
      <c r="D639" s="32">
        <f>9.3797 * CHOOSE(CONTROL!$C$32, $C$9, 100%, $E$9)</f>
        <v>9.3796999999999997</v>
      </c>
      <c r="E639" s="33">
        <f>10.2578 * CHOOSE(CONTROL!$C$32, $C$9, 100%, $E$9)</f>
        <v>10.2578</v>
      </c>
      <c r="F639" s="33">
        <f>10.2578 * CHOOSE(CONTROL!$C$32, $C$9, 100%, $E$9)</f>
        <v>10.2578</v>
      </c>
      <c r="G639" s="33">
        <f>10.2614 * CHOOSE(CONTROL!$C$32, $C$9, 100%, $E$9)</f>
        <v>10.2614</v>
      </c>
      <c r="H639" s="33">
        <f>21.1778 * CHOOSE(CONTROL!$C$32, $C$9, 100%, $E$9)</f>
        <v>21.177800000000001</v>
      </c>
      <c r="I639" s="33">
        <f>21.1814 * CHOOSE(CONTROL!$C$32, $C$9, 100%, $E$9)</f>
        <v>21.1814</v>
      </c>
      <c r="J639" s="33">
        <f>21.1778 * CHOOSE(CONTROL!$C$32, $C$9, 100%, $E$9)</f>
        <v>21.177800000000001</v>
      </c>
      <c r="K639" s="33">
        <f>21.1814 * CHOOSE(CONTROL!$C$32, $C$9, 100%, $E$9)</f>
        <v>21.1814</v>
      </c>
      <c r="L639" s="33">
        <f>10.2578 * CHOOSE(CONTROL!$C$32, $C$9, 100%, $E$9)</f>
        <v>10.2578</v>
      </c>
      <c r="M639" s="33">
        <f>10.2614 * CHOOSE(CONTROL!$C$32, $C$9, 100%, $E$9)</f>
        <v>10.2614</v>
      </c>
      <c r="N639" s="33">
        <f>10.2578 * CHOOSE(CONTROL!$C$32, $C$9, 100%, $E$9)</f>
        <v>10.2578</v>
      </c>
      <c r="O639" s="33">
        <f>10.2614 * CHOOSE(CONTROL!$C$32, $C$9, 100%, $E$9)</f>
        <v>10.2614</v>
      </c>
    </row>
    <row r="640" spans="1:15" ht="15" x14ac:dyDescent="0.2">
      <c r="A640" s="16">
        <v>60692</v>
      </c>
      <c r="B640" s="32">
        <f>9.3756 * CHOOSE(CONTROL!$C$32, $C$9, 100%, $E$9)</f>
        <v>9.3756000000000004</v>
      </c>
      <c r="C640" s="32">
        <f>9.3756 * CHOOSE(CONTROL!$C$32, $C$9, 100%, $E$9)</f>
        <v>9.3756000000000004</v>
      </c>
      <c r="D640" s="32">
        <f>9.3766 * CHOOSE(CONTROL!$C$32, $C$9, 100%, $E$9)</f>
        <v>9.3765999999999998</v>
      </c>
      <c r="E640" s="33">
        <f>10.4611 * CHOOSE(CONTROL!$C$32, $C$9, 100%, $E$9)</f>
        <v>10.4611</v>
      </c>
      <c r="F640" s="33">
        <f>10.4611 * CHOOSE(CONTROL!$C$32, $C$9, 100%, $E$9)</f>
        <v>10.4611</v>
      </c>
      <c r="G640" s="33">
        <f>10.4647 * CHOOSE(CONTROL!$C$32, $C$9, 100%, $E$9)</f>
        <v>10.464700000000001</v>
      </c>
      <c r="H640" s="33">
        <f>21.2219 * CHOOSE(CONTROL!$C$32, $C$9, 100%, $E$9)</f>
        <v>21.221900000000002</v>
      </c>
      <c r="I640" s="33">
        <f>21.2255 * CHOOSE(CONTROL!$C$32, $C$9, 100%, $E$9)</f>
        <v>21.2255</v>
      </c>
      <c r="J640" s="33">
        <f>21.2219 * CHOOSE(CONTROL!$C$32, $C$9, 100%, $E$9)</f>
        <v>21.221900000000002</v>
      </c>
      <c r="K640" s="33">
        <f>21.2255 * CHOOSE(CONTROL!$C$32, $C$9, 100%, $E$9)</f>
        <v>21.2255</v>
      </c>
      <c r="L640" s="33">
        <f>10.4611 * CHOOSE(CONTROL!$C$32, $C$9, 100%, $E$9)</f>
        <v>10.4611</v>
      </c>
      <c r="M640" s="33">
        <f>10.4647 * CHOOSE(CONTROL!$C$32, $C$9, 100%, $E$9)</f>
        <v>10.464700000000001</v>
      </c>
      <c r="N640" s="33">
        <f>10.4611 * CHOOSE(CONTROL!$C$32, $C$9, 100%, $E$9)</f>
        <v>10.4611</v>
      </c>
      <c r="O640" s="33">
        <f>10.4647 * CHOOSE(CONTROL!$C$32, $C$9, 100%, $E$9)</f>
        <v>10.464700000000001</v>
      </c>
    </row>
    <row r="641" spans="1:15" ht="15" x14ac:dyDescent="0.2">
      <c r="A641" s="16">
        <v>60723</v>
      </c>
      <c r="B641" s="32">
        <f>9.3784 * CHOOSE(CONTROL!$C$32, $C$9, 100%, $E$9)</f>
        <v>9.3783999999999992</v>
      </c>
      <c r="C641" s="32">
        <f>9.3784 * CHOOSE(CONTROL!$C$32, $C$9, 100%, $E$9)</f>
        <v>9.3783999999999992</v>
      </c>
      <c r="D641" s="32">
        <f>9.3795 * CHOOSE(CONTROL!$C$32, $C$9, 100%, $E$9)</f>
        <v>9.3795000000000002</v>
      </c>
      <c r="E641" s="33">
        <f>10.6775 * CHOOSE(CONTROL!$C$32, $C$9, 100%, $E$9)</f>
        <v>10.6775</v>
      </c>
      <c r="F641" s="33">
        <f>10.6775 * CHOOSE(CONTROL!$C$32, $C$9, 100%, $E$9)</f>
        <v>10.6775</v>
      </c>
      <c r="G641" s="33">
        <f>10.6811 * CHOOSE(CONTROL!$C$32, $C$9, 100%, $E$9)</f>
        <v>10.681100000000001</v>
      </c>
      <c r="H641" s="33">
        <f>21.2661 * CHOOSE(CONTROL!$C$32, $C$9, 100%, $E$9)</f>
        <v>21.266100000000002</v>
      </c>
      <c r="I641" s="33">
        <f>21.2697 * CHOOSE(CONTROL!$C$32, $C$9, 100%, $E$9)</f>
        <v>21.2697</v>
      </c>
      <c r="J641" s="33">
        <f>21.2661 * CHOOSE(CONTROL!$C$32, $C$9, 100%, $E$9)</f>
        <v>21.266100000000002</v>
      </c>
      <c r="K641" s="33">
        <f>21.2697 * CHOOSE(CONTROL!$C$32, $C$9, 100%, $E$9)</f>
        <v>21.2697</v>
      </c>
      <c r="L641" s="33">
        <f>10.6775 * CHOOSE(CONTROL!$C$32, $C$9, 100%, $E$9)</f>
        <v>10.6775</v>
      </c>
      <c r="M641" s="33">
        <f>10.6811 * CHOOSE(CONTROL!$C$32, $C$9, 100%, $E$9)</f>
        <v>10.681100000000001</v>
      </c>
      <c r="N641" s="33">
        <f>10.6775 * CHOOSE(CONTROL!$C$32, $C$9, 100%, $E$9)</f>
        <v>10.6775</v>
      </c>
      <c r="O641" s="33">
        <f>10.6811 * CHOOSE(CONTROL!$C$32, $C$9, 100%, $E$9)</f>
        <v>10.681100000000001</v>
      </c>
    </row>
    <row r="642" spans="1:15" ht="15" x14ac:dyDescent="0.2">
      <c r="A642" s="16">
        <v>60753</v>
      </c>
      <c r="B642" s="32">
        <f>9.3784 * CHOOSE(CONTROL!$C$32, $C$9, 100%, $E$9)</f>
        <v>9.3783999999999992</v>
      </c>
      <c r="C642" s="32">
        <f>9.3784 * CHOOSE(CONTROL!$C$32, $C$9, 100%, $E$9)</f>
        <v>9.3783999999999992</v>
      </c>
      <c r="D642" s="32">
        <f>9.38 * CHOOSE(CONTROL!$C$32, $C$9, 100%, $E$9)</f>
        <v>9.3800000000000008</v>
      </c>
      <c r="E642" s="33">
        <f>10.7602 * CHOOSE(CONTROL!$C$32, $C$9, 100%, $E$9)</f>
        <v>10.760199999999999</v>
      </c>
      <c r="F642" s="33">
        <f>10.7602 * CHOOSE(CONTROL!$C$32, $C$9, 100%, $E$9)</f>
        <v>10.760199999999999</v>
      </c>
      <c r="G642" s="33">
        <f>10.7655 * CHOOSE(CONTROL!$C$32, $C$9, 100%, $E$9)</f>
        <v>10.765499999999999</v>
      </c>
      <c r="H642" s="33">
        <f>21.3104 * CHOOSE(CONTROL!$C$32, $C$9, 100%, $E$9)</f>
        <v>21.310400000000001</v>
      </c>
      <c r="I642" s="33">
        <f>21.3157 * CHOOSE(CONTROL!$C$32, $C$9, 100%, $E$9)</f>
        <v>21.3157</v>
      </c>
      <c r="J642" s="33">
        <f>21.3104 * CHOOSE(CONTROL!$C$32, $C$9, 100%, $E$9)</f>
        <v>21.310400000000001</v>
      </c>
      <c r="K642" s="33">
        <f>21.3157 * CHOOSE(CONTROL!$C$32, $C$9, 100%, $E$9)</f>
        <v>21.3157</v>
      </c>
      <c r="L642" s="33">
        <f>10.7602 * CHOOSE(CONTROL!$C$32, $C$9, 100%, $E$9)</f>
        <v>10.760199999999999</v>
      </c>
      <c r="M642" s="33">
        <f>10.7655 * CHOOSE(CONTROL!$C$32, $C$9, 100%, $E$9)</f>
        <v>10.765499999999999</v>
      </c>
      <c r="N642" s="33">
        <f>10.7602 * CHOOSE(CONTROL!$C$32, $C$9, 100%, $E$9)</f>
        <v>10.760199999999999</v>
      </c>
      <c r="O642" s="33">
        <f>10.7655 * CHOOSE(CONTROL!$C$32, $C$9, 100%, $E$9)</f>
        <v>10.765499999999999</v>
      </c>
    </row>
    <row r="643" spans="1:15" ht="15" x14ac:dyDescent="0.2">
      <c r="A643" s="16">
        <v>60784</v>
      </c>
      <c r="B643" s="32">
        <f>9.3845 * CHOOSE(CONTROL!$C$32, $C$9, 100%, $E$9)</f>
        <v>9.3844999999999992</v>
      </c>
      <c r="C643" s="32">
        <f>9.3845 * CHOOSE(CONTROL!$C$32, $C$9, 100%, $E$9)</f>
        <v>9.3844999999999992</v>
      </c>
      <c r="D643" s="32">
        <f>9.3861 * CHOOSE(CONTROL!$C$32, $C$9, 100%, $E$9)</f>
        <v>9.3861000000000008</v>
      </c>
      <c r="E643" s="33">
        <f>10.6817 * CHOOSE(CONTROL!$C$32, $C$9, 100%, $E$9)</f>
        <v>10.681699999999999</v>
      </c>
      <c r="F643" s="33">
        <f>10.6817 * CHOOSE(CONTROL!$C$32, $C$9, 100%, $E$9)</f>
        <v>10.681699999999999</v>
      </c>
      <c r="G643" s="33">
        <f>10.687 * CHOOSE(CONTROL!$C$32, $C$9, 100%, $E$9)</f>
        <v>10.686999999999999</v>
      </c>
      <c r="H643" s="33">
        <f>21.3548 * CHOOSE(CONTROL!$C$32, $C$9, 100%, $E$9)</f>
        <v>21.354800000000001</v>
      </c>
      <c r="I643" s="33">
        <f>21.3601 * CHOOSE(CONTROL!$C$32, $C$9, 100%, $E$9)</f>
        <v>21.360099999999999</v>
      </c>
      <c r="J643" s="33">
        <f>21.3548 * CHOOSE(CONTROL!$C$32, $C$9, 100%, $E$9)</f>
        <v>21.354800000000001</v>
      </c>
      <c r="K643" s="33">
        <f>21.3601 * CHOOSE(CONTROL!$C$32, $C$9, 100%, $E$9)</f>
        <v>21.360099999999999</v>
      </c>
      <c r="L643" s="33">
        <f>10.6817 * CHOOSE(CONTROL!$C$32, $C$9, 100%, $E$9)</f>
        <v>10.681699999999999</v>
      </c>
      <c r="M643" s="33">
        <f>10.687 * CHOOSE(CONTROL!$C$32, $C$9, 100%, $E$9)</f>
        <v>10.686999999999999</v>
      </c>
      <c r="N643" s="33">
        <f>10.6817 * CHOOSE(CONTROL!$C$32, $C$9, 100%, $E$9)</f>
        <v>10.681699999999999</v>
      </c>
      <c r="O643" s="33">
        <f>10.687 * CHOOSE(CONTROL!$C$32, $C$9, 100%, $E$9)</f>
        <v>10.686999999999999</v>
      </c>
    </row>
    <row r="644" spans="1:15" ht="15" x14ac:dyDescent="0.2">
      <c r="A644" s="16">
        <v>60814</v>
      </c>
      <c r="B644" s="32">
        <f>9.5021 * CHOOSE(CONTROL!$C$32, $C$9, 100%, $E$9)</f>
        <v>9.5021000000000004</v>
      </c>
      <c r="C644" s="32">
        <f>9.5021 * CHOOSE(CONTROL!$C$32, $C$9, 100%, $E$9)</f>
        <v>9.5021000000000004</v>
      </c>
      <c r="D644" s="32">
        <f>9.5037 * CHOOSE(CONTROL!$C$32, $C$9, 100%, $E$9)</f>
        <v>9.5037000000000003</v>
      </c>
      <c r="E644" s="33">
        <f>10.8309 * CHOOSE(CONTROL!$C$32, $C$9, 100%, $E$9)</f>
        <v>10.8309</v>
      </c>
      <c r="F644" s="33">
        <f>10.8309 * CHOOSE(CONTROL!$C$32, $C$9, 100%, $E$9)</f>
        <v>10.8309</v>
      </c>
      <c r="G644" s="33">
        <f>10.8362 * CHOOSE(CONTROL!$C$32, $C$9, 100%, $E$9)</f>
        <v>10.8362</v>
      </c>
      <c r="H644" s="33">
        <f>21.3993 * CHOOSE(CONTROL!$C$32, $C$9, 100%, $E$9)</f>
        <v>21.3993</v>
      </c>
      <c r="I644" s="33">
        <f>21.4046 * CHOOSE(CONTROL!$C$32, $C$9, 100%, $E$9)</f>
        <v>21.404599999999999</v>
      </c>
      <c r="J644" s="33">
        <f>21.3993 * CHOOSE(CONTROL!$C$32, $C$9, 100%, $E$9)</f>
        <v>21.3993</v>
      </c>
      <c r="K644" s="33">
        <f>21.4046 * CHOOSE(CONTROL!$C$32, $C$9, 100%, $E$9)</f>
        <v>21.404599999999999</v>
      </c>
      <c r="L644" s="33">
        <f>10.8309 * CHOOSE(CONTROL!$C$32, $C$9, 100%, $E$9)</f>
        <v>10.8309</v>
      </c>
      <c r="M644" s="33">
        <f>10.8362 * CHOOSE(CONTROL!$C$32, $C$9, 100%, $E$9)</f>
        <v>10.8362</v>
      </c>
      <c r="N644" s="33">
        <f>10.8309 * CHOOSE(CONTROL!$C$32, $C$9, 100%, $E$9)</f>
        <v>10.8309</v>
      </c>
      <c r="O644" s="33">
        <f>10.8362 * CHOOSE(CONTROL!$C$32, $C$9, 100%, $E$9)</f>
        <v>10.8362</v>
      </c>
    </row>
    <row r="645" spans="1:15" ht="15" x14ac:dyDescent="0.2">
      <c r="A645" s="16">
        <v>60845</v>
      </c>
      <c r="B645" s="32">
        <f>9.5088 * CHOOSE(CONTROL!$C$32, $C$9, 100%, $E$9)</f>
        <v>9.5088000000000008</v>
      </c>
      <c r="C645" s="32">
        <f>9.5088 * CHOOSE(CONTROL!$C$32, $C$9, 100%, $E$9)</f>
        <v>9.5088000000000008</v>
      </c>
      <c r="D645" s="32">
        <f>9.5104 * CHOOSE(CONTROL!$C$32, $C$9, 100%, $E$9)</f>
        <v>9.5104000000000006</v>
      </c>
      <c r="E645" s="33">
        <f>10.5874 * CHOOSE(CONTROL!$C$32, $C$9, 100%, $E$9)</f>
        <v>10.587400000000001</v>
      </c>
      <c r="F645" s="33">
        <f>10.5874 * CHOOSE(CONTROL!$C$32, $C$9, 100%, $E$9)</f>
        <v>10.587400000000001</v>
      </c>
      <c r="G645" s="33">
        <f>10.5927 * CHOOSE(CONTROL!$C$32, $C$9, 100%, $E$9)</f>
        <v>10.592700000000001</v>
      </c>
      <c r="H645" s="33">
        <f>21.4439 * CHOOSE(CONTROL!$C$32, $C$9, 100%, $E$9)</f>
        <v>21.443899999999999</v>
      </c>
      <c r="I645" s="33">
        <f>21.4492 * CHOOSE(CONTROL!$C$32, $C$9, 100%, $E$9)</f>
        <v>21.449200000000001</v>
      </c>
      <c r="J645" s="33">
        <f>21.4439 * CHOOSE(CONTROL!$C$32, $C$9, 100%, $E$9)</f>
        <v>21.443899999999999</v>
      </c>
      <c r="K645" s="33">
        <f>21.4492 * CHOOSE(CONTROL!$C$32, $C$9, 100%, $E$9)</f>
        <v>21.449200000000001</v>
      </c>
      <c r="L645" s="33">
        <f>10.5874 * CHOOSE(CONTROL!$C$32, $C$9, 100%, $E$9)</f>
        <v>10.587400000000001</v>
      </c>
      <c r="M645" s="33">
        <f>10.5927 * CHOOSE(CONTROL!$C$32, $C$9, 100%, $E$9)</f>
        <v>10.592700000000001</v>
      </c>
      <c r="N645" s="33">
        <f>10.5874 * CHOOSE(CONTROL!$C$32, $C$9, 100%, $E$9)</f>
        <v>10.587400000000001</v>
      </c>
      <c r="O645" s="33">
        <f>10.5927 * CHOOSE(CONTROL!$C$32, $C$9, 100%, $E$9)</f>
        <v>10.592700000000001</v>
      </c>
    </row>
    <row r="646" spans="1:15" ht="15" x14ac:dyDescent="0.2">
      <c r="A646" s="16">
        <v>60876</v>
      </c>
      <c r="B646" s="32">
        <f>9.5058 * CHOOSE(CONTROL!$C$32, $C$9, 100%, $E$9)</f>
        <v>9.5058000000000007</v>
      </c>
      <c r="C646" s="32">
        <f>9.5058 * CHOOSE(CONTROL!$C$32, $C$9, 100%, $E$9)</f>
        <v>9.5058000000000007</v>
      </c>
      <c r="D646" s="32">
        <f>9.5074 * CHOOSE(CONTROL!$C$32, $C$9, 100%, $E$9)</f>
        <v>9.5074000000000005</v>
      </c>
      <c r="E646" s="33">
        <f>10.5577 * CHOOSE(CONTROL!$C$32, $C$9, 100%, $E$9)</f>
        <v>10.557700000000001</v>
      </c>
      <c r="F646" s="33">
        <f>10.5577 * CHOOSE(CONTROL!$C$32, $C$9, 100%, $E$9)</f>
        <v>10.557700000000001</v>
      </c>
      <c r="G646" s="33">
        <f>10.563 * CHOOSE(CONTROL!$C$32, $C$9, 100%, $E$9)</f>
        <v>10.563000000000001</v>
      </c>
      <c r="H646" s="33">
        <f>21.4885 * CHOOSE(CONTROL!$C$32, $C$9, 100%, $E$9)</f>
        <v>21.488499999999998</v>
      </c>
      <c r="I646" s="33">
        <f>21.4938 * CHOOSE(CONTROL!$C$32, $C$9, 100%, $E$9)</f>
        <v>21.4938</v>
      </c>
      <c r="J646" s="33">
        <f>21.4885 * CHOOSE(CONTROL!$C$32, $C$9, 100%, $E$9)</f>
        <v>21.488499999999998</v>
      </c>
      <c r="K646" s="33">
        <f>21.4938 * CHOOSE(CONTROL!$C$32, $C$9, 100%, $E$9)</f>
        <v>21.4938</v>
      </c>
      <c r="L646" s="33">
        <f>10.5577 * CHOOSE(CONTROL!$C$32, $C$9, 100%, $E$9)</f>
        <v>10.557700000000001</v>
      </c>
      <c r="M646" s="33">
        <f>10.563 * CHOOSE(CONTROL!$C$32, $C$9, 100%, $E$9)</f>
        <v>10.563000000000001</v>
      </c>
      <c r="N646" s="33">
        <f>10.5577 * CHOOSE(CONTROL!$C$32, $C$9, 100%, $E$9)</f>
        <v>10.557700000000001</v>
      </c>
      <c r="O646" s="33">
        <f>10.563 * CHOOSE(CONTROL!$C$32, $C$9, 100%, $E$9)</f>
        <v>10.563000000000001</v>
      </c>
    </row>
    <row r="647" spans="1:15" ht="15" x14ac:dyDescent="0.2">
      <c r="A647" s="16">
        <v>60906</v>
      </c>
      <c r="B647" s="32">
        <f>9.5214 * CHOOSE(CONTROL!$C$32, $C$9, 100%, $E$9)</f>
        <v>9.5213999999999999</v>
      </c>
      <c r="C647" s="32">
        <f>9.5214 * CHOOSE(CONTROL!$C$32, $C$9, 100%, $E$9)</f>
        <v>9.5213999999999999</v>
      </c>
      <c r="D647" s="32">
        <f>9.5225 * CHOOSE(CONTROL!$C$32, $C$9, 100%, $E$9)</f>
        <v>9.5225000000000009</v>
      </c>
      <c r="E647" s="33">
        <f>10.6546 * CHOOSE(CONTROL!$C$32, $C$9, 100%, $E$9)</f>
        <v>10.6546</v>
      </c>
      <c r="F647" s="33">
        <f>10.6546 * CHOOSE(CONTROL!$C$32, $C$9, 100%, $E$9)</f>
        <v>10.6546</v>
      </c>
      <c r="G647" s="33">
        <f>10.6582 * CHOOSE(CONTROL!$C$32, $C$9, 100%, $E$9)</f>
        <v>10.658200000000001</v>
      </c>
      <c r="H647" s="33">
        <f>21.5333 * CHOOSE(CONTROL!$C$32, $C$9, 100%, $E$9)</f>
        <v>21.533300000000001</v>
      </c>
      <c r="I647" s="33">
        <f>21.5369 * CHOOSE(CONTROL!$C$32, $C$9, 100%, $E$9)</f>
        <v>21.536899999999999</v>
      </c>
      <c r="J647" s="33">
        <f>21.5333 * CHOOSE(CONTROL!$C$32, $C$9, 100%, $E$9)</f>
        <v>21.533300000000001</v>
      </c>
      <c r="K647" s="33">
        <f>21.5369 * CHOOSE(CONTROL!$C$32, $C$9, 100%, $E$9)</f>
        <v>21.536899999999999</v>
      </c>
      <c r="L647" s="33">
        <f>10.6546 * CHOOSE(CONTROL!$C$32, $C$9, 100%, $E$9)</f>
        <v>10.6546</v>
      </c>
      <c r="M647" s="33">
        <f>10.6582 * CHOOSE(CONTROL!$C$32, $C$9, 100%, $E$9)</f>
        <v>10.658200000000001</v>
      </c>
      <c r="N647" s="33">
        <f>10.6546 * CHOOSE(CONTROL!$C$32, $C$9, 100%, $E$9)</f>
        <v>10.6546</v>
      </c>
      <c r="O647" s="33">
        <f>10.6582 * CHOOSE(CONTROL!$C$32, $C$9, 100%, $E$9)</f>
        <v>10.658200000000001</v>
      </c>
    </row>
    <row r="648" spans="1:15" ht="15" x14ac:dyDescent="0.2">
      <c r="A648" s="16">
        <v>60937</v>
      </c>
      <c r="B648" s="32">
        <f>9.5244 * CHOOSE(CONTROL!$C$32, $C$9, 100%, $E$9)</f>
        <v>9.5244</v>
      </c>
      <c r="C648" s="32">
        <f>9.5244 * CHOOSE(CONTROL!$C$32, $C$9, 100%, $E$9)</f>
        <v>9.5244</v>
      </c>
      <c r="D648" s="32">
        <f>9.5255 * CHOOSE(CONTROL!$C$32, $C$9, 100%, $E$9)</f>
        <v>9.5254999999999992</v>
      </c>
      <c r="E648" s="33">
        <f>10.7119 * CHOOSE(CONTROL!$C$32, $C$9, 100%, $E$9)</f>
        <v>10.7119</v>
      </c>
      <c r="F648" s="33">
        <f>10.7119 * CHOOSE(CONTROL!$C$32, $C$9, 100%, $E$9)</f>
        <v>10.7119</v>
      </c>
      <c r="G648" s="33">
        <f>10.7155 * CHOOSE(CONTROL!$C$32, $C$9, 100%, $E$9)</f>
        <v>10.7155</v>
      </c>
      <c r="H648" s="33">
        <f>21.5782 * CHOOSE(CONTROL!$C$32, $C$9, 100%, $E$9)</f>
        <v>21.578199999999999</v>
      </c>
      <c r="I648" s="33">
        <f>21.5818 * CHOOSE(CONTROL!$C$32, $C$9, 100%, $E$9)</f>
        <v>21.581800000000001</v>
      </c>
      <c r="J648" s="33">
        <f>21.5782 * CHOOSE(CONTROL!$C$32, $C$9, 100%, $E$9)</f>
        <v>21.578199999999999</v>
      </c>
      <c r="K648" s="33">
        <f>21.5818 * CHOOSE(CONTROL!$C$32, $C$9, 100%, $E$9)</f>
        <v>21.581800000000001</v>
      </c>
      <c r="L648" s="33">
        <f>10.7119 * CHOOSE(CONTROL!$C$32, $C$9, 100%, $E$9)</f>
        <v>10.7119</v>
      </c>
      <c r="M648" s="33">
        <f>10.7155 * CHOOSE(CONTROL!$C$32, $C$9, 100%, $E$9)</f>
        <v>10.7155</v>
      </c>
      <c r="N648" s="33">
        <f>10.7119 * CHOOSE(CONTROL!$C$32, $C$9, 100%, $E$9)</f>
        <v>10.7119</v>
      </c>
      <c r="O648" s="33">
        <f>10.7155 * CHOOSE(CONTROL!$C$32, $C$9, 100%, $E$9)</f>
        <v>10.7155</v>
      </c>
    </row>
    <row r="649" spans="1:15" ht="15" x14ac:dyDescent="0.2">
      <c r="A649" s="16">
        <v>60967</v>
      </c>
      <c r="B649" s="32">
        <f>9.5244 * CHOOSE(CONTROL!$C$32, $C$9, 100%, $E$9)</f>
        <v>9.5244</v>
      </c>
      <c r="C649" s="32">
        <f>9.5244 * CHOOSE(CONTROL!$C$32, $C$9, 100%, $E$9)</f>
        <v>9.5244</v>
      </c>
      <c r="D649" s="32">
        <f>9.5255 * CHOOSE(CONTROL!$C$32, $C$9, 100%, $E$9)</f>
        <v>9.5254999999999992</v>
      </c>
      <c r="E649" s="33">
        <f>10.574 * CHOOSE(CONTROL!$C$32, $C$9, 100%, $E$9)</f>
        <v>10.574</v>
      </c>
      <c r="F649" s="33">
        <f>10.574 * CHOOSE(CONTROL!$C$32, $C$9, 100%, $E$9)</f>
        <v>10.574</v>
      </c>
      <c r="G649" s="33">
        <f>10.5776 * CHOOSE(CONTROL!$C$32, $C$9, 100%, $E$9)</f>
        <v>10.5776</v>
      </c>
      <c r="H649" s="33">
        <f>21.6231 * CHOOSE(CONTROL!$C$32, $C$9, 100%, $E$9)</f>
        <v>21.623100000000001</v>
      </c>
      <c r="I649" s="33">
        <f>21.6267 * CHOOSE(CONTROL!$C$32, $C$9, 100%, $E$9)</f>
        <v>21.6267</v>
      </c>
      <c r="J649" s="33">
        <f>21.6231 * CHOOSE(CONTROL!$C$32, $C$9, 100%, $E$9)</f>
        <v>21.623100000000001</v>
      </c>
      <c r="K649" s="33">
        <f>21.6267 * CHOOSE(CONTROL!$C$32, $C$9, 100%, $E$9)</f>
        <v>21.6267</v>
      </c>
      <c r="L649" s="33">
        <f>10.574 * CHOOSE(CONTROL!$C$32, $C$9, 100%, $E$9)</f>
        <v>10.574</v>
      </c>
      <c r="M649" s="33">
        <f>10.5776 * CHOOSE(CONTROL!$C$32, $C$9, 100%, $E$9)</f>
        <v>10.5776</v>
      </c>
      <c r="N649" s="33">
        <f>10.574 * CHOOSE(CONTROL!$C$32, $C$9, 100%, $E$9)</f>
        <v>10.574</v>
      </c>
      <c r="O649" s="33">
        <f>10.5776 * CHOOSE(CONTROL!$C$32, $C$9, 100%, $E$9)</f>
        <v>10.5776</v>
      </c>
    </row>
    <row r="650" spans="1:15" ht="15" x14ac:dyDescent="0.2">
      <c r="A650" s="16">
        <v>60998</v>
      </c>
      <c r="B650" s="32">
        <f>9.569 * CHOOSE(CONTROL!$C$32, $C$9, 100%, $E$9)</f>
        <v>9.5690000000000008</v>
      </c>
      <c r="C650" s="32">
        <f>9.569 * CHOOSE(CONTROL!$C$32, $C$9, 100%, $E$9)</f>
        <v>9.5690000000000008</v>
      </c>
      <c r="D650" s="32">
        <f>9.5701 * CHOOSE(CONTROL!$C$32, $C$9, 100%, $E$9)</f>
        <v>9.5701000000000001</v>
      </c>
      <c r="E650" s="33">
        <f>10.733 * CHOOSE(CONTROL!$C$32, $C$9, 100%, $E$9)</f>
        <v>10.733000000000001</v>
      </c>
      <c r="F650" s="33">
        <f>10.733 * CHOOSE(CONTROL!$C$32, $C$9, 100%, $E$9)</f>
        <v>10.733000000000001</v>
      </c>
      <c r="G650" s="33">
        <f>10.7366 * CHOOSE(CONTROL!$C$32, $C$9, 100%, $E$9)</f>
        <v>10.736599999999999</v>
      </c>
      <c r="H650" s="33">
        <f>21.5978 * CHOOSE(CONTROL!$C$32, $C$9, 100%, $E$9)</f>
        <v>21.597799999999999</v>
      </c>
      <c r="I650" s="33">
        <f>21.6014 * CHOOSE(CONTROL!$C$32, $C$9, 100%, $E$9)</f>
        <v>21.601400000000002</v>
      </c>
      <c r="J650" s="33">
        <f>21.5978 * CHOOSE(CONTROL!$C$32, $C$9, 100%, $E$9)</f>
        <v>21.597799999999999</v>
      </c>
      <c r="K650" s="33">
        <f>21.6014 * CHOOSE(CONTROL!$C$32, $C$9, 100%, $E$9)</f>
        <v>21.601400000000002</v>
      </c>
      <c r="L650" s="33">
        <f>10.733 * CHOOSE(CONTROL!$C$32, $C$9, 100%, $E$9)</f>
        <v>10.733000000000001</v>
      </c>
      <c r="M650" s="33">
        <f>10.7366 * CHOOSE(CONTROL!$C$32, $C$9, 100%, $E$9)</f>
        <v>10.736599999999999</v>
      </c>
      <c r="N650" s="33">
        <f>10.733 * CHOOSE(CONTROL!$C$32, $C$9, 100%, $E$9)</f>
        <v>10.733000000000001</v>
      </c>
      <c r="O650" s="33">
        <f>10.7366 * CHOOSE(CONTROL!$C$32, $C$9, 100%, $E$9)</f>
        <v>10.736599999999999</v>
      </c>
    </row>
    <row r="651" spans="1:15" ht="15" x14ac:dyDescent="0.2">
      <c r="A651" s="16">
        <v>61029</v>
      </c>
      <c r="B651" s="32">
        <f>9.566 * CHOOSE(CONTROL!$C$32, $C$9, 100%, $E$9)</f>
        <v>9.5660000000000007</v>
      </c>
      <c r="C651" s="32">
        <f>9.566 * CHOOSE(CONTROL!$C$32, $C$9, 100%, $E$9)</f>
        <v>9.5660000000000007</v>
      </c>
      <c r="D651" s="32">
        <f>9.567 * CHOOSE(CONTROL!$C$32, $C$9, 100%, $E$9)</f>
        <v>9.5670000000000002</v>
      </c>
      <c r="E651" s="33">
        <f>10.4632 * CHOOSE(CONTROL!$C$32, $C$9, 100%, $E$9)</f>
        <v>10.463200000000001</v>
      </c>
      <c r="F651" s="33">
        <f>10.4632 * CHOOSE(CONTROL!$C$32, $C$9, 100%, $E$9)</f>
        <v>10.463200000000001</v>
      </c>
      <c r="G651" s="33">
        <f>10.4669 * CHOOSE(CONTROL!$C$32, $C$9, 100%, $E$9)</f>
        <v>10.466900000000001</v>
      </c>
      <c r="H651" s="33">
        <f>21.6428 * CHOOSE(CONTROL!$C$32, $C$9, 100%, $E$9)</f>
        <v>21.642800000000001</v>
      </c>
      <c r="I651" s="33">
        <f>21.6464 * CHOOSE(CONTROL!$C$32, $C$9, 100%, $E$9)</f>
        <v>21.6464</v>
      </c>
      <c r="J651" s="33">
        <f>21.6428 * CHOOSE(CONTROL!$C$32, $C$9, 100%, $E$9)</f>
        <v>21.642800000000001</v>
      </c>
      <c r="K651" s="33">
        <f>21.6464 * CHOOSE(CONTROL!$C$32, $C$9, 100%, $E$9)</f>
        <v>21.6464</v>
      </c>
      <c r="L651" s="33">
        <f>10.4632 * CHOOSE(CONTROL!$C$32, $C$9, 100%, $E$9)</f>
        <v>10.463200000000001</v>
      </c>
      <c r="M651" s="33">
        <f>10.4669 * CHOOSE(CONTROL!$C$32, $C$9, 100%, $E$9)</f>
        <v>10.466900000000001</v>
      </c>
      <c r="N651" s="33">
        <f>10.4632 * CHOOSE(CONTROL!$C$32, $C$9, 100%, $E$9)</f>
        <v>10.463200000000001</v>
      </c>
      <c r="O651" s="33">
        <f>10.4669 * CHOOSE(CONTROL!$C$32, $C$9, 100%, $E$9)</f>
        <v>10.466900000000001</v>
      </c>
    </row>
    <row r="652" spans="1:15" ht="15" x14ac:dyDescent="0.2">
      <c r="A652" s="16">
        <v>61057</v>
      </c>
      <c r="B652" s="32">
        <f>9.5629 * CHOOSE(CONTROL!$C$32, $C$9, 100%, $E$9)</f>
        <v>9.5629000000000008</v>
      </c>
      <c r="C652" s="32">
        <f>9.5629 * CHOOSE(CONTROL!$C$32, $C$9, 100%, $E$9)</f>
        <v>9.5629000000000008</v>
      </c>
      <c r="D652" s="32">
        <f>9.564 * CHOOSE(CONTROL!$C$32, $C$9, 100%, $E$9)</f>
        <v>9.5640000000000001</v>
      </c>
      <c r="E652" s="33">
        <f>10.6721 * CHOOSE(CONTROL!$C$32, $C$9, 100%, $E$9)</f>
        <v>10.6721</v>
      </c>
      <c r="F652" s="33">
        <f>10.6721 * CHOOSE(CONTROL!$C$32, $C$9, 100%, $E$9)</f>
        <v>10.6721</v>
      </c>
      <c r="G652" s="33">
        <f>10.6757 * CHOOSE(CONTROL!$C$32, $C$9, 100%, $E$9)</f>
        <v>10.675700000000001</v>
      </c>
      <c r="H652" s="33">
        <f>21.6878 * CHOOSE(CONTROL!$C$32, $C$9, 100%, $E$9)</f>
        <v>21.687799999999999</v>
      </c>
      <c r="I652" s="33">
        <f>21.6915 * CHOOSE(CONTROL!$C$32, $C$9, 100%, $E$9)</f>
        <v>21.691500000000001</v>
      </c>
      <c r="J652" s="33">
        <f>21.6878 * CHOOSE(CONTROL!$C$32, $C$9, 100%, $E$9)</f>
        <v>21.687799999999999</v>
      </c>
      <c r="K652" s="33">
        <f>21.6915 * CHOOSE(CONTROL!$C$32, $C$9, 100%, $E$9)</f>
        <v>21.691500000000001</v>
      </c>
      <c r="L652" s="33">
        <f>10.6721 * CHOOSE(CONTROL!$C$32, $C$9, 100%, $E$9)</f>
        <v>10.6721</v>
      </c>
      <c r="M652" s="33">
        <f>10.6757 * CHOOSE(CONTROL!$C$32, $C$9, 100%, $E$9)</f>
        <v>10.675700000000001</v>
      </c>
      <c r="N652" s="33">
        <f>10.6721 * CHOOSE(CONTROL!$C$32, $C$9, 100%, $E$9)</f>
        <v>10.6721</v>
      </c>
      <c r="O652" s="33">
        <f>10.6757 * CHOOSE(CONTROL!$C$32, $C$9, 100%, $E$9)</f>
        <v>10.675700000000001</v>
      </c>
    </row>
    <row r="653" spans="1:15" ht="15" x14ac:dyDescent="0.2">
      <c r="A653" s="16">
        <v>61088</v>
      </c>
      <c r="B653" s="32">
        <f>9.566 * CHOOSE(CONTROL!$C$32, $C$9, 100%, $E$9)</f>
        <v>9.5660000000000007</v>
      </c>
      <c r="C653" s="32">
        <f>9.566 * CHOOSE(CONTROL!$C$32, $C$9, 100%, $E$9)</f>
        <v>9.5660000000000007</v>
      </c>
      <c r="D653" s="32">
        <f>9.567 * CHOOSE(CONTROL!$C$32, $C$9, 100%, $E$9)</f>
        <v>9.5670000000000002</v>
      </c>
      <c r="E653" s="33">
        <f>10.8945 * CHOOSE(CONTROL!$C$32, $C$9, 100%, $E$9)</f>
        <v>10.894500000000001</v>
      </c>
      <c r="F653" s="33">
        <f>10.8945 * CHOOSE(CONTROL!$C$32, $C$9, 100%, $E$9)</f>
        <v>10.894500000000001</v>
      </c>
      <c r="G653" s="33">
        <f>10.8981 * CHOOSE(CONTROL!$C$32, $C$9, 100%, $E$9)</f>
        <v>10.898099999999999</v>
      </c>
      <c r="H653" s="33">
        <f>21.733 * CHOOSE(CONTROL!$C$32, $C$9, 100%, $E$9)</f>
        <v>21.733000000000001</v>
      </c>
      <c r="I653" s="33">
        <f>21.7366 * CHOOSE(CONTROL!$C$32, $C$9, 100%, $E$9)</f>
        <v>21.736599999999999</v>
      </c>
      <c r="J653" s="33">
        <f>21.733 * CHOOSE(CONTROL!$C$32, $C$9, 100%, $E$9)</f>
        <v>21.733000000000001</v>
      </c>
      <c r="K653" s="33">
        <f>21.7366 * CHOOSE(CONTROL!$C$32, $C$9, 100%, $E$9)</f>
        <v>21.736599999999999</v>
      </c>
      <c r="L653" s="33">
        <f>10.8945 * CHOOSE(CONTROL!$C$32, $C$9, 100%, $E$9)</f>
        <v>10.894500000000001</v>
      </c>
      <c r="M653" s="33">
        <f>10.8981 * CHOOSE(CONTROL!$C$32, $C$9, 100%, $E$9)</f>
        <v>10.898099999999999</v>
      </c>
      <c r="N653" s="33">
        <f>10.8945 * CHOOSE(CONTROL!$C$32, $C$9, 100%, $E$9)</f>
        <v>10.894500000000001</v>
      </c>
      <c r="O653" s="33">
        <f>10.8981 * CHOOSE(CONTROL!$C$32, $C$9, 100%, $E$9)</f>
        <v>10.898099999999999</v>
      </c>
    </row>
    <row r="654" spans="1:15" ht="15" x14ac:dyDescent="0.2">
      <c r="A654" s="16">
        <v>61118</v>
      </c>
      <c r="B654" s="32">
        <f>9.566 * CHOOSE(CONTROL!$C$32, $C$9, 100%, $E$9)</f>
        <v>9.5660000000000007</v>
      </c>
      <c r="C654" s="32">
        <f>9.566 * CHOOSE(CONTROL!$C$32, $C$9, 100%, $E$9)</f>
        <v>9.5660000000000007</v>
      </c>
      <c r="D654" s="32">
        <f>9.5675 * CHOOSE(CONTROL!$C$32, $C$9, 100%, $E$9)</f>
        <v>9.5675000000000008</v>
      </c>
      <c r="E654" s="33">
        <f>10.9795 * CHOOSE(CONTROL!$C$32, $C$9, 100%, $E$9)</f>
        <v>10.9795</v>
      </c>
      <c r="F654" s="33">
        <f>10.9795 * CHOOSE(CONTROL!$C$32, $C$9, 100%, $E$9)</f>
        <v>10.9795</v>
      </c>
      <c r="G654" s="33">
        <f>10.9848 * CHOOSE(CONTROL!$C$32, $C$9, 100%, $E$9)</f>
        <v>10.9848</v>
      </c>
      <c r="H654" s="33">
        <f>21.7783 * CHOOSE(CONTROL!$C$32, $C$9, 100%, $E$9)</f>
        <v>21.778300000000002</v>
      </c>
      <c r="I654" s="33">
        <f>21.7836 * CHOOSE(CONTROL!$C$32, $C$9, 100%, $E$9)</f>
        <v>21.7836</v>
      </c>
      <c r="J654" s="33">
        <f>21.7783 * CHOOSE(CONTROL!$C$32, $C$9, 100%, $E$9)</f>
        <v>21.778300000000002</v>
      </c>
      <c r="K654" s="33">
        <f>21.7836 * CHOOSE(CONTROL!$C$32, $C$9, 100%, $E$9)</f>
        <v>21.7836</v>
      </c>
      <c r="L654" s="33">
        <f>10.9795 * CHOOSE(CONTROL!$C$32, $C$9, 100%, $E$9)</f>
        <v>10.9795</v>
      </c>
      <c r="M654" s="33">
        <f>10.9848 * CHOOSE(CONTROL!$C$32, $C$9, 100%, $E$9)</f>
        <v>10.9848</v>
      </c>
      <c r="N654" s="33">
        <f>10.9795 * CHOOSE(CONTROL!$C$32, $C$9, 100%, $E$9)</f>
        <v>10.9795</v>
      </c>
      <c r="O654" s="33">
        <f>10.9848 * CHOOSE(CONTROL!$C$32, $C$9, 100%, $E$9)</f>
        <v>10.9848</v>
      </c>
    </row>
    <row r="655" spans="1:15" ht="15" x14ac:dyDescent="0.2">
      <c r="A655" s="16">
        <v>61149</v>
      </c>
      <c r="B655" s="32">
        <f>9.572 * CHOOSE(CONTROL!$C$32, $C$9, 100%, $E$9)</f>
        <v>9.5719999999999992</v>
      </c>
      <c r="C655" s="32">
        <f>9.572 * CHOOSE(CONTROL!$C$32, $C$9, 100%, $E$9)</f>
        <v>9.5719999999999992</v>
      </c>
      <c r="D655" s="32">
        <f>9.5736 * CHOOSE(CONTROL!$C$32, $C$9, 100%, $E$9)</f>
        <v>9.5736000000000008</v>
      </c>
      <c r="E655" s="33">
        <f>10.8987 * CHOOSE(CONTROL!$C$32, $C$9, 100%, $E$9)</f>
        <v>10.8987</v>
      </c>
      <c r="F655" s="33">
        <f>10.8987 * CHOOSE(CONTROL!$C$32, $C$9, 100%, $E$9)</f>
        <v>10.8987</v>
      </c>
      <c r="G655" s="33">
        <f>10.904 * CHOOSE(CONTROL!$C$32, $C$9, 100%, $E$9)</f>
        <v>10.904</v>
      </c>
      <c r="H655" s="33">
        <f>21.8237 * CHOOSE(CONTROL!$C$32, $C$9, 100%, $E$9)</f>
        <v>21.823699999999999</v>
      </c>
      <c r="I655" s="33">
        <f>21.829 * CHOOSE(CONTROL!$C$32, $C$9, 100%, $E$9)</f>
        <v>21.829000000000001</v>
      </c>
      <c r="J655" s="33">
        <f>21.8237 * CHOOSE(CONTROL!$C$32, $C$9, 100%, $E$9)</f>
        <v>21.823699999999999</v>
      </c>
      <c r="K655" s="33">
        <f>21.829 * CHOOSE(CONTROL!$C$32, $C$9, 100%, $E$9)</f>
        <v>21.829000000000001</v>
      </c>
      <c r="L655" s="33">
        <f>10.8987 * CHOOSE(CONTROL!$C$32, $C$9, 100%, $E$9)</f>
        <v>10.8987</v>
      </c>
      <c r="M655" s="33">
        <f>10.904 * CHOOSE(CONTROL!$C$32, $C$9, 100%, $E$9)</f>
        <v>10.904</v>
      </c>
      <c r="N655" s="33">
        <f>10.8987 * CHOOSE(CONTROL!$C$32, $C$9, 100%, $E$9)</f>
        <v>10.8987</v>
      </c>
      <c r="O655" s="33">
        <f>10.904 * CHOOSE(CONTROL!$C$32, $C$9, 100%, $E$9)</f>
        <v>10.904</v>
      </c>
    </row>
    <row r="656" spans="1:15" ht="15" x14ac:dyDescent="0.2">
      <c r="A656" s="16">
        <v>61179</v>
      </c>
      <c r="B656" s="32">
        <f>9.6917 * CHOOSE(CONTROL!$C$32, $C$9, 100%, $E$9)</f>
        <v>9.6917000000000009</v>
      </c>
      <c r="C656" s="32">
        <f>9.6917 * CHOOSE(CONTROL!$C$32, $C$9, 100%, $E$9)</f>
        <v>9.6917000000000009</v>
      </c>
      <c r="D656" s="32">
        <f>9.6933 * CHOOSE(CONTROL!$C$32, $C$9, 100%, $E$9)</f>
        <v>9.6933000000000007</v>
      </c>
      <c r="E656" s="33">
        <f>11.0511 * CHOOSE(CONTROL!$C$32, $C$9, 100%, $E$9)</f>
        <v>11.0511</v>
      </c>
      <c r="F656" s="33">
        <f>11.0511 * CHOOSE(CONTROL!$C$32, $C$9, 100%, $E$9)</f>
        <v>11.0511</v>
      </c>
      <c r="G656" s="33">
        <f>11.0564 * CHOOSE(CONTROL!$C$32, $C$9, 100%, $E$9)</f>
        <v>11.0564</v>
      </c>
      <c r="H656" s="33">
        <f>21.8691 * CHOOSE(CONTROL!$C$32, $C$9, 100%, $E$9)</f>
        <v>21.8691</v>
      </c>
      <c r="I656" s="33">
        <f>21.8744 * CHOOSE(CONTROL!$C$32, $C$9, 100%, $E$9)</f>
        <v>21.874400000000001</v>
      </c>
      <c r="J656" s="33">
        <f>21.8691 * CHOOSE(CONTROL!$C$32, $C$9, 100%, $E$9)</f>
        <v>21.8691</v>
      </c>
      <c r="K656" s="33">
        <f>21.8744 * CHOOSE(CONTROL!$C$32, $C$9, 100%, $E$9)</f>
        <v>21.874400000000001</v>
      </c>
      <c r="L656" s="33">
        <f>11.0511 * CHOOSE(CONTROL!$C$32, $C$9, 100%, $E$9)</f>
        <v>11.0511</v>
      </c>
      <c r="M656" s="33">
        <f>11.0564 * CHOOSE(CONTROL!$C$32, $C$9, 100%, $E$9)</f>
        <v>11.0564</v>
      </c>
      <c r="N656" s="33">
        <f>11.0511 * CHOOSE(CONTROL!$C$32, $C$9, 100%, $E$9)</f>
        <v>11.0511</v>
      </c>
      <c r="O656" s="33">
        <f>11.0564 * CHOOSE(CONTROL!$C$32, $C$9, 100%, $E$9)</f>
        <v>11.0564</v>
      </c>
    </row>
    <row r="657" spans="1:15" ht="15" x14ac:dyDescent="0.2">
      <c r="A657" s="16">
        <v>61210</v>
      </c>
      <c r="B657" s="32">
        <f>9.6984 * CHOOSE(CONTROL!$C$32, $C$9, 100%, $E$9)</f>
        <v>9.6983999999999995</v>
      </c>
      <c r="C657" s="32">
        <f>9.6984 * CHOOSE(CONTROL!$C$32, $C$9, 100%, $E$9)</f>
        <v>9.6983999999999995</v>
      </c>
      <c r="D657" s="32">
        <f>9.7 * CHOOSE(CONTROL!$C$32, $C$9, 100%, $E$9)</f>
        <v>9.6999999999999993</v>
      </c>
      <c r="E657" s="33">
        <f>10.8009 * CHOOSE(CONTROL!$C$32, $C$9, 100%, $E$9)</f>
        <v>10.8009</v>
      </c>
      <c r="F657" s="33">
        <f>10.8009 * CHOOSE(CONTROL!$C$32, $C$9, 100%, $E$9)</f>
        <v>10.8009</v>
      </c>
      <c r="G657" s="33">
        <f>10.8062 * CHOOSE(CONTROL!$C$32, $C$9, 100%, $E$9)</f>
        <v>10.8062</v>
      </c>
      <c r="H657" s="33">
        <f>21.9147 * CHOOSE(CONTROL!$C$32, $C$9, 100%, $E$9)</f>
        <v>21.9147</v>
      </c>
      <c r="I657" s="33">
        <f>21.92 * CHOOSE(CONTROL!$C$32, $C$9, 100%, $E$9)</f>
        <v>21.92</v>
      </c>
      <c r="J657" s="33">
        <f>21.9147 * CHOOSE(CONTROL!$C$32, $C$9, 100%, $E$9)</f>
        <v>21.9147</v>
      </c>
      <c r="K657" s="33">
        <f>21.92 * CHOOSE(CONTROL!$C$32, $C$9, 100%, $E$9)</f>
        <v>21.92</v>
      </c>
      <c r="L657" s="33">
        <f>10.8009 * CHOOSE(CONTROL!$C$32, $C$9, 100%, $E$9)</f>
        <v>10.8009</v>
      </c>
      <c r="M657" s="33">
        <f>10.8062 * CHOOSE(CONTROL!$C$32, $C$9, 100%, $E$9)</f>
        <v>10.8062</v>
      </c>
      <c r="N657" s="33">
        <f>10.8009 * CHOOSE(CONTROL!$C$32, $C$9, 100%, $E$9)</f>
        <v>10.8009</v>
      </c>
      <c r="O657" s="33">
        <f>10.8062 * CHOOSE(CONTROL!$C$32, $C$9, 100%, $E$9)</f>
        <v>10.8062</v>
      </c>
    </row>
    <row r="658" spans="1:15" ht="15" x14ac:dyDescent="0.2">
      <c r="A658" s="16">
        <v>61241</v>
      </c>
      <c r="B658" s="32">
        <f>9.6954 * CHOOSE(CONTROL!$C$32, $C$9, 100%, $E$9)</f>
        <v>9.6953999999999994</v>
      </c>
      <c r="C658" s="32">
        <f>9.6954 * CHOOSE(CONTROL!$C$32, $C$9, 100%, $E$9)</f>
        <v>9.6953999999999994</v>
      </c>
      <c r="D658" s="32">
        <f>9.697 * CHOOSE(CONTROL!$C$32, $C$9, 100%, $E$9)</f>
        <v>9.6969999999999992</v>
      </c>
      <c r="E658" s="33">
        <f>10.7704 * CHOOSE(CONTROL!$C$32, $C$9, 100%, $E$9)</f>
        <v>10.7704</v>
      </c>
      <c r="F658" s="33">
        <f>10.7704 * CHOOSE(CONTROL!$C$32, $C$9, 100%, $E$9)</f>
        <v>10.7704</v>
      </c>
      <c r="G658" s="33">
        <f>10.7757 * CHOOSE(CONTROL!$C$32, $C$9, 100%, $E$9)</f>
        <v>10.775700000000001</v>
      </c>
      <c r="H658" s="33">
        <f>21.9604 * CHOOSE(CONTROL!$C$32, $C$9, 100%, $E$9)</f>
        <v>21.9604</v>
      </c>
      <c r="I658" s="33">
        <f>21.9657 * CHOOSE(CONTROL!$C$32, $C$9, 100%, $E$9)</f>
        <v>21.965699999999998</v>
      </c>
      <c r="J658" s="33">
        <f>21.9604 * CHOOSE(CONTROL!$C$32, $C$9, 100%, $E$9)</f>
        <v>21.9604</v>
      </c>
      <c r="K658" s="33">
        <f>21.9657 * CHOOSE(CONTROL!$C$32, $C$9, 100%, $E$9)</f>
        <v>21.965699999999998</v>
      </c>
      <c r="L658" s="33">
        <f>10.7704 * CHOOSE(CONTROL!$C$32, $C$9, 100%, $E$9)</f>
        <v>10.7704</v>
      </c>
      <c r="M658" s="33">
        <f>10.7757 * CHOOSE(CONTROL!$C$32, $C$9, 100%, $E$9)</f>
        <v>10.775700000000001</v>
      </c>
      <c r="N658" s="33">
        <f>10.7704 * CHOOSE(CONTROL!$C$32, $C$9, 100%, $E$9)</f>
        <v>10.7704</v>
      </c>
      <c r="O658" s="33">
        <f>10.7757 * CHOOSE(CONTROL!$C$32, $C$9, 100%, $E$9)</f>
        <v>10.775700000000001</v>
      </c>
    </row>
    <row r="659" spans="1:15" ht="15" x14ac:dyDescent="0.2">
      <c r="A659" s="16">
        <v>61271</v>
      </c>
      <c r="B659" s="32">
        <f>9.7117 * CHOOSE(CONTROL!$C$32, $C$9, 100%, $E$9)</f>
        <v>9.7117000000000004</v>
      </c>
      <c r="C659" s="32">
        <f>9.7117 * CHOOSE(CONTROL!$C$32, $C$9, 100%, $E$9)</f>
        <v>9.7117000000000004</v>
      </c>
      <c r="D659" s="32">
        <f>9.7128 * CHOOSE(CONTROL!$C$32, $C$9, 100%, $E$9)</f>
        <v>9.7127999999999997</v>
      </c>
      <c r="E659" s="33">
        <f>10.8703 * CHOOSE(CONTROL!$C$32, $C$9, 100%, $E$9)</f>
        <v>10.8703</v>
      </c>
      <c r="F659" s="33">
        <f>10.8703 * CHOOSE(CONTROL!$C$32, $C$9, 100%, $E$9)</f>
        <v>10.8703</v>
      </c>
      <c r="G659" s="33">
        <f>10.8739 * CHOOSE(CONTROL!$C$32, $C$9, 100%, $E$9)</f>
        <v>10.873900000000001</v>
      </c>
      <c r="H659" s="33">
        <f>22.0061 * CHOOSE(CONTROL!$C$32, $C$9, 100%, $E$9)</f>
        <v>22.0061</v>
      </c>
      <c r="I659" s="33">
        <f>22.0097 * CHOOSE(CONTROL!$C$32, $C$9, 100%, $E$9)</f>
        <v>22.009699999999999</v>
      </c>
      <c r="J659" s="33">
        <f>22.0061 * CHOOSE(CONTROL!$C$32, $C$9, 100%, $E$9)</f>
        <v>22.0061</v>
      </c>
      <c r="K659" s="33">
        <f>22.0097 * CHOOSE(CONTROL!$C$32, $C$9, 100%, $E$9)</f>
        <v>22.009699999999999</v>
      </c>
      <c r="L659" s="33">
        <f>10.8703 * CHOOSE(CONTROL!$C$32, $C$9, 100%, $E$9)</f>
        <v>10.8703</v>
      </c>
      <c r="M659" s="33">
        <f>10.8739 * CHOOSE(CONTROL!$C$32, $C$9, 100%, $E$9)</f>
        <v>10.873900000000001</v>
      </c>
      <c r="N659" s="33">
        <f>10.8703 * CHOOSE(CONTROL!$C$32, $C$9, 100%, $E$9)</f>
        <v>10.8703</v>
      </c>
      <c r="O659" s="33">
        <f>10.8739 * CHOOSE(CONTROL!$C$32, $C$9, 100%, $E$9)</f>
        <v>10.873900000000001</v>
      </c>
    </row>
    <row r="660" spans="1:15" ht="15" x14ac:dyDescent="0.2">
      <c r="A660" s="16">
        <v>61302</v>
      </c>
      <c r="B660" s="32">
        <f>9.7147 * CHOOSE(CONTROL!$C$32, $C$9, 100%, $E$9)</f>
        <v>9.7147000000000006</v>
      </c>
      <c r="C660" s="32">
        <f>9.7147 * CHOOSE(CONTROL!$C$32, $C$9, 100%, $E$9)</f>
        <v>9.7147000000000006</v>
      </c>
      <c r="D660" s="32">
        <f>9.7158 * CHOOSE(CONTROL!$C$32, $C$9, 100%, $E$9)</f>
        <v>9.7157999999999998</v>
      </c>
      <c r="E660" s="33">
        <f>10.9291 * CHOOSE(CONTROL!$C$32, $C$9, 100%, $E$9)</f>
        <v>10.9291</v>
      </c>
      <c r="F660" s="33">
        <f>10.9291 * CHOOSE(CONTROL!$C$32, $C$9, 100%, $E$9)</f>
        <v>10.9291</v>
      </c>
      <c r="G660" s="33">
        <f>10.9327 * CHOOSE(CONTROL!$C$32, $C$9, 100%, $E$9)</f>
        <v>10.932700000000001</v>
      </c>
      <c r="H660" s="33">
        <f>22.052 * CHOOSE(CONTROL!$C$32, $C$9, 100%, $E$9)</f>
        <v>22.052</v>
      </c>
      <c r="I660" s="33">
        <f>22.0556 * CHOOSE(CONTROL!$C$32, $C$9, 100%, $E$9)</f>
        <v>22.055599999999998</v>
      </c>
      <c r="J660" s="33">
        <f>22.052 * CHOOSE(CONTROL!$C$32, $C$9, 100%, $E$9)</f>
        <v>22.052</v>
      </c>
      <c r="K660" s="33">
        <f>22.0556 * CHOOSE(CONTROL!$C$32, $C$9, 100%, $E$9)</f>
        <v>22.055599999999998</v>
      </c>
      <c r="L660" s="33">
        <f>10.9291 * CHOOSE(CONTROL!$C$32, $C$9, 100%, $E$9)</f>
        <v>10.9291</v>
      </c>
      <c r="M660" s="33">
        <f>10.9327 * CHOOSE(CONTROL!$C$32, $C$9, 100%, $E$9)</f>
        <v>10.932700000000001</v>
      </c>
      <c r="N660" s="33">
        <f>10.9291 * CHOOSE(CONTROL!$C$32, $C$9, 100%, $E$9)</f>
        <v>10.9291</v>
      </c>
      <c r="O660" s="33">
        <f>10.9327 * CHOOSE(CONTROL!$C$32, $C$9, 100%, $E$9)</f>
        <v>10.932700000000001</v>
      </c>
    </row>
    <row r="661" spans="1:15" ht="15" x14ac:dyDescent="0.2">
      <c r="A661" s="16">
        <v>61332</v>
      </c>
      <c r="B661" s="32">
        <f>9.7147 * CHOOSE(CONTROL!$C$32, $C$9, 100%, $E$9)</f>
        <v>9.7147000000000006</v>
      </c>
      <c r="C661" s="32">
        <f>9.7147 * CHOOSE(CONTROL!$C$32, $C$9, 100%, $E$9)</f>
        <v>9.7147000000000006</v>
      </c>
      <c r="D661" s="32">
        <f>9.7158 * CHOOSE(CONTROL!$C$32, $C$9, 100%, $E$9)</f>
        <v>9.7157999999999998</v>
      </c>
      <c r="E661" s="33">
        <f>10.7874 * CHOOSE(CONTROL!$C$32, $C$9, 100%, $E$9)</f>
        <v>10.7874</v>
      </c>
      <c r="F661" s="33">
        <f>10.7874 * CHOOSE(CONTROL!$C$32, $C$9, 100%, $E$9)</f>
        <v>10.7874</v>
      </c>
      <c r="G661" s="33">
        <f>10.7911 * CHOOSE(CONTROL!$C$32, $C$9, 100%, $E$9)</f>
        <v>10.7911</v>
      </c>
      <c r="H661" s="33">
        <f>22.0979 * CHOOSE(CONTROL!$C$32, $C$9, 100%, $E$9)</f>
        <v>22.097899999999999</v>
      </c>
      <c r="I661" s="33">
        <f>22.1015 * CHOOSE(CONTROL!$C$32, $C$9, 100%, $E$9)</f>
        <v>22.101500000000001</v>
      </c>
      <c r="J661" s="33">
        <f>22.0979 * CHOOSE(CONTROL!$C$32, $C$9, 100%, $E$9)</f>
        <v>22.097899999999999</v>
      </c>
      <c r="K661" s="33">
        <f>22.1015 * CHOOSE(CONTROL!$C$32, $C$9, 100%, $E$9)</f>
        <v>22.101500000000001</v>
      </c>
      <c r="L661" s="33">
        <f>10.7874 * CHOOSE(CONTROL!$C$32, $C$9, 100%, $E$9)</f>
        <v>10.7874</v>
      </c>
      <c r="M661" s="33">
        <f>10.7911 * CHOOSE(CONTROL!$C$32, $C$9, 100%, $E$9)</f>
        <v>10.7911</v>
      </c>
      <c r="N661" s="33">
        <f>10.7874 * CHOOSE(CONTROL!$C$32, $C$9, 100%, $E$9)</f>
        <v>10.7874</v>
      </c>
      <c r="O661" s="33">
        <f>10.7911 * CHOOSE(CONTROL!$C$32, $C$9, 100%, $E$9)</f>
        <v>10.7911</v>
      </c>
    </row>
    <row r="662" spans="1:15" ht="15" x14ac:dyDescent="0.2">
      <c r="A662" s="16">
        <v>61363</v>
      </c>
      <c r="B662" s="32">
        <f>9.7564 * CHOOSE(CONTROL!$C$32, $C$9, 100%, $E$9)</f>
        <v>9.7563999999999993</v>
      </c>
      <c r="C662" s="32">
        <f>9.7564 * CHOOSE(CONTROL!$C$32, $C$9, 100%, $E$9)</f>
        <v>9.7563999999999993</v>
      </c>
      <c r="D662" s="32">
        <f>9.7574 * CHOOSE(CONTROL!$C$32, $C$9, 100%, $E$9)</f>
        <v>9.7574000000000005</v>
      </c>
      <c r="E662" s="33">
        <f>10.9455 * CHOOSE(CONTROL!$C$32, $C$9, 100%, $E$9)</f>
        <v>10.945499999999999</v>
      </c>
      <c r="F662" s="33">
        <f>10.9455 * CHOOSE(CONTROL!$C$32, $C$9, 100%, $E$9)</f>
        <v>10.945499999999999</v>
      </c>
      <c r="G662" s="33">
        <f>10.9491 * CHOOSE(CONTROL!$C$32, $C$9, 100%, $E$9)</f>
        <v>10.9491</v>
      </c>
      <c r="H662" s="33">
        <f>22.0618 * CHOOSE(CONTROL!$C$32, $C$9, 100%, $E$9)</f>
        <v>22.061800000000002</v>
      </c>
      <c r="I662" s="33">
        <f>22.0654 * CHOOSE(CONTROL!$C$32, $C$9, 100%, $E$9)</f>
        <v>22.0654</v>
      </c>
      <c r="J662" s="33">
        <f>22.0618 * CHOOSE(CONTROL!$C$32, $C$9, 100%, $E$9)</f>
        <v>22.061800000000002</v>
      </c>
      <c r="K662" s="33">
        <f>22.0654 * CHOOSE(CONTROL!$C$32, $C$9, 100%, $E$9)</f>
        <v>22.0654</v>
      </c>
      <c r="L662" s="33">
        <f>10.9455 * CHOOSE(CONTROL!$C$32, $C$9, 100%, $E$9)</f>
        <v>10.945499999999999</v>
      </c>
      <c r="M662" s="33">
        <f>10.9491 * CHOOSE(CONTROL!$C$32, $C$9, 100%, $E$9)</f>
        <v>10.9491</v>
      </c>
      <c r="N662" s="33">
        <f>10.9455 * CHOOSE(CONTROL!$C$32, $C$9, 100%, $E$9)</f>
        <v>10.945499999999999</v>
      </c>
      <c r="O662" s="33">
        <f>10.9491 * CHOOSE(CONTROL!$C$32, $C$9, 100%, $E$9)</f>
        <v>10.9491</v>
      </c>
    </row>
    <row r="663" spans="1:15" ht="15" x14ac:dyDescent="0.2">
      <c r="A663" s="16">
        <v>61394</v>
      </c>
      <c r="B663" s="32">
        <f>9.7533 * CHOOSE(CONTROL!$C$32, $C$9, 100%, $E$9)</f>
        <v>9.7532999999999994</v>
      </c>
      <c r="C663" s="32">
        <f>9.7533 * CHOOSE(CONTROL!$C$32, $C$9, 100%, $E$9)</f>
        <v>9.7532999999999994</v>
      </c>
      <c r="D663" s="32">
        <f>9.7544 * CHOOSE(CONTROL!$C$32, $C$9, 100%, $E$9)</f>
        <v>9.7544000000000004</v>
      </c>
      <c r="E663" s="33">
        <f>10.6687 * CHOOSE(CONTROL!$C$32, $C$9, 100%, $E$9)</f>
        <v>10.668699999999999</v>
      </c>
      <c r="F663" s="33">
        <f>10.6687 * CHOOSE(CONTROL!$C$32, $C$9, 100%, $E$9)</f>
        <v>10.668699999999999</v>
      </c>
      <c r="G663" s="33">
        <f>10.6723 * CHOOSE(CONTROL!$C$32, $C$9, 100%, $E$9)</f>
        <v>10.6723</v>
      </c>
      <c r="H663" s="33">
        <f>22.1078 * CHOOSE(CONTROL!$C$32, $C$9, 100%, $E$9)</f>
        <v>22.107800000000001</v>
      </c>
      <c r="I663" s="33">
        <f>22.1114 * CHOOSE(CONTROL!$C$32, $C$9, 100%, $E$9)</f>
        <v>22.1114</v>
      </c>
      <c r="J663" s="33">
        <f>22.1078 * CHOOSE(CONTROL!$C$32, $C$9, 100%, $E$9)</f>
        <v>22.107800000000001</v>
      </c>
      <c r="K663" s="33">
        <f>22.1114 * CHOOSE(CONTROL!$C$32, $C$9, 100%, $E$9)</f>
        <v>22.1114</v>
      </c>
      <c r="L663" s="33">
        <f>10.6687 * CHOOSE(CONTROL!$C$32, $C$9, 100%, $E$9)</f>
        <v>10.668699999999999</v>
      </c>
      <c r="M663" s="33">
        <f>10.6723 * CHOOSE(CONTROL!$C$32, $C$9, 100%, $E$9)</f>
        <v>10.6723</v>
      </c>
      <c r="N663" s="33">
        <f>10.6687 * CHOOSE(CONTROL!$C$32, $C$9, 100%, $E$9)</f>
        <v>10.668699999999999</v>
      </c>
      <c r="O663" s="33">
        <f>10.6723 * CHOOSE(CONTROL!$C$32, $C$9, 100%, $E$9)</f>
        <v>10.6723</v>
      </c>
    </row>
    <row r="664" spans="1:15" ht="15" x14ac:dyDescent="0.2">
      <c r="A664" s="16">
        <v>61423</v>
      </c>
      <c r="B664" s="32">
        <f>9.7503 * CHOOSE(CONTROL!$C$32, $C$9, 100%, $E$9)</f>
        <v>9.7502999999999993</v>
      </c>
      <c r="C664" s="32">
        <f>9.7503 * CHOOSE(CONTROL!$C$32, $C$9, 100%, $E$9)</f>
        <v>9.7502999999999993</v>
      </c>
      <c r="D664" s="32">
        <f>9.7513 * CHOOSE(CONTROL!$C$32, $C$9, 100%, $E$9)</f>
        <v>9.7513000000000005</v>
      </c>
      <c r="E664" s="33">
        <f>10.8831 * CHOOSE(CONTROL!$C$32, $C$9, 100%, $E$9)</f>
        <v>10.883100000000001</v>
      </c>
      <c r="F664" s="33">
        <f>10.8831 * CHOOSE(CONTROL!$C$32, $C$9, 100%, $E$9)</f>
        <v>10.883100000000001</v>
      </c>
      <c r="G664" s="33">
        <f>10.8867 * CHOOSE(CONTROL!$C$32, $C$9, 100%, $E$9)</f>
        <v>10.886699999999999</v>
      </c>
      <c r="H664" s="33">
        <f>22.1538 * CHOOSE(CONTROL!$C$32, $C$9, 100%, $E$9)</f>
        <v>22.1538</v>
      </c>
      <c r="I664" s="33">
        <f>22.1574 * CHOOSE(CONTROL!$C$32, $C$9, 100%, $E$9)</f>
        <v>22.157399999999999</v>
      </c>
      <c r="J664" s="33">
        <f>22.1538 * CHOOSE(CONTROL!$C$32, $C$9, 100%, $E$9)</f>
        <v>22.1538</v>
      </c>
      <c r="K664" s="33">
        <f>22.1574 * CHOOSE(CONTROL!$C$32, $C$9, 100%, $E$9)</f>
        <v>22.157399999999999</v>
      </c>
      <c r="L664" s="33">
        <f>10.8831 * CHOOSE(CONTROL!$C$32, $C$9, 100%, $E$9)</f>
        <v>10.883100000000001</v>
      </c>
      <c r="M664" s="33">
        <f>10.8867 * CHOOSE(CONTROL!$C$32, $C$9, 100%, $E$9)</f>
        <v>10.886699999999999</v>
      </c>
      <c r="N664" s="33">
        <f>10.8831 * CHOOSE(CONTROL!$C$32, $C$9, 100%, $E$9)</f>
        <v>10.883100000000001</v>
      </c>
      <c r="O664" s="33">
        <f>10.8867 * CHOOSE(CONTROL!$C$32, $C$9, 100%, $E$9)</f>
        <v>10.886699999999999</v>
      </c>
    </row>
    <row r="665" spans="1:15" ht="15" x14ac:dyDescent="0.2">
      <c r="A665" s="16">
        <v>61454</v>
      </c>
      <c r="B665" s="32">
        <f>9.7535 * CHOOSE(CONTROL!$C$32, $C$9, 100%, $E$9)</f>
        <v>9.7535000000000007</v>
      </c>
      <c r="C665" s="32">
        <f>9.7535 * CHOOSE(CONTROL!$C$32, $C$9, 100%, $E$9)</f>
        <v>9.7535000000000007</v>
      </c>
      <c r="D665" s="32">
        <f>9.7546 * CHOOSE(CONTROL!$C$32, $C$9, 100%, $E$9)</f>
        <v>9.7545999999999999</v>
      </c>
      <c r="E665" s="33">
        <f>11.1115 * CHOOSE(CONTROL!$C$32, $C$9, 100%, $E$9)</f>
        <v>11.111499999999999</v>
      </c>
      <c r="F665" s="33">
        <f>11.1115 * CHOOSE(CONTROL!$C$32, $C$9, 100%, $E$9)</f>
        <v>11.111499999999999</v>
      </c>
      <c r="G665" s="33">
        <f>11.1151 * CHOOSE(CONTROL!$C$32, $C$9, 100%, $E$9)</f>
        <v>11.1151</v>
      </c>
      <c r="H665" s="33">
        <f>22.2 * CHOOSE(CONTROL!$C$32, $C$9, 100%, $E$9)</f>
        <v>22.2</v>
      </c>
      <c r="I665" s="33">
        <f>22.2036 * CHOOSE(CONTROL!$C$32, $C$9, 100%, $E$9)</f>
        <v>22.203600000000002</v>
      </c>
      <c r="J665" s="33">
        <f>22.2 * CHOOSE(CONTROL!$C$32, $C$9, 100%, $E$9)</f>
        <v>22.2</v>
      </c>
      <c r="K665" s="33">
        <f>22.2036 * CHOOSE(CONTROL!$C$32, $C$9, 100%, $E$9)</f>
        <v>22.203600000000002</v>
      </c>
      <c r="L665" s="33">
        <f>11.1115 * CHOOSE(CONTROL!$C$32, $C$9, 100%, $E$9)</f>
        <v>11.111499999999999</v>
      </c>
      <c r="M665" s="33">
        <f>11.1151 * CHOOSE(CONTROL!$C$32, $C$9, 100%, $E$9)</f>
        <v>11.1151</v>
      </c>
      <c r="N665" s="33">
        <f>11.1115 * CHOOSE(CONTROL!$C$32, $C$9, 100%, $E$9)</f>
        <v>11.111499999999999</v>
      </c>
      <c r="O665" s="33">
        <f>11.1151 * CHOOSE(CONTROL!$C$32, $C$9, 100%, $E$9)</f>
        <v>11.1151</v>
      </c>
    </row>
    <row r="666" spans="1:15" ht="15" x14ac:dyDescent="0.2">
      <c r="A666" s="16">
        <v>61484</v>
      </c>
      <c r="B666" s="32">
        <f>9.7535 * CHOOSE(CONTROL!$C$32, $C$9, 100%, $E$9)</f>
        <v>9.7535000000000007</v>
      </c>
      <c r="C666" s="32">
        <f>9.7535 * CHOOSE(CONTROL!$C$32, $C$9, 100%, $E$9)</f>
        <v>9.7535000000000007</v>
      </c>
      <c r="D666" s="32">
        <f>9.7551 * CHOOSE(CONTROL!$C$32, $C$9, 100%, $E$9)</f>
        <v>9.7551000000000005</v>
      </c>
      <c r="E666" s="33">
        <f>11.1987 * CHOOSE(CONTROL!$C$32, $C$9, 100%, $E$9)</f>
        <v>11.198700000000001</v>
      </c>
      <c r="F666" s="33">
        <f>11.1987 * CHOOSE(CONTROL!$C$32, $C$9, 100%, $E$9)</f>
        <v>11.198700000000001</v>
      </c>
      <c r="G666" s="33">
        <f>11.204 * CHOOSE(CONTROL!$C$32, $C$9, 100%, $E$9)</f>
        <v>11.204000000000001</v>
      </c>
      <c r="H666" s="33">
        <f>22.2462 * CHOOSE(CONTROL!$C$32, $C$9, 100%, $E$9)</f>
        <v>22.246200000000002</v>
      </c>
      <c r="I666" s="33">
        <f>22.2515 * CHOOSE(CONTROL!$C$32, $C$9, 100%, $E$9)</f>
        <v>22.2515</v>
      </c>
      <c r="J666" s="33">
        <f>22.2462 * CHOOSE(CONTROL!$C$32, $C$9, 100%, $E$9)</f>
        <v>22.246200000000002</v>
      </c>
      <c r="K666" s="33">
        <f>22.2515 * CHOOSE(CONTROL!$C$32, $C$9, 100%, $E$9)</f>
        <v>22.2515</v>
      </c>
      <c r="L666" s="33">
        <f>11.1987 * CHOOSE(CONTROL!$C$32, $C$9, 100%, $E$9)</f>
        <v>11.198700000000001</v>
      </c>
      <c r="M666" s="33">
        <f>11.204 * CHOOSE(CONTROL!$C$32, $C$9, 100%, $E$9)</f>
        <v>11.204000000000001</v>
      </c>
      <c r="N666" s="33">
        <f>11.1987 * CHOOSE(CONTROL!$C$32, $C$9, 100%, $E$9)</f>
        <v>11.198700000000001</v>
      </c>
      <c r="O666" s="33">
        <f>11.204 * CHOOSE(CONTROL!$C$32, $C$9, 100%, $E$9)</f>
        <v>11.204000000000001</v>
      </c>
    </row>
    <row r="667" spans="1:15" ht="15" x14ac:dyDescent="0.2">
      <c r="A667" s="16">
        <v>61515</v>
      </c>
      <c r="B667" s="32">
        <f>9.7596 * CHOOSE(CONTROL!$C$32, $C$9, 100%, $E$9)</f>
        <v>9.7596000000000007</v>
      </c>
      <c r="C667" s="32">
        <f>9.7596 * CHOOSE(CONTROL!$C$32, $C$9, 100%, $E$9)</f>
        <v>9.7596000000000007</v>
      </c>
      <c r="D667" s="32">
        <f>9.7612 * CHOOSE(CONTROL!$C$32, $C$9, 100%, $E$9)</f>
        <v>9.7612000000000005</v>
      </c>
      <c r="E667" s="33">
        <f>11.1157 * CHOOSE(CONTROL!$C$32, $C$9, 100%, $E$9)</f>
        <v>11.1157</v>
      </c>
      <c r="F667" s="33">
        <f>11.1157 * CHOOSE(CONTROL!$C$32, $C$9, 100%, $E$9)</f>
        <v>11.1157</v>
      </c>
      <c r="G667" s="33">
        <f>11.121 * CHOOSE(CONTROL!$C$32, $C$9, 100%, $E$9)</f>
        <v>11.121</v>
      </c>
      <c r="H667" s="33">
        <f>22.2926 * CHOOSE(CONTROL!$C$32, $C$9, 100%, $E$9)</f>
        <v>22.2926</v>
      </c>
      <c r="I667" s="33">
        <f>22.2979 * CHOOSE(CONTROL!$C$32, $C$9, 100%, $E$9)</f>
        <v>22.297899999999998</v>
      </c>
      <c r="J667" s="33">
        <f>22.2926 * CHOOSE(CONTROL!$C$32, $C$9, 100%, $E$9)</f>
        <v>22.2926</v>
      </c>
      <c r="K667" s="33">
        <f>22.2979 * CHOOSE(CONTROL!$C$32, $C$9, 100%, $E$9)</f>
        <v>22.297899999999998</v>
      </c>
      <c r="L667" s="33">
        <f>11.1157 * CHOOSE(CONTROL!$C$32, $C$9, 100%, $E$9)</f>
        <v>11.1157</v>
      </c>
      <c r="M667" s="33">
        <f>11.121 * CHOOSE(CONTROL!$C$32, $C$9, 100%, $E$9)</f>
        <v>11.121</v>
      </c>
      <c r="N667" s="33">
        <f>11.1157 * CHOOSE(CONTROL!$C$32, $C$9, 100%, $E$9)</f>
        <v>11.1157</v>
      </c>
      <c r="O667" s="33">
        <f>11.121 * CHOOSE(CONTROL!$C$32, $C$9, 100%, $E$9)</f>
        <v>11.121</v>
      </c>
    </row>
    <row r="668" spans="1:15" ht="15" x14ac:dyDescent="0.2">
      <c r="A668" s="16">
        <v>61545</v>
      </c>
      <c r="B668" s="32">
        <f>9.8813 * CHOOSE(CONTROL!$C$32, $C$9, 100%, $E$9)</f>
        <v>9.8812999999999995</v>
      </c>
      <c r="C668" s="32">
        <f>9.8813 * CHOOSE(CONTROL!$C$32, $C$9, 100%, $E$9)</f>
        <v>9.8812999999999995</v>
      </c>
      <c r="D668" s="32">
        <f>9.8829 * CHOOSE(CONTROL!$C$32, $C$9, 100%, $E$9)</f>
        <v>9.8828999999999994</v>
      </c>
      <c r="E668" s="33">
        <f>11.2713 * CHOOSE(CONTROL!$C$32, $C$9, 100%, $E$9)</f>
        <v>11.2713</v>
      </c>
      <c r="F668" s="33">
        <f>11.2713 * CHOOSE(CONTROL!$C$32, $C$9, 100%, $E$9)</f>
        <v>11.2713</v>
      </c>
      <c r="G668" s="33">
        <f>11.2766 * CHOOSE(CONTROL!$C$32, $C$9, 100%, $E$9)</f>
        <v>11.2766</v>
      </c>
      <c r="H668" s="33">
        <f>22.339 * CHOOSE(CONTROL!$C$32, $C$9, 100%, $E$9)</f>
        <v>22.338999999999999</v>
      </c>
      <c r="I668" s="33">
        <f>22.3443 * CHOOSE(CONTROL!$C$32, $C$9, 100%, $E$9)</f>
        <v>22.3443</v>
      </c>
      <c r="J668" s="33">
        <f>22.339 * CHOOSE(CONTROL!$C$32, $C$9, 100%, $E$9)</f>
        <v>22.338999999999999</v>
      </c>
      <c r="K668" s="33">
        <f>22.3443 * CHOOSE(CONTROL!$C$32, $C$9, 100%, $E$9)</f>
        <v>22.3443</v>
      </c>
      <c r="L668" s="33">
        <f>11.2713 * CHOOSE(CONTROL!$C$32, $C$9, 100%, $E$9)</f>
        <v>11.2713</v>
      </c>
      <c r="M668" s="33">
        <f>11.2766 * CHOOSE(CONTROL!$C$32, $C$9, 100%, $E$9)</f>
        <v>11.2766</v>
      </c>
      <c r="N668" s="33">
        <f>11.2713 * CHOOSE(CONTROL!$C$32, $C$9, 100%, $E$9)</f>
        <v>11.2713</v>
      </c>
      <c r="O668" s="33">
        <f>11.2766 * CHOOSE(CONTROL!$C$32, $C$9, 100%, $E$9)</f>
        <v>11.2766</v>
      </c>
    </row>
    <row r="669" spans="1:15" ht="15" x14ac:dyDescent="0.2">
      <c r="A669" s="16">
        <v>61576</v>
      </c>
      <c r="B669" s="32">
        <f>9.888 * CHOOSE(CONTROL!$C$32, $C$9, 100%, $E$9)</f>
        <v>9.8879999999999999</v>
      </c>
      <c r="C669" s="32">
        <f>9.888 * CHOOSE(CONTROL!$C$32, $C$9, 100%, $E$9)</f>
        <v>9.8879999999999999</v>
      </c>
      <c r="D669" s="32">
        <f>9.8896 * CHOOSE(CONTROL!$C$32, $C$9, 100%, $E$9)</f>
        <v>9.8895999999999997</v>
      </c>
      <c r="E669" s="33">
        <f>11.0143 * CHOOSE(CONTROL!$C$32, $C$9, 100%, $E$9)</f>
        <v>11.0143</v>
      </c>
      <c r="F669" s="33">
        <f>11.0143 * CHOOSE(CONTROL!$C$32, $C$9, 100%, $E$9)</f>
        <v>11.0143</v>
      </c>
      <c r="G669" s="33">
        <f>11.0196 * CHOOSE(CONTROL!$C$32, $C$9, 100%, $E$9)</f>
        <v>11.019600000000001</v>
      </c>
      <c r="H669" s="33">
        <f>22.3855 * CHOOSE(CONTROL!$C$32, $C$9, 100%, $E$9)</f>
        <v>22.3855</v>
      </c>
      <c r="I669" s="33">
        <f>22.3908 * CHOOSE(CONTROL!$C$32, $C$9, 100%, $E$9)</f>
        <v>22.390799999999999</v>
      </c>
      <c r="J669" s="33">
        <f>22.3855 * CHOOSE(CONTROL!$C$32, $C$9, 100%, $E$9)</f>
        <v>22.3855</v>
      </c>
      <c r="K669" s="33">
        <f>22.3908 * CHOOSE(CONTROL!$C$32, $C$9, 100%, $E$9)</f>
        <v>22.390799999999999</v>
      </c>
      <c r="L669" s="33">
        <f>11.0143 * CHOOSE(CONTROL!$C$32, $C$9, 100%, $E$9)</f>
        <v>11.0143</v>
      </c>
      <c r="M669" s="33">
        <f>11.0196 * CHOOSE(CONTROL!$C$32, $C$9, 100%, $E$9)</f>
        <v>11.019600000000001</v>
      </c>
      <c r="N669" s="33">
        <f>11.0143 * CHOOSE(CONTROL!$C$32, $C$9, 100%, $E$9)</f>
        <v>11.0143</v>
      </c>
      <c r="O669" s="33">
        <f>11.0196 * CHOOSE(CONTROL!$C$32, $C$9, 100%, $E$9)</f>
        <v>11.019600000000001</v>
      </c>
    </row>
    <row r="670" spans="1:15" ht="15" x14ac:dyDescent="0.2">
      <c r="A670" s="16">
        <v>61607</v>
      </c>
      <c r="B670" s="32">
        <f>9.885 * CHOOSE(CONTROL!$C$32, $C$9, 100%, $E$9)</f>
        <v>9.8849999999999998</v>
      </c>
      <c r="C670" s="32">
        <f>9.885 * CHOOSE(CONTROL!$C$32, $C$9, 100%, $E$9)</f>
        <v>9.8849999999999998</v>
      </c>
      <c r="D670" s="32">
        <f>9.8865 * CHOOSE(CONTROL!$C$32, $C$9, 100%, $E$9)</f>
        <v>9.8864999999999998</v>
      </c>
      <c r="E670" s="33">
        <f>10.9831 * CHOOSE(CONTROL!$C$32, $C$9, 100%, $E$9)</f>
        <v>10.9831</v>
      </c>
      <c r="F670" s="33">
        <f>10.9831 * CHOOSE(CONTROL!$C$32, $C$9, 100%, $E$9)</f>
        <v>10.9831</v>
      </c>
      <c r="G670" s="33">
        <f>10.9884 * CHOOSE(CONTROL!$C$32, $C$9, 100%, $E$9)</f>
        <v>10.9884</v>
      </c>
      <c r="H670" s="33">
        <f>22.4322 * CHOOSE(CONTROL!$C$32, $C$9, 100%, $E$9)</f>
        <v>22.432200000000002</v>
      </c>
      <c r="I670" s="33">
        <f>22.4375 * CHOOSE(CONTROL!$C$32, $C$9, 100%, $E$9)</f>
        <v>22.4375</v>
      </c>
      <c r="J670" s="33">
        <f>22.4322 * CHOOSE(CONTROL!$C$32, $C$9, 100%, $E$9)</f>
        <v>22.432200000000002</v>
      </c>
      <c r="K670" s="33">
        <f>22.4375 * CHOOSE(CONTROL!$C$32, $C$9, 100%, $E$9)</f>
        <v>22.4375</v>
      </c>
      <c r="L670" s="33">
        <f>10.9831 * CHOOSE(CONTROL!$C$32, $C$9, 100%, $E$9)</f>
        <v>10.9831</v>
      </c>
      <c r="M670" s="33">
        <f>10.9884 * CHOOSE(CONTROL!$C$32, $C$9, 100%, $E$9)</f>
        <v>10.9884</v>
      </c>
      <c r="N670" s="33">
        <f>10.9831 * CHOOSE(CONTROL!$C$32, $C$9, 100%, $E$9)</f>
        <v>10.9831</v>
      </c>
      <c r="O670" s="33">
        <f>10.9884 * CHOOSE(CONTROL!$C$32, $C$9, 100%, $E$9)</f>
        <v>10.9884</v>
      </c>
    </row>
    <row r="671" spans="1:15" ht="15" x14ac:dyDescent="0.2">
      <c r="A671" s="16">
        <v>61637</v>
      </c>
      <c r="B671" s="32">
        <f>9.902 * CHOOSE(CONTROL!$C$32, $C$9, 100%, $E$9)</f>
        <v>9.9019999999999992</v>
      </c>
      <c r="C671" s="32">
        <f>9.902 * CHOOSE(CONTROL!$C$32, $C$9, 100%, $E$9)</f>
        <v>9.9019999999999992</v>
      </c>
      <c r="D671" s="32">
        <f>9.9031 * CHOOSE(CONTROL!$C$32, $C$9, 100%, $E$9)</f>
        <v>9.9031000000000002</v>
      </c>
      <c r="E671" s="33">
        <f>11.086 * CHOOSE(CONTROL!$C$32, $C$9, 100%, $E$9)</f>
        <v>11.086</v>
      </c>
      <c r="F671" s="33">
        <f>11.086 * CHOOSE(CONTROL!$C$32, $C$9, 100%, $E$9)</f>
        <v>11.086</v>
      </c>
      <c r="G671" s="33">
        <f>11.0896 * CHOOSE(CONTROL!$C$32, $C$9, 100%, $E$9)</f>
        <v>11.089600000000001</v>
      </c>
      <c r="H671" s="33">
        <f>22.4789 * CHOOSE(CONTROL!$C$32, $C$9, 100%, $E$9)</f>
        <v>22.478899999999999</v>
      </c>
      <c r="I671" s="33">
        <f>22.4825 * CHOOSE(CONTROL!$C$32, $C$9, 100%, $E$9)</f>
        <v>22.482500000000002</v>
      </c>
      <c r="J671" s="33">
        <f>22.4789 * CHOOSE(CONTROL!$C$32, $C$9, 100%, $E$9)</f>
        <v>22.478899999999999</v>
      </c>
      <c r="K671" s="33">
        <f>22.4825 * CHOOSE(CONTROL!$C$32, $C$9, 100%, $E$9)</f>
        <v>22.482500000000002</v>
      </c>
      <c r="L671" s="33">
        <f>11.086 * CHOOSE(CONTROL!$C$32, $C$9, 100%, $E$9)</f>
        <v>11.086</v>
      </c>
      <c r="M671" s="33">
        <f>11.0896 * CHOOSE(CONTROL!$C$32, $C$9, 100%, $E$9)</f>
        <v>11.089600000000001</v>
      </c>
      <c r="N671" s="33">
        <f>11.086 * CHOOSE(CONTROL!$C$32, $C$9, 100%, $E$9)</f>
        <v>11.086</v>
      </c>
      <c r="O671" s="33">
        <f>11.0896 * CHOOSE(CONTROL!$C$32, $C$9, 100%, $E$9)</f>
        <v>11.089600000000001</v>
      </c>
    </row>
    <row r="672" spans="1:15" ht="15" x14ac:dyDescent="0.2">
      <c r="A672" s="16">
        <v>61668</v>
      </c>
      <c r="B672" s="32">
        <f>9.905 * CHOOSE(CONTROL!$C$32, $C$9, 100%, $E$9)</f>
        <v>9.9049999999999994</v>
      </c>
      <c r="C672" s="32">
        <f>9.905 * CHOOSE(CONTROL!$C$32, $C$9, 100%, $E$9)</f>
        <v>9.9049999999999994</v>
      </c>
      <c r="D672" s="32">
        <f>9.9061 * CHOOSE(CONTROL!$C$32, $C$9, 100%, $E$9)</f>
        <v>9.9061000000000003</v>
      </c>
      <c r="E672" s="33">
        <f>11.1463 * CHOOSE(CONTROL!$C$32, $C$9, 100%, $E$9)</f>
        <v>11.1463</v>
      </c>
      <c r="F672" s="33">
        <f>11.1463 * CHOOSE(CONTROL!$C$32, $C$9, 100%, $E$9)</f>
        <v>11.1463</v>
      </c>
      <c r="G672" s="33">
        <f>11.1499 * CHOOSE(CONTROL!$C$32, $C$9, 100%, $E$9)</f>
        <v>11.149900000000001</v>
      </c>
      <c r="H672" s="33">
        <f>22.5257 * CHOOSE(CONTROL!$C$32, $C$9, 100%, $E$9)</f>
        <v>22.525700000000001</v>
      </c>
      <c r="I672" s="33">
        <f>22.5294 * CHOOSE(CONTROL!$C$32, $C$9, 100%, $E$9)</f>
        <v>22.529399999999999</v>
      </c>
      <c r="J672" s="33">
        <f>22.5257 * CHOOSE(CONTROL!$C$32, $C$9, 100%, $E$9)</f>
        <v>22.525700000000001</v>
      </c>
      <c r="K672" s="33">
        <f>22.5294 * CHOOSE(CONTROL!$C$32, $C$9, 100%, $E$9)</f>
        <v>22.529399999999999</v>
      </c>
      <c r="L672" s="33">
        <f>11.1463 * CHOOSE(CONTROL!$C$32, $C$9, 100%, $E$9)</f>
        <v>11.1463</v>
      </c>
      <c r="M672" s="33">
        <f>11.1499 * CHOOSE(CONTROL!$C$32, $C$9, 100%, $E$9)</f>
        <v>11.149900000000001</v>
      </c>
      <c r="N672" s="33">
        <f>11.1463 * CHOOSE(CONTROL!$C$32, $C$9, 100%, $E$9)</f>
        <v>11.1463</v>
      </c>
      <c r="O672" s="33">
        <f>11.1499 * CHOOSE(CONTROL!$C$32, $C$9, 100%, $E$9)</f>
        <v>11.149900000000001</v>
      </c>
    </row>
    <row r="673" spans="1:15" ht="15" x14ac:dyDescent="0.2">
      <c r="A673" s="16">
        <v>61698</v>
      </c>
      <c r="B673" s="32">
        <f>9.905 * CHOOSE(CONTROL!$C$32, $C$9, 100%, $E$9)</f>
        <v>9.9049999999999994</v>
      </c>
      <c r="C673" s="32">
        <f>9.905 * CHOOSE(CONTROL!$C$32, $C$9, 100%, $E$9)</f>
        <v>9.9049999999999994</v>
      </c>
      <c r="D673" s="32">
        <f>9.9061 * CHOOSE(CONTROL!$C$32, $C$9, 100%, $E$9)</f>
        <v>9.9061000000000003</v>
      </c>
      <c r="E673" s="33">
        <f>11.0009 * CHOOSE(CONTROL!$C$32, $C$9, 100%, $E$9)</f>
        <v>11.0009</v>
      </c>
      <c r="F673" s="33">
        <f>11.0009 * CHOOSE(CONTROL!$C$32, $C$9, 100%, $E$9)</f>
        <v>11.0009</v>
      </c>
      <c r="G673" s="33">
        <f>11.0045 * CHOOSE(CONTROL!$C$32, $C$9, 100%, $E$9)</f>
        <v>11.0045</v>
      </c>
      <c r="H673" s="33">
        <f>22.5727 * CHOOSE(CONTROL!$C$32, $C$9, 100%, $E$9)</f>
        <v>22.572700000000001</v>
      </c>
      <c r="I673" s="33">
        <f>22.5763 * CHOOSE(CONTROL!$C$32, $C$9, 100%, $E$9)</f>
        <v>22.5763</v>
      </c>
      <c r="J673" s="33">
        <f>22.5727 * CHOOSE(CONTROL!$C$32, $C$9, 100%, $E$9)</f>
        <v>22.572700000000001</v>
      </c>
      <c r="K673" s="33">
        <f>22.5763 * CHOOSE(CONTROL!$C$32, $C$9, 100%, $E$9)</f>
        <v>22.5763</v>
      </c>
      <c r="L673" s="33">
        <f>11.0009 * CHOOSE(CONTROL!$C$32, $C$9, 100%, $E$9)</f>
        <v>11.0009</v>
      </c>
      <c r="M673" s="33">
        <f>11.0045 * CHOOSE(CONTROL!$C$32, $C$9, 100%, $E$9)</f>
        <v>11.0045</v>
      </c>
      <c r="N673" s="33">
        <f>11.0009 * CHOOSE(CONTROL!$C$32, $C$9, 100%, $E$9)</f>
        <v>11.0009</v>
      </c>
      <c r="O673" s="33">
        <f>11.0045 * CHOOSE(CONTROL!$C$32, $C$9, 100%, $E$9)</f>
        <v>11.0045</v>
      </c>
    </row>
    <row r="674" spans="1:15" ht="15" x14ac:dyDescent="0.2">
      <c r="A674" s="16">
        <v>61729</v>
      </c>
      <c r="B674" s="32">
        <f>9.9437 * CHOOSE(CONTROL!$C$32, $C$9, 100%, $E$9)</f>
        <v>9.9436999999999998</v>
      </c>
      <c r="C674" s="32">
        <f>9.9437 * CHOOSE(CONTROL!$C$32, $C$9, 100%, $E$9)</f>
        <v>9.9436999999999998</v>
      </c>
      <c r="D674" s="32">
        <f>9.9448 * CHOOSE(CONTROL!$C$32, $C$9, 100%, $E$9)</f>
        <v>9.9448000000000008</v>
      </c>
      <c r="E674" s="33">
        <f>11.158 * CHOOSE(CONTROL!$C$32, $C$9, 100%, $E$9)</f>
        <v>11.157999999999999</v>
      </c>
      <c r="F674" s="33">
        <f>11.158 * CHOOSE(CONTROL!$C$32, $C$9, 100%, $E$9)</f>
        <v>11.157999999999999</v>
      </c>
      <c r="G674" s="33">
        <f>11.1616 * CHOOSE(CONTROL!$C$32, $C$9, 100%, $E$9)</f>
        <v>11.1616</v>
      </c>
      <c r="H674" s="33">
        <f>22.5258 * CHOOSE(CONTROL!$C$32, $C$9, 100%, $E$9)</f>
        <v>22.5258</v>
      </c>
      <c r="I674" s="33">
        <f>22.5294 * CHOOSE(CONTROL!$C$32, $C$9, 100%, $E$9)</f>
        <v>22.529399999999999</v>
      </c>
      <c r="J674" s="33">
        <f>22.5258 * CHOOSE(CONTROL!$C$32, $C$9, 100%, $E$9)</f>
        <v>22.5258</v>
      </c>
      <c r="K674" s="33">
        <f>22.5294 * CHOOSE(CONTROL!$C$32, $C$9, 100%, $E$9)</f>
        <v>22.529399999999999</v>
      </c>
      <c r="L674" s="33">
        <f>11.158 * CHOOSE(CONTROL!$C$32, $C$9, 100%, $E$9)</f>
        <v>11.157999999999999</v>
      </c>
      <c r="M674" s="33">
        <f>11.1616 * CHOOSE(CONTROL!$C$32, $C$9, 100%, $E$9)</f>
        <v>11.1616</v>
      </c>
      <c r="N674" s="33">
        <f>11.158 * CHOOSE(CONTROL!$C$32, $C$9, 100%, $E$9)</f>
        <v>11.157999999999999</v>
      </c>
      <c r="O674" s="33">
        <f>11.1616 * CHOOSE(CONTROL!$C$32, $C$9, 100%, $E$9)</f>
        <v>11.1616</v>
      </c>
    </row>
    <row r="675" spans="1:15" ht="15" x14ac:dyDescent="0.2">
      <c r="A675" s="16">
        <v>61760</v>
      </c>
      <c r="B675" s="32">
        <f>9.9407 * CHOOSE(CONTROL!$C$32, $C$9, 100%, $E$9)</f>
        <v>9.9406999999999996</v>
      </c>
      <c r="C675" s="32">
        <f>9.9407 * CHOOSE(CONTROL!$C$32, $C$9, 100%, $E$9)</f>
        <v>9.9406999999999996</v>
      </c>
      <c r="D675" s="32">
        <f>9.9417 * CHOOSE(CONTROL!$C$32, $C$9, 100%, $E$9)</f>
        <v>9.9417000000000009</v>
      </c>
      <c r="E675" s="33">
        <f>10.8741 * CHOOSE(CONTROL!$C$32, $C$9, 100%, $E$9)</f>
        <v>10.8741</v>
      </c>
      <c r="F675" s="33">
        <f>10.8741 * CHOOSE(CONTROL!$C$32, $C$9, 100%, $E$9)</f>
        <v>10.8741</v>
      </c>
      <c r="G675" s="33">
        <f>10.8777 * CHOOSE(CONTROL!$C$32, $C$9, 100%, $E$9)</f>
        <v>10.877700000000001</v>
      </c>
      <c r="H675" s="33">
        <f>22.5728 * CHOOSE(CONTROL!$C$32, $C$9, 100%, $E$9)</f>
        <v>22.572800000000001</v>
      </c>
      <c r="I675" s="33">
        <f>22.5764 * CHOOSE(CONTROL!$C$32, $C$9, 100%, $E$9)</f>
        <v>22.5764</v>
      </c>
      <c r="J675" s="33">
        <f>22.5728 * CHOOSE(CONTROL!$C$32, $C$9, 100%, $E$9)</f>
        <v>22.572800000000001</v>
      </c>
      <c r="K675" s="33">
        <f>22.5764 * CHOOSE(CONTROL!$C$32, $C$9, 100%, $E$9)</f>
        <v>22.5764</v>
      </c>
      <c r="L675" s="33">
        <f>10.8741 * CHOOSE(CONTROL!$C$32, $C$9, 100%, $E$9)</f>
        <v>10.8741</v>
      </c>
      <c r="M675" s="33">
        <f>10.8777 * CHOOSE(CONTROL!$C$32, $C$9, 100%, $E$9)</f>
        <v>10.877700000000001</v>
      </c>
      <c r="N675" s="33">
        <f>10.8741 * CHOOSE(CONTROL!$C$32, $C$9, 100%, $E$9)</f>
        <v>10.8741</v>
      </c>
      <c r="O675" s="33">
        <f>10.8777 * CHOOSE(CONTROL!$C$32, $C$9, 100%, $E$9)</f>
        <v>10.877700000000001</v>
      </c>
    </row>
    <row r="676" spans="1:15" ht="15" x14ac:dyDescent="0.2">
      <c r="A676" s="16">
        <v>61788</v>
      </c>
      <c r="B676" s="32">
        <f>9.9376 * CHOOSE(CONTROL!$C$32, $C$9, 100%, $E$9)</f>
        <v>9.9375999999999998</v>
      </c>
      <c r="C676" s="32">
        <f>9.9376 * CHOOSE(CONTROL!$C$32, $C$9, 100%, $E$9)</f>
        <v>9.9375999999999998</v>
      </c>
      <c r="D676" s="32">
        <f>9.9387 * CHOOSE(CONTROL!$C$32, $C$9, 100%, $E$9)</f>
        <v>9.9387000000000008</v>
      </c>
      <c r="E676" s="33">
        <f>11.0941 * CHOOSE(CONTROL!$C$32, $C$9, 100%, $E$9)</f>
        <v>11.094099999999999</v>
      </c>
      <c r="F676" s="33">
        <f>11.0941 * CHOOSE(CONTROL!$C$32, $C$9, 100%, $E$9)</f>
        <v>11.094099999999999</v>
      </c>
      <c r="G676" s="33">
        <f>11.0977 * CHOOSE(CONTROL!$C$32, $C$9, 100%, $E$9)</f>
        <v>11.0977</v>
      </c>
      <c r="H676" s="33">
        <f>22.6198 * CHOOSE(CONTROL!$C$32, $C$9, 100%, $E$9)</f>
        <v>22.619800000000001</v>
      </c>
      <c r="I676" s="33">
        <f>22.6234 * CHOOSE(CONTROL!$C$32, $C$9, 100%, $E$9)</f>
        <v>22.6234</v>
      </c>
      <c r="J676" s="33">
        <f>22.6198 * CHOOSE(CONTROL!$C$32, $C$9, 100%, $E$9)</f>
        <v>22.619800000000001</v>
      </c>
      <c r="K676" s="33">
        <f>22.6234 * CHOOSE(CONTROL!$C$32, $C$9, 100%, $E$9)</f>
        <v>22.6234</v>
      </c>
      <c r="L676" s="33">
        <f>11.0941 * CHOOSE(CONTROL!$C$32, $C$9, 100%, $E$9)</f>
        <v>11.094099999999999</v>
      </c>
      <c r="M676" s="33">
        <f>11.0977 * CHOOSE(CONTROL!$C$32, $C$9, 100%, $E$9)</f>
        <v>11.0977</v>
      </c>
      <c r="N676" s="33">
        <f>11.0941 * CHOOSE(CONTROL!$C$32, $C$9, 100%, $E$9)</f>
        <v>11.094099999999999</v>
      </c>
      <c r="O676" s="33">
        <f>11.0977 * CHOOSE(CONTROL!$C$32, $C$9, 100%, $E$9)</f>
        <v>11.0977</v>
      </c>
    </row>
    <row r="677" spans="1:15" ht="15" x14ac:dyDescent="0.2">
      <c r="A677" s="16">
        <v>61819</v>
      </c>
      <c r="B677" s="32">
        <f>9.941 * CHOOSE(CONTROL!$C$32, $C$9, 100%, $E$9)</f>
        <v>9.9410000000000007</v>
      </c>
      <c r="C677" s="32">
        <f>9.941 * CHOOSE(CONTROL!$C$32, $C$9, 100%, $E$9)</f>
        <v>9.9410000000000007</v>
      </c>
      <c r="D677" s="32">
        <f>9.9421 * CHOOSE(CONTROL!$C$32, $C$9, 100%, $E$9)</f>
        <v>9.9420999999999999</v>
      </c>
      <c r="E677" s="33">
        <f>11.3285 * CHOOSE(CONTROL!$C$32, $C$9, 100%, $E$9)</f>
        <v>11.3285</v>
      </c>
      <c r="F677" s="33">
        <f>11.3285 * CHOOSE(CONTROL!$C$32, $C$9, 100%, $E$9)</f>
        <v>11.3285</v>
      </c>
      <c r="G677" s="33">
        <f>11.3321 * CHOOSE(CONTROL!$C$32, $C$9, 100%, $E$9)</f>
        <v>11.332100000000001</v>
      </c>
      <c r="H677" s="33">
        <f>22.6669 * CHOOSE(CONTROL!$C$32, $C$9, 100%, $E$9)</f>
        <v>22.666899999999998</v>
      </c>
      <c r="I677" s="33">
        <f>22.6705 * CHOOSE(CONTROL!$C$32, $C$9, 100%, $E$9)</f>
        <v>22.670500000000001</v>
      </c>
      <c r="J677" s="33">
        <f>22.6669 * CHOOSE(CONTROL!$C$32, $C$9, 100%, $E$9)</f>
        <v>22.666899999999998</v>
      </c>
      <c r="K677" s="33">
        <f>22.6705 * CHOOSE(CONTROL!$C$32, $C$9, 100%, $E$9)</f>
        <v>22.670500000000001</v>
      </c>
      <c r="L677" s="33">
        <f>11.3285 * CHOOSE(CONTROL!$C$32, $C$9, 100%, $E$9)</f>
        <v>11.3285</v>
      </c>
      <c r="M677" s="33">
        <f>11.3321 * CHOOSE(CONTROL!$C$32, $C$9, 100%, $E$9)</f>
        <v>11.332100000000001</v>
      </c>
      <c r="N677" s="33">
        <f>11.3285 * CHOOSE(CONTROL!$C$32, $C$9, 100%, $E$9)</f>
        <v>11.3285</v>
      </c>
      <c r="O677" s="33">
        <f>11.3321 * CHOOSE(CONTROL!$C$32, $C$9, 100%, $E$9)</f>
        <v>11.332100000000001</v>
      </c>
    </row>
    <row r="678" spans="1:15" ht="15" x14ac:dyDescent="0.2">
      <c r="A678" s="16">
        <v>61849</v>
      </c>
      <c r="B678" s="32">
        <f>9.941 * CHOOSE(CONTROL!$C$32, $C$9, 100%, $E$9)</f>
        <v>9.9410000000000007</v>
      </c>
      <c r="C678" s="32">
        <f>9.941 * CHOOSE(CONTROL!$C$32, $C$9, 100%, $E$9)</f>
        <v>9.9410000000000007</v>
      </c>
      <c r="D678" s="32">
        <f>9.9426 * CHOOSE(CONTROL!$C$32, $C$9, 100%, $E$9)</f>
        <v>9.9426000000000005</v>
      </c>
      <c r="E678" s="33">
        <f>11.418 * CHOOSE(CONTROL!$C$32, $C$9, 100%, $E$9)</f>
        <v>11.417999999999999</v>
      </c>
      <c r="F678" s="33">
        <f>11.418 * CHOOSE(CONTROL!$C$32, $C$9, 100%, $E$9)</f>
        <v>11.417999999999999</v>
      </c>
      <c r="G678" s="33">
        <f>11.4233 * CHOOSE(CONTROL!$C$32, $C$9, 100%, $E$9)</f>
        <v>11.423299999999999</v>
      </c>
      <c r="H678" s="33">
        <f>22.7141 * CHOOSE(CONTROL!$C$32, $C$9, 100%, $E$9)</f>
        <v>22.714099999999998</v>
      </c>
      <c r="I678" s="33">
        <f>22.7194 * CHOOSE(CONTROL!$C$32, $C$9, 100%, $E$9)</f>
        <v>22.7194</v>
      </c>
      <c r="J678" s="33">
        <f>22.7141 * CHOOSE(CONTROL!$C$32, $C$9, 100%, $E$9)</f>
        <v>22.714099999999998</v>
      </c>
      <c r="K678" s="33">
        <f>22.7194 * CHOOSE(CONTROL!$C$32, $C$9, 100%, $E$9)</f>
        <v>22.7194</v>
      </c>
      <c r="L678" s="33">
        <f>11.418 * CHOOSE(CONTROL!$C$32, $C$9, 100%, $E$9)</f>
        <v>11.417999999999999</v>
      </c>
      <c r="M678" s="33">
        <f>11.4233 * CHOOSE(CONTROL!$C$32, $C$9, 100%, $E$9)</f>
        <v>11.423299999999999</v>
      </c>
      <c r="N678" s="33">
        <f>11.418 * CHOOSE(CONTROL!$C$32, $C$9, 100%, $E$9)</f>
        <v>11.417999999999999</v>
      </c>
      <c r="O678" s="33">
        <f>11.4233 * CHOOSE(CONTROL!$C$32, $C$9, 100%, $E$9)</f>
        <v>11.423299999999999</v>
      </c>
    </row>
    <row r="679" spans="1:15" ht="15" x14ac:dyDescent="0.2">
      <c r="A679" s="16">
        <v>61880</v>
      </c>
      <c r="B679" s="32">
        <f>9.9471 * CHOOSE(CONTROL!$C$32, $C$9, 100%, $E$9)</f>
        <v>9.9471000000000007</v>
      </c>
      <c r="C679" s="32">
        <f>9.9471 * CHOOSE(CONTROL!$C$32, $C$9, 100%, $E$9)</f>
        <v>9.9471000000000007</v>
      </c>
      <c r="D679" s="32">
        <f>9.9487 * CHOOSE(CONTROL!$C$32, $C$9, 100%, $E$9)</f>
        <v>9.9487000000000005</v>
      </c>
      <c r="E679" s="33">
        <f>11.3327 * CHOOSE(CONTROL!$C$32, $C$9, 100%, $E$9)</f>
        <v>11.332700000000001</v>
      </c>
      <c r="F679" s="33">
        <f>11.3327 * CHOOSE(CONTROL!$C$32, $C$9, 100%, $E$9)</f>
        <v>11.332700000000001</v>
      </c>
      <c r="G679" s="33">
        <f>11.338 * CHOOSE(CONTROL!$C$32, $C$9, 100%, $E$9)</f>
        <v>11.337999999999999</v>
      </c>
      <c r="H679" s="33">
        <f>22.7614 * CHOOSE(CONTROL!$C$32, $C$9, 100%, $E$9)</f>
        <v>22.761399999999998</v>
      </c>
      <c r="I679" s="33">
        <f>22.7667 * CHOOSE(CONTROL!$C$32, $C$9, 100%, $E$9)</f>
        <v>22.7667</v>
      </c>
      <c r="J679" s="33">
        <f>22.7614 * CHOOSE(CONTROL!$C$32, $C$9, 100%, $E$9)</f>
        <v>22.761399999999998</v>
      </c>
      <c r="K679" s="33">
        <f>22.7667 * CHOOSE(CONTROL!$C$32, $C$9, 100%, $E$9)</f>
        <v>22.7667</v>
      </c>
      <c r="L679" s="33">
        <f>11.3327 * CHOOSE(CONTROL!$C$32, $C$9, 100%, $E$9)</f>
        <v>11.332700000000001</v>
      </c>
      <c r="M679" s="33">
        <f>11.338 * CHOOSE(CONTROL!$C$32, $C$9, 100%, $E$9)</f>
        <v>11.337999999999999</v>
      </c>
      <c r="N679" s="33">
        <f>11.3327 * CHOOSE(CONTROL!$C$32, $C$9, 100%, $E$9)</f>
        <v>11.332700000000001</v>
      </c>
      <c r="O679" s="33">
        <f>11.338 * CHOOSE(CONTROL!$C$32, $C$9, 100%, $E$9)</f>
        <v>11.337999999999999</v>
      </c>
    </row>
    <row r="680" spans="1:15" ht="15" x14ac:dyDescent="0.2">
      <c r="A680" s="16">
        <v>61910</v>
      </c>
      <c r="B680" s="32">
        <f>10.0709 * CHOOSE(CONTROL!$C$32, $C$9, 100%, $E$9)</f>
        <v>10.0709</v>
      </c>
      <c r="C680" s="32">
        <f>10.0709 * CHOOSE(CONTROL!$C$32, $C$9, 100%, $E$9)</f>
        <v>10.0709</v>
      </c>
      <c r="D680" s="32">
        <f>10.0725 * CHOOSE(CONTROL!$C$32, $C$9, 100%, $E$9)</f>
        <v>10.0725</v>
      </c>
      <c r="E680" s="33">
        <f>11.4915 * CHOOSE(CONTROL!$C$32, $C$9, 100%, $E$9)</f>
        <v>11.4915</v>
      </c>
      <c r="F680" s="33">
        <f>11.4915 * CHOOSE(CONTROL!$C$32, $C$9, 100%, $E$9)</f>
        <v>11.4915</v>
      </c>
      <c r="G680" s="33">
        <f>11.4968 * CHOOSE(CONTROL!$C$32, $C$9, 100%, $E$9)</f>
        <v>11.4968</v>
      </c>
      <c r="H680" s="33">
        <f>22.8089 * CHOOSE(CONTROL!$C$32, $C$9, 100%, $E$9)</f>
        <v>22.808900000000001</v>
      </c>
      <c r="I680" s="33">
        <f>22.8142 * CHOOSE(CONTROL!$C$32, $C$9, 100%, $E$9)</f>
        <v>22.8142</v>
      </c>
      <c r="J680" s="33">
        <f>22.8089 * CHOOSE(CONTROL!$C$32, $C$9, 100%, $E$9)</f>
        <v>22.808900000000001</v>
      </c>
      <c r="K680" s="33">
        <f>22.8142 * CHOOSE(CONTROL!$C$32, $C$9, 100%, $E$9)</f>
        <v>22.8142</v>
      </c>
      <c r="L680" s="33">
        <f>11.4915 * CHOOSE(CONTROL!$C$32, $C$9, 100%, $E$9)</f>
        <v>11.4915</v>
      </c>
      <c r="M680" s="33">
        <f>11.4968 * CHOOSE(CONTROL!$C$32, $C$9, 100%, $E$9)</f>
        <v>11.4968</v>
      </c>
      <c r="N680" s="33">
        <f>11.4915 * CHOOSE(CONTROL!$C$32, $C$9, 100%, $E$9)</f>
        <v>11.4915</v>
      </c>
      <c r="O680" s="33">
        <f>11.4968 * CHOOSE(CONTROL!$C$32, $C$9, 100%, $E$9)</f>
        <v>11.4968</v>
      </c>
    </row>
    <row r="681" spans="1:15" ht="15" x14ac:dyDescent="0.2">
      <c r="A681" s="16">
        <v>61941</v>
      </c>
      <c r="B681" s="32">
        <f>10.0776 * CHOOSE(CONTROL!$C$32, $C$9, 100%, $E$9)</f>
        <v>10.0776</v>
      </c>
      <c r="C681" s="32">
        <f>10.0776 * CHOOSE(CONTROL!$C$32, $C$9, 100%, $E$9)</f>
        <v>10.0776</v>
      </c>
      <c r="D681" s="32">
        <f>10.0792 * CHOOSE(CONTROL!$C$32, $C$9, 100%, $E$9)</f>
        <v>10.0792</v>
      </c>
      <c r="E681" s="33">
        <f>11.2277 * CHOOSE(CONTROL!$C$32, $C$9, 100%, $E$9)</f>
        <v>11.2277</v>
      </c>
      <c r="F681" s="33">
        <f>11.2277 * CHOOSE(CONTROL!$C$32, $C$9, 100%, $E$9)</f>
        <v>11.2277</v>
      </c>
      <c r="G681" s="33">
        <f>11.233 * CHOOSE(CONTROL!$C$32, $C$9, 100%, $E$9)</f>
        <v>11.233000000000001</v>
      </c>
      <c r="H681" s="33">
        <f>22.8564 * CHOOSE(CONTROL!$C$32, $C$9, 100%, $E$9)</f>
        <v>22.856400000000001</v>
      </c>
      <c r="I681" s="33">
        <f>22.8617 * CHOOSE(CONTROL!$C$32, $C$9, 100%, $E$9)</f>
        <v>22.861699999999999</v>
      </c>
      <c r="J681" s="33">
        <f>22.8564 * CHOOSE(CONTROL!$C$32, $C$9, 100%, $E$9)</f>
        <v>22.856400000000001</v>
      </c>
      <c r="K681" s="33">
        <f>22.8617 * CHOOSE(CONTROL!$C$32, $C$9, 100%, $E$9)</f>
        <v>22.861699999999999</v>
      </c>
      <c r="L681" s="33">
        <f>11.2277 * CHOOSE(CONTROL!$C$32, $C$9, 100%, $E$9)</f>
        <v>11.2277</v>
      </c>
      <c r="M681" s="33">
        <f>11.233 * CHOOSE(CONTROL!$C$32, $C$9, 100%, $E$9)</f>
        <v>11.233000000000001</v>
      </c>
      <c r="N681" s="33">
        <f>11.2277 * CHOOSE(CONTROL!$C$32, $C$9, 100%, $E$9)</f>
        <v>11.2277</v>
      </c>
      <c r="O681" s="33">
        <f>11.233 * CHOOSE(CONTROL!$C$32, $C$9, 100%, $E$9)</f>
        <v>11.233000000000001</v>
      </c>
    </row>
    <row r="682" spans="1:15" ht="15" x14ac:dyDescent="0.2">
      <c r="A682" s="16">
        <v>61972</v>
      </c>
      <c r="B682" s="32">
        <f>10.0746 * CHOOSE(CONTROL!$C$32, $C$9, 100%, $E$9)</f>
        <v>10.0746</v>
      </c>
      <c r="C682" s="32">
        <f>10.0746 * CHOOSE(CONTROL!$C$32, $C$9, 100%, $E$9)</f>
        <v>10.0746</v>
      </c>
      <c r="D682" s="32">
        <f>10.0761 * CHOOSE(CONTROL!$C$32, $C$9, 100%, $E$9)</f>
        <v>10.0761</v>
      </c>
      <c r="E682" s="33">
        <f>11.1958 * CHOOSE(CONTROL!$C$32, $C$9, 100%, $E$9)</f>
        <v>11.1958</v>
      </c>
      <c r="F682" s="33">
        <f>11.1958 * CHOOSE(CONTROL!$C$32, $C$9, 100%, $E$9)</f>
        <v>11.1958</v>
      </c>
      <c r="G682" s="33">
        <f>11.2011 * CHOOSE(CONTROL!$C$32, $C$9, 100%, $E$9)</f>
        <v>11.2011</v>
      </c>
      <c r="H682" s="33">
        <f>22.904 * CHOOSE(CONTROL!$C$32, $C$9, 100%, $E$9)</f>
        <v>22.904</v>
      </c>
      <c r="I682" s="33">
        <f>22.9093 * CHOOSE(CONTROL!$C$32, $C$9, 100%, $E$9)</f>
        <v>22.909300000000002</v>
      </c>
      <c r="J682" s="33">
        <f>22.904 * CHOOSE(CONTROL!$C$32, $C$9, 100%, $E$9)</f>
        <v>22.904</v>
      </c>
      <c r="K682" s="33">
        <f>22.9093 * CHOOSE(CONTROL!$C$32, $C$9, 100%, $E$9)</f>
        <v>22.909300000000002</v>
      </c>
      <c r="L682" s="33">
        <f>11.1958 * CHOOSE(CONTROL!$C$32, $C$9, 100%, $E$9)</f>
        <v>11.1958</v>
      </c>
      <c r="M682" s="33">
        <f>11.2011 * CHOOSE(CONTROL!$C$32, $C$9, 100%, $E$9)</f>
        <v>11.2011</v>
      </c>
      <c r="N682" s="33">
        <f>11.1958 * CHOOSE(CONTROL!$C$32, $C$9, 100%, $E$9)</f>
        <v>11.1958</v>
      </c>
      <c r="O682" s="33">
        <f>11.2011 * CHOOSE(CONTROL!$C$32, $C$9, 100%, $E$9)</f>
        <v>11.2011</v>
      </c>
    </row>
    <row r="683" spans="1:15" ht="15" x14ac:dyDescent="0.2">
      <c r="A683" s="16">
        <v>62002</v>
      </c>
      <c r="B683" s="32">
        <f>10.0923 * CHOOSE(CONTROL!$C$32, $C$9, 100%, $E$9)</f>
        <v>10.0923</v>
      </c>
      <c r="C683" s="32">
        <f>10.0923 * CHOOSE(CONTROL!$C$32, $C$9, 100%, $E$9)</f>
        <v>10.0923</v>
      </c>
      <c r="D683" s="32">
        <f>10.0934 * CHOOSE(CONTROL!$C$32, $C$9, 100%, $E$9)</f>
        <v>10.093400000000001</v>
      </c>
      <c r="E683" s="33">
        <f>11.3017 * CHOOSE(CONTROL!$C$32, $C$9, 100%, $E$9)</f>
        <v>11.3017</v>
      </c>
      <c r="F683" s="33">
        <f>11.3017 * CHOOSE(CONTROL!$C$32, $C$9, 100%, $E$9)</f>
        <v>11.3017</v>
      </c>
      <c r="G683" s="33">
        <f>11.3053 * CHOOSE(CONTROL!$C$32, $C$9, 100%, $E$9)</f>
        <v>11.305300000000001</v>
      </c>
      <c r="H683" s="33">
        <f>22.9517 * CHOOSE(CONTROL!$C$32, $C$9, 100%, $E$9)</f>
        <v>22.951699999999999</v>
      </c>
      <c r="I683" s="33">
        <f>22.9553 * CHOOSE(CONTROL!$C$32, $C$9, 100%, $E$9)</f>
        <v>22.955300000000001</v>
      </c>
      <c r="J683" s="33">
        <f>22.9517 * CHOOSE(CONTROL!$C$32, $C$9, 100%, $E$9)</f>
        <v>22.951699999999999</v>
      </c>
      <c r="K683" s="33">
        <f>22.9553 * CHOOSE(CONTROL!$C$32, $C$9, 100%, $E$9)</f>
        <v>22.955300000000001</v>
      </c>
      <c r="L683" s="33">
        <f>11.3017 * CHOOSE(CONTROL!$C$32, $C$9, 100%, $E$9)</f>
        <v>11.3017</v>
      </c>
      <c r="M683" s="33">
        <f>11.3053 * CHOOSE(CONTROL!$C$32, $C$9, 100%, $E$9)</f>
        <v>11.305300000000001</v>
      </c>
      <c r="N683" s="33">
        <f>11.3017 * CHOOSE(CONTROL!$C$32, $C$9, 100%, $E$9)</f>
        <v>11.3017</v>
      </c>
      <c r="O683" s="33">
        <f>11.3053 * CHOOSE(CONTROL!$C$32, $C$9, 100%, $E$9)</f>
        <v>11.305300000000001</v>
      </c>
    </row>
    <row r="684" spans="1:15" ht="15" x14ac:dyDescent="0.2">
      <c r="A684" s="16">
        <v>62033</v>
      </c>
      <c r="B684" s="32">
        <f>10.0953 * CHOOSE(CONTROL!$C$32, $C$9, 100%, $E$9)</f>
        <v>10.0953</v>
      </c>
      <c r="C684" s="32">
        <f>10.0953 * CHOOSE(CONTROL!$C$32, $C$9, 100%, $E$9)</f>
        <v>10.0953</v>
      </c>
      <c r="D684" s="32">
        <f>10.0964 * CHOOSE(CONTROL!$C$32, $C$9, 100%, $E$9)</f>
        <v>10.096399999999999</v>
      </c>
      <c r="E684" s="33">
        <f>11.3634 * CHOOSE(CONTROL!$C$32, $C$9, 100%, $E$9)</f>
        <v>11.3634</v>
      </c>
      <c r="F684" s="33">
        <f>11.3634 * CHOOSE(CONTROL!$C$32, $C$9, 100%, $E$9)</f>
        <v>11.3634</v>
      </c>
      <c r="G684" s="33">
        <f>11.3671 * CHOOSE(CONTROL!$C$32, $C$9, 100%, $E$9)</f>
        <v>11.367100000000001</v>
      </c>
      <c r="H684" s="33">
        <f>22.9995 * CHOOSE(CONTROL!$C$32, $C$9, 100%, $E$9)</f>
        <v>22.999500000000001</v>
      </c>
      <c r="I684" s="33">
        <f>23.0032 * CHOOSE(CONTROL!$C$32, $C$9, 100%, $E$9)</f>
        <v>23.0032</v>
      </c>
      <c r="J684" s="33">
        <f>22.9995 * CHOOSE(CONTROL!$C$32, $C$9, 100%, $E$9)</f>
        <v>22.999500000000001</v>
      </c>
      <c r="K684" s="33">
        <f>23.0032 * CHOOSE(CONTROL!$C$32, $C$9, 100%, $E$9)</f>
        <v>23.0032</v>
      </c>
      <c r="L684" s="33">
        <f>11.3634 * CHOOSE(CONTROL!$C$32, $C$9, 100%, $E$9)</f>
        <v>11.3634</v>
      </c>
      <c r="M684" s="33">
        <f>11.3671 * CHOOSE(CONTROL!$C$32, $C$9, 100%, $E$9)</f>
        <v>11.367100000000001</v>
      </c>
      <c r="N684" s="33">
        <f>11.3634 * CHOOSE(CONTROL!$C$32, $C$9, 100%, $E$9)</f>
        <v>11.3634</v>
      </c>
      <c r="O684" s="33">
        <f>11.3671 * CHOOSE(CONTROL!$C$32, $C$9, 100%, $E$9)</f>
        <v>11.367100000000001</v>
      </c>
    </row>
    <row r="685" spans="1:15" ht="15" x14ac:dyDescent="0.2">
      <c r="A685" s="16">
        <v>62063</v>
      </c>
      <c r="B685" s="32">
        <f>10.0953 * CHOOSE(CONTROL!$C$32, $C$9, 100%, $E$9)</f>
        <v>10.0953</v>
      </c>
      <c r="C685" s="32">
        <f>10.0953 * CHOOSE(CONTROL!$C$32, $C$9, 100%, $E$9)</f>
        <v>10.0953</v>
      </c>
      <c r="D685" s="32">
        <f>10.0964 * CHOOSE(CONTROL!$C$32, $C$9, 100%, $E$9)</f>
        <v>10.096399999999999</v>
      </c>
      <c r="E685" s="33">
        <f>11.2143 * CHOOSE(CONTROL!$C$32, $C$9, 100%, $E$9)</f>
        <v>11.2143</v>
      </c>
      <c r="F685" s="33">
        <f>11.2143 * CHOOSE(CONTROL!$C$32, $C$9, 100%, $E$9)</f>
        <v>11.2143</v>
      </c>
      <c r="G685" s="33">
        <f>11.2179 * CHOOSE(CONTROL!$C$32, $C$9, 100%, $E$9)</f>
        <v>11.2179</v>
      </c>
      <c r="H685" s="33">
        <f>23.0475 * CHOOSE(CONTROL!$C$32, $C$9, 100%, $E$9)</f>
        <v>23.047499999999999</v>
      </c>
      <c r="I685" s="33">
        <f>23.0511 * CHOOSE(CONTROL!$C$32, $C$9, 100%, $E$9)</f>
        <v>23.051100000000002</v>
      </c>
      <c r="J685" s="33">
        <f>23.0475 * CHOOSE(CONTROL!$C$32, $C$9, 100%, $E$9)</f>
        <v>23.047499999999999</v>
      </c>
      <c r="K685" s="33">
        <f>23.0511 * CHOOSE(CONTROL!$C$32, $C$9, 100%, $E$9)</f>
        <v>23.051100000000002</v>
      </c>
      <c r="L685" s="33">
        <f>11.2143 * CHOOSE(CONTROL!$C$32, $C$9, 100%, $E$9)</f>
        <v>11.2143</v>
      </c>
      <c r="M685" s="33">
        <f>11.2179 * CHOOSE(CONTROL!$C$32, $C$9, 100%, $E$9)</f>
        <v>11.2179</v>
      </c>
      <c r="N685" s="33">
        <f>11.2143 * CHOOSE(CONTROL!$C$32, $C$9, 100%, $E$9)</f>
        <v>11.2143</v>
      </c>
      <c r="O685" s="33">
        <f>11.2179 * CHOOSE(CONTROL!$C$32, $C$9, 100%, $E$9)</f>
        <v>11.2179</v>
      </c>
    </row>
    <row r="686" spans="1:15" ht="15" x14ac:dyDescent="0.2">
      <c r="A686" s="16">
        <v>62094</v>
      </c>
      <c r="B686" s="32">
        <f>10.1311 * CHOOSE(CONTROL!$C$32, $C$9, 100%, $E$9)</f>
        <v>10.1311</v>
      </c>
      <c r="C686" s="32">
        <f>10.1311 * CHOOSE(CONTROL!$C$32, $C$9, 100%, $E$9)</f>
        <v>10.1311</v>
      </c>
      <c r="D686" s="32">
        <f>10.1321 * CHOOSE(CONTROL!$C$32, $C$9, 100%, $E$9)</f>
        <v>10.132099999999999</v>
      </c>
      <c r="E686" s="33">
        <f>11.3705 * CHOOSE(CONTROL!$C$32, $C$9, 100%, $E$9)</f>
        <v>11.3705</v>
      </c>
      <c r="F686" s="33">
        <f>11.3705 * CHOOSE(CONTROL!$C$32, $C$9, 100%, $E$9)</f>
        <v>11.3705</v>
      </c>
      <c r="G686" s="33">
        <f>11.3741 * CHOOSE(CONTROL!$C$32, $C$9, 100%, $E$9)</f>
        <v>11.3741</v>
      </c>
      <c r="H686" s="33">
        <f>22.9899 * CHOOSE(CONTROL!$C$32, $C$9, 100%, $E$9)</f>
        <v>22.989899999999999</v>
      </c>
      <c r="I686" s="33">
        <f>22.9935 * CHOOSE(CONTROL!$C$32, $C$9, 100%, $E$9)</f>
        <v>22.993500000000001</v>
      </c>
      <c r="J686" s="33">
        <f>22.9899 * CHOOSE(CONTROL!$C$32, $C$9, 100%, $E$9)</f>
        <v>22.989899999999999</v>
      </c>
      <c r="K686" s="33">
        <f>22.9935 * CHOOSE(CONTROL!$C$32, $C$9, 100%, $E$9)</f>
        <v>22.993500000000001</v>
      </c>
      <c r="L686" s="33">
        <f>11.3705 * CHOOSE(CONTROL!$C$32, $C$9, 100%, $E$9)</f>
        <v>11.3705</v>
      </c>
      <c r="M686" s="33">
        <f>11.3741 * CHOOSE(CONTROL!$C$32, $C$9, 100%, $E$9)</f>
        <v>11.3741</v>
      </c>
      <c r="N686" s="33">
        <f>11.3705 * CHOOSE(CONTROL!$C$32, $C$9, 100%, $E$9)</f>
        <v>11.3705</v>
      </c>
      <c r="O686" s="33">
        <f>11.3741 * CHOOSE(CONTROL!$C$32, $C$9, 100%, $E$9)</f>
        <v>11.3741</v>
      </c>
    </row>
    <row r="687" spans="1:15" ht="15" x14ac:dyDescent="0.2">
      <c r="A687" s="16">
        <v>62125</v>
      </c>
      <c r="B687" s="32">
        <f>10.128 * CHOOSE(CONTROL!$C$32, $C$9, 100%, $E$9)</f>
        <v>10.128</v>
      </c>
      <c r="C687" s="32">
        <f>10.128 * CHOOSE(CONTROL!$C$32, $C$9, 100%, $E$9)</f>
        <v>10.128</v>
      </c>
      <c r="D687" s="32">
        <f>10.1291 * CHOOSE(CONTROL!$C$32, $C$9, 100%, $E$9)</f>
        <v>10.129099999999999</v>
      </c>
      <c r="E687" s="33">
        <f>11.0795 * CHOOSE(CONTROL!$C$32, $C$9, 100%, $E$9)</f>
        <v>11.079499999999999</v>
      </c>
      <c r="F687" s="33">
        <f>11.0795 * CHOOSE(CONTROL!$C$32, $C$9, 100%, $E$9)</f>
        <v>11.079499999999999</v>
      </c>
      <c r="G687" s="33">
        <f>11.0831 * CHOOSE(CONTROL!$C$32, $C$9, 100%, $E$9)</f>
        <v>11.0831</v>
      </c>
      <c r="H687" s="33">
        <f>23.0378 * CHOOSE(CONTROL!$C$32, $C$9, 100%, $E$9)</f>
        <v>23.037800000000001</v>
      </c>
      <c r="I687" s="33">
        <f>23.0414 * CHOOSE(CONTROL!$C$32, $C$9, 100%, $E$9)</f>
        <v>23.041399999999999</v>
      </c>
      <c r="J687" s="33">
        <f>23.0378 * CHOOSE(CONTROL!$C$32, $C$9, 100%, $E$9)</f>
        <v>23.037800000000001</v>
      </c>
      <c r="K687" s="33">
        <f>23.0414 * CHOOSE(CONTROL!$C$32, $C$9, 100%, $E$9)</f>
        <v>23.041399999999999</v>
      </c>
      <c r="L687" s="33">
        <f>11.0795 * CHOOSE(CONTROL!$C$32, $C$9, 100%, $E$9)</f>
        <v>11.079499999999999</v>
      </c>
      <c r="M687" s="33">
        <f>11.0831 * CHOOSE(CONTROL!$C$32, $C$9, 100%, $E$9)</f>
        <v>11.0831</v>
      </c>
      <c r="N687" s="33">
        <f>11.0795 * CHOOSE(CONTROL!$C$32, $C$9, 100%, $E$9)</f>
        <v>11.079499999999999</v>
      </c>
      <c r="O687" s="33">
        <f>11.0831 * CHOOSE(CONTROL!$C$32, $C$9, 100%, $E$9)</f>
        <v>11.0831</v>
      </c>
    </row>
    <row r="688" spans="1:15" ht="15" x14ac:dyDescent="0.2">
      <c r="A688" s="16">
        <v>62153</v>
      </c>
      <c r="B688" s="32">
        <f>10.125 * CHOOSE(CONTROL!$C$32, $C$9, 100%, $E$9)</f>
        <v>10.125</v>
      </c>
      <c r="C688" s="32">
        <f>10.125 * CHOOSE(CONTROL!$C$32, $C$9, 100%, $E$9)</f>
        <v>10.125</v>
      </c>
      <c r="D688" s="32">
        <f>10.1261 * CHOOSE(CONTROL!$C$32, $C$9, 100%, $E$9)</f>
        <v>10.126099999999999</v>
      </c>
      <c r="E688" s="33">
        <f>11.3051 * CHOOSE(CONTROL!$C$32, $C$9, 100%, $E$9)</f>
        <v>11.305099999999999</v>
      </c>
      <c r="F688" s="33">
        <f>11.3051 * CHOOSE(CONTROL!$C$32, $C$9, 100%, $E$9)</f>
        <v>11.305099999999999</v>
      </c>
      <c r="G688" s="33">
        <f>11.3087 * CHOOSE(CONTROL!$C$32, $C$9, 100%, $E$9)</f>
        <v>11.3087</v>
      </c>
      <c r="H688" s="33">
        <f>23.0857 * CHOOSE(CONTROL!$C$32, $C$9, 100%, $E$9)</f>
        <v>23.085699999999999</v>
      </c>
      <c r="I688" s="33">
        <f>23.0894 * CHOOSE(CONTROL!$C$32, $C$9, 100%, $E$9)</f>
        <v>23.089400000000001</v>
      </c>
      <c r="J688" s="33">
        <f>23.0857 * CHOOSE(CONTROL!$C$32, $C$9, 100%, $E$9)</f>
        <v>23.085699999999999</v>
      </c>
      <c r="K688" s="33">
        <f>23.0894 * CHOOSE(CONTROL!$C$32, $C$9, 100%, $E$9)</f>
        <v>23.089400000000001</v>
      </c>
      <c r="L688" s="33">
        <f>11.3051 * CHOOSE(CONTROL!$C$32, $C$9, 100%, $E$9)</f>
        <v>11.305099999999999</v>
      </c>
      <c r="M688" s="33">
        <f>11.3087 * CHOOSE(CONTROL!$C$32, $C$9, 100%, $E$9)</f>
        <v>11.3087</v>
      </c>
      <c r="N688" s="33">
        <f>11.3051 * CHOOSE(CONTROL!$C$32, $C$9, 100%, $E$9)</f>
        <v>11.305099999999999</v>
      </c>
      <c r="O688" s="33">
        <f>11.3087 * CHOOSE(CONTROL!$C$32, $C$9, 100%, $E$9)</f>
        <v>11.3087</v>
      </c>
    </row>
    <row r="689" spans="1:15" ht="15" x14ac:dyDescent="0.2">
      <c r="A689" s="16">
        <v>62184</v>
      </c>
      <c r="B689" s="32">
        <f>10.1286 * CHOOSE(CONTROL!$C$32, $C$9, 100%, $E$9)</f>
        <v>10.1286</v>
      </c>
      <c r="C689" s="32">
        <f>10.1286 * CHOOSE(CONTROL!$C$32, $C$9, 100%, $E$9)</f>
        <v>10.1286</v>
      </c>
      <c r="D689" s="32">
        <f>10.1297 * CHOOSE(CONTROL!$C$32, $C$9, 100%, $E$9)</f>
        <v>10.1297</v>
      </c>
      <c r="E689" s="33">
        <f>11.5455 * CHOOSE(CONTROL!$C$32, $C$9, 100%, $E$9)</f>
        <v>11.545500000000001</v>
      </c>
      <c r="F689" s="33">
        <f>11.5455 * CHOOSE(CONTROL!$C$32, $C$9, 100%, $E$9)</f>
        <v>11.545500000000001</v>
      </c>
      <c r="G689" s="33">
        <f>11.5491 * CHOOSE(CONTROL!$C$32, $C$9, 100%, $E$9)</f>
        <v>11.549099999999999</v>
      </c>
      <c r="H689" s="33">
        <f>23.1338 * CHOOSE(CONTROL!$C$32, $C$9, 100%, $E$9)</f>
        <v>23.133800000000001</v>
      </c>
      <c r="I689" s="33">
        <f>23.1375 * CHOOSE(CONTROL!$C$32, $C$9, 100%, $E$9)</f>
        <v>23.137499999999999</v>
      </c>
      <c r="J689" s="33">
        <f>23.1338 * CHOOSE(CONTROL!$C$32, $C$9, 100%, $E$9)</f>
        <v>23.133800000000001</v>
      </c>
      <c r="K689" s="33">
        <f>23.1375 * CHOOSE(CONTROL!$C$32, $C$9, 100%, $E$9)</f>
        <v>23.137499999999999</v>
      </c>
      <c r="L689" s="33">
        <f>11.5455 * CHOOSE(CONTROL!$C$32, $C$9, 100%, $E$9)</f>
        <v>11.545500000000001</v>
      </c>
      <c r="M689" s="33">
        <f>11.5491 * CHOOSE(CONTROL!$C$32, $C$9, 100%, $E$9)</f>
        <v>11.549099999999999</v>
      </c>
      <c r="N689" s="33">
        <f>11.5455 * CHOOSE(CONTROL!$C$32, $C$9, 100%, $E$9)</f>
        <v>11.545500000000001</v>
      </c>
      <c r="O689" s="33">
        <f>11.5491 * CHOOSE(CONTROL!$C$32, $C$9, 100%, $E$9)</f>
        <v>11.549099999999999</v>
      </c>
    </row>
    <row r="690" spans="1:15" ht="15" x14ac:dyDescent="0.2">
      <c r="A690" s="16">
        <v>62214</v>
      </c>
      <c r="B690" s="32">
        <f>10.1286 * CHOOSE(CONTROL!$C$32, $C$9, 100%, $E$9)</f>
        <v>10.1286</v>
      </c>
      <c r="C690" s="32">
        <f>10.1286 * CHOOSE(CONTROL!$C$32, $C$9, 100%, $E$9)</f>
        <v>10.1286</v>
      </c>
      <c r="D690" s="32">
        <f>10.1302 * CHOOSE(CONTROL!$C$32, $C$9, 100%, $E$9)</f>
        <v>10.1302</v>
      </c>
      <c r="E690" s="33">
        <f>11.6372 * CHOOSE(CONTROL!$C$32, $C$9, 100%, $E$9)</f>
        <v>11.6372</v>
      </c>
      <c r="F690" s="33">
        <f>11.6372 * CHOOSE(CONTROL!$C$32, $C$9, 100%, $E$9)</f>
        <v>11.6372</v>
      </c>
      <c r="G690" s="33">
        <f>11.6425 * CHOOSE(CONTROL!$C$32, $C$9, 100%, $E$9)</f>
        <v>11.6425</v>
      </c>
      <c r="H690" s="33">
        <f>23.182 * CHOOSE(CONTROL!$C$32, $C$9, 100%, $E$9)</f>
        <v>23.181999999999999</v>
      </c>
      <c r="I690" s="33">
        <f>23.1873 * CHOOSE(CONTROL!$C$32, $C$9, 100%, $E$9)</f>
        <v>23.1873</v>
      </c>
      <c r="J690" s="33">
        <f>23.182 * CHOOSE(CONTROL!$C$32, $C$9, 100%, $E$9)</f>
        <v>23.181999999999999</v>
      </c>
      <c r="K690" s="33">
        <f>23.1873 * CHOOSE(CONTROL!$C$32, $C$9, 100%, $E$9)</f>
        <v>23.1873</v>
      </c>
      <c r="L690" s="33">
        <f>11.6372 * CHOOSE(CONTROL!$C$32, $C$9, 100%, $E$9)</f>
        <v>11.6372</v>
      </c>
      <c r="M690" s="33">
        <f>11.6425 * CHOOSE(CONTROL!$C$32, $C$9, 100%, $E$9)</f>
        <v>11.6425</v>
      </c>
      <c r="N690" s="33">
        <f>11.6372 * CHOOSE(CONTROL!$C$32, $C$9, 100%, $E$9)</f>
        <v>11.6372</v>
      </c>
      <c r="O690" s="33">
        <f>11.6425 * CHOOSE(CONTROL!$C$32, $C$9, 100%, $E$9)</f>
        <v>11.6425</v>
      </c>
    </row>
    <row r="691" spans="1:15" ht="15" x14ac:dyDescent="0.2">
      <c r="A691" s="16">
        <v>62245</v>
      </c>
      <c r="B691" s="32">
        <f>10.1347 * CHOOSE(CONTROL!$C$32, $C$9, 100%, $E$9)</f>
        <v>10.1347</v>
      </c>
      <c r="C691" s="32">
        <f>10.1347 * CHOOSE(CONTROL!$C$32, $C$9, 100%, $E$9)</f>
        <v>10.1347</v>
      </c>
      <c r="D691" s="32">
        <f>10.1362 * CHOOSE(CONTROL!$C$32, $C$9, 100%, $E$9)</f>
        <v>10.136200000000001</v>
      </c>
      <c r="E691" s="33">
        <f>11.5497 * CHOOSE(CONTROL!$C$32, $C$9, 100%, $E$9)</f>
        <v>11.5497</v>
      </c>
      <c r="F691" s="33">
        <f>11.5497 * CHOOSE(CONTROL!$C$32, $C$9, 100%, $E$9)</f>
        <v>11.5497</v>
      </c>
      <c r="G691" s="33">
        <f>11.555 * CHOOSE(CONTROL!$C$32, $C$9, 100%, $E$9)</f>
        <v>11.555</v>
      </c>
      <c r="H691" s="33">
        <f>23.2303 * CHOOSE(CONTROL!$C$32, $C$9, 100%, $E$9)</f>
        <v>23.2303</v>
      </c>
      <c r="I691" s="33">
        <f>23.2356 * CHOOSE(CONTROL!$C$32, $C$9, 100%, $E$9)</f>
        <v>23.235600000000002</v>
      </c>
      <c r="J691" s="33">
        <f>23.2303 * CHOOSE(CONTROL!$C$32, $C$9, 100%, $E$9)</f>
        <v>23.2303</v>
      </c>
      <c r="K691" s="33">
        <f>23.2356 * CHOOSE(CONTROL!$C$32, $C$9, 100%, $E$9)</f>
        <v>23.235600000000002</v>
      </c>
      <c r="L691" s="33">
        <f>11.5497 * CHOOSE(CONTROL!$C$32, $C$9, 100%, $E$9)</f>
        <v>11.5497</v>
      </c>
      <c r="M691" s="33">
        <f>11.555 * CHOOSE(CONTROL!$C$32, $C$9, 100%, $E$9)</f>
        <v>11.555</v>
      </c>
      <c r="N691" s="33">
        <f>11.5497 * CHOOSE(CONTROL!$C$32, $C$9, 100%, $E$9)</f>
        <v>11.5497</v>
      </c>
      <c r="O691" s="33">
        <f>11.555 * CHOOSE(CONTROL!$C$32, $C$9, 100%, $E$9)</f>
        <v>11.555</v>
      </c>
    </row>
    <row r="692" spans="1:15" ht="15" x14ac:dyDescent="0.2">
      <c r="A692" s="16">
        <v>62275</v>
      </c>
      <c r="B692" s="32">
        <f>10.2605 * CHOOSE(CONTROL!$C$32, $C$9, 100%, $E$9)</f>
        <v>10.2605</v>
      </c>
      <c r="C692" s="32">
        <f>10.2605 * CHOOSE(CONTROL!$C$32, $C$9, 100%, $E$9)</f>
        <v>10.2605</v>
      </c>
      <c r="D692" s="32">
        <f>10.2621 * CHOOSE(CONTROL!$C$32, $C$9, 100%, $E$9)</f>
        <v>10.2621</v>
      </c>
      <c r="E692" s="33">
        <f>11.7117 * CHOOSE(CONTROL!$C$32, $C$9, 100%, $E$9)</f>
        <v>11.7117</v>
      </c>
      <c r="F692" s="33">
        <f>11.7117 * CHOOSE(CONTROL!$C$32, $C$9, 100%, $E$9)</f>
        <v>11.7117</v>
      </c>
      <c r="G692" s="33">
        <f>11.717 * CHOOSE(CONTROL!$C$32, $C$9, 100%, $E$9)</f>
        <v>11.717000000000001</v>
      </c>
      <c r="H692" s="33">
        <f>23.2787 * CHOOSE(CONTROL!$C$32, $C$9, 100%, $E$9)</f>
        <v>23.278700000000001</v>
      </c>
      <c r="I692" s="33">
        <f>23.284 * CHOOSE(CONTROL!$C$32, $C$9, 100%, $E$9)</f>
        <v>23.283999999999999</v>
      </c>
      <c r="J692" s="33">
        <f>23.2787 * CHOOSE(CONTROL!$C$32, $C$9, 100%, $E$9)</f>
        <v>23.278700000000001</v>
      </c>
      <c r="K692" s="33">
        <f>23.284 * CHOOSE(CONTROL!$C$32, $C$9, 100%, $E$9)</f>
        <v>23.283999999999999</v>
      </c>
      <c r="L692" s="33">
        <f>11.7117 * CHOOSE(CONTROL!$C$32, $C$9, 100%, $E$9)</f>
        <v>11.7117</v>
      </c>
      <c r="M692" s="33">
        <f>11.717 * CHOOSE(CONTROL!$C$32, $C$9, 100%, $E$9)</f>
        <v>11.717000000000001</v>
      </c>
      <c r="N692" s="33">
        <f>11.7117 * CHOOSE(CONTROL!$C$32, $C$9, 100%, $E$9)</f>
        <v>11.7117</v>
      </c>
      <c r="O692" s="33">
        <f>11.717 * CHOOSE(CONTROL!$C$32, $C$9, 100%, $E$9)</f>
        <v>11.717000000000001</v>
      </c>
    </row>
    <row r="693" spans="1:15" ht="15" x14ac:dyDescent="0.2">
      <c r="A693" s="16">
        <v>62306</v>
      </c>
      <c r="B693" s="32">
        <f>10.2672 * CHOOSE(CONTROL!$C$32, $C$9, 100%, $E$9)</f>
        <v>10.267200000000001</v>
      </c>
      <c r="C693" s="32">
        <f>10.2672 * CHOOSE(CONTROL!$C$32, $C$9, 100%, $E$9)</f>
        <v>10.267200000000001</v>
      </c>
      <c r="D693" s="32">
        <f>10.2688 * CHOOSE(CONTROL!$C$32, $C$9, 100%, $E$9)</f>
        <v>10.268800000000001</v>
      </c>
      <c r="E693" s="33">
        <f>11.4412 * CHOOSE(CONTROL!$C$32, $C$9, 100%, $E$9)</f>
        <v>11.4412</v>
      </c>
      <c r="F693" s="33">
        <f>11.4412 * CHOOSE(CONTROL!$C$32, $C$9, 100%, $E$9)</f>
        <v>11.4412</v>
      </c>
      <c r="G693" s="33">
        <f>11.4465 * CHOOSE(CONTROL!$C$32, $C$9, 100%, $E$9)</f>
        <v>11.4465</v>
      </c>
      <c r="H693" s="33">
        <f>23.3272 * CHOOSE(CONTROL!$C$32, $C$9, 100%, $E$9)</f>
        <v>23.327200000000001</v>
      </c>
      <c r="I693" s="33">
        <f>23.3325 * CHOOSE(CONTROL!$C$32, $C$9, 100%, $E$9)</f>
        <v>23.3325</v>
      </c>
      <c r="J693" s="33">
        <f>23.3272 * CHOOSE(CONTROL!$C$32, $C$9, 100%, $E$9)</f>
        <v>23.327200000000001</v>
      </c>
      <c r="K693" s="33">
        <f>23.3325 * CHOOSE(CONTROL!$C$32, $C$9, 100%, $E$9)</f>
        <v>23.3325</v>
      </c>
      <c r="L693" s="33">
        <f>11.4412 * CHOOSE(CONTROL!$C$32, $C$9, 100%, $E$9)</f>
        <v>11.4412</v>
      </c>
      <c r="M693" s="33">
        <f>11.4465 * CHOOSE(CONTROL!$C$32, $C$9, 100%, $E$9)</f>
        <v>11.4465</v>
      </c>
      <c r="N693" s="33">
        <f>11.4412 * CHOOSE(CONTROL!$C$32, $C$9, 100%, $E$9)</f>
        <v>11.4412</v>
      </c>
      <c r="O693" s="33">
        <f>11.4465 * CHOOSE(CONTROL!$C$32, $C$9, 100%, $E$9)</f>
        <v>11.4465</v>
      </c>
    </row>
    <row r="694" spans="1:15" ht="15" x14ac:dyDescent="0.2">
      <c r="A694" s="16">
        <v>62337</v>
      </c>
      <c r="B694" s="32">
        <f>10.2642 * CHOOSE(CONTROL!$C$32, $C$9, 100%, $E$9)</f>
        <v>10.264200000000001</v>
      </c>
      <c r="C694" s="32">
        <f>10.2642 * CHOOSE(CONTROL!$C$32, $C$9, 100%, $E$9)</f>
        <v>10.264200000000001</v>
      </c>
      <c r="D694" s="32">
        <f>10.2657 * CHOOSE(CONTROL!$C$32, $C$9, 100%, $E$9)</f>
        <v>10.265700000000001</v>
      </c>
      <c r="E694" s="33">
        <f>11.4085 * CHOOSE(CONTROL!$C$32, $C$9, 100%, $E$9)</f>
        <v>11.4085</v>
      </c>
      <c r="F694" s="33">
        <f>11.4085 * CHOOSE(CONTROL!$C$32, $C$9, 100%, $E$9)</f>
        <v>11.4085</v>
      </c>
      <c r="G694" s="33">
        <f>11.4138 * CHOOSE(CONTROL!$C$32, $C$9, 100%, $E$9)</f>
        <v>11.4138</v>
      </c>
      <c r="H694" s="33">
        <f>23.3758 * CHOOSE(CONTROL!$C$32, $C$9, 100%, $E$9)</f>
        <v>23.375800000000002</v>
      </c>
      <c r="I694" s="33">
        <f>23.3811 * CHOOSE(CONTROL!$C$32, $C$9, 100%, $E$9)</f>
        <v>23.3811</v>
      </c>
      <c r="J694" s="33">
        <f>23.3758 * CHOOSE(CONTROL!$C$32, $C$9, 100%, $E$9)</f>
        <v>23.375800000000002</v>
      </c>
      <c r="K694" s="33">
        <f>23.3811 * CHOOSE(CONTROL!$C$32, $C$9, 100%, $E$9)</f>
        <v>23.3811</v>
      </c>
      <c r="L694" s="33">
        <f>11.4085 * CHOOSE(CONTROL!$C$32, $C$9, 100%, $E$9)</f>
        <v>11.4085</v>
      </c>
      <c r="M694" s="33">
        <f>11.4138 * CHOOSE(CONTROL!$C$32, $C$9, 100%, $E$9)</f>
        <v>11.4138</v>
      </c>
      <c r="N694" s="33">
        <f>11.4085 * CHOOSE(CONTROL!$C$32, $C$9, 100%, $E$9)</f>
        <v>11.4085</v>
      </c>
      <c r="O694" s="33">
        <f>11.4138 * CHOOSE(CONTROL!$C$32, $C$9, 100%, $E$9)</f>
        <v>11.4138</v>
      </c>
    </row>
    <row r="695" spans="1:15" ht="15" x14ac:dyDescent="0.2">
      <c r="A695" s="16">
        <v>62367</v>
      </c>
      <c r="B695" s="32">
        <f>10.2826 * CHOOSE(CONTROL!$C$32, $C$9, 100%, $E$9)</f>
        <v>10.2826</v>
      </c>
      <c r="C695" s="32">
        <f>10.2826 * CHOOSE(CONTROL!$C$32, $C$9, 100%, $E$9)</f>
        <v>10.2826</v>
      </c>
      <c r="D695" s="32">
        <f>10.2837 * CHOOSE(CONTROL!$C$32, $C$9, 100%, $E$9)</f>
        <v>10.2837</v>
      </c>
      <c r="E695" s="33">
        <f>11.5173 * CHOOSE(CONTROL!$C$32, $C$9, 100%, $E$9)</f>
        <v>11.517300000000001</v>
      </c>
      <c r="F695" s="33">
        <f>11.5173 * CHOOSE(CONTROL!$C$32, $C$9, 100%, $E$9)</f>
        <v>11.517300000000001</v>
      </c>
      <c r="G695" s="33">
        <f>11.521 * CHOOSE(CONTROL!$C$32, $C$9, 100%, $E$9)</f>
        <v>11.521000000000001</v>
      </c>
      <c r="H695" s="33">
        <f>23.4245 * CHOOSE(CONTROL!$C$32, $C$9, 100%, $E$9)</f>
        <v>23.424499999999998</v>
      </c>
      <c r="I695" s="33">
        <f>23.4281 * CHOOSE(CONTROL!$C$32, $C$9, 100%, $E$9)</f>
        <v>23.428100000000001</v>
      </c>
      <c r="J695" s="33">
        <f>23.4245 * CHOOSE(CONTROL!$C$32, $C$9, 100%, $E$9)</f>
        <v>23.424499999999998</v>
      </c>
      <c r="K695" s="33">
        <f>23.4281 * CHOOSE(CONTROL!$C$32, $C$9, 100%, $E$9)</f>
        <v>23.428100000000001</v>
      </c>
      <c r="L695" s="33">
        <f>11.5173 * CHOOSE(CONTROL!$C$32, $C$9, 100%, $E$9)</f>
        <v>11.517300000000001</v>
      </c>
      <c r="M695" s="33">
        <f>11.521 * CHOOSE(CONTROL!$C$32, $C$9, 100%, $E$9)</f>
        <v>11.521000000000001</v>
      </c>
      <c r="N695" s="33">
        <f>11.5173 * CHOOSE(CONTROL!$C$32, $C$9, 100%, $E$9)</f>
        <v>11.517300000000001</v>
      </c>
      <c r="O695" s="33">
        <f>11.521 * CHOOSE(CONTROL!$C$32, $C$9, 100%, $E$9)</f>
        <v>11.521000000000001</v>
      </c>
    </row>
    <row r="696" spans="1:15" ht="15" x14ac:dyDescent="0.2">
      <c r="A696" s="16">
        <v>62398</v>
      </c>
      <c r="B696" s="32">
        <f>10.2857 * CHOOSE(CONTROL!$C$32, $C$9, 100%, $E$9)</f>
        <v>10.2857</v>
      </c>
      <c r="C696" s="32">
        <f>10.2857 * CHOOSE(CONTROL!$C$32, $C$9, 100%, $E$9)</f>
        <v>10.2857</v>
      </c>
      <c r="D696" s="32">
        <f>10.2867 * CHOOSE(CONTROL!$C$32, $C$9, 100%, $E$9)</f>
        <v>10.2867</v>
      </c>
      <c r="E696" s="33">
        <f>11.5806 * CHOOSE(CONTROL!$C$32, $C$9, 100%, $E$9)</f>
        <v>11.5806</v>
      </c>
      <c r="F696" s="33">
        <f>11.5806 * CHOOSE(CONTROL!$C$32, $C$9, 100%, $E$9)</f>
        <v>11.5806</v>
      </c>
      <c r="G696" s="33">
        <f>11.5842 * CHOOSE(CONTROL!$C$32, $C$9, 100%, $E$9)</f>
        <v>11.584199999999999</v>
      </c>
      <c r="H696" s="33">
        <f>23.4733 * CHOOSE(CONTROL!$C$32, $C$9, 100%, $E$9)</f>
        <v>23.473299999999998</v>
      </c>
      <c r="I696" s="33">
        <f>23.4769 * CHOOSE(CONTROL!$C$32, $C$9, 100%, $E$9)</f>
        <v>23.476900000000001</v>
      </c>
      <c r="J696" s="33">
        <f>23.4733 * CHOOSE(CONTROL!$C$32, $C$9, 100%, $E$9)</f>
        <v>23.473299999999998</v>
      </c>
      <c r="K696" s="33">
        <f>23.4769 * CHOOSE(CONTROL!$C$32, $C$9, 100%, $E$9)</f>
        <v>23.476900000000001</v>
      </c>
      <c r="L696" s="33">
        <f>11.5806 * CHOOSE(CONTROL!$C$32, $C$9, 100%, $E$9)</f>
        <v>11.5806</v>
      </c>
      <c r="M696" s="33">
        <f>11.5842 * CHOOSE(CONTROL!$C$32, $C$9, 100%, $E$9)</f>
        <v>11.584199999999999</v>
      </c>
      <c r="N696" s="33">
        <f>11.5806 * CHOOSE(CONTROL!$C$32, $C$9, 100%, $E$9)</f>
        <v>11.5806</v>
      </c>
      <c r="O696" s="33">
        <f>11.5842 * CHOOSE(CONTROL!$C$32, $C$9, 100%, $E$9)</f>
        <v>11.584199999999999</v>
      </c>
    </row>
    <row r="697" spans="1:15" ht="15" x14ac:dyDescent="0.2">
      <c r="A697" s="16">
        <v>62428</v>
      </c>
      <c r="B697" s="32">
        <f>10.2857 * CHOOSE(CONTROL!$C$32, $C$9, 100%, $E$9)</f>
        <v>10.2857</v>
      </c>
      <c r="C697" s="32">
        <f>10.2857 * CHOOSE(CONTROL!$C$32, $C$9, 100%, $E$9)</f>
        <v>10.2857</v>
      </c>
      <c r="D697" s="32">
        <f>10.2867 * CHOOSE(CONTROL!$C$32, $C$9, 100%, $E$9)</f>
        <v>10.2867</v>
      </c>
      <c r="E697" s="33">
        <f>11.4277 * CHOOSE(CONTROL!$C$32, $C$9, 100%, $E$9)</f>
        <v>11.4277</v>
      </c>
      <c r="F697" s="33">
        <f>11.4277 * CHOOSE(CONTROL!$C$32, $C$9, 100%, $E$9)</f>
        <v>11.4277</v>
      </c>
      <c r="G697" s="33">
        <f>11.4314 * CHOOSE(CONTROL!$C$32, $C$9, 100%, $E$9)</f>
        <v>11.4314</v>
      </c>
      <c r="H697" s="33">
        <f>23.5222 * CHOOSE(CONTROL!$C$32, $C$9, 100%, $E$9)</f>
        <v>23.522200000000002</v>
      </c>
      <c r="I697" s="33">
        <f>23.5258 * CHOOSE(CONTROL!$C$32, $C$9, 100%, $E$9)</f>
        <v>23.5258</v>
      </c>
      <c r="J697" s="33">
        <f>23.5222 * CHOOSE(CONTROL!$C$32, $C$9, 100%, $E$9)</f>
        <v>23.522200000000002</v>
      </c>
      <c r="K697" s="33">
        <f>23.5258 * CHOOSE(CONTROL!$C$32, $C$9, 100%, $E$9)</f>
        <v>23.5258</v>
      </c>
      <c r="L697" s="33">
        <f>11.4277 * CHOOSE(CONTROL!$C$32, $C$9, 100%, $E$9)</f>
        <v>11.4277</v>
      </c>
      <c r="M697" s="33">
        <f>11.4314 * CHOOSE(CONTROL!$C$32, $C$9, 100%, $E$9)</f>
        <v>11.4314</v>
      </c>
      <c r="N697" s="33">
        <f>11.4277 * CHOOSE(CONTROL!$C$32, $C$9, 100%, $E$9)</f>
        <v>11.4277</v>
      </c>
      <c r="O697" s="33">
        <f>11.4314 * CHOOSE(CONTROL!$C$32, $C$9, 100%, $E$9)</f>
        <v>11.4314</v>
      </c>
    </row>
    <row r="698" spans="1:15" ht="15" x14ac:dyDescent="0.2">
      <c r="A698" s="16">
        <v>62459</v>
      </c>
      <c r="B698" s="32">
        <f>10.3184 * CHOOSE(CONTROL!$C$32, $C$9, 100%, $E$9)</f>
        <v>10.3184</v>
      </c>
      <c r="C698" s="32">
        <f>10.3184 * CHOOSE(CONTROL!$C$32, $C$9, 100%, $E$9)</f>
        <v>10.3184</v>
      </c>
      <c r="D698" s="32">
        <f>10.3195 * CHOOSE(CONTROL!$C$32, $C$9, 100%, $E$9)</f>
        <v>10.3195</v>
      </c>
      <c r="E698" s="33">
        <f>11.583 * CHOOSE(CONTROL!$C$32, $C$9, 100%, $E$9)</f>
        <v>11.583</v>
      </c>
      <c r="F698" s="33">
        <f>11.583 * CHOOSE(CONTROL!$C$32, $C$9, 100%, $E$9)</f>
        <v>11.583</v>
      </c>
      <c r="G698" s="33">
        <f>11.5866 * CHOOSE(CONTROL!$C$32, $C$9, 100%, $E$9)</f>
        <v>11.586600000000001</v>
      </c>
      <c r="H698" s="33">
        <f>23.4539 * CHOOSE(CONTROL!$C$32, $C$9, 100%, $E$9)</f>
        <v>23.453900000000001</v>
      </c>
      <c r="I698" s="33">
        <f>23.4575 * CHOOSE(CONTROL!$C$32, $C$9, 100%, $E$9)</f>
        <v>23.4575</v>
      </c>
      <c r="J698" s="33">
        <f>23.4539 * CHOOSE(CONTROL!$C$32, $C$9, 100%, $E$9)</f>
        <v>23.453900000000001</v>
      </c>
      <c r="K698" s="33">
        <f>23.4575 * CHOOSE(CONTROL!$C$32, $C$9, 100%, $E$9)</f>
        <v>23.4575</v>
      </c>
      <c r="L698" s="33">
        <f>11.583 * CHOOSE(CONTROL!$C$32, $C$9, 100%, $E$9)</f>
        <v>11.583</v>
      </c>
      <c r="M698" s="33">
        <f>11.5866 * CHOOSE(CONTROL!$C$32, $C$9, 100%, $E$9)</f>
        <v>11.586600000000001</v>
      </c>
      <c r="N698" s="33">
        <f>11.583 * CHOOSE(CONTROL!$C$32, $C$9, 100%, $E$9)</f>
        <v>11.583</v>
      </c>
      <c r="O698" s="33">
        <f>11.5866 * CHOOSE(CONTROL!$C$32, $C$9, 100%, $E$9)</f>
        <v>11.586600000000001</v>
      </c>
    </row>
    <row r="699" spans="1:15" ht="15" x14ac:dyDescent="0.2">
      <c r="A699" s="16">
        <v>62490</v>
      </c>
      <c r="B699" s="32">
        <f>10.3154 * CHOOSE(CONTROL!$C$32, $C$9, 100%, $E$9)</f>
        <v>10.3154</v>
      </c>
      <c r="C699" s="32">
        <f>10.3154 * CHOOSE(CONTROL!$C$32, $C$9, 100%, $E$9)</f>
        <v>10.3154</v>
      </c>
      <c r="D699" s="32">
        <f>10.3165 * CHOOSE(CONTROL!$C$32, $C$9, 100%, $E$9)</f>
        <v>10.3165</v>
      </c>
      <c r="E699" s="33">
        <f>11.2849 * CHOOSE(CONTROL!$C$32, $C$9, 100%, $E$9)</f>
        <v>11.2849</v>
      </c>
      <c r="F699" s="33">
        <f>11.2849 * CHOOSE(CONTROL!$C$32, $C$9, 100%, $E$9)</f>
        <v>11.2849</v>
      </c>
      <c r="G699" s="33">
        <f>11.2885 * CHOOSE(CONTROL!$C$32, $C$9, 100%, $E$9)</f>
        <v>11.288500000000001</v>
      </c>
      <c r="H699" s="33">
        <f>23.5027 * CHOOSE(CONTROL!$C$32, $C$9, 100%, $E$9)</f>
        <v>23.502700000000001</v>
      </c>
      <c r="I699" s="33">
        <f>23.5064 * CHOOSE(CONTROL!$C$32, $C$9, 100%, $E$9)</f>
        <v>23.506399999999999</v>
      </c>
      <c r="J699" s="33">
        <f>23.5027 * CHOOSE(CONTROL!$C$32, $C$9, 100%, $E$9)</f>
        <v>23.502700000000001</v>
      </c>
      <c r="K699" s="33">
        <f>23.5064 * CHOOSE(CONTROL!$C$32, $C$9, 100%, $E$9)</f>
        <v>23.506399999999999</v>
      </c>
      <c r="L699" s="33">
        <f>11.2849 * CHOOSE(CONTROL!$C$32, $C$9, 100%, $E$9)</f>
        <v>11.2849</v>
      </c>
      <c r="M699" s="33">
        <f>11.2885 * CHOOSE(CONTROL!$C$32, $C$9, 100%, $E$9)</f>
        <v>11.288500000000001</v>
      </c>
      <c r="N699" s="33">
        <f>11.2849 * CHOOSE(CONTROL!$C$32, $C$9, 100%, $E$9)</f>
        <v>11.2849</v>
      </c>
      <c r="O699" s="33">
        <f>11.2885 * CHOOSE(CONTROL!$C$32, $C$9, 100%, $E$9)</f>
        <v>11.288500000000001</v>
      </c>
    </row>
    <row r="700" spans="1:15" ht="15" x14ac:dyDescent="0.2">
      <c r="A700" s="16">
        <v>62518</v>
      </c>
      <c r="B700" s="32">
        <f>10.3123 * CHOOSE(CONTROL!$C$32, $C$9, 100%, $E$9)</f>
        <v>10.3123</v>
      </c>
      <c r="C700" s="32">
        <f>10.3123 * CHOOSE(CONTROL!$C$32, $C$9, 100%, $E$9)</f>
        <v>10.3123</v>
      </c>
      <c r="D700" s="32">
        <f>10.3134 * CHOOSE(CONTROL!$C$32, $C$9, 100%, $E$9)</f>
        <v>10.3134</v>
      </c>
      <c r="E700" s="33">
        <f>11.5161 * CHOOSE(CONTROL!$C$32, $C$9, 100%, $E$9)</f>
        <v>11.5161</v>
      </c>
      <c r="F700" s="33">
        <f>11.5161 * CHOOSE(CONTROL!$C$32, $C$9, 100%, $E$9)</f>
        <v>11.5161</v>
      </c>
      <c r="G700" s="33">
        <f>11.5198 * CHOOSE(CONTROL!$C$32, $C$9, 100%, $E$9)</f>
        <v>11.5198</v>
      </c>
      <c r="H700" s="33">
        <f>23.5517 * CHOOSE(CONTROL!$C$32, $C$9, 100%, $E$9)</f>
        <v>23.5517</v>
      </c>
      <c r="I700" s="33">
        <f>23.5553 * CHOOSE(CONTROL!$C$32, $C$9, 100%, $E$9)</f>
        <v>23.555299999999999</v>
      </c>
      <c r="J700" s="33">
        <f>23.5517 * CHOOSE(CONTROL!$C$32, $C$9, 100%, $E$9)</f>
        <v>23.5517</v>
      </c>
      <c r="K700" s="33">
        <f>23.5553 * CHOOSE(CONTROL!$C$32, $C$9, 100%, $E$9)</f>
        <v>23.555299999999999</v>
      </c>
      <c r="L700" s="33">
        <f>11.5161 * CHOOSE(CONTROL!$C$32, $C$9, 100%, $E$9)</f>
        <v>11.5161</v>
      </c>
      <c r="M700" s="33">
        <f>11.5198 * CHOOSE(CONTROL!$C$32, $C$9, 100%, $E$9)</f>
        <v>11.5198</v>
      </c>
      <c r="N700" s="33">
        <f>11.5161 * CHOOSE(CONTROL!$C$32, $C$9, 100%, $E$9)</f>
        <v>11.5161</v>
      </c>
      <c r="O700" s="33">
        <f>11.5198 * CHOOSE(CONTROL!$C$32, $C$9, 100%, $E$9)</f>
        <v>11.5198</v>
      </c>
    </row>
    <row r="701" spans="1:15" ht="15" x14ac:dyDescent="0.2">
      <c r="A701" s="16">
        <v>62549</v>
      </c>
      <c r="B701" s="32">
        <f>10.3161 * CHOOSE(CONTROL!$C$32, $C$9, 100%, $E$9)</f>
        <v>10.3161</v>
      </c>
      <c r="C701" s="32">
        <f>10.3161 * CHOOSE(CONTROL!$C$32, $C$9, 100%, $E$9)</f>
        <v>10.3161</v>
      </c>
      <c r="D701" s="32">
        <f>10.3172 * CHOOSE(CONTROL!$C$32, $C$9, 100%, $E$9)</f>
        <v>10.3172</v>
      </c>
      <c r="E701" s="33">
        <f>11.7625 * CHOOSE(CONTROL!$C$32, $C$9, 100%, $E$9)</f>
        <v>11.762499999999999</v>
      </c>
      <c r="F701" s="33">
        <f>11.7625 * CHOOSE(CONTROL!$C$32, $C$9, 100%, $E$9)</f>
        <v>11.762499999999999</v>
      </c>
      <c r="G701" s="33">
        <f>11.7661 * CHOOSE(CONTROL!$C$32, $C$9, 100%, $E$9)</f>
        <v>11.7661</v>
      </c>
      <c r="H701" s="33">
        <f>23.6008 * CHOOSE(CONTROL!$C$32, $C$9, 100%, $E$9)</f>
        <v>23.6008</v>
      </c>
      <c r="I701" s="33">
        <f>23.6044 * CHOOSE(CONTROL!$C$32, $C$9, 100%, $E$9)</f>
        <v>23.604399999999998</v>
      </c>
      <c r="J701" s="33">
        <f>23.6008 * CHOOSE(CONTROL!$C$32, $C$9, 100%, $E$9)</f>
        <v>23.6008</v>
      </c>
      <c r="K701" s="33">
        <f>23.6044 * CHOOSE(CONTROL!$C$32, $C$9, 100%, $E$9)</f>
        <v>23.604399999999998</v>
      </c>
      <c r="L701" s="33">
        <f>11.7625 * CHOOSE(CONTROL!$C$32, $C$9, 100%, $E$9)</f>
        <v>11.762499999999999</v>
      </c>
      <c r="M701" s="33">
        <f>11.7661 * CHOOSE(CONTROL!$C$32, $C$9, 100%, $E$9)</f>
        <v>11.7661</v>
      </c>
      <c r="N701" s="33">
        <f>11.7625 * CHOOSE(CONTROL!$C$32, $C$9, 100%, $E$9)</f>
        <v>11.762499999999999</v>
      </c>
      <c r="O701" s="33">
        <f>11.7661 * CHOOSE(CONTROL!$C$32, $C$9, 100%, $E$9)</f>
        <v>11.7661</v>
      </c>
    </row>
    <row r="702" spans="1:15" ht="15" x14ac:dyDescent="0.2">
      <c r="A702" s="16">
        <v>62579</v>
      </c>
      <c r="B702" s="32">
        <f>10.3161 * CHOOSE(CONTROL!$C$32, $C$9, 100%, $E$9)</f>
        <v>10.3161</v>
      </c>
      <c r="C702" s="32">
        <f>10.3161 * CHOOSE(CONTROL!$C$32, $C$9, 100%, $E$9)</f>
        <v>10.3161</v>
      </c>
      <c r="D702" s="32">
        <f>10.3177 * CHOOSE(CONTROL!$C$32, $C$9, 100%, $E$9)</f>
        <v>10.3177</v>
      </c>
      <c r="E702" s="33">
        <f>11.8565 * CHOOSE(CONTROL!$C$32, $C$9, 100%, $E$9)</f>
        <v>11.8565</v>
      </c>
      <c r="F702" s="33">
        <f>11.8565 * CHOOSE(CONTROL!$C$32, $C$9, 100%, $E$9)</f>
        <v>11.8565</v>
      </c>
      <c r="G702" s="33">
        <f>11.8618 * CHOOSE(CONTROL!$C$32, $C$9, 100%, $E$9)</f>
        <v>11.861800000000001</v>
      </c>
      <c r="H702" s="33">
        <f>23.6499 * CHOOSE(CONTROL!$C$32, $C$9, 100%, $E$9)</f>
        <v>23.649899999999999</v>
      </c>
      <c r="I702" s="33">
        <f>23.6552 * CHOOSE(CONTROL!$C$32, $C$9, 100%, $E$9)</f>
        <v>23.655200000000001</v>
      </c>
      <c r="J702" s="33">
        <f>23.6499 * CHOOSE(CONTROL!$C$32, $C$9, 100%, $E$9)</f>
        <v>23.649899999999999</v>
      </c>
      <c r="K702" s="33">
        <f>23.6552 * CHOOSE(CONTROL!$C$32, $C$9, 100%, $E$9)</f>
        <v>23.655200000000001</v>
      </c>
      <c r="L702" s="33">
        <f>11.8565 * CHOOSE(CONTROL!$C$32, $C$9, 100%, $E$9)</f>
        <v>11.8565</v>
      </c>
      <c r="M702" s="33">
        <f>11.8618 * CHOOSE(CONTROL!$C$32, $C$9, 100%, $E$9)</f>
        <v>11.861800000000001</v>
      </c>
      <c r="N702" s="33">
        <f>11.8565 * CHOOSE(CONTROL!$C$32, $C$9, 100%, $E$9)</f>
        <v>11.8565</v>
      </c>
      <c r="O702" s="33">
        <f>11.8618 * CHOOSE(CONTROL!$C$32, $C$9, 100%, $E$9)</f>
        <v>11.861800000000001</v>
      </c>
    </row>
    <row r="703" spans="1:15" ht="15" x14ac:dyDescent="0.2">
      <c r="A703" s="16">
        <v>62610</v>
      </c>
      <c r="B703" s="32">
        <f>10.3222 * CHOOSE(CONTROL!$C$32, $C$9, 100%, $E$9)</f>
        <v>10.3222</v>
      </c>
      <c r="C703" s="32">
        <f>10.3222 * CHOOSE(CONTROL!$C$32, $C$9, 100%, $E$9)</f>
        <v>10.3222</v>
      </c>
      <c r="D703" s="32">
        <f>10.3238 * CHOOSE(CONTROL!$C$32, $C$9, 100%, $E$9)</f>
        <v>10.3238</v>
      </c>
      <c r="E703" s="33">
        <f>11.7667 * CHOOSE(CONTROL!$C$32, $C$9, 100%, $E$9)</f>
        <v>11.7667</v>
      </c>
      <c r="F703" s="33">
        <f>11.7667 * CHOOSE(CONTROL!$C$32, $C$9, 100%, $E$9)</f>
        <v>11.7667</v>
      </c>
      <c r="G703" s="33">
        <f>11.772 * CHOOSE(CONTROL!$C$32, $C$9, 100%, $E$9)</f>
        <v>11.772</v>
      </c>
      <c r="H703" s="33">
        <f>23.6992 * CHOOSE(CONTROL!$C$32, $C$9, 100%, $E$9)</f>
        <v>23.699200000000001</v>
      </c>
      <c r="I703" s="33">
        <f>23.7045 * CHOOSE(CONTROL!$C$32, $C$9, 100%, $E$9)</f>
        <v>23.704499999999999</v>
      </c>
      <c r="J703" s="33">
        <f>23.6992 * CHOOSE(CONTROL!$C$32, $C$9, 100%, $E$9)</f>
        <v>23.699200000000001</v>
      </c>
      <c r="K703" s="33">
        <f>23.7045 * CHOOSE(CONTROL!$C$32, $C$9, 100%, $E$9)</f>
        <v>23.704499999999999</v>
      </c>
      <c r="L703" s="33">
        <f>11.7667 * CHOOSE(CONTROL!$C$32, $C$9, 100%, $E$9)</f>
        <v>11.7667</v>
      </c>
      <c r="M703" s="33">
        <f>11.772 * CHOOSE(CONTROL!$C$32, $C$9, 100%, $E$9)</f>
        <v>11.772</v>
      </c>
      <c r="N703" s="33">
        <f>11.7667 * CHOOSE(CONTROL!$C$32, $C$9, 100%, $E$9)</f>
        <v>11.7667</v>
      </c>
      <c r="O703" s="33">
        <f>11.772 * CHOOSE(CONTROL!$C$32, $C$9, 100%, $E$9)</f>
        <v>11.772</v>
      </c>
    </row>
    <row r="704" spans="1:15" ht="15" x14ac:dyDescent="0.2">
      <c r="A704" s="16">
        <v>62640</v>
      </c>
      <c r="B704" s="32">
        <f>10.4501 * CHOOSE(CONTROL!$C$32, $C$9, 100%, $E$9)</f>
        <v>10.450100000000001</v>
      </c>
      <c r="C704" s="32">
        <f>10.4501 * CHOOSE(CONTROL!$C$32, $C$9, 100%, $E$9)</f>
        <v>10.450100000000001</v>
      </c>
      <c r="D704" s="32">
        <f>10.4517 * CHOOSE(CONTROL!$C$32, $C$9, 100%, $E$9)</f>
        <v>10.451700000000001</v>
      </c>
      <c r="E704" s="33">
        <f>11.9319 * CHOOSE(CONTROL!$C$32, $C$9, 100%, $E$9)</f>
        <v>11.931900000000001</v>
      </c>
      <c r="F704" s="33">
        <f>11.9319 * CHOOSE(CONTROL!$C$32, $C$9, 100%, $E$9)</f>
        <v>11.931900000000001</v>
      </c>
      <c r="G704" s="33">
        <f>11.9371 * CHOOSE(CONTROL!$C$32, $C$9, 100%, $E$9)</f>
        <v>11.937099999999999</v>
      </c>
      <c r="H704" s="33">
        <f>23.7486 * CHOOSE(CONTROL!$C$32, $C$9, 100%, $E$9)</f>
        <v>23.7486</v>
      </c>
      <c r="I704" s="33">
        <f>23.7539 * CHOOSE(CONTROL!$C$32, $C$9, 100%, $E$9)</f>
        <v>23.753900000000002</v>
      </c>
      <c r="J704" s="33">
        <f>23.7486 * CHOOSE(CONTROL!$C$32, $C$9, 100%, $E$9)</f>
        <v>23.7486</v>
      </c>
      <c r="K704" s="33">
        <f>23.7539 * CHOOSE(CONTROL!$C$32, $C$9, 100%, $E$9)</f>
        <v>23.753900000000002</v>
      </c>
      <c r="L704" s="33">
        <f>11.9319 * CHOOSE(CONTROL!$C$32, $C$9, 100%, $E$9)</f>
        <v>11.931900000000001</v>
      </c>
      <c r="M704" s="33">
        <f>11.9371 * CHOOSE(CONTROL!$C$32, $C$9, 100%, $E$9)</f>
        <v>11.937099999999999</v>
      </c>
      <c r="N704" s="33">
        <f>11.9319 * CHOOSE(CONTROL!$C$32, $C$9, 100%, $E$9)</f>
        <v>11.931900000000001</v>
      </c>
      <c r="O704" s="33">
        <f>11.9371 * CHOOSE(CONTROL!$C$32, $C$9, 100%, $E$9)</f>
        <v>11.937099999999999</v>
      </c>
    </row>
    <row r="705" spans="1:15" ht="15" x14ac:dyDescent="0.2">
      <c r="A705" s="16">
        <v>62671</v>
      </c>
      <c r="B705" s="32">
        <f>10.4568 * CHOOSE(CONTROL!$C$32, $C$9, 100%, $E$9)</f>
        <v>10.456799999999999</v>
      </c>
      <c r="C705" s="32">
        <f>10.4568 * CHOOSE(CONTROL!$C$32, $C$9, 100%, $E$9)</f>
        <v>10.456799999999999</v>
      </c>
      <c r="D705" s="32">
        <f>10.4584 * CHOOSE(CONTROL!$C$32, $C$9, 100%, $E$9)</f>
        <v>10.458399999999999</v>
      </c>
      <c r="E705" s="33">
        <f>11.6546 * CHOOSE(CONTROL!$C$32, $C$9, 100%, $E$9)</f>
        <v>11.6546</v>
      </c>
      <c r="F705" s="33">
        <f>11.6546 * CHOOSE(CONTROL!$C$32, $C$9, 100%, $E$9)</f>
        <v>11.6546</v>
      </c>
      <c r="G705" s="33">
        <f>11.6599 * CHOOSE(CONTROL!$C$32, $C$9, 100%, $E$9)</f>
        <v>11.6599</v>
      </c>
      <c r="H705" s="33">
        <f>23.7981 * CHOOSE(CONTROL!$C$32, $C$9, 100%, $E$9)</f>
        <v>23.798100000000002</v>
      </c>
      <c r="I705" s="33">
        <f>23.8034 * CHOOSE(CONTROL!$C$32, $C$9, 100%, $E$9)</f>
        <v>23.8034</v>
      </c>
      <c r="J705" s="33">
        <f>23.7981 * CHOOSE(CONTROL!$C$32, $C$9, 100%, $E$9)</f>
        <v>23.798100000000002</v>
      </c>
      <c r="K705" s="33">
        <f>23.8034 * CHOOSE(CONTROL!$C$32, $C$9, 100%, $E$9)</f>
        <v>23.8034</v>
      </c>
      <c r="L705" s="33">
        <f>11.6546 * CHOOSE(CONTROL!$C$32, $C$9, 100%, $E$9)</f>
        <v>11.6546</v>
      </c>
      <c r="M705" s="33">
        <f>11.6599 * CHOOSE(CONTROL!$C$32, $C$9, 100%, $E$9)</f>
        <v>11.6599</v>
      </c>
      <c r="N705" s="33">
        <f>11.6546 * CHOOSE(CONTROL!$C$32, $C$9, 100%, $E$9)</f>
        <v>11.6546</v>
      </c>
      <c r="O705" s="33">
        <f>11.6599 * CHOOSE(CONTROL!$C$32, $C$9, 100%, $E$9)</f>
        <v>11.6599</v>
      </c>
    </row>
    <row r="706" spans="1:15" ht="15" x14ac:dyDescent="0.2">
      <c r="A706" s="16">
        <v>62702</v>
      </c>
      <c r="B706" s="32">
        <f>10.4538 * CHOOSE(CONTROL!$C$32, $C$9, 100%, $E$9)</f>
        <v>10.453799999999999</v>
      </c>
      <c r="C706" s="32">
        <f>10.4538 * CHOOSE(CONTROL!$C$32, $C$9, 100%, $E$9)</f>
        <v>10.453799999999999</v>
      </c>
      <c r="D706" s="32">
        <f>10.4553 * CHOOSE(CONTROL!$C$32, $C$9, 100%, $E$9)</f>
        <v>10.455299999999999</v>
      </c>
      <c r="E706" s="33">
        <f>11.6211 * CHOOSE(CONTROL!$C$32, $C$9, 100%, $E$9)</f>
        <v>11.6211</v>
      </c>
      <c r="F706" s="33">
        <f>11.6211 * CHOOSE(CONTROL!$C$32, $C$9, 100%, $E$9)</f>
        <v>11.6211</v>
      </c>
      <c r="G706" s="33">
        <f>11.6264 * CHOOSE(CONTROL!$C$32, $C$9, 100%, $E$9)</f>
        <v>11.6264</v>
      </c>
      <c r="H706" s="33">
        <f>23.8476 * CHOOSE(CONTROL!$C$32, $C$9, 100%, $E$9)</f>
        <v>23.8476</v>
      </c>
      <c r="I706" s="33">
        <f>23.8529 * CHOOSE(CONTROL!$C$32, $C$9, 100%, $E$9)</f>
        <v>23.852900000000002</v>
      </c>
      <c r="J706" s="33">
        <f>23.8476 * CHOOSE(CONTROL!$C$32, $C$9, 100%, $E$9)</f>
        <v>23.8476</v>
      </c>
      <c r="K706" s="33">
        <f>23.8529 * CHOOSE(CONTROL!$C$32, $C$9, 100%, $E$9)</f>
        <v>23.852900000000002</v>
      </c>
      <c r="L706" s="33">
        <f>11.6211 * CHOOSE(CONTROL!$C$32, $C$9, 100%, $E$9)</f>
        <v>11.6211</v>
      </c>
      <c r="M706" s="33">
        <f>11.6264 * CHOOSE(CONTROL!$C$32, $C$9, 100%, $E$9)</f>
        <v>11.6264</v>
      </c>
      <c r="N706" s="33">
        <f>11.6211 * CHOOSE(CONTROL!$C$32, $C$9, 100%, $E$9)</f>
        <v>11.6211</v>
      </c>
      <c r="O706" s="33">
        <f>11.6264 * CHOOSE(CONTROL!$C$32, $C$9, 100%, $E$9)</f>
        <v>11.6264</v>
      </c>
    </row>
    <row r="707" spans="1:15" ht="15" x14ac:dyDescent="0.2">
      <c r="A707" s="16">
        <v>62732</v>
      </c>
      <c r="B707" s="32">
        <f>10.4729 * CHOOSE(CONTROL!$C$32, $C$9, 100%, $E$9)</f>
        <v>10.472899999999999</v>
      </c>
      <c r="C707" s="32">
        <f>10.4729 * CHOOSE(CONTROL!$C$32, $C$9, 100%, $E$9)</f>
        <v>10.472899999999999</v>
      </c>
      <c r="D707" s="32">
        <f>10.474 * CHOOSE(CONTROL!$C$32, $C$9, 100%, $E$9)</f>
        <v>10.474</v>
      </c>
      <c r="E707" s="33">
        <f>11.733 * CHOOSE(CONTROL!$C$32, $C$9, 100%, $E$9)</f>
        <v>11.733000000000001</v>
      </c>
      <c r="F707" s="33">
        <f>11.733 * CHOOSE(CONTROL!$C$32, $C$9, 100%, $E$9)</f>
        <v>11.733000000000001</v>
      </c>
      <c r="G707" s="33">
        <f>11.7366 * CHOOSE(CONTROL!$C$32, $C$9, 100%, $E$9)</f>
        <v>11.736599999999999</v>
      </c>
      <c r="H707" s="33">
        <f>23.8973 * CHOOSE(CONTROL!$C$32, $C$9, 100%, $E$9)</f>
        <v>23.897300000000001</v>
      </c>
      <c r="I707" s="33">
        <f>23.9009 * CHOOSE(CONTROL!$C$32, $C$9, 100%, $E$9)</f>
        <v>23.9009</v>
      </c>
      <c r="J707" s="33">
        <f>23.8973 * CHOOSE(CONTROL!$C$32, $C$9, 100%, $E$9)</f>
        <v>23.897300000000001</v>
      </c>
      <c r="K707" s="33">
        <f>23.9009 * CHOOSE(CONTROL!$C$32, $C$9, 100%, $E$9)</f>
        <v>23.9009</v>
      </c>
      <c r="L707" s="33">
        <f>11.733 * CHOOSE(CONTROL!$C$32, $C$9, 100%, $E$9)</f>
        <v>11.733000000000001</v>
      </c>
      <c r="M707" s="33">
        <f>11.7366 * CHOOSE(CONTROL!$C$32, $C$9, 100%, $E$9)</f>
        <v>11.736599999999999</v>
      </c>
      <c r="N707" s="33">
        <f>11.733 * CHOOSE(CONTROL!$C$32, $C$9, 100%, $E$9)</f>
        <v>11.733000000000001</v>
      </c>
      <c r="O707" s="33">
        <f>11.7366 * CHOOSE(CONTROL!$C$32, $C$9, 100%, $E$9)</f>
        <v>11.736599999999999</v>
      </c>
    </row>
    <row r="708" spans="1:15" ht="15" x14ac:dyDescent="0.2">
      <c r="A708" s="16">
        <v>62763</v>
      </c>
      <c r="B708" s="32">
        <f>10.476 * CHOOSE(CONTROL!$C$32, $C$9, 100%, $E$9)</f>
        <v>10.476000000000001</v>
      </c>
      <c r="C708" s="32">
        <f>10.476 * CHOOSE(CONTROL!$C$32, $C$9, 100%, $E$9)</f>
        <v>10.476000000000001</v>
      </c>
      <c r="D708" s="32">
        <f>10.477 * CHOOSE(CONTROL!$C$32, $C$9, 100%, $E$9)</f>
        <v>10.477</v>
      </c>
      <c r="E708" s="33">
        <f>11.7978 * CHOOSE(CONTROL!$C$32, $C$9, 100%, $E$9)</f>
        <v>11.797800000000001</v>
      </c>
      <c r="F708" s="33">
        <f>11.7978 * CHOOSE(CONTROL!$C$32, $C$9, 100%, $E$9)</f>
        <v>11.797800000000001</v>
      </c>
      <c r="G708" s="33">
        <f>11.8014 * CHOOSE(CONTROL!$C$32, $C$9, 100%, $E$9)</f>
        <v>11.801399999999999</v>
      </c>
      <c r="H708" s="33">
        <f>23.9471 * CHOOSE(CONTROL!$C$32, $C$9, 100%, $E$9)</f>
        <v>23.947099999999999</v>
      </c>
      <c r="I708" s="33">
        <f>23.9507 * CHOOSE(CONTROL!$C$32, $C$9, 100%, $E$9)</f>
        <v>23.950700000000001</v>
      </c>
      <c r="J708" s="33">
        <f>23.9471 * CHOOSE(CONTROL!$C$32, $C$9, 100%, $E$9)</f>
        <v>23.947099999999999</v>
      </c>
      <c r="K708" s="33">
        <f>23.9507 * CHOOSE(CONTROL!$C$32, $C$9, 100%, $E$9)</f>
        <v>23.950700000000001</v>
      </c>
      <c r="L708" s="33">
        <f>11.7978 * CHOOSE(CONTROL!$C$32, $C$9, 100%, $E$9)</f>
        <v>11.797800000000001</v>
      </c>
      <c r="M708" s="33">
        <f>11.8014 * CHOOSE(CONTROL!$C$32, $C$9, 100%, $E$9)</f>
        <v>11.801399999999999</v>
      </c>
      <c r="N708" s="33">
        <f>11.7978 * CHOOSE(CONTROL!$C$32, $C$9, 100%, $E$9)</f>
        <v>11.797800000000001</v>
      </c>
      <c r="O708" s="33">
        <f>11.8014 * CHOOSE(CONTROL!$C$32, $C$9, 100%, $E$9)</f>
        <v>11.801399999999999</v>
      </c>
    </row>
    <row r="709" spans="1:15" ht="15" x14ac:dyDescent="0.2">
      <c r="A709" s="16">
        <v>62793</v>
      </c>
      <c r="B709" s="32">
        <f>10.476 * CHOOSE(CONTROL!$C$32, $C$9, 100%, $E$9)</f>
        <v>10.476000000000001</v>
      </c>
      <c r="C709" s="32">
        <f>10.476 * CHOOSE(CONTROL!$C$32, $C$9, 100%, $E$9)</f>
        <v>10.476000000000001</v>
      </c>
      <c r="D709" s="32">
        <f>10.477 * CHOOSE(CONTROL!$C$32, $C$9, 100%, $E$9)</f>
        <v>10.477</v>
      </c>
      <c r="E709" s="33">
        <f>11.6412 * CHOOSE(CONTROL!$C$32, $C$9, 100%, $E$9)</f>
        <v>11.6412</v>
      </c>
      <c r="F709" s="33">
        <f>11.6412 * CHOOSE(CONTROL!$C$32, $C$9, 100%, $E$9)</f>
        <v>11.6412</v>
      </c>
      <c r="G709" s="33">
        <f>11.6448 * CHOOSE(CONTROL!$C$32, $C$9, 100%, $E$9)</f>
        <v>11.6448</v>
      </c>
      <c r="H709" s="33">
        <f>23.997 * CHOOSE(CONTROL!$C$32, $C$9, 100%, $E$9)</f>
        <v>23.997</v>
      </c>
      <c r="I709" s="33">
        <f>24.0006 * CHOOSE(CONTROL!$C$32, $C$9, 100%, $E$9)</f>
        <v>24.000599999999999</v>
      </c>
      <c r="J709" s="33">
        <f>23.997 * CHOOSE(CONTROL!$C$32, $C$9, 100%, $E$9)</f>
        <v>23.997</v>
      </c>
      <c r="K709" s="33">
        <f>24.0006 * CHOOSE(CONTROL!$C$32, $C$9, 100%, $E$9)</f>
        <v>24.000599999999999</v>
      </c>
      <c r="L709" s="33">
        <f>11.6412 * CHOOSE(CONTROL!$C$32, $C$9, 100%, $E$9)</f>
        <v>11.6412</v>
      </c>
      <c r="M709" s="33">
        <f>11.6448 * CHOOSE(CONTROL!$C$32, $C$9, 100%, $E$9)</f>
        <v>11.6448</v>
      </c>
      <c r="N709" s="33">
        <f>11.6412 * CHOOSE(CONTROL!$C$32, $C$9, 100%, $E$9)</f>
        <v>11.6412</v>
      </c>
      <c r="O709" s="33">
        <f>11.6448 * CHOOSE(CONTROL!$C$32, $C$9, 100%, $E$9)</f>
        <v>11.6448</v>
      </c>
    </row>
    <row r="710" spans="1:15" ht="15" x14ac:dyDescent="0.2">
      <c r="A710" s="16">
        <v>62824</v>
      </c>
      <c r="B710" s="32">
        <f>10.5058 * CHOOSE(CONTROL!$C$32, $C$9, 100%, $E$9)</f>
        <v>10.505800000000001</v>
      </c>
      <c r="C710" s="32">
        <f>10.5058 * CHOOSE(CONTROL!$C$32, $C$9, 100%, $E$9)</f>
        <v>10.505800000000001</v>
      </c>
      <c r="D710" s="32">
        <f>10.5069 * CHOOSE(CONTROL!$C$32, $C$9, 100%, $E$9)</f>
        <v>10.5069</v>
      </c>
      <c r="E710" s="33">
        <f>11.7955 * CHOOSE(CONTROL!$C$32, $C$9, 100%, $E$9)</f>
        <v>11.795500000000001</v>
      </c>
      <c r="F710" s="33">
        <f>11.7955 * CHOOSE(CONTROL!$C$32, $C$9, 100%, $E$9)</f>
        <v>11.795500000000001</v>
      </c>
      <c r="G710" s="33">
        <f>11.7991 * CHOOSE(CONTROL!$C$32, $C$9, 100%, $E$9)</f>
        <v>11.799099999999999</v>
      </c>
      <c r="H710" s="33">
        <f>23.9179 * CHOOSE(CONTROL!$C$32, $C$9, 100%, $E$9)</f>
        <v>23.917899999999999</v>
      </c>
      <c r="I710" s="33">
        <f>23.9215 * CHOOSE(CONTROL!$C$32, $C$9, 100%, $E$9)</f>
        <v>23.921500000000002</v>
      </c>
      <c r="J710" s="33">
        <f>23.9179 * CHOOSE(CONTROL!$C$32, $C$9, 100%, $E$9)</f>
        <v>23.917899999999999</v>
      </c>
      <c r="K710" s="33">
        <f>23.9215 * CHOOSE(CONTROL!$C$32, $C$9, 100%, $E$9)</f>
        <v>23.921500000000002</v>
      </c>
      <c r="L710" s="33">
        <f>11.7955 * CHOOSE(CONTROL!$C$32, $C$9, 100%, $E$9)</f>
        <v>11.795500000000001</v>
      </c>
      <c r="M710" s="33">
        <f>11.7991 * CHOOSE(CONTROL!$C$32, $C$9, 100%, $E$9)</f>
        <v>11.799099999999999</v>
      </c>
      <c r="N710" s="33">
        <f>11.7955 * CHOOSE(CONTROL!$C$32, $C$9, 100%, $E$9)</f>
        <v>11.795500000000001</v>
      </c>
      <c r="O710" s="33">
        <f>11.7991 * CHOOSE(CONTROL!$C$32, $C$9, 100%, $E$9)</f>
        <v>11.799099999999999</v>
      </c>
    </row>
    <row r="711" spans="1:15" ht="15" x14ac:dyDescent="0.2">
      <c r="A711" s="16">
        <v>62855</v>
      </c>
      <c r="B711" s="32">
        <f>10.5027 * CHOOSE(CONTROL!$C$32, $C$9, 100%, $E$9)</f>
        <v>10.502700000000001</v>
      </c>
      <c r="C711" s="32">
        <f>10.5027 * CHOOSE(CONTROL!$C$32, $C$9, 100%, $E$9)</f>
        <v>10.502700000000001</v>
      </c>
      <c r="D711" s="32">
        <f>10.5038 * CHOOSE(CONTROL!$C$32, $C$9, 100%, $E$9)</f>
        <v>10.5038</v>
      </c>
      <c r="E711" s="33">
        <f>11.4903 * CHOOSE(CONTROL!$C$32, $C$9, 100%, $E$9)</f>
        <v>11.4903</v>
      </c>
      <c r="F711" s="33">
        <f>11.4903 * CHOOSE(CONTROL!$C$32, $C$9, 100%, $E$9)</f>
        <v>11.4903</v>
      </c>
      <c r="G711" s="33">
        <f>11.4939 * CHOOSE(CONTROL!$C$32, $C$9, 100%, $E$9)</f>
        <v>11.4939</v>
      </c>
      <c r="H711" s="33">
        <f>23.9677 * CHOOSE(CONTROL!$C$32, $C$9, 100%, $E$9)</f>
        <v>23.967700000000001</v>
      </c>
      <c r="I711" s="33">
        <f>23.9714 * CHOOSE(CONTROL!$C$32, $C$9, 100%, $E$9)</f>
        <v>23.971399999999999</v>
      </c>
      <c r="J711" s="33">
        <f>23.9677 * CHOOSE(CONTROL!$C$32, $C$9, 100%, $E$9)</f>
        <v>23.967700000000001</v>
      </c>
      <c r="K711" s="33">
        <f>23.9714 * CHOOSE(CONTROL!$C$32, $C$9, 100%, $E$9)</f>
        <v>23.971399999999999</v>
      </c>
      <c r="L711" s="33">
        <f>11.4903 * CHOOSE(CONTROL!$C$32, $C$9, 100%, $E$9)</f>
        <v>11.4903</v>
      </c>
      <c r="M711" s="33">
        <f>11.4939 * CHOOSE(CONTROL!$C$32, $C$9, 100%, $E$9)</f>
        <v>11.4939</v>
      </c>
      <c r="N711" s="33">
        <f>11.4903 * CHOOSE(CONTROL!$C$32, $C$9, 100%, $E$9)</f>
        <v>11.4903</v>
      </c>
      <c r="O711" s="33">
        <f>11.4939 * CHOOSE(CONTROL!$C$32, $C$9, 100%, $E$9)</f>
        <v>11.4939</v>
      </c>
    </row>
    <row r="712" spans="1:15" ht="15" x14ac:dyDescent="0.2">
      <c r="A712" s="16">
        <v>62884</v>
      </c>
      <c r="B712" s="32">
        <f>10.4997 * CHOOSE(CONTROL!$C$32, $C$9, 100%, $E$9)</f>
        <v>10.499700000000001</v>
      </c>
      <c r="C712" s="32">
        <f>10.4997 * CHOOSE(CONTROL!$C$32, $C$9, 100%, $E$9)</f>
        <v>10.499700000000001</v>
      </c>
      <c r="D712" s="32">
        <f>10.5008 * CHOOSE(CONTROL!$C$32, $C$9, 100%, $E$9)</f>
        <v>10.5008</v>
      </c>
      <c r="E712" s="33">
        <f>11.7271 * CHOOSE(CONTROL!$C$32, $C$9, 100%, $E$9)</f>
        <v>11.7271</v>
      </c>
      <c r="F712" s="33">
        <f>11.7271 * CHOOSE(CONTROL!$C$32, $C$9, 100%, $E$9)</f>
        <v>11.7271</v>
      </c>
      <c r="G712" s="33">
        <f>11.7308 * CHOOSE(CONTROL!$C$32, $C$9, 100%, $E$9)</f>
        <v>11.7308</v>
      </c>
      <c r="H712" s="33">
        <f>24.0177 * CHOOSE(CONTROL!$C$32, $C$9, 100%, $E$9)</f>
        <v>24.017700000000001</v>
      </c>
      <c r="I712" s="33">
        <f>24.0213 * CHOOSE(CONTROL!$C$32, $C$9, 100%, $E$9)</f>
        <v>24.0213</v>
      </c>
      <c r="J712" s="33">
        <f>24.0177 * CHOOSE(CONTROL!$C$32, $C$9, 100%, $E$9)</f>
        <v>24.017700000000001</v>
      </c>
      <c r="K712" s="33">
        <f>24.0213 * CHOOSE(CONTROL!$C$32, $C$9, 100%, $E$9)</f>
        <v>24.0213</v>
      </c>
      <c r="L712" s="33">
        <f>11.7271 * CHOOSE(CONTROL!$C$32, $C$9, 100%, $E$9)</f>
        <v>11.7271</v>
      </c>
      <c r="M712" s="33">
        <f>11.7308 * CHOOSE(CONTROL!$C$32, $C$9, 100%, $E$9)</f>
        <v>11.7308</v>
      </c>
      <c r="N712" s="33">
        <f>11.7271 * CHOOSE(CONTROL!$C$32, $C$9, 100%, $E$9)</f>
        <v>11.7271</v>
      </c>
      <c r="O712" s="33">
        <f>11.7308 * CHOOSE(CONTROL!$C$32, $C$9, 100%, $E$9)</f>
        <v>11.7308</v>
      </c>
    </row>
    <row r="713" spans="1:15" ht="15" x14ac:dyDescent="0.2">
      <c r="A713" s="16">
        <v>62915</v>
      </c>
      <c r="B713" s="32">
        <f>10.5037 * CHOOSE(CONTROL!$C$32, $C$9, 100%, $E$9)</f>
        <v>10.5037</v>
      </c>
      <c r="C713" s="32">
        <f>10.5037 * CHOOSE(CONTROL!$C$32, $C$9, 100%, $E$9)</f>
        <v>10.5037</v>
      </c>
      <c r="D713" s="32">
        <f>10.5047 * CHOOSE(CONTROL!$C$32, $C$9, 100%, $E$9)</f>
        <v>10.5047</v>
      </c>
      <c r="E713" s="33">
        <f>11.9795 * CHOOSE(CONTROL!$C$32, $C$9, 100%, $E$9)</f>
        <v>11.9795</v>
      </c>
      <c r="F713" s="33">
        <f>11.9795 * CHOOSE(CONTROL!$C$32, $C$9, 100%, $E$9)</f>
        <v>11.9795</v>
      </c>
      <c r="G713" s="33">
        <f>11.9831 * CHOOSE(CONTROL!$C$32, $C$9, 100%, $E$9)</f>
        <v>11.9831</v>
      </c>
      <c r="H713" s="33">
        <f>24.0677 * CHOOSE(CONTROL!$C$32, $C$9, 100%, $E$9)</f>
        <v>24.067699999999999</v>
      </c>
      <c r="I713" s="33">
        <f>24.0713 * CHOOSE(CONTROL!$C$32, $C$9, 100%, $E$9)</f>
        <v>24.071300000000001</v>
      </c>
      <c r="J713" s="33">
        <f>24.0677 * CHOOSE(CONTROL!$C$32, $C$9, 100%, $E$9)</f>
        <v>24.067699999999999</v>
      </c>
      <c r="K713" s="33">
        <f>24.0713 * CHOOSE(CONTROL!$C$32, $C$9, 100%, $E$9)</f>
        <v>24.071300000000001</v>
      </c>
      <c r="L713" s="33">
        <f>11.9795 * CHOOSE(CONTROL!$C$32, $C$9, 100%, $E$9)</f>
        <v>11.9795</v>
      </c>
      <c r="M713" s="33">
        <f>11.9831 * CHOOSE(CONTROL!$C$32, $C$9, 100%, $E$9)</f>
        <v>11.9831</v>
      </c>
      <c r="N713" s="33">
        <f>11.9795 * CHOOSE(CONTROL!$C$32, $C$9, 100%, $E$9)</f>
        <v>11.9795</v>
      </c>
      <c r="O713" s="33">
        <f>11.9831 * CHOOSE(CONTROL!$C$32, $C$9, 100%, $E$9)</f>
        <v>11.9831</v>
      </c>
    </row>
    <row r="714" spans="1:15" ht="15" x14ac:dyDescent="0.2">
      <c r="A714" s="16">
        <v>62945</v>
      </c>
      <c r="B714" s="32">
        <f>10.5037 * CHOOSE(CONTROL!$C$32, $C$9, 100%, $E$9)</f>
        <v>10.5037</v>
      </c>
      <c r="C714" s="32">
        <f>10.5037 * CHOOSE(CONTROL!$C$32, $C$9, 100%, $E$9)</f>
        <v>10.5037</v>
      </c>
      <c r="D714" s="32">
        <f>10.5052 * CHOOSE(CONTROL!$C$32, $C$9, 100%, $E$9)</f>
        <v>10.5052</v>
      </c>
      <c r="E714" s="33">
        <f>12.0757 * CHOOSE(CONTROL!$C$32, $C$9, 100%, $E$9)</f>
        <v>12.075699999999999</v>
      </c>
      <c r="F714" s="33">
        <f>12.0757 * CHOOSE(CONTROL!$C$32, $C$9, 100%, $E$9)</f>
        <v>12.075699999999999</v>
      </c>
      <c r="G714" s="33">
        <f>12.081 * CHOOSE(CONTROL!$C$32, $C$9, 100%, $E$9)</f>
        <v>12.081</v>
      </c>
      <c r="H714" s="33">
        <f>24.1179 * CHOOSE(CONTROL!$C$32, $C$9, 100%, $E$9)</f>
        <v>24.117899999999999</v>
      </c>
      <c r="I714" s="33">
        <f>24.1232 * CHOOSE(CONTROL!$C$32, $C$9, 100%, $E$9)</f>
        <v>24.123200000000001</v>
      </c>
      <c r="J714" s="33">
        <f>24.1179 * CHOOSE(CONTROL!$C$32, $C$9, 100%, $E$9)</f>
        <v>24.117899999999999</v>
      </c>
      <c r="K714" s="33">
        <f>24.1232 * CHOOSE(CONTROL!$C$32, $C$9, 100%, $E$9)</f>
        <v>24.123200000000001</v>
      </c>
      <c r="L714" s="33">
        <f>12.0757 * CHOOSE(CONTROL!$C$32, $C$9, 100%, $E$9)</f>
        <v>12.075699999999999</v>
      </c>
      <c r="M714" s="33">
        <f>12.081 * CHOOSE(CONTROL!$C$32, $C$9, 100%, $E$9)</f>
        <v>12.081</v>
      </c>
      <c r="N714" s="33">
        <f>12.0757 * CHOOSE(CONTROL!$C$32, $C$9, 100%, $E$9)</f>
        <v>12.075699999999999</v>
      </c>
      <c r="O714" s="33">
        <f>12.081 * CHOOSE(CONTROL!$C$32, $C$9, 100%, $E$9)</f>
        <v>12.081</v>
      </c>
    </row>
    <row r="715" spans="1:15" ht="15" x14ac:dyDescent="0.2">
      <c r="A715" s="16">
        <v>62976</v>
      </c>
      <c r="B715" s="32">
        <f>10.5097 * CHOOSE(CONTROL!$C$32, $C$9, 100%, $E$9)</f>
        <v>10.5097</v>
      </c>
      <c r="C715" s="32">
        <f>10.5097 * CHOOSE(CONTROL!$C$32, $C$9, 100%, $E$9)</f>
        <v>10.5097</v>
      </c>
      <c r="D715" s="32">
        <f>10.5113 * CHOOSE(CONTROL!$C$32, $C$9, 100%, $E$9)</f>
        <v>10.5113</v>
      </c>
      <c r="E715" s="33">
        <f>11.9837 * CHOOSE(CONTROL!$C$32, $C$9, 100%, $E$9)</f>
        <v>11.983700000000001</v>
      </c>
      <c r="F715" s="33">
        <f>11.9837 * CHOOSE(CONTROL!$C$32, $C$9, 100%, $E$9)</f>
        <v>11.983700000000001</v>
      </c>
      <c r="G715" s="33">
        <f>11.989 * CHOOSE(CONTROL!$C$32, $C$9, 100%, $E$9)</f>
        <v>11.989000000000001</v>
      </c>
      <c r="H715" s="33">
        <f>24.1681 * CHOOSE(CONTROL!$C$32, $C$9, 100%, $E$9)</f>
        <v>24.168099999999999</v>
      </c>
      <c r="I715" s="33">
        <f>24.1734 * CHOOSE(CONTROL!$C$32, $C$9, 100%, $E$9)</f>
        <v>24.173400000000001</v>
      </c>
      <c r="J715" s="33">
        <f>24.1681 * CHOOSE(CONTROL!$C$32, $C$9, 100%, $E$9)</f>
        <v>24.168099999999999</v>
      </c>
      <c r="K715" s="33">
        <f>24.1734 * CHOOSE(CONTROL!$C$32, $C$9, 100%, $E$9)</f>
        <v>24.173400000000001</v>
      </c>
      <c r="L715" s="33">
        <f>11.9837 * CHOOSE(CONTROL!$C$32, $C$9, 100%, $E$9)</f>
        <v>11.983700000000001</v>
      </c>
      <c r="M715" s="33">
        <f>11.989 * CHOOSE(CONTROL!$C$32, $C$9, 100%, $E$9)</f>
        <v>11.989000000000001</v>
      </c>
      <c r="N715" s="33">
        <f>11.9837 * CHOOSE(CONTROL!$C$32, $C$9, 100%, $E$9)</f>
        <v>11.983700000000001</v>
      </c>
      <c r="O715" s="33">
        <f>11.989 * CHOOSE(CONTROL!$C$32, $C$9, 100%, $E$9)</f>
        <v>11.989000000000001</v>
      </c>
    </row>
    <row r="716" spans="1:15" ht="15" x14ac:dyDescent="0.2">
      <c r="A716" s="16">
        <v>63006</v>
      </c>
      <c r="B716" s="32">
        <f>10.6397 * CHOOSE(CONTROL!$C$32, $C$9, 100%, $E$9)</f>
        <v>10.639699999999999</v>
      </c>
      <c r="C716" s="32">
        <f>10.6397 * CHOOSE(CONTROL!$C$32, $C$9, 100%, $E$9)</f>
        <v>10.639699999999999</v>
      </c>
      <c r="D716" s="32">
        <f>10.6413 * CHOOSE(CONTROL!$C$32, $C$9, 100%, $E$9)</f>
        <v>10.641299999999999</v>
      </c>
      <c r="E716" s="33">
        <f>12.152 * CHOOSE(CONTROL!$C$32, $C$9, 100%, $E$9)</f>
        <v>12.151999999999999</v>
      </c>
      <c r="F716" s="33">
        <f>12.152 * CHOOSE(CONTROL!$C$32, $C$9, 100%, $E$9)</f>
        <v>12.151999999999999</v>
      </c>
      <c r="G716" s="33">
        <f>12.1573 * CHOOSE(CONTROL!$C$32, $C$9, 100%, $E$9)</f>
        <v>12.157299999999999</v>
      </c>
      <c r="H716" s="33">
        <f>24.2185 * CHOOSE(CONTROL!$C$32, $C$9, 100%, $E$9)</f>
        <v>24.218499999999999</v>
      </c>
      <c r="I716" s="33">
        <f>24.2237 * CHOOSE(CONTROL!$C$32, $C$9, 100%, $E$9)</f>
        <v>24.223700000000001</v>
      </c>
      <c r="J716" s="33">
        <f>24.2185 * CHOOSE(CONTROL!$C$32, $C$9, 100%, $E$9)</f>
        <v>24.218499999999999</v>
      </c>
      <c r="K716" s="33">
        <f>24.2237 * CHOOSE(CONTROL!$C$32, $C$9, 100%, $E$9)</f>
        <v>24.223700000000001</v>
      </c>
      <c r="L716" s="33">
        <f>12.152 * CHOOSE(CONTROL!$C$32, $C$9, 100%, $E$9)</f>
        <v>12.151999999999999</v>
      </c>
      <c r="M716" s="33">
        <f>12.1573 * CHOOSE(CONTROL!$C$32, $C$9, 100%, $E$9)</f>
        <v>12.157299999999999</v>
      </c>
      <c r="N716" s="33">
        <f>12.152 * CHOOSE(CONTROL!$C$32, $C$9, 100%, $E$9)</f>
        <v>12.151999999999999</v>
      </c>
      <c r="O716" s="33">
        <f>12.1573 * CHOOSE(CONTROL!$C$32, $C$9, 100%, $E$9)</f>
        <v>12.157299999999999</v>
      </c>
    </row>
    <row r="717" spans="1:15" ht="15" x14ac:dyDescent="0.2">
      <c r="A717" s="16">
        <v>63037</v>
      </c>
      <c r="B717" s="32">
        <f>10.6464 * CHOOSE(CONTROL!$C$32, $C$9, 100%, $E$9)</f>
        <v>10.6464</v>
      </c>
      <c r="C717" s="32">
        <f>10.6464 * CHOOSE(CONTROL!$C$32, $C$9, 100%, $E$9)</f>
        <v>10.6464</v>
      </c>
      <c r="D717" s="32">
        <f>10.648 * CHOOSE(CONTROL!$C$32, $C$9, 100%, $E$9)</f>
        <v>10.648</v>
      </c>
      <c r="E717" s="33">
        <f>11.868 * CHOOSE(CONTROL!$C$32, $C$9, 100%, $E$9)</f>
        <v>11.868</v>
      </c>
      <c r="F717" s="33">
        <f>11.868 * CHOOSE(CONTROL!$C$32, $C$9, 100%, $E$9)</f>
        <v>11.868</v>
      </c>
      <c r="G717" s="33">
        <f>11.8733 * CHOOSE(CONTROL!$C$32, $C$9, 100%, $E$9)</f>
        <v>11.8733</v>
      </c>
      <c r="H717" s="33">
        <f>24.2689 * CHOOSE(CONTROL!$C$32, $C$9, 100%, $E$9)</f>
        <v>24.268899999999999</v>
      </c>
      <c r="I717" s="33">
        <f>24.2742 * CHOOSE(CONTROL!$C$32, $C$9, 100%, $E$9)</f>
        <v>24.2742</v>
      </c>
      <c r="J717" s="33">
        <f>24.2689 * CHOOSE(CONTROL!$C$32, $C$9, 100%, $E$9)</f>
        <v>24.268899999999999</v>
      </c>
      <c r="K717" s="33">
        <f>24.2742 * CHOOSE(CONTROL!$C$32, $C$9, 100%, $E$9)</f>
        <v>24.2742</v>
      </c>
      <c r="L717" s="33">
        <f>11.868 * CHOOSE(CONTROL!$C$32, $C$9, 100%, $E$9)</f>
        <v>11.868</v>
      </c>
      <c r="M717" s="33">
        <f>11.8733 * CHOOSE(CONTROL!$C$32, $C$9, 100%, $E$9)</f>
        <v>11.8733</v>
      </c>
      <c r="N717" s="33">
        <f>11.868 * CHOOSE(CONTROL!$C$32, $C$9, 100%, $E$9)</f>
        <v>11.868</v>
      </c>
      <c r="O717" s="33">
        <f>11.8733 * CHOOSE(CONTROL!$C$32, $C$9, 100%, $E$9)</f>
        <v>11.8733</v>
      </c>
    </row>
    <row r="718" spans="1:15" ht="15" x14ac:dyDescent="0.2">
      <c r="A718" s="16">
        <v>63068</v>
      </c>
      <c r="B718" s="32">
        <f>10.6434 * CHOOSE(CONTROL!$C$32, $C$9, 100%, $E$9)</f>
        <v>10.6434</v>
      </c>
      <c r="C718" s="32">
        <f>10.6434 * CHOOSE(CONTROL!$C$32, $C$9, 100%, $E$9)</f>
        <v>10.6434</v>
      </c>
      <c r="D718" s="32">
        <f>10.6449 * CHOOSE(CONTROL!$C$32, $C$9, 100%, $E$9)</f>
        <v>10.6449</v>
      </c>
      <c r="E718" s="33">
        <f>11.8338 * CHOOSE(CONTROL!$C$32, $C$9, 100%, $E$9)</f>
        <v>11.8338</v>
      </c>
      <c r="F718" s="33">
        <f>11.8338 * CHOOSE(CONTROL!$C$32, $C$9, 100%, $E$9)</f>
        <v>11.8338</v>
      </c>
      <c r="G718" s="33">
        <f>11.8391 * CHOOSE(CONTROL!$C$32, $C$9, 100%, $E$9)</f>
        <v>11.8391</v>
      </c>
      <c r="H718" s="33">
        <f>24.3195 * CHOOSE(CONTROL!$C$32, $C$9, 100%, $E$9)</f>
        <v>24.319500000000001</v>
      </c>
      <c r="I718" s="33">
        <f>24.3248 * CHOOSE(CONTROL!$C$32, $C$9, 100%, $E$9)</f>
        <v>24.3248</v>
      </c>
      <c r="J718" s="33">
        <f>24.3195 * CHOOSE(CONTROL!$C$32, $C$9, 100%, $E$9)</f>
        <v>24.319500000000001</v>
      </c>
      <c r="K718" s="33">
        <f>24.3248 * CHOOSE(CONTROL!$C$32, $C$9, 100%, $E$9)</f>
        <v>24.3248</v>
      </c>
      <c r="L718" s="33">
        <f>11.8338 * CHOOSE(CONTROL!$C$32, $C$9, 100%, $E$9)</f>
        <v>11.8338</v>
      </c>
      <c r="M718" s="33">
        <f>11.8391 * CHOOSE(CONTROL!$C$32, $C$9, 100%, $E$9)</f>
        <v>11.8391</v>
      </c>
      <c r="N718" s="33">
        <f>11.8338 * CHOOSE(CONTROL!$C$32, $C$9, 100%, $E$9)</f>
        <v>11.8338</v>
      </c>
      <c r="O718" s="33">
        <f>11.8391 * CHOOSE(CONTROL!$C$32, $C$9, 100%, $E$9)</f>
        <v>11.8391</v>
      </c>
    </row>
    <row r="719" spans="1:15" ht="15" x14ac:dyDescent="0.2">
      <c r="A719" s="16">
        <v>63098</v>
      </c>
      <c r="B719" s="32">
        <f>10.6632 * CHOOSE(CONTROL!$C$32, $C$9, 100%, $E$9)</f>
        <v>10.6632</v>
      </c>
      <c r="C719" s="32">
        <f>10.6632 * CHOOSE(CONTROL!$C$32, $C$9, 100%, $E$9)</f>
        <v>10.6632</v>
      </c>
      <c r="D719" s="32">
        <f>10.6643 * CHOOSE(CONTROL!$C$32, $C$9, 100%, $E$9)</f>
        <v>10.664300000000001</v>
      </c>
      <c r="E719" s="33">
        <f>11.9487 * CHOOSE(CONTROL!$C$32, $C$9, 100%, $E$9)</f>
        <v>11.948700000000001</v>
      </c>
      <c r="F719" s="33">
        <f>11.9487 * CHOOSE(CONTROL!$C$32, $C$9, 100%, $E$9)</f>
        <v>11.948700000000001</v>
      </c>
      <c r="G719" s="33">
        <f>11.9523 * CHOOSE(CONTROL!$C$32, $C$9, 100%, $E$9)</f>
        <v>11.952299999999999</v>
      </c>
      <c r="H719" s="33">
        <f>24.3701 * CHOOSE(CONTROL!$C$32, $C$9, 100%, $E$9)</f>
        <v>24.370100000000001</v>
      </c>
      <c r="I719" s="33">
        <f>24.3738 * CHOOSE(CONTROL!$C$32, $C$9, 100%, $E$9)</f>
        <v>24.373799999999999</v>
      </c>
      <c r="J719" s="33">
        <f>24.3701 * CHOOSE(CONTROL!$C$32, $C$9, 100%, $E$9)</f>
        <v>24.370100000000001</v>
      </c>
      <c r="K719" s="33">
        <f>24.3738 * CHOOSE(CONTROL!$C$32, $C$9, 100%, $E$9)</f>
        <v>24.373799999999999</v>
      </c>
      <c r="L719" s="33">
        <f>11.9487 * CHOOSE(CONTROL!$C$32, $C$9, 100%, $E$9)</f>
        <v>11.948700000000001</v>
      </c>
      <c r="M719" s="33">
        <f>11.9523 * CHOOSE(CONTROL!$C$32, $C$9, 100%, $E$9)</f>
        <v>11.952299999999999</v>
      </c>
      <c r="N719" s="33">
        <f>11.9487 * CHOOSE(CONTROL!$C$32, $C$9, 100%, $E$9)</f>
        <v>11.948700000000001</v>
      </c>
      <c r="O719" s="33">
        <f>11.9523 * CHOOSE(CONTROL!$C$32, $C$9, 100%, $E$9)</f>
        <v>11.952299999999999</v>
      </c>
    </row>
    <row r="720" spans="1:15" ht="15" x14ac:dyDescent="0.2">
      <c r="A720" s="16">
        <v>63129</v>
      </c>
      <c r="B720" s="32">
        <f>10.6663 * CHOOSE(CONTROL!$C$32, $C$9, 100%, $E$9)</f>
        <v>10.6663</v>
      </c>
      <c r="C720" s="32">
        <f>10.6663 * CHOOSE(CONTROL!$C$32, $C$9, 100%, $E$9)</f>
        <v>10.6663</v>
      </c>
      <c r="D720" s="32">
        <f>10.6673 * CHOOSE(CONTROL!$C$32, $C$9, 100%, $E$9)</f>
        <v>10.667299999999999</v>
      </c>
      <c r="E720" s="33">
        <f>12.015 * CHOOSE(CONTROL!$C$32, $C$9, 100%, $E$9)</f>
        <v>12.015000000000001</v>
      </c>
      <c r="F720" s="33">
        <f>12.015 * CHOOSE(CONTROL!$C$32, $C$9, 100%, $E$9)</f>
        <v>12.015000000000001</v>
      </c>
      <c r="G720" s="33">
        <f>12.0186 * CHOOSE(CONTROL!$C$32, $C$9, 100%, $E$9)</f>
        <v>12.018599999999999</v>
      </c>
      <c r="H720" s="33">
        <f>24.4209 * CHOOSE(CONTROL!$C$32, $C$9, 100%, $E$9)</f>
        <v>24.4209</v>
      </c>
      <c r="I720" s="33">
        <f>24.4245 * CHOOSE(CONTROL!$C$32, $C$9, 100%, $E$9)</f>
        <v>24.424499999999998</v>
      </c>
      <c r="J720" s="33">
        <f>24.4209 * CHOOSE(CONTROL!$C$32, $C$9, 100%, $E$9)</f>
        <v>24.4209</v>
      </c>
      <c r="K720" s="33">
        <f>24.4245 * CHOOSE(CONTROL!$C$32, $C$9, 100%, $E$9)</f>
        <v>24.424499999999998</v>
      </c>
      <c r="L720" s="33">
        <f>12.015 * CHOOSE(CONTROL!$C$32, $C$9, 100%, $E$9)</f>
        <v>12.015000000000001</v>
      </c>
      <c r="M720" s="33">
        <f>12.0186 * CHOOSE(CONTROL!$C$32, $C$9, 100%, $E$9)</f>
        <v>12.018599999999999</v>
      </c>
      <c r="N720" s="33">
        <f>12.015 * CHOOSE(CONTROL!$C$32, $C$9, 100%, $E$9)</f>
        <v>12.015000000000001</v>
      </c>
      <c r="O720" s="33">
        <f>12.0186 * CHOOSE(CONTROL!$C$32, $C$9, 100%, $E$9)</f>
        <v>12.018599999999999</v>
      </c>
    </row>
    <row r="721" spans="1:15" ht="15" x14ac:dyDescent="0.2">
      <c r="A721" s="16">
        <v>63159</v>
      </c>
      <c r="B721" s="32">
        <f>10.6663 * CHOOSE(CONTROL!$C$32, $C$9, 100%, $E$9)</f>
        <v>10.6663</v>
      </c>
      <c r="C721" s="32">
        <f>10.6663 * CHOOSE(CONTROL!$C$32, $C$9, 100%, $E$9)</f>
        <v>10.6663</v>
      </c>
      <c r="D721" s="32">
        <f>10.6673 * CHOOSE(CONTROL!$C$32, $C$9, 100%, $E$9)</f>
        <v>10.667299999999999</v>
      </c>
      <c r="E721" s="33">
        <f>11.8546 * CHOOSE(CONTROL!$C$32, $C$9, 100%, $E$9)</f>
        <v>11.8546</v>
      </c>
      <c r="F721" s="33">
        <f>11.8546 * CHOOSE(CONTROL!$C$32, $C$9, 100%, $E$9)</f>
        <v>11.8546</v>
      </c>
      <c r="G721" s="33">
        <f>11.8582 * CHOOSE(CONTROL!$C$32, $C$9, 100%, $E$9)</f>
        <v>11.8582</v>
      </c>
      <c r="H721" s="33">
        <f>24.4718 * CHOOSE(CONTROL!$C$32, $C$9, 100%, $E$9)</f>
        <v>24.471800000000002</v>
      </c>
      <c r="I721" s="33">
        <f>24.4754 * CHOOSE(CONTROL!$C$32, $C$9, 100%, $E$9)</f>
        <v>24.4754</v>
      </c>
      <c r="J721" s="33">
        <f>24.4718 * CHOOSE(CONTROL!$C$32, $C$9, 100%, $E$9)</f>
        <v>24.471800000000002</v>
      </c>
      <c r="K721" s="33">
        <f>24.4754 * CHOOSE(CONTROL!$C$32, $C$9, 100%, $E$9)</f>
        <v>24.4754</v>
      </c>
      <c r="L721" s="33">
        <f>11.8546 * CHOOSE(CONTROL!$C$32, $C$9, 100%, $E$9)</f>
        <v>11.8546</v>
      </c>
      <c r="M721" s="33">
        <f>11.8582 * CHOOSE(CONTROL!$C$32, $C$9, 100%, $E$9)</f>
        <v>11.8582</v>
      </c>
      <c r="N721" s="33">
        <f>11.8546 * CHOOSE(CONTROL!$C$32, $C$9, 100%, $E$9)</f>
        <v>11.8546</v>
      </c>
      <c r="O721" s="33">
        <f>11.8582 * CHOOSE(CONTROL!$C$32, $C$9, 100%, $E$9)</f>
        <v>11.8582</v>
      </c>
    </row>
    <row r="722" spans="1:15" ht="15" x14ac:dyDescent="0.2">
      <c r="A722" s="16">
        <v>63190</v>
      </c>
      <c r="B722" s="32">
        <f>10.6931 * CHOOSE(CONTROL!$C$32, $C$9, 100%, $E$9)</f>
        <v>10.693099999999999</v>
      </c>
      <c r="C722" s="32">
        <f>10.6931 * CHOOSE(CONTROL!$C$32, $C$9, 100%, $E$9)</f>
        <v>10.693099999999999</v>
      </c>
      <c r="D722" s="32">
        <f>10.6942 * CHOOSE(CONTROL!$C$32, $C$9, 100%, $E$9)</f>
        <v>10.6942</v>
      </c>
      <c r="E722" s="33">
        <f>12.008 * CHOOSE(CONTROL!$C$32, $C$9, 100%, $E$9)</f>
        <v>12.007999999999999</v>
      </c>
      <c r="F722" s="33">
        <f>12.008 * CHOOSE(CONTROL!$C$32, $C$9, 100%, $E$9)</f>
        <v>12.007999999999999</v>
      </c>
      <c r="G722" s="33">
        <f>12.0116 * CHOOSE(CONTROL!$C$32, $C$9, 100%, $E$9)</f>
        <v>12.0116</v>
      </c>
      <c r="H722" s="33">
        <f>24.382 * CHOOSE(CONTROL!$C$32, $C$9, 100%, $E$9)</f>
        <v>24.382000000000001</v>
      </c>
      <c r="I722" s="33">
        <f>24.3856 * CHOOSE(CONTROL!$C$32, $C$9, 100%, $E$9)</f>
        <v>24.3856</v>
      </c>
      <c r="J722" s="33">
        <f>24.382 * CHOOSE(CONTROL!$C$32, $C$9, 100%, $E$9)</f>
        <v>24.382000000000001</v>
      </c>
      <c r="K722" s="33">
        <f>24.3856 * CHOOSE(CONTROL!$C$32, $C$9, 100%, $E$9)</f>
        <v>24.3856</v>
      </c>
      <c r="L722" s="33">
        <f>12.008 * CHOOSE(CONTROL!$C$32, $C$9, 100%, $E$9)</f>
        <v>12.007999999999999</v>
      </c>
      <c r="M722" s="33">
        <f>12.0116 * CHOOSE(CONTROL!$C$32, $C$9, 100%, $E$9)</f>
        <v>12.0116</v>
      </c>
      <c r="N722" s="33">
        <f>12.008 * CHOOSE(CONTROL!$C$32, $C$9, 100%, $E$9)</f>
        <v>12.007999999999999</v>
      </c>
      <c r="O722" s="33">
        <f>12.0116 * CHOOSE(CONTROL!$C$32, $C$9, 100%, $E$9)</f>
        <v>12.0116</v>
      </c>
    </row>
    <row r="723" spans="1:15" ht="15" x14ac:dyDescent="0.2">
      <c r="A723" s="16">
        <v>63221</v>
      </c>
      <c r="B723" s="32">
        <f>10.6901 * CHOOSE(CONTROL!$C$32, $C$9, 100%, $E$9)</f>
        <v>10.690099999999999</v>
      </c>
      <c r="C723" s="32">
        <f>10.6901 * CHOOSE(CONTROL!$C$32, $C$9, 100%, $E$9)</f>
        <v>10.690099999999999</v>
      </c>
      <c r="D723" s="32">
        <f>10.6912 * CHOOSE(CONTROL!$C$32, $C$9, 100%, $E$9)</f>
        <v>10.6912</v>
      </c>
      <c r="E723" s="33">
        <f>11.6957 * CHOOSE(CONTROL!$C$32, $C$9, 100%, $E$9)</f>
        <v>11.6957</v>
      </c>
      <c r="F723" s="33">
        <f>11.6957 * CHOOSE(CONTROL!$C$32, $C$9, 100%, $E$9)</f>
        <v>11.6957</v>
      </c>
      <c r="G723" s="33">
        <f>11.6994 * CHOOSE(CONTROL!$C$32, $C$9, 100%, $E$9)</f>
        <v>11.699400000000001</v>
      </c>
      <c r="H723" s="33">
        <f>24.4327 * CHOOSE(CONTROL!$C$32, $C$9, 100%, $E$9)</f>
        <v>24.432700000000001</v>
      </c>
      <c r="I723" s="33">
        <f>24.4364 * CHOOSE(CONTROL!$C$32, $C$9, 100%, $E$9)</f>
        <v>24.436399999999999</v>
      </c>
      <c r="J723" s="33">
        <f>24.4327 * CHOOSE(CONTROL!$C$32, $C$9, 100%, $E$9)</f>
        <v>24.432700000000001</v>
      </c>
      <c r="K723" s="33">
        <f>24.4364 * CHOOSE(CONTROL!$C$32, $C$9, 100%, $E$9)</f>
        <v>24.436399999999999</v>
      </c>
      <c r="L723" s="33">
        <f>11.6957 * CHOOSE(CONTROL!$C$32, $C$9, 100%, $E$9)</f>
        <v>11.6957</v>
      </c>
      <c r="M723" s="33">
        <f>11.6994 * CHOOSE(CONTROL!$C$32, $C$9, 100%, $E$9)</f>
        <v>11.699400000000001</v>
      </c>
      <c r="N723" s="33">
        <f>11.6957 * CHOOSE(CONTROL!$C$32, $C$9, 100%, $E$9)</f>
        <v>11.6957</v>
      </c>
      <c r="O723" s="33">
        <f>11.6994 * CHOOSE(CONTROL!$C$32, $C$9, 100%, $E$9)</f>
        <v>11.699400000000001</v>
      </c>
    </row>
    <row r="724" spans="1:15" ht="15" x14ac:dyDescent="0.2">
      <c r="A724" s="16">
        <v>63249</v>
      </c>
      <c r="B724" s="32">
        <f>10.6871 * CHOOSE(CONTROL!$C$32, $C$9, 100%, $E$9)</f>
        <v>10.687099999999999</v>
      </c>
      <c r="C724" s="32">
        <f>10.6871 * CHOOSE(CONTROL!$C$32, $C$9, 100%, $E$9)</f>
        <v>10.687099999999999</v>
      </c>
      <c r="D724" s="32">
        <f>10.6881 * CHOOSE(CONTROL!$C$32, $C$9, 100%, $E$9)</f>
        <v>10.6881</v>
      </c>
      <c r="E724" s="33">
        <f>11.9381 * CHOOSE(CONTROL!$C$32, $C$9, 100%, $E$9)</f>
        <v>11.9381</v>
      </c>
      <c r="F724" s="33">
        <f>11.9381 * CHOOSE(CONTROL!$C$32, $C$9, 100%, $E$9)</f>
        <v>11.9381</v>
      </c>
      <c r="G724" s="33">
        <f>11.9418 * CHOOSE(CONTROL!$C$32, $C$9, 100%, $E$9)</f>
        <v>11.941800000000001</v>
      </c>
      <c r="H724" s="33">
        <f>24.4836 * CHOOSE(CONTROL!$C$32, $C$9, 100%, $E$9)</f>
        <v>24.483599999999999</v>
      </c>
      <c r="I724" s="33">
        <f>24.4873 * CHOOSE(CONTROL!$C$32, $C$9, 100%, $E$9)</f>
        <v>24.487300000000001</v>
      </c>
      <c r="J724" s="33">
        <f>24.4836 * CHOOSE(CONTROL!$C$32, $C$9, 100%, $E$9)</f>
        <v>24.483599999999999</v>
      </c>
      <c r="K724" s="33">
        <f>24.4873 * CHOOSE(CONTROL!$C$32, $C$9, 100%, $E$9)</f>
        <v>24.487300000000001</v>
      </c>
      <c r="L724" s="33">
        <f>11.9381 * CHOOSE(CONTROL!$C$32, $C$9, 100%, $E$9)</f>
        <v>11.9381</v>
      </c>
      <c r="M724" s="33">
        <f>11.9418 * CHOOSE(CONTROL!$C$32, $C$9, 100%, $E$9)</f>
        <v>11.941800000000001</v>
      </c>
      <c r="N724" s="33">
        <f>11.9381 * CHOOSE(CONTROL!$C$32, $C$9, 100%, $E$9)</f>
        <v>11.9381</v>
      </c>
      <c r="O724" s="33">
        <f>11.9418 * CHOOSE(CONTROL!$C$32, $C$9, 100%, $E$9)</f>
        <v>11.941800000000001</v>
      </c>
    </row>
    <row r="725" spans="1:15" ht="15" x14ac:dyDescent="0.2">
      <c r="A725" s="16">
        <v>63280</v>
      </c>
      <c r="B725" s="32">
        <f>10.6912 * CHOOSE(CONTROL!$C$32, $C$9, 100%, $E$9)</f>
        <v>10.6912</v>
      </c>
      <c r="C725" s="32">
        <f>10.6912 * CHOOSE(CONTROL!$C$32, $C$9, 100%, $E$9)</f>
        <v>10.6912</v>
      </c>
      <c r="D725" s="32">
        <f>10.6923 * CHOOSE(CONTROL!$C$32, $C$9, 100%, $E$9)</f>
        <v>10.692299999999999</v>
      </c>
      <c r="E725" s="33">
        <f>12.1965 * CHOOSE(CONTROL!$C$32, $C$9, 100%, $E$9)</f>
        <v>12.1965</v>
      </c>
      <c r="F725" s="33">
        <f>12.1965 * CHOOSE(CONTROL!$C$32, $C$9, 100%, $E$9)</f>
        <v>12.1965</v>
      </c>
      <c r="G725" s="33">
        <f>12.2001 * CHOOSE(CONTROL!$C$32, $C$9, 100%, $E$9)</f>
        <v>12.200100000000001</v>
      </c>
      <c r="H725" s="33">
        <f>24.5347 * CHOOSE(CONTROL!$C$32, $C$9, 100%, $E$9)</f>
        <v>24.534700000000001</v>
      </c>
      <c r="I725" s="33">
        <f>24.5383 * CHOOSE(CONTROL!$C$32, $C$9, 100%, $E$9)</f>
        <v>24.5383</v>
      </c>
      <c r="J725" s="33">
        <f>24.5347 * CHOOSE(CONTROL!$C$32, $C$9, 100%, $E$9)</f>
        <v>24.534700000000001</v>
      </c>
      <c r="K725" s="33">
        <f>24.5383 * CHOOSE(CONTROL!$C$32, $C$9, 100%, $E$9)</f>
        <v>24.5383</v>
      </c>
      <c r="L725" s="33">
        <f>12.1965 * CHOOSE(CONTROL!$C$32, $C$9, 100%, $E$9)</f>
        <v>12.1965</v>
      </c>
      <c r="M725" s="33">
        <f>12.2001 * CHOOSE(CONTROL!$C$32, $C$9, 100%, $E$9)</f>
        <v>12.200100000000001</v>
      </c>
      <c r="N725" s="33">
        <f>12.1965 * CHOOSE(CONTROL!$C$32, $C$9, 100%, $E$9)</f>
        <v>12.1965</v>
      </c>
      <c r="O725" s="33">
        <f>12.2001 * CHOOSE(CONTROL!$C$32, $C$9, 100%, $E$9)</f>
        <v>12.200100000000001</v>
      </c>
    </row>
    <row r="726" spans="1:15" ht="15" x14ac:dyDescent="0.2">
      <c r="A726" s="16">
        <v>63310</v>
      </c>
      <c r="B726" s="32">
        <f>10.6912 * CHOOSE(CONTROL!$C$32, $C$9, 100%, $E$9)</f>
        <v>10.6912</v>
      </c>
      <c r="C726" s="32">
        <f>10.6912 * CHOOSE(CONTROL!$C$32, $C$9, 100%, $E$9)</f>
        <v>10.6912</v>
      </c>
      <c r="D726" s="32">
        <f>10.6928 * CHOOSE(CONTROL!$C$32, $C$9, 100%, $E$9)</f>
        <v>10.6928</v>
      </c>
      <c r="E726" s="33">
        <f>12.295 * CHOOSE(CONTROL!$C$32, $C$9, 100%, $E$9)</f>
        <v>12.295</v>
      </c>
      <c r="F726" s="33">
        <f>12.295 * CHOOSE(CONTROL!$C$32, $C$9, 100%, $E$9)</f>
        <v>12.295</v>
      </c>
      <c r="G726" s="33">
        <f>12.3003 * CHOOSE(CONTROL!$C$32, $C$9, 100%, $E$9)</f>
        <v>12.3003</v>
      </c>
      <c r="H726" s="33">
        <f>24.5858 * CHOOSE(CONTROL!$C$32, $C$9, 100%, $E$9)</f>
        <v>24.585799999999999</v>
      </c>
      <c r="I726" s="33">
        <f>24.5911 * CHOOSE(CONTROL!$C$32, $C$9, 100%, $E$9)</f>
        <v>24.591100000000001</v>
      </c>
      <c r="J726" s="33">
        <f>24.5858 * CHOOSE(CONTROL!$C$32, $C$9, 100%, $E$9)</f>
        <v>24.585799999999999</v>
      </c>
      <c r="K726" s="33">
        <f>24.5911 * CHOOSE(CONTROL!$C$32, $C$9, 100%, $E$9)</f>
        <v>24.591100000000001</v>
      </c>
      <c r="L726" s="33">
        <f>12.295 * CHOOSE(CONTROL!$C$32, $C$9, 100%, $E$9)</f>
        <v>12.295</v>
      </c>
      <c r="M726" s="33">
        <f>12.3003 * CHOOSE(CONTROL!$C$32, $C$9, 100%, $E$9)</f>
        <v>12.3003</v>
      </c>
      <c r="N726" s="33">
        <f>12.295 * CHOOSE(CONTROL!$C$32, $C$9, 100%, $E$9)</f>
        <v>12.295</v>
      </c>
      <c r="O726" s="33">
        <f>12.3003 * CHOOSE(CONTROL!$C$32, $C$9, 100%, $E$9)</f>
        <v>12.3003</v>
      </c>
    </row>
    <row r="727" spans="1:15" ht="15" x14ac:dyDescent="0.2">
      <c r="A727" s="16">
        <v>63341</v>
      </c>
      <c r="B727" s="32">
        <f>10.6973 * CHOOSE(CONTROL!$C$32, $C$9, 100%, $E$9)</f>
        <v>10.6973</v>
      </c>
      <c r="C727" s="32">
        <f>10.6973 * CHOOSE(CONTROL!$C$32, $C$9, 100%, $E$9)</f>
        <v>10.6973</v>
      </c>
      <c r="D727" s="32">
        <f>10.6989 * CHOOSE(CONTROL!$C$32, $C$9, 100%, $E$9)</f>
        <v>10.6989</v>
      </c>
      <c r="E727" s="33">
        <f>12.2007 * CHOOSE(CONTROL!$C$32, $C$9, 100%, $E$9)</f>
        <v>12.200699999999999</v>
      </c>
      <c r="F727" s="33">
        <f>12.2007 * CHOOSE(CONTROL!$C$32, $C$9, 100%, $E$9)</f>
        <v>12.200699999999999</v>
      </c>
      <c r="G727" s="33">
        <f>12.206 * CHOOSE(CONTROL!$C$32, $C$9, 100%, $E$9)</f>
        <v>12.206</v>
      </c>
      <c r="H727" s="33">
        <f>24.637 * CHOOSE(CONTROL!$C$32, $C$9, 100%, $E$9)</f>
        <v>24.637</v>
      </c>
      <c r="I727" s="33">
        <f>24.6423 * CHOOSE(CONTROL!$C$32, $C$9, 100%, $E$9)</f>
        <v>24.642299999999999</v>
      </c>
      <c r="J727" s="33">
        <f>24.637 * CHOOSE(CONTROL!$C$32, $C$9, 100%, $E$9)</f>
        <v>24.637</v>
      </c>
      <c r="K727" s="33">
        <f>24.6423 * CHOOSE(CONTROL!$C$32, $C$9, 100%, $E$9)</f>
        <v>24.642299999999999</v>
      </c>
      <c r="L727" s="33">
        <f>12.2007 * CHOOSE(CONTROL!$C$32, $C$9, 100%, $E$9)</f>
        <v>12.200699999999999</v>
      </c>
      <c r="M727" s="33">
        <f>12.206 * CHOOSE(CONTROL!$C$32, $C$9, 100%, $E$9)</f>
        <v>12.206</v>
      </c>
      <c r="N727" s="33">
        <f>12.2007 * CHOOSE(CONTROL!$C$32, $C$9, 100%, $E$9)</f>
        <v>12.200699999999999</v>
      </c>
      <c r="O727" s="33">
        <f>12.206 * CHOOSE(CONTROL!$C$32, $C$9, 100%, $E$9)</f>
        <v>12.206</v>
      </c>
    </row>
    <row r="728" spans="1:15" ht="15" x14ac:dyDescent="0.2">
      <c r="A728" s="16">
        <v>63371</v>
      </c>
      <c r="B728" s="32">
        <f>10.8293 * CHOOSE(CONTROL!$C$32, $C$9, 100%, $E$9)</f>
        <v>10.8293</v>
      </c>
      <c r="C728" s="32">
        <f>10.8293 * CHOOSE(CONTROL!$C$32, $C$9, 100%, $E$9)</f>
        <v>10.8293</v>
      </c>
      <c r="D728" s="32">
        <f>10.8309 * CHOOSE(CONTROL!$C$32, $C$9, 100%, $E$9)</f>
        <v>10.8309</v>
      </c>
      <c r="E728" s="33">
        <f>12.3722 * CHOOSE(CONTROL!$C$32, $C$9, 100%, $E$9)</f>
        <v>12.372199999999999</v>
      </c>
      <c r="F728" s="33">
        <f>12.3722 * CHOOSE(CONTROL!$C$32, $C$9, 100%, $E$9)</f>
        <v>12.372199999999999</v>
      </c>
      <c r="G728" s="33">
        <f>12.3775 * CHOOSE(CONTROL!$C$32, $C$9, 100%, $E$9)</f>
        <v>12.3775</v>
      </c>
      <c r="H728" s="33">
        <f>24.6883 * CHOOSE(CONTROL!$C$32, $C$9, 100%, $E$9)</f>
        <v>24.688300000000002</v>
      </c>
      <c r="I728" s="33">
        <f>24.6936 * CHOOSE(CONTROL!$C$32, $C$9, 100%, $E$9)</f>
        <v>24.6936</v>
      </c>
      <c r="J728" s="33">
        <f>24.6883 * CHOOSE(CONTROL!$C$32, $C$9, 100%, $E$9)</f>
        <v>24.688300000000002</v>
      </c>
      <c r="K728" s="33">
        <f>24.6936 * CHOOSE(CONTROL!$C$32, $C$9, 100%, $E$9)</f>
        <v>24.6936</v>
      </c>
      <c r="L728" s="33">
        <f>12.3722 * CHOOSE(CONTROL!$C$32, $C$9, 100%, $E$9)</f>
        <v>12.372199999999999</v>
      </c>
      <c r="M728" s="33">
        <f>12.3775 * CHOOSE(CONTROL!$C$32, $C$9, 100%, $E$9)</f>
        <v>12.3775</v>
      </c>
      <c r="N728" s="33">
        <f>12.3722 * CHOOSE(CONTROL!$C$32, $C$9, 100%, $E$9)</f>
        <v>12.372199999999999</v>
      </c>
      <c r="O728" s="33">
        <f>12.3775 * CHOOSE(CONTROL!$C$32, $C$9, 100%, $E$9)</f>
        <v>12.3775</v>
      </c>
    </row>
    <row r="729" spans="1:15" ht="15" x14ac:dyDescent="0.2">
      <c r="A729" s="16">
        <v>63402</v>
      </c>
      <c r="B729" s="32">
        <f>10.836 * CHOOSE(CONTROL!$C$32, $C$9, 100%, $E$9)</f>
        <v>10.836</v>
      </c>
      <c r="C729" s="32">
        <f>10.836 * CHOOSE(CONTROL!$C$32, $C$9, 100%, $E$9)</f>
        <v>10.836</v>
      </c>
      <c r="D729" s="32">
        <f>10.8376 * CHOOSE(CONTROL!$C$32, $C$9, 100%, $E$9)</f>
        <v>10.8376</v>
      </c>
      <c r="E729" s="33">
        <f>12.0815 * CHOOSE(CONTROL!$C$32, $C$9, 100%, $E$9)</f>
        <v>12.0815</v>
      </c>
      <c r="F729" s="33">
        <f>12.0815 * CHOOSE(CONTROL!$C$32, $C$9, 100%, $E$9)</f>
        <v>12.0815</v>
      </c>
      <c r="G729" s="33">
        <f>12.0868 * CHOOSE(CONTROL!$C$32, $C$9, 100%, $E$9)</f>
        <v>12.0868</v>
      </c>
      <c r="H729" s="33">
        <f>24.7398 * CHOOSE(CONTROL!$C$32, $C$9, 100%, $E$9)</f>
        <v>24.739799999999999</v>
      </c>
      <c r="I729" s="33">
        <f>24.745 * CHOOSE(CONTROL!$C$32, $C$9, 100%, $E$9)</f>
        <v>24.745000000000001</v>
      </c>
      <c r="J729" s="33">
        <f>24.7398 * CHOOSE(CONTROL!$C$32, $C$9, 100%, $E$9)</f>
        <v>24.739799999999999</v>
      </c>
      <c r="K729" s="33">
        <f>24.745 * CHOOSE(CONTROL!$C$32, $C$9, 100%, $E$9)</f>
        <v>24.745000000000001</v>
      </c>
      <c r="L729" s="33">
        <f>12.0815 * CHOOSE(CONTROL!$C$32, $C$9, 100%, $E$9)</f>
        <v>12.0815</v>
      </c>
      <c r="M729" s="33">
        <f>12.0868 * CHOOSE(CONTROL!$C$32, $C$9, 100%, $E$9)</f>
        <v>12.0868</v>
      </c>
      <c r="N729" s="33">
        <f>12.0815 * CHOOSE(CONTROL!$C$32, $C$9, 100%, $E$9)</f>
        <v>12.0815</v>
      </c>
      <c r="O729" s="33">
        <f>12.0868 * CHOOSE(CONTROL!$C$32, $C$9, 100%, $E$9)</f>
        <v>12.0868</v>
      </c>
    </row>
    <row r="730" spans="1:15" ht="15" x14ac:dyDescent="0.2">
      <c r="A730" s="16">
        <v>63433</v>
      </c>
      <c r="B730" s="32">
        <f>10.833 * CHOOSE(CONTROL!$C$32, $C$9, 100%, $E$9)</f>
        <v>10.833</v>
      </c>
      <c r="C730" s="32">
        <f>10.833 * CHOOSE(CONTROL!$C$32, $C$9, 100%, $E$9)</f>
        <v>10.833</v>
      </c>
      <c r="D730" s="32">
        <f>10.8345 * CHOOSE(CONTROL!$C$32, $C$9, 100%, $E$9)</f>
        <v>10.8345</v>
      </c>
      <c r="E730" s="33">
        <f>12.0465 * CHOOSE(CONTROL!$C$32, $C$9, 100%, $E$9)</f>
        <v>12.0465</v>
      </c>
      <c r="F730" s="33">
        <f>12.0465 * CHOOSE(CONTROL!$C$32, $C$9, 100%, $E$9)</f>
        <v>12.0465</v>
      </c>
      <c r="G730" s="33">
        <f>12.0518 * CHOOSE(CONTROL!$C$32, $C$9, 100%, $E$9)</f>
        <v>12.0518</v>
      </c>
      <c r="H730" s="33">
        <f>24.7913 * CHOOSE(CONTROL!$C$32, $C$9, 100%, $E$9)</f>
        <v>24.7913</v>
      </c>
      <c r="I730" s="33">
        <f>24.7966 * CHOOSE(CONTROL!$C$32, $C$9, 100%, $E$9)</f>
        <v>24.796600000000002</v>
      </c>
      <c r="J730" s="33">
        <f>24.7913 * CHOOSE(CONTROL!$C$32, $C$9, 100%, $E$9)</f>
        <v>24.7913</v>
      </c>
      <c r="K730" s="33">
        <f>24.7966 * CHOOSE(CONTROL!$C$32, $C$9, 100%, $E$9)</f>
        <v>24.796600000000002</v>
      </c>
      <c r="L730" s="33">
        <f>12.0465 * CHOOSE(CONTROL!$C$32, $C$9, 100%, $E$9)</f>
        <v>12.0465</v>
      </c>
      <c r="M730" s="33">
        <f>12.0518 * CHOOSE(CONTROL!$C$32, $C$9, 100%, $E$9)</f>
        <v>12.0518</v>
      </c>
      <c r="N730" s="33">
        <f>12.0465 * CHOOSE(CONTROL!$C$32, $C$9, 100%, $E$9)</f>
        <v>12.0465</v>
      </c>
      <c r="O730" s="33">
        <f>12.0518 * CHOOSE(CONTROL!$C$32, $C$9, 100%, $E$9)</f>
        <v>12.0518</v>
      </c>
    </row>
    <row r="731" spans="1:15" ht="15" x14ac:dyDescent="0.2">
      <c r="A731" s="16">
        <v>63463</v>
      </c>
      <c r="B731" s="32">
        <f>10.8535 * CHOOSE(CONTROL!$C$32, $C$9, 100%, $E$9)</f>
        <v>10.8535</v>
      </c>
      <c r="C731" s="32">
        <f>10.8535 * CHOOSE(CONTROL!$C$32, $C$9, 100%, $E$9)</f>
        <v>10.8535</v>
      </c>
      <c r="D731" s="32">
        <f>10.8546 * CHOOSE(CONTROL!$C$32, $C$9, 100%, $E$9)</f>
        <v>10.8546</v>
      </c>
      <c r="E731" s="33">
        <f>12.1644 * CHOOSE(CONTROL!$C$32, $C$9, 100%, $E$9)</f>
        <v>12.164400000000001</v>
      </c>
      <c r="F731" s="33">
        <f>12.1644 * CHOOSE(CONTROL!$C$32, $C$9, 100%, $E$9)</f>
        <v>12.164400000000001</v>
      </c>
      <c r="G731" s="33">
        <f>12.168 * CHOOSE(CONTROL!$C$32, $C$9, 100%, $E$9)</f>
        <v>12.167999999999999</v>
      </c>
      <c r="H731" s="33">
        <f>24.8429 * CHOOSE(CONTROL!$C$32, $C$9, 100%, $E$9)</f>
        <v>24.8429</v>
      </c>
      <c r="I731" s="33">
        <f>24.8466 * CHOOSE(CONTROL!$C$32, $C$9, 100%, $E$9)</f>
        <v>24.846599999999999</v>
      </c>
      <c r="J731" s="33">
        <f>24.8429 * CHOOSE(CONTROL!$C$32, $C$9, 100%, $E$9)</f>
        <v>24.8429</v>
      </c>
      <c r="K731" s="33">
        <f>24.8466 * CHOOSE(CONTROL!$C$32, $C$9, 100%, $E$9)</f>
        <v>24.846599999999999</v>
      </c>
      <c r="L731" s="33">
        <f>12.1644 * CHOOSE(CONTROL!$C$32, $C$9, 100%, $E$9)</f>
        <v>12.164400000000001</v>
      </c>
      <c r="M731" s="33">
        <f>12.168 * CHOOSE(CONTROL!$C$32, $C$9, 100%, $E$9)</f>
        <v>12.167999999999999</v>
      </c>
      <c r="N731" s="33">
        <f>12.1644 * CHOOSE(CONTROL!$C$32, $C$9, 100%, $E$9)</f>
        <v>12.164400000000001</v>
      </c>
      <c r="O731" s="33">
        <f>12.168 * CHOOSE(CONTROL!$C$32, $C$9, 100%, $E$9)</f>
        <v>12.167999999999999</v>
      </c>
    </row>
    <row r="732" spans="1:15" ht="15" x14ac:dyDescent="0.2">
      <c r="A732" s="16">
        <v>63494</v>
      </c>
      <c r="B732" s="32">
        <f>10.8566 * CHOOSE(CONTROL!$C$32, $C$9, 100%, $E$9)</f>
        <v>10.8566</v>
      </c>
      <c r="C732" s="32">
        <f>10.8566 * CHOOSE(CONTROL!$C$32, $C$9, 100%, $E$9)</f>
        <v>10.8566</v>
      </c>
      <c r="D732" s="32">
        <f>10.8576 * CHOOSE(CONTROL!$C$32, $C$9, 100%, $E$9)</f>
        <v>10.8576</v>
      </c>
      <c r="E732" s="33">
        <f>12.2322 * CHOOSE(CONTROL!$C$32, $C$9, 100%, $E$9)</f>
        <v>12.232200000000001</v>
      </c>
      <c r="F732" s="33">
        <f>12.2322 * CHOOSE(CONTROL!$C$32, $C$9, 100%, $E$9)</f>
        <v>12.232200000000001</v>
      </c>
      <c r="G732" s="33">
        <f>12.2358 * CHOOSE(CONTROL!$C$32, $C$9, 100%, $E$9)</f>
        <v>12.235799999999999</v>
      </c>
      <c r="H732" s="33">
        <f>24.8947 * CHOOSE(CONTROL!$C$32, $C$9, 100%, $E$9)</f>
        <v>24.8947</v>
      </c>
      <c r="I732" s="33">
        <f>24.8983 * CHOOSE(CONTROL!$C$32, $C$9, 100%, $E$9)</f>
        <v>24.898299999999999</v>
      </c>
      <c r="J732" s="33">
        <f>24.8947 * CHOOSE(CONTROL!$C$32, $C$9, 100%, $E$9)</f>
        <v>24.8947</v>
      </c>
      <c r="K732" s="33">
        <f>24.8983 * CHOOSE(CONTROL!$C$32, $C$9, 100%, $E$9)</f>
        <v>24.898299999999999</v>
      </c>
      <c r="L732" s="33">
        <f>12.2322 * CHOOSE(CONTROL!$C$32, $C$9, 100%, $E$9)</f>
        <v>12.232200000000001</v>
      </c>
      <c r="M732" s="33">
        <f>12.2358 * CHOOSE(CONTROL!$C$32, $C$9, 100%, $E$9)</f>
        <v>12.235799999999999</v>
      </c>
      <c r="N732" s="33">
        <f>12.2322 * CHOOSE(CONTROL!$C$32, $C$9, 100%, $E$9)</f>
        <v>12.232200000000001</v>
      </c>
      <c r="O732" s="33">
        <f>12.2358 * CHOOSE(CONTROL!$C$32, $C$9, 100%, $E$9)</f>
        <v>12.235799999999999</v>
      </c>
    </row>
    <row r="733" spans="1:15" ht="15" x14ac:dyDescent="0.2">
      <c r="A733" s="16">
        <v>63524</v>
      </c>
      <c r="B733" s="32">
        <f>10.8566 * CHOOSE(CONTROL!$C$32, $C$9, 100%, $E$9)</f>
        <v>10.8566</v>
      </c>
      <c r="C733" s="32">
        <f>10.8566 * CHOOSE(CONTROL!$C$32, $C$9, 100%, $E$9)</f>
        <v>10.8566</v>
      </c>
      <c r="D733" s="32">
        <f>10.8576 * CHOOSE(CONTROL!$C$32, $C$9, 100%, $E$9)</f>
        <v>10.8576</v>
      </c>
      <c r="E733" s="33">
        <f>12.068 * CHOOSE(CONTROL!$C$32, $C$9, 100%, $E$9)</f>
        <v>12.068</v>
      </c>
      <c r="F733" s="33">
        <f>12.068 * CHOOSE(CONTROL!$C$32, $C$9, 100%, $E$9)</f>
        <v>12.068</v>
      </c>
      <c r="G733" s="33">
        <f>12.0717 * CHOOSE(CONTROL!$C$32, $C$9, 100%, $E$9)</f>
        <v>12.0717</v>
      </c>
      <c r="H733" s="33">
        <f>24.9466 * CHOOSE(CONTROL!$C$32, $C$9, 100%, $E$9)</f>
        <v>24.9466</v>
      </c>
      <c r="I733" s="33">
        <f>24.9502 * CHOOSE(CONTROL!$C$32, $C$9, 100%, $E$9)</f>
        <v>24.950199999999999</v>
      </c>
      <c r="J733" s="33">
        <f>24.9466 * CHOOSE(CONTROL!$C$32, $C$9, 100%, $E$9)</f>
        <v>24.9466</v>
      </c>
      <c r="K733" s="33">
        <f>24.9502 * CHOOSE(CONTROL!$C$32, $C$9, 100%, $E$9)</f>
        <v>24.950199999999999</v>
      </c>
      <c r="L733" s="33">
        <f>12.068 * CHOOSE(CONTROL!$C$32, $C$9, 100%, $E$9)</f>
        <v>12.068</v>
      </c>
      <c r="M733" s="33">
        <f>12.0717 * CHOOSE(CONTROL!$C$32, $C$9, 100%, $E$9)</f>
        <v>12.0717</v>
      </c>
      <c r="N733" s="33">
        <f>12.068 * CHOOSE(CONTROL!$C$32, $C$9, 100%, $E$9)</f>
        <v>12.068</v>
      </c>
      <c r="O733" s="33">
        <f>12.0717 * CHOOSE(CONTROL!$C$32, $C$9, 100%, $E$9)</f>
        <v>12.0717</v>
      </c>
    </row>
    <row r="734" spans="1:15" ht="15" x14ac:dyDescent="0.2">
      <c r="A734" s="16">
        <v>63555</v>
      </c>
      <c r="B734" s="32">
        <f>10.8805 * CHOOSE(CONTROL!$C$32, $C$9, 100%, $E$9)</f>
        <v>10.8805</v>
      </c>
      <c r="C734" s="32">
        <f>10.8805 * CHOOSE(CONTROL!$C$32, $C$9, 100%, $E$9)</f>
        <v>10.8805</v>
      </c>
      <c r="D734" s="32">
        <f>10.8816 * CHOOSE(CONTROL!$C$32, $C$9, 100%, $E$9)</f>
        <v>10.881600000000001</v>
      </c>
      <c r="E734" s="33">
        <f>12.2205 * CHOOSE(CONTROL!$C$32, $C$9, 100%, $E$9)</f>
        <v>12.220499999999999</v>
      </c>
      <c r="F734" s="33">
        <f>12.2205 * CHOOSE(CONTROL!$C$32, $C$9, 100%, $E$9)</f>
        <v>12.220499999999999</v>
      </c>
      <c r="G734" s="33">
        <f>12.2242 * CHOOSE(CONTROL!$C$32, $C$9, 100%, $E$9)</f>
        <v>12.2242</v>
      </c>
      <c r="H734" s="33">
        <f>24.846 * CHOOSE(CONTROL!$C$32, $C$9, 100%, $E$9)</f>
        <v>24.846</v>
      </c>
      <c r="I734" s="33">
        <f>24.8496 * CHOOSE(CONTROL!$C$32, $C$9, 100%, $E$9)</f>
        <v>24.849599999999999</v>
      </c>
      <c r="J734" s="33">
        <f>24.846 * CHOOSE(CONTROL!$C$32, $C$9, 100%, $E$9)</f>
        <v>24.846</v>
      </c>
      <c r="K734" s="33">
        <f>24.8496 * CHOOSE(CONTROL!$C$32, $C$9, 100%, $E$9)</f>
        <v>24.849599999999999</v>
      </c>
      <c r="L734" s="33">
        <f>12.2205 * CHOOSE(CONTROL!$C$32, $C$9, 100%, $E$9)</f>
        <v>12.220499999999999</v>
      </c>
      <c r="M734" s="33">
        <f>12.2242 * CHOOSE(CONTROL!$C$32, $C$9, 100%, $E$9)</f>
        <v>12.2242</v>
      </c>
      <c r="N734" s="33">
        <f>12.2205 * CHOOSE(CONTROL!$C$32, $C$9, 100%, $E$9)</f>
        <v>12.220499999999999</v>
      </c>
      <c r="O734" s="33">
        <f>12.2242 * CHOOSE(CONTROL!$C$32, $C$9, 100%, $E$9)</f>
        <v>12.2242</v>
      </c>
    </row>
    <row r="735" spans="1:15" ht="15" x14ac:dyDescent="0.2">
      <c r="A735" s="16">
        <v>63586</v>
      </c>
      <c r="B735" s="32">
        <f>10.8775 * CHOOSE(CONTROL!$C$32, $C$9, 100%, $E$9)</f>
        <v>10.8775</v>
      </c>
      <c r="C735" s="32">
        <f>10.8775 * CHOOSE(CONTROL!$C$32, $C$9, 100%, $E$9)</f>
        <v>10.8775</v>
      </c>
      <c r="D735" s="32">
        <f>10.8785 * CHOOSE(CONTROL!$C$32, $C$9, 100%, $E$9)</f>
        <v>10.878500000000001</v>
      </c>
      <c r="E735" s="33">
        <f>11.9012 * CHOOSE(CONTROL!$C$32, $C$9, 100%, $E$9)</f>
        <v>11.901199999999999</v>
      </c>
      <c r="F735" s="33">
        <f>11.9012 * CHOOSE(CONTROL!$C$32, $C$9, 100%, $E$9)</f>
        <v>11.901199999999999</v>
      </c>
      <c r="G735" s="33">
        <f>11.9048 * CHOOSE(CONTROL!$C$32, $C$9, 100%, $E$9)</f>
        <v>11.9048</v>
      </c>
      <c r="H735" s="33">
        <f>24.8977 * CHOOSE(CONTROL!$C$32, $C$9, 100%, $E$9)</f>
        <v>24.8977</v>
      </c>
      <c r="I735" s="33">
        <f>24.9014 * CHOOSE(CONTROL!$C$32, $C$9, 100%, $E$9)</f>
        <v>24.901399999999999</v>
      </c>
      <c r="J735" s="33">
        <f>24.8977 * CHOOSE(CONTROL!$C$32, $C$9, 100%, $E$9)</f>
        <v>24.8977</v>
      </c>
      <c r="K735" s="33">
        <f>24.9014 * CHOOSE(CONTROL!$C$32, $C$9, 100%, $E$9)</f>
        <v>24.901399999999999</v>
      </c>
      <c r="L735" s="33">
        <f>11.9012 * CHOOSE(CONTROL!$C$32, $C$9, 100%, $E$9)</f>
        <v>11.901199999999999</v>
      </c>
      <c r="M735" s="33">
        <f>11.9048 * CHOOSE(CONTROL!$C$32, $C$9, 100%, $E$9)</f>
        <v>11.9048</v>
      </c>
      <c r="N735" s="33">
        <f>11.9012 * CHOOSE(CONTROL!$C$32, $C$9, 100%, $E$9)</f>
        <v>11.901199999999999</v>
      </c>
      <c r="O735" s="33">
        <f>11.9048 * CHOOSE(CONTROL!$C$32, $C$9, 100%, $E$9)</f>
        <v>11.9048</v>
      </c>
    </row>
    <row r="736" spans="1:15" ht="15" x14ac:dyDescent="0.2">
      <c r="A736" s="16">
        <v>63614</v>
      </c>
      <c r="B736" s="32">
        <f>10.8744 * CHOOSE(CONTROL!$C$32, $C$9, 100%, $E$9)</f>
        <v>10.8744</v>
      </c>
      <c r="C736" s="32">
        <f>10.8744 * CHOOSE(CONTROL!$C$32, $C$9, 100%, $E$9)</f>
        <v>10.8744</v>
      </c>
      <c r="D736" s="32">
        <f>10.8755 * CHOOSE(CONTROL!$C$32, $C$9, 100%, $E$9)</f>
        <v>10.875500000000001</v>
      </c>
      <c r="E736" s="33">
        <f>12.1491 * CHOOSE(CONTROL!$C$32, $C$9, 100%, $E$9)</f>
        <v>12.149100000000001</v>
      </c>
      <c r="F736" s="33">
        <f>12.1491 * CHOOSE(CONTROL!$C$32, $C$9, 100%, $E$9)</f>
        <v>12.149100000000001</v>
      </c>
      <c r="G736" s="33">
        <f>12.1528 * CHOOSE(CONTROL!$C$32, $C$9, 100%, $E$9)</f>
        <v>12.152799999999999</v>
      </c>
      <c r="H736" s="33">
        <f>24.9496 * CHOOSE(CONTROL!$C$32, $C$9, 100%, $E$9)</f>
        <v>24.9496</v>
      </c>
      <c r="I736" s="33">
        <f>24.9532 * CHOOSE(CONTROL!$C$32, $C$9, 100%, $E$9)</f>
        <v>24.953199999999999</v>
      </c>
      <c r="J736" s="33">
        <f>24.9496 * CHOOSE(CONTROL!$C$32, $C$9, 100%, $E$9)</f>
        <v>24.9496</v>
      </c>
      <c r="K736" s="33">
        <f>24.9532 * CHOOSE(CONTROL!$C$32, $C$9, 100%, $E$9)</f>
        <v>24.953199999999999</v>
      </c>
      <c r="L736" s="33">
        <f>12.1491 * CHOOSE(CONTROL!$C$32, $C$9, 100%, $E$9)</f>
        <v>12.149100000000001</v>
      </c>
      <c r="M736" s="33">
        <f>12.1528 * CHOOSE(CONTROL!$C$32, $C$9, 100%, $E$9)</f>
        <v>12.152799999999999</v>
      </c>
      <c r="N736" s="33">
        <f>12.1491 * CHOOSE(CONTROL!$C$32, $C$9, 100%, $E$9)</f>
        <v>12.149100000000001</v>
      </c>
      <c r="O736" s="33">
        <f>12.1528 * CHOOSE(CONTROL!$C$32, $C$9, 100%, $E$9)</f>
        <v>12.152799999999999</v>
      </c>
    </row>
    <row r="737" spans="1:15" ht="15" x14ac:dyDescent="0.2">
      <c r="A737" s="16">
        <v>63645</v>
      </c>
      <c r="B737" s="32">
        <f>10.8787 * CHOOSE(CONTROL!$C$32, $C$9, 100%, $E$9)</f>
        <v>10.8787</v>
      </c>
      <c r="C737" s="32">
        <f>10.8787 * CHOOSE(CONTROL!$C$32, $C$9, 100%, $E$9)</f>
        <v>10.8787</v>
      </c>
      <c r="D737" s="32">
        <f>10.8798 * CHOOSE(CONTROL!$C$32, $C$9, 100%, $E$9)</f>
        <v>10.879799999999999</v>
      </c>
      <c r="E737" s="33">
        <f>12.4135 * CHOOSE(CONTROL!$C$32, $C$9, 100%, $E$9)</f>
        <v>12.413500000000001</v>
      </c>
      <c r="F737" s="33">
        <f>12.4135 * CHOOSE(CONTROL!$C$32, $C$9, 100%, $E$9)</f>
        <v>12.413500000000001</v>
      </c>
      <c r="G737" s="33">
        <f>12.4171 * CHOOSE(CONTROL!$C$32, $C$9, 100%, $E$9)</f>
        <v>12.4171</v>
      </c>
      <c r="H737" s="33">
        <f>25.0016 * CHOOSE(CONTROL!$C$32, $C$9, 100%, $E$9)</f>
        <v>25.0016</v>
      </c>
      <c r="I737" s="33">
        <f>25.0052 * CHOOSE(CONTROL!$C$32, $C$9, 100%, $E$9)</f>
        <v>25.005199999999999</v>
      </c>
      <c r="J737" s="33">
        <f>25.0016 * CHOOSE(CONTROL!$C$32, $C$9, 100%, $E$9)</f>
        <v>25.0016</v>
      </c>
      <c r="K737" s="33">
        <f>25.0052 * CHOOSE(CONTROL!$C$32, $C$9, 100%, $E$9)</f>
        <v>25.005199999999999</v>
      </c>
      <c r="L737" s="33">
        <f>12.4135 * CHOOSE(CONTROL!$C$32, $C$9, 100%, $E$9)</f>
        <v>12.413500000000001</v>
      </c>
      <c r="M737" s="33">
        <f>12.4171 * CHOOSE(CONTROL!$C$32, $C$9, 100%, $E$9)</f>
        <v>12.4171</v>
      </c>
      <c r="N737" s="33">
        <f>12.4135 * CHOOSE(CONTROL!$C$32, $C$9, 100%, $E$9)</f>
        <v>12.413500000000001</v>
      </c>
      <c r="O737" s="33">
        <f>12.4171 * CHOOSE(CONTROL!$C$32, $C$9, 100%, $E$9)</f>
        <v>12.4171</v>
      </c>
    </row>
    <row r="738" spans="1:15" ht="15" x14ac:dyDescent="0.2">
      <c r="A738" s="16">
        <v>63675</v>
      </c>
      <c r="B738" s="32">
        <f>10.8787 * CHOOSE(CONTROL!$C$32, $C$9, 100%, $E$9)</f>
        <v>10.8787</v>
      </c>
      <c r="C738" s="32">
        <f>10.8787 * CHOOSE(CONTROL!$C$32, $C$9, 100%, $E$9)</f>
        <v>10.8787</v>
      </c>
      <c r="D738" s="32">
        <f>10.8803 * CHOOSE(CONTROL!$C$32, $C$9, 100%, $E$9)</f>
        <v>10.8803</v>
      </c>
      <c r="E738" s="33">
        <f>12.5142 * CHOOSE(CONTROL!$C$32, $C$9, 100%, $E$9)</f>
        <v>12.514200000000001</v>
      </c>
      <c r="F738" s="33">
        <f>12.5142 * CHOOSE(CONTROL!$C$32, $C$9, 100%, $E$9)</f>
        <v>12.514200000000001</v>
      </c>
      <c r="G738" s="33">
        <f>12.5195 * CHOOSE(CONTROL!$C$32, $C$9, 100%, $E$9)</f>
        <v>12.519500000000001</v>
      </c>
      <c r="H738" s="33">
        <f>25.0537 * CHOOSE(CONTROL!$C$32, $C$9, 100%, $E$9)</f>
        <v>25.053699999999999</v>
      </c>
      <c r="I738" s="33">
        <f>25.059 * CHOOSE(CONTROL!$C$32, $C$9, 100%, $E$9)</f>
        <v>25.059000000000001</v>
      </c>
      <c r="J738" s="33">
        <f>25.0537 * CHOOSE(CONTROL!$C$32, $C$9, 100%, $E$9)</f>
        <v>25.053699999999999</v>
      </c>
      <c r="K738" s="33">
        <f>25.059 * CHOOSE(CONTROL!$C$32, $C$9, 100%, $E$9)</f>
        <v>25.059000000000001</v>
      </c>
      <c r="L738" s="33">
        <f>12.5142 * CHOOSE(CONTROL!$C$32, $C$9, 100%, $E$9)</f>
        <v>12.514200000000001</v>
      </c>
      <c r="M738" s="33">
        <f>12.5195 * CHOOSE(CONTROL!$C$32, $C$9, 100%, $E$9)</f>
        <v>12.519500000000001</v>
      </c>
      <c r="N738" s="33">
        <f>12.5142 * CHOOSE(CONTROL!$C$32, $C$9, 100%, $E$9)</f>
        <v>12.514200000000001</v>
      </c>
      <c r="O738" s="33">
        <f>12.5195 * CHOOSE(CONTROL!$C$32, $C$9, 100%, $E$9)</f>
        <v>12.519500000000001</v>
      </c>
    </row>
    <row r="739" spans="1:15" ht="15" x14ac:dyDescent="0.2">
      <c r="A739" s="16">
        <v>63706</v>
      </c>
      <c r="B739" s="32">
        <f>10.8848 * CHOOSE(CONTROL!$C$32, $C$9, 100%, $E$9)</f>
        <v>10.8848</v>
      </c>
      <c r="C739" s="32">
        <f>10.8848 * CHOOSE(CONTROL!$C$32, $C$9, 100%, $E$9)</f>
        <v>10.8848</v>
      </c>
      <c r="D739" s="32">
        <f>10.8864 * CHOOSE(CONTROL!$C$32, $C$9, 100%, $E$9)</f>
        <v>10.8864</v>
      </c>
      <c r="E739" s="33">
        <f>12.4177 * CHOOSE(CONTROL!$C$32, $C$9, 100%, $E$9)</f>
        <v>12.4177</v>
      </c>
      <c r="F739" s="33">
        <f>12.4177 * CHOOSE(CONTROL!$C$32, $C$9, 100%, $E$9)</f>
        <v>12.4177</v>
      </c>
      <c r="G739" s="33">
        <f>12.423 * CHOOSE(CONTROL!$C$32, $C$9, 100%, $E$9)</f>
        <v>12.423</v>
      </c>
      <c r="H739" s="33">
        <f>25.1059 * CHOOSE(CONTROL!$C$32, $C$9, 100%, $E$9)</f>
        <v>25.105899999999998</v>
      </c>
      <c r="I739" s="33">
        <f>25.1112 * CHOOSE(CONTROL!$C$32, $C$9, 100%, $E$9)</f>
        <v>25.1112</v>
      </c>
      <c r="J739" s="33">
        <f>25.1059 * CHOOSE(CONTROL!$C$32, $C$9, 100%, $E$9)</f>
        <v>25.105899999999998</v>
      </c>
      <c r="K739" s="33">
        <f>25.1112 * CHOOSE(CONTROL!$C$32, $C$9, 100%, $E$9)</f>
        <v>25.1112</v>
      </c>
      <c r="L739" s="33">
        <f>12.4177 * CHOOSE(CONTROL!$C$32, $C$9, 100%, $E$9)</f>
        <v>12.4177</v>
      </c>
      <c r="M739" s="33">
        <f>12.423 * CHOOSE(CONTROL!$C$32, $C$9, 100%, $E$9)</f>
        <v>12.423</v>
      </c>
      <c r="N739" s="33">
        <f>12.4177 * CHOOSE(CONTROL!$C$32, $C$9, 100%, $E$9)</f>
        <v>12.4177</v>
      </c>
      <c r="O739" s="33">
        <f>12.423 * CHOOSE(CONTROL!$C$32, $C$9, 100%, $E$9)</f>
        <v>12.423</v>
      </c>
    </row>
    <row r="740" spans="1:15" ht="15" x14ac:dyDescent="0.2">
      <c r="A740" s="16">
        <v>63736</v>
      </c>
      <c r="B740" s="32">
        <f>11.0189 * CHOOSE(CONTROL!$C$32, $C$9, 100%, $E$9)</f>
        <v>11.0189</v>
      </c>
      <c r="C740" s="32">
        <f>11.0189 * CHOOSE(CONTROL!$C$32, $C$9, 100%, $E$9)</f>
        <v>11.0189</v>
      </c>
      <c r="D740" s="32">
        <f>11.0205 * CHOOSE(CONTROL!$C$32, $C$9, 100%, $E$9)</f>
        <v>11.0205</v>
      </c>
      <c r="E740" s="33">
        <f>12.5924 * CHOOSE(CONTROL!$C$32, $C$9, 100%, $E$9)</f>
        <v>12.5924</v>
      </c>
      <c r="F740" s="33">
        <f>12.5924 * CHOOSE(CONTROL!$C$32, $C$9, 100%, $E$9)</f>
        <v>12.5924</v>
      </c>
      <c r="G740" s="33">
        <f>12.5977 * CHOOSE(CONTROL!$C$32, $C$9, 100%, $E$9)</f>
        <v>12.5977</v>
      </c>
      <c r="H740" s="33">
        <f>25.1582 * CHOOSE(CONTROL!$C$32, $C$9, 100%, $E$9)</f>
        <v>25.158200000000001</v>
      </c>
      <c r="I740" s="33">
        <f>25.1635 * CHOOSE(CONTROL!$C$32, $C$9, 100%, $E$9)</f>
        <v>25.163499999999999</v>
      </c>
      <c r="J740" s="33">
        <f>25.1582 * CHOOSE(CONTROL!$C$32, $C$9, 100%, $E$9)</f>
        <v>25.158200000000001</v>
      </c>
      <c r="K740" s="33">
        <f>25.1635 * CHOOSE(CONTROL!$C$32, $C$9, 100%, $E$9)</f>
        <v>25.163499999999999</v>
      </c>
      <c r="L740" s="33">
        <f>12.5924 * CHOOSE(CONTROL!$C$32, $C$9, 100%, $E$9)</f>
        <v>12.5924</v>
      </c>
      <c r="M740" s="33">
        <f>12.5977 * CHOOSE(CONTROL!$C$32, $C$9, 100%, $E$9)</f>
        <v>12.5977</v>
      </c>
      <c r="N740" s="33">
        <f>12.5924 * CHOOSE(CONTROL!$C$32, $C$9, 100%, $E$9)</f>
        <v>12.5924</v>
      </c>
      <c r="O740" s="33">
        <f>12.5977 * CHOOSE(CONTROL!$C$32, $C$9, 100%, $E$9)</f>
        <v>12.5977</v>
      </c>
    </row>
    <row r="741" spans="1:15" ht="15" x14ac:dyDescent="0.2">
      <c r="A741" s="16">
        <v>63767</v>
      </c>
      <c r="B741" s="32">
        <f>11.0256 * CHOOSE(CONTROL!$C$32, $C$9, 100%, $E$9)</f>
        <v>11.025600000000001</v>
      </c>
      <c r="C741" s="32">
        <f>11.0256 * CHOOSE(CONTROL!$C$32, $C$9, 100%, $E$9)</f>
        <v>11.025600000000001</v>
      </c>
      <c r="D741" s="32">
        <f>11.0272 * CHOOSE(CONTROL!$C$32, $C$9, 100%, $E$9)</f>
        <v>11.027200000000001</v>
      </c>
      <c r="E741" s="33">
        <f>12.2949 * CHOOSE(CONTROL!$C$32, $C$9, 100%, $E$9)</f>
        <v>12.2949</v>
      </c>
      <c r="F741" s="33">
        <f>12.2949 * CHOOSE(CONTROL!$C$32, $C$9, 100%, $E$9)</f>
        <v>12.2949</v>
      </c>
      <c r="G741" s="33">
        <f>12.3002 * CHOOSE(CONTROL!$C$32, $C$9, 100%, $E$9)</f>
        <v>12.3002</v>
      </c>
      <c r="H741" s="33">
        <f>25.2106 * CHOOSE(CONTROL!$C$32, $C$9, 100%, $E$9)</f>
        <v>25.210599999999999</v>
      </c>
      <c r="I741" s="33">
        <f>25.2159 * CHOOSE(CONTROL!$C$32, $C$9, 100%, $E$9)</f>
        <v>25.215900000000001</v>
      </c>
      <c r="J741" s="33">
        <f>25.2106 * CHOOSE(CONTROL!$C$32, $C$9, 100%, $E$9)</f>
        <v>25.210599999999999</v>
      </c>
      <c r="K741" s="33">
        <f>25.2159 * CHOOSE(CONTROL!$C$32, $C$9, 100%, $E$9)</f>
        <v>25.215900000000001</v>
      </c>
      <c r="L741" s="33">
        <f>12.2949 * CHOOSE(CONTROL!$C$32, $C$9, 100%, $E$9)</f>
        <v>12.2949</v>
      </c>
      <c r="M741" s="33">
        <f>12.3002 * CHOOSE(CONTROL!$C$32, $C$9, 100%, $E$9)</f>
        <v>12.3002</v>
      </c>
      <c r="N741" s="33">
        <f>12.2949 * CHOOSE(CONTROL!$C$32, $C$9, 100%, $E$9)</f>
        <v>12.2949</v>
      </c>
      <c r="O741" s="33">
        <f>12.3002 * CHOOSE(CONTROL!$C$32, $C$9, 100%, $E$9)</f>
        <v>12.3002</v>
      </c>
    </row>
    <row r="742" spans="1:15" ht="15" x14ac:dyDescent="0.2">
      <c r="A742" s="16">
        <v>63798</v>
      </c>
      <c r="B742" s="32">
        <f>11.0226 * CHOOSE(CONTROL!$C$32, $C$9, 100%, $E$9)</f>
        <v>11.022600000000001</v>
      </c>
      <c r="C742" s="32">
        <f>11.0226 * CHOOSE(CONTROL!$C$32, $C$9, 100%, $E$9)</f>
        <v>11.022600000000001</v>
      </c>
      <c r="D742" s="32">
        <f>11.0241 * CHOOSE(CONTROL!$C$32, $C$9, 100%, $E$9)</f>
        <v>11.024100000000001</v>
      </c>
      <c r="E742" s="33">
        <f>12.2592 * CHOOSE(CONTROL!$C$32, $C$9, 100%, $E$9)</f>
        <v>12.2592</v>
      </c>
      <c r="F742" s="33">
        <f>12.2592 * CHOOSE(CONTROL!$C$32, $C$9, 100%, $E$9)</f>
        <v>12.2592</v>
      </c>
      <c r="G742" s="33">
        <f>12.2645 * CHOOSE(CONTROL!$C$32, $C$9, 100%, $E$9)</f>
        <v>12.2645</v>
      </c>
      <c r="H742" s="33">
        <f>25.2631 * CHOOSE(CONTROL!$C$32, $C$9, 100%, $E$9)</f>
        <v>25.263100000000001</v>
      </c>
      <c r="I742" s="33">
        <f>25.2684 * CHOOSE(CONTROL!$C$32, $C$9, 100%, $E$9)</f>
        <v>25.2684</v>
      </c>
      <c r="J742" s="33">
        <f>25.2631 * CHOOSE(CONTROL!$C$32, $C$9, 100%, $E$9)</f>
        <v>25.263100000000001</v>
      </c>
      <c r="K742" s="33">
        <f>25.2684 * CHOOSE(CONTROL!$C$32, $C$9, 100%, $E$9)</f>
        <v>25.2684</v>
      </c>
      <c r="L742" s="33">
        <f>12.2592 * CHOOSE(CONTROL!$C$32, $C$9, 100%, $E$9)</f>
        <v>12.2592</v>
      </c>
      <c r="M742" s="33">
        <f>12.2645 * CHOOSE(CONTROL!$C$32, $C$9, 100%, $E$9)</f>
        <v>12.2645</v>
      </c>
      <c r="N742" s="33">
        <f>12.2592 * CHOOSE(CONTROL!$C$32, $C$9, 100%, $E$9)</f>
        <v>12.2592</v>
      </c>
      <c r="O742" s="33">
        <f>12.2645 * CHOOSE(CONTROL!$C$32, $C$9, 100%, $E$9)</f>
        <v>12.2645</v>
      </c>
    </row>
    <row r="743" spans="1:15" ht="15" x14ac:dyDescent="0.2">
      <c r="A743" s="16">
        <v>63828</v>
      </c>
      <c r="B743" s="32">
        <f>11.0438 * CHOOSE(CONTROL!$C$32, $C$9, 100%, $E$9)</f>
        <v>11.043799999999999</v>
      </c>
      <c r="C743" s="32">
        <f>11.0438 * CHOOSE(CONTROL!$C$32, $C$9, 100%, $E$9)</f>
        <v>11.043799999999999</v>
      </c>
      <c r="D743" s="32">
        <f>11.0449 * CHOOSE(CONTROL!$C$32, $C$9, 100%, $E$9)</f>
        <v>11.0449</v>
      </c>
      <c r="E743" s="33">
        <f>12.3801 * CHOOSE(CONTROL!$C$32, $C$9, 100%, $E$9)</f>
        <v>12.380100000000001</v>
      </c>
      <c r="F743" s="33">
        <f>12.3801 * CHOOSE(CONTROL!$C$32, $C$9, 100%, $E$9)</f>
        <v>12.380100000000001</v>
      </c>
      <c r="G743" s="33">
        <f>12.3837 * CHOOSE(CONTROL!$C$32, $C$9, 100%, $E$9)</f>
        <v>12.383699999999999</v>
      </c>
      <c r="H743" s="33">
        <f>25.3157 * CHOOSE(CONTROL!$C$32, $C$9, 100%, $E$9)</f>
        <v>25.3157</v>
      </c>
      <c r="I743" s="33">
        <f>25.3194 * CHOOSE(CONTROL!$C$32, $C$9, 100%, $E$9)</f>
        <v>25.319400000000002</v>
      </c>
      <c r="J743" s="33">
        <f>25.3157 * CHOOSE(CONTROL!$C$32, $C$9, 100%, $E$9)</f>
        <v>25.3157</v>
      </c>
      <c r="K743" s="33">
        <f>25.3194 * CHOOSE(CONTROL!$C$32, $C$9, 100%, $E$9)</f>
        <v>25.319400000000002</v>
      </c>
      <c r="L743" s="33">
        <f>12.3801 * CHOOSE(CONTROL!$C$32, $C$9, 100%, $E$9)</f>
        <v>12.380100000000001</v>
      </c>
      <c r="M743" s="33">
        <f>12.3837 * CHOOSE(CONTROL!$C$32, $C$9, 100%, $E$9)</f>
        <v>12.383699999999999</v>
      </c>
      <c r="N743" s="33">
        <f>12.3801 * CHOOSE(CONTROL!$C$32, $C$9, 100%, $E$9)</f>
        <v>12.380100000000001</v>
      </c>
      <c r="O743" s="33">
        <f>12.3837 * CHOOSE(CONTROL!$C$32, $C$9, 100%, $E$9)</f>
        <v>12.383699999999999</v>
      </c>
    </row>
    <row r="744" spans="1:15" ht="15" x14ac:dyDescent="0.2">
      <c r="A744" s="16">
        <v>63859</v>
      </c>
      <c r="B744" s="32">
        <f>11.0469 * CHOOSE(CONTROL!$C$32, $C$9, 100%, $E$9)</f>
        <v>11.046900000000001</v>
      </c>
      <c r="C744" s="32">
        <f>11.0469 * CHOOSE(CONTROL!$C$32, $C$9, 100%, $E$9)</f>
        <v>11.046900000000001</v>
      </c>
      <c r="D744" s="32">
        <f>11.048 * CHOOSE(CONTROL!$C$32, $C$9, 100%, $E$9)</f>
        <v>11.048</v>
      </c>
      <c r="E744" s="33">
        <f>12.4493 * CHOOSE(CONTROL!$C$32, $C$9, 100%, $E$9)</f>
        <v>12.449299999999999</v>
      </c>
      <c r="F744" s="33">
        <f>12.4493 * CHOOSE(CONTROL!$C$32, $C$9, 100%, $E$9)</f>
        <v>12.449299999999999</v>
      </c>
      <c r="G744" s="33">
        <f>12.453 * CHOOSE(CONTROL!$C$32, $C$9, 100%, $E$9)</f>
        <v>12.452999999999999</v>
      </c>
      <c r="H744" s="33">
        <f>25.3685 * CHOOSE(CONTROL!$C$32, $C$9, 100%, $E$9)</f>
        <v>25.368500000000001</v>
      </c>
      <c r="I744" s="33">
        <f>25.3721 * CHOOSE(CONTROL!$C$32, $C$9, 100%, $E$9)</f>
        <v>25.3721</v>
      </c>
      <c r="J744" s="33">
        <f>25.3685 * CHOOSE(CONTROL!$C$32, $C$9, 100%, $E$9)</f>
        <v>25.368500000000001</v>
      </c>
      <c r="K744" s="33">
        <f>25.3721 * CHOOSE(CONTROL!$C$32, $C$9, 100%, $E$9)</f>
        <v>25.3721</v>
      </c>
      <c r="L744" s="33">
        <f>12.4493 * CHOOSE(CONTROL!$C$32, $C$9, 100%, $E$9)</f>
        <v>12.449299999999999</v>
      </c>
      <c r="M744" s="33">
        <f>12.453 * CHOOSE(CONTROL!$C$32, $C$9, 100%, $E$9)</f>
        <v>12.452999999999999</v>
      </c>
      <c r="N744" s="33">
        <f>12.4493 * CHOOSE(CONTROL!$C$32, $C$9, 100%, $E$9)</f>
        <v>12.449299999999999</v>
      </c>
      <c r="O744" s="33">
        <f>12.453 * CHOOSE(CONTROL!$C$32, $C$9, 100%, $E$9)</f>
        <v>12.452999999999999</v>
      </c>
    </row>
    <row r="745" spans="1:15" ht="15" x14ac:dyDescent="0.2">
      <c r="A745" s="16">
        <v>63889</v>
      </c>
      <c r="B745" s="32">
        <f>11.0469 * CHOOSE(CONTROL!$C$32, $C$9, 100%, $E$9)</f>
        <v>11.046900000000001</v>
      </c>
      <c r="C745" s="32">
        <f>11.0469 * CHOOSE(CONTROL!$C$32, $C$9, 100%, $E$9)</f>
        <v>11.046900000000001</v>
      </c>
      <c r="D745" s="32">
        <f>11.048 * CHOOSE(CONTROL!$C$32, $C$9, 100%, $E$9)</f>
        <v>11.048</v>
      </c>
      <c r="E745" s="33">
        <f>12.2815 * CHOOSE(CONTROL!$C$32, $C$9, 100%, $E$9)</f>
        <v>12.281499999999999</v>
      </c>
      <c r="F745" s="33">
        <f>12.2815 * CHOOSE(CONTROL!$C$32, $C$9, 100%, $E$9)</f>
        <v>12.281499999999999</v>
      </c>
      <c r="G745" s="33">
        <f>12.2851 * CHOOSE(CONTROL!$C$32, $C$9, 100%, $E$9)</f>
        <v>12.2851</v>
      </c>
      <c r="H745" s="33">
        <f>25.4213 * CHOOSE(CONTROL!$C$32, $C$9, 100%, $E$9)</f>
        <v>25.421299999999999</v>
      </c>
      <c r="I745" s="33">
        <f>25.425 * CHOOSE(CONTROL!$C$32, $C$9, 100%, $E$9)</f>
        <v>25.425000000000001</v>
      </c>
      <c r="J745" s="33">
        <f>25.4213 * CHOOSE(CONTROL!$C$32, $C$9, 100%, $E$9)</f>
        <v>25.421299999999999</v>
      </c>
      <c r="K745" s="33">
        <f>25.425 * CHOOSE(CONTROL!$C$32, $C$9, 100%, $E$9)</f>
        <v>25.425000000000001</v>
      </c>
      <c r="L745" s="33">
        <f>12.2815 * CHOOSE(CONTROL!$C$32, $C$9, 100%, $E$9)</f>
        <v>12.281499999999999</v>
      </c>
      <c r="M745" s="33">
        <f>12.2851 * CHOOSE(CONTROL!$C$32, $C$9, 100%, $E$9)</f>
        <v>12.2851</v>
      </c>
      <c r="N745" s="33">
        <f>12.2815 * CHOOSE(CONTROL!$C$32, $C$9, 100%, $E$9)</f>
        <v>12.281499999999999</v>
      </c>
      <c r="O745" s="33">
        <f>12.2851 * CHOOSE(CONTROL!$C$32, $C$9, 100%, $E$9)</f>
        <v>12.2851</v>
      </c>
    </row>
    <row r="746" spans="1:15" ht="15" x14ac:dyDescent="0.2">
      <c r="A746" s="16">
        <v>63920</v>
      </c>
      <c r="B746" s="32">
        <f>11.0679 * CHOOSE(CONTROL!$C$32, $C$9, 100%, $E$9)</f>
        <v>11.0679</v>
      </c>
      <c r="C746" s="32">
        <f>11.0679 * CHOOSE(CONTROL!$C$32, $C$9, 100%, $E$9)</f>
        <v>11.0679</v>
      </c>
      <c r="D746" s="32">
        <f>11.0689 * CHOOSE(CONTROL!$C$32, $C$9, 100%, $E$9)</f>
        <v>11.068899999999999</v>
      </c>
      <c r="E746" s="33">
        <f>12.433 * CHOOSE(CONTROL!$C$32, $C$9, 100%, $E$9)</f>
        <v>12.433</v>
      </c>
      <c r="F746" s="33">
        <f>12.433 * CHOOSE(CONTROL!$C$32, $C$9, 100%, $E$9)</f>
        <v>12.433</v>
      </c>
      <c r="G746" s="33">
        <f>12.4367 * CHOOSE(CONTROL!$C$32, $C$9, 100%, $E$9)</f>
        <v>12.4367</v>
      </c>
      <c r="H746" s="33">
        <f>25.31 * CHOOSE(CONTROL!$C$32, $C$9, 100%, $E$9)</f>
        <v>25.31</v>
      </c>
      <c r="I746" s="33">
        <f>25.3136 * CHOOSE(CONTROL!$C$32, $C$9, 100%, $E$9)</f>
        <v>25.313600000000001</v>
      </c>
      <c r="J746" s="33">
        <f>25.31 * CHOOSE(CONTROL!$C$32, $C$9, 100%, $E$9)</f>
        <v>25.31</v>
      </c>
      <c r="K746" s="33">
        <f>25.3136 * CHOOSE(CONTROL!$C$32, $C$9, 100%, $E$9)</f>
        <v>25.313600000000001</v>
      </c>
      <c r="L746" s="33">
        <f>12.433 * CHOOSE(CONTROL!$C$32, $C$9, 100%, $E$9)</f>
        <v>12.433</v>
      </c>
      <c r="M746" s="33">
        <f>12.4367 * CHOOSE(CONTROL!$C$32, $C$9, 100%, $E$9)</f>
        <v>12.4367</v>
      </c>
      <c r="N746" s="33">
        <f>12.433 * CHOOSE(CONTROL!$C$32, $C$9, 100%, $E$9)</f>
        <v>12.433</v>
      </c>
      <c r="O746" s="33">
        <f>12.4367 * CHOOSE(CONTROL!$C$32, $C$9, 100%, $E$9)</f>
        <v>12.4367</v>
      </c>
    </row>
    <row r="747" spans="1:15" ht="15" x14ac:dyDescent="0.2">
      <c r="A747" s="16">
        <v>63951</v>
      </c>
      <c r="B747" s="32">
        <f>11.0648 * CHOOSE(CONTROL!$C$32, $C$9, 100%, $E$9)</f>
        <v>11.0648</v>
      </c>
      <c r="C747" s="32">
        <f>11.0648 * CHOOSE(CONTROL!$C$32, $C$9, 100%, $E$9)</f>
        <v>11.0648</v>
      </c>
      <c r="D747" s="32">
        <f>11.0659 * CHOOSE(CONTROL!$C$32, $C$9, 100%, $E$9)</f>
        <v>11.065899999999999</v>
      </c>
      <c r="E747" s="33">
        <f>12.1066 * CHOOSE(CONTROL!$C$32, $C$9, 100%, $E$9)</f>
        <v>12.1066</v>
      </c>
      <c r="F747" s="33">
        <f>12.1066 * CHOOSE(CONTROL!$C$32, $C$9, 100%, $E$9)</f>
        <v>12.1066</v>
      </c>
      <c r="G747" s="33">
        <f>12.1102 * CHOOSE(CONTROL!$C$32, $C$9, 100%, $E$9)</f>
        <v>12.110200000000001</v>
      </c>
      <c r="H747" s="33">
        <f>25.3627 * CHOOSE(CONTROL!$C$32, $C$9, 100%, $E$9)</f>
        <v>25.3627</v>
      </c>
      <c r="I747" s="33">
        <f>25.3664 * CHOOSE(CONTROL!$C$32, $C$9, 100%, $E$9)</f>
        <v>25.366399999999999</v>
      </c>
      <c r="J747" s="33">
        <f>25.3627 * CHOOSE(CONTROL!$C$32, $C$9, 100%, $E$9)</f>
        <v>25.3627</v>
      </c>
      <c r="K747" s="33">
        <f>25.3664 * CHOOSE(CONTROL!$C$32, $C$9, 100%, $E$9)</f>
        <v>25.366399999999999</v>
      </c>
      <c r="L747" s="33">
        <f>12.1066 * CHOOSE(CONTROL!$C$32, $C$9, 100%, $E$9)</f>
        <v>12.1066</v>
      </c>
      <c r="M747" s="33">
        <f>12.1102 * CHOOSE(CONTROL!$C$32, $C$9, 100%, $E$9)</f>
        <v>12.110200000000001</v>
      </c>
      <c r="N747" s="33">
        <f>12.1066 * CHOOSE(CONTROL!$C$32, $C$9, 100%, $E$9)</f>
        <v>12.1066</v>
      </c>
      <c r="O747" s="33">
        <f>12.1102 * CHOOSE(CONTROL!$C$32, $C$9, 100%, $E$9)</f>
        <v>12.110200000000001</v>
      </c>
    </row>
    <row r="748" spans="1:15" ht="15" x14ac:dyDescent="0.2">
      <c r="A748" s="16">
        <v>63979</v>
      </c>
      <c r="B748" s="32">
        <f>11.0618 * CHOOSE(CONTROL!$C$32, $C$9, 100%, $E$9)</f>
        <v>11.0618</v>
      </c>
      <c r="C748" s="32">
        <f>11.0618 * CHOOSE(CONTROL!$C$32, $C$9, 100%, $E$9)</f>
        <v>11.0618</v>
      </c>
      <c r="D748" s="32">
        <f>11.0629 * CHOOSE(CONTROL!$C$32, $C$9, 100%, $E$9)</f>
        <v>11.062900000000001</v>
      </c>
      <c r="E748" s="33">
        <f>12.3602 * CHOOSE(CONTROL!$C$32, $C$9, 100%, $E$9)</f>
        <v>12.360200000000001</v>
      </c>
      <c r="F748" s="33">
        <f>12.3602 * CHOOSE(CONTROL!$C$32, $C$9, 100%, $E$9)</f>
        <v>12.360200000000001</v>
      </c>
      <c r="G748" s="33">
        <f>12.3638 * CHOOSE(CONTROL!$C$32, $C$9, 100%, $E$9)</f>
        <v>12.363799999999999</v>
      </c>
      <c r="H748" s="33">
        <f>25.4156 * CHOOSE(CONTROL!$C$32, $C$9, 100%, $E$9)</f>
        <v>25.415600000000001</v>
      </c>
      <c r="I748" s="33">
        <f>25.4192 * CHOOSE(CONTROL!$C$32, $C$9, 100%, $E$9)</f>
        <v>25.4192</v>
      </c>
      <c r="J748" s="33">
        <f>25.4156 * CHOOSE(CONTROL!$C$32, $C$9, 100%, $E$9)</f>
        <v>25.415600000000001</v>
      </c>
      <c r="K748" s="33">
        <f>25.4192 * CHOOSE(CONTROL!$C$32, $C$9, 100%, $E$9)</f>
        <v>25.4192</v>
      </c>
      <c r="L748" s="33">
        <f>12.3602 * CHOOSE(CONTROL!$C$32, $C$9, 100%, $E$9)</f>
        <v>12.360200000000001</v>
      </c>
      <c r="M748" s="33">
        <f>12.3638 * CHOOSE(CONTROL!$C$32, $C$9, 100%, $E$9)</f>
        <v>12.363799999999999</v>
      </c>
      <c r="N748" s="33">
        <f>12.3602 * CHOOSE(CONTROL!$C$32, $C$9, 100%, $E$9)</f>
        <v>12.360200000000001</v>
      </c>
      <c r="O748" s="33">
        <f>12.3638 * CHOOSE(CONTROL!$C$32, $C$9, 100%, $E$9)</f>
        <v>12.363799999999999</v>
      </c>
    </row>
    <row r="749" spans="1:15" ht="15" x14ac:dyDescent="0.2">
      <c r="A749" s="16">
        <v>64010</v>
      </c>
      <c r="B749" s="32">
        <f>11.0663 * CHOOSE(CONTROL!$C$32, $C$9, 100%, $E$9)</f>
        <v>11.0663</v>
      </c>
      <c r="C749" s="32">
        <f>11.0663 * CHOOSE(CONTROL!$C$32, $C$9, 100%, $E$9)</f>
        <v>11.0663</v>
      </c>
      <c r="D749" s="32">
        <f>11.0674 * CHOOSE(CONTROL!$C$32, $C$9, 100%, $E$9)</f>
        <v>11.067399999999999</v>
      </c>
      <c r="E749" s="33">
        <f>12.6305 * CHOOSE(CONTROL!$C$32, $C$9, 100%, $E$9)</f>
        <v>12.6305</v>
      </c>
      <c r="F749" s="33">
        <f>12.6305 * CHOOSE(CONTROL!$C$32, $C$9, 100%, $E$9)</f>
        <v>12.6305</v>
      </c>
      <c r="G749" s="33">
        <f>12.6341 * CHOOSE(CONTROL!$C$32, $C$9, 100%, $E$9)</f>
        <v>12.6341</v>
      </c>
      <c r="H749" s="33">
        <f>25.4685 * CHOOSE(CONTROL!$C$32, $C$9, 100%, $E$9)</f>
        <v>25.468499999999999</v>
      </c>
      <c r="I749" s="33">
        <f>25.4721 * CHOOSE(CONTROL!$C$32, $C$9, 100%, $E$9)</f>
        <v>25.472100000000001</v>
      </c>
      <c r="J749" s="33">
        <f>25.4685 * CHOOSE(CONTROL!$C$32, $C$9, 100%, $E$9)</f>
        <v>25.468499999999999</v>
      </c>
      <c r="K749" s="33">
        <f>25.4721 * CHOOSE(CONTROL!$C$32, $C$9, 100%, $E$9)</f>
        <v>25.472100000000001</v>
      </c>
      <c r="L749" s="33">
        <f>12.6305 * CHOOSE(CONTROL!$C$32, $C$9, 100%, $E$9)</f>
        <v>12.6305</v>
      </c>
      <c r="M749" s="33">
        <f>12.6341 * CHOOSE(CONTROL!$C$32, $C$9, 100%, $E$9)</f>
        <v>12.6341</v>
      </c>
      <c r="N749" s="33">
        <f>12.6305 * CHOOSE(CONTROL!$C$32, $C$9, 100%, $E$9)</f>
        <v>12.6305</v>
      </c>
      <c r="O749" s="33">
        <f>12.6341 * CHOOSE(CONTROL!$C$32, $C$9, 100%, $E$9)</f>
        <v>12.6341</v>
      </c>
    </row>
    <row r="750" spans="1:15" ht="15" x14ac:dyDescent="0.2">
      <c r="A750" s="16">
        <v>64040</v>
      </c>
      <c r="B750" s="32">
        <f>11.0663 * CHOOSE(CONTROL!$C$32, $C$9, 100%, $E$9)</f>
        <v>11.0663</v>
      </c>
      <c r="C750" s="32">
        <f>11.0663 * CHOOSE(CONTROL!$C$32, $C$9, 100%, $E$9)</f>
        <v>11.0663</v>
      </c>
      <c r="D750" s="32">
        <f>11.0679 * CHOOSE(CONTROL!$C$32, $C$9, 100%, $E$9)</f>
        <v>11.0679</v>
      </c>
      <c r="E750" s="33">
        <f>12.7335 * CHOOSE(CONTROL!$C$32, $C$9, 100%, $E$9)</f>
        <v>12.733499999999999</v>
      </c>
      <c r="F750" s="33">
        <f>12.7335 * CHOOSE(CONTROL!$C$32, $C$9, 100%, $E$9)</f>
        <v>12.733499999999999</v>
      </c>
      <c r="G750" s="33">
        <f>12.7388 * CHOOSE(CONTROL!$C$32, $C$9, 100%, $E$9)</f>
        <v>12.738799999999999</v>
      </c>
      <c r="H750" s="33">
        <f>25.5216 * CHOOSE(CONTROL!$C$32, $C$9, 100%, $E$9)</f>
        <v>25.521599999999999</v>
      </c>
      <c r="I750" s="33">
        <f>25.5269 * CHOOSE(CONTROL!$C$32, $C$9, 100%, $E$9)</f>
        <v>25.526900000000001</v>
      </c>
      <c r="J750" s="33">
        <f>25.5216 * CHOOSE(CONTROL!$C$32, $C$9, 100%, $E$9)</f>
        <v>25.521599999999999</v>
      </c>
      <c r="K750" s="33">
        <f>25.5269 * CHOOSE(CONTROL!$C$32, $C$9, 100%, $E$9)</f>
        <v>25.526900000000001</v>
      </c>
      <c r="L750" s="33">
        <f>12.7335 * CHOOSE(CONTROL!$C$32, $C$9, 100%, $E$9)</f>
        <v>12.733499999999999</v>
      </c>
      <c r="M750" s="33">
        <f>12.7388 * CHOOSE(CONTROL!$C$32, $C$9, 100%, $E$9)</f>
        <v>12.738799999999999</v>
      </c>
      <c r="N750" s="33">
        <f>12.7335 * CHOOSE(CONTROL!$C$32, $C$9, 100%, $E$9)</f>
        <v>12.733499999999999</v>
      </c>
      <c r="O750" s="33">
        <f>12.7388 * CHOOSE(CONTROL!$C$32, $C$9, 100%, $E$9)</f>
        <v>12.738799999999999</v>
      </c>
    </row>
    <row r="751" spans="1:15" ht="15" x14ac:dyDescent="0.2">
      <c r="A751" s="16">
        <v>64071</v>
      </c>
      <c r="B751" s="32">
        <f>11.0724 * CHOOSE(CONTROL!$C$32, $C$9, 100%, $E$9)</f>
        <v>11.0724</v>
      </c>
      <c r="C751" s="32">
        <f>11.0724 * CHOOSE(CONTROL!$C$32, $C$9, 100%, $E$9)</f>
        <v>11.0724</v>
      </c>
      <c r="D751" s="32">
        <f>11.0739 * CHOOSE(CONTROL!$C$32, $C$9, 100%, $E$9)</f>
        <v>11.0739</v>
      </c>
      <c r="E751" s="33">
        <f>12.6347 * CHOOSE(CONTROL!$C$32, $C$9, 100%, $E$9)</f>
        <v>12.6347</v>
      </c>
      <c r="F751" s="33">
        <f>12.6347 * CHOOSE(CONTROL!$C$32, $C$9, 100%, $E$9)</f>
        <v>12.6347</v>
      </c>
      <c r="G751" s="33">
        <f>12.64 * CHOOSE(CONTROL!$C$32, $C$9, 100%, $E$9)</f>
        <v>12.64</v>
      </c>
      <c r="H751" s="33">
        <f>25.5748 * CHOOSE(CONTROL!$C$32, $C$9, 100%, $E$9)</f>
        <v>25.5748</v>
      </c>
      <c r="I751" s="33">
        <f>25.5801 * CHOOSE(CONTROL!$C$32, $C$9, 100%, $E$9)</f>
        <v>25.580100000000002</v>
      </c>
      <c r="J751" s="33">
        <f>25.5748 * CHOOSE(CONTROL!$C$32, $C$9, 100%, $E$9)</f>
        <v>25.5748</v>
      </c>
      <c r="K751" s="33">
        <f>25.5801 * CHOOSE(CONTROL!$C$32, $C$9, 100%, $E$9)</f>
        <v>25.580100000000002</v>
      </c>
      <c r="L751" s="33">
        <f>12.6347 * CHOOSE(CONTROL!$C$32, $C$9, 100%, $E$9)</f>
        <v>12.6347</v>
      </c>
      <c r="M751" s="33">
        <f>12.64 * CHOOSE(CONTROL!$C$32, $C$9, 100%, $E$9)</f>
        <v>12.64</v>
      </c>
      <c r="N751" s="33">
        <f>12.6347 * CHOOSE(CONTROL!$C$32, $C$9, 100%, $E$9)</f>
        <v>12.6347</v>
      </c>
      <c r="O751" s="33">
        <f>12.64 * CHOOSE(CONTROL!$C$32, $C$9, 100%, $E$9)</f>
        <v>12.64</v>
      </c>
    </row>
    <row r="752" spans="1:15" ht="15" x14ac:dyDescent="0.2">
      <c r="A752" s="16">
        <v>64101</v>
      </c>
      <c r="B752" s="32">
        <f>11.2085 * CHOOSE(CONTROL!$C$32, $C$9, 100%, $E$9)</f>
        <v>11.208500000000001</v>
      </c>
      <c r="C752" s="32">
        <f>11.2085 * CHOOSE(CONTROL!$C$32, $C$9, 100%, $E$9)</f>
        <v>11.208500000000001</v>
      </c>
      <c r="D752" s="32">
        <f>11.2101 * CHOOSE(CONTROL!$C$32, $C$9, 100%, $E$9)</f>
        <v>11.210100000000001</v>
      </c>
      <c r="E752" s="33">
        <f>12.8126 * CHOOSE(CONTROL!$C$32, $C$9, 100%, $E$9)</f>
        <v>12.8126</v>
      </c>
      <c r="F752" s="33">
        <f>12.8126 * CHOOSE(CONTROL!$C$32, $C$9, 100%, $E$9)</f>
        <v>12.8126</v>
      </c>
      <c r="G752" s="33">
        <f>12.8179 * CHOOSE(CONTROL!$C$32, $C$9, 100%, $E$9)</f>
        <v>12.8179</v>
      </c>
      <c r="H752" s="33">
        <f>25.628 * CHOOSE(CONTROL!$C$32, $C$9, 100%, $E$9)</f>
        <v>25.628</v>
      </c>
      <c r="I752" s="33">
        <f>25.6333 * CHOOSE(CONTROL!$C$32, $C$9, 100%, $E$9)</f>
        <v>25.633299999999998</v>
      </c>
      <c r="J752" s="33">
        <f>25.628 * CHOOSE(CONTROL!$C$32, $C$9, 100%, $E$9)</f>
        <v>25.628</v>
      </c>
      <c r="K752" s="33">
        <f>25.6333 * CHOOSE(CONTROL!$C$32, $C$9, 100%, $E$9)</f>
        <v>25.633299999999998</v>
      </c>
      <c r="L752" s="33">
        <f>12.8126 * CHOOSE(CONTROL!$C$32, $C$9, 100%, $E$9)</f>
        <v>12.8126</v>
      </c>
      <c r="M752" s="33">
        <f>12.8179 * CHOOSE(CONTROL!$C$32, $C$9, 100%, $E$9)</f>
        <v>12.8179</v>
      </c>
      <c r="N752" s="33">
        <f>12.8126 * CHOOSE(CONTROL!$C$32, $C$9, 100%, $E$9)</f>
        <v>12.8126</v>
      </c>
      <c r="O752" s="33">
        <f>12.8179 * CHOOSE(CONTROL!$C$32, $C$9, 100%, $E$9)</f>
        <v>12.8179</v>
      </c>
    </row>
    <row r="753" spans="1:15" ht="15" x14ac:dyDescent="0.2">
      <c r="A753" s="16">
        <v>64132</v>
      </c>
      <c r="B753" s="32">
        <f>11.2152 * CHOOSE(CONTROL!$C$32, $C$9, 100%, $E$9)</f>
        <v>11.215199999999999</v>
      </c>
      <c r="C753" s="32">
        <f>11.2152 * CHOOSE(CONTROL!$C$32, $C$9, 100%, $E$9)</f>
        <v>11.215199999999999</v>
      </c>
      <c r="D753" s="32">
        <f>11.2168 * CHOOSE(CONTROL!$C$32, $C$9, 100%, $E$9)</f>
        <v>11.216799999999999</v>
      </c>
      <c r="E753" s="33">
        <f>12.5083 * CHOOSE(CONTROL!$C$32, $C$9, 100%, $E$9)</f>
        <v>12.5083</v>
      </c>
      <c r="F753" s="33">
        <f>12.5083 * CHOOSE(CONTROL!$C$32, $C$9, 100%, $E$9)</f>
        <v>12.5083</v>
      </c>
      <c r="G753" s="33">
        <f>12.5136 * CHOOSE(CONTROL!$C$32, $C$9, 100%, $E$9)</f>
        <v>12.5136</v>
      </c>
      <c r="H753" s="33">
        <f>25.6814 * CHOOSE(CONTROL!$C$32, $C$9, 100%, $E$9)</f>
        <v>25.6814</v>
      </c>
      <c r="I753" s="33">
        <f>25.6867 * CHOOSE(CONTROL!$C$32, $C$9, 100%, $E$9)</f>
        <v>25.686699999999998</v>
      </c>
      <c r="J753" s="33">
        <f>25.6814 * CHOOSE(CONTROL!$C$32, $C$9, 100%, $E$9)</f>
        <v>25.6814</v>
      </c>
      <c r="K753" s="33">
        <f>25.6867 * CHOOSE(CONTROL!$C$32, $C$9, 100%, $E$9)</f>
        <v>25.686699999999998</v>
      </c>
      <c r="L753" s="33">
        <f>12.5083 * CHOOSE(CONTROL!$C$32, $C$9, 100%, $E$9)</f>
        <v>12.5083</v>
      </c>
      <c r="M753" s="33">
        <f>12.5136 * CHOOSE(CONTROL!$C$32, $C$9, 100%, $E$9)</f>
        <v>12.5136</v>
      </c>
      <c r="N753" s="33">
        <f>12.5083 * CHOOSE(CONTROL!$C$32, $C$9, 100%, $E$9)</f>
        <v>12.5083</v>
      </c>
      <c r="O753" s="33">
        <f>12.5136 * CHOOSE(CONTROL!$C$32, $C$9, 100%, $E$9)</f>
        <v>12.5136</v>
      </c>
    </row>
    <row r="754" spans="1:15" ht="15" x14ac:dyDescent="0.2">
      <c r="A754" s="16">
        <v>64163</v>
      </c>
      <c r="B754" s="32">
        <f>11.2122 * CHOOSE(CONTROL!$C$32, $C$9, 100%, $E$9)</f>
        <v>11.212199999999999</v>
      </c>
      <c r="C754" s="32">
        <f>11.2122 * CHOOSE(CONTROL!$C$32, $C$9, 100%, $E$9)</f>
        <v>11.212199999999999</v>
      </c>
      <c r="D754" s="32">
        <f>11.2137 * CHOOSE(CONTROL!$C$32, $C$9, 100%, $E$9)</f>
        <v>11.213699999999999</v>
      </c>
      <c r="E754" s="33">
        <f>12.4719 * CHOOSE(CONTROL!$C$32, $C$9, 100%, $E$9)</f>
        <v>12.4719</v>
      </c>
      <c r="F754" s="33">
        <f>12.4719 * CHOOSE(CONTROL!$C$32, $C$9, 100%, $E$9)</f>
        <v>12.4719</v>
      </c>
      <c r="G754" s="33">
        <f>12.4772 * CHOOSE(CONTROL!$C$32, $C$9, 100%, $E$9)</f>
        <v>12.4772</v>
      </c>
      <c r="H754" s="33">
        <f>25.7349 * CHOOSE(CONTROL!$C$32, $C$9, 100%, $E$9)</f>
        <v>25.7349</v>
      </c>
      <c r="I754" s="33">
        <f>25.7402 * CHOOSE(CONTROL!$C$32, $C$9, 100%, $E$9)</f>
        <v>25.740200000000002</v>
      </c>
      <c r="J754" s="33">
        <f>25.7349 * CHOOSE(CONTROL!$C$32, $C$9, 100%, $E$9)</f>
        <v>25.7349</v>
      </c>
      <c r="K754" s="33">
        <f>25.7402 * CHOOSE(CONTROL!$C$32, $C$9, 100%, $E$9)</f>
        <v>25.740200000000002</v>
      </c>
      <c r="L754" s="33">
        <f>12.4719 * CHOOSE(CONTROL!$C$32, $C$9, 100%, $E$9)</f>
        <v>12.4719</v>
      </c>
      <c r="M754" s="33">
        <f>12.4772 * CHOOSE(CONTROL!$C$32, $C$9, 100%, $E$9)</f>
        <v>12.4772</v>
      </c>
      <c r="N754" s="33">
        <f>12.4719 * CHOOSE(CONTROL!$C$32, $C$9, 100%, $E$9)</f>
        <v>12.4719</v>
      </c>
      <c r="O754" s="33">
        <f>12.4772 * CHOOSE(CONTROL!$C$32, $C$9, 100%, $E$9)</f>
        <v>12.4772</v>
      </c>
    </row>
    <row r="755" spans="1:15" ht="15" x14ac:dyDescent="0.2">
      <c r="A755" s="16">
        <v>64193</v>
      </c>
      <c r="B755" s="32">
        <f>11.2342 * CHOOSE(CONTROL!$C$32, $C$9, 100%, $E$9)</f>
        <v>11.2342</v>
      </c>
      <c r="C755" s="32">
        <f>11.2342 * CHOOSE(CONTROL!$C$32, $C$9, 100%, $E$9)</f>
        <v>11.2342</v>
      </c>
      <c r="D755" s="32">
        <f>11.2352 * CHOOSE(CONTROL!$C$32, $C$9, 100%, $E$9)</f>
        <v>11.235200000000001</v>
      </c>
      <c r="E755" s="33">
        <f>12.5958 * CHOOSE(CONTROL!$C$32, $C$9, 100%, $E$9)</f>
        <v>12.595800000000001</v>
      </c>
      <c r="F755" s="33">
        <f>12.5958 * CHOOSE(CONTROL!$C$32, $C$9, 100%, $E$9)</f>
        <v>12.595800000000001</v>
      </c>
      <c r="G755" s="33">
        <f>12.5994 * CHOOSE(CONTROL!$C$32, $C$9, 100%, $E$9)</f>
        <v>12.599399999999999</v>
      </c>
      <c r="H755" s="33">
        <f>25.7886 * CHOOSE(CONTROL!$C$32, $C$9, 100%, $E$9)</f>
        <v>25.788599999999999</v>
      </c>
      <c r="I755" s="33">
        <f>25.7922 * CHOOSE(CONTROL!$C$32, $C$9, 100%, $E$9)</f>
        <v>25.792200000000001</v>
      </c>
      <c r="J755" s="33">
        <f>25.7886 * CHOOSE(CONTROL!$C$32, $C$9, 100%, $E$9)</f>
        <v>25.788599999999999</v>
      </c>
      <c r="K755" s="33">
        <f>25.7922 * CHOOSE(CONTROL!$C$32, $C$9, 100%, $E$9)</f>
        <v>25.792200000000001</v>
      </c>
      <c r="L755" s="33">
        <f>12.5958 * CHOOSE(CONTROL!$C$32, $C$9, 100%, $E$9)</f>
        <v>12.595800000000001</v>
      </c>
      <c r="M755" s="33">
        <f>12.5994 * CHOOSE(CONTROL!$C$32, $C$9, 100%, $E$9)</f>
        <v>12.599399999999999</v>
      </c>
      <c r="N755" s="33">
        <f>12.5958 * CHOOSE(CONTROL!$C$32, $C$9, 100%, $E$9)</f>
        <v>12.595800000000001</v>
      </c>
      <c r="O755" s="33">
        <f>12.5994 * CHOOSE(CONTROL!$C$32, $C$9, 100%, $E$9)</f>
        <v>12.599399999999999</v>
      </c>
    </row>
    <row r="756" spans="1:15" ht="15" x14ac:dyDescent="0.2">
      <c r="A756" s="16">
        <v>64224</v>
      </c>
      <c r="B756" s="32">
        <f>11.2372 * CHOOSE(CONTROL!$C$32, $C$9, 100%, $E$9)</f>
        <v>11.2372</v>
      </c>
      <c r="C756" s="32">
        <f>11.2372 * CHOOSE(CONTROL!$C$32, $C$9, 100%, $E$9)</f>
        <v>11.2372</v>
      </c>
      <c r="D756" s="32">
        <f>11.2383 * CHOOSE(CONTROL!$C$32, $C$9, 100%, $E$9)</f>
        <v>11.238300000000001</v>
      </c>
      <c r="E756" s="33">
        <f>12.6665 * CHOOSE(CONTROL!$C$32, $C$9, 100%, $E$9)</f>
        <v>12.666499999999999</v>
      </c>
      <c r="F756" s="33">
        <f>12.6665 * CHOOSE(CONTROL!$C$32, $C$9, 100%, $E$9)</f>
        <v>12.666499999999999</v>
      </c>
      <c r="G756" s="33">
        <f>12.6701 * CHOOSE(CONTROL!$C$32, $C$9, 100%, $E$9)</f>
        <v>12.6701</v>
      </c>
      <c r="H756" s="33">
        <f>25.8423 * CHOOSE(CONTROL!$C$32, $C$9, 100%, $E$9)</f>
        <v>25.842300000000002</v>
      </c>
      <c r="I756" s="33">
        <f>25.8459 * CHOOSE(CONTROL!$C$32, $C$9, 100%, $E$9)</f>
        <v>25.8459</v>
      </c>
      <c r="J756" s="33">
        <f>25.8423 * CHOOSE(CONTROL!$C$32, $C$9, 100%, $E$9)</f>
        <v>25.842300000000002</v>
      </c>
      <c r="K756" s="33">
        <f>25.8459 * CHOOSE(CONTROL!$C$32, $C$9, 100%, $E$9)</f>
        <v>25.8459</v>
      </c>
      <c r="L756" s="33">
        <f>12.6665 * CHOOSE(CONTROL!$C$32, $C$9, 100%, $E$9)</f>
        <v>12.666499999999999</v>
      </c>
      <c r="M756" s="33">
        <f>12.6701 * CHOOSE(CONTROL!$C$32, $C$9, 100%, $E$9)</f>
        <v>12.6701</v>
      </c>
      <c r="N756" s="33">
        <f>12.6665 * CHOOSE(CONTROL!$C$32, $C$9, 100%, $E$9)</f>
        <v>12.666499999999999</v>
      </c>
      <c r="O756" s="33">
        <f>12.6701 * CHOOSE(CONTROL!$C$32, $C$9, 100%, $E$9)</f>
        <v>12.6701</v>
      </c>
    </row>
    <row r="757" spans="1:15" ht="15" x14ac:dyDescent="0.2">
      <c r="A757" s="16">
        <v>64254</v>
      </c>
      <c r="B757" s="32">
        <f>11.2372 * CHOOSE(CONTROL!$C$32, $C$9, 100%, $E$9)</f>
        <v>11.2372</v>
      </c>
      <c r="C757" s="32">
        <f>11.2372 * CHOOSE(CONTROL!$C$32, $C$9, 100%, $E$9)</f>
        <v>11.2372</v>
      </c>
      <c r="D757" s="32">
        <f>11.2383 * CHOOSE(CONTROL!$C$32, $C$9, 100%, $E$9)</f>
        <v>11.238300000000001</v>
      </c>
      <c r="E757" s="33">
        <f>12.4949 * CHOOSE(CONTROL!$C$32, $C$9, 100%, $E$9)</f>
        <v>12.494899999999999</v>
      </c>
      <c r="F757" s="33">
        <f>12.4949 * CHOOSE(CONTROL!$C$32, $C$9, 100%, $E$9)</f>
        <v>12.494899999999999</v>
      </c>
      <c r="G757" s="33">
        <f>12.4985 * CHOOSE(CONTROL!$C$32, $C$9, 100%, $E$9)</f>
        <v>12.4985</v>
      </c>
      <c r="H757" s="33">
        <f>25.8961 * CHOOSE(CONTROL!$C$32, $C$9, 100%, $E$9)</f>
        <v>25.896100000000001</v>
      </c>
      <c r="I757" s="33">
        <f>25.8997 * CHOOSE(CONTROL!$C$32, $C$9, 100%, $E$9)</f>
        <v>25.899699999999999</v>
      </c>
      <c r="J757" s="33">
        <f>25.8961 * CHOOSE(CONTROL!$C$32, $C$9, 100%, $E$9)</f>
        <v>25.896100000000001</v>
      </c>
      <c r="K757" s="33">
        <f>25.8997 * CHOOSE(CONTROL!$C$32, $C$9, 100%, $E$9)</f>
        <v>25.899699999999999</v>
      </c>
      <c r="L757" s="33">
        <f>12.4949 * CHOOSE(CONTROL!$C$32, $C$9, 100%, $E$9)</f>
        <v>12.494899999999999</v>
      </c>
      <c r="M757" s="33">
        <f>12.4985 * CHOOSE(CONTROL!$C$32, $C$9, 100%, $E$9)</f>
        <v>12.4985</v>
      </c>
      <c r="N757" s="33">
        <f>12.4949 * CHOOSE(CONTROL!$C$32, $C$9, 100%, $E$9)</f>
        <v>12.494899999999999</v>
      </c>
      <c r="O757" s="33">
        <f>12.4985 * CHOOSE(CONTROL!$C$32, $C$9, 100%, $E$9)</f>
        <v>12.4985</v>
      </c>
    </row>
    <row r="758" spans="1:15" ht="15" x14ac:dyDescent="0.2">
      <c r="A758" s="16">
        <v>64285</v>
      </c>
      <c r="B758" s="32">
        <f>11.2552 * CHOOSE(CONTROL!$C$32, $C$9, 100%, $E$9)</f>
        <v>11.2552</v>
      </c>
      <c r="C758" s="32">
        <f>11.2552 * CHOOSE(CONTROL!$C$32, $C$9, 100%, $E$9)</f>
        <v>11.2552</v>
      </c>
      <c r="D758" s="32">
        <f>11.2563 * CHOOSE(CONTROL!$C$32, $C$9, 100%, $E$9)</f>
        <v>11.2563</v>
      </c>
      <c r="E758" s="33">
        <f>12.6455 * CHOOSE(CONTROL!$C$32, $C$9, 100%, $E$9)</f>
        <v>12.6455</v>
      </c>
      <c r="F758" s="33">
        <f>12.6455 * CHOOSE(CONTROL!$C$32, $C$9, 100%, $E$9)</f>
        <v>12.6455</v>
      </c>
      <c r="G758" s="33">
        <f>12.6492 * CHOOSE(CONTROL!$C$32, $C$9, 100%, $E$9)</f>
        <v>12.6492</v>
      </c>
      <c r="H758" s="33">
        <f>25.774 * CHOOSE(CONTROL!$C$32, $C$9, 100%, $E$9)</f>
        <v>25.774000000000001</v>
      </c>
      <c r="I758" s="33">
        <f>25.7777 * CHOOSE(CONTROL!$C$32, $C$9, 100%, $E$9)</f>
        <v>25.777699999999999</v>
      </c>
      <c r="J758" s="33">
        <f>25.774 * CHOOSE(CONTROL!$C$32, $C$9, 100%, $E$9)</f>
        <v>25.774000000000001</v>
      </c>
      <c r="K758" s="33">
        <f>25.7777 * CHOOSE(CONTROL!$C$32, $C$9, 100%, $E$9)</f>
        <v>25.777699999999999</v>
      </c>
      <c r="L758" s="33">
        <f>12.6455 * CHOOSE(CONTROL!$C$32, $C$9, 100%, $E$9)</f>
        <v>12.6455</v>
      </c>
      <c r="M758" s="33">
        <f>12.6492 * CHOOSE(CONTROL!$C$32, $C$9, 100%, $E$9)</f>
        <v>12.6492</v>
      </c>
      <c r="N758" s="33">
        <f>12.6455 * CHOOSE(CONTROL!$C$32, $C$9, 100%, $E$9)</f>
        <v>12.6455</v>
      </c>
      <c r="O758" s="33">
        <f>12.6492 * CHOOSE(CONTROL!$C$32, $C$9, 100%, $E$9)</f>
        <v>12.6492</v>
      </c>
    </row>
    <row r="759" spans="1:15" ht="15" x14ac:dyDescent="0.2">
      <c r="A759" s="16">
        <v>64316</v>
      </c>
      <c r="B759" s="32">
        <f>11.2522 * CHOOSE(CONTROL!$C$32, $C$9, 100%, $E$9)</f>
        <v>11.2522</v>
      </c>
      <c r="C759" s="32">
        <f>11.2522 * CHOOSE(CONTROL!$C$32, $C$9, 100%, $E$9)</f>
        <v>11.2522</v>
      </c>
      <c r="D759" s="32">
        <f>11.2533 * CHOOSE(CONTROL!$C$32, $C$9, 100%, $E$9)</f>
        <v>11.253299999999999</v>
      </c>
      <c r="E759" s="33">
        <f>12.312 * CHOOSE(CONTROL!$C$32, $C$9, 100%, $E$9)</f>
        <v>12.311999999999999</v>
      </c>
      <c r="F759" s="33">
        <f>12.312 * CHOOSE(CONTROL!$C$32, $C$9, 100%, $E$9)</f>
        <v>12.311999999999999</v>
      </c>
      <c r="G759" s="33">
        <f>12.3156 * CHOOSE(CONTROL!$C$32, $C$9, 100%, $E$9)</f>
        <v>12.3156</v>
      </c>
      <c r="H759" s="33">
        <f>25.8277 * CHOOSE(CONTROL!$C$32, $C$9, 100%, $E$9)</f>
        <v>25.8277</v>
      </c>
      <c r="I759" s="33">
        <f>25.8314 * CHOOSE(CONTROL!$C$32, $C$9, 100%, $E$9)</f>
        <v>25.831399999999999</v>
      </c>
      <c r="J759" s="33">
        <f>25.8277 * CHOOSE(CONTROL!$C$32, $C$9, 100%, $E$9)</f>
        <v>25.8277</v>
      </c>
      <c r="K759" s="33">
        <f>25.8314 * CHOOSE(CONTROL!$C$32, $C$9, 100%, $E$9)</f>
        <v>25.831399999999999</v>
      </c>
      <c r="L759" s="33">
        <f>12.312 * CHOOSE(CONTROL!$C$32, $C$9, 100%, $E$9)</f>
        <v>12.311999999999999</v>
      </c>
      <c r="M759" s="33">
        <f>12.3156 * CHOOSE(CONTROL!$C$32, $C$9, 100%, $E$9)</f>
        <v>12.3156</v>
      </c>
      <c r="N759" s="33">
        <f>12.312 * CHOOSE(CONTROL!$C$32, $C$9, 100%, $E$9)</f>
        <v>12.311999999999999</v>
      </c>
      <c r="O759" s="33">
        <f>12.3156 * CHOOSE(CONTROL!$C$32, $C$9, 100%, $E$9)</f>
        <v>12.3156</v>
      </c>
    </row>
    <row r="760" spans="1:15" ht="15" x14ac:dyDescent="0.2">
      <c r="A760" s="16">
        <v>64345</v>
      </c>
      <c r="B760" s="32">
        <f>11.2491 * CHOOSE(CONTROL!$C$32, $C$9, 100%, $E$9)</f>
        <v>11.2491</v>
      </c>
      <c r="C760" s="32">
        <f>11.2491 * CHOOSE(CONTROL!$C$32, $C$9, 100%, $E$9)</f>
        <v>11.2491</v>
      </c>
      <c r="D760" s="32">
        <f>11.2502 * CHOOSE(CONTROL!$C$32, $C$9, 100%, $E$9)</f>
        <v>11.2502</v>
      </c>
      <c r="E760" s="33">
        <f>12.5712 * CHOOSE(CONTROL!$C$32, $C$9, 100%, $E$9)</f>
        <v>12.571199999999999</v>
      </c>
      <c r="F760" s="33">
        <f>12.5712 * CHOOSE(CONTROL!$C$32, $C$9, 100%, $E$9)</f>
        <v>12.571199999999999</v>
      </c>
      <c r="G760" s="33">
        <f>12.5748 * CHOOSE(CONTROL!$C$32, $C$9, 100%, $E$9)</f>
        <v>12.5748</v>
      </c>
      <c r="H760" s="33">
        <f>25.8815 * CHOOSE(CONTROL!$C$32, $C$9, 100%, $E$9)</f>
        <v>25.881499999999999</v>
      </c>
      <c r="I760" s="33">
        <f>25.8852 * CHOOSE(CONTROL!$C$32, $C$9, 100%, $E$9)</f>
        <v>25.885200000000001</v>
      </c>
      <c r="J760" s="33">
        <f>25.8815 * CHOOSE(CONTROL!$C$32, $C$9, 100%, $E$9)</f>
        <v>25.881499999999999</v>
      </c>
      <c r="K760" s="33">
        <f>25.8852 * CHOOSE(CONTROL!$C$32, $C$9, 100%, $E$9)</f>
        <v>25.885200000000001</v>
      </c>
      <c r="L760" s="33">
        <f>12.5712 * CHOOSE(CONTROL!$C$32, $C$9, 100%, $E$9)</f>
        <v>12.571199999999999</v>
      </c>
      <c r="M760" s="33">
        <f>12.5748 * CHOOSE(CONTROL!$C$32, $C$9, 100%, $E$9)</f>
        <v>12.5748</v>
      </c>
      <c r="N760" s="33">
        <f>12.5712 * CHOOSE(CONTROL!$C$32, $C$9, 100%, $E$9)</f>
        <v>12.571199999999999</v>
      </c>
      <c r="O760" s="33">
        <f>12.5748 * CHOOSE(CONTROL!$C$32, $C$9, 100%, $E$9)</f>
        <v>12.5748</v>
      </c>
    </row>
    <row r="761" spans="1:15" ht="15" x14ac:dyDescent="0.2">
      <c r="A761" s="16">
        <v>64376</v>
      </c>
      <c r="B761" s="32">
        <f>11.2538 * CHOOSE(CONTROL!$C$32, $C$9, 100%, $E$9)</f>
        <v>11.2538</v>
      </c>
      <c r="C761" s="32">
        <f>11.2538 * CHOOSE(CONTROL!$C$32, $C$9, 100%, $E$9)</f>
        <v>11.2538</v>
      </c>
      <c r="D761" s="32">
        <f>11.2549 * CHOOSE(CONTROL!$C$32, $C$9, 100%, $E$9)</f>
        <v>11.254899999999999</v>
      </c>
      <c r="E761" s="33">
        <f>12.8475 * CHOOSE(CONTROL!$C$32, $C$9, 100%, $E$9)</f>
        <v>12.8475</v>
      </c>
      <c r="F761" s="33">
        <f>12.8475 * CHOOSE(CONTROL!$C$32, $C$9, 100%, $E$9)</f>
        <v>12.8475</v>
      </c>
      <c r="G761" s="33">
        <f>12.8511 * CHOOSE(CONTROL!$C$32, $C$9, 100%, $E$9)</f>
        <v>12.851100000000001</v>
      </c>
      <c r="H761" s="33">
        <f>25.9355 * CHOOSE(CONTROL!$C$32, $C$9, 100%, $E$9)</f>
        <v>25.935500000000001</v>
      </c>
      <c r="I761" s="33">
        <f>25.9391 * CHOOSE(CONTROL!$C$32, $C$9, 100%, $E$9)</f>
        <v>25.9391</v>
      </c>
      <c r="J761" s="33">
        <f>25.9355 * CHOOSE(CONTROL!$C$32, $C$9, 100%, $E$9)</f>
        <v>25.935500000000001</v>
      </c>
      <c r="K761" s="33">
        <f>25.9391 * CHOOSE(CONTROL!$C$32, $C$9, 100%, $E$9)</f>
        <v>25.9391</v>
      </c>
      <c r="L761" s="33">
        <f>12.8475 * CHOOSE(CONTROL!$C$32, $C$9, 100%, $E$9)</f>
        <v>12.8475</v>
      </c>
      <c r="M761" s="33">
        <f>12.8511 * CHOOSE(CONTROL!$C$32, $C$9, 100%, $E$9)</f>
        <v>12.851100000000001</v>
      </c>
      <c r="N761" s="33">
        <f>12.8475 * CHOOSE(CONTROL!$C$32, $C$9, 100%, $E$9)</f>
        <v>12.8475</v>
      </c>
      <c r="O761" s="33">
        <f>12.8511 * CHOOSE(CONTROL!$C$32, $C$9, 100%, $E$9)</f>
        <v>12.851100000000001</v>
      </c>
    </row>
    <row r="762" spans="1:15" ht="15" x14ac:dyDescent="0.2">
      <c r="A762" s="16">
        <v>64406</v>
      </c>
      <c r="B762" s="32">
        <f>11.2538 * CHOOSE(CONTROL!$C$32, $C$9, 100%, $E$9)</f>
        <v>11.2538</v>
      </c>
      <c r="C762" s="32">
        <f>11.2538 * CHOOSE(CONTROL!$C$32, $C$9, 100%, $E$9)</f>
        <v>11.2538</v>
      </c>
      <c r="D762" s="32">
        <f>11.2554 * CHOOSE(CONTROL!$C$32, $C$9, 100%, $E$9)</f>
        <v>11.2554</v>
      </c>
      <c r="E762" s="33">
        <f>12.9527 * CHOOSE(CONTROL!$C$32, $C$9, 100%, $E$9)</f>
        <v>12.9527</v>
      </c>
      <c r="F762" s="33">
        <f>12.9527 * CHOOSE(CONTROL!$C$32, $C$9, 100%, $E$9)</f>
        <v>12.9527</v>
      </c>
      <c r="G762" s="33">
        <f>12.958 * CHOOSE(CONTROL!$C$32, $C$9, 100%, $E$9)</f>
        <v>12.958</v>
      </c>
      <c r="H762" s="33">
        <f>25.9895 * CHOOSE(CONTROL!$C$32, $C$9, 100%, $E$9)</f>
        <v>25.9895</v>
      </c>
      <c r="I762" s="33">
        <f>25.9948 * CHOOSE(CONTROL!$C$32, $C$9, 100%, $E$9)</f>
        <v>25.994800000000001</v>
      </c>
      <c r="J762" s="33">
        <f>25.9895 * CHOOSE(CONTROL!$C$32, $C$9, 100%, $E$9)</f>
        <v>25.9895</v>
      </c>
      <c r="K762" s="33">
        <f>25.9948 * CHOOSE(CONTROL!$C$32, $C$9, 100%, $E$9)</f>
        <v>25.994800000000001</v>
      </c>
      <c r="L762" s="33">
        <f>12.9527 * CHOOSE(CONTROL!$C$32, $C$9, 100%, $E$9)</f>
        <v>12.9527</v>
      </c>
      <c r="M762" s="33">
        <f>12.958 * CHOOSE(CONTROL!$C$32, $C$9, 100%, $E$9)</f>
        <v>12.958</v>
      </c>
      <c r="N762" s="33">
        <f>12.9527 * CHOOSE(CONTROL!$C$32, $C$9, 100%, $E$9)</f>
        <v>12.9527</v>
      </c>
      <c r="O762" s="33">
        <f>12.958 * CHOOSE(CONTROL!$C$32, $C$9, 100%, $E$9)</f>
        <v>12.958</v>
      </c>
    </row>
    <row r="763" spans="1:15" ht="15" x14ac:dyDescent="0.2">
      <c r="A763" s="16">
        <v>64437</v>
      </c>
      <c r="B763" s="32">
        <f>11.2599 * CHOOSE(CONTROL!$C$32, $C$9, 100%, $E$9)</f>
        <v>11.2599</v>
      </c>
      <c r="C763" s="32">
        <f>11.2599 * CHOOSE(CONTROL!$C$32, $C$9, 100%, $E$9)</f>
        <v>11.2599</v>
      </c>
      <c r="D763" s="32">
        <f>11.2615 * CHOOSE(CONTROL!$C$32, $C$9, 100%, $E$9)</f>
        <v>11.2615</v>
      </c>
      <c r="E763" s="33">
        <f>12.8518 * CHOOSE(CONTROL!$C$32, $C$9, 100%, $E$9)</f>
        <v>12.851800000000001</v>
      </c>
      <c r="F763" s="33">
        <f>12.8518 * CHOOSE(CONTROL!$C$32, $C$9, 100%, $E$9)</f>
        <v>12.851800000000001</v>
      </c>
      <c r="G763" s="33">
        <f>12.857 * CHOOSE(CONTROL!$C$32, $C$9, 100%, $E$9)</f>
        <v>12.856999999999999</v>
      </c>
      <c r="H763" s="33">
        <f>26.0436 * CHOOSE(CONTROL!$C$32, $C$9, 100%, $E$9)</f>
        <v>26.043600000000001</v>
      </c>
      <c r="I763" s="33">
        <f>26.0489 * CHOOSE(CONTROL!$C$32, $C$9, 100%, $E$9)</f>
        <v>26.0489</v>
      </c>
      <c r="J763" s="33">
        <f>26.0436 * CHOOSE(CONTROL!$C$32, $C$9, 100%, $E$9)</f>
        <v>26.043600000000001</v>
      </c>
      <c r="K763" s="33">
        <f>26.0489 * CHOOSE(CONTROL!$C$32, $C$9, 100%, $E$9)</f>
        <v>26.0489</v>
      </c>
      <c r="L763" s="33">
        <f>12.8518 * CHOOSE(CONTROL!$C$32, $C$9, 100%, $E$9)</f>
        <v>12.851800000000001</v>
      </c>
      <c r="M763" s="33">
        <f>12.857 * CHOOSE(CONTROL!$C$32, $C$9, 100%, $E$9)</f>
        <v>12.856999999999999</v>
      </c>
      <c r="N763" s="33">
        <f>12.8518 * CHOOSE(CONTROL!$C$32, $C$9, 100%, $E$9)</f>
        <v>12.851800000000001</v>
      </c>
      <c r="O763" s="33">
        <f>12.857 * CHOOSE(CONTROL!$C$32, $C$9, 100%, $E$9)</f>
        <v>12.856999999999999</v>
      </c>
    </row>
    <row r="764" spans="1:15" ht="15" x14ac:dyDescent="0.2">
      <c r="A764" s="16">
        <v>64467</v>
      </c>
      <c r="B764" s="32">
        <f>11.3981 * CHOOSE(CONTROL!$C$32, $C$9, 100%, $E$9)</f>
        <v>11.398099999999999</v>
      </c>
      <c r="C764" s="32">
        <f>11.3981 * CHOOSE(CONTROL!$C$32, $C$9, 100%, $E$9)</f>
        <v>11.398099999999999</v>
      </c>
      <c r="D764" s="32">
        <f>11.3997 * CHOOSE(CONTROL!$C$32, $C$9, 100%, $E$9)</f>
        <v>11.399699999999999</v>
      </c>
      <c r="E764" s="33">
        <f>13.0328 * CHOOSE(CONTROL!$C$32, $C$9, 100%, $E$9)</f>
        <v>13.0328</v>
      </c>
      <c r="F764" s="33">
        <f>13.0328 * CHOOSE(CONTROL!$C$32, $C$9, 100%, $E$9)</f>
        <v>13.0328</v>
      </c>
      <c r="G764" s="33">
        <f>13.0381 * CHOOSE(CONTROL!$C$32, $C$9, 100%, $E$9)</f>
        <v>13.0381</v>
      </c>
      <c r="H764" s="33">
        <f>26.0979 * CHOOSE(CONTROL!$C$32, $C$9, 100%, $E$9)</f>
        <v>26.097899999999999</v>
      </c>
      <c r="I764" s="33">
        <f>26.1032 * CHOOSE(CONTROL!$C$32, $C$9, 100%, $E$9)</f>
        <v>26.103200000000001</v>
      </c>
      <c r="J764" s="33">
        <f>26.0979 * CHOOSE(CONTROL!$C$32, $C$9, 100%, $E$9)</f>
        <v>26.097899999999999</v>
      </c>
      <c r="K764" s="33">
        <f>26.1032 * CHOOSE(CONTROL!$C$32, $C$9, 100%, $E$9)</f>
        <v>26.103200000000001</v>
      </c>
      <c r="L764" s="33">
        <f>13.0328 * CHOOSE(CONTROL!$C$32, $C$9, 100%, $E$9)</f>
        <v>13.0328</v>
      </c>
      <c r="M764" s="33">
        <f>13.0381 * CHOOSE(CONTROL!$C$32, $C$9, 100%, $E$9)</f>
        <v>13.0381</v>
      </c>
      <c r="N764" s="33">
        <f>13.0328 * CHOOSE(CONTROL!$C$32, $C$9, 100%, $E$9)</f>
        <v>13.0328</v>
      </c>
      <c r="O764" s="33">
        <f>13.0381 * CHOOSE(CONTROL!$C$32, $C$9, 100%, $E$9)</f>
        <v>13.0381</v>
      </c>
    </row>
    <row r="765" spans="1:15" ht="15" x14ac:dyDescent="0.2">
      <c r="A765" s="16">
        <v>64498</v>
      </c>
      <c r="B765" s="32">
        <f>11.4048 * CHOOSE(CONTROL!$C$32, $C$9, 100%, $E$9)</f>
        <v>11.4048</v>
      </c>
      <c r="C765" s="32">
        <f>11.4048 * CHOOSE(CONTROL!$C$32, $C$9, 100%, $E$9)</f>
        <v>11.4048</v>
      </c>
      <c r="D765" s="32">
        <f>11.4064 * CHOOSE(CONTROL!$C$32, $C$9, 100%, $E$9)</f>
        <v>11.4064</v>
      </c>
      <c r="E765" s="33">
        <f>12.7218 * CHOOSE(CONTROL!$C$32, $C$9, 100%, $E$9)</f>
        <v>12.7218</v>
      </c>
      <c r="F765" s="33">
        <f>12.7218 * CHOOSE(CONTROL!$C$32, $C$9, 100%, $E$9)</f>
        <v>12.7218</v>
      </c>
      <c r="G765" s="33">
        <f>12.727 * CHOOSE(CONTROL!$C$32, $C$9, 100%, $E$9)</f>
        <v>12.727</v>
      </c>
      <c r="H765" s="33">
        <f>26.1523 * CHOOSE(CONTROL!$C$32, $C$9, 100%, $E$9)</f>
        <v>26.1523</v>
      </c>
      <c r="I765" s="33">
        <f>26.1576 * CHOOSE(CONTROL!$C$32, $C$9, 100%, $E$9)</f>
        <v>26.157599999999999</v>
      </c>
      <c r="J765" s="33">
        <f>26.1523 * CHOOSE(CONTROL!$C$32, $C$9, 100%, $E$9)</f>
        <v>26.1523</v>
      </c>
      <c r="K765" s="33">
        <f>26.1576 * CHOOSE(CONTROL!$C$32, $C$9, 100%, $E$9)</f>
        <v>26.157599999999999</v>
      </c>
      <c r="L765" s="33">
        <f>12.7218 * CHOOSE(CONTROL!$C$32, $C$9, 100%, $E$9)</f>
        <v>12.7218</v>
      </c>
      <c r="M765" s="33">
        <f>12.727 * CHOOSE(CONTROL!$C$32, $C$9, 100%, $E$9)</f>
        <v>12.727</v>
      </c>
      <c r="N765" s="33">
        <f>12.7218 * CHOOSE(CONTROL!$C$32, $C$9, 100%, $E$9)</f>
        <v>12.7218</v>
      </c>
      <c r="O765" s="33">
        <f>12.727 * CHOOSE(CONTROL!$C$32, $C$9, 100%, $E$9)</f>
        <v>12.727</v>
      </c>
    </row>
    <row r="766" spans="1:15" ht="15" x14ac:dyDescent="0.2">
      <c r="A766" s="16">
        <v>64529</v>
      </c>
      <c r="B766" s="32">
        <f>11.4018 * CHOOSE(CONTROL!$C$32, $C$9, 100%, $E$9)</f>
        <v>11.4018</v>
      </c>
      <c r="C766" s="32">
        <f>11.4018 * CHOOSE(CONTROL!$C$32, $C$9, 100%, $E$9)</f>
        <v>11.4018</v>
      </c>
      <c r="D766" s="32">
        <f>11.4033 * CHOOSE(CONTROL!$C$32, $C$9, 100%, $E$9)</f>
        <v>11.4033</v>
      </c>
      <c r="E766" s="33">
        <f>12.6846 * CHOOSE(CONTROL!$C$32, $C$9, 100%, $E$9)</f>
        <v>12.6846</v>
      </c>
      <c r="F766" s="33">
        <f>12.6846 * CHOOSE(CONTROL!$C$32, $C$9, 100%, $E$9)</f>
        <v>12.6846</v>
      </c>
      <c r="G766" s="33">
        <f>12.6899 * CHOOSE(CONTROL!$C$32, $C$9, 100%, $E$9)</f>
        <v>12.6899</v>
      </c>
      <c r="H766" s="33">
        <f>26.2068 * CHOOSE(CONTROL!$C$32, $C$9, 100%, $E$9)</f>
        <v>26.206800000000001</v>
      </c>
      <c r="I766" s="33">
        <f>26.2121 * CHOOSE(CONTROL!$C$32, $C$9, 100%, $E$9)</f>
        <v>26.2121</v>
      </c>
      <c r="J766" s="33">
        <f>26.2068 * CHOOSE(CONTROL!$C$32, $C$9, 100%, $E$9)</f>
        <v>26.206800000000001</v>
      </c>
      <c r="K766" s="33">
        <f>26.2121 * CHOOSE(CONTROL!$C$32, $C$9, 100%, $E$9)</f>
        <v>26.2121</v>
      </c>
      <c r="L766" s="33">
        <f>12.6846 * CHOOSE(CONTROL!$C$32, $C$9, 100%, $E$9)</f>
        <v>12.6846</v>
      </c>
      <c r="M766" s="33">
        <f>12.6899 * CHOOSE(CONTROL!$C$32, $C$9, 100%, $E$9)</f>
        <v>12.6899</v>
      </c>
      <c r="N766" s="33">
        <f>12.6846 * CHOOSE(CONTROL!$C$32, $C$9, 100%, $E$9)</f>
        <v>12.6846</v>
      </c>
      <c r="O766" s="33">
        <f>12.6899 * CHOOSE(CONTROL!$C$32, $C$9, 100%, $E$9)</f>
        <v>12.6899</v>
      </c>
    </row>
    <row r="767" spans="1:15" ht="15" x14ac:dyDescent="0.2">
      <c r="A767" s="16">
        <v>64559</v>
      </c>
      <c r="B767" s="32">
        <f>11.4245 * CHOOSE(CONTROL!$C$32, $C$9, 100%, $E$9)</f>
        <v>11.4245</v>
      </c>
      <c r="C767" s="32">
        <f>11.4245 * CHOOSE(CONTROL!$C$32, $C$9, 100%, $E$9)</f>
        <v>11.4245</v>
      </c>
      <c r="D767" s="32">
        <f>11.4255 * CHOOSE(CONTROL!$C$32, $C$9, 100%, $E$9)</f>
        <v>11.4255</v>
      </c>
      <c r="E767" s="33">
        <f>12.8114 * CHOOSE(CONTROL!$C$32, $C$9, 100%, $E$9)</f>
        <v>12.811400000000001</v>
      </c>
      <c r="F767" s="33">
        <f>12.8114 * CHOOSE(CONTROL!$C$32, $C$9, 100%, $E$9)</f>
        <v>12.811400000000001</v>
      </c>
      <c r="G767" s="33">
        <f>12.8151 * CHOOSE(CONTROL!$C$32, $C$9, 100%, $E$9)</f>
        <v>12.815099999999999</v>
      </c>
      <c r="H767" s="33">
        <f>26.2614 * CHOOSE(CONTROL!$C$32, $C$9, 100%, $E$9)</f>
        <v>26.261399999999998</v>
      </c>
      <c r="I767" s="33">
        <f>26.265 * CHOOSE(CONTROL!$C$32, $C$9, 100%, $E$9)</f>
        <v>26.265000000000001</v>
      </c>
      <c r="J767" s="33">
        <f>26.2614 * CHOOSE(CONTROL!$C$32, $C$9, 100%, $E$9)</f>
        <v>26.261399999999998</v>
      </c>
      <c r="K767" s="33">
        <f>26.265 * CHOOSE(CONTROL!$C$32, $C$9, 100%, $E$9)</f>
        <v>26.265000000000001</v>
      </c>
      <c r="L767" s="33">
        <f>12.8114 * CHOOSE(CONTROL!$C$32, $C$9, 100%, $E$9)</f>
        <v>12.811400000000001</v>
      </c>
      <c r="M767" s="33">
        <f>12.8151 * CHOOSE(CONTROL!$C$32, $C$9, 100%, $E$9)</f>
        <v>12.815099999999999</v>
      </c>
      <c r="N767" s="33">
        <f>12.8114 * CHOOSE(CONTROL!$C$32, $C$9, 100%, $E$9)</f>
        <v>12.811400000000001</v>
      </c>
      <c r="O767" s="33">
        <f>12.8151 * CHOOSE(CONTROL!$C$32, $C$9, 100%, $E$9)</f>
        <v>12.815099999999999</v>
      </c>
    </row>
    <row r="768" spans="1:15" ht="15" x14ac:dyDescent="0.2">
      <c r="A768" s="16">
        <v>64590</v>
      </c>
      <c r="B768" s="32">
        <f>11.4275 * CHOOSE(CONTROL!$C$32, $C$9, 100%, $E$9)</f>
        <v>11.4275</v>
      </c>
      <c r="C768" s="32">
        <f>11.4275 * CHOOSE(CONTROL!$C$32, $C$9, 100%, $E$9)</f>
        <v>11.4275</v>
      </c>
      <c r="D768" s="32">
        <f>11.4286 * CHOOSE(CONTROL!$C$32, $C$9, 100%, $E$9)</f>
        <v>11.428599999999999</v>
      </c>
      <c r="E768" s="33">
        <f>12.8837 * CHOOSE(CONTROL!$C$32, $C$9, 100%, $E$9)</f>
        <v>12.883699999999999</v>
      </c>
      <c r="F768" s="33">
        <f>12.8837 * CHOOSE(CONTROL!$C$32, $C$9, 100%, $E$9)</f>
        <v>12.883699999999999</v>
      </c>
      <c r="G768" s="33">
        <f>12.8873 * CHOOSE(CONTROL!$C$32, $C$9, 100%, $E$9)</f>
        <v>12.8873</v>
      </c>
      <c r="H768" s="33">
        <f>26.3161 * CHOOSE(CONTROL!$C$32, $C$9, 100%, $E$9)</f>
        <v>26.316099999999999</v>
      </c>
      <c r="I768" s="33">
        <f>26.3197 * CHOOSE(CONTROL!$C$32, $C$9, 100%, $E$9)</f>
        <v>26.319700000000001</v>
      </c>
      <c r="J768" s="33">
        <f>26.3161 * CHOOSE(CONTROL!$C$32, $C$9, 100%, $E$9)</f>
        <v>26.316099999999999</v>
      </c>
      <c r="K768" s="33">
        <f>26.3197 * CHOOSE(CONTROL!$C$32, $C$9, 100%, $E$9)</f>
        <v>26.319700000000001</v>
      </c>
      <c r="L768" s="33">
        <f>12.8837 * CHOOSE(CONTROL!$C$32, $C$9, 100%, $E$9)</f>
        <v>12.883699999999999</v>
      </c>
      <c r="M768" s="33">
        <f>12.8873 * CHOOSE(CONTROL!$C$32, $C$9, 100%, $E$9)</f>
        <v>12.8873</v>
      </c>
      <c r="N768" s="33">
        <f>12.8837 * CHOOSE(CONTROL!$C$32, $C$9, 100%, $E$9)</f>
        <v>12.883699999999999</v>
      </c>
      <c r="O768" s="33">
        <f>12.8873 * CHOOSE(CONTROL!$C$32, $C$9, 100%, $E$9)</f>
        <v>12.8873</v>
      </c>
    </row>
    <row r="769" spans="1:15" ht="15" x14ac:dyDescent="0.2">
      <c r="A769" s="16">
        <v>64620</v>
      </c>
      <c r="B769" s="32">
        <f>11.4275 * CHOOSE(CONTROL!$C$32, $C$9, 100%, $E$9)</f>
        <v>11.4275</v>
      </c>
      <c r="C769" s="32">
        <f>11.4275 * CHOOSE(CONTROL!$C$32, $C$9, 100%, $E$9)</f>
        <v>11.4275</v>
      </c>
      <c r="D769" s="32">
        <f>11.4286 * CHOOSE(CONTROL!$C$32, $C$9, 100%, $E$9)</f>
        <v>11.428599999999999</v>
      </c>
      <c r="E769" s="33">
        <f>12.7083 * CHOOSE(CONTROL!$C$32, $C$9, 100%, $E$9)</f>
        <v>12.708299999999999</v>
      </c>
      <c r="F769" s="33">
        <f>12.7083 * CHOOSE(CONTROL!$C$32, $C$9, 100%, $E$9)</f>
        <v>12.708299999999999</v>
      </c>
      <c r="G769" s="33">
        <f>12.712 * CHOOSE(CONTROL!$C$32, $C$9, 100%, $E$9)</f>
        <v>12.712</v>
      </c>
      <c r="H769" s="33">
        <f>26.3709 * CHOOSE(CONTROL!$C$32, $C$9, 100%, $E$9)</f>
        <v>26.370899999999999</v>
      </c>
      <c r="I769" s="33">
        <f>26.3745 * CHOOSE(CONTROL!$C$32, $C$9, 100%, $E$9)</f>
        <v>26.374500000000001</v>
      </c>
      <c r="J769" s="33">
        <f>26.3709 * CHOOSE(CONTROL!$C$32, $C$9, 100%, $E$9)</f>
        <v>26.370899999999999</v>
      </c>
      <c r="K769" s="33">
        <f>26.3745 * CHOOSE(CONTROL!$C$32, $C$9, 100%, $E$9)</f>
        <v>26.374500000000001</v>
      </c>
      <c r="L769" s="33">
        <f>12.7083 * CHOOSE(CONTROL!$C$32, $C$9, 100%, $E$9)</f>
        <v>12.708299999999999</v>
      </c>
      <c r="M769" s="33">
        <f>12.712 * CHOOSE(CONTROL!$C$32, $C$9, 100%, $E$9)</f>
        <v>12.712</v>
      </c>
      <c r="N769" s="33">
        <f>12.7083 * CHOOSE(CONTROL!$C$32, $C$9, 100%, $E$9)</f>
        <v>12.708299999999999</v>
      </c>
      <c r="O769" s="33">
        <f>12.712 * CHOOSE(CONTROL!$C$32, $C$9, 100%, $E$9)</f>
        <v>12.712</v>
      </c>
    </row>
    <row r="770" spans="1:15" ht="15" x14ac:dyDescent="0.2">
      <c r="A770" s="16">
        <v>64651</v>
      </c>
      <c r="B770" s="32">
        <f>11.4426 * CHOOSE(CONTROL!$C$32, $C$9, 100%, $E$9)</f>
        <v>11.442600000000001</v>
      </c>
      <c r="C770" s="32">
        <f>11.4426 * CHOOSE(CONTROL!$C$32, $C$9, 100%, $E$9)</f>
        <v>11.442600000000001</v>
      </c>
      <c r="D770" s="32">
        <f>11.4436 * CHOOSE(CONTROL!$C$32, $C$9, 100%, $E$9)</f>
        <v>11.4436</v>
      </c>
      <c r="E770" s="33">
        <f>12.858 * CHOOSE(CONTROL!$C$32, $C$9, 100%, $E$9)</f>
        <v>12.858000000000001</v>
      </c>
      <c r="F770" s="33">
        <f>12.858 * CHOOSE(CONTROL!$C$32, $C$9, 100%, $E$9)</f>
        <v>12.858000000000001</v>
      </c>
      <c r="G770" s="33">
        <f>12.8617 * CHOOSE(CONTROL!$C$32, $C$9, 100%, $E$9)</f>
        <v>12.861700000000001</v>
      </c>
      <c r="H770" s="33">
        <f>26.2381 * CHOOSE(CONTROL!$C$32, $C$9, 100%, $E$9)</f>
        <v>26.238099999999999</v>
      </c>
      <c r="I770" s="33">
        <f>26.2417 * CHOOSE(CONTROL!$C$32, $C$9, 100%, $E$9)</f>
        <v>26.241700000000002</v>
      </c>
      <c r="J770" s="33">
        <f>26.2381 * CHOOSE(CONTROL!$C$32, $C$9, 100%, $E$9)</f>
        <v>26.238099999999999</v>
      </c>
      <c r="K770" s="33">
        <f>26.2417 * CHOOSE(CONTROL!$C$32, $C$9, 100%, $E$9)</f>
        <v>26.241700000000002</v>
      </c>
      <c r="L770" s="33">
        <f>12.858 * CHOOSE(CONTROL!$C$32, $C$9, 100%, $E$9)</f>
        <v>12.858000000000001</v>
      </c>
      <c r="M770" s="33">
        <f>12.8617 * CHOOSE(CONTROL!$C$32, $C$9, 100%, $E$9)</f>
        <v>12.861700000000001</v>
      </c>
      <c r="N770" s="33">
        <f>12.858 * CHOOSE(CONTROL!$C$32, $C$9, 100%, $E$9)</f>
        <v>12.858000000000001</v>
      </c>
      <c r="O770" s="33">
        <f>12.8617 * CHOOSE(CONTROL!$C$32, $C$9, 100%, $E$9)</f>
        <v>12.861700000000001</v>
      </c>
    </row>
    <row r="771" spans="1:15" ht="15" x14ac:dyDescent="0.2">
      <c r="A771" s="16">
        <v>64682</v>
      </c>
      <c r="B771" s="32">
        <f>11.4395 * CHOOSE(CONTROL!$C$32, $C$9, 100%, $E$9)</f>
        <v>11.439500000000001</v>
      </c>
      <c r="C771" s="32">
        <f>11.4395 * CHOOSE(CONTROL!$C$32, $C$9, 100%, $E$9)</f>
        <v>11.439500000000001</v>
      </c>
      <c r="D771" s="32">
        <f>11.4406 * CHOOSE(CONTROL!$C$32, $C$9, 100%, $E$9)</f>
        <v>11.4406</v>
      </c>
      <c r="E771" s="33">
        <f>12.5174 * CHOOSE(CONTROL!$C$32, $C$9, 100%, $E$9)</f>
        <v>12.5174</v>
      </c>
      <c r="F771" s="33">
        <f>12.5174 * CHOOSE(CONTROL!$C$32, $C$9, 100%, $E$9)</f>
        <v>12.5174</v>
      </c>
      <c r="G771" s="33">
        <f>12.521 * CHOOSE(CONTROL!$C$32, $C$9, 100%, $E$9)</f>
        <v>12.521000000000001</v>
      </c>
      <c r="H771" s="33">
        <f>26.2927 * CHOOSE(CONTROL!$C$32, $C$9, 100%, $E$9)</f>
        <v>26.2927</v>
      </c>
      <c r="I771" s="33">
        <f>26.2964 * CHOOSE(CONTROL!$C$32, $C$9, 100%, $E$9)</f>
        <v>26.296399999999998</v>
      </c>
      <c r="J771" s="33">
        <f>26.2927 * CHOOSE(CONTROL!$C$32, $C$9, 100%, $E$9)</f>
        <v>26.2927</v>
      </c>
      <c r="K771" s="33">
        <f>26.2964 * CHOOSE(CONTROL!$C$32, $C$9, 100%, $E$9)</f>
        <v>26.296399999999998</v>
      </c>
      <c r="L771" s="33">
        <f>12.5174 * CHOOSE(CONTROL!$C$32, $C$9, 100%, $E$9)</f>
        <v>12.5174</v>
      </c>
      <c r="M771" s="33">
        <f>12.521 * CHOOSE(CONTROL!$C$32, $C$9, 100%, $E$9)</f>
        <v>12.521000000000001</v>
      </c>
      <c r="N771" s="33">
        <f>12.5174 * CHOOSE(CONTROL!$C$32, $C$9, 100%, $E$9)</f>
        <v>12.5174</v>
      </c>
      <c r="O771" s="33">
        <f>12.521 * CHOOSE(CONTROL!$C$32, $C$9, 100%, $E$9)</f>
        <v>12.521000000000001</v>
      </c>
    </row>
    <row r="772" spans="1:15" ht="15" x14ac:dyDescent="0.2">
      <c r="A772" s="16">
        <v>64710</v>
      </c>
      <c r="B772" s="32">
        <f>11.4365 * CHOOSE(CONTROL!$C$32, $C$9, 100%, $E$9)</f>
        <v>11.436500000000001</v>
      </c>
      <c r="C772" s="32">
        <f>11.4365 * CHOOSE(CONTROL!$C$32, $C$9, 100%, $E$9)</f>
        <v>11.436500000000001</v>
      </c>
      <c r="D772" s="32">
        <f>11.4376 * CHOOSE(CONTROL!$C$32, $C$9, 100%, $E$9)</f>
        <v>11.4376</v>
      </c>
      <c r="E772" s="33">
        <f>12.7822 * CHOOSE(CONTROL!$C$32, $C$9, 100%, $E$9)</f>
        <v>12.7822</v>
      </c>
      <c r="F772" s="33">
        <f>12.7822 * CHOOSE(CONTROL!$C$32, $C$9, 100%, $E$9)</f>
        <v>12.7822</v>
      </c>
      <c r="G772" s="33">
        <f>12.7858 * CHOOSE(CONTROL!$C$32, $C$9, 100%, $E$9)</f>
        <v>12.7858</v>
      </c>
      <c r="H772" s="33">
        <f>26.3475 * CHOOSE(CONTROL!$C$32, $C$9, 100%, $E$9)</f>
        <v>26.3475</v>
      </c>
      <c r="I772" s="33">
        <f>26.3511 * CHOOSE(CONTROL!$C$32, $C$9, 100%, $E$9)</f>
        <v>26.351099999999999</v>
      </c>
      <c r="J772" s="33">
        <f>26.3475 * CHOOSE(CONTROL!$C$32, $C$9, 100%, $E$9)</f>
        <v>26.3475</v>
      </c>
      <c r="K772" s="33">
        <f>26.3511 * CHOOSE(CONTROL!$C$32, $C$9, 100%, $E$9)</f>
        <v>26.351099999999999</v>
      </c>
      <c r="L772" s="33">
        <f>12.7822 * CHOOSE(CONTROL!$C$32, $C$9, 100%, $E$9)</f>
        <v>12.7822</v>
      </c>
      <c r="M772" s="33">
        <f>12.7858 * CHOOSE(CONTROL!$C$32, $C$9, 100%, $E$9)</f>
        <v>12.7858</v>
      </c>
      <c r="N772" s="33">
        <f>12.7822 * CHOOSE(CONTROL!$C$32, $C$9, 100%, $E$9)</f>
        <v>12.7822</v>
      </c>
      <c r="O772" s="33">
        <f>12.7858 * CHOOSE(CONTROL!$C$32, $C$9, 100%, $E$9)</f>
        <v>12.7858</v>
      </c>
    </row>
    <row r="773" spans="1:15" ht="15" x14ac:dyDescent="0.2">
      <c r="A773" s="16">
        <v>64741</v>
      </c>
      <c r="B773" s="32">
        <f>11.4414 * CHOOSE(CONTROL!$C$32, $C$9, 100%, $E$9)</f>
        <v>11.4414</v>
      </c>
      <c r="C773" s="32">
        <f>11.4414 * CHOOSE(CONTROL!$C$32, $C$9, 100%, $E$9)</f>
        <v>11.4414</v>
      </c>
      <c r="D773" s="32">
        <f>11.4424 * CHOOSE(CONTROL!$C$32, $C$9, 100%, $E$9)</f>
        <v>11.442399999999999</v>
      </c>
      <c r="E773" s="33">
        <f>13.0645 * CHOOSE(CONTROL!$C$32, $C$9, 100%, $E$9)</f>
        <v>13.064500000000001</v>
      </c>
      <c r="F773" s="33">
        <f>13.0645 * CHOOSE(CONTROL!$C$32, $C$9, 100%, $E$9)</f>
        <v>13.064500000000001</v>
      </c>
      <c r="G773" s="33">
        <f>13.0681 * CHOOSE(CONTROL!$C$32, $C$9, 100%, $E$9)</f>
        <v>13.068099999999999</v>
      </c>
      <c r="H773" s="33">
        <f>26.4024 * CHOOSE(CONTROL!$C$32, $C$9, 100%, $E$9)</f>
        <v>26.4024</v>
      </c>
      <c r="I773" s="33">
        <f>26.406 * CHOOSE(CONTROL!$C$32, $C$9, 100%, $E$9)</f>
        <v>26.405999999999999</v>
      </c>
      <c r="J773" s="33">
        <f>26.4024 * CHOOSE(CONTROL!$C$32, $C$9, 100%, $E$9)</f>
        <v>26.4024</v>
      </c>
      <c r="K773" s="33">
        <f>26.406 * CHOOSE(CONTROL!$C$32, $C$9, 100%, $E$9)</f>
        <v>26.405999999999999</v>
      </c>
      <c r="L773" s="33">
        <f>13.0645 * CHOOSE(CONTROL!$C$32, $C$9, 100%, $E$9)</f>
        <v>13.064500000000001</v>
      </c>
      <c r="M773" s="33">
        <f>13.0681 * CHOOSE(CONTROL!$C$32, $C$9, 100%, $E$9)</f>
        <v>13.068099999999999</v>
      </c>
      <c r="N773" s="33">
        <f>13.0645 * CHOOSE(CONTROL!$C$32, $C$9, 100%, $E$9)</f>
        <v>13.064500000000001</v>
      </c>
      <c r="O773" s="33">
        <f>13.0681 * CHOOSE(CONTROL!$C$32, $C$9, 100%, $E$9)</f>
        <v>13.068099999999999</v>
      </c>
    </row>
    <row r="774" spans="1:15" ht="15" x14ac:dyDescent="0.2">
      <c r="A774" s="16">
        <v>64771</v>
      </c>
      <c r="B774" s="32">
        <f>11.4414 * CHOOSE(CONTROL!$C$32, $C$9, 100%, $E$9)</f>
        <v>11.4414</v>
      </c>
      <c r="C774" s="32">
        <f>11.4414 * CHOOSE(CONTROL!$C$32, $C$9, 100%, $E$9)</f>
        <v>11.4414</v>
      </c>
      <c r="D774" s="32">
        <f>11.4429 * CHOOSE(CONTROL!$C$32, $C$9, 100%, $E$9)</f>
        <v>11.4429</v>
      </c>
      <c r="E774" s="33">
        <f>13.172 * CHOOSE(CONTROL!$C$32, $C$9, 100%, $E$9)</f>
        <v>13.172000000000001</v>
      </c>
      <c r="F774" s="33">
        <f>13.172 * CHOOSE(CONTROL!$C$32, $C$9, 100%, $E$9)</f>
        <v>13.172000000000001</v>
      </c>
      <c r="G774" s="33">
        <f>13.1773 * CHOOSE(CONTROL!$C$32, $C$9, 100%, $E$9)</f>
        <v>13.177300000000001</v>
      </c>
      <c r="H774" s="33">
        <f>26.4574 * CHOOSE(CONTROL!$C$32, $C$9, 100%, $E$9)</f>
        <v>26.4574</v>
      </c>
      <c r="I774" s="33">
        <f>26.4627 * CHOOSE(CONTROL!$C$32, $C$9, 100%, $E$9)</f>
        <v>26.462700000000002</v>
      </c>
      <c r="J774" s="33">
        <f>26.4574 * CHOOSE(CONTROL!$C$32, $C$9, 100%, $E$9)</f>
        <v>26.4574</v>
      </c>
      <c r="K774" s="33">
        <f>26.4627 * CHOOSE(CONTROL!$C$32, $C$9, 100%, $E$9)</f>
        <v>26.462700000000002</v>
      </c>
      <c r="L774" s="33">
        <f>13.172 * CHOOSE(CONTROL!$C$32, $C$9, 100%, $E$9)</f>
        <v>13.172000000000001</v>
      </c>
      <c r="M774" s="33">
        <f>13.1773 * CHOOSE(CONTROL!$C$32, $C$9, 100%, $E$9)</f>
        <v>13.177300000000001</v>
      </c>
      <c r="N774" s="33">
        <f>13.172 * CHOOSE(CONTROL!$C$32, $C$9, 100%, $E$9)</f>
        <v>13.172000000000001</v>
      </c>
      <c r="O774" s="33">
        <f>13.1773 * CHOOSE(CONTROL!$C$32, $C$9, 100%, $E$9)</f>
        <v>13.177300000000001</v>
      </c>
    </row>
    <row r="775" spans="1:15" ht="15" x14ac:dyDescent="0.2">
      <c r="A775" s="16">
        <v>64802</v>
      </c>
      <c r="B775" s="32">
        <f>11.4474 * CHOOSE(CONTROL!$C$32, $C$9, 100%, $E$9)</f>
        <v>11.4474</v>
      </c>
      <c r="C775" s="32">
        <f>11.4474 * CHOOSE(CONTROL!$C$32, $C$9, 100%, $E$9)</f>
        <v>11.4474</v>
      </c>
      <c r="D775" s="32">
        <f>11.449 * CHOOSE(CONTROL!$C$32, $C$9, 100%, $E$9)</f>
        <v>11.449</v>
      </c>
      <c r="E775" s="33">
        <f>13.0688 * CHOOSE(CONTROL!$C$32, $C$9, 100%, $E$9)</f>
        <v>13.0688</v>
      </c>
      <c r="F775" s="33">
        <f>13.0688 * CHOOSE(CONTROL!$C$32, $C$9, 100%, $E$9)</f>
        <v>13.0688</v>
      </c>
      <c r="G775" s="33">
        <f>13.074 * CHOOSE(CONTROL!$C$32, $C$9, 100%, $E$9)</f>
        <v>13.074</v>
      </c>
      <c r="H775" s="33">
        <f>26.5125 * CHOOSE(CONTROL!$C$32, $C$9, 100%, $E$9)</f>
        <v>26.512499999999999</v>
      </c>
      <c r="I775" s="33">
        <f>26.5178 * CHOOSE(CONTROL!$C$32, $C$9, 100%, $E$9)</f>
        <v>26.517800000000001</v>
      </c>
      <c r="J775" s="33">
        <f>26.5125 * CHOOSE(CONTROL!$C$32, $C$9, 100%, $E$9)</f>
        <v>26.512499999999999</v>
      </c>
      <c r="K775" s="33">
        <f>26.5178 * CHOOSE(CONTROL!$C$32, $C$9, 100%, $E$9)</f>
        <v>26.517800000000001</v>
      </c>
      <c r="L775" s="33">
        <f>13.0688 * CHOOSE(CONTROL!$C$32, $C$9, 100%, $E$9)</f>
        <v>13.0688</v>
      </c>
      <c r="M775" s="33">
        <f>13.074 * CHOOSE(CONTROL!$C$32, $C$9, 100%, $E$9)</f>
        <v>13.074</v>
      </c>
      <c r="N775" s="33">
        <f>13.0688 * CHOOSE(CONTROL!$C$32, $C$9, 100%, $E$9)</f>
        <v>13.0688</v>
      </c>
      <c r="O775" s="33">
        <f>13.074 * CHOOSE(CONTROL!$C$32, $C$9, 100%, $E$9)</f>
        <v>13.074</v>
      </c>
    </row>
    <row r="776" spans="1:15" ht="15" x14ac:dyDescent="0.2">
      <c r="A776" s="16">
        <v>64832</v>
      </c>
      <c r="B776" s="32">
        <f>11.5877 * CHOOSE(CONTROL!$C$32, $C$9, 100%, $E$9)</f>
        <v>11.5877</v>
      </c>
      <c r="C776" s="32">
        <f>11.5877 * CHOOSE(CONTROL!$C$32, $C$9, 100%, $E$9)</f>
        <v>11.5877</v>
      </c>
      <c r="D776" s="32">
        <f>11.5893 * CHOOSE(CONTROL!$C$32, $C$9, 100%, $E$9)</f>
        <v>11.5893</v>
      </c>
      <c r="E776" s="33">
        <f>13.2529 * CHOOSE(CONTROL!$C$32, $C$9, 100%, $E$9)</f>
        <v>13.2529</v>
      </c>
      <c r="F776" s="33">
        <f>13.2529 * CHOOSE(CONTROL!$C$32, $C$9, 100%, $E$9)</f>
        <v>13.2529</v>
      </c>
      <c r="G776" s="33">
        <f>13.2582 * CHOOSE(CONTROL!$C$32, $C$9, 100%, $E$9)</f>
        <v>13.2582</v>
      </c>
      <c r="H776" s="33">
        <f>26.5678 * CHOOSE(CONTROL!$C$32, $C$9, 100%, $E$9)</f>
        <v>26.567799999999998</v>
      </c>
      <c r="I776" s="33">
        <f>26.5731 * CHOOSE(CONTROL!$C$32, $C$9, 100%, $E$9)</f>
        <v>26.5731</v>
      </c>
      <c r="J776" s="33">
        <f>26.5678 * CHOOSE(CONTROL!$C$32, $C$9, 100%, $E$9)</f>
        <v>26.567799999999998</v>
      </c>
      <c r="K776" s="33">
        <f>26.5731 * CHOOSE(CONTROL!$C$32, $C$9, 100%, $E$9)</f>
        <v>26.5731</v>
      </c>
      <c r="L776" s="33">
        <f>13.2529 * CHOOSE(CONTROL!$C$32, $C$9, 100%, $E$9)</f>
        <v>13.2529</v>
      </c>
      <c r="M776" s="33">
        <f>13.2582 * CHOOSE(CONTROL!$C$32, $C$9, 100%, $E$9)</f>
        <v>13.2582</v>
      </c>
      <c r="N776" s="33">
        <f>13.2529 * CHOOSE(CONTROL!$C$32, $C$9, 100%, $E$9)</f>
        <v>13.2529</v>
      </c>
      <c r="O776" s="33">
        <f>13.2582 * CHOOSE(CONTROL!$C$32, $C$9, 100%, $E$9)</f>
        <v>13.2582</v>
      </c>
    </row>
    <row r="777" spans="1:15" ht="15" x14ac:dyDescent="0.2">
      <c r="A777" s="16">
        <v>64863</v>
      </c>
      <c r="B777" s="32">
        <f>11.5944 * CHOOSE(CONTROL!$C$32, $C$9, 100%, $E$9)</f>
        <v>11.5944</v>
      </c>
      <c r="C777" s="32">
        <f>11.5944 * CHOOSE(CONTROL!$C$32, $C$9, 100%, $E$9)</f>
        <v>11.5944</v>
      </c>
      <c r="D777" s="32">
        <f>11.596 * CHOOSE(CONTROL!$C$32, $C$9, 100%, $E$9)</f>
        <v>11.596</v>
      </c>
      <c r="E777" s="33">
        <f>12.9352 * CHOOSE(CONTROL!$C$32, $C$9, 100%, $E$9)</f>
        <v>12.9352</v>
      </c>
      <c r="F777" s="33">
        <f>12.9352 * CHOOSE(CONTROL!$C$32, $C$9, 100%, $E$9)</f>
        <v>12.9352</v>
      </c>
      <c r="G777" s="33">
        <f>12.9405 * CHOOSE(CONTROL!$C$32, $C$9, 100%, $E$9)</f>
        <v>12.9405</v>
      </c>
      <c r="H777" s="33">
        <f>26.6231 * CHOOSE(CONTROL!$C$32, $C$9, 100%, $E$9)</f>
        <v>26.623100000000001</v>
      </c>
      <c r="I777" s="33">
        <f>26.6284 * CHOOSE(CONTROL!$C$32, $C$9, 100%, $E$9)</f>
        <v>26.628399999999999</v>
      </c>
      <c r="J777" s="33">
        <f>26.6231 * CHOOSE(CONTROL!$C$32, $C$9, 100%, $E$9)</f>
        <v>26.623100000000001</v>
      </c>
      <c r="K777" s="33">
        <f>26.6284 * CHOOSE(CONTROL!$C$32, $C$9, 100%, $E$9)</f>
        <v>26.628399999999999</v>
      </c>
      <c r="L777" s="33">
        <f>12.9352 * CHOOSE(CONTROL!$C$32, $C$9, 100%, $E$9)</f>
        <v>12.9352</v>
      </c>
      <c r="M777" s="33">
        <f>12.9405 * CHOOSE(CONTROL!$C$32, $C$9, 100%, $E$9)</f>
        <v>12.9405</v>
      </c>
      <c r="N777" s="33">
        <f>12.9352 * CHOOSE(CONTROL!$C$32, $C$9, 100%, $E$9)</f>
        <v>12.9352</v>
      </c>
      <c r="O777" s="33">
        <f>12.9405 * CHOOSE(CONTROL!$C$32, $C$9, 100%, $E$9)</f>
        <v>12.9405</v>
      </c>
    </row>
    <row r="778" spans="1:15" ht="15" x14ac:dyDescent="0.2">
      <c r="A778" s="16">
        <v>64894</v>
      </c>
      <c r="B778" s="32">
        <f>11.5913 * CHOOSE(CONTROL!$C$32, $C$9, 100%, $E$9)</f>
        <v>11.5913</v>
      </c>
      <c r="C778" s="32">
        <f>11.5913 * CHOOSE(CONTROL!$C$32, $C$9, 100%, $E$9)</f>
        <v>11.5913</v>
      </c>
      <c r="D778" s="32">
        <f>11.5929 * CHOOSE(CONTROL!$C$32, $C$9, 100%, $E$9)</f>
        <v>11.5929</v>
      </c>
      <c r="E778" s="33">
        <f>12.8972 * CHOOSE(CONTROL!$C$32, $C$9, 100%, $E$9)</f>
        <v>12.8972</v>
      </c>
      <c r="F778" s="33">
        <f>12.8972 * CHOOSE(CONTROL!$C$32, $C$9, 100%, $E$9)</f>
        <v>12.8972</v>
      </c>
      <c r="G778" s="33">
        <f>12.9025 * CHOOSE(CONTROL!$C$32, $C$9, 100%, $E$9)</f>
        <v>12.9025</v>
      </c>
      <c r="H778" s="33">
        <f>26.6786 * CHOOSE(CONTROL!$C$32, $C$9, 100%, $E$9)</f>
        <v>26.678599999999999</v>
      </c>
      <c r="I778" s="33">
        <f>26.6839 * CHOOSE(CONTROL!$C$32, $C$9, 100%, $E$9)</f>
        <v>26.683900000000001</v>
      </c>
      <c r="J778" s="33">
        <f>26.6786 * CHOOSE(CONTROL!$C$32, $C$9, 100%, $E$9)</f>
        <v>26.678599999999999</v>
      </c>
      <c r="K778" s="33">
        <f>26.6839 * CHOOSE(CONTROL!$C$32, $C$9, 100%, $E$9)</f>
        <v>26.683900000000001</v>
      </c>
      <c r="L778" s="33">
        <f>12.8972 * CHOOSE(CONTROL!$C$32, $C$9, 100%, $E$9)</f>
        <v>12.8972</v>
      </c>
      <c r="M778" s="33">
        <f>12.9025 * CHOOSE(CONTROL!$C$32, $C$9, 100%, $E$9)</f>
        <v>12.9025</v>
      </c>
      <c r="N778" s="33">
        <f>12.8972 * CHOOSE(CONTROL!$C$32, $C$9, 100%, $E$9)</f>
        <v>12.8972</v>
      </c>
      <c r="O778" s="33">
        <f>12.9025 * CHOOSE(CONTROL!$C$32, $C$9, 100%, $E$9)</f>
        <v>12.9025</v>
      </c>
    </row>
    <row r="779" spans="1:15" ht="15" x14ac:dyDescent="0.2">
      <c r="A779" s="16">
        <v>64924</v>
      </c>
      <c r="B779" s="32">
        <f>11.6148 * CHOOSE(CONTROL!$C$32, $C$9, 100%, $E$9)</f>
        <v>11.614800000000001</v>
      </c>
      <c r="C779" s="32">
        <f>11.6148 * CHOOSE(CONTROL!$C$32, $C$9, 100%, $E$9)</f>
        <v>11.614800000000001</v>
      </c>
      <c r="D779" s="32">
        <f>11.6158 * CHOOSE(CONTROL!$C$32, $C$9, 100%, $E$9)</f>
        <v>11.6158</v>
      </c>
      <c r="E779" s="33">
        <f>13.0271 * CHOOSE(CONTROL!$C$32, $C$9, 100%, $E$9)</f>
        <v>13.027100000000001</v>
      </c>
      <c r="F779" s="33">
        <f>13.0271 * CHOOSE(CONTROL!$C$32, $C$9, 100%, $E$9)</f>
        <v>13.027100000000001</v>
      </c>
      <c r="G779" s="33">
        <f>13.0307 * CHOOSE(CONTROL!$C$32, $C$9, 100%, $E$9)</f>
        <v>13.0307</v>
      </c>
      <c r="H779" s="33">
        <f>26.7342 * CHOOSE(CONTROL!$C$32, $C$9, 100%, $E$9)</f>
        <v>26.734200000000001</v>
      </c>
      <c r="I779" s="33">
        <f>26.7378 * CHOOSE(CONTROL!$C$32, $C$9, 100%, $E$9)</f>
        <v>26.7378</v>
      </c>
      <c r="J779" s="33">
        <f>26.7342 * CHOOSE(CONTROL!$C$32, $C$9, 100%, $E$9)</f>
        <v>26.734200000000001</v>
      </c>
      <c r="K779" s="33">
        <f>26.7378 * CHOOSE(CONTROL!$C$32, $C$9, 100%, $E$9)</f>
        <v>26.7378</v>
      </c>
      <c r="L779" s="33">
        <f>13.0271 * CHOOSE(CONTROL!$C$32, $C$9, 100%, $E$9)</f>
        <v>13.027100000000001</v>
      </c>
      <c r="M779" s="33">
        <f>13.0307 * CHOOSE(CONTROL!$C$32, $C$9, 100%, $E$9)</f>
        <v>13.0307</v>
      </c>
      <c r="N779" s="33">
        <f>13.0271 * CHOOSE(CONTROL!$C$32, $C$9, 100%, $E$9)</f>
        <v>13.027100000000001</v>
      </c>
      <c r="O779" s="33">
        <f>13.0307 * CHOOSE(CONTROL!$C$32, $C$9, 100%, $E$9)</f>
        <v>13.0307</v>
      </c>
    </row>
    <row r="780" spans="1:15" ht="15" x14ac:dyDescent="0.2">
      <c r="A780" s="16">
        <v>64955</v>
      </c>
      <c r="B780" s="32">
        <f>11.6178 * CHOOSE(CONTROL!$C$32, $C$9, 100%, $E$9)</f>
        <v>11.617800000000001</v>
      </c>
      <c r="C780" s="32">
        <f>11.6178 * CHOOSE(CONTROL!$C$32, $C$9, 100%, $E$9)</f>
        <v>11.617800000000001</v>
      </c>
      <c r="D780" s="32">
        <f>11.6189 * CHOOSE(CONTROL!$C$32, $C$9, 100%, $E$9)</f>
        <v>11.6189</v>
      </c>
      <c r="E780" s="33">
        <f>13.1009 * CHOOSE(CONTROL!$C$32, $C$9, 100%, $E$9)</f>
        <v>13.100899999999999</v>
      </c>
      <c r="F780" s="33">
        <f>13.1009 * CHOOSE(CONTROL!$C$32, $C$9, 100%, $E$9)</f>
        <v>13.100899999999999</v>
      </c>
      <c r="G780" s="33">
        <f>13.1045 * CHOOSE(CONTROL!$C$32, $C$9, 100%, $E$9)</f>
        <v>13.1045</v>
      </c>
      <c r="H780" s="33">
        <f>26.7899 * CHOOSE(CONTROL!$C$32, $C$9, 100%, $E$9)</f>
        <v>26.789899999999999</v>
      </c>
      <c r="I780" s="33">
        <f>26.7935 * CHOOSE(CONTROL!$C$32, $C$9, 100%, $E$9)</f>
        <v>26.793500000000002</v>
      </c>
      <c r="J780" s="33">
        <f>26.7899 * CHOOSE(CONTROL!$C$32, $C$9, 100%, $E$9)</f>
        <v>26.789899999999999</v>
      </c>
      <c r="K780" s="33">
        <f>26.7935 * CHOOSE(CONTROL!$C$32, $C$9, 100%, $E$9)</f>
        <v>26.793500000000002</v>
      </c>
      <c r="L780" s="33">
        <f>13.1009 * CHOOSE(CONTROL!$C$32, $C$9, 100%, $E$9)</f>
        <v>13.100899999999999</v>
      </c>
      <c r="M780" s="33">
        <f>13.1045 * CHOOSE(CONTROL!$C$32, $C$9, 100%, $E$9)</f>
        <v>13.1045</v>
      </c>
      <c r="N780" s="33">
        <f>13.1009 * CHOOSE(CONTROL!$C$32, $C$9, 100%, $E$9)</f>
        <v>13.100899999999999</v>
      </c>
      <c r="O780" s="33">
        <f>13.1045 * CHOOSE(CONTROL!$C$32, $C$9, 100%, $E$9)</f>
        <v>13.1045</v>
      </c>
    </row>
    <row r="781" spans="1:15" ht="15" x14ac:dyDescent="0.2">
      <c r="A781" s="16">
        <v>64985</v>
      </c>
      <c r="B781" s="32">
        <f>11.6178 * CHOOSE(CONTROL!$C$32, $C$9, 100%, $E$9)</f>
        <v>11.617800000000001</v>
      </c>
      <c r="C781" s="32">
        <f>11.6178 * CHOOSE(CONTROL!$C$32, $C$9, 100%, $E$9)</f>
        <v>11.617800000000001</v>
      </c>
      <c r="D781" s="32">
        <f>11.6189 * CHOOSE(CONTROL!$C$32, $C$9, 100%, $E$9)</f>
        <v>11.6189</v>
      </c>
      <c r="E781" s="33">
        <f>12.9218 * CHOOSE(CONTROL!$C$32, $C$9, 100%, $E$9)</f>
        <v>12.921799999999999</v>
      </c>
      <c r="F781" s="33">
        <f>12.9218 * CHOOSE(CONTROL!$C$32, $C$9, 100%, $E$9)</f>
        <v>12.921799999999999</v>
      </c>
      <c r="G781" s="33">
        <f>12.9254 * CHOOSE(CONTROL!$C$32, $C$9, 100%, $E$9)</f>
        <v>12.9254</v>
      </c>
      <c r="H781" s="33">
        <f>26.8457 * CHOOSE(CONTROL!$C$32, $C$9, 100%, $E$9)</f>
        <v>26.845700000000001</v>
      </c>
      <c r="I781" s="33">
        <f>26.8493 * CHOOSE(CONTROL!$C$32, $C$9, 100%, $E$9)</f>
        <v>26.849299999999999</v>
      </c>
      <c r="J781" s="33">
        <f>26.8457 * CHOOSE(CONTROL!$C$32, $C$9, 100%, $E$9)</f>
        <v>26.845700000000001</v>
      </c>
      <c r="K781" s="33">
        <f>26.8493 * CHOOSE(CONTROL!$C$32, $C$9, 100%, $E$9)</f>
        <v>26.849299999999999</v>
      </c>
      <c r="L781" s="33">
        <f>12.9218 * CHOOSE(CONTROL!$C$32, $C$9, 100%, $E$9)</f>
        <v>12.921799999999999</v>
      </c>
      <c r="M781" s="33">
        <f>12.9254 * CHOOSE(CONTROL!$C$32, $C$9, 100%, $E$9)</f>
        <v>12.9254</v>
      </c>
      <c r="N781" s="33">
        <f>12.9218 * CHOOSE(CONTROL!$C$32, $C$9, 100%, $E$9)</f>
        <v>12.921799999999999</v>
      </c>
      <c r="O781" s="33">
        <f>12.9254 * CHOOSE(CONTROL!$C$32, $C$9, 100%, $E$9)</f>
        <v>12.9254</v>
      </c>
    </row>
    <row r="782" spans="1:15" ht="15" x14ac:dyDescent="0.2">
      <c r="A782" s="16">
        <v>65016</v>
      </c>
      <c r="B782" s="32">
        <f>11.6299 * CHOOSE(CONTROL!$C$32, $C$9, 100%, $E$9)</f>
        <v>11.629899999999999</v>
      </c>
      <c r="C782" s="32">
        <f>11.6299 * CHOOSE(CONTROL!$C$32, $C$9, 100%, $E$9)</f>
        <v>11.629899999999999</v>
      </c>
      <c r="D782" s="32">
        <f>11.631 * CHOOSE(CONTROL!$C$32, $C$9, 100%, $E$9)</f>
        <v>11.631</v>
      </c>
      <c r="E782" s="33">
        <f>13.0706 * CHOOSE(CONTROL!$C$32, $C$9, 100%, $E$9)</f>
        <v>13.070600000000001</v>
      </c>
      <c r="F782" s="33">
        <f>13.0706 * CHOOSE(CONTROL!$C$32, $C$9, 100%, $E$9)</f>
        <v>13.070600000000001</v>
      </c>
      <c r="G782" s="33">
        <f>13.0742 * CHOOSE(CONTROL!$C$32, $C$9, 100%, $E$9)</f>
        <v>13.074199999999999</v>
      </c>
      <c r="H782" s="33">
        <f>26.7021 * CHOOSE(CONTROL!$C$32, $C$9, 100%, $E$9)</f>
        <v>26.702100000000002</v>
      </c>
      <c r="I782" s="33">
        <f>26.7057 * CHOOSE(CONTROL!$C$32, $C$9, 100%, $E$9)</f>
        <v>26.7057</v>
      </c>
      <c r="J782" s="33">
        <f>26.7021 * CHOOSE(CONTROL!$C$32, $C$9, 100%, $E$9)</f>
        <v>26.702100000000002</v>
      </c>
      <c r="K782" s="33">
        <f>26.7057 * CHOOSE(CONTROL!$C$32, $C$9, 100%, $E$9)</f>
        <v>26.7057</v>
      </c>
      <c r="L782" s="33">
        <f>13.0706 * CHOOSE(CONTROL!$C$32, $C$9, 100%, $E$9)</f>
        <v>13.070600000000001</v>
      </c>
      <c r="M782" s="33">
        <f>13.0742 * CHOOSE(CONTROL!$C$32, $C$9, 100%, $E$9)</f>
        <v>13.074199999999999</v>
      </c>
      <c r="N782" s="33">
        <f>13.0706 * CHOOSE(CONTROL!$C$32, $C$9, 100%, $E$9)</f>
        <v>13.070600000000001</v>
      </c>
      <c r="O782" s="33">
        <f>13.0742 * CHOOSE(CONTROL!$C$32, $C$9, 100%, $E$9)</f>
        <v>13.074199999999999</v>
      </c>
    </row>
    <row r="783" spans="1:15" ht="15" x14ac:dyDescent="0.2">
      <c r="A783" s="16">
        <v>65047</v>
      </c>
      <c r="B783" s="32">
        <f>11.6269 * CHOOSE(CONTROL!$C$32, $C$9, 100%, $E$9)</f>
        <v>11.626899999999999</v>
      </c>
      <c r="C783" s="32">
        <f>11.6269 * CHOOSE(CONTROL!$C$32, $C$9, 100%, $E$9)</f>
        <v>11.626899999999999</v>
      </c>
      <c r="D783" s="32">
        <f>11.628 * CHOOSE(CONTROL!$C$32, $C$9, 100%, $E$9)</f>
        <v>11.628</v>
      </c>
      <c r="E783" s="33">
        <f>12.7228 * CHOOSE(CONTROL!$C$32, $C$9, 100%, $E$9)</f>
        <v>12.722799999999999</v>
      </c>
      <c r="F783" s="33">
        <f>12.7228 * CHOOSE(CONTROL!$C$32, $C$9, 100%, $E$9)</f>
        <v>12.722799999999999</v>
      </c>
      <c r="G783" s="33">
        <f>12.7265 * CHOOSE(CONTROL!$C$32, $C$9, 100%, $E$9)</f>
        <v>12.7265</v>
      </c>
      <c r="H783" s="33">
        <f>26.7577 * CHOOSE(CONTROL!$C$32, $C$9, 100%, $E$9)</f>
        <v>26.7577</v>
      </c>
      <c r="I783" s="33">
        <f>26.7614 * CHOOSE(CONTROL!$C$32, $C$9, 100%, $E$9)</f>
        <v>26.761399999999998</v>
      </c>
      <c r="J783" s="33">
        <f>26.7577 * CHOOSE(CONTROL!$C$32, $C$9, 100%, $E$9)</f>
        <v>26.7577</v>
      </c>
      <c r="K783" s="33">
        <f>26.7614 * CHOOSE(CONTROL!$C$32, $C$9, 100%, $E$9)</f>
        <v>26.761399999999998</v>
      </c>
      <c r="L783" s="33">
        <f>12.7228 * CHOOSE(CONTROL!$C$32, $C$9, 100%, $E$9)</f>
        <v>12.722799999999999</v>
      </c>
      <c r="M783" s="33">
        <f>12.7265 * CHOOSE(CONTROL!$C$32, $C$9, 100%, $E$9)</f>
        <v>12.7265</v>
      </c>
      <c r="N783" s="33">
        <f>12.7228 * CHOOSE(CONTROL!$C$32, $C$9, 100%, $E$9)</f>
        <v>12.722799999999999</v>
      </c>
      <c r="O783" s="33">
        <f>12.7265 * CHOOSE(CONTROL!$C$32, $C$9, 100%, $E$9)</f>
        <v>12.7265</v>
      </c>
    </row>
    <row r="784" spans="1:15" ht="15" x14ac:dyDescent="0.2">
      <c r="A784" s="16">
        <v>65075</v>
      </c>
      <c r="B784" s="32">
        <f>11.6239 * CHOOSE(CONTROL!$C$32, $C$9, 100%, $E$9)</f>
        <v>11.623900000000001</v>
      </c>
      <c r="C784" s="32">
        <f>11.6239 * CHOOSE(CONTROL!$C$32, $C$9, 100%, $E$9)</f>
        <v>11.623900000000001</v>
      </c>
      <c r="D784" s="32">
        <f>11.6249 * CHOOSE(CONTROL!$C$32, $C$9, 100%, $E$9)</f>
        <v>11.6249</v>
      </c>
      <c r="E784" s="33">
        <f>12.9932 * CHOOSE(CONTROL!$C$32, $C$9, 100%, $E$9)</f>
        <v>12.9932</v>
      </c>
      <c r="F784" s="33">
        <f>12.9932 * CHOOSE(CONTROL!$C$32, $C$9, 100%, $E$9)</f>
        <v>12.9932</v>
      </c>
      <c r="G784" s="33">
        <f>12.9968 * CHOOSE(CONTROL!$C$32, $C$9, 100%, $E$9)</f>
        <v>12.9968</v>
      </c>
      <c r="H784" s="33">
        <f>26.8135 * CHOOSE(CONTROL!$C$32, $C$9, 100%, $E$9)</f>
        <v>26.813500000000001</v>
      </c>
      <c r="I784" s="33">
        <f>26.8171 * CHOOSE(CONTROL!$C$32, $C$9, 100%, $E$9)</f>
        <v>26.8171</v>
      </c>
      <c r="J784" s="33">
        <f>26.8135 * CHOOSE(CONTROL!$C$32, $C$9, 100%, $E$9)</f>
        <v>26.813500000000001</v>
      </c>
      <c r="K784" s="33">
        <f>26.8171 * CHOOSE(CONTROL!$C$32, $C$9, 100%, $E$9)</f>
        <v>26.8171</v>
      </c>
      <c r="L784" s="33">
        <f>12.9932 * CHOOSE(CONTROL!$C$32, $C$9, 100%, $E$9)</f>
        <v>12.9932</v>
      </c>
      <c r="M784" s="33">
        <f>12.9968 * CHOOSE(CONTROL!$C$32, $C$9, 100%, $E$9)</f>
        <v>12.9968</v>
      </c>
      <c r="N784" s="33">
        <f>12.9932 * CHOOSE(CONTROL!$C$32, $C$9, 100%, $E$9)</f>
        <v>12.9932</v>
      </c>
      <c r="O784" s="33">
        <f>12.9968 * CHOOSE(CONTROL!$C$32, $C$9, 100%, $E$9)</f>
        <v>12.9968</v>
      </c>
    </row>
    <row r="785" spans="1:15" ht="15" x14ac:dyDescent="0.2">
      <c r="A785" s="16">
        <v>65106</v>
      </c>
      <c r="B785" s="32">
        <f>11.6289 * CHOOSE(CONTROL!$C$32, $C$9, 100%, $E$9)</f>
        <v>11.6289</v>
      </c>
      <c r="C785" s="32">
        <f>11.6289 * CHOOSE(CONTROL!$C$32, $C$9, 100%, $E$9)</f>
        <v>11.6289</v>
      </c>
      <c r="D785" s="32">
        <f>11.63 * CHOOSE(CONTROL!$C$32, $C$9, 100%, $E$9)</f>
        <v>11.63</v>
      </c>
      <c r="E785" s="33">
        <f>13.2815 * CHOOSE(CONTROL!$C$32, $C$9, 100%, $E$9)</f>
        <v>13.281499999999999</v>
      </c>
      <c r="F785" s="33">
        <f>13.2815 * CHOOSE(CONTROL!$C$32, $C$9, 100%, $E$9)</f>
        <v>13.281499999999999</v>
      </c>
      <c r="G785" s="33">
        <f>13.2851 * CHOOSE(CONTROL!$C$32, $C$9, 100%, $E$9)</f>
        <v>13.2851</v>
      </c>
      <c r="H785" s="33">
        <f>26.8693 * CHOOSE(CONTROL!$C$32, $C$9, 100%, $E$9)</f>
        <v>26.869299999999999</v>
      </c>
      <c r="I785" s="33">
        <f>26.873 * CHOOSE(CONTROL!$C$32, $C$9, 100%, $E$9)</f>
        <v>26.873000000000001</v>
      </c>
      <c r="J785" s="33">
        <f>26.8693 * CHOOSE(CONTROL!$C$32, $C$9, 100%, $E$9)</f>
        <v>26.869299999999999</v>
      </c>
      <c r="K785" s="33">
        <f>26.873 * CHOOSE(CONTROL!$C$32, $C$9, 100%, $E$9)</f>
        <v>26.873000000000001</v>
      </c>
      <c r="L785" s="33">
        <f>13.2815 * CHOOSE(CONTROL!$C$32, $C$9, 100%, $E$9)</f>
        <v>13.281499999999999</v>
      </c>
      <c r="M785" s="33">
        <f>13.2851 * CHOOSE(CONTROL!$C$32, $C$9, 100%, $E$9)</f>
        <v>13.2851</v>
      </c>
      <c r="N785" s="33">
        <f>13.2815 * CHOOSE(CONTROL!$C$32, $C$9, 100%, $E$9)</f>
        <v>13.281499999999999</v>
      </c>
      <c r="O785" s="33">
        <f>13.2851 * CHOOSE(CONTROL!$C$32, $C$9, 100%, $E$9)</f>
        <v>13.2851</v>
      </c>
    </row>
    <row r="786" spans="1:15" ht="15" x14ac:dyDescent="0.2">
      <c r="A786" s="16">
        <v>65136</v>
      </c>
      <c r="B786" s="32">
        <f>11.6289 * CHOOSE(CONTROL!$C$32, $C$9, 100%, $E$9)</f>
        <v>11.6289</v>
      </c>
      <c r="C786" s="32">
        <f>11.6289 * CHOOSE(CONTROL!$C$32, $C$9, 100%, $E$9)</f>
        <v>11.6289</v>
      </c>
      <c r="D786" s="32">
        <f>11.6305 * CHOOSE(CONTROL!$C$32, $C$9, 100%, $E$9)</f>
        <v>11.6305</v>
      </c>
      <c r="E786" s="33">
        <f>13.3912 * CHOOSE(CONTROL!$C$32, $C$9, 100%, $E$9)</f>
        <v>13.3912</v>
      </c>
      <c r="F786" s="33">
        <f>13.3912 * CHOOSE(CONTROL!$C$32, $C$9, 100%, $E$9)</f>
        <v>13.3912</v>
      </c>
      <c r="G786" s="33">
        <f>13.3965 * CHOOSE(CONTROL!$C$32, $C$9, 100%, $E$9)</f>
        <v>13.3965</v>
      </c>
      <c r="H786" s="33">
        <f>26.9253 * CHOOSE(CONTROL!$C$32, $C$9, 100%, $E$9)</f>
        <v>26.9253</v>
      </c>
      <c r="I786" s="33">
        <f>26.9306 * CHOOSE(CONTROL!$C$32, $C$9, 100%, $E$9)</f>
        <v>26.930599999999998</v>
      </c>
      <c r="J786" s="33">
        <f>26.9253 * CHOOSE(CONTROL!$C$32, $C$9, 100%, $E$9)</f>
        <v>26.9253</v>
      </c>
      <c r="K786" s="33">
        <f>26.9306 * CHOOSE(CONTROL!$C$32, $C$9, 100%, $E$9)</f>
        <v>26.930599999999998</v>
      </c>
      <c r="L786" s="33">
        <f>13.3912 * CHOOSE(CONTROL!$C$32, $C$9, 100%, $E$9)</f>
        <v>13.3912</v>
      </c>
      <c r="M786" s="33">
        <f>13.3965 * CHOOSE(CONTROL!$C$32, $C$9, 100%, $E$9)</f>
        <v>13.3965</v>
      </c>
      <c r="N786" s="33">
        <f>13.3912 * CHOOSE(CONTROL!$C$32, $C$9, 100%, $E$9)</f>
        <v>13.3912</v>
      </c>
      <c r="O786" s="33">
        <f>13.3965 * CHOOSE(CONTROL!$C$32, $C$9, 100%, $E$9)</f>
        <v>13.3965</v>
      </c>
    </row>
    <row r="787" spans="1:15" ht="15" x14ac:dyDescent="0.2">
      <c r="A787" s="16">
        <v>65167</v>
      </c>
      <c r="B787" s="32">
        <f>11.635 * CHOOSE(CONTROL!$C$32, $C$9, 100%, $E$9)</f>
        <v>11.635</v>
      </c>
      <c r="C787" s="32">
        <f>11.635 * CHOOSE(CONTROL!$C$32, $C$9, 100%, $E$9)</f>
        <v>11.635</v>
      </c>
      <c r="D787" s="32">
        <f>11.6366 * CHOOSE(CONTROL!$C$32, $C$9, 100%, $E$9)</f>
        <v>11.6366</v>
      </c>
      <c r="E787" s="33">
        <f>13.2858 * CHOOSE(CONTROL!$C$32, $C$9, 100%, $E$9)</f>
        <v>13.2858</v>
      </c>
      <c r="F787" s="33">
        <f>13.2858 * CHOOSE(CONTROL!$C$32, $C$9, 100%, $E$9)</f>
        <v>13.2858</v>
      </c>
      <c r="G787" s="33">
        <f>13.2911 * CHOOSE(CONTROL!$C$32, $C$9, 100%, $E$9)</f>
        <v>13.2911</v>
      </c>
      <c r="H787" s="33">
        <f>26.9814 * CHOOSE(CONTROL!$C$32, $C$9, 100%, $E$9)</f>
        <v>26.981400000000001</v>
      </c>
      <c r="I787" s="33">
        <f>26.9867 * CHOOSE(CONTROL!$C$32, $C$9, 100%, $E$9)</f>
        <v>26.986699999999999</v>
      </c>
      <c r="J787" s="33">
        <f>26.9814 * CHOOSE(CONTROL!$C$32, $C$9, 100%, $E$9)</f>
        <v>26.981400000000001</v>
      </c>
      <c r="K787" s="33">
        <f>26.9867 * CHOOSE(CONTROL!$C$32, $C$9, 100%, $E$9)</f>
        <v>26.986699999999999</v>
      </c>
      <c r="L787" s="33">
        <f>13.2858 * CHOOSE(CONTROL!$C$32, $C$9, 100%, $E$9)</f>
        <v>13.2858</v>
      </c>
      <c r="M787" s="33">
        <f>13.2911 * CHOOSE(CONTROL!$C$32, $C$9, 100%, $E$9)</f>
        <v>13.2911</v>
      </c>
      <c r="N787" s="33">
        <f>13.2858 * CHOOSE(CONTROL!$C$32, $C$9, 100%, $E$9)</f>
        <v>13.2858</v>
      </c>
      <c r="O787" s="33">
        <f>13.2911 * CHOOSE(CONTROL!$C$32, $C$9, 100%, $E$9)</f>
        <v>13.2911</v>
      </c>
    </row>
    <row r="788" spans="1:15" ht="15" x14ac:dyDescent="0.2">
      <c r="A788" s="16">
        <v>65197</v>
      </c>
      <c r="B788" s="32">
        <f>11.7773 * CHOOSE(CONTROL!$C$32, $C$9, 100%, $E$9)</f>
        <v>11.7773</v>
      </c>
      <c r="C788" s="32">
        <f>11.7773 * CHOOSE(CONTROL!$C$32, $C$9, 100%, $E$9)</f>
        <v>11.7773</v>
      </c>
      <c r="D788" s="32">
        <f>11.7789 * CHOOSE(CONTROL!$C$32, $C$9, 100%, $E$9)</f>
        <v>11.7789</v>
      </c>
      <c r="E788" s="33">
        <f>13.4731 * CHOOSE(CONTROL!$C$32, $C$9, 100%, $E$9)</f>
        <v>13.473100000000001</v>
      </c>
      <c r="F788" s="33">
        <f>13.4731 * CHOOSE(CONTROL!$C$32, $C$9, 100%, $E$9)</f>
        <v>13.473100000000001</v>
      </c>
      <c r="G788" s="33">
        <f>13.4784 * CHOOSE(CONTROL!$C$32, $C$9, 100%, $E$9)</f>
        <v>13.478400000000001</v>
      </c>
      <c r="H788" s="33">
        <f>27.0376 * CHOOSE(CONTROL!$C$32, $C$9, 100%, $E$9)</f>
        <v>27.037600000000001</v>
      </c>
      <c r="I788" s="33">
        <f>27.0429 * CHOOSE(CONTROL!$C$32, $C$9, 100%, $E$9)</f>
        <v>27.042899999999999</v>
      </c>
      <c r="J788" s="33">
        <f>27.0376 * CHOOSE(CONTROL!$C$32, $C$9, 100%, $E$9)</f>
        <v>27.037600000000001</v>
      </c>
      <c r="K788" s="33">
        <f>27.0429 * CHOOSE(CONTROL!$C$32, $C$9, 100%, $E$9)</f>
        <v>27.042899999999999</v>
      </c>
      <c r="L788" s="33">
        <f>13.4731 * CHOOSE(CONTROL!$C$32, $C$9, 100%, $E$9)</f>
        <v>13.473100000000001</v>
      </c>
      <c r="M788" s="33">
        <f>13.4784 * CHOOSE(CONTROL!$C$32, $C$9, 100%, $E$9)</f>
        <v>13.478400000000001</v>
      </c>
      <c r="N788" s="33">
        <f>13.4731 * CHOOSE(CONTROL!$C$32, $C$9, 100%, $E$9)</f>
        <v>13.473100000000001</v>
      </c>
      <c r="O788" s="33">
        <f>13.4784 * CHOOSE(CONTROL!$C$32, $C$9, 100%, $E$9)</f>
        <v>13.478400000000001</v>
      </c>
    </row>
    <row r="789" spans="1:15" ht="15" x14ac:dyDescent="0.2">
      <c r="A789" s="16">
        <v>65228</v>
      </c>
      <c r="B789" s="32">
        <f>11.784 * CHOOSE(CONTROL!$C$32, $C$9, 100%, $E$9)</f>
        <v>11.784000000000001</v>
      </c>
      <c r="C789" s="32">
        <f>11.784 * CHOOSE(CONTROL!$C$32, $C$9, 100%, $E$9)</f>
        <v>11.784000000000001</v>
      </c>
      <c r="D789" s="32">
        <f>11.7856 * CHOOSE(CONTROL!$C$32, $C$9, 100%, $E$9)</f>
        <v>11.785600000000001</v>
      </c>
      <c r="E789" s="33">
        <f>13.1486 * CHOOSE(CONTROL!$C$32, $C$9, 100%, $E$9)</f>
        <v>13.1486</v>
      </c>
      <c r="F789" s="33">
        <f>13.1486 * CHOOSE(CONTROL!$C$32, $C$9, 100%, $E$9)</f>
        <v>13.1486</v>
      </c>
      <c r="G789" s="33">
        <f>13.1539 * CHOOSE(CONTROL!$C$32, $C$9, 100%, $E$9)</f>
        <v>13.1539</v>
      </c>
      <c r="H789" s="33">
        <f>27.094 * CHOOSE(CONTROL!$C$32, $C$9, 100%, $E$9)</f>
        <v>27.094000000000001</v>
      </c>
      <c r="I789" s="33">
        <f>27.0993 * CHOOSE(CONTROL!$C$32, $C$9, 100%, $E$9)</f>
        <v>27.099299999999999</v>
      </c>
      <c r="J789" s="33">
        <f>27.094 * CHOOSE(CONTROL!$C$32, $C$9, 100%, $E$9)</f>
        <v>27.094000000000001</v>
      </c>
      <c r="K789" s="33">
        <f>27.0993 * CHOOSE(CONTROL!$C$32, $C$9, 100%, $E$9)</f>
        <v>27.099299999999999</v>
      </c>
      <c r="L789" s="33">
        <f>13.1486 * CHOOSE(CONTROL!$C$32, $C$9, 100%, $E$9)</f>
        <v>13.1486</v>
      </c>
      <c r="M789" s="33">
        <f>13.1539 * CHOOSE(CONTROL!$C$32, $C$9, 100%, $E$9)</f>
        <v>13.1539</v>
      </c>
      <c r="N789" s="33">
        <f>13.1486 * CHOOSE(CONTROL!$C$32, $C$9, 100%, $E$9)</f>
        <v>13.1486</v>
      </c>
      <c r="O789" s="33">
        <f>13.1539 * CHOOSE(CONTROL!$C$32, $C$9, 100%, $E$9)</f>
        <v>13.1539</v>
      </c>
    </row>
    <row r="790" spans="1:15" ht="15" x14ac:dyDescent="0.2">
      <c r="A790" s="16">
        <v>65259</v>
      </c>
      <c r="B790" s="32">
        <f>11.7809 * CHOOSE(CONTROL!$C$32, $C$9, 100%, $E$9)</f>
        <v>11.780900000000001</v>
      </c>
      <c r="C790" s="32">
        <f>11.7809 * CHOOSE(CONTROL!$C$32, $C$9, 100%, $E$9)</f>
        <v>11.780900000000001</v>
      </c>
      <c r="D790" s="32">
        <f>11.7825 * CHOOSE(CONTROL!$C$32, $C$9, 100%, $E$9)</f>
        <v>11.782500000000001</v>
      </c>
      <c r="E790" s="33">
        <f>13.1099 * CHOOSE(CONTROL!$C$32, $C$9, 100%, $E$9)</f>
        <v>13.1099</v>
      </c>
      <c r="F790" s="33">
        <f>13.1099 * CHOOSE(CONTROL!$C$32, $C$9, 100%, $E$9)</f>
        <v>13.1099</v>
      </c>
      <c r="G790" s="33">
        <f>13.1152 * CHOOSE(CONTROL!$C$32, $C$9, 100%, $E$9)</f>
        <v>13.1152</v>
      </c>
      <c r="H790" s="33">
        <f>27.1504 * CHOOSE(CONTROL!$C$32, $C$9, 100%, $E$9)</f>
        <v>27.150400000000001</v>
      </c>
      <c r="I790" s="33">
        <f>27.1557 * CHOOSE(CONTROL!$C$32, $C$9, 100%, $E$9)</f>
        <v>27.1557</v>
      </c>
      <c r="J790" s="33">
        <f>27.1504 * CHOOSE(CONTROL!$C$32, $C$9, 100%, $E$9)</f>
        <v>27.150400000000001</v>
      </c>
      <c r="K790" s="33">
        <f>27.1557 * CHOOSE(CONTROL!$C$32, $C$9, 100%, $E$9)</f>
        <v>27.1557</v>
      </c>
      <c r="L790" s="33">
        <f>13.1099 * CHOOSE(CONTROL!$C$32, $C$9, 100%, $E$9)</f>
        <v>13.1099</v>
      </c>
      <c r="M790" s="33">
        <f>13.1152 * CHOOSE(CONTROL!$C$32, $C$9, 100%, $E$9)</f>
        <v>13.1152</v>
      </c>
      <c r="N790" s="33">
        <f>13.1099 * CHOOSE(CONTROL!$C$32, $C$9, 100%, $E$9)</f>
        <v>13.1099</v>
      </c>
      <c r="O790" s="33">
        <f>13.1152 * CHOOSE(CONTROL!$C$32, $C$9, 100%, $E$9)</f>
        <v>13.1152</v>
      </c>
    </row>
    <row r="791" spans="1:15" ht="15" x14ac:dyDescent="0.2">
      <c r="A791" s="16">
        <v>65289</v>
      </c>
      <c r="B791" s="32">
        <f>11.8051 * CHOOSE(CONTROL!$C$32, $C$9, 100%, $E$9)</f>
        <v>11.805099999999999</v>
      </c>
      <c r="C791" s="32">
        <f>11.8051 * CHOOSE(CONTROL!$C$32, $C$9, 100%, $E$9)</f>
        <v>11.805099999999999</v>
      </c>
      <c r="D791" s="32">
        <f>11.8062 * CHOOSE(CONTROL!$C$32, $C$9, 100%, $E$9)</f>
        <v>11.8062</v>
      </c>
      <c r="E791" s="33">
        <f>13.2428 * CHOOSE(CONTROL!$C$32, $C$9, 100%, $E$9)</f>
        <v>13.242800000000001</v>
      </c>
      <c r="F791" s="33">
        <f>13.2428 * CHOOSE(CONTROL!$C$32, $C$9, 100%, $E$9)</f>
        <v>13.242800000000001</v>
      </c>
      <c r="G791" s="33">
        <f>13.2464 * CHOOSE(CONTROL!$C$32, $C$9, 100%, $E$9)</f>
        <v>13.2464</v>
      </c>
      <c r="H791" s="33">
        <f>27.207 * CHOOSE(CONTROL!$C$32, $C$9, 100%, $E$9)</f>
        <v>27.207000000000001</v>
      </c>
      <c r="I791" s="33">
        <f>27.2106 * CHOOSE(CONTROL!$C$32, $C$9, 100%, $E$9)</f>
        <v>27.210599999999999</v>
      </c>
      <c r="J791" s="33">
        <f>27.207 * CHOOSE(CONTROL!$C$32, $C$9, 100%, $E$9)</f>
        <v>27.207000000000001</v>
      </c>
      <c r="K791" s="33">
        <f>27.2106 * CHOOSE(CONTROL!$C$32, $C$9, 100%, $E$9)</f>
        <v>27.210599999999999</v>
      </c>
      <c r="L791" s="33">
        <f>13.2428 * CHOOSE(CONTROL!$C$32, $C$9, 100%, $E$9)</f>
        <v>13.242800000000001</v>
      </c>
      <c r="M791" s="33">
        <f>13.2464 * CHOOSE(CONTROL!$C$32, $C$9, 100%, $E$9)</f>
        <v>13.2464</v>
      </c>
      <c r="N791" s="33">
        <f>13.2428 * CHOOSE(CONTROL!$C$32, $C$9, 100%, $E$9)</f>
        <v>13.242800000000001</v>
      </c>
      <c r="O791" s="33">
        <f>13.2464 * CHOOSE(CONTROL!$C$32, $C$9, 100%, $E$9)</f>
        <v>13.2464</v>
      </c>
    </row>
    <row r="792" spans="1:15" ht="15" x14ac:dyDescent="0.2">
      <c r="A792" s="16">
        <v>65320</v>
      </c>
      <c r="B792" s="32">
        <f>11.8081 * CHOOSE(CONTROL!$C$32, $C$9, 100%, $E$9)</f>
        <v>11.8081</v>
      </c>
      <c r="C792" s="32">
        <f>11.8081 * CHOOSE(CONTROL!$C$32, $C$9, 100%, $E$9)</f>
        <v>11.8081</v>
      </c>
      <c r="D792" s="32">
        <f>11.8092 * CHOOSE(CONTROL!$C$32, $C$9, 100%, $E$9)</f>
        <v>11.809200000000001</v>
      </c>
      <c r="E792" s="33">
        <f>13.3181 * CHOOSE(CONTROL!$C$32, $C$9, 100%, $E$9)</f>
        <v>13.318099999999999</v>
      </c>
      <c r="F792" s="33">
        <f>13.3181 * CHOOSE(CONTROL!$C$32, $C$9, 100%, $E$9)</f>
        <v>13.318099999999999</v>
      </c>
      <c r="G792" s="33">
        <f>13.3217 * CHOOSE(CONTROL!$C$32, $C$9, 100%, $E$9)</f>
        <v>13.3217</v>
      </c>
      <c r="H792" s="33">
        <f>27.2636 * CHOOSE(CONTROL!$C$32, $C$9, 100%, $E$9)</f>
        <v>27.2636</v>
      </c>
      <c r="I792" s="33">
        <f>27.2673 * CHOOSE(CONTROL!$C$32, $C$9, 100%, $E$9)</f>
        <v>27.267299999999999</v>
      </c>
      <c r="J792" s="33">
        <f>27.2636 * CHOOSE(CONTROL!$C$32, $C$9, 100%, $E$9)</f>
        <v>27.2636</v>
      </c>
      <c r="K792" s="33">
        <f>27.2673 * CHOOSE(CONTROL!$C$32, $C$9, 100%, $E$9)</f>
        <v>27.267299999999999</v>
      </c>
      <c r="L792" s="33">
        <f>13.3181 * CHOOSE(CONTROL!$C$32, $C$9, 100%, $E$9)</f>
        <v>13.318099999999999</v>
      </c>
      <c r="M792" s="33">
        <f>13.3217 * CHOOSE(CONTROL!$C$32, $C$9, 100%, $E$9)</f>
        <v>13.3217</v>
      </c>
      <c r="N792" s="33">
        <f>13.3181 * CHOOSE(CONTROL!$C$32, $C$9, 100%, $E$9)</f>
        <v>13.318099999999999</v>
      </c>
      <c r="O792" s="33">
        <f>13.3217 * CHOOSE(CONTROL!$C$32, $C$9, 100%, $E$9)</f>
        <v>13.3217</v>
      </c>
    </row>
    <row r="793" spans="1:15" ht="15" x14ac:dyDescent="0.2">
      <c r="A793" s="16">
        <v>65350</v>
      </c>
      <c r="B793" s="32">
        <f>11.8081 * CHOOSE(CONTROL!$C$32, $C$9, 100%, $E$9)</f>
        <v>11.8081</v>
      </c>
      <c r="C793" s="32">
        <f>11.8081 * CHOOSE(CONTROL!$C$32, $C$9, 100%, $E$9)</f>
        <v>11.8081</v>
      </c>
      <c r="D793" s="32">
        <f>11.8092 * CHOOSE(CONTROL!$C$32, $C$9, 100%, $E$9)</f>
        <v>11.809200000000001</v>
      </c>
      <c r="E793" s="33">
        <f>13.1352 * CHOOSE(CONTROL!$C$32, $C$9, 100%, $E$9)</f>
        <v>13.135199999999999</v>
      </c>
      <c r="F793" s="33">
        <f>13.1352 * CHOOSE(CONTROL!$C$32, $C$9, 100%, $E$9)</f>
        <v>13.135199999999999</v>
      </c>
      <c r="G793" s="33">
        <f>13.1388 * CHOOSE(CONTROL!$C$32, $C$9, 100%, $E$9)</f>
        <v>13.1388</v>
      </c>
      <c r="H793" s="33">
        <f>27.3204 * CHOOSE(CONTROL!$C$32, $C$9, 100%, $E$9)</f>
        <v>27.320399999999999</v>
      </c>
      <c r="I793" s="33">
        <f>27.3241 * CHOOSE(CONTROL!$C$32, $C$9, 100%, $E$9)</f>
        <v>27.324100000000001</v>
      </c>
      <c r="J793" s="33">
        <f>27.3204 * CHOOSE(CONTROL!$C$32, $C$9, 100%, $E$9)</f>
        <v>27.320399999999999</v>
      </c>
      <c r="K793" s="33">
        <f>27.3241 * CHOOSE(CONTROL!$C$32, $C$9, 100%, $E$9)</f>
        <v>27.324100000000001</v>
      </c>
      <c r="L793" s="33">
        <f>13.1352 * CHOOSE(CONTROL!$C$32, $C$9, 100%, $E$9)</f>
        <v>13.135199999999999</v>
      </c>
      <c r="M793" s="33">
        <f>13.1388 * CHOOSE(CONTROL!$C$32, $C$9, 100%, $E$9)</f>
        <v>13.1388</v>
      </c>
      <c r="N793" s="33">
        <f>13.1352 * CHOOSE(CONTROL!$C$32, $C$9, 100%, $E$9)</f>
        <v>13.135199999999999</v>
      </c>
      <c r="O793" s="33">
        <f>13.1388 * CHOOSE(CONTROL!$C$32, $C$9, 100%, $E$9)</f>
        <v>13.1388</v>
      </c>
    </row>
    <row r="794" spans="1:15" ht="15" x14ac:dyDescent="0.2">
      <c r="A794" s="16">
        <v>65381</v>
      </c>
      <c r="B794" s="32">
        <f>11.8173 * CHOOSE(CONTROL!$C$32, $C$9, 100%, $E$9)</f>
        <v>11.817299999999999</v>
      </c>
      <c r="C794" s="32">
        <f>11.8173 * CHOOSE(CONTROL!$C$32, $C$9, 100%, $E$9)</f>
        <v>11.817299999999999</v>
      </c>
      <c r="D794" s="32">
        <f>11.8184 * CHOOSE(CONTROL!$C$32, $C$9, 100%, $E$9)</f>
        <v>11.8184</v>
      </c>
      <c r="E794" s="33">
        <f>13.2831 * CHOOSE(CONTROL!$C$32, $C$9, 100%, $E$9)</f>
        <v>13.283099999999999</v>
      </c>
      <c r="F794" s="33">
        <f>13.2831 * CHOOSE(CONTROL!$C$32, $C$9, 100%, $E$9)</f>
        <v>13.283099999999999</v>
      </c>
      <c r="G794" s="33">
        <f>13.2867 * CHOOSE(CONTROL!$C$32, $C$9, 100%, $E$9)</f>
        <v>13.2867</v>
      </c>
      <c r="H794" s="33">
        <f>27.1661 * CHOOSE(CONTROL!$C$32, $C$9, 100%, $E$9)</f>
        <v>27.1661</v>
      </c>
      <c r="I794" s="33">
        <f>27.1698 * CHOOSE(CONTROL!$C$32, $C$9, 100%, $E$9)</f>
        <v>27.169799999999999</v>
      </c>
      <c r="J794" s="33">
        <f>27.1661 * CHOOSE(CONTROL!$C$32, $C$9, 100%, $E$9)</f>
        <v>27.1661</v>
      </c>
      <c r="K794" s="33">
        <f>27.1698 * CHOOSE(CONTROL!$C$32, $C$9, 100%, $E$9)</f>
        <v>27.169799999999999</v>
      </c>
      <c r="L794" s="33">
        <f>13.2831 * CHOOSE(CONTROL!$C$32, $C$9, 100%, $E$9)</f>
        <v>13.283099999999999</v>
      </c>
      <c r="M794" s="33">
        <f>13.2867 * CHOOSE(CONTROL!$C$32, $C$9, 100%, $E$9)</f>
        <v>13.2867</v>
      </c>
      <c r="N794" s="33">
        <f>13.2831 * CHOOSE(CONTROL!$C$32, $C$9, 100%, $E$9)</f>
        <v>13.283099999999999</v>
      </c>
      <c r="O794" s="33">
        <f>13.2867 * CHOOSE(CONTROL!$C$32, $C$9, 100%, $E$9)</f>
        <v>13.2867</v>
      </c>
    </row>
    <row r="795" spans="1:15" ht="15" x14ac:dyDescent="0.2">
      <c r="A795" s="16">
        <v>65412</v>
      </c>
      <c r="B795" s="32">
        <f>11.8143 * CHOOSE(CONTROL!$C$32, $C$9, 100%, $E$9)</f>
        <v>11.814299999999999</v>
      </c>
      <c r="C795" s="32">
        <f>11.8143 * CHOOSE(CONTROL!$C$32, $C$9, 100%, $E$9)</f>
        <v>11.814299999999999</v>
      </c>
      <c r="D795" s="32">
        <f>11.8153 * CHOOSE(CONTROL!$C$32, $C$9, 100%, $E$9)</f>
        <v>11.815300000000001</v>
      </c>
      <c r="E795" s="33">
        <f>12.9283 * CHOOSE(CONTROL!$C$32, $C$9, 100%, $E$9)</f>
        <v>12.9283</v>
      </c>
      <c r="F795" s="33">
        <f>12.9283 * CHOOSE(CONTROL!$C$32, $C$9, 100%, $E$9)</f>
        <v>12.9283</v>
      </c>
      <c r="G795" s="33">
        <f>12.9319 * CHOOSE(CONTROL!$C$32, $C$9, 100%, $E$9)</f>
        <v>12.931900000000001</v>
      </c>
      <c r="H795" s="33">
        <f>27.2227 * CHOOSE(CONTROL!$C$32, $C$9, 100%, $E$9)</f>
        <v>27.2227</v>
      </c>
      <c r="I795" s="33">
        <f>27.2264 * CHOOSE(CONTROL!$C$32, $C$9, 100%, $E$9)</f>
        <v>27.226400000000002</v>
      </c>
      <c r="J795" s="33">
        <f>27.2227 * CHOOSE(CONTROL!$C$32, $C$9, 100%, $E$9)</f>
        <v>27.2227</v>
      </c>
      <c r="K795" s="33">
        <f>27.2264 * CHOOSE(CONTROL!$C$32, $C$9, 100%, $E$9)</f>
        <v>27.226400000000002</v>
      </c>
      <c r="L795" s="33">
        <f>12.9283 * CHOOSE(CONTROL!$C$32, $C$9, 100%, $E$9)</f>
        <v>12.9283</v>
      </c>
      <c r="M795" s="33">
        <f>12.9319 * CHOOSE(CONTROL!$C$32, $C$9, 100%, $E$9)</f>
        <v>12.931900000000001</v>
      </c>
      <c r="N795" s="33">
        <f>12.9283 * CHOOSE(CONTROL!$C$32, $C$9, 100%, $E$9)</f>
        <v>12.9283</v>
      </c>
      <c r="O795" s="33">
        <f>12.9319 * CHOOSE(CONTROL!$C$32, $C$9, 100%, $E$9)</f>
        <v>12.931900000000001</v>
      </c>
    </row>
    <row r="796" spans="1:15" ht="15" x14ac:dyDescent="0.2">
      <c r="A796" s="16">
        <v>65440</v>
      </c>
      <c r="B796" s="32">
        <f>11.8112 * CHOOSE(CONTROL!$C$32, $C$9, 100%, $E$9)</f>
        <v>11.811199999999999</v>
      </c>
      <c r="C796" s="32">
        <f>11.8112 * CHOOSE(CONTROL!$C$32, $C$9, 100%, $E$9)</f>
        <v>11.811199999999999</v>
      </c>
      <c r="D796" s="32">
        <f>11.8123 * CHOOSE(CONTROL!$C$32, $C$9, 100%, $E$9)</f>
        <v>11.8123</v>
      </c>
      <c r="E796" s="33">
        <f>13.2042 * CHOOSE(CONTROL!$C$32, $C$9, 100%, $E$9)</f>
        <v>13.2042</v>
      </c>
      <c r="F796" s="33">
        <f>13.2042 * CHOOSE(CONTROL!$C$32, $C$9, 100%, $E$9)</f>
        <v>13.2042</v>
      </c>
      <c r="G796" s="33">
        <f>13.2078 * CHOOSE(CONTROL!$C$32, $C$9, 100%, $E$9)</f>
        <v>13.207800000000001</v>
      </c>
      <c r="H796" s="33">
        <f>27.2795 * CHOOSE(CONTROL!$C$32, $C$9, 100%, $E$9)</f>
        <v>27.279499999999999</v>
      </c>
      <c r="I796" s="33">
        <f>27.2831 * CHOOSE(CONTROL!$C$32, $C$9, 100%, $E$9)</f>
        <v>27.283100000000001</v>
      </c>
      <c r="J796" s="33">
        <f>27.2795 * CHOOSE(CONTROL!$C$32, $C$9, 100%, $E$9)</f>
        <v>27.279499999999999</v>
      </c>
      <c r="K796" s="33">
        <f>27.2831 * CHOOSE(CONTROL!$C$32, $C$9, 100%, $E$9)</f>
        <v>27.283100000000001</v>
      </c>
      <c r="L796" s="33">
        <f>13.2042 * CHOOSE(CONTROL!$C$32, $C$9, 100%, $E$9)</f>
        <v>13.2042</v>
      </c>
      <c r="M796" s="33">
        <f>13.2078 * CHOOSE(CONTROL!$C$32, $C$9, 100%, $E$9)</f>
        <v>13.207800000000001</v>
      </c>
      <c r="N796" s="33">
        <f>13.2042 * CHOOSE(CONTROL!$C$32, $C$9, 100%, $E$9)</f>
        <v>13.2042</v>
      </c>
      <c r="O796" s="33">
        <f>13.2078 * CHOOSE(CONTROL!$C$32, $C$9, 100%, $E$9)</f>
        <v>13.207800000000001</v>
      </c>
    </row>
    <row r="797" spans="1:15" ht="15" x14ac:dyDescent="0.2">
      <c r="A797" s="16">
        <v>65471</v>
      </c>
      <c r="B797" s="32">
        <f>11.8164 * CHOOSE(CONTROL!$C$32, $C$9, 100%, $E$9)</f>
        <v>11.8164</v>
      </c>
      <c r="C797" s="32">
        <f>11.8164 * CHOOSE(CONTROL!$C$32, $C$9, 100%, $E$9)</f>
        <v>11.8164</v>
      </c>
      <c r="D797" s="32">
        <f>11.8175 * CHOOSE(CONTROL!$C$32, $C$9, 100%, $E$9)</f>
        <v>11.817500000000001</v>
      </c>
      <c r="E797" s="33">
        <f>13.4985 * CHOOSE(CONTROL!$C$32, $C$9, 100%, $E$9)</f>
        <v>13.4985</v>
      </c>
      <c r="F797" s="33">
        <f>13.4985 * CHOOSE(CONTROL!$C$32, $C$9, 100%, $E$9)</f>
        <v>13.4985</v>
      </c>
      <c r="G797" s="33">
        <f>13.5021 * CHOOSE(CONTROL!$C$32, $C$9, 100%, $E$9)</f>
        <v>13.5021</v>
      </c>
      <c r="H797" s="33">
        <f>27.3363 * CHOOSE(CONTROL!$C$32, $C$9, 100%, $E$9)</f>
        <v>27.336300000000001</v>
      </c>
      <c r="I797" s="33">
        <f>27.3399 * CHOOSE(CONTROL!$C$32, $C$9, 100%, $E$9)</f>
        <v>27.3399</v>
      </c>
      <c r="J797" s="33">
        <f>27.3363 * CHOOSE(CONTROL!$C$32, $C$9, 100%, $E$9)</f>
        <v>27.336300000000001</v>
      </c>
      <c r="K797" s="33">
        <f>27.3399 * CHOOSE(CONTROL!$C$32, $C$9, 100%, $E$9)</f>
        <v>27.3399</v>
      </c>
      <c r="L797" s="33">
        <f>13.4985 * CHOOSE(CONTROL!$C$32, $C$9, 100%, $E$9)</f>
        <v>13.4985</v>
      </c>
      <c r="M797" s="33">
        <f>13.5021 * CHOOSE(CONTROL!$C$32, $C$9, 100%, $E$9)</f>
        <v>13.5021</v>
      </c>
      <c r="N797" s="33">
        <f>13.4985 * CHOOSE(CONTROL!$C$32, $C$9, 100%, $E$9)</f>
        <v>13.4985</v>
      </c>
      <c r="O797" s="33">
        <f>13.5021 * CHOOSE(CONTROL!$C$32, $C$9, 100%, $E$9)</f>
        <v>13.5021</v>
      </c>
    </row>
    <row r="798" spans="1:15" ht="15" x14ac:dyDescent="0.2">
      <c r="A798" s="16">
        <v>65501</v>
      </c>
      <c r="B798" s="32">
        <f>11.8164 * CHOOSE(CONTROL!$C$32, $C$9, 100%, $E$9)</f>
        <v>11.8164</v>
      </c>
      <c r="C798" s="32">
        <f>11.8164 * CHOOSE(CONTROL!$C$32, $C$9, 100%, $E$9)</f>
        <v>11.8164</v>
      </c>
      <c r="D798" s="32">
        <f>11.818 * CHOOSE(CONTROL!$C$32, $C$9, 100%, $E$9)</f>
        <v>11.818</v>
      </c>
      <c r="E798" s="33">
        <f>13.6105 * CHOOSE(CONTROL!$C$32, $C$9, 100%, $E$9)</f>
        <v>13.6105</v>
      </c>
      <c r="F798" s="33">
        <f>13.6105 * CHOOSE(CONTROL!$C$32, $C$9, 100%, $E$9)</f>
        <v>13.6105</v>
      </c>
      <c r="G798" s="33">
        <f>13.6158 * CHOOSE(CONTROL!$C$32, $C$9, 100%, $E$9)</f>
        <v>13.6158</v>
      </c>
      <c r="H798" s="33">
        <f>27.3932 * CHOOSE(CONTROL!$C$32, $C$9, 100%, $E$9)</f>
        <v>27.3932</v>
      </c>
      <c r="I798" s="33">
        <f>27.3985 * CHOOSE(CONTROL!$C$32, $C$9, 100%, $E$9)</f>
        <v>27.398499999999999</v>
      </c>
      <c r="J798" s="33">
        <f>27.3932 * CHOOSE(CONTROL!$C$32, $C$9, 100%, $E$9)</f>
        <v>27.3932</v>
      </c>
      <c r="K798" s="33">
        <f>27.3985 * CHOOSE(CONTROL!$C$32, $C$9, 100%, $E$9)</f>
        <v>27.398499999999999</v>
      </c>
      <c r="L798" s="33">
        <f>13.6105 * CHOOSE(CONTROL!$C$32, $C$9, 100%, $E$9)</f>
        <v>13.6105</v>
      </c>
      <c r="M798" s="33">
        <f>13.6158 * CHOOSE(CONTROL!$C$32, $C$9, 100%, $E$9)</f>
        <v>13.6158</v>
      </c>
      <c r="N798" s="33">
        <f>13.6105 * CHOOSE(CONTROL!$C$32, $C$9, 100%, $E$9)</f>
        <v>13.6105</v>
      </c>
      <c r="O798" s="33">
        <f>13.6158 * CHOOSE(CONTROL!$C$32, $C$9, 100%, $E$9)</f>
        <v>13.6158</v>
      </c>
    </row>
    <row r="799" spans="1:15" ht="15" x14ac:dyDescent="0.2">
      <c r="A799" s="16">
        <v>65532</v>
      </c>
      <c r="B799" s="32">
        <f>11.8225 * CHOOSE(CONTROL!$C$32, $C$9, 100%, $E$9)</f>
        <v>11.8225</v>
      </c>
      <c r="C799" s="32">
        <f>11.8225 * CHOOSE(CONTROL!$C$32, $C$9, 100%, $E$9)</f>
        <v>11.8225</v>
      </c>
      <c r="D799" s="32">
        <f>11.8241 * CHOOSE(CONTROL!$C$32, $C$9, 100%, $E$9)</f>
        <v>11.8241</v>
      </c>
      <c r="E799" s="33">
        <f>13.5028 * CHOOSE(CONTROL!$C$32, $C$9, 100%, $E$9)</f>
        <v>13.502800000000001</v>
      </c>
      <c r="F799" s="33">
        <f>13.5028 * CHOOSE(CONTROL!$C$32, $C$9, 100%, $E$9)</f>
        <v>13.502800000000001</v>
      </c>
      <c r="G799" s="33">
        <f>13.5081 * CHOOSE(CONTROL!$C$32, $C$9, 100%, $E$9)</f>
        <v>13.508100000000001</v>
      </c>
      <c r="H799" s="33">
        <f>27.4503 * CHOOSE(CONTROL!$C$32, $C$9, 100%, $E$9)</f>
        <v>27.450299999999999</v>
      </c>
      <c r="I799" s="33">
        <f>27.4556 * CHOOSE(CONTROL!$C$32, $C$9, 100%, $E$9)</f>
        <v>27.4556</v>
      </c>
      <c r="J799" s="33">
        <f>27.4503 * CHOOSE(CONTROL!$C$32, $C$9, 100%, $E$9)</f>
        <v>27.450299999999999</v>
      </c>
      <c r="K799" s="33">
        <f>27.4556 * CHOOSE(CONTROL!$C$32, $C$9, 100%, $E$9)</f>
        <v>27.4556</v>
      </c>
      <c r="L799" s="33">
        <f>13.5028 * CHOOSE(CONTROL!$C$32, $C$9, 100%, $E$9)</f>
        <v>13.502800000000001</v>
      </c>
      <c r="M799" s="33">
        <f>13.5081 * CHOOSE(CONTROL!$C$32, $C$9, 100%, $E$9)</f>
        <v>13.508100000000001</v>
      </c>
      <c r="N799" s="33">
        <f>13.5028 * CHOOSE(CONTROL!$C$32, $C$9, 100%, $E$9)</f>
        <v>13.502800000000001</v>
      </c>
      <c r="O799" s="33">
        <f>13.5081 * CHOOSE(CONTROL!$C$32, $C$9, 100%, $E$9)</f>
        <v>13.508100000000001</v>
      </c>
    </row>
    <row r="800" spans="1:15" ht="15" x14ac:dyDescent="0.2">
      <c r="A800" s="16">
        <v>65562</v>
      </c>
      <c r="B800" s="32">
        <f>11.9669 * CHOOSE(CONTROL!$C$32, $C$9, 100%, $E$9)</f>
        <v>11.966900000000001</v>
      </c>
      <c r="C800" s="32">
        <f>11.9669 * CHOOSE(CONTROL!$C$32, $C$9, 100%, $E$9)</f>
        <v>11.966900000000001</v>
      </c>
      <c r="D800" s="32">
        <f>11.9685 * CHOOSE(CONTROL!$C$32, $C$9, 100%, $E$9)</f>
        <v>11.968500000000001</v>
      </c>
      <c r="E800" s="33">
        <f>13.6933 * CHOOSE(CONTROL!$C$32, $C$9, 100%, $E$9)</f>
        <v>13.693300000000001</v>
      </c>
      <c r="F800" s="33">
        <f>13.6933 * CHOOSE(CONTROL!$C$32, $C$9, 100%, $E$9)</f>
        <v>13.693300000000001</v>
      </c>
      <c r="G800" s="33">
        <f>13.6986 * CHOOSE(CONTROL!$C$32, $C$9, 100%, $E$9)</f>
        <v>13.698600000000001</v>
      </c>
      <c r="H800" s="33">
        <f>27.5075 * CHOOSE(CONTROL!$C$32, $C$9, 100%, $E$9)</f>
        <v>27.5075</v>
      </c>
      <c r="I800" s="33">
        <f>27.5128 * CHOOSE(CONTROL!$C$32, $C$9, 100%, $E$9)</f>
        <v>27.512799999999999</v>
      </c>
      <c r="J800" s="33">
        <f>27.5075 * CHOOSE(CONTROL!$C$32, $C$9, 100%, $E$9)</f>
        <v>27.5075</v>
      </c>
      <c r="K800" s="33">
        <f>27.5128 * CHOOSE(CONTROL!$C$32, $C$9, 100%, $E$9)</f>
        <v>27.512799999999999</v>
      </c>
      <c r="L800" s="33">
        <f>13.6933 * CHOOSE(CONTROL!$C$32, $C$9, 100%, $E$9)</f>
        <v>13.693300000000001</v>
      </c>
      <c r="M800" s="33">
        <f>13.6986 * CHOOSE(CONTROL!$C$32, $C$9, 100%, $E$9)</f>
        <v>13.698600000000001</v>
      </c>
      <c r="N800" s="33">
        <f>13.6933 * CHOOSE(CONTROL!$C$32, $C$9, 100%, $E$9)</f>
        <v>13.693300000000001</v>
      </c>
      <c r="O800" s="33">
        <f>13.6986 * CHOOSE(CONTROL!$C$32, $C$9, 100%, $E$9)</f>
        <v>13.698600000000001</v>
      </c>
    </row>
    <row r="801" spans="1:15" ht="15" x14ac:dyDescent="0.2">
      <c r="A801" s="16">
        <v>65593</v>
      </c>
      <c r="B801" s="32">
        <f>11.9736 * CHOOSE(CONTROL!$C$32, $C$9, 100%, $E$9)</f>
        <v>11.973599999999999</v>
      </c>
      <c r="C801" s="32">
        <f>11.9736 * CHOOSE(CONTROL!$C$32, $C$9, 100%, $E$9)</f>
        <v>11.973599999999999</v>
      </c>
      <c r="D801" s="32">
        <f>11.9752 * CHOOSE(CONTROL!$C$32, $C$9, 100%, $E$9)</f>
        <v>11.975199999999999</v>
      </c>
      <c r="E801" s="33">
        <f>13.3621 * CHOOSE(CONTROL!$C$32, $C$9, 100%, $E$9)</f>
        <v>13.3621</v>
      </c>
      <c r="F801" s="33">
        <f>13.3621 * CHOOSE(CONTROL!$C$32, $C$9, 100%, $E$9)</f>
        <v>13.3621</v>
      </c>
      <c r="G801" s="33">
        <f>13.3673 * CHOOSE(CONTROL!$C$32, $C$9, 100%, $E$9)</f>
        <v>13.3673</v>
      </c>
      <c r="H801" s="33">
        <f>27.5648 * CHOOSE(CONTROL!$C$32, $C$9, 100%, $E$9)</f>
        <v>27.564800000000002</v>
      </c>
      <c r="I801" s="33">
        <f>27.5701 * CHOOSE(CONTROL!$C$32, $C$9, 100%, $E$9)</f>
        <v>27.5701</v>
      </c>
      <c r="J801" s="33">
        <f>27.5648 * CHOOSE(CONTROL!$C$32, $C$9, 100%, $E$9)</f>
        <v>27.564800000000002</v>
      </c>
      <c r="K801" s="33">
        <f>27.5701 * CHOOSE(CONTROL!$C$32, $C$9, 100%, $E$9)</f>
        <v>27.5701</v>
      </c>
      <c r="L801" s="33">
        <f>13.3621 * CHOOSE(CONTROL!$C$32, $C$9, 100%, $E$9)</f>
        <v>13.3621</v>
      </c>
      <c r="M801" s="33">
        <f>13.3673 * CHOOSE(CONTROL!$C$32, $C$9, 100%, $E$9)</f>
        <v>13.3673</v>
      </c>
      <c r="N801" s="33">
        <f>13.3621 * CHOOSE(CONTROL!$C$32, $C$9, 100%, $E$9)</f>
        <v>13.3621</v>
      </c>
      <c r="O801" s="33">
        <f>13.3673 * CHOOSE(CONTROL!$C$32, $C$9, 100%, $E$9)</f>
        <v>13.3673</v>
      </c>
    </row>
    <row r="802" spans="1:15" ht="15" x14ac:dyDescent="0.2">
      <c r="A802" s="16">
        <v>65624</v>
      </c>
      <c r="B802" s="32">
        <f>11.9705 * CHOOSE(CONTROL!$C$32, $C$9, 100%, $E$9)</f>
        <v>11.970499999999999</v>
      </c>
      <c r="C802" s="32">
        <f>11.9705 * CHOOSE(CONTROL!$C$32, $C$9, 100%, $E$9)</f>
        <v>11.970499999999999</v>
      </c>
      <c r="D802" s="32">
        <f>11.9721 * CHOOSE(CONTROL!$C$32, $C$9, 100%, $E$9)</f>
        <v>11.972099999999999</v>
      </c>
      <c r="E802" s="33">
        <f>13.3226 * CHOOSE(CONTROL!$C$32, $C$9, 100%, $E$9)</f>
        <v>13.3226</v>
      </c>
      <c r="F802" s="33">
        <f>13.3226 * CHOOSE(CONTROL!$C$32, $C$9, 100%, $E$9)</f>
        <v>13.3226</v>
      </c>
      <c r="G802" s="33">
        <f>13.3279 * CHOOSE(CONTROL!$C$32, $C$9, 100%, $E$9)</f>
        <v>13.3279</v>
      </c>
      <c r="H802" s="33">
        <f>27.6222 * CHOOSE(CONTROL!$C$32, $C$9, 100%, $E$9)</f>
        <v>27.622199999999999</v>
      </c>
      <c r="I802" s="33">
        <f>27.6275 * CHOOSE(CONTROL!$C$32, $C$9, 100%, $E$9)</f>
        <v>27.627500000000001</v>
      </c>
      <c r="J802" s="33">
        <f>27.6222 * CHOOSE(CONTROL!$C$32, $C$9, 100%, $E$9)</f>
        <v>27.622199999999999</v>
      </c>
      <c r="K802" s="33">
        <f>27.6275 * CHOOSE(CONTROL!$C$32, $C$9, 100%, $E$9)</f>
        <v>27.627500000000001</v>
      </c>
      <c r="L802" s="33">
        <f>13.3226 * CHOOSE(CONTROL!$C$32, $C$9, 100%, $E$9)</f>
        <v>13.3226</v>
      </c>
      <c r="M802" s="33">
        <f>13.3279 * CHOOSE(CONTROL!$C$32, $C$9, 100%, $E$9)</f>
        <v>13.3279</v>
      </c>
      <c r="N802" s="33">
        <f>13.3226 * CHOOSE(CONTROL!$C$32, $C$9, 100%, $E$9)</f>
        <v>13.3226</v>
      </c>
      <c r="O802" s="33">
        <f>13.3279 * CHOOSE(CONTROL!$C$32, $C$9, 100%, $E$9)</f>
        <v>13.3279</v>
      </c>
    </row>
    <row r="803" spans="1:15" ht="15" x14ac:dyDescent="0.2">
      <c r="A803" s="16">
        <v>65654</v>
      </c>
      <c r="B803" s="32">
        <f>11.9954 * CHOOSE(CONTROL!$C$32, $C$9, 100%, $E$9)</f>
        <v>11.9954</v>
      </c>
      <c r="C803" s="32">
        <f>11.9954 * CHOOSE(CONTROL!$C$32, $C$9, 100%, $E$9)</f>
        <v>11.9954</v>
      </c>
      <c r="D803" s="32">
        <f>11.9965 * CHOOSE(CONTROL!$C$32, $C$9, 100%, $E$9)</f>
        <v>11.996499999999999</v>
      </c>
      <c r="E803" s="33">
        <f>13.4585 * CHOOSE(CONTROL!$C$32, $C$9, 100%, $E$9)</f>
        <v>13.458500000000001</v>
      </c>
      <c r="F803" s="33">
        <f>13.4585 * CHOOSE(CONTROL!$C$32, $C$9, 100%, $E$9)</f>
        <v>13.458500000000001</v>
      </c>
      <c r="G803" s="33">
        <f>13.4621 * CHOOSE(CONTROL!$C$32, $C$9, 100%, $E$9)</f>
        <v>13.4621</v>
      </c>
      <c r="H803" s="33">
        <f>27.6798 * CHOOSE(CONTROL!$C$32, $C$9, 100%, $E$9)</f>
        <v>27.6798</v>
      </c>
      <c r="I803" s="33">
        <f>27.6834 * CHOOSE(CONTROL!$C$32, $C$9, 100%, $E$9)</f>
        <v>27.683399999999999</v>
      </c>
      <c r="J803" s="33">
        <f>27.6798 * CHOOSE(CONTROL!$C$32, $C$9, 100%, $E$9)</f>
        <v>27.6798</v>
      </c>
      <c r="K803" s="33">
        <f>27.6834 * CHOOSE(CONTROL!$C$32, $C$9, 100%, $E$9)</f>
        <v>27.683399999999999</v>
      </c>
      <c r="L803" s="33">
        <f>13.4585 * CHOOSE(CONTROL!$C$32, $C$9, 100%, $E$9)</f>
        <v>13.458500000000001</v>
      </c>
      <c r="M803" s="33">
        <f>13.4621 * CHOOSE(CONTROL!$C$32, $C$9, 100%, $E$9)</f>
        <v>13.4621</v>
      </c>
      <c r="N803" s="33">
        <f>13.4585 * CHOOSE(CONTROL!$C$32, $C$9, 100%, $E$9)</f>
        <v>13.458500000000001</v>
      </c>
      <c r="O803" s="33">
        <f>13.4621 * CHOOSE(CONTROL!$C$32, $C$9, 100%, $E$9)</f>
        <v>13.4621</v>
      </c>
    </row>
    <row r="804" spans="1:15" ht="15" x14ac:dyDescent="0.2">
      <c r="A804" s="16">
        <v>65685</v>
      </c>
      <c r="B804" s="32">
        <f>11.9984 * CHOOSE(CONTROL!$C$32, $C$9, 100%, $E$9)</f>
        <v>11.9984</v>
      </c>
      <c r="C804" s="32">
        <f>11.9984 * CHOOSE(CONTROL!$C$32, $C$9, 100%, $E$9)</f>
        <v>11.9984</v>
      </c>
      <c r="D804" s="32">
        <f>11.9995 * CHOOSE(CONTROL!$C$32, $C$9, 100%, $E$9)</f>
        <v>11.999499999999999</v>
      </c>
      <c r="E804" s="33">
        <f>13.5353 * CHOOSE(CONTROL!$C$32, $C$9, 100%, $E$9)</f>
        <v>13.535299999999999</v>
      </c>
      <c r="F804" s="33">
        <f>13.5353 * CHOOSE(CONTROL!$C$32, $C$9, 100%, $E$9)</f>
        <v>13.535299999999999</v>
      </c>
      <c r="G804" s="33">
        <f>13.5389 * CHOOSE(CONTROL!$C$32, $C$9, 100%, $E$9)</f>
        <v>13.5389</v>
      </c>
      <c r="H804" s="33">
        <f>27.7374 * CHOOSE(CONTROL!$C$32, $C$9, 100%, $E$9)</f>
        <v>27.737400000000001</v>
      </c>
      <c r="I804" s="33">
        <f>27.7411 * CHOOSE(CONTROL!$C$32, $C$9, 100%, $E$9)</f>
        <v>27.741099999999999</v>
      </c>
      <c r="J804" s="33">
        <f>27.7374 * CHOOSE(CONTROL!$C$32, $C$9, 100%, $E$9)</f>
        <v>27.737400000000001</v>
      </c>
      <c r="K804" s="33">
        <f>27.7411 * CHOOSE(CONTROL!$C$32, $C$9, 100%, $E$9)</f>
        <v>27.741099999999999</v>
      </c>
      <c r="L804" s="33">
        <f>13.5353 * CHOOSE(CONTROL!$C$32, $C$9, 100%, $E$9)</f>
        <v>13.535299999999999</v>
      </c>
      <c r="M804" s="33">
        <f>13.5389 * CHOOSE(CONTROL!$C$32, $C$9, 100%, $E$9)</f>
        <v>13.5389</v>
      </c>
      <c r="N804" s="33">
        <f>13.5353 * CHOOSE(CONTROL!$C$32, $C$9, 100%, $E$9)</f>
        <v>13.535299999999999</v>
      </c>
      <c r="O804" s="33">
        <f>13.5389 * CHOOSE(CONTROL!$C$32, $C$9, 100%, $E$9)</f>
        <v>13.5389</v>
      </c>
    </row>
    <row r="805" spans="1:15" ht="15" x14ac:dyDescent="0.2">
      <c r="A805" s="16">
        <v>65715</v>
      </c>
      <c r="B805" s="32">
        <f>11.9984 * CHOOSE(CONTROL!$C$32, $C$9, 100%, $E$9)</f>
        <v>11.9984</v>
      </c>
      <c r="C805" s="32">
        <f>11.9984 * CHOOSE(CONTROL!$C$32, $C$9, 100%, $E$9)</f>
        <v>11.9984</v>
      </c>
      <c r="D805" s="32">
        <f>11.9995 * CHOOSE(CONTROL!$C$32, $C$9, 100%, $E$9)</f>
        <v>11.999499999999999</v>
      </c>
      <c r="E805" s="33">
        <f>13.3486 * CHOOSE(CONTROL!$C$32, $C$9, 100%, $E$9)</f>
        <v>13.348599999999999</v>
      </c>
      <c r="F805" s="33">
        <f>13.3486 * CHOOSE(CONTROL!$C$32, $C$9, 100%, $E$9)</f>
        <v>13.348599999999999</v>
      </c>
      <c r="G805" s="33">
        <f>13.3523 * CHOOSE(CONTROL!$C$32, $C$9, 100%, $E$9)</f>
        <v>13.3523</v>
      </c>
      <c r="H805" s="33">
        <f>27.7952 * CHOOSE(CONTROL!$C$32, $C$9, 100%, $E$9)</f>
        <v>27.795200000000001</v>
      </c>
      <c r="I805" s="33">
        <f>27.7988 * CHOOSE(CONTROL!$C$32, $C$9, 100%, $E$9)</f>
        <v>27.7988</v>
      </c>
      <c r="J805" s="33">
        <f>27.7952 * CHOOSE(CONTROL!$C$32, $C$9, 100%, $E$9)</f>
        <v>27.795200000000001</v>
      </c>
      <c r="K805" s="33">
        <f>27.7988 * CHOOSE(CONTROL!$C$32, $C$9, 100%, $E$9)</f>
        <v>27.7988</v>
      </c>
      <c r="L805" s="33">
        <f>13.3486 * CHOOSE(CONTROL!$C$32, $C$9, 100%, $E$9)</f>
        <v>13.348599999999999</v>
      </c>
      <c r="M805" s="33">
        <f>13.3523 * CHOOSE(CONTROL!$C$32, $C$9, 100%, $E$9)</f>
        <v>13.3523</v>
      </c>
      <c r="N805" s="33">
        <f>13.3486 * CHOOSE(CONTROL!$C$32, $C$9, 100%, $E$9)</f>
        <v>13.348599999999999</v>
      </c>
      <c r="O805" s="33">
        <f>13.3523 * CHOOSE(CONTROL!$C$32, $C$9, 100%, $E$9)</f>
        <v>13.3523</v>
      </c>
    </row>
    <row r="806" spans="1:15" ht="15" x14ac:dyDescent="0.2">
      <c r="A806" s="16">
        <v>65746</v>
      </c>
      <c r="B806" s="32">
        <f>12.0047 * CHOOSE(CONTROL!$C$32, $C$9, 100%, $E$9)</f>
        <v>12.0047</v>
      </c>
      <c r="C806" s="32">
        <f>12.0047 * CHOOSE(CONTROL!$C$32, $C$9, 100%, $E$9)</f>
        <v>12.0047</v>
      </c>
      <c r="D806" s="32">
        <f>12.0057 * CHOOSE(CONTROL!$C$32, $C$9, 100%, $E$9)</f>
        <v>12.005699999999999</v>
      </c>
      <c r="E806" s="33">
        <f>13.4956 * CHOOSE(CONTROL!$C$32, $C$9, 100%, $E$9)</f>
        <v>13.4956</v>
      </c>
      <c r="F806" s="33">
        <f>13.4956 * CHOOSE(CONTROL!$C$32, $C$9, 100%, $E$9)</f>
        <v>13.4956</v>
      </c>
      <c r="G806" s="33">
        <f>13.4992 * CHOOSE(CONTROL!$C$32, $C$9, 100%, $E$9)</f>
        <v>13.4992</v>
      </c>
      <c r="H806" s="33">
        <f>27.6302 * CHOOSE(CONTROL!$C$32, $C$9, 100%, $E$9)</f>
        <v>27.630199999999999</v>
      </c>
      <c r="I806" s="33">
        <f>27.6338 * CHOOSE(CONTROL!$C$32, $C$9, 100%, $E$9)</f>
        <v>27.633800000000001</v>
      </c>
      <c r="J806" s="33">
        <f>27.6302 * CHOOSE(CONTROL!$C$32, $C$9, 100%, $E$9)</f>
        <v>27.630199999999999</v>
      </c>
      <c r="K806" s="33">
        <f>27.6338 * CHOOSE(CONTROL!$C$32, $C$9, 100%, $E$9)</f>
        <v>27.633800000000001</v>
      </c>
      <c r="L806" s="33">
        <f>13.4956 * CHOOSE(CONTROL!$C$32, $C$9, 100%, $E$9)</f>
        <v>13.4956</v>
      </c>
      <c r="M806" s="33">
        <f>13.4992 * CHOOSE(CONTROL!$C$32, $C$9, 100%, $E$9)</f>
        <v>13.4992</v>
      </c>
      <c r="N806" s="33">
        <f>13.4956 * CHOOSE(CONTROL!$C$32, $C$9, 100%, $E$9)</f>
        <v>13.4956</v>
      </c>
      <c r="O806" s="33">
        <f>13.4992 * CHOOSE(CONTROL!$C$32, $C$9, 100%, $E$9)</f>
        <v>13.4992</v>
      </c>
    </row>
    <row r="807" spans="1:15" ht="15" x14ac:dyDescent="0.2">
      <c r="A807" s="16">
        <v>65777</v>
      </c>
      <c r="B807" s="32">
        <f>12.0016 * CHOOSE(CONTROL!$C$32, $C$9, 100%, $E$9)</f>
        <v>12.0016</v>
      </c>
      <c r="C807" s="32">
        <f>12.0016 * CHOOSE(CONTROL!$C$32, $C$9, 100%, $E$9)</f>
        <v>12.0016</v>
      </c>
      <c r="D807" s="32">
        <f>12.0027 * CHOOSE(CONTROL!$C$32, $C$9, 100%, $E$9)</f>
        <v>12.002700000000001</v>
      </c>
      <c r="E807" s="33">
        <f>13.1337 * CHOOSE(CONTROL!$C$32, $C$9, 100%, $E$9)</f>
        <v>13.133699999999999</v>
      </c>
      <c r="F807" s="33">
        <f>13.1337 * CHOOSE(CONTROL!$C$32, $C$9, 100%, $E$9)</f>
        <v>13.133699999999999</v>
      </c>
      <c r="G807" s="33">
        <f>13.1373 * CHOOSE(CONTROL!$C$32, $C$9, 100%, $E$9)</f>
        <v>13.1373</v>
      </c>
      <c r="H807" s="33">
        <f>27.6877 * CHOOSE(CONTROL!$C$32, $C$9, 100%, $E$9)</f>
        <v>27.6877</v>
      </c>
      <c r="I807" s="33">
        <f>27.6914 * CHOOSE(CONTROL!$C$32, $C$9, 100%, $E$9)</f>
        <v>27.691400000000002</v>
      </c>
      <c r="J807" s="33">
        <f>27.6877 * CHOOSE(CONTROL!$C$32, $C$9, 100%, $E$9)</f>
        <v>27.6877</v>
      </c>
      <c r="K807" s="33">
        <f>27.6914 * CHOOSE(CONTROL!$C$32, $C$9, 100%, $E$9)</f>
        <v>27.691400000000002</v>
      </c>
      <c r="L807" s="33">
        <f>13.1337 * CHOOSE(CONTROL!$C$32, $C$9, 100%, $E$9)</f>
        <v>13.133699999999999</v>
      </c>
      <c r="M807" s="33">
        <f>13.1373 * CHOOSE(CONTROL!$C$32, $C$9, 100%, $E$9)</f>
        <v>13.1373</v>
      </c>
      <c r="N807" s="33">
        <f>13.1337 * CHOOSE(CONTROL!$C$32, $C$9, 100%, $E$9)</f>
        <v>13.133699999999999</v>
      </c>
      <c r="O807" s="33">
        <f>13.1373 * CHOOSE(CONTROL!$C$32, $C$9, 100%, $E$9)</f>
        <v>13.1373</v>
      </c>
    </row>
    <row r="808" spans="1:15" ht="15" x14ac:dyDescent="0.2">
      <c r="A808" s="16">
        <v>65806</v>
      </c>
      <c r="B808" s="32">
        <f>11.9986 * CHOOSE(CONTROL!$C$32, $C$9, 100%, $E$9)</f>
        <v>11.9986</v>
      </c>
      <c r="C808" s="32">
        <f>11.9986 * CHOOSE(CONTROL!$C$32, $C$9, 100%, $E$9)</f>
        <v>11.9986</v>
      </c>
      <c r="D808" s="32">
        <f>11.9996 * CHOOSE(CONTROL!$C$32, $C$9, 100%, $E$9)</f>
        <v>11.999599999999999</v>
      </c>
      <c r="E808" s="33">
        <f>13.4152 * CHOOSE(CONTROL!$C$32, $C$9, 100%, $E$9)</f>
        <v>13.4152</v>
      </c>
      <c r="F808" s="33">
        <f>13.4152 * CHOOSE(CONTROL!$C$32, $C$9, 100%, $E$9)</f>
        <v>13.4152</v>
      </c>
      <c r="G808" s="33">
        <f>13.4188 * CHOOSE(CONTROL!$C$32, $C$9, 100%, $E$9)</f>
        <v>13.418799999999999</v>
      </c>
      <c r="H808" s="33">
        <f>27.7454 * CHOOSE(CONTROL!$C$32, $C$9, 100%, $E$9)</f>
        <v>27.7454</v>
      </c>
      <c r="I808" s="33">
        <f>27.749 * CHOOSE(CONTROL!$C$32, $C$9, 100%, $E$9)</f>
        <v>27.748999999999999</v>
      </c>
      <c r="J808" s="33">
        <f>27.7454 * CHOOSE(CONTROL!$C$32, $C$9, 100%, $E$9)</f>
        <v>27.7454</v>
      </c>
      <c r="K808" s="33">
        <f>27.749 * CHOOSE(CONTROL!$C$32, $C$9, 100%, $E$9)</f>
        <v>27.748999999999999</v>
      </c>
      <c r="L808" s="33">
        <f>13.4152 * CHOOSE(CONTROL!$C$32, $C$9, 100%, $E$9)</f>
        <v>13.4152</v>
      </c>
      <c r="M808" s="33">
        <f>13.4188 * CHOOSE(CONTROL!$C$32, $C$9, 100%, $E$9)</f>
        <v>13.418799999999999</v>
      </c>
      <c r="N808" s="33">
        <f>13.4152 * CHOOSE(CONTROL!$C$32, $C$9, 100%, $E$9)</f>
        <v>13.4152</v>
      </c>
      <c r="O808" s="33">
        <f>13.4188 * CHOOSE(CONTROL!$C$32, $C$9, 100%, $E$9)</f>
        <v>13.418799999999999</v>
      </c>
    </row>
    <row r="809" spans="1:15" ht="15" x14ac:dyDescent="0.2">
      <c r="A809" s="16">
        <v>65837</v>
      </c>
      <c r="B809" s="32">
        <f>12.004 * CHOOSE(CONTROL!$C$32, $C$9, 100%, $E$9)</f>
        <v>12.004</v>
      </c>
      <c r="C809" s="32">
        <f>12.004 * CHOOSE(CONTROL!$C$32, $C$9, 100%, $E$9)</f>
        <v>12.004</v>
      </c>
      <c r="D809" s="32">
        <f>12.0051 * CHOOSE(CONTROL!$C$32, $C$9, 100%, $E$9)</f>
        <v>12.005100000000001</v>
      </c>
      <c r="E809" s="33">
        <f>13.7155 * CHOOSE(CONTROL!$C$32, $C$9, 100%, $E$9)</f>
        <v>13.7155</v>
      </c>
      <c r="F809" s="33">
        <f>13.7155 * CHOOSE(CONTROL!$C$32, $C$9, 100%, $E$9)</f>
        <v>13.7155</v>
      </c>
      <c r="G809" s="33">
        <f>13.7191 * CHOOSE(CONTROL!$C$32, $C$9, 100%, $E$9)</f>
        <v>13.719099999999999</v>
      </c>
      <c r="H809" s="33">
        <f>27.8032 * CHOOSE(CONTROL!$C$32, $C$9, 100%, $E$9)</f>
        <v>27.8032</v>
      </c>
      <c r="I809" s="33">
        <f>27.8068 * CHOOSE(CONTROL!$C$32, $C$9, 100%, $E$9)</f>
        <v>27.806799999999999</v>
      </c>
      <c r="J809" s="33">
        <f>27.8032 * CHOOSE(CONTROL!$C$32, $C$9, 100%, $E$9)</f>
        <v>27.8032</v>
      </c>
      <c r="K809" s="33">
        <f>27.8068 * CHOOSE(CONTROL!$C$32, $C$9, 100%, $E$9)</f>
        <v>27.806799999999999</v>
      </c>
      <c r="L809" s="33">
        <f>13.7155 * CHOOSE(CONTROL!$C$32, $C$9, 100%, $E$9)</f>
        <v>13.7155</v>
      </c>
      <c r="M809" s="33">
        <f>13.7191 * CHOOSE(CONTROL!$C$32, $C$9, 100%, $E$9)</f>
        <v>13.719099999999999</v>
      </c>
      <c r="N809" s="33">
        <f>13.7155 * CHOOSE(CONTROL!$C$32, $C$9, 100%, $E$9)</f>
        <v>13.7155</v>
      </c>
      <c r="O809" s="33">
        <f>13.7191 * CHOOSE(CONTROL!$C$32, $C$9, 100%, $E$9)</f>
        <v>13.719099999999999</v>
      </c>
    </row>
    <row r="810" spans="1:15" ht="15" x14ac:dyDescent="0.2">
      <c r="A810" s="16">
        <v>65867</v>
      </c>
      <c r="B810" s="32">
        <f>12.004 * CHOOSE(CONTROL!$C$32, $C$9, 100%, $E$9)</f>
        <v>12.004</v>
      </c>
      <c r="C810" s="32">
        <f>12.004 * CHOOSE(CONTROL!$C$32, $C$9, 100%, $E$9)</f>
        <v>12.004</v>
      </c>
      <c r="D810" s="32">
        <f>12.0056 * CHOOSE(CONTROL!$C$32, $C$9, 100%, $E$9)</f>
        <v>12.005599999999999</v>
      </c>
      <c r="E810" s="33">
        <f>13.8298 * CHOOSE(CONTROL!$C$32, $C$9, 100%, $E$9)</f>
        <v>13.829800000000001</v>
      </c>
      <c r="F810" s="33">
        <f>13.8298 * CHOOSE(CONTROL!$C$32, $C$9, 100%, $E$9)</f>
        <v>13.829800000000001</v>
      </c>
      <c r="G810" s="33">
        <f>13.835 * CHOOSE(CONTROL!$C$32, $C$9, 100%, $E$9)</f>
        <v>13.835000000000001</v>
      </c>
      <c r="H810" s="33">
        <f>27.8611 * CHOOSE(CONTROL!$C$32, $C$9, 100%, $E$9)</f>
        <v>27.8611</v>
      </c>
      <c r="I810" s="33">
        <f>27.8664 * CHOOSE(CONTROL!$C$32, $C$9, 100%, $E$9)</f>
        <v>27.866399999999999</v>
      </c>
      <c r="J810" s="33">
        <f>27.8611 * CHOOSE(CONTROL!$C$32, $C$9, 100%, $E$9)</f>
        <v>27.8611</v>
      </c>
      <c r="K810" s="33">
        <f>27.8664 * CHOOSE(CONTROL!$C$32, $C$9, 100%, $E$9)</f>
        <v>27.866399999999999</v>
      </c>
      <c r="L810" s="33">
        <f>13.8298 * CHOOSE(CONTROL!$C$32, $C$9, 100%, $E$9)</f>
        <v>13.829800000000001</v>
      </c>
      <c r="M810" s="33">
        <f>13.835 * CHOOSE(CONTROL!$C$32, $C$9, 100%, $E$9)</f>
        <v>13.835000000000001</v>
      </c>
      <c r="N810" s="33">
        <f>13.8298 * CHOOSE(CONTROL!$C$32, $C$9, 100%, $E$9)</f>
        <v>13.829800000000001</v>
      </c>
      <c r="O810" s="33">
        <f>13.835 * CHOOSE(CONTROL!$C$32, $C$9, 100%, $E$9)</f>
        <v>13.835000000000001</v>
      </c>
    </row>
    <row r="811" spans="1:15" ht="15" x14ac:dyDescent="0.2">
      <c r="A811" s="16">
        <v>65898</v>
      </c>
      <c r="B811" s="32">
        <f>12.0101 * CHOOSE(CONTROL!$C$32, $C$9, 100%, $E$9)</f>
        <v>12.0101</v>
      </c>
      <c r="C811" s="32">
        <f>12.0101 * CHOOSE(CONTROL!$C$32, $C$9, 100%, $E$9)</f>
        <v>12.0101</v>
      </c>
      <c r="D811" s="32">
        <f>12.0116 * CHOOSE(CONTROL!$C$32, $C$9, 100%, $E$9)</f>
        <v>12.0116</v>
      </c>
      <c r="E811" s="33">
        <f>13.7198 * CHOOSE(CONTROL!$C$32, $C$9, 100%, $E$9)</f>
        <v>13.719799999999999</v>
      </c>
      <c r="F811" s="33">
        <f>13.7198 * CHOOSE(CONTROL!$C$32, $C$9, 100%, $E$9)</f>
        <v>13.719799999999999</v>
      </c>
      <c r="G811" s="33">
        <f>13.7251 * CHOOSE(CONTROL!$C$32, $C$9, 100%, $E$9)</f>
        <v>13.725099999999999</v>
      </c>
      <c r="H811" s="33">
        <f>27.9192 * CHOOSE(CONTROL!$C$32, $C$9, 100%, $E$9)</f>
        <v>27.9192</v>
      </c>
      <c r="I811" s="33">
        <f>27.9245 * CHOOSE(CONTROL!$C$32, $C$9, 100%, $E$9)</f>
        <v>27.924499999999998</v>
      </c>
      <c r="J811" s="33">
        <f>27.9192 * CHOOSE(CONTROL!$C$32, $C$9, 100%, $E$9)</f>
        <v>27.9192</v>
      </c>
      <c r="K811" s="33">
        <f>27.9245 * CHOOSE(CONTROL!$C$32, $C$9, 100%, $E$9)</f>
        <v>27.924499999999998</v>
      </c>
      <c r="L811" s="33">
        <f>13.7198 * CHOOSE(CONTROL!$C$32, $C$9, 100%, $E$9)</f>
        <v>13.719799999999999</v>
      </c>
      <c r="M811" s="33">
        <f>13.7251 * CHOOSE(CONTROL!$C$32, $C$9, 100%, $E$9)</f>
        <v>13.725099999999999</v>
      </c>
      <c r="N811" s="33">
        <f>13.7198 * CHOOSE(CONTROL!$C$32, $C$9, 100%, $E$9)</f>
        <v>13.719799999999999</v>
      </c>
      <c r="O811" s="33">
        <f>13.7251 * CHOOSE(CONTROL!$C$32, $C$9, 100%, $E$9)</f>
        <v>13.725099999999999</v>
      </c>
    </row>
    <row r="812" spans="1:15" ht="15" x14ac:dyDescent="0.2">
      <c r="A812" s="16">
        <v>65928</v>
      </c>
      <c r="B812" s="32">
        <f>12.1565 * CHOOSE(CONTROL!$C$32, $C$9, 100%, $E$9)</f>
        <v>12.156499999999999</v>
      </c>
      <c r="C812" s="32">
        <f>12.1565 * CHOOSE(CONTROL!$C$32, $C$9, 100%, $E$9)</f>
        <v>12.156499999999999</v>
      </c>
      <c r="D812" s="32">
        <f>12.1581 * CHOOSE(CONTROL!$C$32, $C$9, 100%, $E$9)</f>
        <v>12.158099999999999</v>
      </c>
      <c r="E812" s="33">
        <f>13.9135 * CHOOSE(CONTROL!$C$32, $C$9, 100%, $E$9)</f>
        <v>13.913500000000001</v>
      </c>
      <c r="F812" s="33">
        <f>13.9135 * CHOOSE(CONTROL!$C$32, $C$9, 100%, $E$9)</f>
        <v>13.913500000000001</v>
      </c>
      <c r="G812" s="33">
        <f>13.9188 * CHOOSE(CONTROL!$C$32, $C$9, 100%, $E$9)</f>
        <v>13.918799999999999</v>
      </c>
      <c r="H812" s="33">
        <f>27.9774 * CHOOSE(CONTROL!$C$32, $C$9, 100%, $E$9)</f>
        <v>27.977399999999999</v>
      </c>
      <c r="I812" s="33">
        <f>27.9826 * CHOOSE(CONTROL!$C$32, $C$9, 100%, $E$9)</f>
        <v>27.982600000000001</v>
      </c>
      <c r="J812" s="33">
        <f>27.9774 * CHOOSE(CONTROL!$C$32, $C$9, 100%, $E$9)</f>
        <v>27.977399999999999</v>
      </c>
      <c r="K812" s="33">
        <f>27.9826 * CHOOSE(CONTROL!$C$32, $C$9, 100%, $E$9)</f>
        <v>27.982600000000001</v>
      </c>
      <c r="L812" s="33">
        <f>13.9135 * CHOOSE(CONTROL!$C$32, $C$9, 100%, $E$9)</f>
        <v>13.913500000000001</v>
      </c>
      <c r="M812" s="33">
        <f>13.9188 * CHOOSE(CONTROL!$C$32, $C$9, 100%, $E$9)</f>
        <v>13.918799999999999</v>
      </c>
      <c r="N812" s="33">
        <f>13.9135 * CHOOSE(CONTROL!$C$32, $C$9, 100%, $E$9)</f>
        <v>13.913500000000001</v>
      </c>
      <c r="O812" s="33">
        <f>13.9188 * CHOOSE(CONTROL!$C$32, $C$9, 100%, $E$9)</f>
        <v>13.918799999999999</v>
      </c>
    </row>
    <row r="813" spans="1:15" ht="15" x14ac:dyDescent="0.2">
      <c r="A813" s="16">
        <v>65959</v>
      </c>
      <c r="B813" s="32">
        <f>12.1632 * CHOOSE(CONTROL!$C$32, $C$9, 100%, $E$9)</f>
        <v>12.1632</v>
      </c>
      <c r="C813" s="32">
        <f>12.1632 * CHOOSE(CONTROL!$C$32, $C$9, 100%, $E$9)</f>
        <v>12.1632</v>
      </c>
      <c r="D813" s="32">
        <f>12.1648 * CHOOSE(CONTROL!$C$32, $C$9, 100%, $E$9)</f>
        <v>12.1648</v>
      </c>
      <c r="E813" s="33">
        <f>13.5755 * CHOOSE(CONTROL!$C$32, $C$9, 100%, $E$9)</f>
        <v>13.5755</v>
      </c>
      <c r="F813" s="33">
        <f>13.5755 * CHOOSE(CONTROL!$C$32, $C$9, 100%, $E$9)</f>
        <v>13.5755</v>
      </c>
      <c r="G813" s="33">
        <f>13.5808 * CHOOSE(CONTROL!$C$32, $C$9, 100%, $E$9)</f>
        <v>13.5808</v>
      </c>
      <c r="H813" s="33">
        <f>28.0356 * CHOOSE(CONTROL!$C$32, $C$9, 100%, $E$9)</f>
        <v>28.035599999999999</v>
      </c>
      <c r="I813" s="33">
        <f>28.0409 * CHOOSE(CONTROL!$C$32, $C$9, 100%, $E$9)</f>
        <v>28.040900000000001</v>
      </c>
      <c r="J813" s="33">
        <f>28.0356 * CHOOSE(CONTROL!$C$32, $C$9, 100%, $E$9)</f>
        <v>28.035599999999999</v>
      </c>
      <c r="K813" s="33">
        <f>28.0409 * CHOOSE(CONTROL!$C$32, $C$9, 100%, $E$9)</f>
        <v>28.040900000000001</v>
      </c>
      <c r="L813" s="33">
        <f>13.5755 * CHOOSE(CONTROL!$C$32, $C$9, 100%, $E$9)</f>
        <v>13.5755</v>
      </c>
      <c r="M813" s="33">
        <f>13.5808 * CHOOSE(CONTROL!$C$32, $C$9, 100%, $E$9)</f>
        <v>13.5808</v>
      </c>
      <c r="N813" s="33">
        <f>13.5755 * CHOOSE(CONTROL!$C$32, $C$9, 100%, $E$9)</f>
        <v>13.5755</v>
      </c>
      <c r="O813" s="33">
        <f>13.5808 * CHOOSE(CONTROL!$C$32, $C$9, 100%, $E$9)</f>
        <v>13.5808</v>
      </c>
    </row>
    <row r="814" spans="1:15" ht="15" x14ac:dyDescent="0.2">
      <c r="A814" s="16">
        <v>65990</v>
      </c>
      <c r="B814" s="32">
        <f>12.1601 * CHOOSE(CONTROL!$C$32, $C$9, 100%, $E$9)</f>
        <v>12.1601</v>
      </c>
      <c r="C814" s="32">
        <f>12.1601 * CHOOSE(CONTROL!$C$32, $C$9, 100%, $E$9)</f>
        <v>12.1601</v>
      </c>
      <c r="D814" s="32">
        <f>12.1617 * CHOOSE(CONTROL!$C$32, $C$9, 100%, $E$9)</f>
        <v>12.1617</v>
      </c>
      <c r="E814" s="33">
        <f>13.5353 * CHOOSE(CONTROL!$C$32, $C$9, 100%, $E$9)</f>
        <v>13.535299999999999</v>
      </c>
      <c r="F814" s="33">
        <f>13.5353 * CHOOSE(CONTROL!$C$32, $C$9, 100%, $E$9)</f>
        <v>13.535299999999999</v>
      </c>
      <c r="G814" s="33">
        <f>13.5406 * CHOOSE(CONTROL!$C$32, $C$9, 100%, $E$9)</f>
        <v>13.5406</v>
      </c>
      <c r="H814" s="33">
        <f>28.094 * CHOOSE(CONTROL!$C$32, $C$9, 100%, $E$9)</f>
        <v>28.094000000000001</v>
      </c>
      <c r="I814" s="33">
        <f>28.0993 * CHOOSE(CONTROL!$C$32, $C$9, 100%, $E$9)</f>
        <v>28.099299999999999</v>
      </c>
      <c r="J814" s="33">
        <f>28.094 * CHOOSE(CONTROL!$C$32, $C$9, 100%, $E$9)</f>
        <v>28.094000000000001</v>
      </c>
      <c r="K814" s="33">
        <f>28.0993 * CHOOSE(CONTROL!$C$32, $C$9, 100%, $E$9)</f>
        <v>28.099299999999999</v>
      </c>
      <c r="L814" s="33">
        <f>13.5353 * CHOOSE(CONTROL!$C$32, $C$9, 100%, $E$9)</f>
        <v>13.535299999999999</v>
      </c>
      <c r="M814" s="33">
        <f>13.5406 * CHOOSE(CONTROL!$C$32, $C$9, 100%, $E$9)</f>
        <v>13.5406</v>
      </c>
      <c r="N814" s="33">
        <f>13.5353 * CHOOSE(CONTROL!$C$32, $C$9, 100%, $E$9)</f>
        <v>13.535299999999999</v>
      </c>
      <c r="O814" s="33">
        <f>13.5406 * CHOOSE(CONTROL!$C$32, $C$9, 100%, $E$9)</f>
        <v>13.5406</v>
      </c>
    </row>
    <row r="815" spans="1:15" ht="15" x14ac:dyDescent="0.2">
      <c r="A815" s="16">
        <v>66020</v>
      </c>
      <c r="B815" s="32">
        <f>12.1857 * CHOOSE(CONTROL!$C$32, $C$9, 100%, $E$9)</f>
        <v>12.185700000000001</v>
      </c>
      <c r="C815" s="32">
        <f>12.1857 * CHOOSE(CONTROL!$C$32, $C$9, 100%, $E$9)</f>
        <v>12.185700000000001</v>
      </c>
      <c r="D815" s="32">
        <f>12.1868 * CHOOSE(CONTROL!$C$32, $C$9, 100%, $E$9)</f>
        <v>12.1868</v>
      </c>
      <c r="E815" s="33">
        <f>13.6742 * CHOOSE(CONTROL!$C$32, $C$9, 100%, $E$9)</f>
        <v>13.674200000000001</v>
      </c>
      <c r="F815" s="33">
        <f>13.6742 * CHOOSE(CONTROL!$C$32, $C$9, 100%, $E$9)</f>
        <v>13.674200000000001</v>
      </c>
      <c r="G815" s="33">
        <f>13.6778 * CHOOSE(CONTROL!$C$32, $C$9, 100%, $E$9)</f>
        <v>13.6778</v>
      </c>
      <c r="H815" s="33">
        <f>28.1526 * CHOOSE(CONTROL!$C$32, $C$9, 100%, $E$9)</f>
        <v>28.1526</v>
      </c>
      <c r="I815" s="33">
        <f>28.1562 * CHOOSE(CONTROL!$C$32, $C$9, 100%, $E$9)</f>
        <v>28.156199999999998</v>
      </c>
      <c r="J815" s="33">
        <f>28.1526 * CHOOSE(CONTROL!$C$32, $C$9, 100%, $E$9)</f>
        <v>28.1526</v>
      </c>
      <c r="K815" s="33">
        <f>28.1562 * CHOOSE(CONTROL!$C$32, $C$9, 100%, $E$9)</f>
        <v>28.156199999999998</v>
      </c>
      <c r="L815" s="33">
        <f>13.6742 * CHOOSE(CONTROL!$C$32, $C$9, 100%, $E$9)</f>
        <v>13.674200000000001</v>
      </c>
      <c r="M815" s="33">
        <f>13.6778 * CHOOSE(CONTROL!$C$32, $C$9, 100%, $E$9)</f>
        <v>13.6778</v>
      </c>
      <c r="N815" s="33">
        <f>13.6742 * CHOOSE(CONTROL!$C$32, $C$9, 100%, $E$9)</f>
        <v>13.674200000000001</v>
      </c>
      <c r="O815" s="33">
        <f>13.6778 * CHOOSE(CONTROL!$C$32, $C$9, 100%, $E$9)</f>
        <v>13.6778</v>
      </c>
    </row>
    <row r="816" spans="1:15" ht="15" x14ac:dyDescent="0.2">
      <c r="A816" s="16">
        <v>66051</v>
      </c>
      <c r="B816" s="32">
        <f>12.1887 * CHOOSE(CONTROL!$C$32, $C$9, 100%, $E$9)</f>
        <v>12.188700000000001</v>
      </c>
      <c r="C816" s="32">
        <f>12.1887 * CHOOSE(CONTROL!$C$32, $C$9, 100%, $E$9)</f>
        <v>12.188700000000001</v>
      </c>
      <c r="D816" s="32">
        <f>12.1898 * CHOOSE(CONTROL!$C$32, $C$9, 100%, $E$9)</f>
        <v>12.1898</v>
      </c>
      <c r="E816" s="33">
        <f>13.7524 * CHOOSE(CONTROL!$C$32, $C$9, 100%, $E$9)</f>
        <v>13.7524</v>
      </c>
      <c r="F816" s="33">
        <f>13.7524 * CHOOSE(CONTROL!$C$32, $C$9, 100%, $E$9)</f>
        <v>13.7524</v>
      </c>
      <c r="G816" s="33">
        <f>13.7561 * CHOOSE(CONTROL!$C$32, $C$9, 100%, $E$9)</f>
        <v>13.7561</v>
      </c>
      <c r="H816" s="33">
        <f>28.2112 * CHOOSE(CONTROL!$C$32, $C$9, 100%, $E$9)</f>
        <v>28.211200000000002</v>
      </c>
      <c r="I816" s="33">
        <f>28.2148 * CHOOSE(CONTROL!$C$32, $C$9, 100%, $E$9)</f>
        <v>28.2148</v>
      </c>
      <c r="J816" s="33">
        <f>28.2112 * CHOOSE(CONTROL!$C$32, $C$9, 100%, $E$9)</f>
        <v>28.211200000000002</v>
      </c>
      <c r="K816" s="33">
        <f>28.2148 * CHOOSE(CONTROL!$C$32, $C$9, 100%, $E$9)</f>
        <v>28.2148</v>
      </c>
      <c r="L816" s="33">
        <f>13.7524 * CHOOSE(CONTROL!$C$32, $C$9, 100%, $E$9)</f>
        <v>13.7524</v>
      </c>
      <c r="M816" s="33">
        <f>13.7561 * CHOOSE(CONTROL!$C$32, $C$9, 100%, $E$9)</f>
        <v>13.7561</v>
      </c>
      <c r="N816" s="33">
        <f>13.7524 * CHOOSE(CONTROL!$C$32, $C$9, 100%, $E$9)</f>
        <v>13.7524</v>
      </c>
      <c r="O816" s="33">
        <f>13.7561 * CHOOSE(CONTROL!$C$32, $C$9, 100%, $E$9)</f>
        <v>13.7561</v>
      </c>
    </row>
    <row r="817" spans="1:15" ht="15" x14ac:dyDescent="0.2">
      <c r="A817" s="16">
        <v>66081</v>
      </c>
      <c r="B817" s="32">
        <f>12.1887 * CHOOSE(CONTROL!$C$32, $C$9, 100%, $E$9)</f>
        <v>12.188700000000001</v>
      </c>
      <c r="C817" s="32">
        <f>12.1887 * CHOOSE(CONTROL!$C$32, $C$9, 100%, $E$9)</f>
        <v>12.188700000000001</v>
      </c>
      <c r="D817" s="32">
        <f>12.1898 * CHOOSE(CONTROL!$C$32, $C$9, 100%, $E$9)</f>
        <v>12.1898</v>
      </c>
      <c r="E817" s="33">
        <f>13.5621 * CHOOSE(CONTROL!$C$32, $C$9, 100%, $E$9)</f>
        <v>13.562099999999999</v>
      </c>
      <c r="F817" s="33">
        <f>13.5621 * CHOOSE(CONTROL!$C$32, $C$9, 100%, $E$9)</f>
        <v>13.562099999999999</v>
      </c>
      <c r="G817" s="33">
        <f>13.5657 * CHOOSE(CONTROL!$C$32, $C$9, 100%, $E$9)</f>
        <v>13.5657</v>
      </c>
      <c r="H817" s="33">
        <f>28.27 * CHOOSE(CONTROL!$C$32, $C$9, 100%, $E$9)</f>
        <v>28.27</v>
      </c>
      <c r="I817" s="33">
        <f>28.2736 * CHOOSE(CONTROL!$C$32, $C$9, 100%, $E$9)</f>
        <v>28.273599999999998</v>
      </c>
      <c r="J817" s="33">
        <f>28.27 * CHOOSE(CONTROL!$C$32, $C$9, 100%, $E$9)</f>
        <v>28.27</v>
      </c>
      <c r="K817" s="33">
        <f>28.2736 * CHOOSE(CONTROL!$C$32, $C$9, 100%, $E$9)</f>
        <v>28.273599999999998</v>
      </c>
      <c r="L817" s="33">
        <f>13.5621 * CHOOSE(CONTROL!$C$32, $C$9, 100%, $E$9)</f>
        <v>13.562099999999999</v>
      </c>
      <c r="M817" s="33">
        <f>13.5657 * CHOOSE(CONTROL!$C$32, $C$9, 100%, $E$9)</f>
        <v>13.5657</v>
      </c>
      <c r="N817" s="33">
        <f>13.5621 * CHOOSE(CONTROL!$C$32, $C$9, 100%, $E$9)</f>
        <v>13.562099999999999</v>
      </c>
      <c r="O817" s="33">
        <f>13.5657 * CHOOSE(CONTROL!$C$32, $C$9, 100%, $E$9)</f>
        <v>13.5657</v>
      </c>
    </row>
    <row r="818" spans="1:15" ht="15" x14ac:dyDescent="0.2">
      <c r="A818" s="16">
        <v>66112</v>
      </c>
      <c r="B818" s="32">
        <f>12.192 * CHOOSE(CONTROL!$C$32, $C$9, 100%, $E$9)</f>
        <v>12.192</v>
      </c>
      <c r="C818" s="32">
        <f>12.192 * CHOOSE(CONTROL!$C$32, $C$9, 100%, $E$9)</f>
        <v>12.192</v>
      </c>
      <c r="D818" s="32">
        <f>12.1931 * CHOOSE(CONTROL!$C$32, $C$9, 100%, $E$9)</f>
        <v>12.193099999999999</v>
      </c>
      <c r="E818" s="33">
        <f>13.7081 * CHOOSE(CONTROL!$C$32, $C$9, 100%, $E$9)</f>
        <v>13.7081</v>
      </c>
      <c r="F818" s="33">
        <f>13.7081 * CHOOSE(CONTROL!$C$32, $C$9, 100%, $E$9)</f>
        <v>13.7081</v>
      </c>
      <c r="G818" s="33">
        <f>13.7117 * CHOOSE(CONTROL!$C$32, $C$9, 100%, $E$9)</f>
        <v>13.7117</v>
      </c>
      <c r="H818" s="33">
        <f>28.0942 * CHOOSE(CONTROL!$C$32, $C$9, 100%, $E$9)</f>
        <v>28.094200000000001</v>
      </c>
      <c r="I818" s="33">
        <f>28.0978 * CHOOSE(CONTROL!$C$32, $C$9, 100%, $E$9)</f>
        <v>28.097799999999999</v>
      </c>
      <c r="J818" s="33">
        <f>28.0942 * CHOOSE(CONTROL!$C$32, $C$9, 100%, $E$9)</f>
        <v>28.094200000000001</v>
      </c>
      <c r="K818" s="33">
        <f>28.0978 * CHOOSE(CONTROL!$C$32, $C$9, 100%, $E$9)</f>
        <v>28.097799999999999</v>
      </c>
      <c r="L818" s="33">
        <f>13.7081 * CHOOSE(CONTROL!$C$32, $C$9, 100%, $E$9)</f>
        <v>13.7081</v>
      </c>
      <c r="M818" s="33">
        <f>13.7117 * CHOOSE(CONTROL!$C$32, $C$9, 100%, $E$9)</f>
        <v>13.7117</v>
      </c>
      <c r="N818" s="33">
        <f>13.7081 * CHOOSE(CONTROL!$C$32, $C$9, 100%, $E$9)</f>
        <v>13.7081</v>
      </c>
      <c r="O818" s="33">
        <f>13.7117 * CHOOSE(CONTROL!$C$32, $C$9, 100%, $E$9)</f>
        <v>13.7117</v>
      </c>
    </row>
    <row r="819" spans="1:15" ht="15" x14ac:dyDescent="0.2">
      <c r="A819" s="16">
        <v>66143</v>
      </c>
      <c r="B819" s="32">
        <f>12.189 * CHOOSE(CONTROL!$C$32, $C$9, 100%, $E$9)</f>
        <v>12.189</v>
      </c>
      <c r="C819" s="32">
        <f>12.189 * CHOOSE(CONTROL!$C$32, $C$9, 100%, $E$9)</f>
        <v>12.189</v>
      </c>
      <c r="D819" s="32">
        <f>12.19 * CHOOSE(CONTROL!$C$32, $C$9, 100%, $E$9)</f>
        <v>12.19</v>
      </c>
      <c r="E819" s="33">
        <f>13.3391 * CHOOSE(CONTROL!$C$32, $C$9, 100%, $E$9)</f>
        <v>13.3391</v>
      </c>
      <c r="F819" s="33">
        <f>13.3391 * CHOOSE(CONTROL!$C$32, $C$9, 100%, $E$9)</f>
        <v>13.3391</v>
      </c>
      <c r="G819" s="33">
        <f>13.3427 * CHOOSE(CONTROL!$C$32, $C$9, 100%, $E$9)</f>
        <v>13.342700000000001</v>
      </c>
      <c r="H819" s="33">
        <f>28.1527 * CHOOSE(CONTROL!$C$32, $C$9, 100%, $E$9)</f>
        <v>28.152699999999999</v>
      </c>
      <c r="I819" s="33">
        <f>28.1563 * CHOOSE(CONTROL!$C$32, $C$9, 100%, $E$9)</f>
        <v>28.156300000000002</v>
      </c>
      <c r="J819" s="33">
        <f>28.1527 * CHOOSE(CONTROL!$C$32, $C$9, 100%, $E$9)</f>
        <v>28.152699999999999</v>
      </c>
      <c r="K819" s="33">
        <f>28.1563 * CHOOSE(CONTROL!$C$32, $C$9, 100%, $E$9)</f>
        <v>28.156300000000002</v>
      </c>
      <c r="L819" s="33">
        <f>13.3391 * CHOOSE(CONTROL!$C$32, $C$9, 100%, $E$9)</f>
        <v>13.3391</v>
      </c>
      <c r="M819" s="33">
        <f>13.3427 * CHOOSE(CONTROL!$C$32, $C$9, 100%, $E$9)</f>
        <v>13.342700000000001</v>
      </c>
      <c r="N819" s="33">
        <f>13.3391 * CHOOSE(CONTROL!$C$32, $C$9, 100%, $E$9)</f>
        <v>13.3391</v>
      </c>
      <c r="O819" s="33">
        <f>13.3427 * CHOOSE(CONTROL!$C$32, $C$9, 100%, $E$9)</f>
        <v>13.342700000000001</v>
      </c>
    </row>
    <row r="820" spans="1:15" ht="15" x14ac:dyDescent="0.2">
      <c r="A820" s="16">
        <v>66171</v>
      </c>
      <c r="B820" s="32">
        <f>12.1859 * CHOOSE(CONTROL!$C$32, $C$9, 100%, $E$9)</f>
        <v>12.1859</v>
      </c>
      <c r="C820" s="32">
        <f>12.1859 * CHOOSE(CONTROL!$C$32, $C$9, 100%, $E$9)</f>
        <v>12.1859</v>
      </c>
      <c r="D820" s="32">
        <f>12.187 * CHOOSE(CONTROL!$C$32, $C$9, 100%, $E$9)</f>
        <v>12.186999999999999</v>
      </c>
      <c r="E820" s="33">
        <f>13.6262 * CHOOSE(CONTROL!$C$32, $C$9, 100%, $E$9)</f>
        <v>13.626200000000001</v>
      </c>
      <c r="F820" s="33">
        <f>13.6262 * CHOOSE(CONTROL!$C$32, $C$9, 100%, $E$9)</f>
        <v>13.626200000000001</v>
      </c>
      <c r="G820" s="33">
        <f>13.6298 * CHOOSE(CONTROL!$C$32, $C$9, 100%, $E$9)</f>
        <v>13.629799999999999</v>
      </c>
      <c r="H820" s="33">
        <f>28.2114 * CHOOSE(CONTROL!$C$32, $C$9, 100%, $E$9)</f>
        <v>28.211400000000001</v>
      </c>
      <c r="I820" s="33">
        <f>28.215 * CHOOSE(CONTROL!$C$32, $C$9, 100%, $E$9)</f>
        <v>28.215</v>
      </c>
      <c r="J820" s="33">
        <f>28.2114 * CHOOSE(CONTROL!$C$32, $C$9, 100%, $E$9)</f>
        <v>28.211400000000001</v>
      </c>
      <c r="K820" s="33">
        <f>28.215 * CHOOSE(CONTROL!$C$32, $C$9, 100%, $E$9)</f>
        <v>28.215</v>
      </c>
      <c r="L820" s="33">
        <f>13.6262 * CHOOSE(CONTROL!$C$32, $C$9, 100%, $E$9)</f>
        <v>13.626200000000001</v>
      </c>
      <c r="M820" s="33">
        <f>13.6298 * CHOOSE(CONTROL!$C$32, $C$9, 100%, $E$9)</f>
        <v>13.629799999999999</v>
      </c>
      <c r="N820" s="33">
        <f>13.6262 * CHOOSE(CONTROL!$C$32, $C$9, 100%, $E$9)</f>
        <v>13.626200000000001</v>
      </c>
      <c r="O820" s="33">
        <f>13.6298 * CHOOSE(CONTROL!$C$32, $C$9, 100%, $E$9)</f>
        <v>13.629799999999999</v>
      </c>
    </row>
    <row r="821" spans="1:15" ht="15" x14ac:dyDescent="0.2">
      <c r="A821" s="16">
        <v>66202</v>
      </c>
      <c r="B821" s="32">
        <f>12.1915 * CHOOSE(CONTROL!$C$32, $C$9, 100%, $E$9)</f>
        <v>12.1915</v>
      </c>
      <c r="C821" s="32">
        <f>12.1915 * CHOOSE(CONTROL!$C$32, $C$9, 100%, $E$9)</f>
        <v>12.1915</v>
      </c>
      <c r="D821" s="32">
        <f>12.1926 * CHOOSE(CONTROL!$C$32, $C$9, 100%, $E$9)</f>
        <v>12.192600000000001</v>
      </c>
      <c r="E821" s="33">
        <f>13.9325 * CHOOSE(CONTROL!$C$32, $C$9, 100%, $E$9)</f>
        <v>13.932499999999999</v>
      </c>
      <c r="F821" s="33">
        <f>13.9325 * CHOOSE(CONTROL!$C$32, $C$9, 100%, $E$9)</f>
        <v>13.932499999999999</v>
      </c>
      <c r="G821" s="33">
        <f>13.9361 * CHOOSE(CONTROL!$C$32, $C$9, 100%, $E$9)</f>
        <v>13.9361</v>
      </c>
      <c r="H821" s="33">
        <f>28.2702 * CHOOSE(CONTROL!$C$32, $C$9, 100%, $E$9)</f>
        <v>28.270199999999999</v>
      </c>
      <c r="I821" s="33">
        <f>28.2738 * CHOOSE(CONTROL!$C$32, $C$9, 100%, $E$9)</f>
        <v>28.273800000000001</v>
      </c>
      <c r="J821" s="33">
        <f>28.2702 * CHOOSE(CONTROL!$C$32, $C$9, 100%, $E$9)</f>
        <v>28.270199999999999</v>
      </c>
      <c r="K821" s="33">
        <f>28.2738 * CHOOSE(CONTROL!$C$32, $C$9, 100%, $E$9)</f>
        <v>28.273800000000001</v>
      </c>
      <c r="L821" s="33">
        <f>13.9325 * CHOOSE(CONTROL!$C$32, $C$9, 100%, $E$9)</f>
        <v>13.932499999999999</v>
      </c>
      <c r="M821" s="33">
        <f>13.9361 * CHOOSE(CONTROL!$C$32, $C$9, 100%, $E$9)</f>
        <v>13.9361</v>
      </c>
      <c r="N821" s="33">
        <f>13.9325 * CHOOSE(CONTROL!$C$32, $C$9, 100%, $E$9)</f>
        <v>13.932499999999999</v>
      </c>
      <c r="O821" s="33">
        <f>13.9361 * CHOOSE(CONTROL!$C$32, $C$9, 100%, $E$9)</f>
        <v>13.9361</v>
      </c>
    </row>
    <row r="822" spans="1:15" ht="15" x14ac:dyDescent="0.2">
      <c r="A822" s="16">
        <v>66232</v>
      </c>
      <c r="B822" s="32">
        <f>12.1915 * CHOOSE(CONTROL!$C$32, $C$9, 100%, $E$9)</f>
        <v>12.1915</v>
      </c>
      <c r="C822" s="32">
        <f>12.1915 * CHOOSE(CONTROL!$C$32, $C$9, 100%, $E$9)</f>
        <v>12.1915</v>
      </c>
      <c r="D822" s="32">
        <f>12.1931 * CHOOSE(CONTROL!$C$32, $C$9, 100%, $E$9)</f>
        <v>12.193099999999999</v>
      </c>
      <c r="E822" s="33">
        <f>14.049 * CHOOSE(CONTROL!$C$32, $C$9, 100%, $E$9)</f>
        <v>14.048999999999999</v>
      </c>
      <c r="F822" s="33">
        <f>14.049 * CHOOSE(CONTROL!$C$32, $C$9, 100%, $E$9)</f>
        <v>14.048999999999999</v>
      </c>
      <c r="G822" s="33">
        <f>14.0543 * CHOOSE(CONTROL!$C$32, $C$9, 100%, $E$9)</f>
        <v>14.0543</v>
      </c>
      <c r="H822" s="33">
        <f>28.3291 * CHOOSE(CONTROL!$C$32, $C$9, 100%, $E$9)</f>
        <v>28.3291</v>
      </c>
      <c r="I822" s="33">
        <f>28.3343 * CHOOSE(CONTROL!$C$32, $C$9, 100%, $E$9)</f>
        <v>28.334299999999999</v>
      </c>
      <c r="J822" s="33">
        <f>28.3291 * CHOOSE(CONTROL!$C$32, $C$9, 100%, $E$9)</f>
        <v>28.3291</v>
      </c>
      <c r="K822" s="33">
        <f>28.3343 * CHOOSE(CONTROL!$C$32, $C$9, 100%, $E$9)</f>
        <v>28.334299999999999</v>
      </c>
      <c r="L822" s="33">
        <f>14.049 * CHOOSE(CONTROL!$C$32, $C$9, 100%, $E$9)</f>
        <v>14.048999999999999</v>
      </c>
      <c r="M822" s="33">
        <f>14.0543 * CHOOSE(CONTROL!$C$32, $C$9, 100%, $E$9)</f>
        <v>14.0543</v>
      </c>
      <c r="N822" s="33">
        <f>14.049 * CHOOSE(CONTROL!$C$32, $C$9, 100%, $E$9)</f>
        <v>14.048999999999999</v>
      </c>
      <c r="O822" s="33">
        <f>14.0543 * CHOOSE(CONTROL!$C$32, $C$9, 100%, $E$9)</f>
        <v>14.0543</v>
      </c>
    </row>
    <row r="823" spans="1:15" ht="15" x14ac:dyDescent="0.2">
      <c r="A823" s="16">
        <v>66263</v>
      </c>
      <c r="B823" s="32">
        <f>12.1976 * CHOOSE(CONTROL!$C$32, $C$9, 100%, $E$9)</f>
        <v>12.1976</v>
      </c>
      <c r="C823" s="32">
        <f>12.1976 * CHOOSE(CONTROL!$C$32, $C$9, 100%, $E$9)</f>
        <v>12.1976</v>
      </c>
      <c r="D823" s="32">
        <f>12.1992 * CHOOSE(CONTROL!$C$32, $C$9, 100%, $E$9)</f>
        <v>12.199199999999999</v>
      </c>
      <c r="E823" s="33">
        <f>13.9368 * CHOOSE(CONTROL!$C$32, $C$9, 100%, $E$9)</f>
        <v>13.9368</v>
      </c>
      <c r="F823" s="33">
        <f>13.9368 * CHOOSE(CONTROL!$C$32, $C$9, 100%, $E$9)</f>
        <v>13.9368</v>
      </c>
      <c r="G823" s="33">
        <f>13.9421 * CHOOSE(CONTROL!$C$32, $C$9, 100%, $E$9)</f>
        <v>13.9421</v>
      </c>
      <c r="H823" s="33">
        <f>28.3881 * CHOOSE(CONTROL!$C$32, $C$9, 100%, $E$9)</f>
        <v>28.388100000000001</v>
      </c>
      <c r="I823" s="33">
        <f>28.3934 * CHOOSE(CONTROL!$C$32, $C$9, 100%, $E$9)</f>
        <v>28.3934</v>
      </c>
      <c r="J823" s="33">
        <f>28.3881 * CHOOSE(CONTROL!$C$32, $C$9, 100%, $E$9)</f>
        <v>28.388100000000001</v>
      </c>
      <c r="K823" s="33">
        <f>28.3934 * CHOOSE(CONTROL!$C$32, $C$9, 100%, $E$9)</f>
        <v>28.3934</v>
      </c>
      <c r="L823" s="33">
        <f>13.9368 * CHOOSE(CONTROL!$C$32, $C$9, 100%, $E$9)</f>
        <v>13.9368</v>
      </c>
      <c r="M823" s="33">
        <f>13.9421 * CHOOSE(CONTROL!$C$32, $C$9, 100%, $E$9)</f>
        <v>13.9421</v>
      </c>
      <c r="N823" s="33">
        <f>13.9368 * CHOOSE(CONTROL!$C$32, $C$9, 100%, $E$9)</f>
        <v>13.9368</v>
      </c>
      <c r="O823" s="33">
        <f>13.9421 * CHOOSE(CONTROL!$C$32, $C$9, 100%, $E$9)</f>
        <v>13.9421</v>
      </c>
    </row>
    <row r="824" spans="1:15" ht="15" x14ac:dyDescent="0.2">
      <c r="A824" s="16">
        <v>66293</v>
      </c>
      <c r="B824" s="32">
        <f>12.3461 * CHOOSE(CONTROL!$C$32, $C$9, 100%, $E$9)</f>
        <v>12.3461</v>
      </c>
      <c r="C824" s="32">
        <f>12.3461 * CHOOSE(CONTROL!$C$32, $C$9, 100%, $E$9)</f>
        <v>12.3461</v>
      </c>
      <c r="D824" s="32">
        <f>12.3477 * CHOOSE(CONTROL!$C$32, $C$9, 100%, $E$9)</f>
        <v>12.3477</v>
      </c>
      <c r="E824" s="33">
        <f>14.1337 * CHOOSE(CONTROL!$C$32, $C$9, 100%, $E$9)</f>
        <v>14.133699999999999</v>
      </c>
      <c r="F824" s="33">
        <f>14.1337 * CHOOSE(CONTROL!$C$32, $C$9, 100%, $E$9)</f>
        <v>14.133699999999999</v>
      </c>
      <c r="G824" s="33">
        <f>14.139 * CHOOSE(CONTROL!$C$32, $C$9, 100%, $E$9)</f>
        <v>14.138999999999999</v>
      </c>
      <c r="H824" s="33">
        <f>28.4472 * CHOOSE(CONTROL!$C$32, $C$9, 100%, $E$9)</f>
        <v>28.447199999999999</v>
      </c>
      <c r="I824" s="33">
        <f>28.4525 * CHOOSE(CONTROL!$C$32, $C$9, 100%, $E$9)</f>
        <v>28.452500000000001</v>
      </c>
      <c r="J824" s="33">
        <f>28.4472 * CHOOSE(CONTROL!$C$32, $C$9, 100%, $E$9)</f>
        <v>28.447199999999999</v>
      </c>
      <c r="K824" s="33">
        <f>28.4525 * CHOOSE(CONTROL!$C$32, $C$9, 100%, $E$9)</f>
        <v>28.452500000000001</v>
      </c>
      <c r="L824" s="33">
        <f>14.1337 * CHOOSE(CONTROL!$C$32, $C$9, 100%, $E$9)</f>
        <v>14.133699999999999</v>
      </c>
      <c r="M824" s="33">
        <f>14.139 * CHOOSE(CONTROL!$C$32, $C$9, 100%, $E$9)</f>
        <v>14.138999999999999</v>
      </c>
      <c r="N824" s="33">
        <f>14.1337 * CHOOSE(CONTROL!$C$32, $C$9, 100%, $E$9)</f>
        <v>14.133699999999999</v>
      </c>
      <c r="O824" s="33">
        <f>14.139 * CHOOSE(CONTROL!$C$32, $C$9, 100%, $E$9)</f>
        <v>14.138999999999999</v>
      </c>
    </row>
    <row r="825" spans="1:15" ht="15" x14ac:dyDescent="0.2">
      <c r="A825" s="16">
        <v>66324</v>
      </c>
      <c r="B825" s="32">
        <f>12.3528 * CHOOSE(CONTROL!$C$32, $C$9, 100%, $E$9)</f>
        <v>12.3528</v>
      </c>
      <c r="C825" s="32">
        <f>12.3528 * CHOOSE(CONTROL!$C$32, $C$9, 100%, $E$9)</f>
        <v>12.3528</v>
      </c>
      <c r="D825" s="32">
        <f>12.3544 * CHOOSE(CONTROL!$C$32, $C$9, 100%, $E$9)</f>
        <v>12.3544</v>
      </c>
      <c r="E825" s="33">
        <f>13.7889 * CHOOSE(CONTROL!$C$32, $C$9, 100%, $E$9)</f>
        <v>13.7889</v>
      </c>
      <c r="F825" s="33">
        <f>13.7889 * CHOOSE(CONTROL!$C$32, $C$9, 100%, $E$9)</f>
        <v>13.7889</v>
      </c>
      <c r="G825" s="33">
        <f>13.7942 * CHOOSE(CONTROL!$C$32, $C$9, 100%, $E$9)</f>
        <v>13.7942</v>
      </c>
      <c r="H825" s="33">
        <f>28.5065 * CHOOSE(CONTROL!$C$32, $C$9, 100%, $E$9)</f>
        <v>28.506499999999999</v>
      </c>
      <c r="I825" s="33">
        <f>28.5118 * CHOOSE(CONTROL!$C$32, $C$9, 100%, $E$9)</f>
        <v>28.511800000000001</v>
      </c>
      <c r="J825" s="33">
        <f>28.5065 * CHOOSE(CONTROL!$C$32, $C$9, 100%, $E$9)</f>
        <v>28.506499999999999</v>
      </c>
      <c r="K825" s="33">
        <f>28.5118 * CHOOSE(CONTROL!$C$32, $C$9, 100%, $E$9)</f>
        <v>28.511800000000001</v>
      </c>
      <c r="L825" s="33">
        <f>13.7889 * CHOOSE(CONTROL!$C$32, $C$9, 100%, $E$9)</f>
        <v>13.7889</v>
      </c>
      <c r="M825" s="33">
        <f>13.7942 * CHOOSE(CONTROL!$C$32, $C$9, 100%, $E$9)</f>
        <v>13.7942</v>
      </c>
      <c r="N825" s="33">
        <f>13.7889 * CHOOSE(CONTROL!$C$32, $C$9, 100%, $E$9)</f>
        <v>13.7889</v>
      </c>
      <c r="O825" s="33">
        <f>13.7942 * CHOOSE(CONTROL!$C$32, $C$9, 100%, $E$9)</f>
        <v>13.7942</v>
      </c>
    </row>
    <row r="826" spans="1:15" ht="15" x14ac:dyDescent="0.2">
      <c r="A826" s="16">
        <v>66355</v>
      </c>
      <c r="B826" s="32">
        <f>12.3497 * CHOOSE(CONTROL!$C$32, $C$9, 100%, $E$9)</f>
        <v>12.3497</v>
      </c>
      <c r="C826" s="32">
        <f>12.3497 * CHOOSE(CONTROL!$C$32, $C$9, 100%, $E$9)</f>
        <v>12.3497</v>
      </c>
      <c r="D826" s="32">
        <f>12.3513 * CHOOSE(CONTROL!$C$32, $C$9, 100%, $E$9)</f>
        <v>12.3513</v>
      </c>
      <c r="E826" s="33">
        <f>13.748 * CHOOSE(CONTROL!$C$32, $C$9, 100%, $E$9)</f>
        <v>13.747999999999999</v>
      </c>
      <c r="F826" s="33">
        <f>13.748 * CHOOSE(CONTROL!$C$32, $C$9, 100%, $E$9)</f>
        <v>13.747999999999999</v>
      </c>
      <c r="G826" s="33">
        <f>13.7533 * CHOOSE(CONTROL!$C$32, $C$9, 100%, $E$9)</f>
        <v>13.753299999999999</v>
      </c>
      <c r="H826" s="33">
        <f>28.5659 * CHOOSE(CONTROL!$C$32, $C$9, 100%, $E$9)</f>
        <v>28.565899999999999</v>
      </c>
      <c r="I826" s="33">
        <f>28.5712 * CHOOSE(CONTROL!$C$32, $C$9, 100%, $E$9)</f>
        <v>28.571200000000001</v>
      </c>
      <c r="J826" s="33">
        <f>28.5659 * CHOOSE(CONTROL!$C$32, $C$9, 100%, $E$9)</f>
        <v>28.565899999999999</v>
      </c>
      <c r="K826" s="33">
        <f>28.5712 * CHOOSE(CONTROL!$C$32, $C$9, 100%, $E$9)</f>
        <v>28.571200000000001</v>
      </c>
      <c r="L826" s="33">
        <f>13.748 * CHOOSE(CONTROL!$C$32, $C$9, 100%, $E$9)</f>
        <v>13.747999999999999</v>
      </c>
      <c r="M826" s="33">
        <f>13.7533 * CHOOSE(CONTROL!$C$32, $C$9, 100%, $E$9)</f>
        <v>13.753299999999999</v>
      </c>
      <c r="N826" s="33">
        <f>13.748 * CHOOSE(CONTROL!$C$32, $C$9, 100%, $E$9)</f>
        <v>13.747999999999999</v>
      </c>
      <c r="O826" s="33">
        <f>13.7533 * CHOOSE(CONTROL!$C$32, $C$9, 100%, $E$9)</f>
        <v>13.753299999999999</v>
      </c>
    </row>
    <row r="827" spans="1:15" ht="15" x14ac:dyDescent="0.2">
      <c r="A827" s="16">
        <v>66385</v>
      </c>
      <c r="B827" s="32">
        <f>12.376 * CHOOSE(CONTROL!$C$32, $C$9, 100%, $E$9)</f>
        <v>12.375999999999999</v>
      </c>
      <c r="C827" s="32">
        <f>12.376 * CHOOSE(CONTROL!$C$32, $C$9, 100%, $E$9)</f>
        <v>12.375999999999999</v>
      </c>
      <c r="D827" s="32">
        <f>12.3771 * CHOOSE(CONTROL!$C$32, $C$9, 100%, $E$9)</f>
        <v>12.3771</v>
      </c>
      <c r="E827" s="33">
        <f>13.8899 * CHOOSE(CONTROL!$C$32, $C$9, 100%, $E$9)</f>
        <v>13.889900000000001</v>
      </c>
      <c r="F827" s="33">
        <f>13.8899 * CHOOSE(CONTROL!$C$32, $C$9, 100%, $E$9)</f>
        <v>13.889900000000001</v>
      </c>
      <c r="G827" s="33">
        <f>13.8935 * CHOOSE(CONTROL!$C$32, $C$9, 100%, $E$9)</f>
        <v>13.8935</v>
      </c>
      <c r="H827" s="33">
        <f>28.6254 * CHOOSE(CONTROL!$C$32, $C$9, 100%, $E$9)</f>
        <v>28.625399999999999</v>
      </c>
      <c r="I827" s="33">
        <f>28.629 * CHOOSE(CONTROL!$C$32, $C$9, 100%, $E$9)</f>
        <v>28.629000000000001</v>
      </c>
      <c r="J827" s="33">
        <f>28.6254 * CHOOSE(CONTROL!$C$32, $C$9, 100%, $E$9)</f>
        <v>28.625399999999999</v>
      </c>
      <c r="K827" s="33">
        <f>28.629 * CHOOSE(CONTROL!$C$32, $C$9, 100%, $E$9)</f>
        <v>28.629000000000001</v>
      </c>
      <c r="L827" s="33">
        <f>13.8899 * CHOOSE(CONTROL!$C$32, $C$9, 100%, $E$9)</f>
        <v>13.889900000000001</v>
      </c>
      <c r="M827" s="33">
        <f>13.8935 * CHOOSE(CONTROL!$C$32, $C$9, 100%, $E$9)</f>
        <v>13.8935</v>
      </c>
      <c r="N827" s="33">
        <f>13.8899 * CHOOSE(CONTROL!$C$32, $C$9, 100%, $E$9)</f>
        <v>13.889900000000001</v>
      </c>
      <c r="O827" s="33">
        <f>13.8935 * CHOOSE(CONTROL!$C$32, $C$9, 100%, $E$9)</f>
        <v>13.8935</v>
      </c>
    </row>
    <row r="828" spans="1:15" ht="15" x14ac:dyDescent="0.2">
      <c r="A828" s="16">
        <v>66416</v>
      </c>
      <c r="B828" s="32">
        <f>12.379 * CHOOSE(CONTROL!$C$32, $C$9, 100%, $E$9)</f>
        <v>12.379</v>
      </c>
      <c r="C828" s="32">
        <f>12.379 * CHOOSE(CONTROL!$C$32, $C$9, 100%, $E$9)</f>
        <v>12.379</v>
      </c>
      <c r="D828" s="32">
        <f>12.3801 * CHOOSE(CONTROL!$C$32, $C$9, 100%, $E$9)</f>
        <v>12.380100000000001</v>
      </c>
      <c r="E828" s="33">
        <f>13.9696 * CHOOSE(CONTROL!$C$32, $C$9, 100%, $E$9)</f>
        <v>13.9696</v>
      </c>
      <c r="F828" s="33">
        <f>13.9696 * CHOOSE(CONTROL!$C$32, $C$9, 100%, $E$9)</f>
        <v>13.9696</v>
      </c>
      <c r="G828" s="33">
        <f>13.9732 * CHOOSE(CONTROL!$C$32, $C$9, 100%, $E$9)</f>
        <v>13.9732</v>
      </c>
      <c r="H828" s="33">
        <f>28.685 * CHOOSE(CONTROL!$C$32, $C$9, 100%, $E$9)</f>
        <v>28.684999999999999</v>
      </c>
      <c r="I828" s="33">
        <f>28.6886 * CHOOSE(CONTROL!$C$32, $C$9, 100%, $E$9)</f>
        <v>28.688600000000001</v>
      </c>
      <c r="J828" s="33">
        <f>28.685 * CHOOSE(CONTROL!$C$32, $C$9, 100%, $E$9)</f>
        <v>28.684999999999999</v>
      </c>
      <c r="K828" s="33">
        <f>28.6886 * CHOOSE(CONTROL!$C$32, $C$9, 100%, $E$9)</f>
        <v>28.688600000000001</v>
      </c>
      <c r="L828" s="33">
        <f>13.9696 * CHOOSE(CONTROL!$C$32, $C$9, 100%, $E$9)</f>
        <v>13.9696</v>
      </c>
      <c r="M828" s="33">
        <f>13.9732 * CHOOSE(CONTROL!$C$32, $C$9, 100%, $E$9)</f>
        <v>13.9732</v>
      </c>
      <c r="N828" s="33">
        <f>13.9696 * CHOOSE(CONTROL!$C$32, $C$9, 100%, $E$9)</f>
        <v>13.9696</v>
      </c>
      <c r="O828" s="33">
        <f>13.9732 * CHOOSE(CONTROL!$C$32, $C$9, 100%, $E$9)</f>
        <v>13.9732</v>
      </c>
    </row>
    <row r="829" spans="1:15" ht="15" x14ac:dyDescent="0.2">
      <c r="A829" s="16">
        <v>66446</v>
      </c>
      <c r="B829" s="32">
        <f>12.379 * CHOOSE(CONTROL!$C$32, $C$9, 100%, $E$9)</f>
        <v>12.379</v>
      </c>
      <c r="C829" s="32">
        <f>12.379 * CHOOSE(CONTROL!$C$32, $C$9, 100%, $E$9)</f>
        <v>12.379</v>
      </c>
      <c r="D829" s="32">
        <f>12.3801 * CHOOSE(CONTROL!$C$32, $C$9, 100%, $E$9)</f>
        <v>12.380100000000001</v>
      </c>
      <c r="E829" s="33">
        <f>13.7755 * CHOOSE(CONTROL!$C$32, $C$9, 100%, $E$9)</f>
        <v>13.775499999999999</v>
      </c>
      <c r="F829" s="33">
        <f>13.7755 * CHOOSE(CONTROL!$C$32, $C$9, 100%, $E$9)</f>
        <v>13.775499999999999</v>
      </c>
      <c r="G829" s="33">
        <f>13.7791 * CHOOSE(CONTROL!$C$32, $C$9, 100%, $E$9)</f>
        <v>13.7791</v>
      </c>
      <c r="H829" s="33">
        <f>28.7448 * CHOOSE(CONTROL!$C$32, $C$9, 100%, $E$9)</f>
        <v>28.744800000000001</v>
      </c>
      <c r="I829" s="33">
        <f>28.7484 * CHOOSE(CONTROL!$C$32, $C$9, 100%, $E$9)</f>
        <v>28.7484</v>
      </c>
      <c r="J829" s="33">
        <f>28.7448 * CHOOSE(CONTROL!$C$32, $C$9, 100%, $E$9)</f>
        <v>28.744800000000001</v>
      </c>
      <c r="K829" s="33">
        <f>28.7484 * CHOOSE(CONTROL!$C$32, $C$9, 100%, $E$9)</f>
        <v>28.7484</v>
      </c>
      <c r="L829" s="33">
        <f>13.7755 * CHOOSE(CONTROL!$C$32, $C$9, 100%, $E$9)</f>
        <v>13.775499999999999</v>
      </c>
      <c r="M829" s="33">
        <f>13.7791 * CHOOSE(CONTROL!$C$32, $C$9, 100%, $E$9)</f>
        <v>13.7791</v>
      </c>
      <c r="N829" s="33">
        <f>13.7755 * CHOOSE(CONTROL!$C$32, $C$9, 100%, $E$9)</f>
        <v>13.775499999999999</v>
      </c>
      <c r="O829" s="33">
        <f>13.7791 * CHOOSE(CONTROL!$C$32, $C$9, 100%, $E$9)</f>
        <v>13.7791</v>
      </c>
    </row>
    <row r="830" spans="1:15" ht="15" x14ac:dyDescent="0.2">
      <c r="A830" s="16">
        <v>66477</v>
      </c>
      <c r="B830" s="32">
        <f>12.3794 * CHOOSE(CONTROL!$C$32, $C$9, 100%, $E$9)</f>
        <v>12.3794</v>
      </c>
      <c r="C830" s="32">
        <f>12.3794 * CHOOSE(CONTROL!$C$32, $C$9, 100%, $E$9)</f>
        <v>12.3794</v>
      </c>
      <c r="D830" s="32">
        <f>12.3804 * CHOOSE(CONTROL!$C$32, $C$9, 100%, $E$9)</f>
        <v>12.3804</v>
      </c>
      <c r="E830" s="33">
        <f>13.9206 * CHOOSE(CONTROL!$C$32, $C$9, 100%, $E$9)</f>
        <v>13.9206</v>
      </c>
      <c r="F830" s="33">
        <f>13.9206 * CHOOSE(CONTROL!$C$32, $C$9, 100%, $E$9)</f>
        <v>13.9206</v>
      </c>
      <c r="G830" s="33">
        <f>13.9242 * CHOOSE(CONTROL!$C$32, $C$9, 100%, $E$9)</f>
        <v>13.924200000000001</v>
      </c>
      <c r="H830" s="33">
        <f>28.5582 * CHOOSE(CONTROL!$C$32, $C$9, 100%, $E$9)</f>
        <v>28.558199999999999</v>
      </c>
      <c r="I830" s="33">
        <f>28.5619 * CHOOSE(CONTROL!$C$32, $C$9, 100%, $E$9)</f>
        <v>28.561900000000001</v>
      </c>
      <c r="J830" s="33">
        <f>28.5582 * CHOOSE(CONTROL!$C$32, $C$9, 100%, $E$9)</f>
        <v>28.558199999999999</v>
      </c>
      <c r="K830" s="33">
        <f>28.5619 * CHOOSE(CONTROL!$C$32, $C$9, 100%, $E$9)</f>
        <v>28.561900000000001</v>
      </c>
      <c r="L830" s="33">
        <f>13.9206 * CHOOSE(CONTROL!$C$32, $C$9, 100%, $E$9)</f>
        <v>13.9206</v>
      </c>
      <c r="M830" s="33">
        <f>13.9242 * CHOOSE(CONTROL!$C$32, $C$9, 100%, $E$9)</f>
        <v>13.924200000000001</v>
      </c>
      <c r="N830" s="33">
        <f>13.9206 * CHOOSE(CONTROL!$C$32, $C$9, 100%, $E$9)</f>
        <v>13.9206</v>
      </c>
      <c r="O830" s="33">
        <f>13.9242 * CHOOSE(CONTROL!$C$32, $C$9, 100%, $E$9)</f>
        <v>13.924200000000001</v>
      </c>
    </row>
    <row r="831" spans="1:15" ht="15" x14ac:dyDescent="0.2">
      <c r="A831" s="16">
        <v>66508</v>
      </c>
      <c r="B831" s="32">
        <f>12.3763 * CHOOSE(CONTROL!$C$32, $C$9, 100%, $E$9)</f>
        <v>12.376300000000001</v>
      </c>
      <c r="C831" s="32">
        <f>12.3763 * CHOOSE(CONTROL!$C$32, $C$9, 100%, $E$9)</f>
        <v>12.376300000000001</v>
      </c>
      <c r="D831" s="32">
        <f>12.3774 * CHOOSE(CONTROL!$C$32, $C$9, 100%, $E$9)</f>
        <v>12.3774</v>
      </c>
      <c r="E831" s="33">
        <f>13.5445 * CHOOSE(CONTROL!$C$32, $C$9, 100%, $E$9)</f>
        <v>13.544499999999999</v>
      </c>
      <c r="F831" s="33">
        <f>13.5445 * CHOOSE(CONTROL!$C$32, $C$9, 100%, $E$9)</f>
        <v>13.544499999999999</v>
      </c>
      <c r="G831" s="33">
        <f>13.5481 * CHOOSE(CONTROL!$C$32, $C$9, 100%, $E$9)</f>
        <v>13.5481</v>
      </c>
      <c r="H831" s="33">
        <f>28.6177 * CHOOSE(CONTROL!$C$32, $C$9, 100%, $E$9)</f>
        <v>28.617699999999999</v>
      </c>
      <c r="I831" s="33">
        <f>28.6213 * CHOOSE(CONTROL!$C$32, $C$9, 100%, $E$9)</f>
        <v>28.621300000000002</v>
      </c>
      <c r="J831" s="33">
        <f>28.6177 * CHOOSE(CONTROL!$C$32, $C$9, 100%, $E$9)</f>
        <v>28.617699999999999</v>
      </c>
      <c r="K831" s="33">
        <f>28.6213 * CHOOSE(CONTROL!$C$32, $C$9, 100%, $E$9)</f>
        <v>28.621300000000002</v>
      </c>
      <c r="L831" s="33">
        <f>13.5445 * CHOOSE(CONTROL!$C$32, $C$9, 100%, $E$9)</f>
        <v>13.544499999999999</v>
      </c>
      <c r="M831" s="33">
        <f>13.5481 * CHOOSE(CONTROL!$C$32, $C$9, 100%, $E$9)</f>
        <v>13.5481</v>
      </c>
      <c r="N831" s="33">
        <f>13.5445 * CHOOSE(CONTROL!$C$32, $C$9, 100%, $E$9)</f>
        <v>13.544499999999999</v>
      </c>
      <c r="O831" s="33">
        <f>13.5481 * CHOOSE(CONTROL!$C$32, $C$9, 100%, $E$9)</f>
        <v>13.5481</v>
      </c>
    </row>
    <row r="832" spans="1:15" ht="15" x14ac:dyDescent="0.2">
      <c r="A832" s="16">
        <v>66536</v>
      </c>
      <c r="B832" s="32">
        <f>12.3733 * CHOOSE(CONTROL!$C$32, $C$9, 100%, $E$9)</f>
        <v>12.3733</v>
      </c>
      <c r="C832" s="32">
        <f>12.3733 * CHOOSE(CONTROL!$C$32, $C$9, 100%, $E$9)</f>
        <v>12.3733</v>
      </c>
      <c r="D832" s="32">
        <f>12.3744 * CHOOSE(CONTROL!$C$32, $C$9, 100%, $E$9)</f>
        <v>12.3744</v>
      </c>
      <c r="E832" s="33">
        <f>13.8372 * CHOOSE(CONTROL!$C$32, $C$9, 100%, $E$9)</f>
        <v>13.837199999999999</v>
      </c>
      <c r="F832" s="33">
        <f>13.8372 * CHOOSE(CONTROL!$C$32, $C$9, 100%, $E$9)</f>
        <v>13.837199999999999</v>
      </c>
      <c r="G832" s="33">
        <f>13.8408 * CHOOSE(CONTROL!$C$32, $C$9, 100%, $E$9)</f>
        <v>13.8408</v>
      </c>
      <c r="H832" s="33">
        <f>28.6774 * CHOOSE(CONTROL!$C$32, $C$9, 100%, $E$9)</f>
        <v>28.677399999999999</v>
      </c>
      <c r="I832" s="33">
        <f>28.681 * CHOOSE(CONTROL!$C$32, $C$9, 100%, $E$9)</f>
        <v>28.681000000000001</v>
      </c>
      <c r="J832" s="33">
        <f>28.6774 * CHOOSE(CONTROL!$C$32, $C$9, 100%, $E$9)</f>
        <v>28.677399999999999</v>
      </c>
      <c r="K832" s="33">
        <f>28.681 * CHOOSE(CONTROL!$C$32, $C$9, 100%, $E$9)</f>
        <v>28.681000000000001</v>
      </c>
      <c r="L832" s="33">
        <f>13.8372 * CHOOSE(CONTROL!$C$32, $C$9, 100%, $E$9)</f>
        <v>13.837199999999999</v>
      </c>
      <c r="M832" s="33">
        <f>13.8408 * CHOOSE(CONTROL!$C$32, $C$9, 100%, $E$9)</f>
        <v>13.8408</v>
      </c>
      <c r="N832" s="33">
        <f>13.8372 * CHOOSE(CONTROL!$C$32, $C$9, 100%, $E$9)</f>
        <v>13.837199999999999</v>
      </c>
      <c r="O832" s="33">
        <f>13.8408 * CHOOSE(CONTROL!$C$32, $C$9, 100%, $E$9)</f>
        <v>13.8408</v>
      </c>
    </row>
    <row r="833" spans="1:15" ht="15" x14ac:dyDescent="0.2">
      <c r="A833" s="16">
        <v>66567</v>
      </c>
      <c r="B833" s="32">
        <f>12.3791 * CHOOSE(CONTROL!$C$32, $C$9, 100%, $E$9)</f>
        <v>12.379099999999999</v>
      </c>
      <c r="C833" s="32">
        <f>12.3791 * CHOOSE(CONTROL!$C$32, $C$9, 100%, $E$9)</f>
        <v>12.379099999999999</v>
      </c>
      <c r="D833" s="32">
        <f>12.3801 * CHOOSE(CONTROL!$C$32, $C$9, 100%, $E$9)</f>
        <v>12.380100000000001</v>
      </c>
      <c r="E833" s="33">
        <f>14.1495 * CHOOSE(CONTROL!$C$32, $C$9, 100%, $E$9)</f>
        <v>14.1495</v>
      </c>
      <c r="F833" s="33">
        <f>14.1495 * CHOOSE(CONTROL!$C$32, $C$9, 100%, $E$9)</f>
        <v>14.1495</v>
      </c>
      <c r="G833" s="33">
        <f>14.1532 * CHOOSE(CONTROL!$C$32, $C$9, 100%, $E$9)</f>
        <v>14.1532</v>
      </c>
      <c r="H833" s="33">
        <f>28.7371 * CHOOSE(CONTROL!$C$32, $C$9, 100%, $E$9)</f>
        <v>28.737100000000002</v>
      </c>
      <c r="I833" s="33">
        <f>28.7407 * CHOOSE(CONTROL!$C$32, $C$9, 100%, $E$9)</f>
        <v>28.7407</v>
      </c>
      <c r="J833" s="33">
        <f>28.7371 * CHOOSE(CONTROL!$C$32, $C$9, 100%, $E$9)</f>
        <v>28.737100000000002</v>
      </c>
      <c r="K833" s="33">
        <f>28.7407 * CHOOSE(CONTROL!$C$32, $C$9, 100%, $E$9)</f>
        <v>28.7407</v>
      </c>
      <c r="L833" s="33">
        <f>14.1495 * CHOOSE(CONTROL!$C$32, $C$9, 100%, $E$9)</f>
        <v>14.1495</v>
      </c>
      <c r="M833" s="33">
        <f>14.1532 * CHOOSE(CONTROL!$C$32, $C$9, 100%, $E$9)</f>
        <v>14.1532</v>
      </c>
      <c r="N833" s="33">
        <f>14.1495 * CHOOSE(CONTROL!$C$32, $C$9, 100%, $E$9)</f>
        <v>14.1495</v>
      </c>
      <c r="O833" s="33">
        <f>14.1532 * CHOOSE(CONTROL!$C$32, $C$9, 100%, $E$9)</f>
        <v>14.1532</v>
      </c>
    </row>
    <row r="834" spans="1:15" ht="15" x14ac:dyDescent="0.2">
      <c r="A834" s="16">
        <v>66597</v>
      </c>
      <c r="B834" s="32">
        <f>12.3791 * CHOOSE(CONTROL!$C$32, $C$9, 100%, $E$9)</f>
        <v>12.379099999999999</v>
      </c>
      <c r="C834" s="32">
        <f>12.3791 * CHOOSE(CONTROL!$C$32, $C$9, 100%, $E$9)</f>
        <v>12.379099999999999</v>
      </c>
      <c r="D834" s="32">
        <f>12.3806 * CHOOSE(CONTROL!$C$32, $C$9, 100%, $E$9)</f>
        <v>12.380599999999999</v>
      </c>
      <c r="E834" s="33">
        <f>14.2683 * CHOOSE(CONTROL!$C$32, $C$9, 100%, $E$9)</f>
        <v>14.2683</v>
      </c>
      <c r="F834" s="33">
        <f>14.2683 * CHOOSE(CONTROL!$C$32, $C$9, 100%, $E$9)</f>
        <v>14.2683</v>
      </c>
      <c r="G834" s="33">
        <f>14.2736 * CHOOSE(CONTROL!$C$32, $C$9, 100%, $E$9)</f>
        <v>14.2736</v>
      </c>
      <c r="H834" s="33">
        <f>28.797 * CHOOSE(CONTROL!$C$32, $C$9, 100%, $E$9)</f>
        <v>28.797000000000001</v>
      </c>
      <c r="I834" s="33">
        <f>28.8023 * CHOOSE(CONTROL!$C$32, $C$9, 100%, $E$9)</f>
        <v>28.802299999999999</v>
      </c>
      <c r="J834" s="33">
        <f>28.797 * CHOOSE(CONTROL!$C$32, $C$9, 100%, $E$9)</f>
        <v>28.797000000000001</v>
      </c>
      <c r="K834" s="33">
        <f>28.8023 * CHOOSE(CONTROL!$C$32, $C$9, 100%, $E$9)</f>
        <v>28.802299999999999</v>
      </c>
      <c r="L834" s="33">
        <f>14.2683 * CHOOSE(CONTROL!$C$32, $C$9, 100%, $E$9)</f>
        <v>14.2683</v>
      </c>
      <c r="M834" s="33">
        <f>14.2736 * CHOOSE(CONTROL!$C$32, $C$9, 100%, $E$9)</f>
        <v>14.2736</v>
      </c>
      <c r="N834" s="33">
        <f>14.2683 * CHOOSE(CONTROL!$C$32, $C$9, 100%, $E$9)</f>
        <v>14.2683</v>
      </c>
      <c r="O834" s="33">
        <f>14.2736 * CHOOSE(CONTROL!$C$32, $C$9, 100%, $E$9)</f>
        <v>14.2736</v>
      </c>
    </row>
    <row r="835" spans="1:15" ht="15" x14ac:dyDescent="0.2">
      <c r="A835" s="16">
        <v>66628</v>
      </c>
      <c r="B835" s="32">
        <f>12.3851 * CHOOSE(CONTROL!$C$32, $C$9, 100%, $E$9)</f>
        <v>12.3851</v>
      </c>
      <c r="C835" s="32">
        <f>12.3851 * CHOOSE(CONTROL!$C$32, $C$9, 100%, $E$9)</f>
        <v>12.3851</v>
      </c>
      <c r="D835" s="32">
        <f>12.3867 * CHOOSE(CONTROL!$C$32, $C$9, 100%, $E$9)</f>
        <v>12.386699999999999</v>
      </c>
      <c r="E835" s="33">
        <f>14.1538 * CHOOSE(CONTROL!$C$32, $C$9, 100%, $E$9)</f>
        <v>14.1538</v>
      </c>
      <c r="F835" s="33">
        <f>14.1538 * CHOOSE(CONTROL!$C$32, $C$9, 100%, $E$9)</f>
        <v>14.1538</v>
      </c>
      <c r="G835" s="33">
        <f>14.1591 * CHOOSE(CONTROL!$C$32, $C$9, 100%, $E$9)</f>
        <v>14.1591</v>
      </c>
      <c r="H835" s="33">
        <f>28.857 * CHOOSE(CONTROL!$C$32, $C$9, 100%, $E$9)</f>
        <v>28.856999999999999</v>
      </c>
      <c r="I835" s="33">
        <f>28.8623 * CHOOSE(CONTROL!$C$32, $C$9, 100%, $E$9)</f>
        <v>28.862300000000001</v>
      </c>
      <c r="J835" s="33">
        <f>28.857 * CHOOSE(CONTROL!$C$32, $C$9, 100%, $E$9)</f>
        <v>28.856999999999999</v>
      </c>
      <c r="K835" s="33">
        <f>28.8623 * CHOOSE(CONTROL!$C$32, $C$9, 100%, $E$9)</f>
        <v>28.862300000000001</v>
      </c>
      <c r="L835" s="33">
        <f>14.1538 * CHOOSE(CONTROL!$C$32, $C$9, 100%, $E$9)</f>
        <v>14.1538</v>
      </c>
      <c r="M835" s="33">
        <f>14.1591 * CHOOSE(CONTROL!$C$32, $C$9, 100%, $E$9)</f>
        <v>14.1591</v>
      </c>
      <c r="N835" s="33">
        <f>14.1538 * CHOOSE(CONTROL!$C$32, $C$9, 100%, $E$9)</f>
        <v>14.1538</v>
      </c>
      <c r="O835" s="33">
        <f>14.1591 * CHOOSE(CONTROL!$C$32, $C$9, 100%, $E$9)</f>
        <v>14.1591</v>
      </c>
    </row>
    <row r="836" spans="1:15" ht="15" x14ac:dyDescent="0.2">
      <c r="A836" s="16">
        <v>66658</v>
      </c>
      <c r="B836" s="32">
        <f>12.5357 * CHOOSE(CONTROL!$C$32, $C$9, 100%, $E$9)</f>
        <v>12.5357</v>
      </c>
      <c r="C836" s="32">
        <f>12.5357 * CHOOSE(CONTROL!$C$32, $C$9, 100%, $E$9)</f>
        <v>12.5357</v>
      </c>
      <c r="D836" s="32">
        <f>12.5373 * CHOOSE(CONTROL!$C$32, $C$9, 100%, $E$9)</f>
        <v>12.5373</v>
      </c>
      <c r="E836" s="33">
        <f>14.3539 * CHOOSE(CONTROL!$C$32, $C$9, 100%, $E$9)</f>
        <v>14.353899999999999</v>
      </c>
      <c r="F836" s="33">
        <f>14.3539 * CHOOSE(CONTROL!$C$32, $C$9, 100%, $E$9)</f>
        <v>14.353899999999999</v>
      </c>
      <c r="G836" s="33">
        <f>14.3591 * CHOOSE(CONTROL!$C$32, $C$9, 100%, $E$9)</f>
        <v>14.3591</v>
      </c>
      <c r="H836" s="33">
        <f>28.9171 * CHOOSE(CONTROL!$C$32, $C$9, 100%, $E$9)</f>
        <v>28.917100000000001</v>
      </c>
      <c r="I836" s="33">
        <f>28.9224 * CHOOSE(CONTROL!$C$32, $C$9, 100%, $E$9)</f>
        <v>28.9224</v>
      </c>
      <c r="J836" s="33">
        <f>28.9171 * CHOOSE(CONTROL!$C$32, $C$9, 100%, $E$9)</f>
        <v>28.917100000000001</v>
      </c>
      <c r="K836" s="33">
        <f>28.9224 * CHOOSE(CONTROL!$C$32, $C$9, 100%, $E$9)</f>
        <v>28.9224</v>
      </c>
      <c r="L836" s="33">
        <f>14.3539 * CHOOSE(CONTROL!$C$32, $C$9, 100%, $E$9)</f>
        <v>14.353899999999999</v>
      </c>
      <c r="M836" s="33">
        <f>14.3591 * CHOOSE(CONTROL!$C$32, $C$9, 100%, $E$9)</f>
        <v>14.3591</v>
      </c>
      <c r="N836" s="33">
        <f>14.3539 * CHOOSE(CONTROL!$C$32, $C$9, 100%, $E$9)</f>
        <v>14.353899999999999</v>
      </c>
      <c r="O836" s="33">
        <f>14.3591 * CHOOSE(CONTROL!$C$32, $C$9, 100%, $E$9)</f>
        <v>14.3591</v>
      </c>
    </row>
    <row r="837" spans="1:15" ht="15" x14ac:dyDescent="0.2">
      <c r="A837" s="16">
        <v>66689</v>
      </c>
      <c r="B837" s="32">
        <f>12.5424 * CHOOSE(CONTROL!$C$32, $C$9, 100%, $E$9)</f>
        <v>12.542400000000001</v>
      </c>
      <c r="C837" s="32">
        <f>12.5424 * CHOOSE(CONTROL!$C$32, $C$9, 100%, $E$9)</f>
        <v>12.542400000000001</v>
      </c>
      <c r="D837" s="32">
        <f>12.544 * CHOOSE(CONTROL!$C$32, $C$9, 100%, $E$9)</f>
        <v>12.544</v>
      </c>
      <c r="E837" s="33">
        <f>14.0024 * CHOOSE(CONTROL!$C$32, $C$9, 100%, $E$9)</f>
        <v>14.0024</v>
      </c>
      <c r="F837" s="33">
        <f>14.0024 * CHOOSE(CONTROL!$C$32, $C$9, 100%, $E$9)</f>
        <v>14.0024</v>
      </c>
      <c r="G837" s="33">
        <f>14.0076 * CHOOSE(CONTROL!$C$32, $C$9, 100%, $E$9)</f>
        <v>14.0076</v>
      </c>
      <c r="H837" s="33">
        <f>28.9773 * CHOOSE(CONTROL!$C$32, $C$9, 100%, $E$9)</f>
        <v>28.9773</v>
      </c>
      <c r="I837" s="33">
        <f>28.9826 * CHOOSE(CONTROL!$C$32, $C$9, 100%, $E$9)</f>
        <v>28.982600000000001</v>
      </c>
      <c r="J837" s="33">
        <f>28.9773 * CHOOSE(CONTROL!$C$32, $C$9, 100%, $E$9)</f>
        <v>28.9773</v>
      </c>
      <c r="K837" s="33">
        <f>28.9826 * CHOOSE(CONTROL!$C$32, $C$9, 100%, $E$9)</f>
        <v>28.982600000000001</v>
      </c>
      <c r="L837" s="33">
        <f>14.0024 * CHOOSE(CONTROL!$C$32, $C$9, 100%, $E$9)</f>
        <v>14.0024</v>
      </c>
      <c r="M837" s="33">
        <f>14.0076 * CHOOSE(CONTROL!$C$32, $C$9, 100%, $E$9)</f>
        <v>14.0076</v>
      </c>
      <c r="N837" s="33">
        <f>14.0024 * CHOOSE(CONTROL!$C$32, $C$9, 100%, $E$9)</f>
        <v>14.0024</v>
      </c>
      <c r="O837" s="33">
        <f>14.0076 * CHOOSE(CONTROL!$C$32, $C$9, 100%, $E$9)</f>
        <v>14.0076</v>
      </c>
    </row>
    <row r="838" spans="1:15" ht="15" x14ac:dyDescent="0.2">
      <c r="A838" s="16">
        <v>66720</v>
      </c>
      <c r="B838" s="32">
        <f>12.5393 * CHOOSE(CONTROL!$C$32, $C$9, 100%, $E$9)</f>
        <v>12.539300000000001</v>
      </c>
      <c r="C838" s="32">
        <f>12.5393 * CHOOSE(CONTROL!$C$32, $C$9, 100%, $E$9)</f>
        <v>12.539300000000001</v>
      </c>
      <c r="D838" s="32">
        <f>12.5409 * CHOOSE(CONTROL!$C$32, $C$9, 100%, $E$9)</f>
        <v>12.540900000000001</v>
      </c>
      <c r="E838" s="33">
        <f>13.9607 * CHOOSE(CONTROL!$C$32, $C$9, 100%, $E$9)</f>
        <v>13.960699999999999</v>
      </c>
      <c r="F838" s="33">
        <f>13.9607 * CHOOSE(CONTROL!$C$32, $C$9, 100%, $E$9)</f>
        <v>13.960699999999999</v>
      </c>
      <c r="G838" s="33">
        <f>13.966 * CHOOSE(CONTROL!$C$32, $C$9, 100%, $E$9)</f>
        <v>13.965999999999999</v>
      </c>
      <c r="H838" s="33">
        <f>29.0377 * CHOOSE(CONTROL!$C$32, $C$9, 100%, $E$9)</f>
        <v>29.037700000000001</v>
      </c>
      <c r="I838" s="33">
        <f>29.043 * CHOOSE(CONTROL!$C$32, $C$9, 100%, $E$9)</f>
        <v>29.042999999999999</v>
      </c>
      <c r="J838" s="33">
        <f>29.0377 * CHOOSE(CONTROL!$C$32, $C$9, 100%, $E$9)</f>
        <v>29.037700000000001</v>
      </c>
      <c r="K838" s="33">
        <f>29.043 * CHOOSE(CONTROL!$C$32, $C$9, 100%, $E$9)</f>
        <v>29.042999999999999</v>
      </c>
      <c r="L838" s="33">
        <f>13.9607 * CHOOSE(CONTROL!$C$32, $C$9, 100%, $E$9)</f>
        <v>13.960699999999999</v>
      </c>
      <c r="M838" s="33">
        <f>13.966 * CHOOSE(CONTROL!$C$32, $C$9, 100%, $E$9)</f>
        <v>13.965999999999999</v>
      </c>
      <c r="N838" s="33">
        <f>13.9607 * CHOOSE(CONTROL!$C$32, $C$9, 100%, $E$9)</f>
        <v>13.960699999999999</v>
      </c>
      <c r="O838" s="33">
        <f>13.966 * CHOOSE(CONTROL!$C$32, $C$9, 100%, $E$9)</f>
        <v>13.965999999999999</v>
      </c>
    </row>
    <row r="839" spans="1:15" ht="15" x14ac:dyDescent="0.2">
      <c r="A839" s="16">
        <v>66750</v>
      </c>
      <c r="B839" s="32">
        <f>12.5663 * CHOOSE(CONTROL!$C$32, $C$9, 100%, $E$9)</f>
        <v>12.5663</v>
      </c>
      <c r="C839" s="32">
        <f>12.5663 * CHOOSE(CONTROL!$C$32, $C$9, 100%, $E$9)</f>
        <v>12.5663</v>
      </c>
      <c r="D839" s="32">
        <f>12.5674 * CHOOSE(CONTROL!$C$32, $C$9, 100%, $E$9)</f>
        <v>12.567399999999999</v>
      </c>
      <c r="E839" s="33">
        <f>14.1055 * CHOOSE(CONTROL!$C$32, $C$9, 100%, $E$9)</f>
        <v>14.105499999999999</v>
      </c>
      <c r="F839" s="33">
        <f>14.1055 * CHOOSE(CONTROL!$C$32, $C$9, 100%, $E$9)</f>
        <v>14.105499999999999</v>
      </c>
      <c r="G839" s="33">
        <f>14.1092 * CHOOSE(CONTROL!$C$32, $C$9, 100%, $E$9)</f>
        <v>14.1092</v>
      </c>
      <c r="H839" s="33">
        <f>29.0982 * CHOOSE(CONTROL!$C$32, $C$9, 100%, $E$9)</f>
        <v>29.098199999999999</v>
      </c>
      <c r="I839" s="33">
        <f>29.1018 * CHOOSE(CONTROL!$C$32, $C$9, 100%, $E$9)</f>
        <v>29.101800000000001</v>
      </c>
      <c r="J839" s="33">
        <f>29.0982 * CHOOSE(CONTROL!$C$32, $C$9, 100%, $E$9)</f>
        <v>29.098199999999999</v>
      </c>
      <c r="K839" s="33">
        <f>29.1018 * CHOOSE(CONTROL!$C$32, $C$9, 100%, $E$9)</f>
        <v>29.101800000000001</v>
      </c>
      <c r="L839" s="33">
        <f>14.1055 * CHOOSE(CONTROL!$C$32, $C$9, 100%, $E$9)</f>
        <v>14.105499999999999</v>
      </c>
      <c r="M839" s="33">
        <f>14.1092 * CHOOSE(CONTROL!$C$32, $C$9, 100%, $E$9)</f>
        <v>14.1092</v>
      </c>
      <c r="N839" s="33">
        <f>14.1055 * CHOOSE(CONTROL!$C$32, $C$9, 100%, $E$9)</f>
        <v>14.105499999999999</v>
      </c>
      <c r="O839" s="33">
        <f>14.1092 * CHOOSE(CONTROL!$C$32, $C$9, 100%, $E$9)</f>
        <v>14.1092</v>
      </c>
    </row>
    <row r="840" spans="1:15" ht="15" x14ac:dyDescent="0.2">
      <c r="A840" s="16">
        <v>66781</v>
      </c>
      <c r="B840" s="32">
        <f>12.5694 * CHOOSE(CONTROL!$C$32, $C$9, 100%, $E$9)</f>
        <v>12.5694</v>
      </c>
      <c r="C840" s="32">
        <f>12.5694 * CHOOSE(CONTROL!$C$32, $C$9, 100%, $E$9)</f>
        <v>12.5694</v>
      </c>
      <c r="D840" s="32">
        <f>12.5704 * CHOOSE(CONTROL!$C$32, $C$9, 100%, $E$9)</f>
        <v>12.570399999999999</v>
      </c>
      <c r="E840" s="33">
        <f>14.1868 * CHOOSE(CONTROL!$C$32, $C$9, 100%, $E$9)</f>
        <v>14.1868</v>
      </c>
      <c r="F840" s="33">
        <f>14.1868 * CHOOSE(CONTROL!$C$32, $C$9, 100%, $E$9)</f>
        <v>14.1868</v>
      </c>
      <c r="G840" s="33">
        <f>14.1904 * CHOOSE(CONTROL!$C$32, $C$9, 100%, $E$9)</f>
        <v>14.1904</v>
      </c>
      <c r="H840" s="33">
        <f>29.1588 * CHOOSE(CONTROL!$C$32, $C$9, 100%, $E$9)</f>
        <v>29.158799999999999</v>
      </c>
      <c r="I840" s="33">
        <f>29.1624 * CHOOSE(CONTROL!$C$32, $C$9, 100%, $E$9)</f>
        <v>29.162400000000002</v>
      </c>
      <c r="J840" s="33">
        <f>29.1588 * CHOOSE(CONTROL!$C$32, $C$9, 100%, $E$9)</f>
        <v>29.158799999999999</v>
      </c>
      <c r="K840" s="33">
        <f>29.1624 * CHOOSE(CONTROL!$C$32, $C$9, 100%, $E$9)</f>
        <v>29.162400000000002</v>
      </c>
      <c r="L840" s="33">
        <f>14.1868 * CHOOSE(CONTROL!$C$32, $C$9, 100%, $E$9)</f>
        <v>14.1868</v>
      </c>
      <c r="M840" s="33">
        <f>14.1904 * CHOOSE(CONTROL!$C$32, $C$9, 100%, $E$9)</f>
        <v>14.1904</v>
      </c>
      <c r="N840" s="33">
        <f>14.1868 * CHOOSE(CONTROL!$C$32, $C$9, 100%, $E$9)</f>
        <v>14.1868</v>
      </c>
      <c r="O840" s="33">
        <f>14.1904 * CHOOSE(CONTROL!$C$32, $C$9, 100%, $E$9)</f>
        <v>14.1904</v>
      </c>
    </row>
    <row r="841" spans="1:15" ht="15" x14ac:dyDescent="0.2">
      <c r="A841" s="16">
        <v>66811</v>
      </c>
      <c r="B841" s="32">
        <f>12.5694 * CHOOSE(CONTROL!$C$32, $C$9, 100%, $E$9)</f>
        <v>12.5694</v>
      </c>
      <c r="C841" s="32">
        <f>12.5694 * CHOOSE(CONTROL!$C$32, $C$9, 100%, $E$9)</f>
        <v>12.5694</v>
      </c>
      <c r="D841" s="32">
        <f>12.5704 * CHOOSE(CONTROL!$C$32, $C$9, 100%, $E$9)</f>
        <v>12.570399999999999</v>
      </c>
      <c r="E841" s="33">
        <f>13.9889 * CHOOSE(CONTROL!$C$32, $C$9, 100%, $E$9)</f>
        <v>13.988899999999999</v>
      </c>
      <c r="F841" s="33">
        <f>13.9889 * CHOOSE(CONTROL!$C$32, $C$9, 100%, $E$9)</f>
        <v>13.988899999999999</v>
      </c>
      <c r="G841" s="33">
        <f>13.9926 * CHOOSE(CONTROL!$C$32, $C$9, 100%, $E$9)</f>
        <v>13.992599999999999</v>
      </c>
      <c r="H841" s="33">
        <f>29.2196 * CHOOSE(CONTROL!$C$32, $C$9, 100%, $E$9)</f>
        <v>29.2196</v>
      </c>
      <c r="I841" s="33">
        <f>29.2232 * CHOOSE(CONTROL!$C$32, $C$9, 100%, $E$9)</f>
        <v>29.223199999999999</v>
      </c>
      <c r="J841" s="33">
        <f>29.2196 * CHOOSE(CONTROL!$C$32, $C$9, 100%, $E$9)</f>
        <v>29.2196</v>
      </c>
      <c r="K841" s="33">
        <f>29.2232 * CHOOSE(CONTROL!$C$32, $C$9, 100%, $E$9)</f>
        <v>29.223199999999999</v>
      </c>
      <c r="L841" s="33">
        <f>13.9889 * CHOOSE(CONTROL!$C$32, $C$9, 100%, $E$9)</f>
        <v>13.988899999999999</v>
      </c>
      <c r="M841" s="33">
        <f>13.9926 * CHOOSE(CONTROL!$C$32, $C$9, 100%, $E$9)</f>
        <v>13.992599999999999</v>
      </c>
      <c r="N841" s="33">
        <f>13.9889 * CHOOSE(CONTROL!$C$32, $C$9, 100%, $E$9)</f>
        <v>13.988899999999999</v>
      </c>
      <c r="O841" s="33">
        <f>13.9926 * CHOOSE(CONTROL!$C$32, $C$9, 100%, $E$9)</f>
        <v>13.992599999999999</v>
      </c>
    </row>
    <row r="842" spans="1:15" ht="15" x14ac:dyDescent="0.2">
      <c r="A842" s="16">
        <v>66842</v>
      </c>
      <c r="B842" s="32">
        <f>12.5667 * CHOOSE(CONTROL!$C$32, $C$9, 100%, $E$9)</f>
        <v>12.566700000000001</v>
      </c>
      <c r="C842" s="32">
        <f>12.5667 * CHOOSE(CONTROL!$C$32, $C$9, 100%, $E$9)</f>
        <v>12.566700000000001</v>
      </c>
      <c r="D842" s="32">
        <f>12.5678 * CHOOSE(CONTROL!$C$32, $C$9, 100%, $E$9)</f>
        <v>12.5678</v>
      </c>
      <c r="E842" s="33">
        <f>14.1331 * CHOOSE(CONTROL!$C$32, $C$9, 100%, $E$9)</f>
        <v>14.133100000000001</v>
      </c>
      <c r="F842" s="33">
        <f>14.1331 * CHOOSE(CONTROL!$C$32, $C$9, 100%, $E$9)</f>
        <v>14.133100000000001</v>
      </c>
      <c r="G842" s="33">
        <f>14.1367 * CHOOSE(CONTROL!$C$32, $C$9, 100%, $E$9)</f>
        <v>14.136699999999999</v>
      </c>
      <c r="H842" s="33">
        <f>29.0223 * CHOOSE(CONTROL!$C$32, $C$9, 100%, $E$9)</f>
        <v>29.022300000000001</v>
      </c>
      <c r="I842" s="33">
        <f>29.0259 * CHOOSE(CONTROL!$C$32, $C$9, 100%, $E$9)</f>
        <v>29.0259</v>
      </c>
      <c r="J842" s="33">
        <f>29.0223 * CHOOSE(CONTROL!$C$32, $C$9, 100%, $E$9)</f>
        <v>29.022300000000001</v>
      </c>
      <c r="K842" s="33">
        <f>29.0259 * CHOOSE(CONTROL!$C$32, $C$9, 100%, $E$9)</f>
        <v>29.0259</v>
      </c>
      <c r="L842" s="33">
        <f>14.1331 * CHOOSE(CONTROL!$C$32, $C$9, 100%, $E$9)</f>
        <v>14.133100000000001</v>
      </c>
      <c r="M842" s="33">
        <f>14.1367 * CHOOSE(CONTROL!$C$32, $C$9, 100%, $E$9)</f>
        <v>14.136699999999999</v>
      </c>
      <c r="N842" s="33">
        <f>14.1331 * CHOOSE(CONTROL!$C$32, $C$9, 100%, $E$9)</f>
        <v>14.133100000000001</v>
      </c>
      <c r="O842" s="33">
        <f>14.1367 * CHOOSE(CONTROL!$C$32, $C$9, 100%, $E$9)</f>
        <v>14.136699999999999</v>
      </c>
    </row>
    <row r="843" spans="1:15" ht="15" x14ac:dyDescent="0.2">
      <c r="A843" s="16">
        <v>66873</v>
      </c>
      <c r="B843" s="32">
        <f>12.5637 * CHOOSE(CONTROL!$C$32, $C$9, 100%, $E$9)</f>
        <v>12.563700000000001</v>
      </c>
      <c r="C843" s="32">
        <f>12.5637 * CHOOSE(CONTROL!$C$32, $C$9, 100%, $E$9)</f>
        <v>12.563700000000001</v>
      </c>
      <c r="D843" s="32">
        <f>12.5648 * CHOOSE(CONTROL!$C$32, $C$9, 100%, $E$9)</f>
        <v>12.5648</v>
      </c>
      <c r="E843" s="33">
        <f>13.7499 * CHOOSE(CONTROL!$C$32, $C$9, 100%, $E$9)</f>
        <v>13.7499</v>
      </c>
      <c r="F843" s="33">
        <f>13.7499 * CHOOSE(CONTROL!$C$32, $C$9, 100%, $E$9)</f>
        <v>13.7499</v>
      </c>
      <c r="G843" s="33">
        <f>13.7535 * CHOOSE(CONTROL!$C$32, $C$9, 100%, $E$9)</f>
        <v>13.753500000000001</v>
      </c>
      <c r="H843" s="33">
        <f>29.0827 * CHOOSE(CONTROL!$C$32, $C$9, 100%, $E$9)</f>
        <v>29.082699999999999</v>
      </c>
      <c r="I843" s="33">
        <f>29.0863 * CHOOSE(CONTROL!$C$32, $C$9, 100%, $E$9)</f>
        <v>29.086300000000001</v>
      </c>
      <c r="J843" s="33">
        <f>29.0827 * CHOOSE(CONTROL!$C$32, $C$9, 100%, $E$9)</f>
        <v>29.082699999999999</v>
      </c>
      <c r="K843" s="33">
        <f>29.0863 * CHOOSE(CONTROL!$C$32, $C$9, 100%, $E$9)</f>
        <v>29.086300000000001</v>
      </c>
      <c r="L843" s="33">
        <f>13.7499 * CHOOSE(CONTROL!$C$32, $C$9, 100%, $E$9)</f>
        <v>13.7499</v>
      </c>
      <c r="M843" s="33">
        <f>13.7535 * CHOOSE(CONTROL!$C$32, $C$9, 100%, $E$9)</f>
        <v>13.753500000000001</v>
      </c>
      <c r="N843" s="33">
        <f>13.7499 * CHOOSE(CONTROL!$C$32, $C$9, 100%, $E$9)</f>
        <v>13.7499</v>
      </c>
      <c r="O843" s="33">
        <f>13.7535 * CHOOSE(CONTROL!$C$32, $C$9, 100%, $E$9)</f>
        <v>13.753500000000001</v>
      </c>
    </row>
    <row r="844" spans="1:15" ht="15" x14ac:dyDescent="0.2">
      <c r="A844" s="16">
        <v>66901</v>
      </c>
      <c r="B844" s="32">
        <f>12.5606 * CHOOSE(CONTROL!$C$32, $C$9, 100%, $E$9)</f>
        <v>12.560600000000001</v>
      </c>
      <c r="C844" s="32">
        <f>12.5606 * CHOOSE(CONTROL!$C$32, $C$9, 100%, $E$9)</f>
        <v>12.560600000000001</v>
      </c>
      <c r="D844" s="32">
        <f>12.5617 * CHOOSE(CONTROL!$C$32, $C$9, 100%, $E$9)</f>
        <v>12.5617</v>
      </c>
      <c r="E844" s="33">
        <f>14.0482 * CHOOSE(CONTROL!$C$32, $C$9, 100%, $E$9)</f>
        <v>14.0482</v>
      </c>
      <c r="F844" s="33">
        <f>14.0482 * CHOOSE(CONTROL!$C$32, $C$9, 100%, $E$9)</f>
        <v>14.0482</v>
      </c>
      <c r="G844" s="33">
        <f>14.0518 * CHOOSE(CONTROL!$C$32, $C$9, 100%, $E$9)</f>
        <v>14.0518</v>
      </c>
      <c r="H844" s="33">
        <f>29.1433 * CHOOSE(CONTROL!$C$32, $C$9, 100%, $E$9)</f>
        <v>29.1433</v>
      </c>
      <c r="I844" s="33">
        <f>29.1469 * CHOOSE(CONTROL!$C$32, $C$9, 100%, $E$9)</f>
        <v>29.146899999999999</v>
      </c>
      <c r="J844" s="33">
        <f>29.1433 * CHOOSE(CONTROL!$C$32, $C$9, 100%, $E$9)</f>
        <v>29.1433</v>
      </c>
      <c r="K844" s="33">
        <f>29.1469 * CHOOSE(CONTROL!$C$32, $C$9, 100%, $E$9)</f>
        <v>29.146899999999999</v>
      </c>
      <c r="L844" s="33">
        <f>14.0482 * CHOOSE(CONTROL!$C$32, $C$9, 100%, $E$9)</f>
        <v>14.0482</v>
      </c>
      <c r="M844" s="33">
        <f>14.0518 * CHOOSE(CONTROL!$C$32, $C$9, 100%, $E$9)</f>
        <v>14.0518</v>
      </c>
      <c r="N844" s="33">
        <f>14.0482 * CHOOSE(CONTROL!$C$32, $C$9, 100%, $E$9)</f>
        <v>14.0482</v>
      </c>
      <c r="O844" s="33">
        <f>14.0518 * CHOOSE(CONTROL!$C$32, $C$9, 100%, $E$9)</f>
        <v>14.0518</v>
      </c>
    </row>
    <row r="845" spans="1:15" ht="15" x14ac:dyDescent="0.2">
      <c r="A845" s="16">
        <v>66932</v>
      </c>
      <c r="B845" s="32">
        <f>12.5666 * CHOOSE(CONTROL!$C$32, $C$9, 100%, $E$9)</f>
        <v>12.566599999999999</v>
      </c>
      <c r="C845" s="32">
        <f>12.5666 * CHOOSE(CONTROL!$C$32, $C$9, 100%, $E$9)</f>
        <v>12.566599999999999</v>
      </c>
      <c r="D845" s="32">
        <f>12.5677 * CHOOSE(CONTROL!$C$32, $C$9, 100%, $E$9)</f>
        <v>12.5677</v>
      </c>
      <c r="E845" s="33">
        <f>14.3665 * CHOOSE(CONTROL!$C$32, $C$9, 100%, $E$9)</f>
        <v>14.3665</v>
      </c>
      <c r="F845" s="33">
        <f>14.3665 * CHOOSE(CONTROL!$C$32, $C$9, 100%, $E$9)</f>
        <v>14.3665</v>
      </c>
      <c r="G845" s="33">
        <f>14.3702 * CHOOSE(CONTROL!$C$32, $C$9, 100%, $E$9)</f>
        <v>14.370200000000001</v>
      </c>
      <c r="H845" s="33">
        <f>29.204 * CHOOSE(CONTROL!$C$32, $C$9, 100%, $E$9)</f>
        <v>29.204000000000001</v>
      </c>
      <c r="I845" s="33">
        <f>29.2077 * CHOOSE(CONTROL!$C$32, $C$9, 100%, $E$9)</f>
        <v>29.207699999999999</v>
      </c>
      <c r="J845" s="33">
        <f>29.204 * CHOOSE(CONTROL!$C$32, $C$9, 100%, $E$9)</f>
        <v>29.204000000000001</v>
      </c>
      <c r="K845" s="33">
        <f>29.2077 * CHOOSE(CONTROL!$C$32, $C$9, 100%, $E$9)</f>
        <v>29.207699999999999</v>
      </c>
      <c r="L845" s="33">
        <f>14.3665 * CHOOSE(CONTROL!$C$32, $C$9, 100%, $E$9)</f>
        <v>14.3665</v>
      </c>
      <c r="M845" s="33">
        <f>14.3702 * CHOOSE(CONTROL!$C$32, $C$9, 100%, $E$9)</f>
        <v>14.370200000000001</v>
      </c>
      <c r="N845" s="33">
        <f>14.3665 * CHOOSE(CONTROL!$C$32, $C$9, 100%, $E$9)</f>
        <v>14.3665</v>
      </c>
      <c r="O845" s="33">
        <f>14.3702 * CHOOSE(CONTROL!$C$32, $C$9, 100%, $E$9)</f>
        <v>14.370200000000001</v>
      </c>
    </row>
    <row r="846" spans="1:15" ht="15" x14ac:dyDescent="0.2">
      <c r="A846" s="16">
        <v>66962</v>
      </c>
      <c r="B846" s="32">
        <f>12.5666 * CHOOSE(CONTROL!$C$32, $C$9, 100%, $E$9)</f>
        <v>12.566599999999999</v>
      </c>
      <c r="C846" s="32">
        <f>12.5666 * CHOOSE(CONTROL!$C$32, $C$9, 100%, $E$9)</f>
        <v>12.566599999999999</v>
      </c>
      <c r="D846" s="32">
        <f>12.5682 * CHOOSE(CONTROL!$C$32, $C$9, 100%, $E$9)</f>
        <v>12.568199999999999</v>
      </c>
      <c r="E846" s="33">
        <f>14.4875 * CHOOSE(CONTROL!$C$32, $C$9, 100%, $E$9)</f>
        <v>14.487500000000001</v>
      </c>
      <c r="F846" s="33">
        <f>14.4875 * CHOOSE(CONTROL!$C$32, $C$9, 100%, $E$9)</f>
        <v>14.487500000000001</v>
      </c>
      <c r="G846" s="33">
        <f>14.4928 * CHOOSE(CONTROL!$C$32, $C$9, 100%, $E$9)</f>
        <v>14.492800000000001</v>
      </c>
      <c r="H846" s="33">
        <f>29.2649 * CHOOSE(CONTROL!$C$32, $C$9, 100%, $E$9)</f>
        <v>29.264900000000001</v>
      </c>
      <c r="I846" s="33">
        <f>29.2702 * CHOOSE(CONTROL!$C$32, $C$9, 100%, $E$9)</f>
        <v>29.270199999999999</v>
      </c>
      <c r="J846" s="33">
        <f>29.2649 * CHOOSE(CONTROL!$C$32, $C$9, 100%, $E$9)</f>
        <v>29.264900000000001</v>
      </c>
      <c r="K846" s="33">
        <f>29.2702 * CHOOSE(CONTROL!$C$32, $C$9, 100%, $E$9)</f>
        <v>29.270199999999999</v>
      </c>
      <c r="L846" s="33">
        <f>14.4875 * CHOOSE(CONTROL!$C$32, $C$9, 100%, $E$9)</f>
        <v>14.487500000000001</v>
      </c>
      <c r="M846" s="33">
        <f>14.4928 * CHOOSE(CONTROL!$C$32, $C$9, 100%, $E$9)</f>
        <v>14.492800000000001</v>
      </c>
      <c r="N846" s="33">
        <f>14.4875 * CHOOSE(CONTROL!$C$32, $C$9, 100%, $E$9)</f>
        <v>14.487500000000001</v>
      </c>
      <c r="O846" s="33">
        <f>14.4928 * CHOOSE(CONTROL!$C$32, $C$9, 100%, $E$9)</f>
        <v>14.492800000000001</v>
      </c>
    </row>
    <row r="847" spans="1:15" ht="15" x14ac:dyDescent="0.2">
      <c r="A847" s="16">
        <v>66993</v>
      </c>
      <c r="B847" s="32">
        <f>12.5727 * CHOOSE(CONTROL!$C$32, $C$9, 100%, $E$9)</f>
        <v>12.572699999999999</v>
      </c>
      <c r="C847" s="32">
        <f>12.5727 * CHOOSE(CONTROL!$C$32, $C$9, 100%, $E$9)</f>
        <v>12.572699999999999</v>
      </c>
      <c r="D847" s="32">
        <f>12.5743 * CHOOSE(CONTROL!$C$32, $C$9, 100%, $E$9)</f>
        <v>12.574299999999999</v>
      </c>
      <c r="E847" s="33">
        <f>14.3708 * CHOOSE(CONTROL!$C$32, $C$9, 100%, $E$9)</f>
        <v>14.370799999999999</v>
      </c>
      <c r="F847" s="33">
        <f>14.3708 * CHOOSE(CONTROL!$C$32, $C$9, 100%, $E$9)</f>
        <v>14.370799999999999</v>
      </c>
      <c r="G847" s="33">
        <f>14.3761 * CHOOSE(CONTROL!$C$32, $C$9, 100%, $E$9)</f>
        <v>14.376099999999999</v>
      </c>
      <c r="H847" s="33">
        <f>29.3258 * CHOOSE(CONTROL!$C$32, $C$9, 100%, $E$9)</f>
        <v>29.325800000000001</v>
      </c>
      <c r="I847" s="33">
        <f>29.3311 * CHOOSE(CONTROL!$C$32, $C$9, 100%, $E$9)</f>
        <v>29.331099999999999</v>
      </c>
      <c r="J847" s="33">
        <f>29.3258 * CHOOSE(CONTROL!$C$32, $C$9, 100%, $E$9)</f>
        <v>29.325800000000001</v>
      </c>
      <c r="K847" s="33">
        <f>29.3311 * CHOOSE(CONTROL!$C$32, $C$9, 100%, $E$9)</f>
        <v>29.331099999999999</v>
      </c>
      <c r="L847" s="33">
        <f>14.3708 * CHOOSE(CONTROL!$C$32, $C$9, 100%, $E$9)</f>
        <v>14.370799999999999</v>
      </c>
      <c r="M847" s="33">
        <f>14.3761 * CHOOSE(CONTROL!$C$32, $C$9, 100%, $E$9)</f>
        <v>14.376099999999999</v>
      </c>
      <c r="N847" s="33">
        <f>14.3708 * CHOOSE(CONTROL!$C$32, $C$9, 100%, $E$9)</f>
        <v>14.370799999999999</v>
      </c>
      <c r="O847" s="33">
        <f>14.3761 * CHOOSE(CONTROL!$C$32, $C$9, 100%, $E$9)</f>
        <v>14.376099999999999</v>
      </c>
    </row>
    <row r="848" spans="1:15" ht="15" x14ac:dyDescent="0.2">
      <c r="A848" s="16">
        <v>67023</v>
      </c>
      <c r="B848" s="32">
        <f>12.7253 * CHOOSE(CONTROL!$C$32, $C$9, 100%, $E$9)</f>
        <v>12.725300000000001</v>
      </c>
      <c r="C848" s="32">
        <f>12.7253 * CHOOSE(CONTROL!$C$32, $C$9, 100%, $E$9)</f>
        <v>12.725300000000001</v>
      </c>
      <c r="D848" s="32">
        <f>12.7269 * CHOOSE(CONTROL!$C$32, $C$9, 100%, $E$9)</f>
        <v>12.726900000000001</v>
      </c>
      <c r="E848" s="33">
        <f>14.574 * CHOOSE(CONTROL!$C$32, $C$9, 100%, $E$9)</f>
        <v>14.574</v>
      </c>
      <c r="F848" s="33">
        <f>14.574 * CHOOSE(CONTROL!$C$32, $C$9, 100%, $E$9)</f>
        <v>14.574</v>
      </c>
      <c r="G848" s="33">
        <f>14.5793 * CHOOSE(CONTROL!$C$32, $C$9, 100%, $E$9)</f>
        <v>14.5793</v>
      </c>
      <c r="H848" s="33">
        <f>29.3869 * CHOOSE(CONTROL!$C$32, $C$9, 100%, $E$9)</f>
        <v>29.386900000000001</v>
      </c>
      <c r="I848" s="33">
        <f>29.3922 * CHOOSE(CONTROL!$C$32, $C$9, 100%, $E$9)</f>
        <v>29.392199999999999</v>
      </c>
      <c r="J848" s="33">
        <f>29.3869 * CHOOSE(CONTROL!$C$32, $C$9, 100%, $E$9)</f>
        <v>29.386900000000001</v>
      </c>
      <c r="K848" s="33">
        <f>29.3922 * CHOOSE(CONTROL!$C$32, $C$9, 100%, $E$9)</f>
        <v>29.392199999999999</v>
      </c>
      <c r="L848" s="33">
        <f>14.574 * CHOOSE(CONTROL!$C$32, $C$9, 100%, $E$9)</f>
        <v>14.574</v>
      </c>
      <c r="M848" s="33">
        <f>14.5793 * CHOOSE(CONTROL!$C$32, $C$9, 100%, $E$9)</f>
        <v>14.5793</v>
      </c>
      <c r="N848" s="33">
        <f>14.574 * CHOOSE(CONTROL!$C$32, $C$9, 100%, $E$9)</f>
        <v>14.574</v>
      </c>
      <c r="O848" s="33">
        <f>14.5793 * CHOOSE(CONTROL!$C$32, $C$9, 100%, $E$9)</f>
        <v>14.5793</v>
      </c>
    </row>
    <row r="849" spans="1:15" ht="15" x14ac:dyDescent="0.2">
      <c r="A849" s="16">
        <v>67054</v>
      </c>
      <c r="B849" s="32">
        <f>12.732 * CHOOSE(CONTROL!$C$32, $C$9, 100%, $E$9)</f>
        <v>12.731999999999999</v>
      </c>
      <c r="C849" s="32">
        <f>12.732 * CHOOSE(CONTROL!$C$32, $C$9, 100%, $E$9)</f>
        <v>12.731999999999999</v>
      </c>
      <c r="D849" s="32">
        <f>12.7336 * CHOOSE(CONTROL!$C$32, $C$9, 100%, $E$9)</f>
        <v>12.733599999999999</v>
      </c>
      <c r="E849" s="33">
        <f>14.2158 * CHOOSE(CONTROL!$C$32, $C$9, 100%, $E$9)</f>
        <v>14.2158</v>
      </c>
      <c r="F849" s="33">
        <f>14.2158 * CHOOSE(CONTROL!$C$32, $C$9, 100%, $E$9)</f>
        <v>14.2158</v>
      </c>
      <c r="G849" s="33">
        <f>14.2211 * CHOOSE(CONTROL!$C$32, $C$9, 100%, $E$9)</f>
        <v>14.2211</v>
      </c>
      <c r="H849" s="33">
        <f>29.4482 * CHOOSE(CONTROL!$C$32, $C$9, 100%, $E$9)</f>
        <v>29.4482</v>
      </c>
      <c r="I849" s="33">
        <f>29.4535 * CHOOSE(CONTROL!$C$32, $C$9, 100%, $E$9)</f>
        <v>29.453499999999998</v>
      </c>
      <c r="J849" s="33">
        <f>29.4482 * CHOOSE(CONTROL!$C$32, $C$9, 100%, $E$9)</f>
        <v>29.4482</v>
      </c>
      <c r="K849" s="33">
        <f>29.4535 * CHOOSE(CONTROL!$C$32, $C$9, 100%, $E$9)</f>
        <v>29.453499999999998</v>
      </c>
      <c r="L849" s="33">
        <f>14.2158 * CHOOSE(CONTROL!$C$32, $C$9, 100%, $E$9)</f>
        <v>14.2158</v>
      </c>
      <c r="M849" s="33">
        <f>14.2211 * CHOOSE(CONTROL!$C$32, $C$9, 100%, $E$9)</f>
        <v>14.2211</v>
      </c>
      <c r="N849" s="33">
        <f>14.2158 * CHOOSE(CONTROL!$C$32, $C$9, 100%, $E$9)</f>
        <v>14.2158</v>
      </c>
      <c r="O849" s="33">
        <f>14.2211 * CHOOSE(CONTROL!$C$32, $C$9, 100%, $E$9)</f>
        <v>14.2211</v>
      </c>
    </row>
    <row r="850" spans="1:15" ht="15" x14ac:dyDescent="0.2">
      <c r="A850" s="16">
        <v>67085</v>
      </c>
      <c r="B850" s="32">
        <f>12.7289 * CHOOSE(CONTROL!$C$32, $C$9, 100%, $E$9)</f>
        <v>12.728899999999999</v>
      </c>
      <c r="C850" s="32">
        <f>12.7289 * CHOOSE(CONTROL!$C$32, $C$9, 100%, $E$9)</f>
        <v>12.728899999999999</v>
      </c>
      <c r="D850" s="32">
        <f>12.7305 * CHOOSE(CONTROL!$C$32, $C$9, 100%, $E$9)</f>
        <v>12.730499999999999</v>
      </c>
      <c r="E850" s="33">
        <f>14.1733 * CHOOSE(CONTROL!$C$32, $C$9, 100%, $E$9)</f>
        <v>14.173299999999999</v>
      </c>
      <c r="F850" s="33">
        <f>14.1733 * CHOOSE(CONTROL!$C$32, $C$9, 100%, $E$9)</f>
        <v>14.173299999999999</v>
      </c>
      <c r="G850" s="33">
        <f>14.1786 * CHOOSE(CONTROL!$C$32, $C$9, 100%, $E$9)</f>
        <v>14.178599999999999</v>
      </c>
      <c r="H850" s="33">
        <f>29.5095 * CHOOSE(CONTROL!$C$32, $C$9, 100%, $E$9)</f>
        <v>29.509499999999999</v>
      </c>
      <c r="I850" s="33">
        <f>29.5148 * CHOOSE(CONTROL!$C$32, $C$9, 100%, $E$9)</f>
        <v>29.514800000000001</v>
      </c>
      <c r="J850" s="33">
        <f>29.5095 * CHOOSE(CONTROL!$C$32, $C$9, 100%, $E$9)</f>
        <v>29.509499999999999</v>
      </c>
      <c r="K850" s="33">
        <f>29.5148 * CHOOSE(CONTROL!$C$32, $C$9, 100%, $E$9)</f>
        <v>29.514800000000001</v>
      </c>
      <c r="L850" s="33">
        <f>14.1733 * CHOOSE(CONTROL!$C$32, $C$9, 100%, $E$9)</f>
        <v>14.173299999999999</v>
      </c>
      <c r="M850" s="33">
        <f>14.1786 * CHOOSE(CONTROL!$C$32, $C$9, 100%, $E$9)</f>
        <v>14.178599999999999</v>
      </c>
      <c r="N850" s="33">
        <f>14.1733 * CHOOSE(CONTROL!$C$32, $C$9, 100%, $E$9)</f>
        <v>14.173299999999999</v>
      </c>
      <c r="O850" s="33">
        <f>14.1786 * CHOOSE(CONTROL!$C$32, $C$9, 100%, $E$9)</f>
        <v>14.178599999999999</v>
      </c>
    </row>
    <row r="851" spans="1:15" ht="15" x14ac:dyDescent="0.2">
      <c r="A851" s="16">
        <v>67115</v>
      </c>
      <c r="B851" s="32">
        <f>12.7566 * CHOOSE(CONTROL!$C$32, $C$9, 100%, $E$9)</f>
        <v>12.756600000000001</v>
      </c>
      <c r="C851" s="32">
        <f>12.7566 * CHOOSE(CONTROL!$C$32, $C$9, 100%, $E$9)</f>
        <v>12.756600000000001</v>
      </c>
      <c r="D851" s="32">
        <f>12.7577 * CHOOSE(CONTROL!$C$32, $C$9, 100%, $E$9)</f>
        <v>12.7577</v>
      </c>
      <c r="E851" s="33">
        <f>14.3212 * CHOOSE(CONTROL!$C$32, $C$9, 100%, $E$9)</f>
        <v>14.321199999999999</v>
      </c>
      <c r="F851" s="33">
        <f>14.3212 * CHOOSE(CONTROL!$C$32, $C$9, 100%, $E$9)</f>
        <v>14.321199999999999</v>
      </c>
      <c r="G851" s="33">
        <f>14.3248 * CHOOSE(CONTROL!$C$32, $C$9, 100%, $E$9)</f>
        <v>14.3248</v>
      </c>
      <c r="H851" s="33">
        <f>29.571 * CHOOSE(CONTROL!$C$32, $C$9, 100%, $E$9)</f>
        <v>29.571000000000002</v>
      </c>
      <c r="I851" s="33">
        <f>29.5746 * CHOOSE(CONTROL!$C$32, $C$9, 100%, $E$9)</f>
        <v>29.5746</v>
      </c>
      <c r="J851" s="33">
        <f>29.571 * CHOOSE(CONTROL!$C$32, $C$9, 100%, $E$9)</f>
        <v>29.571000000000002</v>
      </c>
      <c r="K851" s="33">
        <f>29.5746 * CHOOSE(CONTROL!$C$32, $C$9, 100%, $E$9)</f>
        <v>29.5746</v>
      </c>
      <c r="L851" s="33">
        <f>14.3212 * CHOOSE(CONTROL!$C$32, $C$9, 100%, $E$9)</f>
        <v>14.321199999999999</v>
      </c>
      <c r="M851" s="33">
        <f>14.3248 * CHOOSE(CONTROL!$C$32, $C$9, 100%, $E$9)</f>
        <v>14.3248</v>
      </c>
      <c r="N851" s="33">
        <f>14.3212 * CHOOSE(CONTROL!$C$32, $C$9, 100%, $E$9)</f>
        <v>14.321199999999999</v>
      </c>
      <c r="O851" s="33">
        <f>14.3248 * CHOOSE(CONTROL!$C$32, $C$9, 100%, $E$9)</f>
        <v>14.3248</v>
      </c>
    </row>
    <row r="852" spans="1:15" ht="15" x14ac:dyDescent="0.2">
      <c r="A852" s="16">
        <v>67146</v>
      </c>
      <c r="B852" s="32">
        <f>12.7597 * CHOOSE(CONTROL!$C$32, $C$9, 100%, $E$9)</f>
        <v>12.7597</v>
      </c>
      <c r="C852" s="32">
        <f>12.7597 * CHOOSE(CONTROL!$C$32, $C$9, 100%, $E$9)</f>
        <v>12.7597</v>
      </c>
      <c r="D852" s="32">
        <f>12.7607 * CHOOSE(CONTROL!$C$32, $C$9, 100%, $E$9)</f>
        <v>12.7607</v>
      </c>
      <c r="E852" s="33">
        <f>14.404 * CHOOSE(CONTROL!$C$32, $C$9, 100%, $E$9)</f>
        <v>14.404</v>
      </c>
      <c r="F852" s="33">
        <f>14.404 * CHOOSE(CONTROL!$C$32, $C$9, 100%, $E$9)</f>
        <v>14.404</v>
      </c>
      <c r="G852" s="33">
        <f>14.4076 * CHOOSE(CONTROL!$C$32, $C$9, 100%, $E$9)</f>
        <v>14.4076</v>
      </c>
      <c r="H852" s="33">
        <f>29.6326 * CHOOSE(CONTROL!$C$32, $C$9, 100%, $E$9)</f>
        <v>29.6326</v>
      </c>
      <c r="I852" s="33">
        <f>29.6362 * CHOOSE(CONTROL!$C$32, $C$9, 100%, $E$9)</f>
        <v>29.636199999999999</v>
      </c>
      <c r="J852" s="33">
        <f>29.6326 * CHOOSE(CONTROL!$C$32, $C$9, 100%, $E$9)</f>
        <v>29.6326</v>
      </c>
      <c r="K852" s="33">
        <f>29.6362 * CHOOSE(CONTROL!$C$32, $C$9, 100%, $E$9)</f>
        <v>29.636199999999999</v>
      </c>
      <c r="L852" s="33">
        <f>14.404 * CHOOSE(CONTROL!$C$32, $C$9, 100%, $E$9)</f>
        <v>14.404</v>
      </c>
      <c r="M852" s="33">
        <f>14.4076 * CHOOSE(CONTROL!$C$32, $C$9, 100%, $E$9)</f>
        <v>14.4076</v>
      </c>
      <c r="N852" s="33">
        <f>14.404 * CHOOSE(CONTROL!$C$32, $C$9, 100%, $E$9)</f>
        <v>14.404</v>
      </c>
      <c r="O852" s="33">
        <f>14.4076 * CHOOSE(CONTROL!$C$32, $C$9, 100%, $E$9)</f>
        <v>14.4076</v>
      </c>
    </row>
    <row r="853" spans="1:15" ht="15" x14ac:dyDescent="0.2">
      <c r="A853" s="16">
        <v>67176</v>
      </c>
      <c r="B853" s="32">
        <f>12.7597 * CHOOSE(CONTROL!$C$32, $C$9, 100%, $E$9)</f>
        <v>12.7597</v>
      </c>
      <c r="C853" s="32">
        <f>12.7597 * CHOOSE(CONTROL!$C$32, $C$9, 100%, $E$9)</f>
        <v>12.7597</v>
      </c>
      <c r="D853" s="32">
        <f>12.7607 * CHOOSE(CONTROL!$C$32, $C$9, 100%, $E$9)</f>
        <v>12.7607</v>
      </c>
      <c r="E853" s="33">
        <f>14.2024 * CHOOSE(CONTROL!$C$32, $C$9, 100%, $E$9)</f>
        <v>14.202400000000001</v>
      </c>
      <c r="F853" s="33">
        <f>14.2024 * CHOOSE(CONTROL!$C$32, $C$9, 100%, $E$9)</f>
        <v>14.202400000000001</v>
      </c>
      <c r="G853" s="33">
        <f>14.206 * CHOOSE(CONTROL!$C$32, $C$9, 100%, $E$9)</f>
        <v>14.206</v>
      </c>
      <c r="H853" s="33">
        <f>29.6943 * CHOOSE(CONTROL!$C$32, $C$9, 100%, $E$9)</f>
        <v>29.694299999999998</v>
      </c>
      <c r="I853" s="33">
        <f>29.6979 * CHOOSE(CONTROL!$C$32, $C$9, 100%, $E$9)</f>
        <v>29.697900000000001</v>
      </c>
      <c r="J853" s="33">
        <f>29.6943 * CHOOSE(CONTROL!$C$32, $C$9, 100%, $E$9)</f>
        <v>29.694299999999998</v>
      </c>
      <c r="K853" s="33">
        <f>29.6979 * CHOOSE(CONTROL!$C$32, $C$9, 100%, $E$9)</f>
        <v>29.697900000000001</v>
      </c>
      <c r="L853" s="33">
        <f>14.2024 * CHOOSE(CONTROL!$C$32, $C$9, 100%, $E$9)</f>
        <v>14.202400000000001</v>
      </c>
      <c r="M853" s="33">
        <f>14.206 * CHOOSE(CONTROL!$C$32, $C$9, 100%, $E$9)</f>
        <v>14.206</v>
      </c>
      <c r="N853" s="33">
        <f>14.2024 * CHOOSE(CONTROL!$C$32, $C$9, 100%, $E$9)</f>
        <v>14.202400000000001</v>
      </c>
      <c r="O853" s="33">
        <f>14.206 * CHOOSE(CONTROL!$C$32, $C$9, 100%, $E$9)</f>
        <v>14.206</v>
      </c>
    </row>
    <row r="854" spans="1:15" ht="15" x14ac:dyDescent="0.2">
      <c r="A854" s="16">
        <v>67207</v>
      </c>
      <c r="B854" s="32">
        <f>12.7541 * CHOOSE(CONTROL!$C$32, $C$9, 100%, $E$9)</f>
        <v>12.754099999999999</v>
      </c>
      <c r="C854" s="32">
        <f>12.7541 * CHOOSE(CONTROL!$C$32, $C$9, 100%, $E$9)</f>
        <v>12.754099999999999</v>
      </c>
      <c r="D854" s="32">
        <f>12.7552 * CHOOSE(CONTROL!$C$32, $C$9, 100%, $E$9)</f>
        <v>12.7552</v>
      </c>
      <c r="E854" s="33">
        <f>14.3456 * CHOOSE(CONTROL!$C$32, $C$9, 100%, $E$9)</f>
        <v>14.345599999999999</v>
      </c>
      <c r="F854" s="33">
        <f>14.3456 * CHOOSE(CONTROL!$C$32, $C$9, 100%, $E$9)</f>
        <v>14.345599999999999</v>
      </c>
      <c r="G854" s="33">
        <f>14.3492 * CHOOSE(CONTROL!$C$32, $C$9, 100%, $E$9)</f>
        <v>14.3492</v>
      </c>
      <c r="H854" s="33">
        <f>29.4863 * CHOOSE(CONTROL!$C$32, $C$9, 100%, $E$9)</f>
        <v>29.4863</v>
      </c>
      <c r="I854" s="33">
        <f>29.4899 * CHOOSE(CONTROL!$C$32, $C$9, 100%, $E$9)</f>
        <v>29.489899999999999</v>
      </c>
      <c r="J854" s="33">
        <f>29.4863 * CHOOSE(CONTROL!$C$32, $C$9, 100%, $E$9)</f>
        <v>29.4863</v>
      </c>
      <c r="K854" s="33">
        <f>29.4899 * CHOOSE(CONTROL!$C$32, $C$9, 100%, $E$9)</f>
        <v>29.489899999999999</v>
      </c>
      <c r="L854" s="33">
        <f>14.3456 * CHOOSE(CONTROL!$C$32, $C$9, 100%, $E$9)</f>
        <v>14.345599999999999</v>
      </c>
      <c r="M854" s="33">
        <f>14.3492 * CHOOSE(CONTROL!$C$32, $C$9, 100%, $E$9)</f>
        <v>14.3492</v>
      </c>
      <c r="N854" s="33">
        <f>14.3456 * CHOOSE(CONTROL!$C$32, $C$9, 100%, $E$9)</f>
        <v>14.345599999999999</v>
      </c>
      <c r="O854" s="33">
        <f>14.3492 * CHOOSE(CONTROL!$C$32, $C$9, 100%, $E$9)</f>
        <v>14.3492</v>
      </c>
    </row>
    <row r="855" spans="1:15" ht="15" x14ac:dyDescent="0.2">
      <c r="A855" s="16">
        <v>67238</v>
      </c>
      <c r="B855" s="32">
        <f>12.751 * CHOOSE(CONTROL!$C$32, $C$9, 100%, $E$9)</f>
        <v>12.750999999999999</v>
      </c>
      <c r="C855" s="32">
        <f>12.751 * CHOOSE(CONTROL!$C$32, $C$9, 100%, $E$9)</f>
        <v>12.750999999999999</v>
      </c>
      <c r="D855" s="32">
        <f>12.7521 * CHOOSE(CONTROL!$C$32, $C$9, 100%, $E$9)</f>
        <v>12.7521</v>
      </c>
      <c r="E855" s="33">
        <f>13.9553 * CHOOSE(CONTROL!$C$32, $C$9, 100%, $E$9)</f>
        <v>13.955299999999999</v>
      </c>
      <c r="F855" s="33">
        <f>13.9553 * CHOOSE(CONTROL!$C$32, $C$9, 100%, $E$9)</f>
        <v>13.955299999999999</v>
      </c>
      <c r="G855" s="33">
        <f>13.959 * CHOOSE(CONTROL!$C$32, $C$9, 100%, $E$9)</f>
        <v>13.959</v>
      </c>
      <c r="H855" s="33">
        <f>29.5477 * CHOOSE(CONTROL!$C$32, $C$9, 100%, $E$9)</f>
        <v>29.547699999999999</v>
      </c>
      <c r="I855" s="33">
        <f>29.5513 * CHOOSE(CONTROL!$C$32, $C$9, 100%, $E$9)</f>
        <v>29.551300000000001</v>
      </c>
      <c r="J855" s="33">
        <f>29.5477 * CHOOSE(CONTROL!$C$32, $C$9, 100%, $E$9)</f>
        <v>29.547699999999999</v>
      </c>
      <c r="K855" s="33">
        <f>29.5513 * CHOOSE(CONTROL!$C$32, $C$9, 100%, $E$9)</f>
        <v>29.551300000000001</v>
      </c>
      <c r="L855" s="33">
        <f>13.9553 * CHOOSE(CONTROL!$C$32, $C$9, 100%, $E$9)</f>
        <v>13.955299999999999</v>
      </c>
      <c r="M855" s="33">
        <f>13.959 * CHOOSE(CONTROL!$C$32, $C$9, 100%, $E$9)</f>
        <v>13.959</v>
      </c>
      <c r="N855" s="33">
        <f>13.9553 * CHOOSE(CONTROL!$C$32, $C$9, 100%, $E$9)</f>
        <v>13.955299999999999</v>
      </c>
      <c r="O855" s="33">
        <f>13.959 * CHOOSE(CONTROL!$C$32, $C$9, 100%, $E$9)</f>
        <v>13.959</v>
      </c>
    </row>
    <row r="856" spans="1:15" ht="15" x14ac:dyDescent="0.2">
      <c r="A856" s="16">
        <v>67267</v>
      </c>
      <c r="B856" s="32">
        <f>12.748 * CHOOSE(CONTROL!$C$32, $C$9, 100%, $E$9)</f>
        <v>12.747999999999999</v>
      </c>
      <c r="C856" s="32">
        <f>12.748 * CHOOSE(CONTROL!$C$32, $C$9, 100%, $E$9)</f>
        <v>12.747999999999999</v>
      </c>
      <c r="D856" s="32">
        <f>12.7491 * CHOOSE(CONTROL!$C$32, $C$9, 100%, $E$9)</f>
        <v>12.7491</v>
      </c>
      <c r="E856" s="33">
        <f>14.2592 * CHOOSE(CONTROL!$C$32, $C$9, 100%, $E$9)</f>
        <v>14.2592</v>
      </c>
      <c r="F856" s="33">
        <f>14.2592 * CHOOSE(CONTROL!$C$32, $C$9, 100%, $E$9)</f>
        <v>14.2592</v>
      </c>
      <c r="G856" s="33">
        <f>14.2628 * CHOOSE(CONTROL!$C$32, $C$9, 100%, $E$9)</f>
        <v>14.2628</v>
      </c>
      <c r="H856" s="33">
        <f>29.6093 * CHOOSE(CONTROL!$C$32, $C$9, 100%, $E$9)</f>
        <v>29.609300000000001</v>
      </c>
      <c r="I856" s="33">
        <f>29.6129 * CHOOSE(CONTROL!$C$32, $C$9, 100%, $E$9)</f>
        <v>29.6129</v>
      </c>
      <c r="J856" s="33">
        <f>29.6093 * CHOOSE(CONTROL!$C$32, $C$9, 100%, $E$9)</f>
        <v>29.609300000000001</v>
      </c>
      <c r="K856" s="33">
        <f>29.6129 * CHOOSE(CONTROL!$C$32, $C$9, 100%, $E$9)</f>
        <v>29.6129</v>
      </c>
      <c r="L856" s="33">
        <f>14.2592 * CHOOSE(CONTROL!$C$32, $C$9, 100%, $E$9)</f>
        <v>14.2592</v>
      </c>
      <c r="M856" s="33">
        <f>14.2628 * CHOOSE(CONTROL!$C$32, $C$9, 100%, $E$9)</f>
        <v>14.2628</v>
      </c>
      <c r="N856" s="33">
        <f>14.2592 * CHOOSE(CONTROL!$C$32, $C$9, 100%, $E$9)</f>
        <v>14.2592</v>
      </c>
      <c r="O856" s="33">
        <f>14.2628 * CHOOSE(CONTROL!$C$32, $C$9, 100%, $E$9)</f>
        <v>14.2628</v>
      </c>
    </row>
    <row r="857" spans="1:15" ht="15" x14ac:dyDescent="0.2">
      <c r="A857" s="16">
        <v>67298</v>
      </c>
      <c r="B857" s="32">
        <f>12.7541 * CHOOSE(CONTROL!$C$32, $C$9, 100%, $E$9)</f>
        <v>12.754099999999999</v>
      </c>
      <c r="C857" s="32">
        <f>12.7541 * CHOOSE(CONTROL!$C$32, $C$9, 100%, $E$9)</f>
        <v>12.754099999999999</v>
      </c>
      <c r="D857" s="32">
        <f>12.7552 * CHOOSE(CONTROL!$C$32, $C$9, 100%, $E$9)</f>
        <v>12.7552</v>
      </c>
      <c r="E857" s="33">
        <f>14.5835 * CHOOSE(CONTROL!$C$32, $C$9, 100%, $E$9)</f>
        <v>14.583500000000001</v>
      </c>
      <c r="F857" s="33">
        <f>14.5835 * CHOOSE(CONTROL!$C$32, $C$9, 100%, $E$9)</f>
        <v>14.583500000000001</v>
      </c>
      <c r="G857" s="33">
        <f>14.5872 * CHOOSE(CONTROL!$C$32, $C$9, 100%, $E$9)</f>
        <v>14.587199999999999</v>
      </c>
      <c r="H857" s="33">
        <f>29.671 * CHOOSE(CONTROL!$C$32, $C$9, 100%, $E$9)</f>
        <v>29.670999999999999</v>
      </c>
      <c r="I857" s="33">
        <f>29.6746 * CHOOSE(CONTROL!$C$32, $C$9, 100%, $E$9)</f>
        <v>29.674600000000002</v>
      </c>
      <c r="J857" s="33">
        <f>29.671 * CHOOSE(CONTROL!$C$32, $C$9, 100%, $E$9)</f>
        <v>29.670999999999999</v>
      </c>
      <c r="K857" s="33">
        <f>29.6746 * CHOOSE(CONTROL!$C$32, $C$9, 100%, $E$9)</f>
        <v>29.674600000000002</v>
      </c>
      <c r="L857" s="33">
        <f>14.5835 * CHOOSE(CONTROL!$C$32, $C$9, 100%, $E$9)</f>
        <v>14.583500000000001</v>
      </c>
      <c r="M857" s="33">
        <f>14.5872 * CHOOSE(CONTROL!$C$32, $C$9, 100%, $E$9)</f>
        <v>14.587199999999999</v>
      </c>
      <c r="N857" s="33">
        <f>14.5835 * CHOOSE(CONTROL!$C$32, $C$9, 100%, $E$9)</f>
        <v>14.583500000000001</v>
      </c>
      <c r="O857" s="33">
        <f>14.5872 * CHOOSE(CONTROL!$C$32, $C$9, 100%, $E$9)</f>
        <v>14.587199999999999</v>
      </c>
    </row>
    <row r="858" spans="1:15" ht="15" x14ac:dyDescent="0.2">
      <c r="A858" s="16">
        <v>67328</v>
      </c>
      <c r="B858" s="32">
        <f>12.7541 * CHOOSE(CONTROL!$C$32, $C$9, 100%, $E$9)</f>
        <v>12.754099999999999</v>
      </c>
      <c r="C858" s="32">
        <f>12.7541 * CHOOSE(CONTROL!$C$32, $C$9, 100%, $E$9)</f>
        <v>12.754099999999999</v>
      </c>
      <c r="D858" s="32">
        <f>12.7557 * CHOOSE(CONTROL!$C$32, $C$9, 100%, $E$9)</f>
        <v>12.755699999999999</v>
      </c>
      <c r="E858" s="33">
        <f>14.7068 * CHOOSE(CONTROL!$C$32, $C$9, 100%, $E$9)</f>
        <v>14.706799999999999</v>
      </c>
      <c r="F858" s="33">
        <f>14.7068 * CHOOSE(CONTROL!$C$32, $C$9, 100%, $E$9)</f>
        <v>14.706799999999999</v>
      </c>
      <c r="G858" s="33">
        <f>14.7121 * CHOOSE(CONTROL!$C$32, $C$9, 100%, $E$9)</f>
        <v>14.7121</v>
      </c>
      <c r="H858" s="33">
        <f>29.7328 * CHOOSE(CONTROL!$C$32, $C$9, 100%, $E$9)</f>
        <v>29.732800000000001</v>
      </c>
      <c r="I858" s="33">
        <f>29.7381 * CHOOSE(CONTROL!$C$32, $C$9, 100%, $E$9)</f>
        <v>29.738099999999999</v>
      </c>
      <c r="J858" s="33">
        <f>29.7328 * CHOOSE(CONTROL!$C$32, $C$9, 100%, $E$9)</f>
        <v>29.732800000000001</v>
      </c>
      <c r="K858" s="33">
        <f>29.7381 * CHOOSE(CONTROL!$C$32, $C$9, 100%, $E$9)</f>
        <v>29.738099999999999</v>
      </c>
      <c r="L858" s="33">
        <f>14.7068 * CHOOSE(CONTROL!$C$32, $C$9, 100%, $E$9)</f>
        <v>14.706799999999999</v>
      </c>
      <c r="M858" s="33">
        <f>14.7121 * CHOOSE(CONTROL!$C$32, $C$9, 100%, $E$9)</f>
        <v>14.7121</v>
      </c>
      <c r="N858" s="33">
        <f>14.7068 * CHOOSE(CONTROL!$C$32, $C$9, 100%, $E$9)</f>
        <v>14.706799999999999</v>
      </c>
      <c r="O858" s="33">
        <f>14.7121 * CHOOSE(CONTROL!$C$32, $C$9, 100%, $E$9)</f>
        <v>14.7121</v>
      </c>
    </row>
    <row r="859" spans="1:15" ht="15" x14ac:dyDescent="0.2">
      <c r="A859" s="16">
        <v>67359</v>
      </c>
      <c r="B859" s="32">
        <f>12.7602 * CHOOSE(CONTROL!$C$32, $C$9, 100%, $E$9)</f>
        <v>12.760199999999999</v>
      </c>
      <c r="C859" s="32">
        <f>12.7602 * CHOOSE(CONTROL!$C$32, $C$9, 100%, $E$9)</f>
        <v>12.760199999999999</v>
      </c>
      <c r="D859" s="32">
        <f>12.7618 * CHOOSE(CONTROL!$C$32, $C$9, 100%, $E$9)</f>
        <v>12.761799999999999</v>
      </c>
      <c r="E859" s="33">
        <f>14.5878 * CHOOSE(CONTROL!$C$32, $C$9, 100%, $E$9)</f>
        <v>14.5878</v>
      </c>
      <c r="F859" s="33">
        <f>14.5878 * CHOOSE(CONTROL!$C$32, $C$9, 100%, $E$9)</f>
        <v>14.5878</v>
      </c>
      <c r="G859" s="33">
        <f>14.5931 * CHOOSE(CONTROL!$C$32, $C$9, 100%, $E$9)</f>
        <v>14.5931</v>
      </c>
      <c r="H859" s="33">
        <f>29.7947 * CHOOSE(CONTROL!$C$32, $C$9, 100%, $E$9)</f>
        <v>29.794699999999999</v>
      </c>
      <c r="I859" s="33">
        <f>29.8 * CHOOSE(CONTROL!$C$32, $C$9, 100%, $E$9)</f>
        <v>29.8</v>
      </c>
      <c r="J859" s="33">
        <f>29.7947 * CHOOSE(CONTROL!$C$32, $C$9, 100%, $E$9)</f>
        <v>29.794699999999999</v>
      </c>
      <c r="K859" s="33">
        <f>29.8 * CHOOSE(CONTROL!$C$32, $C$9, 100%, $E$9)</f>
        <v>29.8</v>
      </c>
      <c r="L859" s="33">
        <f>14.5878 * CHOOSE(CONTROL!$C$32, $C$9, 100%, $E$9)</f>
        <v>14.5878</v>
      </c>
      <c r="M859" s="33">
        <f>14.5931 * CHOOSE(CONTROL!$C$32, $C$9, 100%, $E$9)</f>
        <v>14.5931</v>
      </c>
      <c r="N859" s="33">
        <f>14.5878 * CHOOSE(CONTROL!$C$32, $C$9, 100%, $E$9)</f>
        <v>14.5878</v>
      </c>
      <c r="O859" s="33">
        <f>14.5931 * CHOOSE(CONTROL!$C$32, $C$9, 100%, $E$9)</f>
        <v>14.5931</v>
      </c>
    </row>
    <row r="860" spans="1:15" ht="15" x14ac:dyDescent="0.2">
      <c r="A860" s="16">
        <v>67389</v>
      </c>
      <c r="B860" s="32">
        <f>12.9149 * CHOOSE(CONTROL!$C$32, $C$9, 100%, $E$9)</f>
        <v>12.914899999999999</v>
      </c>
      <c r="C860" s="32">
        <f>12.9149 * CHOOSE(CONTROL!$C$32, $C$9, 100%, $E$9)</f>
        <v>12.914899999999999</v>
      </c>
      <c r="D860" s="32">
        <f>12.9165 * CHOOSE(CONTROL!$C$32, $C$9, 100%, $E$9)</f>
        <v>12.916499999999999</v>
      </c>
      <c r="E860" s="33">
        <f>14.7942 * CHOOSE(CONTROL!$C$32, $C$9, 100%, $E$9)</f>
        <v>14.7942</v>
      </c>
      <c r="F860" s="33">
        <f>14.7942 * CHOOSE(CONTROL!$C$32, $C$9, 100%, $E$9)</f>
        <v>14.7942</v>
      </c>
      <c r="G860" s="33">
        <f>14.7995 * CHOOSE(CONTROL!$C$32, $C$9, 100%, $E$9)</f>
        <v>14.7995</v>
      </c>
      <c r="H860" s="33">
        <f>29.8568 * CHOOSE(CONTROL!$C$32, $C$9, 100%, $E$9)</f>
        <v>29.8568</v>
      </c>
      <c r="I860" s="33">
        <f>29.8621 * CHOOSE(CONTROL!$C$32, $C$9, 100%, $E$9)</f>
        <v>29.862100000000002</v>
      </c>
      <c r="J860" s="33">
        <f>29.8568 * CHOOSE(CONTROL!$C$32, $C$9, 100%, $E$9)</f>
        <v>29.8568</v>
      </c>
      <c r="K860" s="33">
        <f>29.8621 * CHOOSE(CONTROL!$C$32, $C$9, 100%, $E$9)</f>
        <v>29.862100000000002</v>
      </c>
      <c r="L860" s="33">
        <f>14.7942 * CHOOSE(CONTROL!$C$32, $C$9, 100%, $E$9)</f>
        <v>14.7942</v>
      </c>
      <c r="M860" s="33">
        <f>14.7995 * CHOOSE(CONTROL!$C$32, $C$9, 100%, $E$9)</f>
        <v>14.7995</v>
      </c>
      <c r="N860" s="33">
        <f>14.7942 * CHOOSE(CONTROL!$C$32, $C$9, 100%, $E$9)</f>
        <v>14.7942</v>
      </c>
      <c r="O860" s="33">
        <f>14.7995 * CHOOSE(CONTROL!$C$32, $C$9, 100%, $E$9)</f>
        <v>14.7995</v>
      </c>
    </row>
    <row r="861" spans="1:15" ht="15" x14ac:dyDescent="0.2">
      <c r="A861" s="16">
        <v>67420</v>
      </c>
      <c r="B861" s="32">
        <f>12.9216 * CHOOSE(CONTROL!$C$32, $C$9, 100%, $E$9)</f>
        <v>12.9216</v>
      </c>
      <c r="C861" s="32">
        <f>12.9216 * CHOOSE(CONTROL!$C$32, $C$9, 100%, $E$9)</f>
        <v>12.9216</v>
      </c>
      <c r="D861" s="32">
        <f>12.9231 * CHOOSE(CONTROL!$C$32, $C$9, 100%, $E$9)</f>
        <v>12.9231</v>
      </c>
      <c r="E861" s="33">
        <f>14.4292 * CHOOSE(CONTROL!$C$32, $C$9, 100%, $E$9)</f>
        <v>14.4292</v>
      </c>
      <c r="F861" s="33">
        <f>14.4292 * CHOOSE(CONTROL!$C$32, $C$9, 100%, $E$9)</f>
        <v>14.4292</v>
      </c>
      <c r="G861" s="33">
        <f>14.4345 * CHOOSE(CONTROL!$C$32, $C$9, 100%, $E$9)</f>
        <v>14.4345</v>
      </c>
      <c r="H861" s="33">
        <f>29.919 * CHOOSE(CONTROL!$C$32, $C$9, 100%, $E$9)</f>
        <v>29.919</v>
      </c>
      <c r="I861" s="33">
        <f>29.9243 * CHOOSE(CONTROL!$C$32, $C$9, 100%, $E$9)</f>
        <v>29.924299999999999</v>
      </c>
      <c r="J861" s="33">
        <f>29.919 * CHOOSE(CONTROL!$C$32, $C$9, 100%, $E$9)</f>
        <v>29.919</v>
      </c>
      <c r="K861" s="33">
        <f>29.9243 * CHOOSE(CONTROL!$C$32, $C$9, 100%, $E$9)</f>
        <v>29.924299999999999</v>
      </c>
      <c r="L861" s="33">
        <f>14.4292 * CHOOSE(CONTROL!$C$32, $C$9, 100%, $E$9)</f>
        <v>14.4292</v>
      </c>
      <c r="M861" s="33">
        <f>14.4345 * CHOOSE(CONTROL!$C$32, $C$9, 100%, $E$9)</f>
        <v>14.4345</v>
      </c>
      <c r="N861" s="33">
        <f>14.4292 * CHOOSE(CONTROL!$C$32, $C$9, 100%, $E$9)</f>
        <v>14.4292</v>
      </c>
      <c r="O861" s="33">
        <f>14.4345 * CHOOSE(CONTROL!$C$32, $C$9, 100%, $E$9)</f>
        <v>14.4345</v>
      </c>
    </row>
    <row r="862" spans="1:15" ht="15" x14ac:dyDescent="0.2">
      <c r="A862" s="16">
        <v>67451</v>
      </c>
      <c r="B862" s="32">
        <f>12.9185 * CHOOSE(CONTROL!$C$32, $C$9, 100%, $E$9)</f>
        <v>12.9185</v>
      </c>
      <c r="C862" s="32">
        <f>12.9185 * CHOOSE(CONTROL!$C$32, $C$9, 100%, $E$9)</f>
        <v>12.9185</v>
      </c>
      <c r="D862" s="32">
        <f>12.9201 * CHOOSE(CONTROL!$C$32, $C$9, 100%, $E$9)</f>
        <v>12.9201</v>
      </c>
      <c r="E862" s="33">
        <f>14.386 * CHOOSE(CONTROL!$C$32, $C$9, 100%, $E$9)</f>
        <v>14.385999999999999</v>
      </c>
      <c r="F862" s="33">
        <f>14.386 * CHOOSE(CONTROL!$C$32, $C$9, 100%, $E$9)</f>
        <v>14.385999999999999</v>
      </c>
      <c r="G862" s="33">
        <f>14.3913 * CHOOSE(CONTROL!$C$32, $C$9, 100%, $E$9)</f>
        <v>14.391299999999999</v>
      </c>
      <c r="H862" s="33">
        <f>29.9813 * CHOOSE(CONTROL!$C$32, $C$9, 100%, $E$9)</f>
        <v>29.981300000000001</v>
      </c>
      <c r="I862" s="33">
        <f>29.9866 * CHOOSE(CONTROL!$C$32, $C$9, 100%, $E$9)</f>
        <v>29.986599999999999</v>
      </c>
      <c r="J862" s="33">
        <f>29.9813 * CHOOSE(CONTROL!$C$32, $C$9, 100%, $E$9)</f>
        <v>29.981300000000001</v>
      </c>
      <c r="K862" s="33">
        <f>29.9866 * CHOOSE(CONTROL!$C$32, $C$9, 100%, $E$9)</f>
        <v>29.986599999999999</v>
      </c>
      <c r="L862" s="33">
        <f>14.386 * CHOOSE(CONTROL!$C$32, $C$9, 100%, $E$9)</f>
        <v>14.385999999999999</v>
      </c>
      <c r="M862" s="33">
        <f>14.3913 * CHOOSE(CONTROL!$C$32, $C$9, 100%, $E$9)</f>
        <v>14.391299999999999</v>
      </c>
      <c r="N862" s="33">
        <f>14.386 * CHOOSE(CONTROL!$C$32, $C$9, 100%, $E$9)</f>
        <v>14.385999999999999</v>
      </c>
      <c r="O862" s="33">
        <f>14.3913 * CHOOSE(CONTROL!$C$32, $C$9, 100%, $E$9)</f>
        <v>14.391299999999999</v>
      </c>
    </row>
    <row r="863" spans="1:15" ht="15" x14ac:dyDescent="0.2">
      <c r="A863" s="16">
        <v>67481</v>
      </c>
      <c r="B863" s="32">
        <f>12.9469 * CHOOSE(CONTROL!$C$32, $C$9, 100%, $E$9)</f>
        <v>12.946899999999999</v>
      </c>
      <c r="C863" s="32">
        <f>12.9469 * CHOOSE(CONTROL!$C$32, $C$9, 100%, $E$9)</f>
        <v>12.946899999999999</v>
      </c>
      <c r="D863" s="32">
        <f>12.948 * CHOOSE(CONTROL!$C$32, $C$9, 100%, $E$9)</f>
        <v>12.948</v>
      </c>
      <c r="E863" s="33">
        <f>14.5369 * CHOOSE(CONTROL!$C$32, $C$9, 100%, $E$9)</f>
        <v>14.536899999999999</v>
      </c>
      <c r="F863" s="33">
        <f>14.5369 * CHOOSE(CONTROL!$C$32, $C$9, 100%, $E$9)</f>
        <v>14.536899999999999</v>
      </c>
      <c r="G863" s="33">
        <f>14.5405 * CHOOSE(CONTROL!$C$32, $C$9, 100%, $E$9)</f>
        <v>14.5405</v>
      </c>
      <c r="H863" s="33">
        <f>30.0438 * CHOOSE(CONTROL!$C$32, $C$9, 100%, $E$9)</f>
        <v>30.043800000000001</v>
      </c>
      <c r="I863" s="33">
        <f>30.0474 * CHOOSE(CONTROL!$C$32, $C$9, 100%, $E$9)</f>
        <v>30.0474</v>
      </c>
      <c r="J863" s="33">
        <f>30.0438 * CHOOSE(CONTROL!$C$32, $C$9, 100%, $E$9)</f>
        <v>30.043800000000001</v>
      </c>
      <c r="K863" s="33">
        <f>30.0474 * CHOOSE(CONTROL!$C$32, $C$9, 100%, $E$9)</f>
        <v>30.0474</v>
      </c>
      <c r="L863" s="33">
        <f>14.5369 * CHOOSE(CONTROL!$C$32, $C$9, 100%, $E$9)</f>
        <v>14.536899999999999</v>
      </c>
      <c r="M863" s="33">
        <f>14.5405 * CHOOSE(CONTROL!$C$32, $C$9, 100%, $E$9)</f>
        <v>14.5405</v>
      </c>
      <c r="N863" s="33">
        <f>14.5369 * CHOOSE(CONTROL!$C$32, $C$9, 100%, $E$9)</f>
        <v>14.536899999999999</v>
      </c>
      <c r="O863" s="33">
        <f>14.5405 * CHOOSE(CONTROL!$C$32, $C$9, 100%, $E$9)</f>
        <v>14.5405</v>
      </c>
    </row>
    <row r="864" spans="1:15" ht="15" x14ac:dyDescent="0.2">
      <c r="A864" s="16">
        <v>67512</v>
      </c>
      <c r="B864" s="32">
        <f>12.95 * CHOOSE(CONTROL!$C$32, $C$9, 100%, $E$9)</f>
        <v>12.95</v>
      </c>
      <c r="C864" s="32">
        <f>12.95 * CHOOSE(CONTROL!$C$32, $C$9, 100%, $E$9)</f>
        <v>12.95</v>
      </c>
      <c r="D864" s="32">
        <f>12.951 * CHOOSE(CONTROL!$C$32, $C$9, 100%, $E$9)</f>
        <v>12.951000000000001</v>
      </c>
      <c r="E864" s="33">
        <f>14.6212 * CHOOSE(CONTROL!$C$32, $C$9, 100%, $E$9)</f>
        <v>14.6212</v>
      </c>
      <c r="F864" s="33">
        <f>14.6212 * CHOOSE(CONTROL!$C$32, $C$9, 100%, $E$9)</f>
        <v>14.6212</v>
      </c>
      <c r="G864" s="33">
        <f>14.6248 * CHOOSE(CONTROL!$C$32, $C$9, 100%, $E$9)</f>
        <v>14.6248</v>
      </c>
      <c r="H864" s="33">
        <f>30.1064 * CHOOSE(CONTROL!$C$32, $C$9, 100%, $E$9)</f>
        <v>30.106400000000001</v>
      </c>
      <c r="I864" s="33">
        <f>30.11 * CHOOSE(CONTROL!$C$32, $C$9, 100%, $E$9)</f>
        <v>30.11</v>
      </c>
      <c r="J864" s="33">
        <f>30.1064 * CHOOSE(CONTROL!$C$32, $C$9, 100%, $E$9)</f>
        <v>30.106400000000001</v>
      </c>
      <c r="K864" s="33">
        <f>30.11 * CHOOSE(CONTROL!$C$32, $C$9, 100%, $E$9)</f>
        <v>30.11</v>
      </c>
      <c r="L864" s="33">
        <f>14.6212 * CHOOSE(CONTROL!$C$32, $C$9, 100%, $E$9)</f>
        <v>14.6212</v>
      </c>
      <c r="M864" s="33">
        <f>14.6248 * CHOOSE(CONTROL!$C$32, $C$9, 100%, $E$9)</f>
        <v>14.6248</v>
      </c>
      <c r="N864" s="33">
        <f>14.6212 * CHOOSE(CONTROL!$C$32, $C$9, 100%, $E$9)</f>
        <v>14.6212</v>
      </c>
      <c r="O864" s="33">
        <f>14.6248 * CHOOSE(CONTROL!$C$32, $C$9, 100%, $E$9)</f>
        <v>14.6248</v>
      </c>
    </row>
    <row r="865" spans="1:15" ht="15" x14ac:dyDescent="0.2">
      <c r="A865" s="16">
        <v>67542</v>
      </c>
      <c r="B865" s="32">
        <f>12.95 * CHOOSE(CONTROL!$C$32, $C$9, 100%, $E$9)</f>
        <v>12.95</v>
      </c>
      <c r="C865" s="32">
        <f>12.95 * CHOOSE(CONTROL!$C$32, $C$9, 100%, $E$9)</f>
        <v>12.95</v>
      </c>
      <c r="D865" s="32">
        <f>12.951 * CHOOSE(CONTROL!$C$32, $C$9, 100%, $E$9)</f>
        <v>12.951000000000001</v>
      </c>
      <c r="E865" s="33">
        <f>14.4158 * CHOOSE(CONTROL!$C$32, $C$9, 100%, $E$9)</f>
        <v>14.415800000000001</v>
      </c>
      <c r="F865" s="33">
        <f>14.4158 * CHOOSE(CONTROL!$C$32, $C$9, 100%, $E$9)</f>
        <v>14.415800000000001</v>
      </c>
      <c r="G865" s="33">
        <f>14.4194 * CHOOSE(CONTROL!$C$32, $C$9, 100%, $E$9)</f>
        <v>14.4194</v>
      </c>
      <c r="H865" s="33">
        <f>30.1691 * CHOOSE(CONTROL!$C$32, $C$9, 100%, $E$9)</f>
        <v>30.1691</v>
      </c>
      <c r="I865" s="33">
        <f>30.1727 * CHOOSE(CONTROL!$C$32, $C$9, 100%, $E$9)</f>
        <v>30.172699999999999</v>
      </c>
      <c r="J865" s="33">
        <f>30.1691 * CHOOSE(CONTROL!$C$32, $C$9, 100%, $E$9)</f>
        <v>30.1691</v>
      </c>
      <c r="K865" s="33">
        <f>30.1727 * CHOOSE(CONTROL!$C$32, $C$9, 100%, $E$9)</f>
        <v>30.172699999999999</v>
      </c>
      <c r="L865" s="33">
        <f>14.4158 * CHOOSE(CONTROL!$C$32, $C$9, 100%, $E$9)</f>
        <v>14.415800000000001</v>
      </c>
      <c r="M865" s="33">
        <f>14.4194 * CHOOSE(CONTROL!$C$32, $C$9, 100%, $E$9)</f>
        <v>14.4194</v>
      </c>
      <c r="N865" s="33">
        <f>14.4158 * CHOOSE(CONTROL!$C$32, $C$9, 100%, $E$9)</f>
        <v>14.415800000000001</v>
      </c>
      <c r="O865" s="33">
        <f>14.4194 * CHOOSE(CONTROL!$C$32, $C$9, 100%, $E$9)</f>
        <v>14.4194</v>
      </c>
    </row>
    <row r="866" spans="1:15" ht="15" x14ac:dyDescent="0.2">
      <c r="A866" s="16">
        <v>67573</v>
      </c>
      <c r="B866" s="32">
        <f>12.9414 * CHOOSE(CONTROL!$C$32, $C$9, 100%, $E$9)</f>
        <v>12.9414</v>
      </c>
      <c r="C866" s="32">
        <f>12.9414 * CHOOSE(CONTROL!$C$32, $C$9, 100%, $E$9)</f>
        <v>12.9414</v>
      </c>
      <c r="D866" s="32">
        <f>12.9425 * CHOOSE(CONTROL!$C$32, $C$9, 100%, $E$9)</f>
        <v>12.942500000000001</v>
      </c>
      <c r="E866" s="33">
        <f>14.5581 * CHOOSE(CONTROL!$C$32, $C$9, 100%, $E$9)</f>
        <v>14.5581</v>
      </c>
      <c r="F866" s="33">
        <f>14.5581 * CHOOSE(CONTROL!$C$32, $C$9, 100%, $E$9)</f>
        <v>14.5581</v>
      </c>
      <c r="G866" s="33">
        <f>14.5617 * CHOOSE(CONTROL!$C$32, $C$9, 100%, $E$9)</f>
        <v>14.5617</v>
      </c>
      <c r="H866" s="33">
        <f>29.9503 * CHOOSE(CONTROL!$C$32, $C$9, 100%, $E$9)</f>
        <v>29.950299999999999</v>
      </c>
      <c r="I866" s="33">
        <f>29.9539 * CHOOSE(CONTROL!$C$32, $C$9, 100%, $E$9)</f>
        <v>29.953900000000001</v>
      </c>
      <c r="J866" s="33">
        <f>29.9503 * CHOOSE(CONTROL!$C$32, $C$9, 100%, $E$9)</f>
        <v>29.950299999999999</v>
      </c>
      <c r="K866" s="33">
        <f>29.9539 * CHOOSE(CONTROL!$C$32, $C$9, 100%, $E$9)</f>
        <v>29.953900000000001</v>
      </c>
      <c r="L866" s="33">
        <f>14.5581 * CHOOSE(CONTROL!$C$32, $C$9, 100%, $E$9)</f>
        <v>14.5581</v>
      </c>
      <c r="M866" s="33">
        <f>14.5617 * CHOOSE(CONTROL!$C$32, $C$9, 100%, $E$9)</f>
        <v>14.5617</v>
      </c>
      <c r="N866" s="33">
        <f>14.5581 * CHOOSE(CONTROL!$C$32, $C$9, 100%, $E$9)</f>
        <v>14.5581</v>
      </c>
      <c r="O866" s="33">
        <f>14.5617 * CHOOSE(CONTROL!$C$32, $C$9, 100%, $E$9)</f>
        <v>14.5617</v>
      </c>
    </row>
    <row r="867" spans="1:15" ht="15" x14ac:dyDescent="0.2">
      <c r="A867" s="16">
        <v>67604</v>
      </c>
      <c r="B867" s="32">
        <f>12.9384 * CHOOSE(CONTROL!$C$32, $C$9, 100%, $E$9)</f>
        <v>12.9384</v>
      </c>
      <c r="C867" s="32">
        <f>12.9384 * CHOOSE(CONTROL!$C$32, $C$9, 100%, $E$9)</f>
        <v>12.9384</v>
      </c>
      <c r="D867" s="32">
        <f>12.9395 * CHOOSE(CONTROL!$C$32, $C$9, 100%, $E$9)</f>
        <v>12.939500000000001</v>
      </c>
      <c r="E867" s="33">
        <f>14.1608 * CHOOSE(CONTROL!$C$32, $C$9, 100%, $E$9)</f>
        <v>14.1608</v>
      </c>
      <c r="F867" s="33">
        <f>14.1608 * CHOOSE(CONTROL!$C$32, $C$9, 100%, $E$9)</f>
        <v>14.1608</v>
      </c>
      <c r="G867" s="33">
        <f>14.1644 * CHOOSE(CONTROL!$C$32, $C$9, 100%, $E$9)</f>
        <v>14.164400000000001</v>
      </c>
      <c r="H867" s="33">
        <f>30.0127 * CHOOSE(CONTROL!$C$32, $C$9, 100%, $E$9)</f>
        <v>30.012699999999999</v>
      </c>
      <c r="I867" s="33">
        <f>30.0163 * CHOOSE(CONTROL!$C$32, $C$9, 100%, $E$9)</f>
        <v>30.016300000000001</v>
      </c>
      <c r="J867" s="33">
        <f>30.0127 * CHOOSE(CONTROL!$C$32, $C$9, 100%, $E$9)</f>
        <v>30.012699999999999</v>
      </c>
      <c r="K867" s="33">
        <f>30.0163 * CHOOSE(CONTROL!$C$32, $C$9, 100%, $E$9)</f>
        <v>30.016300000000001</v>
      </c>
      <c r="L867" s="33">
        <f>14.1608 * CHOOSE(CONTROL!$C$32, $C$9, 100%, $E$9)</f>
        <v>14.1608</v>
      </c>
      <c r="M867" s="33">
        <f>14.1644 * CHOOSE(CONTROL!$C$32, $C$9, 100%, $E$9)</f>
        <v>14.164400000000001</v>
      </c>
      <c r="N867" s="33">
        <f>14.1608 * CHOOSE(CONTROL!$C$32, $C$9, 100%, $E$9)</f>
        <v>14.1608</v>
      </c>
      <c r="O867" s="33">
        <f>14.1644 * CHOOSE(CONTROL!$C$32, $C$9, 100%, $E$9)</f>
        <v>14.164400000000001</v>
      </c>
    </row>
    <row r="868" spans="1:15" ht="15" x14ac:dyDescent="0.2">
      <c r="A868" s="16">
        <v>67632</v>
      </c>
      <c r="B868" s="32">
        <f>12.9354 * CHOOSE(CONTROL!$C$32, $C$9, 100%, $E$9)</f>
        <v>12.9354</v>
      </c>
      <c r="C868" s="32">
        <f>12.9354 * CHOOSE(CONTROL!$C$32, $C$9, 100%, $E$9)</f>
        <v>12.9354</v>
      </c>
      <c r="D868" s="32">
        <f>12.9364 * CHOOSE(CONTROL!$C$32, $C$9, 100%, $E$9)</f>
        <v>12.936400000000001</v>
      </c>
      <c r="E868" s="33">
        <f>14.4702 * CHOOSE(CONTROL!$C$32, $C$9, 100%, $E$9)</f>
        <v>14.4702</v>
      </c>
      <c r="F868" s="33">
        <f>14.4702 * CHOOSE(CONTROL!$C$32, $C$9, 100%, $E$9)</f>
        <v>14.4702</v>
      </c>
      <c r="G868" s="33">
        <f>14.4738 * CHOOSE(CONTROL!$C$32, $C$9, 100%, $E$9)</f>
        <v>14.473800000000001</v>
      </c>
      <c r="H868" s="33">
        <f>30.0753 * CHOOSE(CONTROL!$C$32, $C$9, 100%, $E$9)</f>
        <v>30.075299999999999</v>
      </c>
      <c r="I868" s="33">
        <f>30.0789 * CHOOSE(CONTROL!$C$32, $C$9, 100%, $E$9)</f>
        <v>30.078900000000001</v>
      </c>
      <c r="J868" s="33">
        <f>30.0753 * CHOOSE(CONTROL!$C$32, $C$9, 100%, $E$9)</f>
        <v>30.075299999999999</v>
      </c>
      <c r="K868" s="33">
        <f>30.0789 * CHOOSE(CONTROL!$C$32, $C$9, 100%, $E$9)</f>
        <v>30.078900000000001</v>
      </c>
      <c r="L868" s="33">
        <f>14.4702 * CHOOSE(CONTROL!$C$32, $C$9, 100%, $E$9)</f>
        <v>14.4702</v>
      </c>
      <c r="M868" s="33">
        <f>14.4738 * CHOOSE(CONTROL!$C$32, $C$9, 100%, $E$9)</f>
        <v>14.473800000000001</v>
      </c>
      <c r="N868" s="33">
        <f>14.4702 * CHOOSE(CONTROL!$C$32, $C$9, 100%, $E$9)</f>
        <v>14.4702</v>
      </c>
      <c r="O868" s="33">
        <f>14.4738 * CHOOSE(CONTROL!$C$32, $C$9, 100%, $E$9)</f>
        <v>14.473800000000001</v>
      </c>
    </row>
    <row r="869" spans="1:15" ht="15" x14ac:dyDescent="0.2">
      <c r="A869" s="16">
        <v>67663</v>
      </c>
      <c r="B869" s="32">
        <f>12.9417 * CHOOSE(CONTROL!$C$32, $C$9, 100%, $E$9)</f>
        <v>12.941700000000001</v>
      </c>
      <c r="C869" s="32">
        <f>12.9417 * CHOOSE(CONTROL!$C$32, $C$9, 100%, $E$9)</f>
        <v>12.941700000000001</v>
      </c>
      <c r="D869" s="32">
        <f>12.9428 * CHOOSE(CONTROL!$C$32, $C$9, 100%, $E$9)</f>
        <v>12.9428</v>
      </c>
      <c r="E869" s="33">
        <f>14.8005 * CHOOSE(CONTROL!$C$32, $C$9, 100%, $E$9)</f>
        <v>14.8005</v>
      </c>
      <c r="F869" s="33">
        <f>14.8005 * CHOOSE(CONTROL!$C$32, $C$9, 100%, $E$9)</f>
        <v>14.8005</v>
      </c>
      <c r="G869" s="33">
        <f>14.8042 * CHOOSE(CONTROL!$C$32, $C$9, 100%, $E$9)</f>
        <v>14.8042</v>
      </c>
      <c r="H869" s="33">
        <f>30.1379 * CHOOSE(CONTROL!$C$32, $C$9, 100%, $E$9)</f>
        <v>30.137899999999998</v>
      </c>
      <c r="I869" s="33">
        <f>30.1415 * CHOOSE(CONTROL!$C$32, $C$9, 100%, $E$9)</f>
        <v>30.141500000000001</v>
      </c>
      <c r="J869" s="33">
        <f>30.1379 * CHOOSE(CONTROL!$C$32, $C$9, 100%, $E$9)</f>
        <v>30.137899999999998</v>
      </c>
      <c r="K869" s="33">
        <f>30.1415 * CHOOSE(CONTROL!$C$32, $C$9, 100%, $E$9)</f>
        <v>30.141500000000001</v>
      </c>
      <c r="L869" s="33">
        <f>14.8005 * CHOOSE(CONTROL!$C$32, $C$9, 100%, $E$9)</f>
        <v>14.8005</v>
      </c>
      <c r="M869" s="33">
        <f>14.8042 * CHOOSE(CONTROL!$C$32, $C$9, 100%, $E$9)</f>
        <v>14.8042</v>
      </c>
      <c r="N869" s="33">
        <f>14.8005 * CHOOSE(CONTROL!$C$32, $C$9, 100%, $E$9)</f>
        <v>14.8005</v>
      </c>
      <c r="O869" s="33">
        <f>14.8042 * CHOOSE(CONTROL!$C$32, $C$9, 100%, $E$9)</f>
        <v>14.8042</v>
      </c>
    </row>
    <row r="870" spans="1:15" ht="15" x14ac:dyDescent="0.2">
      <c r="A870" s="16">
        <v>67693</v>
      </c>
      <c r="B870" s="32">
        <f>12.9417 * CHOOSE(CONTROL!$C$32, $C$9, 100%, $E$9)</f>
        <v>12.941700000000001</v>
      </c>
      <c r="C870" s="32">
        <f>12.9417 * CHOOSE(CONTROL!$C$32, $C$9, 100%, $E$9)</f>
        <v>12.941700000000001</v>
      </c>
      <c r="D870" s="32">
        <f>12.9433 * CHOOSE(CONTROL!$C$32, $C$9, 100%, $E$9)</f>
        <v>12.943300000000001</v>
      </c>
      <c r="E870" s="33">
        <f>14.926 * CHOOSE(CONTROL!$C$32, $C$9, 100%, $E$9)</f>
        <v>14.926</v>
      </c>
      <c r="F870" s="33">
        <f>14.926 * CHOOSE(CONTROL!$C$32, $C$9, 100%, $E$9)</f>
        <v>14.926</v>
      </c>
      <c r="G870" s="33">
        <f>14.9313 * CHOOSE(CONTROL!$C$32, $C$9, 100%, $E$9)</f>
        <v>14.9313</v>
      </c>
      <c r="H870" s="33">
        <f>30.2007 * CHOOSE(CONTROL!$C$32, $C$9, 100%, $E$9)</f>
        <v>30.200700000000001</v>
      </c>
      <c r="I870" s="33">
        <f>30.206 * CHOOSE(CONTROL!$C$32, $C$9, 100%, $E$9)</f>
        <v>30.206</v>
      </c>
      <c r="J870" s="33">
        <f>30.2007 * CHOOSE(CONTROL!$C$32, $C$9, 100%, $E$9)</f>
        <v>30.200700000000001</v>
      </c>
      <c r="K870" s="33">
        <f>30.206 * CHOOSE(CONTROL!$C$32, $C$9, 100%, $E$9)</f>
        <v>30.206</v>
      </c>
      <c r="L870" s="33">
        <f>14.926 * CHOOSE(CONTROL!$C$32, $C$9, 100%, $E$9)</f>
        <v>14.926</v>
      </c>
      <c r="M870" s="33">
        <f>14.9313 * CHOOSE(CONTROL!$C$32, $C$9, 100%, $E$9)</f>
        <v>14.9313</v>
      </c>
      <c r="N870" s="33">
        <f>14.926 * CHOOSE(CONTROL!$C$32, $C$9, 100%, $E$9)</f>
        <v>14.926</v>
      </c>
      <c r="O870" s="33">
        <f>14.9313 * CHOOSE(CONTROL!$C$32, $C$9, 100%, $E$9)</f>
        <v>14.9313</v>
      </c>
    </row>
    <row r="871" spans="1:15" ht="15" x14ac:dyDescent="0.2">
      <c r="A871" s="16">
        <v>67724</v>
      </c>
      <c r="B871" s="32">
        <f>12.9478 * CHOOSE(CONTROL!$C$32, $C$9, 100%, $E$9)</f>
        <v>12.947800000000001</v>
      </c>
      <c r="C871" s="32">
        <f>12.9478 * CHOOSE(CONTROL!$C$32, $C$9, 100%, $E$9)</f>
        <v>12.947800000000001</v>
      </c>
      <c r="D871" s="32">
        <f>12.9493 * CHOOSE(CONTROL!$C$32, $C$9, 100%, $E$9)</f>
        <v>12.949299999999999</v>
      </c>
      <c r="E871" s="33">
        <f>14.8048 * CHOOSE(CONTROL!$C$32, $C$9, 100%, $E$9)</f>
        <v>14.8048</v>
      </c>
      <c r="F871" s="33">
        <f>14.8048 * CHOOSE(CONTROL!$C$32, $C$9, 100%, $E$9)</f>
        <v>14.8048</v>
      </c>
      <c r="G871" s="33">
        <f>14.8101 * CHOOSE(CONTROL!$C$32, $C$9, 100%, $E$9)</f>
        <v>14.8101</v>
      </c>
      <c r="H871" s="33">
        <f>30.2636 * CHOOSE(CONTROL!$C$32, $C$9, 100%, $E$9)</f>
        <v>30.2636</v>
      </c>
      <c r="I871" s="33">
        <f>30.2689 * CHOOSE(CONTROL!$C$32, $C$9, 100%, $E$9)</f>
        <v>30.268899999999999</v>
      </c>
      <c r="J871" s="33">
        <f>30.2636 * CHOOSE(CONTROL!$C$32, $C$9, 100%, $E$9)</f>
        <v>30.2636</v>
      </c>
      <c r="K871" s="33">
        <f>30.2689 * CHOOSE(CONTROL!$C$32, $C$9, 100%, $E$9)</f>
        <v>30.268899999999999</v>
      </c>
      <c r="L871" s="33">
        <f>14.8048 * CHOOSE(CONTROL!$C$32, $C$9, 100%, $E$9)</f>
        <v>14.8048</v>
      </c>
      <c r="M871" s="33">
        <f>14.8101 * CHOOSE(CONTROL!$C$32, $C$9, 100%, $E$9)</f>
        <v>14.8101</v>
      </c>
      <c r="N871" s="33">
        <f>14.8048 * CHOOSE(CONTROL!$C$32, $C$9, 100%, $E$9)</f>
        <v>14.8048</v>
      </c>
      <c r="O871" s="33">
        <f>14.8101 * CHOOSE(CONTROL!$C$32, $C$9, 100%, $E$9)</f>
        <v>14.8101</v>
      </c>
    </row>
    <row r="872" spans="1:15" ht="15" x14ac:dyDescent="0.2">
      <c r="A872" s="16">
        <v>67754</v>
      </c>
      <c r="B872" s="32">
        <f>13.1045 * CHOOSE(CONTROL!$C$32, $C$9, 100%, $E$9)</f>
        <v>13.1045</v>
      </c>
      <c r="C872" s="32">
        <f>13.1045 * CHOOSE(CONTROL!$C$32, $C$9, 100%, $E$9)</f>
        <v>13.1045</v>
      </c>
      <c r="D872" s="32">
        <f>13.1061 * CHOOSE(CONTROL!$C$32, $C$9, 100%, $E$9)</f>
        <v>13.1061</v>
      </c>
      <c r="E872" s="33">
        <f>15.0144 * CHOOSE(CONTROL!$C$32, $C$9, 100%, $E$9)</f>
        <v>15.0144</v>
      </c>
      <c r="F872" s="33">
        <f>15.0144 * CHOOSE(CONTROL!$C$32, $C$9, 100%, $E$9)</f>
        <v>15.0144</v>
      </c>
      <c r="G872" s="33">
        <f>15.0197 * CHOOSE(CONTROL!$C$32, $C$9, 100%, $E$9)</f>
        <v>15.0197</v>
      </c>
      <c r="H872" s="33">
        <f>30.3267 * CHOOSE(CONTROL!$C$32, $C$9, 100%, $E$9)</f>
        <v>30.326699999999999</v>
      </c>
      <c r="I872" s="33">
        <f>30.332 * CHOOSE(CONTROL!$C$32, $C$9, 100%, $E$9)</f>
        <v>30.332000000000001</v>
      </c>
      <c r="J872" s="33">
        <f>30.3267 * CHOOSE(CONTROL!$C$32, $C$9, 100%, $E$9)</f>
        <v>30.326699999999999</v>
      </c>
      <c r="K872" s="33">
        <f>30.332 * CHOOSE(CONTROL!$C$32, $C$9, 100%, $E$9)</f>
        <v>30.332000000000001</v>
      </c>
      <c r="L872" s="33">
        <f>15.0144 * CHOOSE(CONTROL!$C$32, $C$9, 100%, $E$9)</f>
        <v>15.0144</v>
      </c>
      <c r="M872" s="33">
        <f>15.0197 * CHOOSE(CONTROL!$C$32, $C$9, 100%, $E$9)</f>
        <v>15.0197</v>
      </c>
      <c r="N872" s="33">
        <f>15.0144 * CHOOSE(CONTROL!$C$32, $C$9, 100%, $E$9)</f>
        <v>15.0144</v>
      </c>
      <c r="O872" s="33">
        <f>15.0197 * CHOOSE(CONTROL!$C$32, $C$9, 100%, $E$9)</f>
        <v>15.0197</v>
      </c>
    </row>
    <row r="873" spans="1:15" ht="15" x14ac:dyDescent="0.2">
      <c r="A873" s="16">
        <v>67785</v>
      </c>
      <c r="B873" s="32">
        <f>13.1112 * CHOOSE(CONTROL!$C$32, $C$9, 100%, $E$9)</f>
        <v>13.1112</v>
      </c>
      <c r="C873" s="32">
        <f>13.1112 * CHOOSE(CONTROL!$C$32, $C$9, 100%, $E$9)</f>
        <v>13.1112</v>
      </c>
      <c r="D873" s="32">
        <f>13.1127 * CHOOSE(CONTROL!$C$32, $C$9, 100%, $E$9)</f>
        <v>13.1127</v>
      </c>
      <c r="E873" s="33">
        <f>14.6427 * CHOOSE(CONTROL!$C$32, $C$9, 100%, $E$9)</f>
        <v>14.6427</v>
      </c>
      <c r="F873" s="33">
        <f>14.6427 * CHOOSE(CONTROL!$C$32, $C$9, 100%, $E$9)</f>
        <v>14.6427</v>
      </c>
      <c r="G873" s="33">
        <f>14.6479 * CHOOSE(CONTROL!$C$32, $C$9, 100%, $E$9)</f>
        <v>14.6479</v>
      </c>
      <c r="H873" s="33">
        <f>30.3898 * CHOOSE(CONTROL!$C$32, $C$9, 100%, $E$9)</f>
        <v>30.389800000000001</v>
      </c>
      <c r="I873" s="33">
        <f>30.3951 * CHOOSE(CONTROL!$C$32, $C$9, 100%, $E$9)</f>
        <v>30.395099999999999</v>
      </c>
      <c r="J873" s="33">
        <f>30.3898 * CHOOSE(CONTROL!$C$32, $C$9, 100%, $E$9)</f>
        <v>30.389800000000001</v>
      </c>
      <c r="K873" s="33">
        <f>30.3951 * CHOOSE(CONTROL!$C$32, $C$9, 100%, $E$9)</f>
        <v>30.395099999999999</v>
      </c>
      <c r="L873" s="33">
        <f>14.6427 * CHOOSE(CONTROL!$C$32, $C$9, 100%, $E$9)</f>
        <v>14.6427</v>
      </c>
      <c r="M873" s="33">
        <f>14.6479 * CHOOSE(CONTROL!$C$32, $C$9, 100%, $E$9)</f>
        <v>14.6479</v>
      </c>
      <c r="N873" s="33">
        <f>14.6427 * CHOOSE(CONTROL!$C$32, $C$9, 100%, $E$9)</f>
        <v>14.6427</v>
      </c>
      <c r="O873" s="33">
        <f>14.6479 * CHOOSE(CONTROL!$C$32, $C$9, 100%, $E$9)</f>
        <v>14.6479</v>
      </c>
    </row>
    <row r="874" spans="1:15" ht="15" x14ac:dyDescent="0.2">
      <c r="A874" s="16">
        <v>67816</v>
      </c>
      <c r="B874" s="32">
        <f>13.1081 * CHOOSE(CONTROL!$C$32, $C$9, 100%, $E$9)</f>
        <v>13.1081</v>
      </c>
      <c r="C874" s="32">
        <f>13.1081 * CHOOSE(CONTROL!$C$32, $C$9, 100%, $E$9)</f>
        <v>13.1081</v>
      </c>
      <c r="D874" s="32">
        <f>13.1097 * CHOOSE(CONTROL!$C$32, $C$9, 100%, $E$9)</f>
        <v>13.1097</v>
      </c>
      <c r="E874" s="33">
        <f>14.5987 * CHOOSE(CONTROL!$C$32, $C$9, 100%, $E$9)</f>
        <v>14.598699999999999</v>
      </c>
      <c r="F874" s="33">
        <f>14.5987 * CHOOSE(CONTROL!$C$32, $C$9, 100%, $E$9)</f>
        <v>14.598699999999999</v>
      </c>
      <c r="G874" s="33">
        <f>14.604 * CHOOSE(CONTROL!$C$32, $C$9, 100%, $E$9)</f>
        <v>14.603999999999999</v>
      </c>
      <c r="H874" s="33">
        <f>30.4532 * CHOOSE(CONTROL!$C$32, $C$9, 100%, $E$9)</f>
        <v>30.453199999999999</v>
      </c>
      <c r="I874" s="33">
        <f>30.4585 * CHOOSE(CONTROL!$C$32, $C$9, 100%, $E$9)</f>
        <v>30.458500000000001</v>
      </c>
      <c r="J874" s="33">
        <f>30.4532 * CHOOSE(CONTROL!$C$32, $C$9, 100%, $E$9)</f>
        <v>30.453199999999999</v>
      </c>
      <c r="K874" s="33">
        <f>30.4585 * CHOOSE(CONTROL!$C$32, $C$9, 100%, $E$9)</f>
        <v>30.458500000000001</v>
      </c>
      <c r="L874" s="33">
        <f>14.5987 * CHOOSE(CONTROL!$C$32, $C$9, 100%, $E$9)</f>
        <v>14.598699999999999</v>
      </c>
      <c r="M874" s="33">
        <f>14.604 * CHOOSE(CONTROL!$C$32, $C$9, 100%, $E$9)</f>
        <v>14.603999999999999</v>
      </c>
      <c r="N874" s="33">
        <f>14.5987 * CHOOSE(CONTROL!$C$32, $C$9, 100%, $E$9)</f>
        <v>14.598699999999999</v>
      </c>
      <c r="O874" s="33">
        <f>14.604 * CHOOSE(CONTROL!$C$32, $C$9, 100%, $E$9)</f>
        <v>14.603999999999999</v>
      </c>
    </row>
    <row r="875" spans="1:15" ht="15" x14ac:dyDescent="0.2">
      <c r="A875" s="16">
        <v>67846</v>
      </c>
      <c r="B875" s="32">
        <f>13.1372 * CHOOSE(CONTROL!$C$32, $C$9, 100%, $E$9)</f>
        <v>13.1372</v>
      </c>
      <c r="C875" s="32">
        <f>13.1372 * CHOOSE(CONTROL!$C$32, $C$9, 100%, $E$9)</f>
        <v>13.1372</v>
      </c>
      <c r="D875" s="32">
        <f>13.1383 * CHOOSE(CONTROL!$C$32, $C$9, 100%, $E$9)</f>
        <v>13.138299999999999</v>
      </c>
      <c r="E875" s="33">
        <f>14.7526 * CHOOSE(CONTROL!$C$32, $C$9, 100%, $E$9)</f>
        <v>14.752599999999999</v>
      </c>
      <c r="F875" s="33">
        <f>14.7526 * CHOOSE(CONTROL!$C$32, $C$9, 100%, $E$9)</f>
        <v>14.752599999999999</v>
      </c>
      <c r="G875" s="33">
        <f>14.7562 * CHOOSE(CONTROL!$C$32, $C$9, 100%, $E$9)</f>
        <v>14.7562</v>
      </c>
      <c r="H875" s="33">
        <f>30.5166 * CHOOSE(CONTROL!$C$32, $C$9, 100%, $E$9)</f>
        <v>30.5166</v>
      </c>
      <c r="I875" s="33">
        <f>30.5202 * CHOOSE(CONTROL!$C$32, $C$9, 100%, $E$9)</f>
        <v>30.520199999999999</v>
      </c>
      <c r="J875" s="33">
        <f>30.5166 * CHOOSE(CONTROL!$C$32, $C$9, 100%, $E$9)</f>
        <v>30.5166</v>
      </c>
      <c r="K875" s="33">
        <f>30.5202 * CHOOSE(CONTROL!$C$32, $C$9, 100%, $E$9)</f>
        <v>30.520199999999999</v>
      </c>
      <c r="L875" s="33">
        <f>14.7526 * CHOOSE(CONTROL!$C$32, $C$9, 100%, $E$9)</f>
        <v>14.752599999999999</v>
      </c>
      <c r="M875" s="33">
        <f>14.7562 * CHOOSE(CONTROL!$C$32, $C$9, 100%, $E$9)</f>
        <v>14.7562</v>
      </c>
      <c r="N875" s="33">
        <f>14.7526 * CHOOSE(CONTROL!$C$32, $C$9, 100%, $E$9)</f>
        <v>14.752599999999999</v>
      </c>
      <c r="O875" s="33">
        <f>14.7562 * CHOOSE(CONTROL!$C$32, $C$9, 100%, $E$9)</f>
        <v>14.7562</v>
      </c>
    </row>
    <row r="876" spans="1:15" ht="15" x14ac:dyDescent="0.2">
      <c r="A876" s="16">
        <v>67877</v>
      </c>
      <c r="B876" s="32">
        <f>13.1403 * CHOOSE(CONTROL!$C$32, $C$9, 100%, $E$9)</f>
        <v>13.1403</v>
      </c>
      <c r="C876" s="32">
        <f>13.1403 * CHOOSE(CONTROL!$C$32, $C$9, 100%, $E$9)</f>
        <v>13.1403</v>
      </c>
      <c r="D876" s="32">
        <f>13.1413 * CHOOSE(CONTROL!$C$32, $C$9, 100%, $E$9)</f>
        <v>13.141299999999999</v>
      </c>
      <c r="E876" s="33">
        <f>14.8383 * CHOOSE(CONTROL!$C$32, $C$9, 100%, $E$9)</f>
        <v>14.8383</v>
      </c>
      <c r="F876" s="33">
        <f>14.8383 * CHOOSE(CONTROL!$C$32, $C$9, 100%, $E$9)</f>
        <v>14.8383</v>
      </c>
      <c r="G876" s="33">
        <f>14.842 * CHOOSE(CONTROL!$C$32, $C$9, 100%, $E$9)</f>
        <v>14.842000000000001</v>
      </c>
      <c r="H876" s="33">
        <f>30.5802 * CHOOSE(CONTROL!$C$32, $C$9, 100%, $E$9)</f>
        <v>30.580200000000001</v>
      </c>
      <c r="I876" s="33">
        <f>30.5838 * CHOOSE(CONTROL!$C$32, $C$9, 100%, $E$9)</f>
        <v>30.5838</v>
      </c>
      <c r="J876" s="33">
        <f>30.5802 * CHOOSE(CONTROL!$C$32, $C$9, 100%, $E$9)</f>
        <v>30.580200000000001</v>
      </c>
      <c r="K876" s="33">
        <f>30.5838 * CHOOSE(CONTROL!$C$32, $C$9, 100%, $E$9)</f>
        <v>30.5838</v>
      </c>
      <c r="L876" s="33">
        <f>14.8383 * CHOOSE(CONTROL!$C$32, $C$9, 100%, $E$9)</f>
        <v>14.8383</v>
      </c>
      <c r="M876" s="33">
        <f>14.842 * CHOOSE(CONTROL!$C$32, $C$9, 100%, $E$9)</f>
        <v>14.842000000000001</v>
      </c>
      <c r="N876" s="33">
        <f>14.8383 * CHOOSE(CONTROL!$C$32, $C$9, 100%, $E$9)</f>
        <v>14.8383</v>
      </c>
      <c r="O876" s="33">
        <f>14.842 * CHOOSE(CONTROL!$C$32, $C$9, 100%, $E$9)</f>
        <v>14.842000000000001</v>
      </c>
    </row>
    <row r="877" spans="1:15" ht="15" x14ac:dyDescent="0.2">
      <c r="A877" s="16">
        <v>67907</v>
      </c>
      <c r="B877" s="32">
        <f>13.1403 * CHOOSE(CONTROL!$C$32, $C$9, 100%, $E$9)</f>
        <v>13.1403</v>
      </c>
      <c r="C877" s="32">
        <f>13.1403 * CHOOSE(CONTROL!$C$32, $C$9, 100%, $E$9)</f>
        <v>13.1403</v>
      </c>
      <c r="D877" s="32">
        <f>13.1413 * CHOOSE(CONTROL!$C$32, $C$9, 100%, $E$9)</f>
        <v>13.141299999999999</v>
      </c>
      <c r="E877" s="33">
        <f>14.6292 * CHOOSE(CONTROL!$C$32, $C$9, 100%, $E$9)</f>
        <v>14.629200000000001</v>
      </c>
      <c r="F877" s="33">
        <f>14.6292 * CHOOSE(CONTROL!$C$32, $C$9, 100%, $E$9)</f>
        <v>14.629200000000001</v>
      </c>
      <c r="G877" s="33">
        <f>14.6328 * CHOOSE(CONTROL!$C$32, $C$9, 100%, $E$9)</f>
        <v>14.6328</v>
      </c>
      <c r="H877" s="33">
        <f>30.6439 * CHOOSE(CONTROL!$C$32, $C$9, 100%, $E$9)</f>
        <v>30.643899999999999</v>
      </c>
      <c r="I877" s="33">
        <f>30.6475 * CHOOSE(CONTROL!$C$32, $C$9, 100%, $E$9)</f>
        <v>30.647500000000001</v>
      </c>
      <c r="J877" s="33">
        <f>30.6439 * CHOOSE(CONTROL!$C$32, $C$9, 100%, $E$9)</f>
        <v>30.643899999999999</v>
      </c>
      <c r="K877" s="33">
        <f>30.6475 * CHOOSE(CONTROL!$C$32, $C$9, 100%, $E$9)</f>
        <v>30.647500000000001</v>
      </c>
      <c r="L877" s="33">
        <f>14.6292 * CHOOSE(CONTROL!$C$32, $C$9, 100%, $E$9)</f>
        <v>14.629200000000001</v>
      </c>
      <c r="M877" s="33">
        <f>14.6328 * CHOOSE(CONTROL!$C$32, $C$9, 100%, $E$9)</f>
        <v>14.6328</v>
      </c>
      <c r="N877" s="33">
        <f>14.6292 * CHOOSE(CONTROL!$C$32, $C$9, 100%, $E$9)</f>
        <v>14.629200000000001</v>
      </c>
      <c r="O877" s="33">
        <f>14.6328 * CHOOSE(CONTROL!$C$32, $C$9, 100%, $E$9)</f>
        <v>14.6328</v>
      </c>
    </row>
    <row r="878" spans="1:15" ht="15" x14ac:dyDescent="0.2">
      <c r="A878" s="16">
        <v>67938</v>
      </c>
      <c r="B878" s="32">
        <f>13.1288 * CHOOSE(CONTROL!$C$32, $C$9, 100%, $E$9)</f>
        <v>13.1288</v>
      </c>
      <c r="C878" s="32">
        <f>13.1288 * CHOOSE(CONTROL!$C$32, $C$9, 100%, $E$9)</f>
        <v>13.1288</v>
      </c>
      <c r="D878" s="32">
        <f>13.1299 * CHOOSE(CONTROL!$C$32, $C$9, 100%, $E$9)</f>
        <v>13.129899999999999</v>
      </c>
      <c r="E878" s="33">
        <f>14.7706 * CHOOSE(CONTROL!$C$32, $C$9, 100%, $E$9)</f>
        <v>14.7706</v>
      </c>
      <c r="F878" s="33">
        <f>14.7706 * CHOOSE(CONTROL!$C$32, $C$9, 100%, $E$9)</f>
        <v>14.7706</v>
      </c>
      <c r="G878" s="33">
        <f>14.7742 * CHOOSE(CONTROL!$C$32, $C$9, 100%, $E$9)</f>
        <v>14.7742</v>
      </c>
      <c r="H878" s="33">
        <f>30.4144 * CHOOSE(CONTROL!$C$32, $C$9, 100%, $E$9)</f>
        <v>30.414400000000001</v>
      </c>
      <c r="I878" s="33">
        <f>30.418 * CHOOSE(CONTROL!$C$32, $C$9, 100%, $E$9)</f>
        <v>30.417999999999999</v>
      </c>
      <c r="J878" s="33">
        <f>30.4144 * CHOOSE(CONTROL!$C$32, $C$9, 100%, $E$9)</f>
        <v>30.414400000000001</v>
      </c>
      <c r="K878" s="33">
        <f>30.418 * CHOOSE(CONTROL!$C$32, $C$9, 100%, $E$9)</f>
        <v>30.417999999999999</v>
      </c>
      <c r="L878" s="33">
        <f>14.7706 * CHOOSE(CONTROL!$C$32, $C$9, 100%, $E$9)</f>
        <v>14.7706</v>
      </c>
      <c r="M878" s="33">
        <f>14.7742 * CHOOSE(CONTROL!$C$32, $C$9, 100%, $E$9)</f>
        <v>14.7742</v>
      </c>
      <c r="N878" s="33">
        <f>14.7706 * CHOOSE(CONTROL!$C$32, $C$9, 100%, $E$9)</f>
        <v>14.7706</v>
      </c>
      <c r="O878" s="33">
        <f>14.7742 * CHOOSE(CONTROL!$C$32, $C$9, 100%, $E$9)</f>
        <v>14.7742</v>
      </c>
    </row>
    <row r="879" spans="1:15" ht="15" x14ac:dyDescent="0.2">
      <c r="A879" s="16">
        <v>67969</v>
      </c>
      <c r="B879" s="32">
        <f>13.1258 * CHOOSE(CONTROL!$C$32, $C$9, 100%, $E$9)</f>
        <v>13.1258</v>
      </c>
      <c r="C879" s="32">
        <f>13.1258 * CHOOSE(CONTROL!$C$32, $C$9, 100%, $E$9)</f>
        <v>13.1258</v>
      </c>
      <c r="D879" s="32">
        <f>13.1268 * CHOOSE(CONTROL!$C$32, $C$9, 100%, $E$9)</f>
        <v>13.126799999999999</v>
      </c>
      <c r="E879" s="33">
        <f>14.3662 * CHOOSE(CONTROL!$C$32, $C$9, 100%, $E$9)</f>
        <v>14.366199999999999</v>
      </c>
      <c r="F879" s="33">
        <f>14.3662 * CHOOSE(CONTROL!$C$32, $C$9, 100%, $E$9)</f>
        <v>14.366199999999999</v>
      </c>
      <c r="G879" s="33">
        <f>14.3698 * CHOOSE(CONTROL!$C$32, $C$9, 100%, $E$9)</f>
        <v>14.3698</v>
      </c>
      <c r="H879" s="33">
        <f>30.4777 * CHOOSE(CONTROL!$C$32, $C$9, 100%, $E$9)</f>
        <v>30.477699999999999</v>
      </c>
      <c r="I879" s="33">
        <f>30.4813 * CHOOSE(CONTROL!$C$32, $C$9, 100%, $E$9)</f>
        <v>30.481300000000001</v>
      </c>
      <c r="J879" s="33">
        <f>30.4777 * CHOOSE(CONTROL!$C$32, $C$9, 100%, $E$9)</f>
        <v>30.477699999999999</v>
      </c>
      <c r="K879" s="33">
        <f>30.4813 * CHOOSE(CONTROL!$C$32, $C$9, 100%, $E$9)</f>
        <v>30.481300000000001</v>
      </c>
      <c r="L879" s="33">
        <f>14.3662 * CHOOSE(CONTROL!$C$32, $C$9, 100%, $E$9)</f>
        <v>14.366199999999999</v>
      </c>
      <c r="M879" s="33">
        <f>14.3698 * CHOOSE(CONTROL!$C$32, $C$9, 100%, $E$9)</f>
        <v>14.3698</v>
      </c>
      <c r="N879" s="33">
        <f>14.3662 * CHOOSE(CONTROL!$C$32, $C$9, 100%, $E$9)</f>
        <v>14.366199999999999</v>
      </c>
      <c r="O879" s="33">
        <f>14.3698 * CHOOSE(CONTROL!$C$32, $C$9, 100%, $E$9)</f>
        <v>14.3698</v>
      </c>
    </row>
    <row r="880" spans="1:15" ht="15" x14ac:dyDescent="0.2">
      <c r="A880" s="16">
        <v>67997</v>
      </c>
      <c r="B880" s="32">
        <f>13.1227 * CHOOSE(CONTROL!$C$32, $C$9, 100%, $E$9)</f>
        <v>13.1227</v>
      </c>
      <c r="C880" s="32">
        <f>13.1227 * CHOOSE(CONTROL!$C$32, $C$9, 100%, $E$9)</f>
        <v>13.1227</v>
      </c>
      <c r="D880" s="32">
        <f>13.1238 * CHOOSE(CONTROL!$C$32, $C$9, 100%, $E$9)</f>
        <v>13.123799999999999</v>
      </c>
      <c r="E880" s="33">
        <f>14.6812 * CHOOSE(CONTROL!$C$32, $C$9, 100%, $E$9)</f>
        <v>14.6812</v>
      </c>
      <c r="F880" s="33">
        <f>14.6812 * CHOOSE(CONTROL!$C$32, $C$9, 100%, $E$9)</f>
        <v>14.6812</v>
      </c>
      <c r="G880" s="33">
        <f>14.6848 * CHOOSE(CONTROL!$C$32, $C$9, 100%, $E$9)</f>
        <v>14.684799999999999</v>
      </c>
      <c r="H880" s="33">
        <f>30.5412 * CHOOSE(CONTROL!$C$32, $C$9, 100%, $E$9)</f>
        <v>30.5412</v>
      </c>
      <c r="I880" s="33">
        <f>30.5448 * CHOOSE(CONTROL!$C$32, $C$9, 100%, $E$9)</f>
        <v>30.544799999999999</v>
      </c>
      <c r="J880" s="33">
        <f>30.5412 * CHOOSE(CONTROL!$C$32, $C$9, 100%, $E$9)</f>
        <v>30.5412</v>
      </c>
      <c r="K880" s="33">
        <f>30.5448 * CHOOSE(CONTROL!$C$32, $C$9, 100%, $E$9)</f>
        <v>30.544799999999999</v>
      </c>
      <c r="L880" s="33">
        <f>14.6812 * CHOOSE(CONTROL!$C$32, $C$9, 100%, $E$9)</f>
        <v>14.6812</v>
      </c>
      <c r="M880" s="33">
        <f>14.6848 * CHOOSE(CONTROL!$C$32, $C$9, 100%, $E$9)</f>
        <v>14.684799999999999</v>
      </c>
      <c r="N880" s="33">
        <f>14.6812 * CHOOSE(CONTROL!$C$32, $C$9, 100%, $E$9)</f>
        <v>14.6812</v>
      </c>
      <c r="O880" s="33">
        <f>14.6848 * CHOOSE(CONTROL!$C$32, $C$9, 100%, $E$9)</f>
        <v>14.684799999999999</v>
      </c>
    </row>
    <row r="881" spans="1:15" ht="15" x14ac:dyDescent="0.2">
      <c r="A881" s="16">
        <v>68028</v>
      </c>
      <c r="B881" s="32">
        <f>13.1292 * CHOOSE(CONTROL!$C$32, $C$9, 100%, $E$9)</f>
        <v>13.129200000000001</v>
      </c>
      <c r="C881" s="32">
        <f>13.1292 * CHOOSE(CONTROL!$C$32, $C$9, 100%, $E$9)</f>
        <v>13.129200000000001</v>
      </c>
      <c r="D881" s="32">
        <f>13.1303 * CHOOSE(CONTROL!$C$32, $C$9, 100%, $E$9)</f>
        <v>13.1303</v>
      </c>
      <c r="E881" s="33">
        <f>15.0175 * CHOOSE(CONTROL!$C$32, $C$9, 100%, $E$9)</f>
        <v>15.0175</v>
      </c>
      <c r="F881" s="33">
        <f>15.0175 * CHOOSE(CONTROL!$C$32, $C$9, 100%, $E$9)</f>
        <v>15.0175</v>
      </c>
      <c r="G881" s="33">
        <f>15.0212 * CHOOSE(CONTROL!$C$32, $C$9, 100%, $E$9)</f>
        <v>15.0212</v>
      </c>
      <c r="H881" s="33">
        <f>30.6048 * CHOOSE(CONTROL!$C$32, $C$9, 100%, $E$9)</f>
        <v>30.604800000000001</v>
      </c>
      <c r="I881" s="33">
        <f>30.6085 * CHOOSE(CONTROL!$C$32, $C$9, 100%, $E$9)</f>
        <v>30.608499999999999</v>
      </c>
      <c r="J881" s="33">
        <f>30.6048 * CHOOSE(CONTROL!$C$32, $C$9, 100%, $E$9)</f>
        <v>30.604800000000001</v>
      </c>
      <c r="K881" s="33">
        <f>30.6085 * CHOOSE(CONTROL!$C$32, $C$9, 100%, $E$9)</f>
        <v>30.608499999999999</v>
      </c>
      <c r="L881" s="33">
        <f>15.0175 * CHOOSE(CONTROL!$C$32, $C$9, 100%, $E$9)</f>
        <v>15.0175</v>
      </c>
      <c r="M881" s="33">
        <f>15.0212 * CHOOSE(CONTROL!$C$32, $C$9, 100%, $E$9)</f>
        <v>15.0212</v>
      </c>
      <c r="N881" s="33">
        <f>15.0175 * CHOOSE(CONTROL!$C$32, $C$9, 100%, $E$9)</f>
        <v>15.0175</v>
      </c>
      <c r="O881" s="33">
        <f>15.0212 * CHOOSE(CONTROL!$C$32, $C$9, 100%, $E$9)</f>
        <v>15.0212</v>
      </c>
    </row>
    <row r="882" spans="1:15" ht="15" x14ac:dyDescent="0.2">
      <c r="A882" s="16">
        <v>68058</v>
      </c>
      <c r="B882" s="32">
        <f>13.1292 * CHOOSE(CONTROL!$C$32, $C$9, 100%, $E$9)</f>
        <v>13.129200000000001</v>
      </c>
      <c r="C882" s="32">
        <f>13.1292 * CHOOSE(CONTROL!$C$32, $C$9, 100%, $E$9)</f>
        <v>13.129200000000001</v>
      </c>
      <c r="D882" s="32">
        <f>13.1308 * CHOOSE(CONTROL!$C$32, $C$9, 100%, $E$9)</f>
        <v>13.130800000000001</v>
      </c>
      <c r="E882" s="33">
        <f>15.1453 * CHOOSE(CONTROL!$C$32, $C$9, 100%, $E$9)</f>
        <v>15.145300000000001</v>
      </c>
      <c r="F882" s="33">
        <f>15.1453 * CHOOSE(CONTROL!$C$32, $C$9, 100%, $E$9)</f>
        <v>15.145300000000001</v>
      </c>
      <c r="G882" s="33">
        <f>15.1506 * CHOOSE(CONTROL!$C$32, $C$9, 100%, $E$9)</f>
        <v>15.150600000000001</v>
      </c>
      <c r="H882" s="33">
        <f>30.6686 * CHOOSE(CONTROL!$C$32, $C$9, 100%, $E$9)</f>
        <v>30.668600000000001</v>
      </c>
      <c r="I882" s="33">
        <f>30.6739 * CHOOSE(CONTROL!$C$32, $C$9, 100%, $E$9)</f>
        <v>30.6739</v>
      </c>
      <c r="J882" s="33">
        <f>30.6686 * CHOOSE(CONTROL!$C$32, $C$9, 100%, $E$9)</f>
        <v>30.668600000000001</v>
      </c>
      <c r="K882" s="33">
        <f>30.6739 * CHOOSE(CONTROL!$C$32, $C$9, 100%, $E$9)</f>
        <v>30.6739</v>
      </c>
      <c r="L882" s="33">
        <f>15.1453 * CHOOSE(CONTROL!$C$32, $C$9, 100%, $E$9)</f>
        <v>15.145300000000001</v>
      </c>
      <c r="M882" s="33">
        <f>15.1506 * CHOOSE(CONTROL!$C$32, $C$9, 100%, $E$9)</f>
        <v>15.150600000000001</v>
      </c>
      <c r="N882" s="33">
        <f>15.1453 * CHOOSE(CONTROL!$C$32, $C$9, 100%, $E$9)</f>
        <v>15.145300000000001</v>
      </c>
      <c r="O882" s="33">
        <f>15.1506 * CHOOSE(CONTROL!$C$32, $C$9, 100%, $E$9)</f>
        <v>15.150600000000001</v>
      </c>
    </row>
    <row r="883" spans="1:15" ht="15" x14ac:dyDescent="0.2">
      <c r="A883" s="16">
        <v>68089</v>
      </c>
      <c r="B883" s="32">
        <f>13.1353 * CHOOSE(CONTROL!$C$32, $C$9, 100%, $E$9)</f>
        <v>13.135300000000001</v>
      </c>
      <c r="C883" s="32">
        <f>13.1353 * CHOOSE(CONTROL!$C$32, $C$9, 100%, $E$9)</f>
        <v>13.135300000000001</v>
      </c>
      <c r="D883" s="32">
        <f>13.1369 * CHOOSE(CONTROL!$C$32, $C$9, 100%, $E$9)</f>
        <v>13.136900000000001</v>
      </c>
      <c r="E883" s="33">
        <f>15.0218 * CHOOSE(CONTROL!$C$32, $C$9, 100%, $E$9)</f>
        <v>15.021800000000001</v>
      </c>
      <c r="F883" s="33">
        <f>15.0218 * CHOOSE(CONTROL!$C$32, $C$9, 100%, $E$9)</f>
        <v>15.021800000000001</v>
      </c>
      <c r="G883" s="33">
        <f>15.0271 * CHOOSE(CONTROL!$C$32, $C$9, 100%, $E$9)</f>
        <v>15.027100000000001</v>
      </c>
      <c r="H883" s="33">
        <f>30.7325 * CHOOSE(CONTROL!$C$32, $C$9, 100%, $E$9)</f>
        <v>30.732500000000002</v>
      </c>
      <c r="I883" s="33">
        <f>30.7378 * CHOOSE(CONTROL!$C$32, $C$9, 100%, $E$9)</f>
        <v>30.7378</v>
      </c>
      <c r="J883" s="33">
        <f>30.7325 * CHOOSE(CONTROL!$C$32, $C$9, 100%, $E$9)</f>
        <v>30.732500000000002</v>
      </c>
      <c r="K883" s="33">
        <f>30.7378 * CHOOSE(CONTROL!$C$32, $C$9, 100%, $E$9)</f>
        <v>30.7378</v>
      </c>
      <c r="L883" s="33">
        <f>15.0218 * CHOOSE(CONTROL!$C$32, $C$9, 100%, $E$9)</f>
        <v>15.021800000000001</v>
      </c>
      <c r="M883" s="33">
        <f>15.0271 * CHOOSE(CONTROL!$C$32, $C$9, 100%, $E$9)</f>
        <v>15.027100000000001</v>
      </c>
      <c r="N883" s="33">
        <f>15.0218 * CHOOSE(CONTROL!$C$32, $C$9, 100%, $E$9)</f>
        <v>15.021800000000001</v>
      </c>
      <c r="O883" s="33">
        <f>15.0271 * CHOOSE(CONTROL!$C$32, $C$9, 100%, $E$9)</f>
        <v>15.027100000000001</v>
      </c>
    </row>
    <row r="884" spans="1:15" ht="15" x14ac:dyDescent="0.2">
      <c r="A884" s="16">
        <v>68119</v>
      </c>
      <c r="B884" s="32">
        <f>13.2941 * CHOOSE(CONTROL!$C$32, $C$9, 100%, $E$9)</f>
        <v>13.2941</v>
      </c>
      <c r="C884" s="32">
        <f>13.2941 * CHOOSE(CONTROL!$C$32, $C$9, 100%, $E$9)</f>
        <v>13.2941</v>
      </c>
      <c r="D884" s="32">
        <f>13.2957 * CHOOSE(CONTROL!$C$32, $C$9, 100%, $E$9)</f>
        <v>13.2957</v>
      </c>
      <c r="E884" s="33">
        <f>15.2346 * CHOOSE(CONTROL!$C$32, $C$9, 100%, $E$9)</f>
        <v>15.2346</v>
      </c>
      <c r="F884" s="33">
        <f>15.2346 * CHOOSE(CONTROL!$C$32, $C$9, 100%, $E$9)</f>
        <v>15.2346</v>
      </c>
      <c r="G884" s="33">
        <f>15.2399 * CHOOSE(CONTROL!$C$32, $C$9, 100%, $E$9)</f>
        <v>15.2399</v>
      </c>
      <c r="H884" s="33">
        <f>30.7965 * CHOOSE(CONTROL!$C$32, $C$9, 100%, $E$9)</f>
        <v>30.796500000000002</v>
      </c>
      <c r="I884" s="33">
        <f>30.8018 * CHOOSE(CONTROL!$C$32, $C$9, 100%, $E$9)</f>
        <v>30.8018</v>
      </c>
      <c r="J884" s="33">
        <f>30.7965 * CHOOSE(CONTROL!$C$32, $C$9, 100%, $E$9)</f>
        <v>30.796500000000002</v>
      </c>
      <c r="K884" s="33">
        <f>30.8018 * CHOOSE(CONTROL!$C$32, $C$9, 100%, $E$9)</f>
        <v>30.8018</v>
      </c>
      <c r="L884" s="33">
        <f>15.2346 * CHOOSE(CONTROL!$C$32, $C$9, 100%, $E$9)</f>
        <v>15.2346</v>
      </c>
      <c r="M884" s="33">
        <f>15.2399 * CHOOSE(CONTROL!$C$32, $C$9, 100%, $E$9)</f>
        <v>15.2399</v>
      </c>
      <c r="N884" s="33">
        <f>15.2346 * CHOOSE(CONTROL!$C$32, $C$9, 100%, $E$9)</f>
        <v>15.2346</v>
      </c>
      <c r="O884" s="33">
        <f>15.2399 * CHOOSE(CONTROL!$C$32, $C$9, 100%, $E$9)</f>
        <v>15.2399</v>
      </c>
    </row>
    <row r="885" spans="1:15" ht="15" x14ac:dyDescent="0.2">
      <c r="A885" s="16">
        <v>68150</v>
      </c>
      <c r="B885" s="32">
        <f>13.3008 * CHOOSE(CONTROL!$C$32, $C$9, 100%, $E$9)</f>
        <v>13.300800000000001</v>
      </c>
      <c r="C885" s="32">
        <f>13.3008 * CHOOSE(CONTROL!$C$32, $C$9, 100%, $E$9)</f>
        <v>13.300800000000001</v>
      </c>
      <c r="D885" s="32">
        <f>13.3023 * CHOOSE(CONTROL!$C$32, $C$9, 100%, $E$9)</f>
        <v>13.302300000000001</v>
      </c>
      <c r="E885" s="33">
        <f>14.8561 * CHOOSE(CONTROL!$C$32, $C$9, 100%, $E$9)</f>
        <v>14.8561</v>
      </c>
      <c r="F885" s="33">
        <f>14.8561 * CHOOSE(CONTROL!$C$32, $C$9, 100%, $E$9)</f>
        <v>14.8561</v>
      </c>
      <c r="G885" s="33">
        <f>14.8614 * CHOOSE(CONTROL!$C$32, $C$9, 100%, $E$9)</f>
        <v>14.8614</v>
      </c>
      <c r="H885" s="33">
        <f>30.8607 * CHOOSE(CONTROL!$C$32, $C$9, 100%, $E$9)</f>
        <v>30.860700000000001</v>
      </c>
      <c r="I885" s="33">
        <f>30.866 * CHOOSE(CONTROL!$C$32, $C$9, 100%, $E$9)</f>
        <v>30.866</v>
      </c>
      <c r="J885" s="33">
        <f>30.8607 * CHOOSE(CONTROL!$C$32, $C$9, 100%, $E$9)</f>
        <v>30.860700000000001</v>
      </c>
      <c r="K885" s="33">
        <f>30.866 * CHOOSE(CONTROL!$C$32, $C$9, 100%, $E$9)</f>
        <v>30.866</v>
      </c>
      <c r="L885" s="33">
        <f>14.8561 * CHOOSE(CONTROL!$C$32, $C$9, 100%, $E$9)</f>
        <v>14.8561</v>
      </c>
      <c r="M885" s="33">
        <f>14.8614 * CHOOSE(CONTROL!$C$32, $C$9, 100%, $E$9)</f>
        <v>14.8614</v>
      </c>
      <c r="N885" s="33">
        <f>14.8561 * CHOOSE(CONTROL!$C$32, $C$9, 100%, $E$9)</f>
        <v>14.8561</v>
      </c>
      <c r="O885" s="33">
        <f>14.8614 * CHOOSE(CONTROL!$C$32, $C$9, 100%, $E$9)</f>
        <v>14.8614</v>
      </c>
    </row>
    <row r="886" spans="1:15" ht="15" x14ac:dyDescent="0.2">
      <c r="A886" s="16">
        <v>68181</v>
      </c>
      <c r="B886" s="32">
        <f>13.2977 * CHOOSE(CONTROL!$C$32, $C$9, 100%, $E$9)</f>
        <v>13.297700000000001</v>
      </c>
      <c r="C886" s="32">
        <f>13.2977 * CHOOSE(CONTROL!$C$32, $C$9, 100%, $E$9)</f>
        <v>13.297700000000001</v>
      </c>
      <c r="D886" s="32">
        <f>13.2993 * CHOOSE(CONTROL!$C$32, $C$9, 100%, $E$9)</f>
        <v>13.299300000000001</v>
      </c>
      <c r="E886" s="33">
        <f>14.8114 * CHOOSE(CONTROL!$C$32, $C$9, 100%, $E$9)</f>
        <v>14.811400000000001</v>
      </c>
      <c r="F886" s="33">
        <f>14.8114 * CHOOSE(CONTROL!$C$32, $C$9, 100%, $E$9)</f>
        <v>14.811400000000001</v>
      </c>
      <c r="G886" s="33">
        <f>14.8167 * CHOOSE(CONTROL!$C$32, $C$9, 100%, $E$9)</f>
        <v>14.816700000000001</v>
      </c>
      <c r="H886" s="33">
        <f>30.925 * CHOOSE(CONTROL!$C$32, $C$9, 100%, $E$9)</f>
        <v>30.925000000000001</v>
      </c>
      <c r="I886" s="33">
        <f>30.9303 * CHOOSE(CONTROL!$C$32, $C$9, 100%, $E$9)</f>
        <v>30.930299999999999</v>
      </c>
      <c r="J886" s="33">
        <f>30.925 * CHOOSE(CONTROL!$C$32, $C$9, 100%, $E$9)</f>
        <v>30.925000000000001</v>
      </c>
      <c r="K886" s="33">
        <f>30.9303 * CHOOSE(CONTROL!$C$32, $C$9, 100%, $E$9)</f>
        <v>30.930299999999999</v>
      </c>
      <c r="L886" s="33">
        <f>14.8114 * CHOOSE(CONTROL!$C$32, $C$9, 100%, $E$9)</f>
        <v>14.811400000000001</v>
      </c>
      <c r="M886" s="33">
        <f>14.8167 * CHOOSE(CONTROL!$C$32, $C$9, 100%, $E$9)</f>
        <v>14.816700000000001</v>
      </c>
      <c r="N886" s="33">
        <f>14.8114 * CHOOSE(CONTROL!$C$32, $C$9, 100%, $E$9)</f>
        <v>14.811400000000001</v>
      </c>
      <c r="O886" s="33">
        <f>14.8167 * CHOOSE(CONTROL!$C$32, $C$9, 100%, $E$9)</f>
        <v>14.816700000000001</v>
      </c>
    </row>
    <row r="887" spans="1:15" ht="15" x14ac:dyDescent="0.2">
      <c r="A887" s="16">
        <v>68211</v>
      </c>
      <c r="B887" s="32">
        <f>13.3275 * CHOOSE(CONTROL!$C$32, $C$9, 100%, $E$9)</f>
        <v>13.327500000000001</v>
      </c>
      <c r="C887" s="32">
        <f>13.3275 * CHOOSE(CONTROL!$C$32, $C$9, 100%, $E$9)</f>
        <v>13.327500000000001</v>
      </c>
      <c r="D887" s="32">
        <f>13.3286 * CHOOSE(CONTROL!$C$32, $C$9, 100%, $E$9)</f>
        <v>13.3286</v>
      </c>
      <c r="E887" s="33">
        <f>14.9683 * CHOOSE(CONTROL!$C$32, $C$9, 100%, $E$9)</f>
        <v>14.968299999999999</v>
      </c>
      <c r="F887" s="33">
        <f>14.9683 * CHOOSE(CONTROL!$C$32, $C$9, 100%, $E$9)</f>
        <v>14.968299999999999</v>
      </c>
      <c r="G887" s="33">
        <f>14.9719 * CHOOSE(CONTROL!$C$32, $C$9, 100%, $E$9)</f>
        <v>14.9719</v>
      </c>
      <c r="H887" s="33">
        <f>30.9894 * CHOOSE(CONTROL!$C$32, $C$9, 100%, $E$9)</f>
        <v>30.9894</v>
      </c>
      <c r="I887" s="33">
        <f>30.993 * CHOOSE(CONTROL!$C$32, $C$9, 100%, $E$9)</f>
        <v>30.992999999999999</v>
      </c>
      <c r="J887" s="33">
        <f>30.9894 * CHOOSE(CONTROL!$C$32, $C$9, 100%, $E$9)</f>
        <v>30.9894</v>
      </c>
      <c r="K887" s="33">
        <f>30.993 * CHOOSE(CONTROL!$C$32, $C$9, 100%, $E$9)</f>
        <v>30.992999999999999</v>
      </c>
      <c r="L887" s="33">
        <f>14.9683 * CHOOSE(CONTROL!$C$32, $C$9, 100%, $E$9)</f>
        <v>14.968299999999999</v>
      </c>
      <c r="M887" s="33">
        <f>14.9719 * CHOOSE(CONTROL!$C$32, $C$9, 100%, $E$9)</f>
        <v>14.9719</v>
      </c>
      <c r="N887" s="33">
        <f>14.9683 * CHOOSE(CONTROL!$C$32, $C$9, 100%, $E$9)</f>
        <v>14.968299999999999</v>
      </c>
      <c r="O887" s="33">
        <f>14.9719 * CHOOSE(CONTROL!$C$32, $C$9, 100%, $E$9)</f>
        <v>14.9719</v>
      </c>
    </row>
    <row r="888" spans="1:15" ht="15" x14ac:dyDescent="0.2">
      <c r="A888" s="16">
        <v>68242</v>
      </c>
      <c r="B888" s="32">
        <f>13.3306 * CHOOSE(CONTROL!$C$32, $C$9, 100%, $E$9)</f>
        <v>13.3306</v>
      </c>
      <c r="C888" s="32">
        <f>13.3306 * CHOOSE(CONTROL!$C$32, $C$9, 100%, $E$9)</f>
        <v>13.3306</v>
      </c>
      <c r="D888" s="32">
        <f>13.3317 * CHOOSE(CONTROL!$C$32, $C$9, 100%, $E$9)</f>
        <v>13.3317</v>
      </c>
      <c r="E888" s="33">
        <f>15.0555 * CHOOSE(CONTROL!$C$32, $C$9, 100%, $E$9)</f>
        <v>15.0555</v>
      </c>
      <c r="F888" s="33">
        <f>15.0555 * CHOOSE(CONTROL!$C$32, $C$9, 100%, $E$9)</f>
        <v>15.0555</v>
      </c>
      <c r="G888" s="33">
        <f>15.0591 * CHOOSE(CONTROL!$C$32, $C$9, 100%, $E$9)</f>
        <v>15.059100000000001</v>
      </c>
      <c r="H888" s="33">
        <f>31.054 * CHOOSE(CONTROL!$C$32, $C$9, 100%, $E$9)</f>
        <v>31.053999999999998</v>
      </c>
      <c r="I888" s="33">
        <f>31.0576 * CHOOSE(CONTROL!$C$32, $C$9, 100%, $E$9)</f>
        <v>31.057600000000001</v>
      </c>
      <c r="J888" s="33">
        <f>31.054 * CHOOSE(CONTROL!$C$32, $C$9, 100%, $E$9)</f>
        <v>31.053999999999998</v>
      </c>
      <c r="K888" s="33">
        <f>31.0576 * CHOOSE(CONTROL!$C$32, $C$9, 100%, $E$9)</f>
        <v>31.057600000000001</v>
      </c>
      <c r="L888" s="33">
        <f>15.0555 * CHOOSE(CONTROL!$C$32, $C$9, 100%, $E$9)</f>
        <v>15.0555</v>
      </c>
      <c r="M888" s="33">
        <f>15.0591 * CHOOSE(CONTROL!$C$32, $C$9, 100%, $E$9)</f>
        <v>15.059100000000001</v>
      </c>
      <c r="N888" s="33">
        <f>15.0555 * CHOOSE(CONTROL!$C$32, $C$9, 100%, $E$9)</f>
        <v>15.0555</v>
      </c>
      <c r="O888" s="33">
        <f>15.0591 * CHOOSE(CONTROL!$C$32, $C$9, 100%, $E$9)</f>
        <v>15.059100000000001</v>
      </c>
    </row>
    <row r="889" spans="1:15" ht="15" x14ac:dyDescent="0.2">
      <c r="A889" s="16">
        <v>68272</v>
      </c>
      <c r="B889" s="32">
        <f>13.3306 * CHOOSE(CONTROL!$C$32, $C$9, 100%, $E$9)</f>
        <v>13.3306</v>
      </c>
      <c r="C889" s="32">
        <f>13.3306 * CHOOSE(CONTROL!$C$32, $C$9, 100%, $E$9)</f>
        <v>13.3306</v>
      </c>
      <c r="D889" s="32">
        <f>13.3317 * CHOOSE(CONTROL!$C$32, $C$9, 100%, $E$9)</f>
        <v>13.3317</v>
      </c>
      <c r="E889" s="33">
        <f>14.8427 * CHOOSE(CONTROL!$C$32, $C$9, 100%, $E$9)</f>
        <v>14.842700000000001</v>
      </c>
      <c r="F889" s="33">
        <f>14.8427 * CHOOSE(CONTROL!$C$32, $C$9, 100%, $E$9)</f>
        <v>14.842700000000001</v>
      </c>
      <c r="G889" s="33">
        <f>14.8463 * CHOOSE(CONTROL!$C$32, $C$9, 100%, $E$9)</f>
        <v>14.846299999999999</v>
      </c>
      <c r="H889" s="33">
        <f>31.1187 * CHOOSE(CONTROL!$C$32, $C$9, 100%, $E$9)</f>
        <v>31.1187</v>
      </c>
      <c r="I889" s="33">
        <f>31.1223 * CHOOSE(CONTROL!$C$32, $C$9, 100%, $E$9)</f>
        <v>31.122299999999999</v>
      </c>
      <c r="J889" s="33">
        <f>31.1187 * CHOOSE(CONTROL!$C$32, $C$9, 100%, $E$9)</f>
        <v>31.1187</v>
      </c>
      <c r="K889" s="33">
        <f>31.1223 * CHOOSE(CONTROL!$C$32, $C$9, 100%, $E$9)</f>
        <v>31.122299999999999</v>
      </c>
      <c r="L889" s="33">
        <f>14.8427 * CHOOSE(CONTROL!$C$32, $C$9, 100%, $E$9)</f>
        <v>14.842700000000001</v>
      </c>
      <c r="M889" s="33">
        <f>14.8463 * CHOOSE(CONTROL!$C$32, $C$9, 100%, $E$9)</f>
        <v>14.846299999999999</v>
      </c>
      <c r="N889" s="33">
        <f>14.8427 * CHOOSE(CONTROL!$C$32, $C$9, 100%, $E$9)</f>
        <v>14.842700000000001</v>
      </c>
      <c r="O889" s="33">
        <f>14.8463 * CHOOSE(CONTROL!$C$32, $C$9, 100%, $E$9)</f>
        <v>14.846299999999999</v>
      </c>
    </row>
    <row r="890" spans="1:15" ht="15" x14ac:dyDescent="0.2">
      <c r="A890" s="16">
        <v>68303</v>
      </c>
      <c r="B890" s="32">
        <f>13.3162 * CHOOSE(CONTROL!$C$32, $C$9, 100%, $E$9)</f>
        <v>13.3162</v>
      </c>
      <c r="C890" s="32">
        <f>13.3162 * CHOOSE(CONTROL!$C$32, $C$9, 100%, $E$9)</f>
        <v>13.3162</v>
      </c>
      <c r="D890" s="32">
        <f>13.3172 * CHOOSE(CONTROL!$C$32, $C$9, 100%, $E$9)</f>
        <v>13.3172</v>
      </c>
      <c r="E890" s="33">
        <f>14.9831 * CHOOSE(CONTROL!$C$32, $C$9, 100%, $E$9)</f>
        <v>14.9831</v>
      </c>
      <c r="F890" s="33">
        <f>14.9831 * CHOOSE(CONTROL!$C$32, $C$9, 100%, $E$9)</f>
        <v>14.9831</v>
      </c>
      <c r="G890" s="33">
        <f>14.9867 * CHOOSE(CONTROL!$C$32, $C$9, 100%, $E$9)</f>
        <v>14.986700000000001</v>
      </c>
      <c r="H890" s="33">
        <f>30.8784 * CHOOSE(CONTROL!$C$32, $C$9, 100%, $E$9)</f>
        <v>30.878399999999999</v>
      </c>
      <c r="I890" s="33">
        <f>30.882 * CHOOSE(CONTROL!$C$32, $C$9, 100%, $E$9)</f>
        <v>30.882000000000001</v>
      </c>
      <c r="J890" s="33">
        <f>30.8784 * CHOOSE(CONTROL!$C$32, $C$9, 100%, $E$9)</f>
        <v>30.878399999999999</v>
      </c>
      <c r="K890" s="33">
        <f>30.882 * CHOOSE(CONTROL!$C$32, $C$9, 100%, $E$9)</f>
        <v>30.882000000000001</v>
      </c>
      <c r="L890" s="33">
        <f>14.9831 * CHOOSE(CONTROL!$C$32, $C$9, 100%, $E$9)</f>
        <v>14.9831</v>
      </c>
      <c r="M890" s="33">
        <f>14.9867 * CHOOSE(CONTROL!$C$32, $C$9, 100%, $E$9)</f>
        <v>14.986700000000001</v>
      </c>
      <c r="N890" s="33">
        <f>14.9831 * CHOOSE(CONTROL!$C$32, $C$9, 100%, $E$9)</f>
        <v>14.9831</v>
      </c>
      <c r="O890" s="33">
        <f>14.9867 * CHOOSE(CONTROL!$C$32, $C$9, 100%, $E$9)</f>
        <v>14.986700000000001</v>
      </c>
    </row>
    <row r="891" spans="1:15" ht="15" x14ac:dyDescent="0.2">
      <c r="A891" s="16">
        <v>68334</v>
      </c>
      <c r="B891" s="32">
        <f>13.3131 * CHOOSE(CONTROL!$C$32, $C$9, 100%, $E$9)</f>
        <v>13.3131</v>
      </c>
      <c r="C891" s="32">
        <f>13.3131 * CHOOSE(CONTROL!$C$32, $C$9, 100%, $E$9)</f>
        <v>13.3131</v>
      </c>
      <c r="D891" s="32">
        <f>13.3142 * CHOOSE(CONTROL!$C$32, $C$9, 100%, $E$9)</f>
        <v>13.3142</v>
      </c>
      <c r="E891" s="33">
        <f>14.5716 * CHOOSE(CONTROL!$C$32, $C$9, 100%, $E$9)</f>
        <v>14.5716</v>
      </c>
      <c r="F891" s="33">
        <f>14.5716 * CHOOSE(CONTROL!$C$32, $C$9, 100%, $E$9)</f>
        <v>14.5716</v>
      </c>
      <c r="G891" s="33">
        <f>14.5752 * CHOOSE(CONTROL!$C$32, $C$9, 100%, $E$9)</f>
        <v>14.575200000000001</v>
      </c>
      <c r="H891" s="33">
        <f>30.9427 * CHOOSE(CONTROL!$C$32, $C$9, 100%, $E$9)</f>
        <v>30.942699999999999</v>
      </c>
      <c r="I891" s="33">
        <f>30.9463 * CHOOSE(CONTROL!$C$32, $C$9, 100%, $E$9)</f>
        <v>30.946300000000001</v>
      </c>
      <c r="J891" s="33">
        <f>30.9427 * CHOOSE(CONTROL!$C$32, $C$9, 100%, $E$9)</f>
        <v>30.942699999999999</v>
      </c>
      <c r="K891" s="33">
        <f>30.9463 * CHOOSE(CONTROL!$C$32, $C$9, 100%, $E$9)</f>
        <v>30.946300000000001</v>
      </c>
      <c r="L891" s="33">
        <f>14.5716 * CHOOSE(CONTROL!$C$32, $C$9, 100%, $E$9)</f>
        <v>14.5716</v>
      </c>
      <c r="M891" s="33">
        <f>14.5752 * CHOOSE(CONTROL!$C$32, $C$9, 100%, $E$9)</f>
        <v>14.575200000000001</v>
      </c>
      <c r="N891" s="33">
        <f>14.5716 * CHOOSE(CONTROL!$C$32, $C$9, 100%, $E$9)</f>
        <v>14.5716</v>
      </c>
      <c r="O891" s="33">
        <f>14.5752 * CHOOSE(CONTROL!$C$32, $C$9, 100%, $E$9)</f>
        <v>14.575200000000001</v>
      </c>
    </row>
    <row r="892" spans="1:15" ht="15" x14ac:dyDescent="0.2">
      <c r="A892" s="16">
        <v>68362</v>
      </c>
      <c r="B892" s="32">
        <f>13.3101 * CHOOSE(CONTROL!$C$32, $C$9, 100%, $E$9)</f>
        <v>13.3101</v>
      </c>
      <c r="C892" s="32">
        <f>13.3101 * CHOOSE(CONTROL!$C$32, $C$9, 100%, $E$9)</f>
        <v>13.3101</v>
      </c>
      <c r="D892" s="32">
        <f>13.3112 * CHOOSE(CONTROL!$C$32, $C$9, 100%, $E$9)</f>
        <v>13.311199999999999</v>
      </c>
      <c r="E892" s="33">
        <f>14.8922 * CHOOSE(CONTROL!$C$32, $C$9, 100%, $E$9)</f>
        <v>14.892200000000001</v>
      </c>
      <c r="F892" s="33">
        <f>14.8922 * CHOOSE(CONTROL!$C$32, $C$9, 100%, $E$9)</f>
        <v>14.892200000000001</v>
      </c>
      <c r="G892" s="33">
        <f>14.8958 * CHOOSE(CONTROL!$C$32, $C$9, 100%, $E$9)</f>
        <v>14.895799999999999</v>
      </c>
      <c r="H892" s="33">
        <f>31.0072 * CHOOSE(CONTROL!$C$32, $C$9, 100%, $E$9)</f>
        <v>31.007200000000001</v>
      </c>
      <c r="I892" s="33">
        <f>31.0108 * CHOOSE(CONTROL!$C$32, $C$9, 100%, $E$9)</f>
        <v>31.0108</v>
      </c>
      <c r="J892" s="33">
        <f>31.0072 * CHOOSE(CONTROL!$C$32, $C$9, 100%, $E$9)</f>
        <v>31.007200000000001</v>
      </c>
      <c r="K892" s="33">
        <f>31.0108 * CHOOSE(CONTROL!$C$32, $C$9, 100%, $E$9)</f>
        <v>31.0108</v>
      </c>
      <c r="L892" s="33">
        <f>14.8922 * CHOOSE(CONTROL!$C$32, $C$9, 100%, $E$9)</f>
        <v>14.892200000000001</v>
      </c>
      <c r="M892" s="33">
        <f>14.8958 * CHOOSE(CONTROL!$C$32, $C$9, 100%, $E$9)</f>
        <v>14.895799999999999</v>
      </c>
      <c r="N892" s="33">
        <f>14.8922 * CHOOSE(CONTROL!$C$32, $C$9, 100%, $E$9)</f>
        <v>14.892200000000001</v>
      </c>
      <c r="O892" s="33">
        <f>14.8958 * CHOOSE(CONTROL!$C$32, $C$9, 100%, $E$9)</f>
        <v>14.895799999999999</v>
      </c>
    </row>
    <row r="893" spans="1:15" ht="15" x14ac:dyDescent="0.2">
      <c r="A893" s="16">
        <v>68393</v>
      </c>
      <c r="B893" s="32">
        <f>13.3168 * CHOOSE(CONTROL!$C$32, $C$9, 100%, $E$9)</f>
        <v>13.316800000000001</v>
      </c>
      <c r="C893" s="32">
        <f>13.3168 * CHOOSE(CONTROL!$C$32, $C$9, 100%, $E$9)</f>
        <v>13.316800000000001</v>
      </c>
      <c r="D893" s="32">
        <f>13.3178 * CHOOSE(CONTROL!$C$32, $C$9, 100%, $E$9)</f>
        <v>13.3178</v>
      </c>
      <c r="E893" s="33">
        <f>15.2346 * CHOOSE(CONTROL!$C$32, $C$9, 100%, $E$9)</f>
        <v>15.2346</v>
      </c>
      <c r="F893" s="33">
        <f>15.2346 * CHOOSE(CONTROL!$C$32, $C$9, 100%, $E$9)</f>
        <v>15.2346</v>
      </c>
      <c r="G893" s="33">
        <f>15.2382 * CHOOSE(CONTROL!$C$32, $C$9, 100%, $E$9)</f>
        <v>15.238200000000001</v>
      </c>
      <c r="H893" s="33">
        <f>31.0718 * CHOOSE(CONTROL!$C$32, $C$9, 100%, $E$9)</f>
        <v>31.0718</v>
      </c>
      <c r="I893" s="33">
        <f>31.0754 * CHOOSE(CONTROL!$C$32, $C$9, 100%, $E$9)</f>
        <v>31.075399999999998</v>
      </c>
      <c r="J893" s="33">
        <f>31.0718 * CHOOSE(CONTROL!$C$32, $C$9, 100%, $E$9)</f>
        <v>31.0718</v>
      </c>
      <c r="K893" s="33">
        <f>31.0754 * CHOOSE(CONTROL!$C$32, $C$9, 100%, $E$9)</f>
        <v>31.075399999999998</v>
      </c>
      <c r="L893" s="33">
        <f>15.2346 * CHOOSE(CONTROL!$C$32, $C$9, 100%, $E$9)</f>
        <v>15.2346</v>
      </c>
      <c r="M893" s="33">
        <f>15.2382 * CHOOSE(CONTROL!$C$32, $C$9, 100%, $E$9)</f>
        <v>15.238200000000001</v>
      </c>
      <c r="N893" s="33">
        <f>15.2346 * CHOOSE(CONTROL!$C$32, $C$9, 100%, $E$9)</f>
        <v>15.2346</v>
      </c>
      <c r="O893" s="33">
        <f>15.2382 * CHOOSE(CONTROL!$C$32, $C$9, 100%, $E$9)</f>
        <v>15.238200000000001</v>
      </c>
    </row>
    <row r="894" spans="1:15" ht="15" x14ac:dyDescent="0.2">
      <c r="A894" s="16">
        <v>68423</v>
      </c>
      <c r="B894" s="32">
        <f>13.3168 * CHOOSE(CONTROL!$C$32, $C$9, 100%, $E$9)</f>
        <v>13.316800000000001</v>
      </c>
      <c r="C894" s="32">
        <f>13.3168 * CHOOSE(CONTROL!$C$32, $C$9, 100%, $E$9)</f>
        <v>13.316800000000001</v>
      </c>
      <c r="D894" s="32">
        <f>13.3183 * CHOOSE(CONTROL!$C$32, $C$9, 100%, $E$9)</f>
        <v>13.318300000000001</v>
      </c>
      <c r="E894" s="33">
        <f>15.3645 * CHOOSE(CONTROL!$C$32, $C$9, 100%, $E$9)</f>
        <v>15.3645</v>
      </c>
      <c r="F894" s="33">
        <f>15.3645 * CHOOSE(CONTROL!$C$32, $C$9, 100%, $E$9)</f>
        <v>15.3645</v>
      </c>
      <c r="G894" s="33">
        <f>15.3698 * CHOOSE(CONTROL!$C$32, $C$9, 100%, $E$9)</f>
        <v>15.3698</v>
      </c>
      <c r="H894" s="33">
        <f>31.1365 * CHOOSE(CONTROL!$C$32, $C$9, 100%, $E$9)</f>
        <v>31.136500000000002</v>
      </c>
      <c r="I894" s="33">
        <f>31.1418 * CHOOSE(CONTROL!$C$32, $C$9, 100%, $E$9)</f>
        <v>31.1418</v>
      </c>
      <c r="J894" s="33">
        <f>31.1365 * CHOOSE(CONTROL!$C$32, $C$9, 100%, $E$9)</f>
        <v>31.136500000000002</v>
      </c>
      <c r="K894" s="33">
        <f>31.1418 * CHOOSE(CONTROL!$C$32, $C$9, 100%, $E$9)</f>
        <v>31.1418</v>
      </c>
      <c r="L894" s="33">
        <f>15.3645 * CHOOSE(CONTROL!$C$32, $C$9, 100%, $E$9)</f>
        <v>15.3645</v>
      </c>
      <c r="M894" s="33">
        <f>15.3698 * CHOOSE(CONTROL!$C$32, $C$9, 100%, $E$9)</f>
        <v>15.3698</v>
      </c>
      <c r="N894" s="33">
        <f>15.3645 * CHOOSE(CONTROL!$C$32, $C$9, 100%, $E$9)</f>
        <v>15.3645</v>
      </c>
      <c r="O894" s="33">
        <f>15.3698 * CHOOSE(CONTROL!$C$32, $C$9, 100%, $E$9)</f>
        <v>15.3698</v>
      </c>
    </row>
    <row r="895" spans="1:15" ht="15" x14ac:dyDescent="0.2">
      <c r="A895" s="16">
        <v>68454</v>
      </c>
      <c r="B895" s="32">
        <f>13.3229 * CHOOSE(CONTROL!$C$32, $C$9, 100%, $E$9)</f>
        <v>13.322900000000001</v>
      </c>
      <c r="C895" s="32">
        <f>13.3229 * CHOOSE(CONTROL!$C$32, $C$9, 100%, $E$9)</f>
        <v>13.322900000000001</v>
      </c>
      <c r="D895" s="32">
        <f>13.3244 * CHOOSE(CONTROL!$C$32, $C$9, 100%, $E$9)</f>
        <v>13.324400000000001</v>
      </c>
      <c r="E895" s="33">
        <f>15.2388 * CHOOSE(CONTROL!$C$32, $C$9, 100%, $E$9)</f>
        <v>15.238799999999999</v>
      </c>
      <c r="F895" s="33">
        <f>15.2388 * CHOOSE(CONTROL!$C$32, $C$9, 100%, $E$9)</f>
        <v>15.238799999999999</v>
      </c>
      <c r="G895" s="33">
        <f>15.2441 * CHOOSE(CONTROL!$C$32, $C$9, 100%, $E$9)</f>
        <v>15.2441</v>
      </c>
      <c r="H895" s="33">
        <f>31.2014 * CHOOSE(CONTROL!$C$32, $C$9, 100%, $E$9)</f>
        <v>31.2014</v>
      </c>
      <c r="I895" s="33">
        <f>31.2067 * CHOOSE(CONTROL!$C$32, $C$9, 100%, $E$9)</f>
        <v>31.206700000000001</v>
      </c>
      <c r="J895" s="33">
        <f>31.2014 * CHOOSE(CONTROL!$C$32, $C$9, 100%, $E$9)</f>
        <v>31.2014</v>
      </c>
      <c r="K895" s="33">
        <f>31.2067 * CHOOSE(CONTROL!$C$32, $C$9, 100%, $E$9)</f>
        <v>31.206700000000001</v>
      </c>
      <c r="L895" s="33">
        <f>15.2388 * CHOOSE(CONTROL!$C$32, $C$9, 100%, $E$9)</f>
        <v>15.238799999999999</v>
      </c>
      <c r="M895" s="33">
        <f>15.2441 * CHOOSE(CONTROL!$C$32, $C$9, 100%, $E$9)</f>
        <v>15.2441</v>
      </c>
      <c r="N895" s="33">
        <f>15.2388 * CHOOSE(CONTROL!$C$32, $C$9, 100%, $E$9)</f>
        <v>15.238799999999999</v>
      </c>
      <c r="O895" s="33">
        <f>15.2441 * CHOOSE(CONTROL!$C$32, $C$9, 100%, $E$9)</f>
        <v>15.2441</v>
      </c>
    </row>
    <row r="896" spans="1:15" ht="15" x14ac:dyDescent="0.2">
      <c r="A896" s="16">
        <v>68484</v>
      </c>
      <c r="B896" s="32">
        <f>13.4837 * CHOOSE(CONTROL!$C$32, $C$9, 100%, $E$9)</f>
        <v>13.483700000000001</v>
      </c>
      <c r="C896" s="32">
        <f>13.4837 * CHOOSE(CONTROL!$C$32, $C$9, 100%, $E$9)</f>
        <v>13.483700000000001</v>
      </c>
      <c r="D896" s="32">
        <f>13.4853 * CHOOSE(CONTROL!$C$32, $C$9, 100%, $E$9)</f>
        <v>13.485300000000001</v>
      </c>
      <c r="E896" s="33">
        <f>15.4548 * CHOOSE(CONTROL!$C$32, $C$9, 100%, $E$9)</f>
        <v>15.454800000000001</v>
      </c>
      <c r="F896" s="33">
        <f>15.4548 * CHOOSE(CONTROL!$C$32, $C$9, 100%, $E$9)</f>
        <v>15.454800000000001</v>
      </c>
      <c r="G896" s="33">
        <f>15.4601 * CHOOSE(CONTROL!$C$32, $C$9, 100%, $E$9)</f>
        <v>15.460100000000001</v>
      </c>
      <c r="H896" s="33">
        <f>31.2664 * CHOOSE(CONTROL!$C$32, $C$9, 100%, $E$9)</f>
        <v>31.266400000000001</v>
      </c>
      <c r="I896" s="33">
        <f>31.2717 * CHOOSE(CONTROL!$C$32, $C$9, 100%, $E$9)</f>
        <v>31.271699999999999</v>
      </c>
      <c r="J896" s="33">
        <f>31.2664 * CHOOSE(CONTROL!$C$32, $C$9, 100%, $E$9)</f>
        <v>31.266400000000001</v>
      </c>
      <c r="K896" s="33">
        <f>31.2717 * CHOOSE(CONTROL!$C$32, $C$9, 100%, $E$9)</f>
        <v>31.271699999999999</v>
      </c>
      <c r="L896" s="33">
        <f>15.4548 * CHOOSE(CONTROL!$C$32, $C$9, 100%, $E$9)</f>
        <v>15.454800000000001</v>
      </c>
      <c r="M896" s="33">
        <f>15.4601 * CHOOSE(CONTROL!$C$32, $C$9, 100%, $E$9)</f>
        <v>15.460100000000001</v>
      </c>
      <c r="N896" s="33">
        <f>15.4548 * CHOOSE(CONTROL!$C$32, $C$9, 100%, $E$9)</f>
        <v>15.454800000000001</v>
      </c>
      <c r="O896" s="33">
        <f>15.4601 * CHOOSE(CONTROL!$C$32, $C$9, 100%, $E$9)</f>
        <v>15.460100000000001</v>
      </c>
    </row>
    <row r="897" spans="1:15" ht="15" x14ac:dyDescent="0.2">
      <c r="A897" s="16">
        <v>68515</v>
      </c>
      <c r="B897" s="32">
        <f>13.4904 * CHOOSE(CONTROL!$C$32, $C$9, 100%, $E$9)</f>
        <v>13.490399999999999</v>
      </c>
      <c r="C897" s="32">
        <f>13.4904 * CHOOSE(CONTROL!$C$32, $C$9, 100%, $E$9)</f>
        <v>13.490399999999999</v>
      </c>
      <c r="D897" s="32">
        <f>13.4919 * CHOOSE(CONTROL!$C$32, $C$9, 100%, $E$9)</f>
        <v>13.491899999999999</v>
      </c>
      <c r="E897" s="33">
        <f>15.0695 * CHOOSE(CONTROL!$C$32, $C$9, 100%, $E$9)</f>
        <v>15.0695</v>
      </c>
      <c r="F897" s="33">
        <f>15.0695 * CHOOSE(CONTROL!$C$32, $C$9, 100%, $E$9)</f>
        <v>15.0695</v>
      </c>
      <c r="G897" s="33">
        <f>15.0748 * CHOOSE(CONTROL!$C$32, $C$9, 100%, $E$9)</f>
        <v>15.0748</v>
      </c>
      <c r="H897" s="33">
        <f>31.3315 * CHOOSE(CONTROL!$C$32, $C$9, 100%, $E$9)</f>
        <v>31.331499999999998</v>
      </c>
      <c r="I897" s="33">
        <f>31.3368 * CHOOSE(CONTROL!$C$32, $C$9, 100%, $E$9)</f>
        <v>31.3368</v>
      </c>
      <c r="J897" s="33">
        <f>31.3315 * CHOOSE(CONTROL!$C$32, $C$9, 100%, $E$9)</f>
        <v>31.331499999999998</v>
      </c>
      <c r="K897" s="33">
        <f>31.3368 * CHOOSE(CONTROL!$C$32, $C$9, 100%, $E$9)</f>
        <v>31.3368</v>
      </c>
      <c r="L897" s="33">
        <f>15.0695 * CHOOSE(CONTROL!$C$32, $C$9, 100%, $E$9)</f>
        <v>15.0695</v>
      </c>
      <c r="M897" s="33">
        <f>15.0748 * CHOOSE(CONTROL!$C$32, $C$9, 100%, $E$9)</f>
        <v>15.0748</v>
      </c>
      <c r="N897" s="33">
        <f>15.0695 * CHOOSE(CONTROL!$C$32, $C$9, 100%, $E$9)</f>
        <v>15.0695</v>
      </c>
      <c r="O897" s="33">
        <f>15.0748 * CHOOSE(CONTROL!$C$32, $C$9, 100%, $E$9)</f>
        <v>15.0748</v>
      </c>
    </row>
    <row r="898" spans="1:15" ht="15" x14ac:dyDescent="0.2">
      <c r="A898" s="16">
        <v>68546</v>
      </c>
      <c r="B898" s="32">
        <f>13.4873 * CHOOSE(CONTROL!$C$32, $C$9, 100%, $E$9)</f>
        <v>13.487299999999999</v>
      </c>
      <c r="C898" s="32">
        <f>13.4873 * CHOOSE(CONTROL!$C$32, $C$9, 100%, $E$9)</f>
        <v>13.487299999999999</v>
      </c>
      <c r="D898" s="32">
        <f>13.4889 * CHOOSE(CONTROL!$C$32, $C$9, 100%, $E$9)</f>
        <v>13.488899999999999</v>
      </c>
      <c r="E898" s="33">
        <f>15.0241 * CHOOSE(CONTROL!$C$32, $C$9, 100%, $E$9)</f>
        <v>15.024100000000001</v>
      </c>
      <c r="F898" s="33">
        <f>15.0241 * CHOOSE(CONTROL!$C$32, $C$9, 100%, $E$9)</f>
        <v>15.024100000000001</v>
      </c>
      <c r="G898" s="33">
        <f>15.0294 * CHOOSE(CONTROL!$C$32, $C$9, 100%, $E$9)</f>
        <v>15.029400000000001</v>
      </c>
      <c r="H898" s="33">
        <f>31.3968 * CHOOSE(CONTROL!$C$32, $C$9, 100%, $E$9)</f>
        <v>31.396799999999999</v>
      </c>
      <c r="I898" s="33">
        <f>31.4021 * CHOOSE(CONTROL!$C$32, $C$9, 100%, $E$9)</f>
        <v>31.402100000000001</v>
      </c>
      <c r="J898" s="33">
        <f>31.3968 * CHOOSE(CONTROL!$C$32, $C$9, 100%, $E$9)</f>
        <v>31.396799999999999</v>
      </c>
      <c r="K898" s="33">
        <f>31.4021 * CHOOSE(CONTROL!$C$32, $C$9, 100%, $E$9)</f>
        <v>31.402100000000001</v>
      </c>
      <c r="L898" s="33">
        <f>15.0241 * CHOOSE(CONTROL!$C$32, $C$9, 100%, $E$9)</f>
        <v>15.024100000000001</v>
      </c>
      <c r="M898" s="33">
        <f>15.0294 * CHOOSE(CONTROL!$C$32, $C$9, 100%, $E$9)</f>
        <v>15.029400000000001</v>
      </c>
      <c r="N898" s="33">
        <f>15.0241 * CHOOSE(CONTROL!$C$32, $C$9, 100%, $E$9)</f>
        <v>15.024100000000001</v>
      </c>
      <c r="O898" s="33">
        <f>15.0294 * CHOOSE(CONTROL!$C$32, $C$9, 100%, $E$9)</f>
        <v>15.029400000000001</v>
      </c>
    </row>
    <row r="899" spans="1:15" ht="15" x14ac:dyDescent="0.2">
      <c r="A899" s="16">
        <v>68576</v>
      </c>
      <c r="B899" s="32">
        <f>13.5179 * CHOOSE(CONTROL!$C$32, $C$9, 100%, $E$9)</f>
        <v>13.517899999999999</v>
      </c>
      <c r="C899" s="32">
        <f>13.5179 * CHOOSE(CONTROL!$C$32, $C$9, 100%, $E$9)</f>
        <v>13.517899999999999</v>
      </c>
      <c r="D899" s="32">
        <f>13.5189 * CHOOSE(CONTROL!$C$32, $C$9, 100%, $E$9)</f>
        <v>13.5189</v>
      </c>
      <c r="E899" s="33">
        <f>15.1839 * CHOOSE(CONTROL!$C$32, $C$9, 100%, $E$9)</f>
        <v>15.1839</v>
      </c>
      <c r="F899" s="33">
        <f>15.1839 * CHOOSE(CONTROL!$C$32, $C$9, 100%, $E$9)</f>
        <v>15.1839</v>
      </c>
      <c r="G899" s="33">
        <f>15.1876 * CHOOSE(CONTROL!$C$32, $C$9, 100%, $E$9)</f>
        <v>15.1876</v>
      </c>
      <c r="H899" s="33">
        <f>31.4622 * CHOOSE(CONTROL!$C$32, $C$9, 100%, $E$9)</f>
        <v>31.462199999999999</v>
      </c>
      <c r="I899" s="33">
        <f>31.4658 * CHOOSE(CONTROL!$C$32, $C$9, 100%, $E$9)</f>
        <v>31.465800000000002</v>
      </c>
      <c r="J899" s="33">
        <f>31.4622 * CHOOSE(CONTROL!$C$32, $C$9, 100%, $E$9)</f>
        <v>31.462199999999999</v>
      </c>
      <c r="K899" s="33">
        <f>31.4658 * CHOOSE(CONTROL!$C$32, $C$9, 100%, $E$9)</f>
        <v>31.465800000000002</v>
      </c>
      <c r="L899" s="33">
        <f>15.1839 * CHOOSE(CONTROL!$C$32, $C$9, 100%, $E$9)</f>
        <v>15.1839</v>
      </c>
      <c r="M899" s="33">
        <f>15.1876 * CHOOSE(CONTROL!$C$32, $C$9, 100%, $E$9)</f>
        <v>15.1876</v>
      </c>
      <c r="N899" s="33">
        <f>15.1839 * CHOOSE(CONTROL!$C$32, $C$9, 100%, $E$9)</f>
        <v>15.1839</v>
      </c>
      <c r="O899" s="33">
        <f>15.1876 * CHOOSE(CONTROL!$C$32, $C$9, 100%, $E$9)</f>
        <v>15.1876</v>
      </c>
    </row>
    <row r="900" spans="1:15" ht="15" x14ac:dyDescent="0.2">
      <c r="A900" s="16">
        <v>68607</v>
      </c>
      <c r="B900" s="32">
        <f>13.5209 * CHOOSE(CONTROL!$C$32, $C$9, 100%, $E$9)</f>
        <v>13.520899999999999</v>
      </c>
      <c r="C900" s="32">
        <f>13.5209 * CHOOSE(CONTROL!$C$32, $C$9, 100%, $E$9)</f>
        <v>13.520899999999999</v>
      </c>
      <c r="D900" s="32">
        <f>13.522 * CHOOSE(CONTROL!$C$32, $C$9, 100%, $E$9)</f>
        <v>13.522</v>
      </c>
      <c r="E900" s="33">
        <f>15.2727 * CHOOSE(CONTROL!$C$32, $C$9, 100%, $E$9)</f>
        <v>15.2727</v>
      </c>
      <c r="F900" s="33">
        <f>15.2727 * CHOOSE(CONTROL!$C$32, $C$9, 100%, $E$9)</f>
        <v>15.2727</v>
      </c>
      <c r="G900" s="33">
        <f>15.2763 * CHOOSE(CONTROL!$C$32, $C$9, 100%, $E$9)</f>
        <v>15.276300000000001</v>
      </c>
      <c r="H900" s="33">
        <f>31.5278 * CHOOSE(CONTROL!$C$32, $C$9, 100%, $E$9)</f>
        <v>31.527799999999999</v>
      </c>
      <c r="I900" s="33">
        <f>31.5314 * CHOOSE(CONTROL!$C$32, $C$9, 100%, $E$9)</f>
        <v>31.531400000000001</v>
      </c>
      <c r="J900" s="33">
        <f>31.5278 * CHOOSE(CONTROL!$C$32, $C$9, 100%, $E$9)</f>
        <v>31.527799999999999</v>
      </c>
      <c r="K900" s="33">
        <f>31.5314 * CHOOSE(CONTROL!$C$32, $C$9, 100%, $E$9)</f>
        <v>31.531400000000001</v>
      </c>
      <c r="L900" s="33">
        <f>15.2727 * CHOOSE(CONTROL!$C$32, $C$9, 100%, $E$9)</f>
        <v>15.2727</v>
      </c>
      <c r="M900" s="33">
        <f>15.2763 * CHOOSE(CONTROL!$C$32, $C$9, 100%, $E$9)</f>
        <v>15.276300000000001</v>
      </c>
      <c r="N900" s="33">
        <f>15.2727 * CHOOSE(CONTROL!$C$32, $C$9, 100%, $E$9)</f>
        <v>15.2727</v>
      </c>
      <c r="O900" s="33">
        <f>15.2763 * CHOOSE(CONTROL!$C$32, $C$9, 100%, $E$9)</f>
        <v>15.276300000000001</v>
      </c>
    </row>
    <row r="901" spans="1:15" ht="15" x14ac:dyDescent="0.2">
      <c r="A901" s="16">
        <v>68637</v>
      </c>
      <c r="B901" s="32">
        <f>13.5209 * CHOOSE(CONTROL!$C$32, $C$9, 100%, $E$9)</f>
        <v>13.520899999999999</v>
      </c>
      <c r="C901" s="32">
        <f>13.5209 * CHOOSE(CONTROL!$C$32, $C$9, 100%, $E$9)</f>
        <v>13.520899999999999</v>
      </c>
      <c r="D901" s="32">
        <f>13.522 * CHOOSE(CONTROL!$C$32, $C$9, 100%, $E$9)</f>
        <v>13.522</v>
      </c>
      <c r="E901" s="33">
        <f>15.0561 * CHOOSE(CONTROL!$C$32, $C$9, 100%, $E$9)</f>
        <v>15.056100000000001</v>
      </c>
      <c r="F901" s="33">
        <f>15.0561 * CHOOSE(CONTROL!$C$32, $C$9, 100%, $E$9)</f>
        <v>15.056100000000001</v>
      </c>
      <c r="G901" s="33">
        <f>15.0597 * CHOOSE(CONTROL!$C$32, $C$9, 100%, $E$9)</f>
        <v>15.059699999999999</v>
      </c>
      <c r="H901" s="33">
        <f>31.5934 * CHOOSE(CONTROL!$C$32, $C$9, 100%, $E$9)</f>
        <v>31.593399999999999</v>
      </c>
      <c r="I901" s="33">
        <f>31.5971 * CHOOSE(CONTROL!$C$32, $C$9, 100%, $E$9)</f>
        <v>31.597100000000001</v>
      </c>
      <c r="J901" s="33">
        <f>31.5934 * CHOOSE(CONTROL!$C$32, $C$9, 100%, $E$9)</f>
        <v>31.593399999999999</v>
      </c>
      <c r="K901" s="33">
        <f>31.5971 * CHOOSE(CONTROL!$C$32, $C$9, 100%, $E$9)</f>
        <v>31.597100000000001</v>
      </c>
      <c r="L901" s="33">
        <f>15.0561 * CHOOSE(CONTROL!$C$32, $C$9, 100%, $E$9)</f>
        <v>15.056100000000001</v>
      </c>
      <c r="M901" s="33">
        <f>15.0597 * CHOOSE(CONTROL!$C$32, $C$9, 100%, $E$9)</f>
        <v>15.059699999999999</v>
      </c>
      <c r="N901" s="33">
        <f>15.0561 * CHOOSE(CONTROL!$C$32, $C$9, 100%, $E$9)</f>
        <v>15.056100000000001</v>
      </c>
      <c r="O901" s="33">
        <f>15.0597 * CHOOSE(CONTROL!$C$32, $C$9, 100%, $E$9)</f>
        <v>15.059699999999999</v>
      </c>
    </row>
    <row r="902" spans="1:15" ht="15" x14ac:dyDescent="0.2">
      <c r="A902" s="16">
        <v>68668</v>
      </c>
      <c r="B902" s="32">
        <f>13.5035 * CHOOSE(CONTROL!$C$32, $C$9, 100%, $E$9)</f>
        <v>13.503500000000001</v>
      </c>
      <c r="C902" s="32">
        <f>13.5035 * CHOOSE(CONTROL!$C$32, $C$9, 100%, $E$9)</f>
        <v>13.503500000000001</v>
      </c>
      <c r="D902" s="32">
        <f>13.5046 * CHOOSE(CONTROL!$C$32, $C$9, 100%, $E$9)</f>
        <v>13.5046</v>
      </c>
      <c r="E902" s="33">
        <f>15.1956 * CHOOSE(CONTROL!$C$32, $C$9, 100%, $E$9)</f>
        <v>15.195600000000001</v>
      </c>
      <c r="F902" s="33">
        <f>15.1956 * CHOOSE(CONTROL!$C$32, $C$9, 100%, $E$9)</f>
        <v>15.195600000000001</v>
      </c>
      <c r="G902" s="33">
        <f>15.1992 * CHOOSE(CONTROL!$C$32, $C$9, 100%, $E$9)</f>
        <v>15.199199999999999</v>
      </c>
      <c r="H902" s="33">
        <f>31.3424 * CHOOSE(CONTROL!$C$32, $C$9, 100%, $E$9)</f>
        <v>31.342400000000001</v>
      </c>
      <c r="I902" s="33">
        <f>31.346 * CHOOSE(CONTROL!$C$32, $C$9, 100%, $E$9)</f>
        <v>31.346</v>
      </c>
      <c r="J902" s="33">
        <f>31.3424 * CHOOSE(CONTROL!$C$32, $C$9, 100%, $E$9)</f>
        <v>31.342400000000001</v>
      </c>
      <c r="K902" s="33">
        <f>31.346 * CHOOSE(CONTROL!$C$32, $C$9, 100%, $E$9)</f>
        <v>31.346</v>
      </c>
      <c r="L902" s="33">
        <f>15.1956 * CHOOSE(CONTROL!$C$32, $C$9, 100%, $E$9)</f>
        <v>15.195600000000001</v>
      </c>
      <c r="M902" s="33">
        <f>15.1992 * CHOOSE(CONTROL!$C$32, $C$9, 100%, $E$9)</f>
        <v>15.199199999999999</v>
      </c>
      <c r="N902" s="33">
        <f>15.1956 * CHOOSE(CONTROL!$C$32, $C$9, 100%, $E$9)</f>
        <v>15.195600000000001</v>
      </c>
      <c r="O902" s="33">
        <f>15.1992 * CHOOSE(CONTROL!$C$32, $C$9, 100%, $E$9)</f>
        <v>15.199199999999999</v>
      </c>
    </row>
    <row r="903" spans="1:15" ht="15" x14ac:dyDescent="0.2">
      <c r="A903" s="16">
        <v>68699</v>
      </c>
      <c r="B903" s="32">
        <f>13.5005 * CHOOSE(CONTROL!$C$32, $C$9, 100%, $E$9)</f>
        <v>13.500500000000001</v>
      </c>
      <c r="C903" s="32">
        <f>13.5005 * CHOOSE(CONTROL!$C$32, $C$9, 100%, $E$9)</f>
        <v>13.500500000000001</v>
      </c>
      <c r="D903" s="32">
        <f>13.5016 * CHOOSE(CONTROL!$C$32, $C$9, 100%, $E$9)</f>
        <v>13.5016</v>
      </c>
      <c r="E903" s="33">
        <f>14.777 * CHOOSE(CONTROL!$C$32, $C$9, 100%, $E$9)</f>
        <v>14.776999999999999</v>
      </c>
      <c r="F903" s="33">
        <f>14.777 * CHOOSE(CONTROL!$C$32, $C$9, 100%, $E$9)</f>
        <v>14.776999999999999</v>
      </c>
      <c r="G903" s="33">
        <f>14.7806 * CHOOSE(CONTROL!$C$32, $C$9, 100%, $E$9)</f>
        <v>14.7806</v>
      </c>
      <c r="H903" s="33">
        <f>31.4077 * CHOOSE(CONTROL!$C$32, $C$9, 100%, $E$9)</f>
        <v>31.407699999999998</v>
      </c>
      <c r="I903" s="33">
        <f>31.4113 * CHOOSE(CONTROL!$C$32, $C$9, 100%, $E$9)</f>
        <v>31.411300000000001</v>
      </c>
      <c r="J903" s="33">
        <f>31.4077 * CHOOSE(CONTROL!$C$32, $C$9, 100%, $E$9)</f>
        <v>31.407699999999998</v>
      </c>
      <c r="K903" s="33">
        <f>31.4113 * CHOOSE(CONTROL!$C$32, $C$9, 100%, $E$9)</f>
        <v>31.411300000000001</v>
      </c>
      <c r="L903" s="33">
        <f>14.777 * CHOOSE(CONTROL!$C$32, $C$9, 100%, $E$9)</f>
        <v>14.776999999999999</v>
      </c>
      <c r="M903" s="33">
        <f>14.7806 * CHOOSE(CONTROL!$C$32, $C$9, 100%, $E$9)</f>
        <v>14.7806</v>
      </c>
      <c r="N903" s="33">
        <f>14.777 * CHOOSE(CONTROL!$C$32, $C$9, 100%, $E$9)</f>
        <v>14.776999999999999</v>
      </c>
      <c r="O903" s="33">
        <f>14.7806 * CHOOSE(CONTROL!$C$32, $C$9, 100%, $E$9)</f>
        <v>14.7806</v>
      </c>
    </row>
    <row r="904" spans="1:15" ht="15" x14ac:dyDescent="0.2">
      <c r="A904" s="16">
        <v>68728</v>
      </c>
      <c r="B904" s="32">
        <f>13.4974 * CHOOSE(CONTROL!$C$32, $C$9, 100%, $E$9)</f>
        <v>13.497400000000001</v>
      </c>
      <c r="C904" s="32">
        <f>13.4974 * CHOOSE(CONTROL!$C$32, $C$9, 100%, $E$9)</f>
        <v>13.497400000000001</v>
      </c>
      <c r="D904" s="32">
        <f>13.4985 * CHOOSE(CONTROL!$C$32, $C$9, 100%, $E$9)</f>
        <v>13.4985</v>
      </c>
      <c r="E904" s="33">
        <f>15.1032 * CHOOSE(CONTROL!$C$32, $C$9, 100%, $E$9)</f>
        <v>15.103199999999999</v>
      </c>
      <c r="F904" s="33">
        <f>15.1032 * CHOOSE(CONTROL!$C$32, $C$9, 100%, $E$9)</f>
        <v>15.103199999999999</v>
      </c>
      <c r="G904" s="33">
        <f>15.1068 * CHOOSE(CONTROL!$C$32, $C$9, 100%, $E$9)</f>
        <v>15.1068</v>
      </c>
      <c r="H904" s="33">
        <f>31.4732 * CHOOSE(CONTROL!$C$32, $C$9, 100%, $E$9)</f>
        <v>31.473199999999999</v>
      </c>
      <c r="I904" s="33">
        <f>31.4768 * CHOOSE(CONTROL!$C$32, $C$9, 100%, $E$9)</f>
        <v>31.476800000000001</v>
      </c>
      <c r="J904" s="33">
        <f>31.4732 * CHOOSE(CONTROL!$C$32, $C$9, 100%, $E$9)</f>
        <v>31.473199999999999</v>
      </c>
      <c r="K904" s="33">
        <f>31.4768 * CHOOSE(CONTROL!$C$32, $C$9, 100%, $E$9)</f>
        <v>31.476800000000001</v>
      </c>
      <c r="L904" s="33">
        <f>15.1032 * CHOOSE(CONTROL!$C$32, $C$9, 100%, $E$9)</f>
        <v>15.103199999999999</v>
      </c>
      <c r="M904" s="33">
        <f>15.1068 * CHOOSE(CONTROL!$C$32, $C$9, 100%, $E$9)</f>
        <v>15.1068</v>
      </c>
      <c r="N904" s="33">
        <f>15.1032 * CHOOSE(CONTROL!$C$32, $C$9, 100%, $E$9)</f>
        <v>15.103199999999999</v>
      </c>
      <c r="O904" s="33">
        <f>15.1068 * CHOOSE(CONTROL!$C$32, $C$9, 100%, $E$9)</f>
        <v>15.1068</v>
      </c>
    </row>
    <row r="905" spans="1:15" ht="15" x14ac:dyDescent="0.2">
      <c r="A905" s="16">
        <v>68759</v>
      </c>
      <c r="B905" s="32">
        <f>13.5043 * CHOOSE(CONTROL!$C$32, $C$9, 100%, $E$9)</f>
        <v>13.504300000000001</v>
      </c>
      <c r="C905" s="32">
        <f>13.5043 * CHOOSE(CONTROL!$C$32, $C$9, 100%, $E$9)</f>
        <v>13.504300000000001</v>
      </c>
      <c r="D905" s="32">
        <f>13.5054 * CHOOSE(CONTROL!$C$32, $C$9, 100%, $E$9)</f>
        <v>13.5054</v>
      </c>
      <c r="E905" s="33">
        <f>15.4516 * CHOOSE(CONTROL!$C$32, $C$9, 100%, $E$9)</f>
        <v>15.451599999999999</v>
      </c>
      <c r="F905" s="33">
        <f>15.4516 * CHOOSE(CONTROL!$C$32, $C$9, 100%, $E$9)</f>
        <v>15.451599999999999</v>
      </c>
      <c r="G905" s="33">
        <f>15.4552 * CHOOSE(CONTROL!$C$32, $C$9, 100%, $E$9)</f>
        <v>15.4552</v>
      </c>
      <c r="H905" s="33">
        <f>31.5387 * CHOOSE(CONTROL!$C$32, $C$9, 100%, $E$9)</f>
        <v>31.538699999999999</v>
      </c>
      <c r="I905" s="33">
        <f>31.5423 * CHOOSE(CONTROL!$C$32, $C$9, 100%, $E$9)</f>
        <v>31.542300000000001</v>
      </c>
      <c r="J905" s="33">
        <f>31.5387 * CHOOSE(CONTROL!$C$32, $C$9, 100%, $E$9)</f>
        <v>31.538699999999999</v>
      </c>
      <c r="K905" s="33">
        <f>31.5423 * CHOOSE(CONTROL!$C$32, $C$9, 100%, $E$9)</f>
        <v>31.542300000000001</v>
      </c>
      <c r="L905" s="33">
        <f>15.4516 * CHOOSE(CONTROL!$C$32, $C$9, 100%, $E$9)</f>
        <v>15.451599999999999</v>
      </c>
      <c r="M905" s="33">
        <f>15.4552 * CHOOSE(CONTROL!$C$32, $C$9, 100%, $E$9)</f>
        <v>15.4552</v>
      </c>
      <c r="N905" s="33">
        <f>15.4516 * CHOOSE(CONTROL!$C$32, $C$9, 100%, $E$9)</f>
        <v>15.451599999999999</v>
      </c>
      <c r="O905" s="33">
        <f>15.4552 * CHOOSE(CONTROL!$C$32, $C$9, 100%, $E$9)</f>
        <v>15.4552</v>
      </c>
    </row>
    <row r="906" spans="1:15" ht="15" x14ac:dyDescent="0.2">
      <c r="A906" s="16">
        <v>68789</v>
      </c>
      <c r="B906" s="32">
        <f>13.5043 * CHOOSE(CONTROL!$C$32, $C$9, 100%, $E$9)</f>
        <v>13.504300000000001</v>
      </c>
      <c r="C906" s="32">
        <f>13.5043 * CHOOSE(CONTROL!$C$32, $C$9, 100%, $E$9)</f>
        <v>13.504300000000001</v>
      </c>
      <c r="D906" s="32">
        <f>13.5059 * CHOOSE(CONTROL!$C$32, $C$9, 100%, $E$9)</f>
        <v>13.5059</v>
      </c>
      <c r="E906" s="33">
        <f>15.5838 * CHOOSE(CONTROL!$C$32, $C$9, 100%, $E$9)</f>
        <v>15.5838</v>
      </c>
      <c r="F906" s="33">
        <f>15.5838 * CHOOSE(CONTROL!$C$32, $C$9, 100%, $E$9)</f>
        <v>15.5838</v>
      </c>
      <c r="G906" s="33">
        <f>15.5891 * CHOOSE(CONTROL!$C$32, $C$9, 100%, $E$9)</f>
        <v>15.5891</v>
      </c>
      <c r="H906" s="33">
        <f>31.6044 * CHOOSE(CONTROL!$C$32, $C$9, 100%, $E$9)</f>
        <v>31.604399999999998</v>
      </c>
      <c r="I906" s="33">
        <f>31.6097 * CHOOSE(CONTROL!$C$32, $C$9, 100%, $E$9)</f>
        <v>31.6097</v>
      </c>
      <c r="J906" s="33">
        <f>31.6044 * CHOOSE(CONTROL!$C$32, $C$9, 100%, $E$9)</f>
        <v>31.604399999999998</v>
      </c>
      <c r="K906" s="33">
        <f>31.6097 * CHOOSE(CONTROL!$C$32, $C$9, 100%, $E$9)</f>
        <v>31.6097</v>
      </c>
      <c r="L906" s="33">
        <f>15.5838 * CHOOSE(CONTROL!$C$32, $C$9, 100%, $E$9)</f>
        <v>15.5838</v>
      </c>
      <c r="M906" s="33">
        <f>15.5891 * CHOOSE(CONTROL!$C$32, $C$9, 100%, $E$9)</f>
        <v>15.5891</v>
      </c>
      <c r="N906" s="33">
        <f>15.5838 * CHOOSE(CONTROL!$C$32, $C$9, 100%, $E$9)</f>
        <v>15.5838</v>
      </c>
      <c r="O906" s="33">
        <f>15.5891 * CHOOSE(CONTROL!$C$32, $C$9, 100%, $E$9)</f>
        <v>15.5891</v>
      </c>
    </row>
    <row r="907" spans="1:15" ht="15" x14ac:dyDescent="0.2">
      <c r="A907" s="16">
        <v>68820</v>
      </c>
      <c r="B907" s="32">
        <f>13.5104 * CHOOSE(CONTROL!$C$32, $C$9, 100%, $E$9)</f>
        <v>13.510400000000001</v>
      </c>
      <c r="C907" s="32">
        <f>13.5104 * CHOOSE(CONTROL!$C$32, $C$9, 100%, $E$9)</f>
        <v>13.510400000000001</v>
      </c>
      <c r="D907" s="32">
        <f>13.512 * CHOOSE(CONTROL!$C$32, $C$9, 100%, $E$9)</f>
        <v>13.512</v>
      </c>
      <c r="E907" s="33">
        <f>15.4558 * CHOOSE(CONTROL!$C$32, $C$9, 100%, $E$9)</f>
        <v>15.4558</v>
      </c>
      <c r="F907" s="33">
        <f>15.4558 * CHOOSE(CONTROL!$C$32, $C$9, 100%, $E$9)</f>
        <v>15.4558</v>
      </c>
      <c r="G907" s="33">
        <f>15.4611 * CHOOSE(CONTROL!$C$32, $C$9, 100%, $E$9)</f>
        <v>15.4611</v>
      </c>
      <c r="H907" s="33">
        <f>31.6703 * CHOOSE(CONTROL!$C$32, $C$9, 100%, $E$9)</f>
        <v>31.670300000000001</v>
      </c>
      <c r="I907" s="33">
        <f>31.6756 * CHOOSE(CONTROL!$C$32, $C$9, 100%, $E$9)</f>
        <v>31.675599999999999</v>
      </c>
      <c r="J907" s="33">
        <f>31.6703 * CHOOSE(CONTROL!$C$32, $C$9, 100%, $E$9)</f>
        <v>31.670300000000001</v>
      </c>
      <c r="K907" s="33">
        <f>31.6756 * CHOOSE(CONTROL!$C$32, $C$9, 100%, $E$9)</f>
        <v>31.675599999999999</v>
      </c>
      <c r="L907" s="33">
        <f>15.4558 * CHOOSE(CONTROL!$C$32, $C$9, 100%, $E$9)</f>
        <v>15.4558</v>
      </c>
      <c r="M907" s="33">
        <f>15.4611 * CHOOSE(CONTROL!$C$32, $C$9, 100%, $E$9)</f>
        <v>15.4611</v>
      </c>
      <c r="N907" s="33">
        <f>15.4558 * CHOOSE(CONTROL!$C$32, $C$9, 100%, $E$9)</f>
        <v>15.4558</v>
      </c>
      <c r="O907" s="33">
        <f>15.4611 * CHOOSE(CONTROL!$C$32, $C$9, 100%, $E$9)</f>
        <v>15.4611</v>
      </c>
    </row>
    <row r="908" spans="1:15" ht="15" x14ac:dyDescent="0.2">
      <c r="A908" s="16">
        <v>68850</v>
      </c>
      <c r="B908" s="32">
        <f>13.6733 * CHOOSE(CONTROL!$C$32, $C$9, 100%, $E$9)</f>
        <v>13.673299999999999</v>
      </c>
      <c r="C908" s="32">
        <f>13.6733 * CHOOSE(CONTROL!$C$32, $C$9, 100%, $E$9)</f>
        <v>13.673299999999999</v>
      </c>
      <c r="D908" s="32">
        <f>13.6749 * CHOOSE(CONTROL!$C$32, $C$9, 100%, $E$9)</f>
        <v>13.674899999999999</v>
      </c>
      <c r="E908" s="33">
        <f>15.6749 * CHOOSE(CONTROL!$C$32, $C$9, 100%, $E$9)</f>
        <v>15.674899999999999</v>
      </c>
      <c r="F908" s="33">
        <f>15.6749 * CHOOSE(CONTROL!$C$32, $C$9, 100%, $E$9)</f>
        <v>15.674899999999999</v>
      </c>
      <c r="G908" s="33">
        <f>15.6802 * CHOOSE(CONTROL!$C$32, $C$9, 100%, $E$9)</f>
        <v>15.680199999999999</v>
      </c>
      <c r="H908" s="33">
        <f>31.7363 * CHOOSE(CONTROL!$C$32, $C$9, 100%, $E$9)</f>
        <v>31.7363</v>
      </c>
      <c r="I908" s="33">
        <f>31.7415 * CHOOSE(CONTROL!$C$32, $C$9, 100%, $E$9)</f>
        <v>31.741499999999998</v>
      </c>
      <c r="J908" s="33">
        <f>31.7363 * CHOOSE(CONTROL!$C$32, $C$9, 100%, $E$9)</f>
        <v>31.7363</v>
      </c>
      <c r="K908" s="33">
        <f>31.7415 * CHOOSE(CONTROL!$C$32, $C$9, 100%, $E$9)</f>
        <v>31.741499999999998</v>
      </c>
      <c r="L908" s="33">
        <f>15.6749 * CHOOSE(CONTROL!$C$32, $C$9, 100%, $E$9)</f>
        <v>15.674899999999999</v>
      </c>
      <c r="M908" s="33">
        <f>15.6802 * CHOOSE(CONTROL!$C$32, $C$9, 100%, $E$9)</f>
        <v>15.680199999999999</v>
      </c>
      <c r="N908" s="33">
        <f>15.6749 * CHOOSE(CONTROL!$C$32, $C$9, 100%, $E$9)</f>
        <v>15.674899999999999</v>
      </c>
      <c r="O908" s="33">
        <f>15.6802 * CHOOSE(CONTROL!$C$32, $C$9, 100%, $E$9)</f>
        <v>15.680199999999999</v>
      </c>
    </row>
    <row r="909" spans="1:15" ht="15" x14ac:dyDescent="0.2">
      <c r="A909" s="16">
        <v>68881</v>
      </c>
      <c r="B909" s="32">
        <f>13.68 * CHOOSE(CONTROL!$C$32, $C$9, 100%, $E$9)</f>
        <v>13.68</v>
      </c>
      <c r="C909" s="32">
        <f>13.68 * CHOOSE(CONTROL!$C$32, $C$9, 100%, $E$9)</f>
        <v>13.68</v>
      </c>
      <c r="D909" s="32">
        <f>13.6815 * CHOOSE(CONTROL!$C$32, $C$9, 100%, $E$9)</f>
        <v>13.6815</v>
      </c>
      <c r="E909" s="33">
        <f>15.2829 * CHOOSE(CONTROL!$C$32, $C$9, 100%, $E$9)</f>
        <v>15.2829</v>
      </c>
      <c r="F909" s="33">
        <f>15.2829 * CHOOSE(CONTROL!$C$32, $C$9, 100%, $E$9)</f>
        <v>15.2829</v>
      </c>
      <c r="G909" s="33">
        <f>15.2882 * CHOOSE(CONTROL!$C$32, $C$9, 100%, $E$9)</f>
        <v>15.2882</v>
      </c>
      <c r="H909" s="33">
        <f>31.8024 * CHOOSE(CONTROL!$C$32, $C$9, 100%, $E$9)</f>
        <v>31.802399999999999</v>
      </c>
      <c r="I909" s="33">
        <f>31.8077 * CHOOSE(CONTROL!$C$32, $C$9, 100%, $E$9)</f>
        <v>31.807700000000001</v>
      </c>
      <c r="J909" s="33">
        <f>31.8024 * CHOOSE(CONTROL!$C$32, $C$9, 100%, $E$9)</f>
        <v>31.802399999999999</v>
      </c>
      <c r="K909" s="33">
        <f>31.8077 * CHOOSE(CONTROL!$C$32, $C$9, 100%, $E$9)</f>
        <v>31.807700000000001</v>
      </c>
      <c r="L909" s="33">
        <f>15.2829 * CHOOSE(CONTROL!$C$32, $C$9, 100%, $E$9)</f>
        <v>15.2829</v>
      </c>
      <c r="M909" s="33">
        <f>15.2882 * CHOOSE(CONTROL!$C$32, $C$9, 100%, $E$9)</f>
        <v>15.2882</v>
      </c>
      <c r="N909" s="33">
        <f>15.2829 * CHOOSE(CONTROL!$C$32, $C$9, 100%, $E$9)</f>
        <v>15.2829</v>
      </c>
      <c r="O909" s="33">
        <f>15.2882 * CHOOSE(CONTROL!$C$32, $C$9, 100%, $E$9)</f>
        <v>15.2882</v>
      </c>
    </row>
    <row r="910" spans="1:15" ht="15" x14ac:dyDescent="0.2">
      <c r="A910" s="16">
        <v>68912</v>
      </c>
      <c r="B910" s="32">
        <f>13.6769 * CHOOSE(CONTROL!$C$32, $C$9, 100%, $E$9)</f>
        <v>13.6769</v>
      </c>
      <c r="C910" s="32">
        <f>13.6769 * CHOOSE(CONTROL!$C$32, $C$9, 100%, $E$9)</f>
        <v>13.6769</v>
      </c>
      <c r="D910" s="32">
        <f>13.6785 * CHOOSE(CONTROL!$C$32, $C$9, 100%, $E$9)</f>
        <v>13.6785</v>
      </c>
      <c r="E910" s="33">
        <f>15.2368 * CHOOSE(CONTROL!$C$32, $C$9, 100%, $E$9)</f>
        <v>15.236800000000001</v>
      </c>
      <c r="F910" s="33">
        <f>15.2368 * CHOOSE(CONTROL!$C$32, $C$9, 100%, $E$9)</f>
        <v>15.236800000000001</v>
      </c>
      <c r="G910" s="33">
        <f>15.2421 * CHOOSE(CONTROL!$C$32, $C$9, 100%, $E$9)</f>
        <v>15.242100000000001</v>
      </c>
      <c r="H910" s="33">
        <f>31.8686 * CHOOSE(CONTROL!$C$32, $C$9, 100%, $E$9)</f>
        <v>31.868600000000001</v>
      </c>
      <c r="I910" s="33">
        <f>31.8739 * CHOOSE(CONTROL!$C$32, $C$9, 100%, $E$9)</f>
        <v>31.873899999999999</v>
      </c>
      <c r="J910" s="33">
        <f>31.8686 * CHOOSE(CONTROL!$C$32, $C$9, 100%, $E$9)</f>
        <v>31.868600000000001</v>
      </c>
      <c r="K910" s="33">
        <f>31.8739 * CHOOSE(CONTROL!$C$32, $C$9, 100%, $E$9)</f>
        <v>31.873899999999999</v>
      </c>
      <c r="L910" s="33">
        <f>15.2368 * CHOOSE(CONTROL!$C$32, $C$9, 100%, $E$9)</f>
        <v>15.236800000000001</v>
      </c>
      <c r="M910" s="33">
        <f>15.2421 * CHOOSE(CONTROL!$C$32, $C$9, 100%, $E$9)</f>
        <v>15.242100000000001</v>
      </c>
      <c r="N910" s="33">
        <f>15.2368 * CHOOSE(CONTROL!$C$32, $C$9, 100%, $E$9)</f>
        <v>15.236800000000001</v>
      </c>
      <c r="O910" s="33">
        <f>15.2421 * CHOOSE(CONTROL!$C$32, $C$9, 100%, $E$9)</f>
        <v>15.242100000000001</v>
      </c>
    </row>
    <row r="911" spans="1:15" ht="15" x14ac:dyDescent="0.2">
      <c r="A911" s="16">
        <v>68942</v>
      </c>
      <c r="B911" s="32">
        <f>13.7082 * CHOOSE(CONTROL!$C$32, $C$9, 100%, $E$9)</f>
        <v>13.7082</v>
      </c>
      <c r="C911" s="32">
        <f>13.7082 * CHOOSE(CONTROL!$C$32, $C$9, 100%, $E$9)</f>
        <v>13.7082</v>
      </c>
      <c r="D911" s="32">
        <f>13.7092 * CHOOSE(CONTROL!$C$32, $C$9, 100%, $E$9)</f>
        <v>13.709199999999999</v>
      </c>
      <c r="E911" s="33">
        <f>15.3996 * CHOOSE(CONTROL!$C$32, $C$9, 100%, $E$9)</f>
        <v>15.3996</v>
      </c>
      <c r="F911" s="33">
        <f>15.3996 * CHOOSE(CONTROL!$C$32, $C$9, 100%, $E$9)</f>
        <v>15.3996</v>
      </c>
      <c r="G911" s="33">
        <f>15.4032 * CHOOSE(CONTROL!$C$32, $C$9, 100%, $E$9)</f>
        <v>15.4032</v>
      </c>
      <c r="H911" s="33">
        <f>31.935 * CHOOSE(CONTROL!$C$32, $C$9, 100%, $E$9)</f>
        <v>31.934999999999999</v>
      </c>
      <c r="I911" s="33">
        <f>31.9386 * CHOOSE(CONTROL!$C$32, $C$9, 100%, $E$9)</f>
        <v>31.938600000000001</v>
      </c>
      <c r="J911" s="33">
        <f>31.935 * CHOOSE(CONTROL!$C$32, $C$9, 100%, $E$9)</f>
        <v>31.934999999999999</v>
      </c>
      <c r="K911" s="33">
        <f>31.9386 * CHOOSE(CONTROL!$C$32, $C$9, 100%, $E$9)</f>
        <v>31.938600000000001</v>
      </c>
      <c r="L911" s="33">
        <f>15.3996 * CHOOSE(CONTROL!$C$32, $C$9, 100%, $E$9)</f>
        <v>15.3996</v>
      </c>
      <c r="M911" s="33">
        <f>15.4032 * CHOOSE(CONTROL!$C$32, $C$9, 100%, $E$9)</f>
        <v>15.4032</v>
      </c>
      <c r="N911" s="33">
        <f>15.3996 * CHOOSE(CONTROL!$C$32, $C$9, 100%, $E$9)</f>
        <v>15.3996</v>
      </c>
      <c r="O911" s="33">
        <f>15.4032 * CHOOSE(CONTROL!$C$32, $C$9, 100%, $E$9)</f>
        <v>15.4032</v>
      </c>
    </row>
    <row r="912" spans="1:15" ht="15" x14ac:dyDescent="0.2">
      <c r="A912" s="16">
        <v>68973</v>
      </c>
      <c r="B912" s="32">
        <f>13.7112 * CHOOSE(CONTROL!$C$32, $C$9, 100%, $E$9)</f>
        <v>13.7112</v>
      </c>
      <c r="C912" s="32">
        <f>13.7112 * CHOOSE(CONTROL!$C$32, $C$9, 100%, $E$9)</f>
        <v>13.7112</v>
      </c>
      <c r="D912" s="32">
        <f>13.7123 * CHOOSE(CONTROL!$C$32, $C$9, 100%, $E$9)</f>
        <v>13.712300000000001</v>
      </c>
      <c r="E912" s="33">
        <f>15.4899 * CHOOSE(CONTROL!$C$32, $C$9, 100%, $E$9)</f>
        <v>15.4899</v>
      </c>
      <c r="F912" s="33">
        <f>15.4899 * CHOOSE(CONTROL!$C$32, $C$9, 100%, $E$9)</f>
        <v>15.4899</v>
      </c>
      <c r="G912" s="33">
        <f>15.4935 * CHOOSE(CONTROL!$C$32, $C$9, 100%, $E$9)</f>
        <v>15.493499999999999</v>
      </c>
      <c r="H912" s="33">
        <f>32.0015 * CHOOSE(CONTROL!$C$32, $C$9, 100%, $E$9)</f>
        <v>32.0015</v>
      </c>
      <c r="I912" s="33">
        <f>32.0052 * CHOOSE(CONTROL!$C$32, $C$9, 100%, $E$9)</f>
        <v>32.005200000000002</v>
      </c>
      <c r="J912" s="33">
        <f>32.0015 * CHOOSE(CONTROL!$C$32, $C$9, 100%, $E$9)</f>
        <v>32.0015</v>
      </c>
      <c r="K912" s="33">
        <f>32.0052 * CHOOSE(CONTROL!$C$32, $C$9, 100%, $E$9)</f>
        <v>32.005200000000002</v>
      </c>
      <c r="L912" s="33">
        <f>15.4899 * CHOOSE(CONTROL!$C$32, $C$9, 100%, $E$9)</f>
        <v>15.4899</v>
      </c>
      <c r="M912" s="33">
        <f>15.4935 * CHOOSE(CONTROL!$C$32, $C$9, 100%, $E$9)</f>
        <v>15.493499999999999</v>
      </c>
      <c r="N912" s="33">
        <f>15.4899 * CHOOSE(CONTROL!$C$32, $C$9, 100%, $E$9)</f>
        <v>15.4899</v>
      </c>
      <c r="O912" s="33">
        <f>15.4935 * CHOOSE(CONTROL!$C$32, $C$9, 100%, $E$9)</f>
        <v>15.493499999999999</v>
      </c>
    </row>
    <row r="913" spans="1:15" ht="15" x14ac:dyDescent="0.2">
      <c r="A913" s="16">
        <v>69003</v>
      </c>
      <c r="B913" s="32">
        <f>13.7112 * CHOOSE(CONTROL!$C$32, $C$9, 100%, $E$9)</f>
        <v>13.7112</v>
      </c>
      <c r="C913" s="32">
        <f>13.7112 * CHOOSE(CONTROL!$C$32, $C$9, 100%, $E$9)</f>
        <v>13.7112</v>
      </c>
      <c r="D913" s="32">
        <f>13.7123 * CHOOSE(CONTROL!$C$32, $C$9, 100%, $E$9)</f>
        <v>13.712300000000001</v>
      </c>
      <c r="E913" s="33">
        <f>15.2695 * CHOOSE(CONTROL!$C$32, $C$9, 100%, $E$9)</f>
        <v>15.269500000000001</v>
      </c>
      <c r="F913" s="33">
        <f>15.2695 * CHOOSE(CONTROL!$C$32, $C$9, 100%, $E$9)</f>
        <v>15.269500000000001</v>
      </c>
      <c r="G913" s="33">
        <f>15.2731 * CHOOSE(CONTROL!$C$32, $C$9, 100%, $E$9)</f>
        <v>15.273099999999999</v>
      </c>
      <c r="H913" s="33">
        <f>32.0682 * CHOOSE(CONTROL!$C$32, $C$9, 100%, $E$9)</f>
        <v>32.068199999999997</v>
      </c>
      <c r="I913" s="33">
        <f>32.0718 * CHOOSE(CONTROL!$C$32, $C$9, 100%, $E$9)</f>
        <v>32.071800000000003</v>
      </c>
      <c r="J913" s="33">
        <f>32.0682 * CHOOSE(CONTROL!$C$32, $C$9, 100%, $E$9)</f>
        <v>32.068199999999997</v>
      </c>
      <c r="K913" s="33">
        <f>32.0718 * CHOOSE(CONTROL!$C$32, $C$9, 100%, $E$9)</f>
        <v>32.071800000000003</v>
      </c>
      <c r="L913" s="33">
        <f>15.2695 * CHOOSE(CONTROL!$C$32, $C$9, 100%, $E$9)</f>
        <v>15.269500000000001</v>
      </c>
      <c r="M913" s="33">
        <f>15.2731 * CHOOSE(CONTROL!$C$32, $C$9, 100%, $E$9)</f>
        <v>15.273099999999999</v>
      </c>
      <c r="N913" s="33">
        <f>15.2695 * CHOOSE(CONTROL!$C$32, $C$9, 100%, $E$9)</f>
        <v>15.269500000000001</v>
      </c>
      <c r="O913" s="33">
        <f>15.2731 * CHOOSE(CONTROL!$C$32, $C$9, 100%, $E$9)</f>
        <v>15.273099999999999</v>
      </c>
    </row>
    <row r="914" spans="1:15" ht="15" x14ac:dyDescent="0.2">
      <c r="A914" s="16">
        <v>69034</v>
      </c>
      <c r="B914" s="32">
        <f>13.6909 * CHOOSE(CONTROL!$C$32, $C$9, 100%, $E$9)</f>
        <v>13.690899999999999</v>
      </c>
      <c r="C914" s="32">
        <f>13.6909 * CHOOSE(CONTROL!$C$32, $C$9, 100%, $E$9)</f>
        <v>13.690899999999999</v>
      </c>
      <c r="D914" s="32">
        <f>13.6919 * CHOOSE(CONTROL!$C$32, $C$9, 100%, $E$9)</f>
        <v>13.6919</v>
      </c>
      <c r="E914" s="33">
        <f>15.4081 * CHOOSE(CONTROL!$C$32, $C$9, 100%, $E$9)</f>
        <v>15.408099999999999</v>
      </c>
      <c r="F914" s="33">
        <f>15.4081 * CHOOSE(CONTROL!$C$32, $C$9, 100%, $E$9)</f>
        <v>15.408099999999999</v>
      </c>
      <c r="G914" s="33">
        <f>15.4117 * CHOOSE(CONTROL!$C$32, $C$9, 100%, $E$9)</f>
        <v>15.4117</v>
      </c>
      <c r="H914" s="33">
        <f>31.8065 * CHOOSE(CONTROL!$C$32, $C$9, 100%, $E$9)</f>
        <v>31.8065</v>
      </c>
      <c r="I914" s="33">
        <f>31.8101 * CHOOSE(CONTROL!$C$32, $C$9, 100%, $E$9)</f>
        <v>31.810099999999998</v>
      </c>
      <c r="J914" s="33">
        <f>31.8065 * CHOOSE(CONTROL!$C$32, $C$9, 100%, $E$9)</f>
        <v>31.8065</v>
      </c>
      <c r="K914" s="33">
        <f>31.8101 * CHOOSE(CONTROL!$C$32, $C$9, 100%, $E$9)</f>
        <v>31.810099999999998</v>
      </c>
      <c r="L914" s="33">
        <f>15.4081 * CHOOSE(CONTROL!$C$32, $C$9, 100%, $E$9)</f>
        <v>15.408099999999999</v>
      </c>
      <c r="M914" s="33">
        <f>15.4117 * CHOOSE(CONTROL!$C$32, $C$9, 100%, $E$9)</f>
        <v>15.4117</v>
      </c>
      <c r="N914" s="33">
        <f>15.4081 * CHOOSE(CONTROL!$C$32, $C$9, 100%, $E$9)</f>
        <v>15.408099999999999</v>
      </c>
      <c r="O914" s="33">
        <f>15.4117 * CHOOSE(CONTROL!$C$32, $C$9, 100%, $E$9)</f>
        <v>15.4117</v>
      </c>
    </row>
    <row r="915" spans="1:15" ht="15" x14ac:dyDescent="0.2">
      <c r="A915" s="16">
        <v>69065</v>
      </c>
      <c r="B915" s="32">
        <f>13.6878 * CHOOSE(CONTROL!$C$32, $C$9, 100%, $E$9)</f>
        <v>13.687799999999999</v>
      </c>
      <c r="C915" s="32">
        <f>13.6878 * CHOOSE(CONTROL!$C$32, $C$9, 100%, $E$9)</f>
        <v>13.687799999999999</v>
      </c>
      <c r="D915" s="32">
        <f>13.6889 * CHOOSE(CONTROL!$C$32, $C$9, 100%, $E$9)</f>
        <v>13.6889</v>
      </c>
      <c r="E915" s="33">
        <f>14.9824 * CHOOSE(CONTROL!$C$32, $C$9, 100%, $E$9)</f>
        <v>14.9824</v>
      </c>
      <c r="F915" s="33">
        <f>14.9824 * CHOOSE(CONTROL!$C$32, $C$9, 100%, $E$9)</f>
        <v>14.9824</v>
      </c>
      <c r="G915" s="33">
        <f>14.9861 * CHOOSE(CONTROL!$C$32, $C$9, 100%, $E$9)</f>
        <v>14.9861</v>
      </c>
      <c r="H915" s="33">
        <f>31.8727 * CHOOSE(CONTROL!$C$32, $C$9, 100%, $E$9)</f>
        <v>31.872699999999998</v>
      </c>
      <c r="I915" s="33">
        <f>31.8763 * CHOOSE(CONTROL!$C$32, $C$9, 100%, $E$9)</f>
        <v>31.876300000000001</v>
      </c>
      <c r="J915" s="33">
        <f>31.8727 * CHOOSE(CONTROL!$C$32, $C$9, 100%, $E$9)</f>
        <v>31.872699999999998</v>
      </c>
      <c r="K915" s="33">
        <f>31.8763 * CHOOSE(CONTROL!$C$32, $C$9, 100%, $E$9)</f>
        <v>31.876300000000001</v>
      </c>
      <c r="L915" s="33">
        <f>14.9824 * CHOOSE(CONTROL!$C$32, $C$9, 100%, $E$9)</f>
        <v>14.9824</v>
      </c>
      <c r="M915" s="33">
        <f>14.9861 * CHOOSE(CONTROL!$C$32, $C$9, 100%, $E$9)</f>
        <v>14.9861</v>
      </c>
      <c r="N915" s="33">
        <f>14.9824 * CHOOSE(CONTROL!$C$32, $C$9, 100%, $E$9)</f>
        <v>14.9824</v>
      </c>
      <c r="O915" s="33">
        <f>14.9861 * CHOOSE(CONTROL!$C$32, $C$9, 100%, $E$9)</f>
        <v>14.9861</v>
      </c>
    </row>
    <row r="916" spans="1:15" ht="15" x14ac:dyDescent="0.2">
      <c r="A916" s="16">
        <v>69093</v>
      </c>
      <c r="B916" s="32">
        <f>13.6848 * CHOOSE(CONTROL!$C$32, $C$9, 100%, $E$9)</f>
        <v>13.684799999999999</v>
      </c>
      <c r="C916" s="32">
        <f>13.6848 * CHOOSE(CONTROL!$C$32, $C$9, 100%, $E$9)</f>
        <v>13.684799999999999</v>
      </c>
      <c r="D916" s="32">
        <f>13.6859 * CHOOSE(CONTROL!$C$32, $C$9, 100%, $E$9)</f>
        <v>13.6859</v>
      </c>
      <c r="E916" s="33">
        <f>15.3142 * CHOOSE(CONTROL!$C$32, $C$9, 100%, $E$9)</f>
        <v>15.3142</v>
      </c>
      <c r="F916" s="33">
        <f>15.3142 * CHOOSE(CONTROL!$C$32, $C$9, 100%, $E$9)</f>
        <v>15.3142</v>
      </c>
      <c r="G916" s="33">
        <f>15.3178 * CHOOSE(CONTROL!$C$32, $C$9, 100%, $E$9)</f>
        <v>15.3178</v>
      </c>
      <c r="H916" s="33">
        <f>31.9391 * CHOOSE(CONTROL!$C$32, $C$9, 100%, $E$9)</f>
        <v>31.9391</v>
      </c>
      <c r="I916" s="33">
        <f>31.9427 * CHOOSE(CONTROL!$C$32, $C$9, 100%, $E$9)</f>
        <v>31.942699999999999</v>
      </c>
      <c r="J916" s="33">
        <f>31.9391 * CHOOSE(CONTROL!$C$32, $C$9, 100%, $E$9)</f>
        <v>31.9391</v>
      </c>
      <c r="K916" s="33">
        <f>31.9427 * CHOOSE(CONTROL!$C$32, $C$9, 100%, $E$9)</f>
        <v>31.942699999999999</v>
      </c>
      <c r="L916" s="33">
        <f>15.3142 * CHOOSE(CONTROL!$C$32, $C$9, 100%, $E$9)</f>
        <v>15.3142</v>
      </c>
      <c r="M916" s="33">
        <f>15.3178 * CHOOSE(CONTROL!$C$32, $C$9, 100%, $E$9)</f>
        <v>15.3178</v>
      </c>
      <c r="N916" s="33">
        <f>15.3142 * CHOOSE(CONTROL!$C$32, $C$9, 100%, $E$9)</f>
        <v>15.3142</v>
      </c>
      <c r="O916" s="33">
        <f>15.3178 * CHOOSE(CONTROL!$C$32, $C$9, 100%, $E$9)</f>
        <v>15.3178</v>
      </c>
    </row>
    <row r="917" spans="1:15" ht="15" x14ac:dyDescent="0.2">
      <c r="A917" s="16">
        <v>69124</v>
      </c>
      <c r="B917" s="32">
        <f>13.6919 * CHOOSE(CONTROL!$C$32, $C$9, 100%, $E$9)</f>
        <v>13.6919</v>
      </c>
      <c r="C917" s="32">
        <f>13.6919 * CHOOSE(CONTROL!$C$32, $C$9, 100%, $E$9)</f>
        <v>13.6919</v>
      </c>
      <c r="D917" s="32">
        <f>13.6929 * CHOOSE(CONTROL!$C$32, $C$9, 100%, $E$9)</f>
        <v>13.6929</v>
      </c>
      <c r="E917" s="33">
        <f>15.6686 * CHOOSE(CONTROL!$C$32, $C$9, 100%, $E$9)</f>
        <v>15.6686</v>
      </c>
      <c r="F917" s="33">
        <f>15.6686 * CHOOSE(CONTROL!$C$32, $C$9, 100%, $E$9)</f>
        <v>15.6686</v>
      </c>
      <c r="G917" s="33">
        <f>15.6722 * CHOOSE(CONTROL!$C$32, $C$9, 100%, $E$9)</f>
        <v>15.6722</v>
      </c>
      <c r="H917" s="33">
        <f>32.0057 * CHOOSE(CONTROL!$C$32, $C$9, 100%, $E$9)</f>
        <v>32.005699999999997</v>
      </c>
      <c r="I917" s="33">
        <f>32.0093 * CHOOSE(CONTROL!$C$32, $C$9, 100%, $E$9)</f>
        <v>32.009300000000003</v>
      </c>
      <c r="J917" s="33">
        <f>32.0057 * CHOOSE(CONTROL!$C$32, $C$9, 100%, $E$9)</f>
        <v>32.005699999999997</v>
      </c>
      <c r="K917" s="33">
        <f>32.0093 * CHOOSE(CONTROL!$C$32, $C$9, 100%, $E$9)</f>
        <v>32.009300000000003</v>
      </c>
      <c r="L917" s="33">
        <f>15.6686 * CHOOSE(CONTROL!$C$32, $C$9, 100%, $E$9)</f>
        <v>15.6686</v>
      </c>
      <c r="M917" s="33">
        <f>15.6722 * CHOOSE(CONTROL!$C$32, $C$9, 100%, $E$9)</f>
        <v>15.6722</v>
      </c>
      <c r="N917" s="33">
        <f>15.6686 * CHOOSE(CONTROL!$C$32, $C$9, 100%, $E$9)</f>
        <v>15.6686</v>
      </c>
      <c r="O917" s="33">
        <f>15.6722 * CHOOSE(CONTROL!$C$32, $C$9, 100%, $E$9)</f>
        <v>15.6722</v>
      </c>
    </row>
    <row r="918" spans="1:15" ht="15" x14ac:dyDescent="0.2">
      <c r="A918" s="16">
        <v>69154</v>
      </c>
      <c r="B918" s="32">
        <f>13.6919 * CHOOSE(CONTROL!$C$32, $C$9, 100%, $E$9)</f>
        <v>13.6919</v>
      </c>
      <c r="C918" s="32">
        <f>13.6919 * CHOOSE(CONTROL!$C$32, $C$9, 100%, $E$9)</f>
        <v>13.6919</v>
      </c>
      <c r="D918" s="32">
        <f>13.6934 * CHOOSE(CONTROL!$C$32, $C$9, 100%, $E$9)</f>
        <v>13.6934</v>
      </c>
      <c r="E918" s="33">
        <f>15.803 * CHOOSE(CONTROL!$C$32, $C$9, 100%, $E$9)</f>
        <v>15.803000000000001</v>
      </c>
      <c r="F918" s="33">
        <f>15.803 * CHOOSE(CONTROL!$C$32, $C$9, 100%, $E$9)</f>
        <v>15.803000000000001</v>
      </c>
      <c r="G918" s="33">
        <f>15.8083 * CHOOSE(CONTROL!$C$32, $C$9, 100%, $E$9)</f>
        <v>15.808299999999999</v>
      </c>
      <c r="H918" s="33">
        <f>32.0723 * CHOOSE(CONTROL!$C$32, $C$9, 100%, $E$9)</f>
        <v>32.072299999999998</v>
      </c>
      <c r="I918" s="33">
        <f>32.0776 * CHOOSE(CONTROL!$C$32, $C$9, 100%, $E$9)</f>
        <v>32.077599999999997</v>
      </c>
      <c r="J918" s="33">
        <f>32.0723 * CHOOSE(CONTROL!$C$32, $C$9, 100%, $E$9)</f>
        <v>32.072299999999998</v>
      </c>
      <c r="K918" s="33">
        <f>32.0776 * CHOOSE(CONTROL!$C$32, $C$9, 100%, $E$9)</f>
        <v>32.077599999999997</v>
      </c>
      <c r="L918" s="33">
        <f>15.803 * CHOOSE(CONTROL!$C$32, $C$9, 100%, $E$9)</f>
        <v>15.803000000000001</v>
      </c>
      <c r="M918" s="33">
        <f>15.8083 * CHOOSE(CONTROL!$C$32, $C$9, 100%, $E$9)</f>
        <v>15.808299999999999</v>
      </c>
      <c r="N918" s="33">
        <f>15.803 * CHOOSE(CONTROL!$C$32, $C$9, 100%, $E$9)</f>
        <v>15.803000000000001</v>
      </c>
      <c r="O918" s="33">
        <f>15.8083 * CHOOSE(CONTROL!$C$32, $C$9, 100%, $E$9)</f>
        <v>15.808299999999999</v>
      </c>
    </row>
    <row r="919" spans="1:15" ht="15" x14ac:dyDescent="0.2">
      <c r="A919" s="16">
        <v>69185</v>
      </c>
      <c r="B919" s="32">
        <f>13.6979 * CHOOSE(CONTROL!$C$32, $C$9, 100%, $E$9)</f>
        <v>13.697900000000001</v>
      </c>
      <c r="C919" s="32">
        <f>13.6979 * CHOOSE(CONTROL!$C$32, $C$9, 100%, $E$9)</f>
        <v>13.697900000000001</v>
      </c>
      <c r="D919" s="32">
        <f>13.6995 * CHOOSE(CONTROL!$C$32, $C$9, 100%, $E$9)</f>
        <v>13.6995</v>
      </c>
      <c r="E919" s="33">
        <f>15.6728 * CHOOSE(CONTROL!$C$32, $C$9, 100%, $E$9)</f>
        <v>15.672800000000001</v>
      </c>
      <c r="F919" s="33">
        <f>15.6728 * CHOOSE(CONTROL!$C$32, $C$9, 100%, $E$9)</f>
        <v>15.672800000000001</v>
      </c>
      <c r="G919" s="33">
        <f>15.6781 * CHOOSE(CONTROL!$C$32, $C$9, 100%, $E$9)</f>
        <v>15.678100000000001</v>
      </c>
      <c r="H919" s="33">
        <f>32.1392 * CHOOSE(CONTROL!$C$32, $C$9, 100%, $E$9)</f>
        <v>32.139200000000002</v>
      </c>
      <c r="I919" s="33">
        <f>32.1445 * CHOOSE(CONTROL!$C$32, $C$9, 100%, $E$9)</f>
        <v>32.144500000000001</v>
      </c>
      <c r="J919" s="33">
        <f>32.1392 * CHOOSE(CONTROL!$C$32, $C$9, 100%, $E$9)</f>
        <v>32.139200000000002</v>
      </c>
      <c r="K919" s="33">
        <f>32.1445 * CHOOSE(CONTROL!$C$32, $C$9, 100%, $E$9)</f>
        <v>32.144500000000001</v>
      </c>
      <c r="L919" s="33">
        <f>15.6728 * CHOOSE(CONTROL!$C$32, $C$9, 100%, $E$9)</f>
        <v>15.672800000000001</v>
      </c>
      <c r="M919" s="33">
        <f>15.6781 * CHOOSE(CONTROL!$C$32, $C$9, 100%, $E$9)</f>
        <v>15.678100000000001</v>
      </c>
      <c r="N919" s="33">
        <f>15.6728 * CHOOSE(CONTROL!$C$32, $C$9, 100%, $E$9)</f>
        <v>15.672800000000001</v>
      </c>
      <c r="O919" s="33">
        <f>15.6781 * CHOOSE(CONTROL!$C$32, $C$9, 100%, $E$9)</f>
        <v>15.678100000000001</v>
      </c>
    </row>
    <row r="920" spans="1:15" ht="15" x14ac:dyDescent="0.2">
      <c r="A920" s="16">
        <v>69215</v>
      </c>
      <c r="B920" s="32">
        <f>13.8629 * CHOOSE(CONTROL!$C$32, $C$9, 100%, $E$9)</f>
        <v>13.8629</v>
      </c>
      <c r="C920" s="32">
        <f>13.8629 * CHOOSE(CONTROL!$C$32, $C$9, 100%, $E$9)</f>
        <v>13.8629</v>
      </c>
      <c r="D920" s="32">
        <f>13.8644 * CHOOSE(CONTROL!$C$32, $C$9, 100%, $E$9)</f>
        <v>13.8644</v>
      </c>
      <c r="E920" s="33">
        <f>15.8951 * CHOOSE(CONTROL!$C$32, $C$9, 100%, $E$9)</f>
        <v>15.895099999999999</v>
      </c>
      <c r="F920" s="33">
        <f>15.8951 * CHOOSE(CONTROL!$C$32, $C$9, 100%, $E$9)</f>
        <v>15.895099999999999</v>
      </c>
      <c r="G920" s="33">
        <f>15.9004 * CHOOSE(CONTROL!$C$32, $C$9, 100%, $E$9)</f>
        <v>15.900399999999999</v>
      </c>
      <c r="H920" s="33">
        <f>32.2061 * CHOOSE(CONTROL!$C$32, $C$9, 100%, $E$9)</f>
        <v>32.206099999999999</v>
      </c>
      <c r="I920" s="33">
        <f>32.2114 * CHOOSE(CONTROL!$C$32, $C$9, 100%, $E$9)</f>
        <v>32.211399999999998</v>
      </c>
      <c r="J920" s="33">
        <f>32.2061 * CHOOSE(CONTROL!$C$32, $C$9, 100%, $E$9)</f>
        <v>32.206099999999999</v>
      </c>
      <c r="K920" s="33">
        <f>32.2114 * CHOOSE(CONTROL!$C$32, $C$9, 100%, $E$9)</f>
        <v>32.211399999999998</v>
      </c>
      <c r="L920" s="33">
        <f>15.8951 * CHOOSE(CONTROL!$C$32, $C$9, 100%, $E$9)</f>
        <v>15.895099999999999</v>
      </c>
      <c r="M920" s="33">
        <f>15.9004 * CHOOSE(CONTROL!$C$32, $C$9, 100%, $E$9)</f>
        <v>15.900399999999999</v>
      </c>
      <c r="N920" s="33">
        <f>15.8951 * CHOOSE(CONTROL!$C$32, $C$9, 100%, $E$9)</f>
        <v>15.895099999999999</v>
      </c>
      <c r="O920" s="33">
        <f>15.9004 * CHOOSE(CONTROL!$C$32, $C$9, 100%, $E$9)</f>
        <v>15.900399999999999</v>
      </c>
    </row>
    <row r="921" spans="1:15" ht="15" x14ac:dyDescent="0.2">
      <c r="A921" s="16">
        <v>69246</v>
      </c>
      <c r="B921" s="32">
        <f>13.8696 * CHOOSE(CONTROL!$C$32, $C$9, 100%, $E$9)</f>
        <v>13.8696</v>
      </c>
      <c r="C921" s="32">
        <f>13.8696 * CHOOSE(CONTROL!$C$32, $C$9, 100%, $E$9)</f>
        <v>13.8696</v>
      </c>
      <c r="D921" s="32">
        <f>13.8711 * CHOOSE(CONTROL!$C$32, $C$9, 100%, $E$9)</f>
        <v>13.8711</v>
      </c>
      <c r="E921" s="33">
        <f>15.4964 * CHOOSE(CONTROL!$C$32, $C$9, 100%, $E$9)</f>
        <v>15.4964</v>
      </c>
      <c r="F921" s="33">
        <f>15.4964 * CHOOSE(CONTROL!$C$32, $C$9, 100%, $E$9)</f>
        <v>15.4964</v>
      </c>
      <c r="G921" s="33">
        <f>15.5017 * CHOOSE(CONTROL!$C$32, $C$9, 100%, $E$9)</f>
        <v>15.5017</v>
      </c>
      <c r="H921" s="33">
        <f>32.2732 * CHOOSE(CONTROL!$C$32, $C$9, 100%, $E$9)</f>
        <v>32.273200000000003</v>
      </c>
      <c r="I921" s="33">
        <f>32.2785 * CHOOSE(CONTROL!$C$32, $C$9, 100%, $E$9)</f>
        <v>32.278500000000001</v>
      </c>
      <c r="J921" s="33">
        <f>32.2732 * CHOOSE(CONTROL!$C$32, $C$9, 100%, $E$9)</f>
        <v>32.273200000000003</v>
      </c>
      <c r="K921" s="33">
        <f>32.2785 * CHOOSE(CONTROL!$C$32, $C$9, 100%, $E$9)</f>
        <v>32.278500000000001</v>
      </c>
      <c r="L921" s="33">
        <f>15.4964 * CHOOSE(CONTROL!$C$32, $C$9, 100%, $E$9)</f>
        <v>15.4964</v>
      </c>
      <c r="M921" s="33">
        <f>15.5017 * CHOOSE(CONTROL!$C$32, $C$9, 100%, $E$9)</f>
        <v>15.5017</v>
      </c>
      <c r="N921" s="33">
        <f>15.4964 * CHOOSE(CONTROL!$C$32, $C$9, 100%, $E$9)</f>
        <v>15.4964</v>
      </c>
      <c r="O921" s="33">
        <f>15.5017 * CHOOSE(CONTROL!$C$32, $C$9, 100%, $E$9)</f>
        <v>15.5017</v>
      </c>
    </row>
    <row r="922" spans="1:15" ht="15" x14ac:dyDescent="0.2">
      <c r="A922" s="16">
        <v>69277</v>
      </c>
      <c r="B922" s="32">
        <f>13.8665 * CHOOSE(CONTROL!$C$32, $C$9, 100%, $E$9)</f>
        <v>13.8665</v>
      </c>
      <c r="C922" s="32">
        <f>13.8665 * CHOOSE(CONTROL!$C$32, $C$9, 100%, $E$9)</f>
        <v>13.8665</v>
      </c>
      <c r="D922" s="32">
        <f>13.8681 * CHOOSE(CONTROL!$C$32, $C$9, 100%, $E$9)</f>
        <v>13.8681</v>
      </c>
      <c r="E922" s="33">
        <f>15.4494 * CHOOSE(CONTROL!$C$32, $C$9, 100%, $E$9)</f>
        <v>15.449400000000001</v>
      </c>
      <c r="F922" s="33">
        <f>15.4494 * CHOOSE(CONTROL!$C$32, $C$9, 100%, $E$9)</f>
        <v>15.449400000000001</v>
      </c>
      <c r="G922" s="33">
        <f>15.4547 * CHOOSE(CONTROL!$C$32, $C$9, 100%, $E$9)</f>
        <v>15.454700000000001</v>
      </c>
      <c r="H922" s="33">
        <f>32.3404 * CHOOSE(CONTROL!$C$32, $C$9, 100%, $E$9)</f>
        <v>32.340400000000002</v>
      </c>
      <c r="I922" s="33">
        <f>32.3457 * CHOOSE(CONTROL!$C$32, $C$9, 100%, $E$9)</f>
        <v>32.345700000000001</v>
      </c>
      <c r="J922" s="33">
        <f>32.3404 * CHOOSE(CONTROL!$C$32, $C$9, 100%, $E$9)</f>
        <v>32.340400000000002</v>
      </c>
      <c r="K922" s="33">
        <f>32.3457 * CHOOSE(CONTROL!$C$32, $C$9, 100%, $E$9)</f>
        <v>32.345700000000001</v>
      </c>
      <c r="L922" s="33">
        <f>15.4494 * CHOOSE(CONTROL!$C$32, $C$9, 100%, $E$9)</f>
        <v>15.449400000000001</v>
      </c>
      <c r="M922" s="33">
        <f>15.4547 * CHOOSE(CONTROL!$C$32, $C$9, 100%, $E$9)</f>
        <v>15.454700000000001</v>
      </c>
      <c r="N922" s="33">
        <f>15.4494 * CHOOSE(CONTROL!$C$32, $C$9, 100%, $E$9)</f>
        <v>15.449400000000001</v>
      </c>
      <c r="O922" s="33">
        <f>15.4547 * CHOOSE(CONTROL!$C$32, $C$9, 100%, $E$9)</f>
        <v>15.454700000000001</v>
      </c>
    </row>
    <row r="923" spans="1:15" ht="15" x14ac:dyDescent="0.2">
      <c r="A923" s="16">
        <v>69307</v>
      </c>
      <c r="B923" s="32">
        <f>13.8985 * CHOOSE(CONTROL!$C$32, $C$9, 100%, $E$9)</f>
        <v>13.8985</v>
      </c>
      <c r="C923" s="32">
        <f>13.8985 * CHOOSE(CONTROL!$C$32, $C$9, 100%, $E$9)</f>
        <v>13.8985</v>
      </c>
      <c r="D923" s="32">
        <f>13.8995 * CHOOSE(CONTROL!$C$32, $C$9, 100%, $E$9)</f>
        <v>13.8995</v>
      </c>
      <c r="E923" s="33">
        <f>15.6153 * CHOOSE(CONTROL!$C$32, $C$9, 100%, $E$9)</f>
        <v>15.6153</v>
      </c>
      <c r="F923" s="33">
        <f>15.6153 * CHOOSE(CONTROL!$C$32, $C$9, 100%, $E$9)</f>
        <v>15.6153</v>
      </c>
      <c r="G923" s="33">
        <f>15.6189 * CHOOSE(CONTROL!$C$32, $C$9, 100%, $E$9)</f>
        <v>15.6189</v>
      </c>
      <c r="H923" s="33">
        <f>32.4078 * CHOOSE(CONTROL!$C$32, $C$9, 100%, $E$9)</f>
        <v>32.407800000000002</v>
      </c>
      <c r="I923" s="33">
        <f>32.4114 * CHOOSE(CONTROL!$C$32, $C$9, 100%, $E$9)</f>
        <v>32.4114</v>
      </c>
      <c r="J923" s="33">
        <f>32.4078 * CHOOSE(CONTROL!$C$32, $C$9, 100%, $E$9)</f>
        <v>32.407800000000002</v>
      </c>
      <c r="K923" s="33">
        <f>32.4114 * CHOOSE(CONTROL!$C$32, $C$9, 100%, $E$9)</f>
        <v>32.4114</v>
      </c>
      <c r="L923" s="33">
        <f>15.6153 * CHOOSE(CONTROL!$C$32, $C$9, 100%, $E$9)</f>
        <v>15.6153</v>
      </c>
      <c r="M923" s="33">
        <f>15.6189 * CHOOSE(CONTROL!$C$32, $C$9, 100%, $E$9)</f>
        <v>15.6189</v>
      </c>
      <c r="N923" s="33">
        <f>15.6153 * CHOOSE(CONTROL!$C$32, $C$9, 100%, $E$9)</f>
        <v>15.6153</v>
      </c>
      <c r="O923" s="33">
        <f>15.6189 * CHOOSE(CONTROL!$C$32, $C$9, 100%, $E$9)</f>
        <v>15.6189</v>
      </c>
    </row>
    <row r="924" spans="1:15" ht="15" x14ac:dyDescent="0.2">
      <c r="A924" s="16">
        <v>69338</v>
      </c>
      <c r="B924" s="32">
        <f>13.9015 * CHOOSE(CONTROL!$C$32, $C$9, 100%, $E$9)</f>
        <v>13.9015</v>
      </c>
      <c r="C924" s="32">
        <f>13.9015 * CHOOSE(CONTROL!$C$32, $C$9, 100%, $E$9)</f>
        <v>13.9015</v>
      </c>
      <c r="D924" s="32">
        <f>13.9026 * CHOOSE(CONTROL!$C$32, $C$9, 100%, $E$9)</f>
        <v>13.9026</v>
      </c>
      <c r="E924" s="33">
        <f>15.7071 * CHOOSE(CONTROL!$C$32, $C$9, 100%, $E$9)</f>
        <v>15.707100000000001</v>
      </c>
      <c r="F924" s="33">
        <f>15.7071 * CHOOSE(CONTROL!$C$32, $C$9, 100%, $E$9)</f>
        <v>15.707100000000001</v>
      </c>
      <c r="G924" s="33">
        <f>15.7107 * CHOOSE(CONTROL!$C$32, $C$9, 100%, $E$9)</f>
        <v>15.710699999999999</v>
      </c>
      <c r="H924" s="33">
        <f>32.4753 * CHOOSE(CONTROL!$C$32, $C$9, 100%, $E$9)</f>
        <v>32.475299999999997</v>
      </c>
      <c r="I924" s="33">
        <f>32.479 * CHOOSE(CONTROL!$C$32, $C$9, 100%, $E$9)</f>
        <v>32.478999999999999</v>
      </c>
      <c r="J924" s="33">
        <f>32.4753 * CHOOSE(CONTROL!$C$32, $C$9, 100%, $E$9)</f>
        <v>32.475299999999997</v>
      </c>
      <c r="K924" s="33">
        <f>32.479 * CHOOSE(CONTROL!$C$32, $C$9, 100%, $E$9)</f>
        <v>32.478999999999999</v>
      </c>
      <c r="L924" s="33">
        <f>15.7071 * CHOOSE(CONTROL!$C$32, $C$9, 100%, $E$9)</f>
        <v>15.707100000000001</v>
      </c>
      <c r="M924" s="33">
        <f>15.7107 * CHOOSE(CONTROL!$C$32, $C$9, 100%, $E$9)</f>
        <v>15.710699999999999</v>
      </c>
      <c r="N924" s="33">
        <f>15.7071 * CHOOSE(CONTROL!$C$32, $C$9, 100%, $E$9)</f>
        <v>15.707100000000001</v>
      </c>
      <c r="O924" s="33">
        <f>15.7107 * CHOOSE(CONTROL!$C$32, $C$9, 100%, $E$9)</f>
        <v>15.710699999999999</v>
      </c>
    </row>
    <row r="925" spans="1:15" ht="15" x14ac:dyDescent="0.2">
      <c r="A925" s="16">
        <v>69368</v>
      </c>
      <c r="B925" s="32">
        <f>13.9015 * CHOOSE(CONTROL!$C$32, $C$9, 100%, $E$9)</f>
        <v>13.9015</v>
      </c>
      <c r="C925" s="32">
        <f>13.9015 * CHOOSE(CONTROL!$C$32, $C$9, 100%, $E$9)</f>
        <v>13.9015</v>
      </c>
      <c r="D925" s="32">
        <f>13.9026 * CHOOSE(CONTROL!$C$32, $C$9, 100%, $E$9)</f>
        <v>13.9026</v>
      </c>
      <c r="E925" s="33">
        <f>15.483 * CHOOSE(CONTROL!$C$32, $C$9, 100%, $E$9)</f>
        <v>15.483000000000001</v>
      </c>
      <c r="F925" s="33">
        <f>15.483 * CHOOSE(CONTROL!$C$32, $C$9, 100%, $E$9)</f>
        <v>15.483000000000001</v>
      </c>
      <c r="G925" s="33">
        <f>15.4866 * CHOOSE(CONTROL!$C$32, $C$9, 100%, $E$9)</f>
        <v>15.486599999999999</v>
      </c>
      <c r="H925" s="33">
        <f>32.543 * CHOOSE(CONTROL!$C$32, $C$9, 100%, $E$9)</f>
        <v>32.542999999999999</v>
      </c>
      <c r="I925" s="33">
        <f>32.5466 * CHOOSE(CONTROL!$C$32, $C$9, 100%, $E$9)</f>
        <v>32.546599999999998</v>
      </c>
      <c r="J925" s="33">
        <f>32.543 * CHOOSE(CONTROL!$C$32, $C$9, 100%, $E$9)</f>
        <v>32.542999999999999</v>
      </c>
      <c r="K925" s="33">
        <f>32.5466 * CHOOSE(CONTROL!$C$32, $C$9, 100%, $E$9)</f>
        <v>32.546599999999998</v>
      </c>
      <c r="L925" s="33">
        <f>15.483 * CHOOSE(CONTROL!$C$32, $C$9, 100%, $E$9)</f>
        <v>15.483000000000001</v>
      </c>
      <c r="M925" s="33">
        <f>15.4866 * CHOOSE(CONTROL!$C$32, $C$9, 100%, $E$9)</f>
        <v>15.486599999999999</v>
      </c>
      <c r="N925" s="33">
        <f>15.483 * CHOOSE(CONTROL!$C$32, $C$9, 100%, $E$9)</f>
        <v>15.483000000000001</v>
      </c>
      <c r="O925" s="33">
        <f>15.4866 * CHOOSE(CONTROL!$C$32, $C$9, 100%, $E$9)</f>
        <v>15.486599999999999</v>
      </c>
    </row>
    <row r="926" spans="1:15" ht="15" x14ac:dyDescent="0.2">
      <c r="A926" s="16">
        <v>69399</v>
      </c>
      <c r="B926" s="32">
        <f>13.8782 * CHOOSE(CONTROL!$C$32, $C$9, 100%, $E$9)</f>
        <v>13.8782</v>
      </c>
      <c r="C926" s="32">
        <f>13.8782 * CHOOSE(CONTROL!$C$32, $C$9, 100%, $E$9)</f>
        <v>13.8782</v>
      </c>
      <c r="D926" s="32">
        <f>13.8793 * CHOOSE(CONTROL!$C$32, $C$9, 100%, $E$9)</f>
        <v>13.879300000000001</v>
      </c>
      <c r="E926" s="33">
        <f>15.6206 * CHOOSE(CONTROL!$C$32, $C$9, 100%, $E$9)</f>
        <v>15.6206</v>
      </c>
      <c r="F926" s="33">
        <f>15.6206 * CHOOSE(CONTROL!$C$32, $C$9, 100%, $E$9)</f>
        <v>15.6206</v>
      </c>
      <c r="G926" s="33">
        <f>15.6242 * CHOOSE(CONTROL!$C$32, $C$9, 100%, $E$9)</f>
        <v>15.6242</v>
      </c>
      <c r="H926" s="33">
        <f>32.2705 * CHOOSE(CONTROL!$C$32, $C$9, 100%, $E$9)</f>
        <v>32.270499999999998</v>
      </c>
      <c r="I926" s="33">
        <f>32.2741 * CHOOSE(CONTROL!$C$32, $C$9, 100%, $E$9)</f>
        <v>32.274099999999997</v>
      </c>
      <c r="J926" s="33">
        <f>32.2705 * CHOOSE(CONTROL!$C$32, $C$9, 100%, $E$9)</f>
        <v>32.270499999999998</v>
      </c>
      <c r="K926" s="33">
        <f>32.2741 * CHOOSE(CONTROL!$C$32, $C$9, 100%, $E$9)</f>
        <v>32.274099999999997</v>
      </c>
      <c r="L926" s="33">
        <f>15.6206 * CHOOSE(CONTROL!$C$32, $C$9, 100%, $E$9)</f>
        <v>15.6206</v>
      </c>
      <c r="M926" s="33">
        <f>15.6242 * CHOOSE(CONTROL!$C$32, $C$9, 100%, $E$9)</f>
        <v>15.6242</v>
      </c>
      <c r="N926" s="33">
        <f>15.6206 * CHOOSE(CONTROL!$C$32, $C$9, 100%, $E$9)</f>
        <v>15.6206</v>
      </c>
      <c r="O926" s="33">
        <f>15.6242 * CHOOSE(CONTROL!$C$32, $C$9, 100%, $E$9)</f>
        <v>15.6242</v>
      </c>
    </row>
    <row r="927" spans="1:15" ht="15" x14ac:dyDescent="0.2">
      <c r="A927" s="16">
        <v>69430</v>
      </c>
      <c r="B927" s="32">
        <f>13.8752 * CHOOSE(CONTROL!$C$32, $C$9, 100%, $E$9)</f>
        <v>13.8752</v>
      </c>
      <c r="C927" s="32">
        <f>13.8752 * CHOOSE(CONTROL!$C$32, $C$9, 100%, $E$9)</f>
        <v>13.8752</v>
      </c>
      <c r="D927" s="32">
        <f>13.8763 * CHOOSE(CONTROL!$C$32, $C$9, 100%, $E$9)</f>
        <v>13.876300000000001</v>
      </c>
      <c r="E927" s="33">
        <f>15.1879 * CHOOSE(CONTROL!$C$32, $C$9, 100%, $E$9)</f>
        <v>15.187900000000001</v>
      </c>
      <c r="F927" s="33">
        <f>15.1879 * CHOOSE(CONTROL!$C$32, $C$9, 100%, $E$9)</f>
        <v>15.187900000000001</v>
      </c>
      <c r="G927" s="33">
        <f>15.1915 * CHOOSE(CONTROL!$C$32, $C$9, 100%, $E$9)</f>
        <v>15.1915</v>
      </c>
      <c r="H927" s="33">
        <f>32.3377 * CHOOSE(CONTROL!$C$32, $C$9, 100%, $E$9)</f>
        <v>32.337699999999998</v>
      </c>
      <c r="I927" s="33">
        <f>32.3413 * CHOOSE(CONTROL!$C$32, $C$9, 100%, $E$9)</f>
        <v>32.341299999999997</v>
      </c>
      <c r="J927" s="33">
        <f>32.3377 * CHOOSE(CONTROL!$C$32, $C$9, 100%, $E$9)</f>
        <v>32.337699999999998</v>
      </c>
      <c r="K927" s="33">
        <f>32.3413 * CHOOSE(CONTROL!$C$32, $C$9, 100%, $E$9)</f>
        <v>32.341299999999997</v>
      </c>
      <c r="L927" s="33">
        <f>15.1879 * CHOOSE(CONTROL!$C$32, $C$9, 100%, $E$9)</f>
        <v>15.187900000000001</v>
      </c>
      <c r="M927" s="33">
        <f>15.1915 * CHOOSE(CONTROL!$C$32, $C$9, 100%, $E$9)</f>
        <v>15.1915</v>
      </c>
      <c r="N927" s="33">
        <f>15.1879 * CHOOSE(CONTROL!$C$32, $C$9, 100%, $E$9)</f>
        <v>15.187900000000001</v>
      </c>
      <c r="O927" s="33">
        <f>15.1915 * CHOOSE(CONTROL!$C$32, $C$9, 100%, $E$9)</f>
        <v>15.1915</v>
      </c>
    </row>
    <row r="928" spans="1:15" ht="15" x14ac:dyDescent="0.2">
      <c r="A928" s="16">
        <v>69458</v>
      </c>
      <c r="B928" s="32">
        <f>13.8722 * CHOOSE(CONTROL!$C$32, $C$9, 100%, $E$9)</f>
        <v>13.872199999999999</v>
      </c>
      <c r="C928" s="32">
        <f>13.8722 * CHOOSE(CONTROL!$C$32, $C$9, 100%, $E$9)</f>
        <v>13.872199999999999</v>
      </c>
      <c r="D928" s="32">
        <f>13.8732 * CHOOSE(CONTROL!$C$32, $C$9, 100%, $E$9)</f>
        <v>13.873200000000001</v>
      </c>
      <c r="E928" s="33">
        <f>15.5252 * CHOOSE(CONTROL!$C$32, $C$9, 100%, $E$9)</f>
        <v>15.5252</v>
      </c>
      <c r="F928" s="33">
        <f>15.5252 * CHOOSE(CONTROL!$C$32, $C$9, 100%, $E$9)</f>
        <v>15.5252</v>
      </c>
      <c r="G928" s="33">
        <f>15.5288 * CHOOSE(CONTROL!$C$32, $C$9, 100%, $E$9)</f>
        <v>15.5288</v>
      </c>
      <c r="H928" s="33">
        <f>32.4051 * CHOOSE(CONTROL!$C$32, $C$9, 100%, $E$9)</f>
        <v>32.405099999999997</v>
      </c>
      <c r="I928" s="33">
        <f>32.4087 * CHOOSE(CONTROL!$C$32, $C$9, 100%, $E$9)</f>
        <v>32.408700000000003</v>
      </c>
      <c r="J928" s="33">
        <f>32.4051 * CHOOSE(CONTROL!$C$32, $C$9, 100%, $E$9)</f>
        <v>32.405099999999997</v>
      </c>
      <c r="K928" s="33">
        <f>32.4087 * CHOOSE(CONTROL!$C$32, $C$9, 100%, $E$9)</f>
        <v>32.408700000000003</v>
      </c>
      <c r="L928" s="33">
        <f>15.5252 * CHOOSE(CONTROL!$C$32, $C$9, 100%, $E$9)</f>
        <v>15.5252</v>
      </c>
      <c r="M928" s="33">
        <f>15.5288 * CHOOSE(CONTROL!$C$32, $C$9, 100%, $E$9)</f>
        <v>15.5288</v>
      </c>
      <c r="N928" s="33">
        <f>15.5252 * CHOOSE(CONTROL!$C$32, $C$9, 100%, $E$9)</f>
        <v>15.5252</v>
      </c>
      <c r="O928" s="33">
        <f>15.5288 * CHOOSE(CONTROL!$C$32, $C$9, 100%, $E$9)</f>
        <v>15.5288</v>
      </c>
    </row>
    <row r="929" spans="1:15" ht="15" x14ac:dyDescent="0.2">
      <c r="A929" s="16">
        <v>69489</v>
      </c>
      <c r="B929" s="32">
        <f>13.8794 * CHOOSE(CONTROL!$C$32, $C$9, 100%, $E$9)</f>
        <v>13.8794</v>
      </c>
      <c r="C929" s="32">
        <f>13.8794 * CHOOSE(CONTROL!$C$32, $C$9, 100%, $E$9)</f>
        <v>13.8794</v>
      </c>
      <c r="D929" s="32">
        <f>13.8805 * CHOOSE(CONTROL!$C$32, $C$9, 100%, $E$9)</f>
        <v>13.8805</v>
      </c>
      <c r="E929" s="33">
        <f>15.8856 * CHOOSE(CONTROL!$C$32, $C$9, 100%, $E$9)</f>
        <v>15.8856</v>
      </c>
      <c r="F929" s="33">
        <f>15.8856 * CHOOSE(CONTROL!$C$32, $C$9, 100%, $E$9)</f>
        <v>15.8856</v>
      </c>
      <c r="G929" s="33">
        <f>15.8892 * CHOOSE(CONTROL!$C$32, $C$9, 100%, $E$9)</f>
        <v>15.889200000000001</v>
      </c>
      <c r="H929" s="33">
        <f>32.4726 * CHOOSE(CONTROL!$C$32, $C$9, 100%, $E$9)</f>
        <v>32.4726</v>
      </c>
      <c r="I929" s="33">
        <f>32.4762 * CHOOSE(CONTROL!$C$32, $C$9, 100%, $E$9)</f>
        <v>32.476199999999999</v>
      </c>
      <c r="J929" s="33">
        <f>32.4726 * CHOOSE(CONTROL!$C$32, $C$9, 100%, $E$9)</f>
        <v>32.4726</v>
      </c>
      <c r="K929" s="33">
        <f>32.4762 * CHOOSE(CONTROL!$C$32, $C$9, 100%, $E$9)</f>
        <v>32.476199999999999</v>
      </c>
      <c r="L929" s="33">
        <f>15.8856 * CHOOSE(CONTROL!$C$32, $C$9, 100%, $E$9)</f>
        <v>15.8856</v>
      </c>
      <c r="M929" s="33">
        <f>15.8892 * CHOOSE(CONTROL!$C$32, $C$9, 100%, $E$9)</f>
        <v>15.889200000000001</v>
      </c>
      <c r="N929" s="33">
        <f>15.8856 * CHOOSE(CONTROL!$C$32, $C$9, 100%, $E$9)</f>
        <v>15.8856</v>
      </c>
      <c r="O929" s="33">
        <f>15.8892 * CHOOSE(CONTROL!$C$32, $C$9, 100%, $E$9)</f>
        <v>15.889200000000001</v>
      </c>
    </row>
    <row r="930" spans="1:15" ht="15" x14ac:dyDescent="0.2">
      <c r="A930" s="16">
        <v>69519</v>
      </c>
      <c r="B930" s="32">
        <f>13.8794 * CHOOSE(CONTROL!$C$32, $C$9, 100%, $E$9)</f>
        <v>13.8794</v>
      </c>
      <c r="C930" s="32">
        <f>13.8794 * CHOOSE(CONTROL!$C$32, $C$9, 100%, $E$9)</f>
        <v>13.8794</v>
      </c>
      <c r="D930" s="32">
        <f>13.881 * CHOOSE(CONTROL!$C$32, $C$9, 100%, $E$9)</f>
        <v>13.881</v>
      </c>
      <c r="E930" s="33">
        <f>16.0223 * CHOOSE(CONTROL!$C$32, $C$9, 100%, $E$9)</f>
        <v>16.022300000000001</v>
      </c>
      <c r="F930" s="33">
        <f>16.0223 * CHOOSE(CONTROL!$C$32, $C$9, 100%, $E$9)</f>
        <v>16.022300000000001</v>
      </c>
      <c r="G930" s="33">
        <f>16.0276 * CHOOSE(CONTROL!$C$32, $C$9, 100%, $E$9)</f>
        <v>16.0276</v>
      </c>
      <c r="H930" s="33">
        <f>32.5402 * CHOOSE(CONTROL!$C$32, $C$9, 100%, $E$9)</f>
        <v>32.540199999999999</v>
      </c>
      <c r="I930" s="33">
        <f>32.5455 * CHOOSE(CONTROL!$C$32, $C$9, 100%, $E$9)</f>
        <v>32.545499999999997</v>
      </c>
      <c r="J930" s="33">
        <f>32.5402 * CHOOSE(CONTROL!$C$32, $C$9, 100%, $E$9)</f>
        <v>32.540199999999999</v>
      </c>
      <c r="K930" s="33">
        <f>32.5455 * CHOOSE(CONTROL!$C$32, $C$9, 100%, $E$9)</f>
        <v>32.545499999999997</v>
      </c>
      <c r="L930" s="33">
        <f>16.0223 * CHOOSE(CONTROL!$C$32, $C$9, 100%, $E$9)</f>
        <v>16.022300000000001</v>
      </c>
      <c r="M930" s="33">
        <f>16.0276 * CHOOSE(CONTROL!$C$32, $C$9, 100%, $E$9)</f>
        <v>16.0276</v>
      </c>
      <c r="N930" s="33">
        <f>16.0223 * CHOOSE(CONTROL!$C$32, $C$9, 100%, $E$9)</f>
        <v>16.022300000000001</v>
      </c>
      <c r="O930" s="33">
        <f>16.0276 * CHOOSE(CONTROL!$C$32, $C$9, 100%, $E$9)</f>
        <v>16.0276</v>
      </c>
    </row>
    <row r="931" spans="1:15" ht="15" x14ac:dyDescent="0.2">
      <c r="A931" s="16">
        <v>69550</v>
      </c>
      <c r="B931" s="32">
        <f>13.8855 * CHOOSE(CONTROL!$C$32, $C$9, 100%, $E$9)</f>
        <v>13.8855</v>
      </c>
      <c r="C931" s="32">
        <f>13.8855 * CHOOSE(CONTROL!$C$32, $C$9, 100%, $E$9)</f>
        <v>13.8855</v>
      </c>
      <c r="D931" s="32">
        <f>13.8871 * CHOOSE(CONTROL!$C$32, $C$9, 100%, $E$9)</f>
        <v>13.8871</v>
      </c>
      <c r="E931" s="33">
        <f>15.8898 * CHOOSE(CONTROL!$C$32, $C$9, 100%, $E$9)</f>
        <v>15.889799999999999</v>
      </c>
      <c r="F931" s="33">
        <f>15.8898 * CHOOSE(CONTROL!$C$32, $C$9, 100%, $E$9)</f>
        <v>15.889799999999999</v>
      </c>
      <c r="G931" s="33">
        <f>15.8951 * CHOOSE(CONTROL!$C$32, $C$9, 100%, $E$9)</f>
        <v>15.895099999999999</v>
      </c>
      <c r="H931" s="33">
        <f>32.608 * CHOOSE(CONTROL!$C$32, $C$9, 100%, $E$9)</f>
        <v>32.607999999999997</v>
      </c>
      <c r="I931" s="33">
        <f>32.6133 * CHOOSE(CONTROL!$C$32, $C$9, 100%, $E$9)</f>
        <v>32.613300000000002</v>
      </c>
      <c r="J931" s="33">
        <f>32.608 * CHOOSE(CONTROL!$C$32, $C$9, 100%, $E$9)</f>
        <v>32.607999999999997</v>
      </c>
      <c r="K931" s="33">
        <f>32.6133 * CHOOSE(CONTROL!$C$32, $C$9, 100%, $E$9)</f>
        <v>32.613300000000002</v>
      </c>
      <c r="L931" s="33">
        <f>15.8898 * CHOOSE(CONTROL!$C$32, $C$9, 100%, $E$9)</f>
        <v>15.889799999999999</v>
      </c>
      <c r="M931" s="33">
        <f>15.8951 * CHOOSE(CONTROL!$C$32, $C$9, 100%, $E$9)</f>
        <v>15.895099999999999</v>
      </c>
      <c r="N931" s="33">
        <f>15.8898 * CHOOSE(CONTROL!$C$32, $C$9, 100%, $E$9)</f>
        <v>15.889799999999999</v>
      </c>
      <c r="O931" s="33">
        <f>15.8951 * CHOOSE(CONTROL!$C$32, $C$9, 100%, $E$9)</f>
        <v>15.895099999999999</v>
      </c>
    </row>
    <row r="932" spans="1:15" ht="15" x14ac:dyDescent="0.2">
      <c r="A932" s="16">
        <v>69580</v>
      </c>
      <c r="B932" s="32">
        <f>14.0525 * CHOOSE(CONTROL!$C$32, $C$9, 100%, $E$9)</f>
        <v>14.0525</v>
      </c>
      <c r="C932" s="32">
        <f>14.0525 * CHOOSE(CONTROL!$C$32, $C$9, 100%, $E$9)</f>
        <v>14.0525</v>
      </c>
      <c r="D932" s="32">
        <f>14.054 * CHOOSE(CONTROL!$C$32, $C$9, 100%, $E$9)</f>
        <v>14.054</v>
      </c>
      <c r="E932" s="33">
        <f>16.1153 * CHOOSE(CONTROL!$C$32, $C$9, 100%, $E$9)</f>
        <v>16.115300000000001</v>
      </c>
      <c r="F932" s="33">
        <f>16.1153 * CHOOSE(CONTROL!$C$32, $C$9, 100%, $E$9)</f>
        <v>16.115300000000001</v>
      </c>
      <c r="G932" s="33">
        <f>16.1206 * CHOOSE(CONTROL!$C$32, $C$9, 100%, $E$9)</f>
        <v>16.1206</v>
      </c>
      <c r="H932" s="33">
        <f>32.676 * CHOOSE(CONTROL!$C$32, $C$9, 100%, $E$9)</f>
        <v>32.676000000000002</v>
      </c>
      <c r="I932" s="33">
        <f>32.6813 * CHOOSE(CONTROL!$C$32, $C$9, 100%, $E$9)</f>
        <v>32.6813</v>
      </c>
      <c r="J932" s="33">
        <f>32.676 * CHOOSE(CONTROL!$C$32, $C$9, 100%, $E$9)</f>
        <v>32.676000000000002</v>
      </c>
      <c r="K932" s="33">
        <f>32.6813 * CHOOSE(CONTROL!$C$32, $C$9, 100%, $E$9)</f>
        <v>32.6813</v>
      </c>
      <c r="L932" s="33">
        <f>16.1153 * CHOOSE(CONTROL!$C$32, $C$9, 100%, $E$9)</f>
        <v>16.115300000000001</v>
      </c>
      <c r="M932" s="33">
        <f>16.1206 * CHOOSE(CONTROL!$C$32, $C$9, 100%, $E$9)</f>
        <v>16.1206</v>
      </c>
      <c r="N932" s="33">
        <f>16.1153 * CHOOSE(CONTROL!$C$32, $C$9, 100%, $E$9)</f>
        <v>16.115300000000001</v>
      </c>
      <c r="O932" s="33">
        <f>16.1206 * CHOOSE(CONTROL!$C$32, $C$9, 100%, $E$9)</f>
        <v>16.1206</v>
      </c>
    </row>
    <row r="933" spans="1:15" ht="15" x14ac:dyDescent="0.2">
      <c r="A933" s="16">
        <v>69611</v>
      </c>
      <c r="B933" s="32">
        <f>14.0592 * CHOOSE(CONTROL!$C$32, $C$9, 100%, $E$9)</f>
        <v>14.059200000000001</v>
      </c>
      <c r="C933" s="32">
        <f>14.0592 * CHOOSE(CONTROL!$C$32, $C$9, 100%, $E$9)</f>
        <v>14.059200000000001</v>
      </c>
      <c r="D933" s="32">
        <f>14.0607 * CHOOSE(CONTROL!$C$32, $C$9, 100%, $E$9)</f>
        <v>14.060700000000001</v>
      </c>
      <c r="E933" s="33">
        <f>15.7098 * CHOOSE(CONTROL!$C$32, $C$9, 100%, $E$9)</f>
        <v>15.7098</v>
      </c>
      <c r="F933" s="33">
        <f>15.7098 * CHOOSE(CONTROL!$C$32, $C$9, 100%, $E$9)</f>
        <v>15.7098</v>
      </c>
      <c r="G933" s="33">
        <f>15.7151 * CHOOSE(CONTROL!$C$32, $C$9, 100%, $E$9)</f>
        <v>15.7151</v>
      </c>
      <c r="H933" s="33">
        <f>32.7441 * CHOOSE(CONTROL!$C$32, $C$9, 100%, $E$9)</f>
        <v>32.744100000000003</v>
      </c>
      <c r="I933" s="33">
        <f>32.7493 * CHOOSE(CONTROL!$C$32, $C$9, 100%, $E$9)</f>
        <v>32.749299999999998</v>
      </c>
      <c r="J933" s="33">
        <f>32.7441 * CHOOSE(CONTROL!$C$32, $C$9, 100%, $E$9)</f>
        <v>32.744100000000003</v>
      </c>
      <c r="K933" s="33">
        <f>32.7493 * CHOOSE(CONTROL!$C$32, $C$9, 100%, $E$9)</f>
        <v>32.749299999999998</v>
      </c>
      <c r="L933" s="33">
        <f>15.7098 * CHOOSE(CONTROL!$C$32, $C$9, 100%, $E$9)</f>
        <v>15.7098</v>
      </c>
      <c r="M933" s="33">
        <f>15.7151 * CHOOSE(CONTROL!$C$32, $C$9, 100%, $E$9)</f>
        <v>15.7151</v>
      </c>
      <c r="N933" s="33">
        <f>15.7098 * CHOOSE(CONTROL!$C$32, $C$9, 100%, $E$9)</f>
        <v>15.7098</v>
      </c>
      <c r="O933" s="33">
        <f>15.7151 * CHOOSE(CONTROL!$C$32, $C$9, 100%, $E$9)</f>
        <v>15.7151</v>
      </c>
    </row>
    <row r="934" spans="1:15" ht="15" x14ac:dyDescent="0.2">
      <c r="A934" s="16">
        <v>69642</v>
      </c>
      <c r="B934" s="32">
        <f>14.0561 * CHOOSE(CONTROL!$C$32, $C$9, 100%, $E$9)</f>
        <v>14.056100000000001</v>
      </c>
      <c r="C934" s="32">
        <f>14.0561 * CHOOSE(CONTROL!$C$32, $C$9, 100%, $E$9)</f>
        <v>14.056100000000001</v>
      </c>
      <c r="D934" s="32">
        <f>14.0577 * CHOOSE(CONTROL!$C$32, $C$9, 100%, $E$9)</f>
        <v>14.057700000000001</v>
      </c>
      <c r="E934" s="33">
        <f>15.6621 * CHOOSE(CONTROL!$C$32, $C$9, 100%, $E$9)</f>
        <v>15.662100000000001</v>
      </c>
      <c r="F934" s="33">
        <f>15.6621 * CHOOSE(CONTROL!$C$32, $C$9, 100%, $E$9)</f>
        <v>15.662100000000001</v>
      </c>
      <c r="G934" s="33">
        <f>15.6674 * CHOOSE(CONTROL!$C$32, $C$9, 100%, $E$9)</f>
        <v>15.667400000000001</v>
      </c>
      <c r="H934" s="33">
        <f>32.8123 * CHOOSE(CONTROL!$C$32, $C$9, 100%, $E$9)</f>
        <v>32.8123</v>
      </c>
      <c r="I934" s="33">
        <f>32.8176 * CHOOSE(CONTROL!$C$32, $C$9, 100%, $E$9)</f>
        <v>32.817599999999999</v>
      </c>
      <c r="J934" s="33">
        <f>32.8123 * CHOOSE(CONTROL!$C$32, $C$9, 100%, $E$9)</f>
        <v>32.8123</v>
      </c>
      <c r="K934" s="33">
        <f>32.8176 * CHOOSE(CONTROL!$C$32, $C$9, 100%, $E$9)</f>
        <v>32.817599999999999</v>
      </c>
      <c r="L934" s="33">
        <f>15.6621 * CHOOSE(CONTROL!$C$32, $C$9, 100%, $E$9)</f>
        <v>15.662100000000001</v>
      </c>
      <c r="M934" s="33">
        <f>15.6674 * CHOOSE(CONTROL!$C$32, $C$9, 100%, $E$9)</f>
        <v>15.667400000000001</v>
      </c>
      <c r="N934" s="33">
        <f>15.6621 * CHOOSE(CONTROL!$C$32, $C$9, 100%, $E$9)</f>
        <v>15.662100000000001</v>
      </c>
      <c r="O934" s="33">
        <f>15.6674 * CHOOSE(CONTROL!$C$32, $C$9, 100%, $E$9)</f>
        <v>15.667400000000001</v>
      </c>
    </row>
    <row r="935" spans="1:15" ht="15" x14ac:dyDescent="0.2">
      <c r="A935" s="16">
        <v>69672</v>
      </c>
      <c r="B935" s="32">
        <f>14.0888 * CHOOSE(CONTROL!$C$32, $C$9, 100%, $E$9)</f>
        <v>14.088800000000001</v>
      </c>
      <c r="C935" s="32">
        <f>14.0888 * CHOOSE(CONTROL!$C$32, $C$9, 100%, $E$9)</f>
        <v>14.088800000000001</v>
      </c>
      <c r="D935" s="32">
        <f>14.0899 * CHOOSE(CONTROL!$C$32, $C$9, 100%, $E$9)</f>
        <v>14.0899</v>
      </c>
      <c r="E935" s="33">
        <f>15.831 * CHOOSE(CONTROL!$C$32, $C$9, 100%, $E$9)</f>
        <v>15.831</v>
      </c>
      <c r="F935" s="33">
        <f>15.831 * CHOOSE(CONTROL!$C$32, $C$9, 100%, $E$9)</f>
        <v>15.831</v>
      </c>
      <c r="G935" s="33">
        <f>15.8346 * CHOOSE(CONTROL!$C$32, $C$9, 100%, $E$9)</f>
        <v>15.8346</v>
      </c>
      <c r="H935" s="33">
        <f>32.8806 * CHOOSE(CONTROL!$C$32, $C$9, 100%, $E$9)</f>
        <v>32.880600000000001</v>
      </c>
      <c r="I935" s="33">
        <f>32.8842 * CHOOSE(CONTROL!$C$32, $C$9, 100%, $E$9)</f>
        <v>32.8842</v>
      </c>
      <c r="J935" s="33">
        <f>32.8806 * CHOOSE(CONTROL!$C$32, $C$9, 100%, $E$9)</f>
        <v>32.880600000000001</v>
      </c>
      <c r="K935" s="33">
        <f>32.8842 * CHOOSE(CONTROL!$C$32, $C$9, 100%, $E$9)</f>
        <v>32.8842</v>
      </c>
      <c r="L935" s="33">
        <f>15.831 * CHOOSE(CONTROL!$C$32, $C$9, 100%, $E$9)</f>
        <v>15.831</v>
      </c>
      <c r="M935" s="33">
        <f>15.8346 * CHOOSE(CONTROL!$C$32, $C$9, 100%, $E$9)</f>
        <v>15.8346</v>
      </c>
      <c r="N935" s="33">
        <f>15.831 * CHOOSE(CONTROL!$C$32, $C$9, 100%, $E$9)</f>
        <v>15.831</v>
      </c>
      <c r="O935" s="33">
        <f>15.8346 * CHOOSE(CONTROL!$C$32, $C$9, 100%, $E$9)</f>
        <v>15.8346</v>
      </c>
    </row>
    <row r="936" spans="1:15" ht="15" x14ac:dyDescent="0.2">
      <c r="A936" s="16">
        <v>69703</v>
      </c>
      <c r="B936" s="32">
        <f>14.0918 * CHOOSE(CONTROL!$C$32, $C$9, 100%, $E$9)</f>
        <v>14.091799999999999</v>
      </c>
      <c r="C936" s="32">
        <f>14.0918 * CHOOSE(CONTROL!$C$32, $C$9, 100%, $E$9)</f>
        <v>14.091799999999999</v>
      </c>
      <c r="D936" s="32">
        <f>14.0929 * CHOOSE(CONTROL!$C$32, $C$9, 100%, $E$9)</f>
        <v>14.0929</v>
      </c>
      <c r="E936" s="33">
        <f>15.9243 * CHOOSE(CONTROL!$C$32, $C$9, 100%, $E$9)</f>
        <v>15.924300000000001</v>
      </c>
      <c r="F936" s="33">
        <f>15.9243 * CHOOSE(CONTROL!$C$32, $C$9, 100%, $E$9)</f>
        <v>15.924300000000001</v>
      </c>
      <c r="G936" s="33">
        <f>15.9279 * CHOOSE(CONTROL!$C$32, $C$9, 100%, $E$9)</f>
        <v>15.927899999999999</v>
      </c>
      <c r="H936" s="33">
        <f>32.9491 * CHOOSE(CONTROL!$C$32, $C$9, 100%, $E$9)</f>
        <v>32.949100000000001</v>
      </c>
      <c r="I936" s="33">
        <f>32.9527 * CHOOSE(CONTROL!$C$32, $C$9, 100%, $E$9)</f>
        <v>32.9527</v>
      </c>
      <c r="J936" s="33">
        <f>32.9491 * CHOOSE(CONTROL!$C$32, $C$9, 100%, $E$9)</f>
        <v>32.949100000000001</v>
      </c>
      <c r="K936" s="33">
        <f>32.9527 * CHOOSE(CONTROL!$C$32, $C$9, 100%, $E$9)</f>
        <v>32.9527</v>
      </c>
      <c r="L936" s="33">
        <f>15.9243 * CHOOSE(CONTROL!$C$32, $C$9, 100%, $E$9)</f>
        <v>15.924300000000001</v>
      </c>
      <c r="M936" s="33">
        <f>15.9279 * CHOOSE(CONTROL!$C$32, $C$9, 100%, $E$9)</f>
        <v>15.927899999999999</v>
      </c>
      <c r="N936" s="33">
        <f>15.9243 * CHOOSE(CONTROL!$C$32, $C$9, 100%, $E$9)</f>
        <v>15.924300000000001</v>
      </c>
      <c r="O936" s="33">
        <f>15.9279 * CHOOSE(CONTROL!$C$32, $C$9, 100%, $E$9)</f>
        <v>15.927899999999999</v>
      </c>
    </row>
    <row r="937" spans="1:15" ht="15" x14ac:dyDescent="0.2">
      <c r="A937" s="16">
        <v>69733</v>
      </c>
      <c r="B937" s="32">
        <f>14.0918 * CHOOSE(CONTROL!$C$32, $C$9, 100%, $E$9)</f>
        <v>14.091799999999999</v>
      </c>
      <c r="C937" s="32">
        <f>14.0918 * CHOOSE(CONTROL!$C$32, $C$9, 100%, $E$9)</f>
        <v>14.091799999999999</v>
      </c>
      <c r="D937" s="32">
        <f>14.0929 * CHOOSE(CONTROL!$C$32, $C$9, 100%, $E$9)</f>
        <v>14.0929</v>
      </c>
      <c r="E937" s="33">
        <f>15.6964 * CHOOSE(CONTROL!$C$32, $C$9, 100%, $E$9)</f>
        <v>15.696400000000001</v>
      </c>
      <c r="F937" s="33">
        <f>15.6964 * CHOOSE(CONTROL!$C$32, $C$9, 100%, $E$9)</f>
        <v>15.696400000000001</v>
      </c>
      <c r="G937" s="33">
        <f>15.7 * CHOOSE(CONTROL!$C$32, $C$9, 100%, $E$9)</f>
        <v>15.7</v>
      </c>
      <c r="H937" s="33">
        <f>33.0178 * CHOOSE(CONTROL!$C$32, $C$9, 100%, $E$9)</f>
        <v>33.017800000000001</v>
      </c>
      <c r="I937" s="33">
        <f>33.0214 * CHOOSE(CONTROL!$C$32, $C$9, 100%, $E$9)</f>
        <v>33.0214</v>
      </c>
      <c r="J937" s="33">
        <f>33.0178 * CHOOSE(CONTROL!$C$32, $C$9, 100%, $E$9)</f>
        <v>33.017800000000001</v>
      </c>
      <c r="K937" s="33">
        <f>33.0214 * CHOOSE(CONTROL!$C$32, $C$9, 100%, $E$9)</f>
        <v>33.0214</v>
      </c>
      <c r="L937" s="33">
        <f>15.6964 * CHOOSE(CONTROL!$C$32, $C$9, 100%, $E$9)</f>
        <v>15.696400000000001</v>
      </c>
      <c r="M937" s="33">
        <f>15.7 * CHOOSE(CONTROL!$C$32, $C$9, 100%, $E$9)</f>
        <v>15.7</v>
      </c>
      <c r="N937" s="33">
        <f>15.6964 * CHOOSE(CONTROL!$C$32, $C$9, 100%, $E$9)</f>
        <v>15.696400000000001</v>
      </c>
      <c r="O937" s="33">
        <f>15.7 * CHOOSE(CONTROL!$C$32, $C$9, 100%, $E$9)</f>
        <v>15.7</v>
      </c>
    </row>
    <row r="938" spans="1:15" ht="15" x14ac:dyDescent="0.2">
      <c r="A938" s="16">
        <v>69764</v>
      </c>
      <c r="B938" s="32">
        <f>14.0656 * CHOOSE(CONTROL!$C$32, $C$9, 100%, $E$9)</f>
        <v>14.0656</v>
      </c>
      <c r="C938" s="32">
        <f>14.0656 * CHOOSE(CONTROL!$C$32, $C$9, 100%, $E$9)</f>
        <v>14.0656</v>
      </c>
      <c r="D938" s="32">
        <f>14.0667 * CHOOSE(CONTROL!$C$32, $C$9, 100%, $E$9)</f>
        <v>14.066700000000001</v>
      </c>
      <c r="E938" s="33">
        <f>15.8331 * CHOOSE(CONTROL!$C$32, $C$9, 100%, $E$9)</f>
        <v>15.8331</v>
      </c>
      <c r="F938" s="33">
        <f>15.8331 * CHOOSE(CONTROL!$C$32, $C$9, 100%, $E$9)</f>
        <v>15.8331</v>
      </c>
      <c r="G938" s="33">
        <f>15.8367 * CHOOSE(CONTROL!$C$32, $C$9, 100%, $E$9)</f>
        <v>15.8367</v>
      </c>
      <c r="H938" s="33">
        <f>32.7345 * CHOOSE(CONTROL!$C$32, $C$9, 100%, $E$9)</f>
        <v>32.734499999999997</v>
      </c>
      <c r="I938" s="33">
        <f>32.7381 * CHOOSE(CONTROL!$C$32, $C$9, 100%, $E$9)</f>
        <v>32.738100000000003</v>
      </c>
      <c r="J938" s="33">
        <f>32.7345 * CHOOSE(CONTROL!$C$32, $C$9, 100%, $E$9)</f>
        <v>32.734499999999997</v>
      </c>
      <c r="K938" s="33">
        <f>32.7381 * CHOOSE(CONTROL!$C$32, $C$9, 100%, $E$9)</f>
        <v>32.738100000000003</v>
      </c>
      <c r="L938" s="33">
        <f>15.8331 * CHOOSE(CONTROL!$C$32, $C$9, 100%, $E$9)</f>
        <v>15.8331</v>
      </c>
      <c r="M938" s="33">
        <f>15.8367 * CHOOSE(CONTROL!$C$32, $C$9, 100%, $E$9)</f>
        <v>15.8367</v>
      </c>
      <c r="N938" s="33">
        <f>15.8331 * CHOOSE(CONTROL!$C$32, $C$9, 100%, $E$9)</f>
        <v>15.8331</v>
      </c>
      <c r="O938" s="33">
        <f>15.8367 * CHOOSE(CONTROL!$C$32, $C$9, 100%, $E$9)</f>
        <v>15.8367</v>
      </c>
    </row>
    <row r="939" spans="1:15" ht="15" x14ac:dyDescent="0.2">
      <c r="A939" s="16">
        <v>69795</v>
      </c>
      <c r="B939" s="32">
        <f>14.0626 * CHOOSE(CONTROL!$C$32, $C$9, 100%, $E$9)</f>
        <v>14.0626</v>
      </c>
      <c r="C939" s="32">
        <f>14.0626 * CHOOSE(CONTROL!$C$32, $C$9, 100%, $E$9)</f>
        <v>14.0626</v>
      </c>
      <c r="D939" s="32">
        <f>14.0636 * CHOOSE(CONTROL!$C$32, $C$9, 100%, $E$9)</f>
        <v>14.063599999999999</v>
      </c>
      <c r="E939" s="33">
        <f>15.3933 * CHOOSE(CONTROL!$C$32, $C$9, 100%, $E$9)</f>
        <v>15.3933</v>
      </c>
      <c r="F939" s="33">
        <f>15.3933 * CHOOSE(CONTROL!$C$32, $C$9, 100%, $E$9)</f>
        <v>15.3933</v>
      </c>
      <c r="G939" s="33">
        <f>15.3969 * CHOOSE(CONTROL!$C$32, $C$9, 100%, $E$9)</f>
        <v>15.3969</v>
      </c>
      <c r="H939" s="33">
        <f>32.8027 * CHOOSE(CONTROL!$C$32, $C$9, 100%, $E$9)</f>
        <v>32.802700000000002</v>
      </c>
      <c r="I939" s="33">
        <f>32.8063 * CHOOSE(CONTROL!$C$32, $C$9, 100%, $E$9)</f>
        <v>32.8063</v>
      </c>
      <c r="J939" s="33">
        <f>32.8027 * CHOOSE(CONTROL!$C$32, $C$9, 100%, $E$9)</f>
        <v>32.802700000000002</v>
      </c>
      <c r="K939" s="33">
        <f>32.8063 * CHOOSE(CONTROL!$C$32, $C$9, 100%, $E$9)</f>
        <v>32.8063</v>
      </c>
      <c r="L939" s="33">
        <f>15.3933 * CHOOSE(CONTROL!$C$32, $C$9, 100%, $E$9)</f>
        <v>15.3933</v>
      </c>
      <c r="M939" s="33">
        <f>15.3969 * CHOOSE(CONTROL!$C$32, $C$9, 100%, $E$9)</f>
        <v>15.3969</v>
      </c>
      <c r="N939" s="33">
        <f>15.3933 * CHOOSE(CONTROL!$C$32, $C$9, 100%, $E$9)</f>
        <v>15.3933</v>
      </c>
      <c r="O939" s="33">
        <f>15.3969 * CHOOSE(CONTROL!$C$32, $C$9, 100%, $E$9)</f>
        <v>15.3969</v>
      </c>
    </row>
    <row r="940" spans="1:15" ht="15" x14ac:dyDescent="0.2">
      <c r="A940" s="16">
        <v>69823</v>
      </c>
      <c r="B940" s="32">
        <f>14.0595 * CHOOSE(CONTROL!$C$32, $C$9, 100%, $E$9)</f>
        <v>14.0595</v>
      </c>
      <c r="C940" s="32">
        <f>14.0595 * CHOOSE(CONTROL!$C$32, $C$9, 100%, $E$9)</f>
        <v>14.0595</v>
      </c>
      <c r="D940" s="32">
        <f>14.0606 * CHOOSE(CONTROL!$C$32, $C$9, 100%, $E$9)</f>
        <v>14.060600000000001</v>
      </c>
      <c r="E940" s="33">
        <f>15.7362 * CHOOSE(CONTROL!$C$32, $C$9, 100%, $E$9)</f>
        <v>15.7362</v>
      </c>
      <c r="F940" s="33">
        <f>15.7362 * CHOOSE(CONTROL!$C$32, $C$9, 100%, $E$9)</f>
        <v>15.7362</v>
      </c>
      <c r="G940" s="33">
        <f>15.7398 * CHOOSE(CONTROL!$C$32, $C$9, 100%, $E$9)</f>
        <v>15.739800000000001</v>
      </c>
      <c r="H940" s="33">
        <f>32.8711 * CHOOSE(CONTROL!$C$32, $C$9, 100%, $E$9)</f>
        <v>32.871099999999998</v>
      </c>
      <c r="I940" s="33">
        <f>32.8747 * CHOOSE(CONTROL!$C$32, $C$9, 100%, $E$9)</f>
        <v>32.874699999999997</v>
      </c>
      <c r="J940" s="33">
        <f>32.8711 * CHOOSE(CONTROL!$C$32, $C$9, 100%, $E$9)</f>
        <v>32.871099999999998</v>
      </c>
      <c r="K940" s="33">
        <f>32.8747 * CHOOSE(CONTROL!$C$32, $C$9, 100%, $E$9)</f>
        <v>32.874699999999997</v>
      </c>
      <c r="L940" s="33">
        <f>15.7362 * CHOOSE(CONTROL!$C$32, $C$9, 100%, $E$9)</f>
        <v>15.7362</v>
      </c>
      <c r="M940" s="33">
        <f>15.7398 * CHOOSE(CONTROL!$C$32, $C$9, 100%, $E$9)</f>
        <v>15.739800000000001</v>
      </c>
      <c r="N940" s="33">
        <f>15.7362 * CHOOSE(CONTROL!$C$32, $C$9, 100%, $E$9)</f>
        <v>15.7362</v>
      </c>
      <c r="O940" s="33">
        <f>15.7398 * CHOOSE(CONTROL!$C$32, $C$9, 100%, $E$9)</f>
        <v>15.739800000000001</v>
      </c>
    </row>
    <row r="941" spans="1:15" ht="15" x14ac:dyDescent="0.2">
      <c r="A941" s="16">
        <v>69854</v>
      </c>
      <c r="B941" s="32">
        <f>14.0669 * CHOOSE(CONTROL!$C$32, $C$9, 100%, $E$9)</f>
        <v>14.0669</v>
      </c>
      <c r="C941" s="32">
        <f>14.0669 * CHOOSE(CONTROL!$C$32, $C$9, 100%, $E$9)</f>
        <v>14.0669</v>
      </c>
      <c r="D941" s="32">
        <f>14.068 * CHOOSE(CONTROL!$C$32, $C$9, 100%, $E$9)</f>
        <v>14.068</v>
      </c>
      <c r="E941" s="33">
        <f>16.1026 * CHOOSE(CONTROL!$C$32, $C$9, 100%, $E$9)</f>
        <v>16.102599999999999</v>
      </c>
      <c r="F941" s="33">
        <f>16.1026 * CHOOSE(CONTROL!$C$32, $C$9, 100%, $E$9)</f>
        <v>16.102599999999999</v>
      </c>
      <c r="G941" s="33">
        <f>16.1062 * CHOOSE(CONTROL!$C$32, $C$9, 100%, $E$9)</f>
        <v>16.106200000000001</v>
      </c>
      <c r="H941" s="33">
        <f>32.9395 * CHOOSE(CONTROL!$C$32, $C$9, 100%, $E$9)</f>
        <v>32.939500000000002</v>
      </c>
      <c r="I941" s="33">
        <f>32.9432 * CHOOSE(CONTROL!$C$32, $C$9, 100%, $E$9)</f>
        <v>32.943199999999997</v>
      </c>
      <c r="J941" s="33">
        <f>32.9395 * CHOOSE(CONTROL!$C$32, $C$9, 100%, $E$9)</f>
        <v>32.939500000000002</v>
      </c>
      <c r="K941" s="33">
        <f>32.9432 * CHOOSE(CONTROL!$C$32, $C$9, 100%, $E$9)</f>
        <v>32.943199999999997</v>
      </c>
      <c r="L941" s="33">
        <f>16.1026 * CHOOSE(CONTROL!$C$32, $C$9, 100%, $E$9)</f>
        <v>16.102599999999999</v>
      </c>
      <c r="M941" s="33">
        <f>16.1062 * CHOOSE(CONTROL!$C$32, $C$9, 100%, $E$9)</f>
        <v>16.106200000000001</v>
      </c>
      <c r="N941" s="33">
        <f>16.1026 * CHOOSE(CONTROL!$C$32, $C$9, 100%, $E$9)</f>
        <v>16.102599999999999</v>
      </c>
      <c r="O941" s="33">
        <f>16.1062 * CHOOSE(CONTROL!$C$32, $C$9, 100%, $E$9)</f>
        <v>16.106200000000001</v>
      </c>
    </row>
    <row r="942" spans="1:15" ht="15" x14ac:dyDescent="0.2">
      <c r="A942" s="16">
        <v>69884</v>
      </c>
      <c r="B942" s="32">
        <f>14.0669 * CHOOSE(CONTROL!$C$32, $C$9, 100%, $E$9)</f>
        <v>14.0669</v>
      </c>
      <c r="C942" s="32">
        <f>14.0669 * CHOOSE(CONTROL!$C$32, $C$9, 100%, $E$9)</f>
        <v>14.0669</v>
      </c>
      <c r="D942" s="32">
        <f>14.0685 * CHOOSE(CONTROL!$C$32, $C$9, 100%, $E$9)</f>
        <v>14.0685</v>
      </c>
      <c r="E942" s="33">
        <f>16.2415 * CHOOSE(CONTROL!$C$32, $C$9, 100%, $E$9)</f>
        <v>16.241499999999998</v>
      </c>
      <c r="F942" s="33">
        <f>16.2415 * CHOOSE(CONTROL!$C$32, $C$9, 100%, $E$9)</f>
        <v>16.241499999999998</v>
      </c>
      <c r="G942" s="33">
        <f>16.2468 * CHOOSE(CONTROL!$C$32, $C$9, 100%, $E$9)</f>
        <v>16.2468</v>
      </c>
      <c r="H942" s="33">
        <f>33.0082 * CHOOSE(CONTROL!$C$32, $C$9, 100%, $E$9)</f>
        <v>33.008200000000002</v>
      </c>
      <c r="I942" s="33">
        <f>33.0135 * CHOOSE(CONTROL!$C$32, $C$9, 100%, $E$9)</f>
        <v>33.013500000000001</v>
      </c>
      <c r="J942" s="33">
        <f>33.0082 * CHOOSE(CONTROL!$C$32, $C$9, 100%, $E$9)</f>
        <v>33.008200000000002</v>
      </c>
      <c r="K942" s="33">
        <f>33.0135 * CHOOSE(CONTROL!$C$32, $C$9, 100%, $E$9)</f>
        <v>33.013500000000001</v>
      </c>
      <c r="L942" s="33">
        <f>16.2415 * CHOOSE(CONTROL!$C$32, $C$9, 100%, $E$9)</f>
        <v>16.241499999999998</v>
      </c>
      <c r="M942" s="33">
        <f>16.2468 * CHOOSE(CONTROL!$C$32, $C$9, 100%, $E$9)</f>
        <v>16.2468</v>
      </c>
      <c r="N942" s="33">
        <f>16.2415 * CHOOSE(CONTROL!$C$32, $C$9, 100%, $E$9)</f>
        <v>16.241499999999998</v>
      </c>
      <c r="O942" s="33">
        <f>16.2468 * CHOOSE(CONTROL!$C$32, $C$9, 100%, $E$9)</f>
        <v>16.2468</v>
      </c>
    </row>
    <row r="943" spans="1:15" ht="15" x14ac:dyDescent="0.2">
      <c r="A943" s="16">
        <v>69915</v>
      </c>
      <c r="B943" s="32">
        <f>14.073 * CHOOSE(CONTROL!$C$32, $C$9, 100%, $E$9)</f>
        <v>14.073</v>
      </c>
      <c r="C943" s="32">
        <f>14.073 * CHOOSE(CONTROL!$C$32, $C$9, 100%, $E$9)</f>
        <v>14.073</v>
      </c>
      <c r="D943" s="32">
        <f>14.0746 * CHOOSE(CONTROL!$C$32, $C$9, 100%, $E$9)</f>
        <v>14.0746</v>
      </c>
      <c r="E943" s="33">
        <f>16.1068 * CHOOSE(CONTROL!$C$32, $C$9, 100%, $E$9)</f>
        <v>16.1068</v>
      </c>
      <c r="F943" s="33">
        <f>16.1068 * CHOOSE(CONTROL!$C$32, $C$9, 100%, $E$9)</f>
        <v>16.1068</v>
      </c>
      <c r="G943" s="33">
        <f>16.1121 * CHOOSE(CONTROL!$C$32, $C$9, 100%, $E$9)</f>
        <v>16.112100000000002</v>
      </c>
      <c r="H943" s="33">
        <f>33.0769 * CHOOSE(CONTROL!$C$32, $C$9, 100%, $E$9)</f>
        <v>33.076900000000002</v>
      </c>
      <c r="I943" s="33">
        <f>33.0822 * CHOOSE(CONTROL!$C$32, $C$9, 100%, $E$9)</f>
        <v>33.0822</v>
      </c>
      <c r="J943" s="33">
        <f>33.0769 * CHOOSE(CONTROL!$C$32, $C$9, 100%, $E$9)</f>
        <v>33.076900000000002</v>
      </c>
      <c r="K943" s="33">
        <f>33.0822 * CHOOSE(CONTROL!$C$32, $C$9, 100%, $E$9)</f>
        <v>33.0822</v>
      </c>
      <c r="L943" s="33">
        <f>16.1068 * CHOOSE(CONTROL!$C$32, $C$9, 100%, $E$9)</f>
        <v>16.1068</v>
      </c>
      <c r="M943" s="33">
        <f>16.1121 * CHOOSE(CONTROL!$C$32, $C$9, 100%, $E$9)</f>
        <v>16.112100000000002</v>
      </c>
      <c r="N943" s="33">
        <f>16.1068 * CHOOSE(CONTROL!$C$32, $C$9, 100%, $E$9)</f>
        <v>16.1068</v>
      </c>
      <c r="O943" s="33">
        <f>16.1121 * CHOOSE(CONTROL!$C$32, $C$9, 100%, $E$9)</f>
        <v>16.112100000000002</v>
      </c>
    </row>
    <row r="944" spans="1:15" ht="15" x14ac:dyDescent="0.2">
      <c r="A944" s="16">
        <v>69945</v>
      </c>
      <c r="B944" s="32">
        <f>14.2421 * CHOOSE(CONTROL!$C$32, $C$9, 100%, $E$9)</f>
        <v>14.242100000000001</v>
      </c>
      <c r="C944" s="32">
        <f>14.2421 * CHOOSE(CONTROL!$C$32, $C$9, 100%, $E$9)</f>
        <v>14.242100000000001</v>
      </c>
      <c r="D944" s="32">
        <f>14.2436 * CHOOSE(CONTROL!$C$32, $C$9, 100%, $E$9)</f>
        <v>14.243600000000001</v>
      </c>
      <c r="E944" s="33">
        <f>16.3355 * CHOOSE(CONTROL!$C$32, $C$9, 100%, $E$9)</f>
        <v>16.3355</v>
      </c>
      <c r="F944" s="33">
        <f>16.3355 * CHOOSE(CONTROL!$C$32, $C$9, 100%, $E$9)</f>
        <v>16.3355</v>
      </c>
      <c r="G944" s="33">
        <f>16.3408 * CHOOSE(CONTROL!$C$32, $C$9, 100%, $E$9)</f>
        <v>16.340800000000002</v>
      </c>
      <c r="H944" s="33">
        <f>33.1458 * CHOOSE(CONTROL!$C$32, $C$9, 100%, $E$9)</f>
        <v>33.145800000000001</v>
      </c>
      <c r="I944" s="33">
        <f>33.1511 * CHOOSE(CONTROL!$C$32, $C$9, 100%, $E$9)</f>
        <v>33.1511</v>
      </c>
      <c r="J944" s="33">
        <f>33.1458 * CHOOSE(CONTROL!$C$32, $C$9, 100%, $E$9)</f>
        <v>33.145800000000001</v>
      </c>
      <c r="K944" s="33">
        <f>33.1511 * CHOOSE(CONTROL!$C$32, $C$9, 100%, $E$9)</f>
        <v>33.1511</v>
      </c>
      <c r="L944" s="33">
        <f>16.3355 * CHOOSE(CONTROL!$C$32, $C$9, 100%, $E$9)</f>
        <v>16.3355</v>
      </c>
      <c r="M944" s="33">
        <f>16.3408 * CHOOSE(CONTROL!$C$32, $C$9, 100%, $E$9)</f>
        <v>16.340800000000002</v>
      </c>
      <c r="N944" s="33">
        <f>16.3355 * CHOOSE(CONTROL!$C$32, $C$9, 100%, $E$9)</f>
        <v>16.3355</v>
      </c>
      <c r="O944" s="33">
        <f>16.3408 * CHOOSE(CONTROL!$C$32, $C$9, 100%, $E$9)</f>
        <v>16.340800000000002</v>
      </c>
    </row>
    <row r="945" spans="1:15" ht="15" x14ac:dyDescent="0.2">
      <c r="A945" s="16">
        <v>69976</v>
      </c>
      <c r="B945" s="32">
        <f>14.2488 * CHOOSE(CONTROL!$C$32, $C$9, 100%, $E$9)</f>
        <v>14.248799999999999</v>
      </c>
      <c r="C945" s="32">
        <f>14.2488 * CHOOSE(CONTROL!$C$32, $C$9, 100%, $E$9)</f>
        <v>14.248799999999999</v>
      </c>
      <c r="D945" s="32">
        <f>14.2503 * CHOOSE(CONTROL!$C$32, $C$9, 100%, $E$9)</f>
        <v>14.250299999999999</v>
      </c>
      <c r="E945" s="33">
        <f>15.9232 * CHOOSE(CONTROL!$C$32, $C$9, 100%, $E$9)</f>
        <v>15.9232</v>
      </c>
      <c r="F945" s="33">
        <f>15.9232 * CHOOSE(CONTROL!$C$32, $C$9, 100%, $E$9)</f>
        <v>15.9232</v>
      </c>
      <c r="G945" s="33">
        <f>15.9285 * CHOOSE(CONTROL!$C$32, $C$9, 100%, $E$9)</f>
        <v>15.9285</v>
      </c>
      <c r="H945" s="33">
        <f>33.2149 * CHOOSE(CONTROL!$C$32, $C$9, 100%, $E$9)</f>
        <v>33.2149</v>
      </c>
      <c r="I945" s="33">
        <f>33.2202 * CHOOSE(CONTROL!$C$32, $C$9, 100%, $E$9)</f>
        <v>33.220199999999998</v>
      </c>
      <c r="J945" s="33">
        <f>33.2149 * CHOOSE(CONTROL!$C$32, $C$9, 100%, $E$9)</f>
        <v>33.2149</v>
      </c>
      <c r="K945" s="33">
        <f>33.2202 * CHOOSE(CONTROL!$C$32, $C$9, 100%, $E$9)</f>
        <v>33.220199999999998</v>
      </c>
      <c r="L945" s="33">
        <f>15.9232 * CHOOSE(CONTROL!$C$32, $C$9, 100%, $E$9)</f>
        <v>15.9232</v>
      </c>
      <c r="M945" s="33">
        <f>15.9285 * CHOOSE(CONTROL!$C$32, $C$9, 100%, $E$9)</f>
        <v>15.9285</v>
      </c>
      <c r="N945" s="33">
        <f>15.9232 * CHOOSE(CONTROL!$C$32, $C$9, 100%, $E$9)</f>
        <v>15.9232</v>
      </c>
      <c r="O945" s="33">
        <f>15.9285 * CHOOSE(CONTROL!$C$32, $C$9, 100%, $E$9)</f>
        <v>15.9285</v>
      </c>
    </row>
    <row r="946" spans="1:15" ht="15" x14ac:dyDescent="0.2">
      <c r="A946" s="16">
        <v>70007</v>
      </c>
      <c r="B946" s="32">
        <f>14.2457 * CHOOSE(CONTROL!$C$32, $C$9, 100%, $E$9)</f>
        <v>14.245699999999999</v>
      </c>
      <c r="C946" s="32">
        <f>14.2457 * CHOOSE(CONTROL!$C$32, $C$9, 100%, $E$9)</f>
        <v>14.245699999999999</v>
      </c>
      <c r="D946" s="32">
        <f>14.2473 * CHOOSE(CONTROL!$C$32, $C$9, 100%, $E$9)</f>
        <v>14.247299999999999</v>
      </c>
      <c r="E946" s="33">
        <f>15.8748 * CHOOSE(CONTROL!$C$32, $C$9, 100%, $E$9)</f>
        <v>15.8748</v>
      </c>
      <c r="F946" s="33">
        <f>15.8748 * CHOOSE(CONTROL!$C$32, $C$9, 100%, $E$9)</f>
        <v>15.8748</v>
      </c>
      <c r="G946" s="33">
        <f>15.8801 * CHOOSE(CONTROL!$C$32, $C$9, 100%, $E$9)</f>
        <v>15.880100000000001</v>
      </c>
      <c r="H946" s="33">
        <f>33.2841 * CHOOSE(CONTROL!$C$32, $C$9, 100%, $E$9)</f>
        <v>33.284100000000002</v>
      </c>
      <c r="I946" s="33">
        <f>33.2894 * CHOOSE(CONTROL!$C$32, $C$9, 100%, $E$9)</f>
        <v>33.289400000000001</v>
      </c>
      <c r="J946" s="33">
        <f>33.2841 * CHOOSE(CONTROL!$C$32, $C$9, 100%, $E$9)</f>
        <v>33.284100000000002</v>
      </c>
      <c r="K946" s="33">
        <f>33.2894 * CHOOSE(CONTROL!$C$32, $C$9, 100%, $E$9)</f>
        <v>33.289400000000001</v>
      </c>
      <c r="L946" s="33">
        <f>15.8748 * CHOOSE(CONTROL!$C$32, $C$9, 100%, $E$9)</f>
        <v>15.8748</v>
      </c>
      <c r="M946" s="33">
        <f>15.8801 * CHOOSE(CONTROL!$C$32, $C$9, 100%, $E$9)</f>
        <v>15.880100000000001</v>
      </c>
      <c r="N946" s="33">
        <f>15.8748 * CHOOSE(CONTROL!$C$32, $C$9, 100%, $E$9)</f>
        <v>15.8748</v>
      </c>
      <c r="O946" s="33">
        <f>15.8801 * CHOOSE(CONTROL!$C$32, $C$9, 100%, $E$9)</f>
        <v>15.880100000000001</v>
      </c>
    </row>
    <row r="947" spans="1:15" ht="15" x14ac:dyDescent="0.2">
      <c r="A947" s="16">
        <v>70037</v>
      </c>
      <c r="B947" s="32">
        <f>14.2791 * CHOOSE(CONTROL!$C$32, $C$9, 100%, $E$9)</f>
        <v>14.2791</v>
      </c>
      <c r="C947" s="32">
        <f>14.2791 * CHOOSE(CONTROL!$C$32, $C$9, 100%, $E$9)</f>
        <v>14.2791</v>
      </c>
      <c r="D947" s="32">
        <f>14.2802 * CHOOSE(CONTROL!$C$32, $C$9, 100%, $E$9)</f>
        <v>14.280200000000001</v>
      </c>
      <c r="E947" s="33">
        <f>16.0467 * CHOOSE(CONTROL!$C$32, $C$9, 100%, $E$9)</f>
        <v>16.046700000000001</v>
      </c>
      <c r="F947" s="33">
        <f>16.0467 * CHOOSE(CONTROL!$C$32, $C$9, 100%, $E$9)</f>
        <v>16.046700000000001</v>
      </c>
      <c r="G947" s="33">
        <f>16.0503 * CHOOSE(CONTROL!$C$32, $C$9, 100%, $E$9)</f>
        <v>16.0503</v>
      </c>
      <c r="H947" s="33">
        <f>33.3534 * CHOOSE(CONTROL!$C$32, $C$9, 100%, $E$9)</f>
        <v>33.353400000000001</v>
      </c>
      <c r="I947" s="33">
        <f>33.357 * CHOOSE(CONTROL!$C$32, $C$9, 100%, $E$9)</f>
        <v>33.356999999999999</v>
      </c>
      <c r="J947" s="33">
        <f>33.3534 * CHOOSE(CONTROL!$C$32, $C$9, 100%, $E$9)</f>
        <v>33.353400000000001</v>
      </c>
      <c r="K947" s="33">
        <f>33.357 * CHOOSE(CONTROL!$C$32, $C$9, 100%, $E$9)</f>
        <v>33.356999999999999</v>
      </c>
      <c r="L947" s="33">
        <f>16.0467 * CHOOSE(CONTROL!$C$32, $C$9, 100%, $E$9)</f>
        <v>16.046700000000001</v>
      </c>
      <c r="M947" s="33">
        <f>16.0503 * CHOOSE(CONTROL!$C$32, $C$9, 100%, $E$9)</f>
        <v>16.0503</v>
      </c>
      <c r="N947" s="33">
        <f>16.0467 * CHOOSE(CONTROL!$C$32, $C$9, 100%, $E$9)</f>
        <v>16.046700000000001</v>
      </c>
      <c r="O947" s="33">
        <f>16.0503 * CHOOSE(CONTROL!$C$32, $C$9, 100%, $E$9)</f>
        <v>16.0503</v>
      </c>
    </row>
    <row r="948" spans="1:15" ht="15" x14ac:dyDescent="0.2">
      <c r="A948" s="16">
        <v>70068</v>
      </c>
      <c r="B948" s="32">
        <f>14.2821 * CHOOSE(CONTROL!$C$32, $C$9, 100%, $E$9)</f>
        <v>14.2821</v>
      </c>
      <c r="C948" s="32">
        <f>14.2821 * CHOOSE(CONTROL!$C$32, $C$9, 100%, $E$9)</f>
        <v>14.2821</v>
      </c>
      <c r="D948" s="32">
        <f>14.2832 * CHOOSE(CONTROL!$C$32, $C$9, 100%, $E$9)</f>
        <v>14.283200000000001</v>
      </c>
      <c r="E948" s="33">
        <f>16.1414 * CHOOSE(CONTROL!$C$32, $C$9, 100%, $E$9)</f>
        <v>16.141400000000001</v>
      </c>
      <c r="F948" s="33">
        <f>16.1414 * CHOOSE(CONTROL!$C$32, $C$9, 100%, $E$9)</f>
        <v>16.141400000000001</v>
      </c>
      <c r="G948" s="33">
        <f>16.1451 * CHOOSE(CONTROL!$C$32, $C$9, 100%, $E$9)</f>
        <v>16.145099999999999</v>
      </c>
      <c r="H948" s="33">
        <f>33.4229 * CHOOSE(CONTROL!$C$32, $C$9, 100%, $E$9)</f>
        <v>33.422899999999998</v>
      </c>
      <c r="I948" s="33">
        <f>33.4265 * CHOOSE(CONTROL!$C$32, $C$9, 100%, $E$9)</f>
        <v>33.426499999999997</v>
      </c>
      <c r="J948" s="33">
        <f>33.4229 * CHOOSE(CONTROL!$C$32, $C$9, 100%, $E$9)</f>
        <v>33.422899999999998</v>
      </c>
      <c r="K948" s="33">
        <f>33.4265 * CHOOSE(CONTROL!$C$32, $C$9, 100%, $E$9)</f>
        <v>33.426499999999997</v>
      </c>
      <c r="L948" s="33">
        <f>16.1414 * CHOOSE(CONTROL!$C$32, $C$9, 100%, $E$9)</f>
        <v>16.141400000000001</v>
      </c>
      <c r="M948" s="33">
        <f>16.1451 * CHOOSE(CONTROL!$C$32, $C$9, 100%, $E$9)</f>
        <v>16.145099999999999</v>
      </c>
      <c r="N948" s="33">
        <f>16.1414 * CHOOSE(CONTROL!$C$32, $C$9, 100%, $E$9)</f>
        <v>16.141400000000001</v>
      </c>
      <c r="O948" s="33">
        <f>16.1451 * CHOOSE(CONTROL!$C$32, $C$9, 100%, $E$9)</f>
        <v>16.145099999999999</v>
      </c>
    </row>
    <row r="949" spans="1:15" ht="15" x14ac:dyDescent="0.2">
      <c r="A949" s="16">
        <v>70098</v>
      </c>
      <c r="B949" s="32">
        <f>14.2821 * CHOOSE(CONTROL!$C$32, $C$9, 100%, $E$9)</f>
        <v>14.2821</v>
      </c>
      <c r="C949" s="32">
        <f>14.2821 * CHOOSE(CONTROL!$C$32, $C$9, 100%, $E$9)</f>
        <v>14.2821</v>
      </c>
      <c r="D949" s="32">
        <f>14.2832 * CHOOSE(CONTROL!$C$32, $C$9, 100%, $E$9)</f>
        <v>14.283200000000001</v>
      </c>
      <c r="E949" s="33">
        <f>15.9098 * CHOOSE(CONTROL!$C$32, $C$9, 100%, $E$9)</f>
        <v>15.909800000000001</v>
      </c>
      <c r="F949" s="33">
        <f>15.9098 * CHOOSE(CONTROL!$C$32, $C$9, 100%, $E$9)</f>
        <v>15.909800000000001</v>
      </c>
      <c r="G949" s="33">
        <f>15.9134 * CHOOSE(CONTROL!$C$32, $C$9, 100%, $E$9)</f>
        <v>15.913399999999999</v>
      </c>
      <c r="H949" s="33">
        <f>33.4925 * CHOOSE(CONTROL!$C$32, $C$9, 100%, $E$9)</f>
        <v>33.4925</v>
      </c>
      <c r="I949" s="33">
        <f>33.4962 * CHOOSE(CONTROL!$C$32, $C$9, 100%, $E$9)</f>
        <v>33.496200000000002</v>
      </c>
      <c r="J949" s="33">
        <f>33.4925 * CHOOSE(CONTROL!$C$32, $C$9, 100%, $E$9)</f>
        <v>33.4925</v>
      </c>
      <c r="K949" s="33">
        <f>33.4962 * CHOOSE(CONTROL!$C$32, $C$9, 100%, $E$9)</f>
        <v>33.496200000000002</v>
      </c>
      <c r="L949" s="33">
        <f>15.9098 * CHOOSE(CONTROL!$C$32, $C$9, 100%, $E$9)</f>
        <v>15.909800000000001</v>
      </c>
      <c r="M949" s="33">
        <f>15.9134 * CHOOSE(CONTROL!$C$32, $C$9, 100%, $E$9)</f>
        <v>15.913399999999999</v>
      </c>
      <c r="N949" s="33">
        <f>15.9098 * CHOOSE(CONTROL!$C$32, $C$9, 100%, $E$9)</f>
        <v>15.909800000000001</v>
      </c>
      <c r="O949" s="33">
        <f>15.9134 * CHOOSE(CONTROL!$C$32, $C$9, 100%, $E$9)</f>
        <v>15.913399999999999</v>
      </c>
    </row>
    <row r="950" spans="1:15" ht="15" x14ac:dyDescent="0.2">
      <c r="A950" s="16">
        <v>70129</v>
      </c>
      <c r="B950" s="32">
        <f>14.253 * CHOOSE(CONTROL!$C$32, $C$9, 100%, $E$9)</f>
        <v>14.253</v>
      </c>
      <c r="C950" s="32">
        <f>14.253 * CHOOSE(CONTROL!$C$32, $C$9, 100%, $E$9)</f>
        <v>14.253</v>
      </c>
      <c r="D950" s="32">
        <f>14.254 * CHOOSE(CONTROL!$C$32, $C$9, 100%, $E$9)</f>
        <v>14.254</v>
      </c>
      <c r="E950" s="33">
        <f>16.0456 * CHOOSE(CONTROL!$C$32, $C$9, 100%, $E$9)</f>
        <v>16.0456</v>
      </c>
      <c r="F950" s="33">
        <f>16.0456 * CHOOSE(CONTROL!$C$32, $C$9, 100%, $E$9)</f>
        <v>16.0456</v>
      </c>
      <c r="G950" s="33">
        <f>16.0492 * CHOOSE(CONTROL!$C$32, $C$9, 100%, $E$9)</f>
        <v>16.049199999999999</v>
      </c>
      <c r="H950" s="33">
        <f>33.1986 * CHOOSE(CONTROL!$C$32, $C$9, 100%, $E$9)</f>
        <v>33.198599999999999</v>
      </c>
      <c r="I950" s="33">
        <f>33.2022 * CHOOSE(CONTROL!$C$32, $C$9, 100%, $E$9)</f>
        <v>33.202199999999998</v>
      </c>
      <c r="J950" s="33">
        <f>33.1986 * CHOOSE(CONTROL!$C$32, $C$9, 100%, $E$9)</f>
        <v>33.198599999999999</v>
      </c>
      <c r="K950" s="33">
        <f>33.2022 * CHOOSE(CONTROL!$C$32, $C$9, 100%, $E$9)</f>
        <v>33.202199999999998</v>
      </c>
      <c r="L950" s="33">
        <f>16.0456 * CHOOSE(CONTROL!$C$32, $C$9, 100%, $E$9)</f>
        <v>16.0456</v>
      </c>
      <c r="M950" s="33">
        <f>16.0492 * CHOOSE(CONTROL!$C$32, $C$9, 100%, $E$9)</f>
        <v>16.049199999999999</v>
      </c>
      <c r="N950" s="33">
        <f>16.0456 * CHOOSE(CONTROL!$C$32, $C$9, 100%, $E$9)</f>
        <v>16.0456</v>
      </c>
      <c r="O950" s="33">
        <f>16.0492 * CHOOSE(CONTROL!$C$32, $C$9, 100%, $E$9)</f>
        <v>16.049199999999999</v>
      </c>
    </row>
    <row r="951" spans="1:15" ht="15" x14ac:dyDescent="0.2">
      <c r="A951" s="16">
        <v>70160</v>
      </c>
      <c r="B951" s="32">
        <f>14.2499 * CHOOSE(CONTROL!$C$32, $C$9, 100%, $E$9)</f>
        <v>14.2499</v>
      </c>
      <c r="C951" s="32">
        <f>14.2499 * CHOOSE(CONTROL!$C$32, $C$9, 100%, $E$9)</f>
        <v>14.2499</v>
      </c>
      <c r="D951" s="32">
        <f>14.251 * CHOOSE(CONTROL!$C$32, $C$9, 100%, $E$9)</f>
        <v>14.250999999999999</v>
      </c>
      <c r="E951" s="33">
        <f>15.5987 * CHOOSE(CONTROL!$C$32, $C$9, 100%, $E$9)</f>
        <v>15.598699999999999</v>
      </c>
      <c r="F951" s="33">
        <f>15.5987 * CHOOSE(CONTROL!$C$32, $C$9, 100%, $E$9)</f>
        <v>15.598699999999999</v>
      </c>
      <c r="G951" s="33">
        <f>15.6023 * CHOOSE(CONTROL!$C$32, $C$9, 100%, $E$9)</f>
        <v>15.6023</v>
      </c>
      <c r="H951" s="33">
        <f>33.2677 * CHOOSE(CONTROL!$C$32, $C$9, 100%, $E$9)</f>
        <v>33.267699999999998</v>
      </c>
      <c r="I951" s="33">
        <f>33.2713 * CHOOSE(CONTROL!$C$32, $C$9, 100%, $E$9)</f>
        <v>33.271299999999997</v>
      </c>
      <c r="J951" s="33">
        <f>33.2677 * CHOOSE(CONTROL!$C$32, $C$9, 100%, $E$9)</f>
        <v>33.267699999999998</v>
      </c>
      <c r="K951" s="33">
        <f>33.2713 * CHOOSE(CONTROL!$C$32, $C$9, 100%, $E$9)</f>
        <v>33.271299999999997</v>
      </c>
      <c r="L951" s="33">
        <f>15.5987 * CHOOSE(CONTROL!$C$32, $C$9, 100%, $E$9)</f>
        <v>15.598699999999999</v>
      </c>
      <c r="M951" s="33">
        <f>15.6023 * CHOOSE(CONTROL!$C$32, $C$9, 100%, $E$9)</f>
        <v>15.6023</v>
      </c>
      <c r="N951" s="33">
        <f>15.5987 * CHOOSE(CONTROL!$C$32, $C$9, 100%, $E$9)</f>
        <v>15.598699999999999</v>
      </c>
      <c r="O951" s="33">
        <f>15.6023 * CHOOSE(CONTROL!$C$32, $C$9, 100%, $E$9)</f>
        <v>15.6023</v>
      </c>
    </row>
    <row r="952" spans="1:15" ht="15" x14ac:dyDescent="0.2">
      <c r="A952" s="16">
        <v>70189</v>
      </c>
      <c r="B952" s="32">
        <f>14.2469 * CHOOSE(CONTROL!$C$32, $C$9, 100%, $E$9)</f>
        <v>14.2469</v>
      </c>
      <c r="C952" s="32">
        <f>14.2469 * CHOOSE(CONTROL!$C$32, $C$9, 100%, $E$9)</f>
        <v>14.2469</v>
      </c>
      <c r="D952" s="32">
        <f>14.2479 * CHOOSE(CONTROL!$C$32, $C$9, 100%, $E$9)</f>
        <v>14.2479</v>
      </c>
      <c r="E952" s="33">
        <f>15.9472 * CHOOSE(CONTROL!$C$32, $C$9, 100%, $E$9)</f>
        <v>15.9472</v>
      </c>
      <c r="F952" s="33">
        <f>15.9472 * CHOOSE(CONTROL!$C$32, $C$9, 100%, $E$9)</f>
        <v>15.9472</v>
      </c>
      <c r="G952" s="33">
        <f>15.9508 * CHOOSE(CONTROL!$C$32, $C$9, 100%, $E$9)</f>
        <v>15.950799999999999</v>
      </c>
      <c r="H952" s="33">
        <f>33.337 * CHOOSE(CONTROL!$C$32, $C$9, 100%, $E$9)</f>
        <v>33.337000000000003</v>
      </c>
      <c r="I952" s="33">
        <f>33.3406 * CHOOSE(CONTROL!$C$32, $C$9, 100%, $E$9)</f>
        <v>33.340600000000002</v>
      </c>
      <c r="J952" s="33">
        <f>33.337 * CHOOSE(CONTROL!$C$32, $C$9, 100%, $E$9)</f>
        <v>33.337000000000003</v>
      </c>
      <c r="K952" s="33">
        <f>33.3406 * CHOOSE(CONTROL!$C$32, $C$9, 100%, $E$9)</f>
        <v>33.340600000000002</v>
      </c>
      <c r="L952" s="33">
        <f>15.9472 * CHOOSE(CONTROL!$C$32, $C$9, 100%, $E$9)</f>
        <v>15.9472</v>
      </c>
      <c r="M952" s="33">
        <f>15.9508 * CHOOSE(CONTROL!$C$32, $C$9, 100%, $E$9)</f>
        <v>15.950799999999999</v>
      </c>
      <c r="N952" s="33">
        <f>15.9472 * CHOOSE(CONTROL!$C$32, $C$9, 100%, $E$9)</f>
        <v>15.9472</v>
      </c>
      <c r="O952" s="33">
        <f>15.9508 * CHOOSE(CONTROL!$C$32, $C$9, 100%, $E$9)</f>
        <v>15.950799999999999</v>
      </c>
    </row>
    <row r="953" spans="1:15" ht="15" x14ac:dyDescent="0.2">
      <c r="A953" s="16">
        <v>70220</v>
      </c>
      <c r="B953" s="32">
        <f>14.2545 * CHOOSE(CONTROL!$C$32, $C$9, 100%, $E$9)</f>
        <v>14.2545</v>
      </c>
      <c r="C953" s="32">
        <f>14.2545 * CHOOSE(CONTROL!$C$32, $C$9, 100%, $E$9)</f>
        <v>14.2545</v>
      </c>
      <c r="D953" s="32">
        <f>14.2555 * CHOOSE(CONTROL!$C$32, $C$9, 100%, $E$9)</f>
        <v>14.2555</v>
      </c>
      <c r="E953" s="33">
        <f>16.3196 * CHOOSE(CONTROL!$C$32, $C$9, 100%, $E$9)</f>
        <v>16.319600000000001</v>
      </c>
      <c r="F953" s="33">
        <f>16.3196 * CHOOSE(CONTROL!$C$32, $C$9, 100%, $E$9)</f>
        <v>16.319600000000001</v>
      </c>
      <c r="G953" s="33">
        <f>16.3232 * CHOOSE(CONTROL!$C$32, $C$9, 100%, $E$9)</f>
        <v>16.3232</v>
      </c>
      <c r="H953" s="33">
        <f>33.4065 * CHOOSE(CONTROL!$C$32, $C$9, 100%, $E$9)</f>
        <v>33.406500000000001</v>
      </c>
      <c r="I953" s="33">
        <f>33.4101 * CHOOSE(CONTROL!$C$32, $C$9, 100%, $E$9)</f>
        <v>33.4101</v>
      </c>
      <c r="J953" s="33">
        <f>33.4065 * CHOOSE(CONTROL!$C$32, $C$9, 100%, $E$9)</f>
        <v>33.406500000000001</v>
      </c>
      <c r="K953" s="33">
        <f>33.4101 * CHOOSE(CONTROL!$C$32, $C$9, 100%, $E$9)</f>
        <v>33.4101</v>
      </c>
      <c r="L953" s="33">
        <f>16.3196 * CHOOSE(CONTROL!$C$32, $C$9, 100%, $E$9)</f>
        <v>16.319600000000001</v>
      </c>
      <c r="M953" s="33">
        <f>16.3232 * CHOOSE(CONTROL!$C$32, $C$9, 100%, $E$9)</f>
        <v>16.3232</v>
      </c>
      <c r="N953" s="33">
        <f>16.3196 * CHOOSE(CONTROL!$C$32, $C$9, 100%, $E$9)</f>
        <v>16.319600000000001</v>
      </c>
      <c r="O953" s="33">
        <f>16.3232 * CHOOSE(CONTROL!$C$32, $C$9, 100%, $E$9)</f>
        <v>16.3232</v>
      </c>
    </row>
    <row r="954" spans="1:15" ht="15" x14ac:dyDescent="0.2">
      <c r="A954" s="16">
        <v>70250</v>
      </c>
      <c r="B954" s="32">
        <f>14.2545 * CHOOSE(CONTROL!$C$32, $C$9, 100%, $E$9)</f>
        <v>14.2545</v>
      </c>
      <c r="C954" s="32">
        <f>14.2545 * CHOOSE(CONTROL!$C$32, $C$9, 100%, $E$9)</f>
        <v>14.2545</v>
      </c>
      <c r="D954" s="32">
        <f>14.2561 * CHOOSE(CONTROL!$C$32, $C$9, 100%, $E$9)</f>
        <v>14.2561</v>
      </c>
      <c r="E954" s="33">
        <f>16.4608 * CHOOSE(CONTROL!$C$32, $C$9, 100%, $E$9)</f>
        <v>16.460799999999999</v>
      </c>
      <c r="F954" s="33">
        <f>16.4608 * CHOOSE(CONTROL!$C$32, $C$9, 100%, $E$9)</f>
        <v>16.460799999999999</v>
      </c>
      <c r="G954" s="33">
        <f>16.4661 * CHOOSE(CONTROL!$C$32, $C$9, 100%, $E$9)</f>
        <v>16.466100000000001</v>
      </c>
      <c r="H954" s="33">
        <f>33.4761 * CHOOSE(CONTROL!$C$32, $C$9, 100%, $E$9)</f>
        <v>33.476100000000002</v>
      </c>
      <c r="I954" s="33">
        <f>33.4814 * CHOOSE(CONTROL!$C$32, $C$9, 100%, $E$9)</f>
        <v>33.481400000000001</v>
      </c>
      <c r="J954" s="33">
        <f>33.4761 * CHOOSE(CONTROL!$C$32, $C$9, 100%, $E$9)</f>
        <v>33.476100000000002</v>
      </c>
      <c r="K954" s="33">
        <f>33.4814 * CHOOSE(CONTROL!$C$32, $C$9, 100%, $E$9)</f>
        <v>33.481400000000001</v>
      </c>
      <c r="L954" s="33">
        <f>16.4608 * CHOOSE(CONTROL!$C$32, $C$9, 100%, $E$9)</f>
        <v>16.460799999999999</v>
      </c>
      <c r="M954" s="33">
        <f>16.4661 * CHOOSE(CONTROL!$C$32, $C$9, 100%, $E$9)</f>
        <v>16.466100000000001</v>
      </c>
      <c r="N954" s="33">
        <f>16.4608 * CHOOSE(CONTROL!$C$32, $C$9, 100%, $E$9)</f>
        <v>16.460799999999999</v>
      </c>
      <c r="O954" s="33">
        <f>16.4661 * CHOOSE(CONTROL!$C$32, $C$9, 100%, $E$9)</f>
        <v>16.466100000000001</v>
      </c>
    </row>
    <row r="955" spans="1:15" ht="15" x14ac:dyDescent="0.2">
      <c r="A955" s="16">
        <v>70281</v>
      </c>
      <c r="B955" s="32">
        <f>14.2606 * CHOOSE(CONTROL!$C$32, $C$9, 100%, $E$9)</f>
        <v>14.2606</v>
      </c>
      <c r="C955" s="32">
        <f>14.2606 * CHOOSE(CONTROL!$C$32, $C$9, 100%, $E$9)</f>
        <v>14.2606</v>
      </c>
      <c r="D955" s="32">
        <f>14.2621 * CHOOSE(CONTROL!$C$32, $C$9, 100%, $E$9)</f>
        <v>14.2621</v>
      </c>
      <c r="E955" s="33">
        <f>16.3238 * CHOOSE(CONTROL!$C$32, $C$9, 100%, $E$9)</f>
        <v>16.323799999999999</v>
      </c>
      <c r="F955" s="33">
        <f>16.3238 * CHOOSE(CONTROL!$C$32, $C$9, 100%, $E$9)</f>
        <v>16.323799999999999</v>
      </c>
      <c r="G955" s="33">
        <f>16.3291 * CHOOSE(CONTROL!$C$32, $C$9, 100%, $E$9)</f>
        <v>16.3291</v>
      </c>
      <c r="H955" s="33">
        <f>33.5458 * CHOOSE(CONTROL!$C$32, $C$9, 100%, $E$9)</f>
        <v>33.5458</v>
      </c>
      <c r="I955" s="33">
        <f>33.5511 * CHOOSE(CONTROL!$C$32, $C$9, 100%, $E$9)</f>
        <v>33.551099999999998</v>
      </c>
      <c r="J955" s="33">
        <f>33.5458 * CHOOSE(CONTROL!$C$32, $C$9, 100%, $E$9)</f>
        <v>33.5458</v>
      </c>
      <c r="K955" s="33">
        <f>33.5511 * CHOOSE(CONTROL!$C$32, $C$9, 100%, $E$9)</f>
        <v>33.551099999999998</v>
      </c>
      <c r="L955" s="33">
        <f>16.3238 * CHOOSE(CONTROL!$C$32, $C$9, 100%, $E$9)</f>
        <v>16.323799999999999</v>
      </c>
      <c r="M955" s="33">
        <f>16.3291 * CHOOSE(CONTROL!$C$32, $C$9, 100%, $E$9)</f>
        <v>16.3291</v>
      </c>
      <c r="N955" s="33">
        <f>16.3238 * CHOOSE(CONTROL!$C$32, $C$9, 100%, $E$9)</f>
        <v>16.323799999999999</v>
      </c>
      <c r="O955" s="33">
        <f>16.3291 * CHOOSE(CONTROL!$C$32, $C$9, 100%, $E$9)</f>
        <v>16.3291</v>
      </c>
    </row>
    <row r="956" spans="1:15" ht="15" x14ac:dyDescent="0.2">
      <c r="A956" s="16">
        <v>70311</v>
      </c>
      <c r="B956" s="32">
        <f>14.4317 * CHOOSE(CONTROL!$C$32, $C$9, 100%, $E$9)</f>
        <v>14.431699999999999</v>
      </c>
      <c r="C956" s="32">
        <f>14.4317 * CHOOSE(CONTROL!$C$32, $C$9, 100%, $E$9)</f>
        <v>14.431699999999999</v>
      </c>
      <c r="D956" s="32">
        <f>14.4332 * CHOOSE(CONTROL!$C$32, $C$9, 100%, $E$9)</f>
        <v>14.433199999999999</v>
      </c>
      <c r="E956" s="33">
        <f>16.5557 * CHOOSE(CONTROL!$C$32, $C$9, 100%, $E$9)</f>
        <v>16.555700000000002</v>
      </c>
      <c r="F956" s="33">
        <f>16.5557 * CHOOSE(CONTROL!$C$32, $C$9, 100%, $E$9)</f>
        <v>16.555700000000002</v>
      </c>
      <c r="G956" s="33">
        <f>16.561 * CHOOSE(CONTROL!$C$32, $C$9, 100%, $E$9)</f>
        <v>16.561</v>
      </c>
      <c r="H956" s="33">
        <f>33.6157 * CHOOSE(CONTROL!$C$32, $C$9, 100%, $E$9)</f>
        <v>33.615699999999997</v>
      </c>
      <c r="I956" s="33">
        <f>33.621 * CHOOSE(CONTROL!$C$32, $C$9, 100%, $E$9)</f>
        <v>33.621000000000002</v>
      </c>
      <c r="J956" s="33">
        <f>33.6157 * CHOOSE(CONTROL!$C$32, $C$9, 100%, $E$9)</f>
        <v>33.615699999999997</v>
      </c>
      <c r="K956" s="33">
        <f>33.621 * CHOOSE(CONTROL!$C$32, $C$9, 100%, $E$9)</f>
        <v>33.621000000000002</v>
      </c>
      <c r="L956" s="33">
        <f>16.5557 * CHOOSE(CONTROL!$C$32, $C$9, 100%, $E$9)</f>
        <v>16.555700000000002</v>
      </c>
      <c r="M956" s="33">
        <f>16.561 * CHOOSE(CONTROL!$C$32, $C$9, 100%, $E$9)</f>
        <v>16.561</v>
      </c>
      <c r="N956" s="33">
        <f>16.5557 * CHOOSE(CONTROL!$C$32, $C$9, 100%, $E$9)</f>
        <v>16.555700000000002</v>
      </c>
      <c r="O956" s="33">
        <f>16.561 * CHOOSE(CONTROL!$C$32, $C$9, 100%, $E$9)</f>
        <v>16.561</v>
      </c>
    </row>
    <row r="957" spans="1:15" ht="15" x14ac:dyDescent="0.2">
      <c r="A957" s="16">
        <v>70342</v>
      </c>
      <c r="B957" s="32">
        <f>14.4384 * CHOOSE(CONTROL!$C$32, $C$9, 100%, $E$9)</f>
        <v>14.4384</v>
      </c>
      <c r="C957" s="32">
        <f>14.4384 * CHOOSE(CONTROL!$C$32, $C$9, 100%, $E$9)</f>
        <v>14.4384</v>
      </c>
      <c r="D957" s="32">
        <f>14.4399 * CHOOSE(CONTROL!$C$32, $C$9, 100%, $E$9)</f>
        <v>14.4399</v>
      </c>
      <c r="E957" s="33">
        <f>16.1367 * CHOOSE(CONTROL!$C$32, $C$9, 100%, $E$9)</f>
        <v>16.136700000000001</v>
      </c>
      <c r="F957" s="33">
        <f>16.1367 * CHOOSE(CONTROL!$C$32, $C$9, 100%, $E$9)</f>
        <v>16.136700000000001</v>
      </c>
      <c r="G957" s="33">
        <f>16.142 * CHOOSE(CONTROL!$C$32, $C$9, 100%, $E$9)</f>
        <v>16.141999999999999</v>
      </c>
      <c r="H957" s="33">
        <f>33.6857 * CHOOSE(CONTROL!$C$32, $C$9, 100%, $E$9)</f>
        <v>33.685699999999997</v>
      </c>
      <c r="I957" s="33">
        <f>33.691 * CHOOSE(CONTROL!$C$32, $C$9, 100%, $E$9)</f>
        <v>33.691000000000003</v>
      </c>
      <c r="J957" s="33">
        <f>33.6857 * CHOOSE(CONTROL!$C$32, $C$9, 100%, $E$9)</f>
        <v>33.685699999999997</v>
      </c>
      <c r="K957" s="33">
        <f>33.691 * CHOOSE(CONTROL!$C$32, $C$9, 100%, $E$9)</f>
        <v>33.691000000000003</v>
      </c>
      <c r="L957" s="33">
        <f>16.1367 * CHOOSE(CONTROL!$C$32, $C$9, 100%, $E$9)</f>
        <v>16.136700000000001</v>
      </c>
      <c r="M957" s="33">
        <f>16.142 * CHOOSE(CONTROL!$C$32, $C$9, 100%, $E$9)</f>
        <v>16.141999999999999</v>
      </c>
      <c r="N957" s="33">
        <f>16.1367 * CHOOSE(CONTROL!$C$32, $C$9, 100%, $E$9)</f>
        <v>16.136700000000001</v>
      </c>
      <c r="O957" s="33">
        <f>16.142 * CHOOSE(CONTROL!$C$32, $C$9, 100%, $E$9)</f>
        <v>16.141999999999999</v>
      </c>
    </row>
    <row r="958" spans="1:15" ht="15" x14ac:dyDescent="0.2">
      <c r="A958" s="16">
        <v>70373</v>
      </c>
      <c r="B958" s="32">
        <f>14.4353 * CHOOSE(CONTROL!$C$32, $C$9, 100%, $E$9)</f>
        <v>14.4353</v>
      </c>
      <c r="C958" s="32">
        <f>14.4353 * CHOOSE(CONTROL!$C$32, $C$9, 100%, $E$9)</f>
        <v>14.4353</v>
      </c>
      <c r="D958" s="32">
        <f>14.4369 * CHOOSE(CONTROL!$C$32, $C$9, 100%, $E$9)</f>
        <v>14.4369</v>
      </c>
      <c r="E958" s="33">
        <f>16.0875 * CHOOSE(CONTROL!$C$32, $C$9, 100%, $E$9)</f>
        <v>16.087499999999999</v>
      </c>
      <c r="F958" s="33">
        <f>16.0875 * CHOOSE(CONTROL!$C$32, $C$9, 100%, $E$9)</f>
        <v>16.087499999999999</v>
      </c>
      <c r="G958" s="33">
        <f>16.0928 * CHOOSE(CONTROL!$C$32, $C$9, 100%, $E$9)</f>
        <v>16.0928</v>
      </c>
      <c r="H958" s="33">
        <f>33.7559 * CHOOSE(CONTROL!$C$32, $C$9, 100%, $E$9)</f>
        <v>33.755899999999997</v>
      </c>
      <c r="I958" s="33">
        <f>33.7612 * CHOOSE(CONTROL!$C$32, $C$9, 100%, $E$9)</f>
        <v>33.761200000000002</v>
      </c>
      <c r="J958" s="33">
        <f>33.7559 * CHOOSE(CONTROL!$C$32, $C$9, 100%, $E$9)</f>
        <v>33.755899999999997</v>
      </c>
      <c r="K958" s="33">
        <f>33.7612 * CHOOSE(CONTROL!$C$32, $C$9, 100%, $E$9)</f>
        <v>33.761200000000002</v>
      </c>
      <c r="L958" s="33">
        <f>16.0875 * CHOOSE(CONTROL!$C$32, $C$9, 100%, $E$9)</f>
        <v>16.087499999999999</v>
      </c>
      <c r="M958" s="33">
        <f>16.0928 * CHOOSE(CONTROL!$C$32, $C$9, 100%, $E$9)</f>
        <v>16.0928</v>
      </c>
      <c r="N958" s="33">
        <f>16.0875 * CHOOSE(CONTROL!$C$32, $C$9, 100%, $E$9)</f>
        <v>16.087499999999999</v>
      </c>
      <c r="O958" s="33">
        <f>16.0928 * CHOOSE(CONTROL!$C$32, $C$9, 100%, $E$9)</f>
        <v>16.0928</v>
      </c>
    </row>
    <row r="959" spans="1:15" ht="15" x14ac:dyDescent="0.2">
      <c r="A959" s="16">
        <v>70403</v>
      </c>
      <c r="B959" s="32">
        <f>14.4694 * CHOOSE(CONTROL!$C$32, $C$9, 100%, $E$9)</f>
        <v>14.4694</v>
      </c>
      <c r="C959" s="32">
        <f>14.4694 * CHOOSE(CONTROL!$C$32, $C$9, 100%, $E$9)</f>
        <v>14.4694</v>
      </c>
      <c r="D959" s="32">
        <f>14.4705 * CHOOSE(CONTROL!$C$32, $C$9, 100%, $E$9)</f>
        <v>14.470499999999999</v>
      </c>
      <c r="E959" s="33">
        <f>16.2624 * CHOOSE(CONTROL!$C$32, $C$9, 100%, $E$9)</f>
        <v>16.2624</v>
      </c>
      <c r="F959" s="33">
        <f>16.2624 * CHOOSE(CONTROL!$C$32, $C$9, 100%, $E$9)</f>
        <v>16.2624</v>
      </c>
      <c r="G959" s="33">
        <f>16.266 * CHOOSE(CONTROL!$C$32, $C$9, 100%, $E$9)</f>
        <v>16.265999999999998</v>
      </c>
      <c r="H959" s="33">
        <f>33.8262 * CHOOSE(CONTROL!$C$32, $C$9, 100%, $E$9)</f>
        <v>33.8262</v>
      </c>
      <c r="I959" s="33">
        <f>33.8299 * CHOOSE(CONTROL!$C$32, $C$9, 100%, $E$9)</f>
        <v>33.829900000000002</v>
      </c>
      <c r="J959" s="33">
        <f>33.8262 * CHOOSE(CONTROL!$C$32, $C$9, 100%, $E$9)</f>
        <v>33.8262</v>
      </c>
      <c r="K959" s="33">
        <f>33.8299 * CHOOSE(CONTROL!$C$32, $C$9, 100%, $E$9)</f>
        <v>33.829900000000002</v>
      </c>
      <c r="L959" s="33">
        <f>16.2624 * CHOOSE(CONTROL!$C$32, $C$9, 100%, $E$9)</f>
        <v>16.2624</v>
      </c>
      <c r="M959" s="33">
        <f>16.266 * CHOOSE(CONTROL!$C$32, $C$9, 100%, $E$9)</f>
        <v>16.265999999999998</v>
      </c>
      <c r="N959" s="33">
        <f>16.2624 * CHOOSE(CONTROL!$C$32, $C$9, 100%, $E$9)</f>
        <v>16.2624</v>
      </c>
      <c r="O959" s="33">
        <f>16.266 * CHOOSE(CONTROL!$C$32, $C$9, 100%, $E$9)</f>
        <v>16.265999999999998</v>
      </c>
    </row>
    <row r="960" spans="1:15" ht="15" x14ac:dyDescent="0.2">
      <c r="A960" s="16">
        <v>70434</v>
      </c>
      <c r="B960" s="32">
        <f>14.4724 * CHOOSE(CONTROL!$C$32, $C$9, 100%, $E$9)</f>
        <v>14.4724</v>
      </c>
      <c r="C960" s="32">
        <f>14.4724 * CHOOSE(CONTROL!$C$32, $C$9, 100%, $E$9)</f>
        <v>14.4724</v>
      </c>
      <c r="D960" s="32">
        <f>14.4735 * CHOOSE(CONTROL!$C$32, $C$9, 100%, $E$9)</f>
        <v>14.4735</v>
      </c>
      <c r="E960" s="33">
        <f>16.3586 * CHOOSE(CONTROL!$C$32, $C$9, 100%, $E$9)</f>
        <v>16.358599999999999</v>
      </c>
      <c r="F960" s="33">
        <f>16.3586 * CHOOSE(CONTROL!$C$32, $C$9, 100%, $E$9)</f>
        <v>16.358599999999999</v>
      </c>
      <c r="G960" s="33">
        <f>16.3622 * CHOOSE(CONTROL!$C$32, $C$9, 100%, $E$9)</f>
        <v>16.362200000000001</v>
      </c>
      <c r="H960" s="33">
        <f>33.8967 * CHOOSE(CONTROL!$C$32, $C$9, 100%, $E$9)</f>
        <v>33.896700000000003</v>
      </c>
      <c r="I960" s="33">
        <f>33.9003 * CHOOSE(CONTROL!$C$32, $C$9, 100%, $E$9)</f>
        <v>33.900300000000001</v>
      </c>
      <c r="J960" s="33">
        <f>33.8967 * CHOOSE(CONTROL!$C$32, $C$9, 100%, $E$9)</f>
        <v>33.896700000000003</v>
      </c>
      <c r="K960" s="33">
        <f>33.9003 * CHOOSE(CONTROL!$C$32, $C$9, 100%, $E$9)</f>
        <v>33.900300000000001</v>
      </c>
      <c r="L960" s="33">
        <f>16.3586 * CHOOSE(CONTROL!$C$32, $C$9, 100%, $E$9)</f>
        <v>16.358599999999999</v>
      </c>
      <c r="M960" s="33">
        <f>16.3622 * CHOOSE(CONTROL!$C$32, $C$9, 100%, $E$9)</f>
        <v>16.362200000000001</v>
      </c>
      <c r="N960" s="33">
        <f>16.3586 * CHOOSE(CONTROL!$C$32, $C$9, 100%, $E$9)</f>
        <v>16.358599999999999</v>
      </c>
      <c r="O960" s="33">
        <f>16.3622 * CHOOSE(CONTROL!$C$32, $C$9, 100%, $E$9)</f>
        <v>16.362200000000001</v>
      </c>
    </row>
    <row r="961" spans="1:15" ht="15" x14ac:dyDescent="0.2">
      <c r="A961" s="16">
        <v>70464</v>
      </c>
      <c r="B961" s="32">
        <f>14.4724 * CHOOSE(CONTROL!$C$32, $C$9, 100%, $E$9)</f>
        <v>14.4724</v>
      </c>
      <c r="C961" s="32">
        <f>14.4724 * CHOOSE(CONTROL!$C$32, $C$9, 100%, $E$9)</f>
        <v>14.4724</v>
      </c>
      <c r="D961" s="32">
        <f>14.4735 * CHOOSE(CONTROL!$C$32, $C$9, 100%, $E$9)</f>
        <v>14.4735</v>
      </c>
      <c r="E961" s="33">
        <f>16.1233 * CHOOSE(CONTROL!$C$32, $C$9, 100%, $E$9)</f>
        <v>16.1233</v>
      </c>
      <c r="F961" s="33">
        <f>16.1233 * CHOOSE(CONTROL!$C$32, $C$9, 100%, $E$9)</f>
        <v>16.1233</v>
      </c>
      <c r="G961" s="33">
        <f>16.1269 * CHOOSE(CONTROL!$C$32, $C$9, 100%, $E$9)</f>
        <v>16.126899999999999</v>
      </c>
      <c r="H961" s="33">
        <f>33.9673 * CHOOSE(CONTROL!$C$32, $C$9, 100%, $E$9)</f>
        <v>33.967300000000002</v>
      </c>
      <c r="I961" s="33">
        <f>33.9709 * CHOOSE(CONTROL!$C$32, $C$9, 100%, $E$9)</f>
        <v>33.9709</v>
      </c>
      <c r="J961" s="33">
        <f>33.9673 * CHOOSE(CONTROL!$C$32, $C$9, 100%, $E$9)</f>
        <v>33.967300000000002</v>
      </c>
      <c r="K961" s="33">
        <f>33.9709 * CHOOSE(CONTROL!$C$32, $C$9, 100%, $E$9)</f>
        <v>33.9709</v>
      </c>
      <c r="L961" s="33">
        <f>16.1233 * CHOOSE(CONTROL!$C$32, $C$9, 100%, $E$9)</f>
        <v>16.1233</v>
      </c>
      <c r="M961" s="33">
        <f>16.1269 * CHOOSE(CONTROL!$C$32, $C$9, 100%, $E$9)</f>
        <v>16.126899999999999</v>
      </c>
      <c r="N961" s="33">
        <f>16.1233 * CHOOSE(CONTROL!$C$32, $C$9, 100%, $E$9)</f>
        <v>16.1233</v>
      </c>
      <c r="O961" s="33">
        <f>16.1269 * CHOOSE(CONTROL!$C$32, $C$9, 100%, $E$9)</f>
        <v>16.126899999999999</v>
      </c>
    </row>
    <row r="962" spans="1:15" ht="15" x14ac:dyDescent="0.2">
      <c r="A962" s="16">
        <v>70495</v>
      </c>
      <c r="B962" s="32">
        <f>14.4403 * CHOOSE(CONTROL!$C$32, $C$9, 100%, $E$9)</f>
        <v>14.440300000000001</v>
      </c>
      <c r="C962" s="32">
        <f>14.4403 * CHOOSE(CONTROL!$C$32, $C$9, 100%, $E$9)</f>
        <v>14.440300000000001</v>
      </c>
      <c r="D962" s="32">
        <f>14.4414 * CHOOSE(CONTROL!$C$32, $C$9, 100%, $E$9)</f>
        <v>14.4414</v>
      </c>
      <c r="E962" s="33">
        <f>16.2581 * CHOOSE(CONTROL!$C$32, $C$9, 100%, $E$9)</f>
        <v>16.258099999999999</v>
      </c>
      <c r="F962" s="33">
        <f>16.2581 * CHOOSE(CONTROL!$C$32, $C$9, 100%, $E$9)</f>
        <v>16.258099999999999</v>
      </c>
      <c r="G962" s="33">
        <f>16.2617 * CHOOSE(CONTROL!$C$32, $C$9, 100%, $E$9)</f>
        <v>16.261700000000001</v>
      </c>
      <c r="H962" s="33">
        <f>33.6626 * CHOOSE(CONTROL!$C$32, $C$9, 100%, $E$9)</f>
        <v>33.662599999999998</v>
      </c>
      <c r="I962" s="33">
        <f>33.6662 * CHOOSE(CONTROL!$C$32, $C$9, 100%, $E$9)</f>
        <v>33.666200000000003</v>
      </c>
      <c r="J962" s="33">
        <f>33.6626 * CHOOSE(CONTROL!$C$32, $C$9, 100%, $E$9)</f>
        <v>33.662599999999998</v>
      </c>
      <c r="K962" s="33">
        <f>33.6662 * CHOOSE(CONTROL!$C$32, $C$9, 100%, $E$9)</f>
        <v>33.666200000000003</v>
      </c>
      <c r="L962" s="33">
        <f>16.2581 * CHOOSE(CONTROL!$C$32, $C$9, 100%, $E$9)</f>
        <v>16.258099999999999</v>
      </c>
      <c r="M962" s="33">
        <f>16.2617 * CHOOSE(CONTROL!$C$32, $C$9, 100%, $E$9)</f>
        <v>16.261700000000001</v>
      </c>
      <c r="N962" s="33">
        <f>16.2581 * CHOOSE(CONTROL!$C$32, $C$9, 100%, $E$9)</f>
        <v>16.258099999999999</v>
      </c>
      <c r="O962" s="33">
        <f>16.2617 * CHOOSE(CONTROL!$C$32, $C$9, 100%, $E$9)</f>
        <v>16.261700000000001</v>
      </c>
    </row>
    <row r="963" spans="1:15" ht="15" x14ac:dyDescent="0.2">
      <c r="A963" s="16">
        <v>70526</v>
      </c>
      <c r="B963" s="32">
        <f>14.4373 * CHOOSE(CONTROL!$C$32, $C$9, 100%, $E$9)</f>
        <v>14.4373</v>
      </c>
      <c r="C963" s="32">
        <f>14.4373 * CHOOSE(CONTROL!$C$32, $C$9, 100%, $E$9)</f>
        <v>14.4373</v>
      </c>
      <c r="D963" s="32">
        <f>14.4383 * CHOOSE(CONTROL!$C$32, $C$9, 100%, $E$9)</f>
        <v>14.4383</v>
      </c>
      <c r="E963" s="33">
        <f>15.8041 * CHOOSE(CONTROL!$C$32, $C$9, 100%, $E$9)</f>
        <v>15.8041</v>
      </c>
      <c r="F963" s="33">
        <f>15.8041 * CHOOSE(CONTROL!$C$32, $C$9, 100%, $E$9)</f>
        <v>15.8041</v>
      </c>
      <c r="G963" s="33">
        <f>15.8077 * CHOOSE(CONTROL!$C$32, $C$9, 100%, $E$9)</f>
        <v>15.807700000000001</v>
      </c>
      <c r="H963" s="33">
        <f>33.7327 * CHOOSE(CONTROL!$C$32, $C$9, 100%, $E$9)</f>
        <v>33.732700000000001</v>
      </c>
      <c r="I963" s="33">
        <f>33.7363 * CHOOSE(CONTROL!$C$32, $C$9, 100%, $E$9)</f>
        <v>33.7363</v>
      </c>
      <c r="J963" s="33">
        <f>33.7327 * CHOOSE(CONTROL!$C$32, $C$9, 100%, $E$9)</f>
        <v>33.732700000000001</v>
      </c>
      <c r="K963" s="33">
        <f>33.7363 * CHOOSE(CONTROL!$C$32, $C$9, 100%, $E$9)</f>
        <v>33.7363</v>
      </c>
      <c r="L963" s="33">
        <f>15.8041 * CHOOSE(CONTROL!$C$32, $C$9, 100%, $E$9)</f>
        <v>15.8041</v>
      </c>
      <c r="M963" s="33">
        <f>15.8077 * CHOOSE(CONTROL!$C$32, $C$9, 100%, $E$9)</f>
        <v>15.807700000000001</v>
      </c>
      <c r="N963" s="33">
        <f>15.8041 * CHOOSE(CONTROL!$C$32, $C$9, 100%, $E$9)</f>
        <v>15.8041</v>
      </c>
      <c r="O963" s="33">
        <f>15.8077 * CHOOSE(CONTROL!$C$32, $C$9, 100%, $E$9)</f>
        <v>15.807700000000001</v>
      </c>
    </row>
    <row r="964" spans="1:15" ht="15" x14ac:dyDescent="0.2">
      <c r="A964" s="16">
        <v>70554</v>
      </c>
      <c r="B964" s="32">
        <f>14.4342 * CHOOSE(CONTROL!$C$32, $C$9, 100%, $E$9)</f>
        <v>14.434200000000001</v>
      </c>
      <c r="C964" s="32">
        <f>14.4342 * CHOOSE(CONTROL!$C$32, $C$9, 100%, $E$9)</f>
        <v>14.434200000000001</v>
      </c>
      <c r="D964" s="32">
        <f>14.4353 * CHOOSE(CONTROL!$C$32, $C$9, 100%, $E$9)</f>
        <v>14.4353</v>
      </c>
      <c r="E964" s="33">
        <f>16.1582 * CHOOSE(CONTROL!$C$32, $C$9, 100%, $E$9)</f>
        <v>16.158200000000001</v>
      </c>
      <c r="F964" s="33">
        <f>16.1582 * CHOOSE(CONTROL!$C$32, $C$9, 100%, $E$9)</f>
        <v>16.158200000000001</v>
      </c>
      <c r="G964" s="33">
        <f>16.1618 * CHOOSE(CONTROL!$C$32, $C$9, 100%, $E$9)</f>
        <v>16.161799999999999</v>
      </c>
      <c r="H964" s="33">
        <f>33.803 * CHOOSE(CONTROL!$C$32, $C$9, 100%, $E$9)</f>
        <v>33.802999999999997</v>
      </c>
      <c r="I964" s="33">
        <f>33.8066 * CHOOSE(CONTROL!$C$32, $C$9, 100%, $E$9)</f>
        <v>33.806600000000003</v>
      </c>
      <c r="J964" s="33">
        <f>33.803 * CHOOSE(CONTROL!$C$32, $C$9, 100%, $E$9)</f>
        <v>33.802999999999997</v>
      </c>
      <c r="K964" s="33">
        <f>33.8066 * CHOOSE(CONTROL!$C$32, $C$9, 100%, $E$9)</f>
        <v>33.806600000000003</v>
      </c>
      <c r="L964" s="33">
        <f>16.1582 * CHOOSE(CONTROL!$C$32, $C$9, 100%, $E$9)</f>
        <v>16.158200000000001</v>
      </c>
      <c r="M964" s="33">
        <f>16.1618 * CHOOSE(CONTROL!$C$32, $C$9, 100%, $E$9)</f>
        <v>16.161799999999999</v>
      </c>
      <c r="N964" s="33">
        <f>16.1582 * CHOOSE(CONTROL!$C$32, $C$9, 100%, $E$9)</f>
        <v>16.158200000000001</v>
      </c>
      <c r="O964" s="33">
        <f>16.1618 * CHOOSE(CONTROL!$C$32, $C$9, 100%, $E$9)</f>
        <v>16.161799999999999</v>
      </c>
    </row>
    <row r="965" spans="1:15" ht="15" x14ac:dyDescent="0.2">
      <c r="A965" s="16">
        <v>70585</v>
      </c>
      <c r="B965" s="32">
        <f>14.442 * CHOOSE(CONTROL!$C$32, $C$9, 100%, $E$9)</f>
        <v>14.442</v>
      </c>
      <c r="C965" s="32">
        <f>14.442 * CHOOSE(CONTROL!$C$32, $C$9, 100%, $E$9)</f>
        <v>14.442</v>
      </c>
      <c r="D965" s="32">
        <f>14.4431 * CHOOSE(CONTROL!$C$32, $C$9, 100%, $E$9)</f>
        <v>14.443099999999999</v>
      </c>
      <c r="E965" s="33">
        <f>16.5366 * CHOOSE(CONTROL!$C$32, $C$9, 100%, $E$9)</f>
        <v>16.5366</v>
      </c>
      <c r="F965" s="33">
        <f>16.5366 * CHOOSE(CONTROL!$C$32, $C$9, 100%, $E$9)</f>
        <v>16.5366</v>
      </c>
      <c r="G965" s="33">
        <f>16.5402 * CHOOSE(CONTROL!$C$32, $C$9, 100%, $E$9)</f>
        <v>16.540199999999999</v>
      </c>
      <c r="H965" s="33">
        <f>33.8734 * CHOOSE(CONTROL!$C$32, $C$9, 100%, $E$9)</f>
        <v>33.873399999999997</v>
      </c>
      <c r="I965" s="33">
        <f>33.877 * CHOOSE(CONTROL!$C$32, $C$9, 100%, $E$9)</f>
        <v>33.877000000000002</v>
      </c>
      <c r="J965" s="33">
        <f>33.8734 * CHOOSE(CONTROL!$C$32, $C$9, 100%, $E$9)</f>
        <v>33.873399999999997</v>
      </c>
      <c r="K965" s="33">
        <f>33.877 * CHOOSE(CONTROL!$C$32, $C$9, 100%, $E$9)</f>
        <v>33.877000000000002</v>
      </c>
      <c r="L965" s="33">
        <f>16.5366 * CHOOSE(CONTROL!$C$32, $C$9, 100%, $E$9)</f>
        <v>16.5366</v>
      </c>
      <c r="M965" s="33">
        <f>16.5402 * CHOOSE(CONTROL!$C$32, $C$9, 100%, $E$9)</f>
        <v>16.540199999999999</v>
      </c>
      <c r="N965" s="33">
        <f>16.5366 * CHOOSE(CONTROL!$C$32, $C$9, 100%, $E$9)</f>
        <v>16.5366</v>
      </c>
      <c r="O965" s="33">
        <f>16.5402 * CHOOSE(CONTROL!$C$32, $C$9, 100%, $E$9)</f>
        <v>16.540199999999999</v>
      </c>
    </row>
    <row r="966" spans="1:15" ht="15" x14ac:dyDescent="0.2">
      <c r="A966" s="16">
        <v>70615</v>
      </c>
      <c r="B966" s="32">
        <f>14.442 * CHOOSE(CONTROL!$C$32, $C$9, 100%, $E$9)</f>
        <v>14.442</v>
      </c>
      <c r="C966" s="32">
        <f>14.442 * CHOOSE(CONTROL!$C$32, $C$9, 100%, $E$9)</f>
        <v>14.442</v>
      </c>
      <c r="D966" s="32">
        <f>14.4436 * CHOOSE(CONTROL!$C$32, $C$9, 100%, $E$9)</f>
        <v>14.4436</v>
      </c>
      <c r="E966" s="33">
        <f>16.68 * CHOOSE(CONTROL!$C$32, $C$9, 100%, $E$9)</f>
        <v>16.68</v>
      </c>
      <c r="F966" s="33">
        <f>16.68 * CHOOSE(CONTROL!$C$32, $C$9, 100%, $E$9)</f>
        <v>16.68</v>
      </c>
      <c r="G966" s="33">
        <f>16.6853 * CHOOSE(CONTROL!$C$32, $C$9, 100%, $E$9)</f>
        <v>16.685300000000002</v>
      </c>
      <c r="H966" s="33">
        <f>33.944 * CHOOSE(CONTROL!$C$32, $C$9, 100%, $E$9)</f>
        <v>33.944000000000003</v>
      </c>
      <c r="I966" s="33">
        <f>33.9493 * CHOOSE(CONTROL!$C$32, $C$9, 100%, $E$9)</f>
        <v>33.949300000000001</v>
      </c>
      <c r="J966" s="33">
        <f>33.944 * CHOOSE(CONTROL!$C$32, $C$9, 100%, $E$9)</f>
        <v>33.944000000000003</v>
      </c>
      <c r="K966" s="33">
        <f>33.9493 * CHOOSE(CONTROL!$C$32, $C$9, 100%, $E$9)</f>
        <v>33.949300000000001</v>
      </c>
      <c r="L966" s="33">
        <f>16.68 * CHOOSE(CONTROL!$C$32, $C$9, 100%, $E$9)</f>
        <v>16.68</v>
      </c>
      <c r="M966" s="33">
        <f>16.6853 * CHOOSE(CONTROL!$C$32, $C$9, 100%, $E$9)</f>
        <v>16.685300000000002</v>
      </c>
      <c r="N966" s="33">
        <f>16.68 * CHOOSE(CONTROL!$C$32, $C$9, 100%, $E$9)</f>
        <v>16.68</v>
      </c>
      <c r="O966" s="33">
        <f>16.6853 * CHOOSE(CONTROL!$C$32, $C$9, 100%, $E$9)</f>
        <v>16.685300000000002</v>
      </c>
    </row>
    <row r="967" spans="1:15" ht="15" x14ac:dyDescent="0.2">
      <c r="A967" s="16">
        <v>70646</v>
      </c>
      <c r="B967" s="32">
        <f>14.4481 * CHOOSE(CONTROL!$C$32, $C$9, 100%, $E$9)</f>
        <v>14.4481</v>
      </c>
      <c r="C967" s="32">
        <f>14.4481 * CHOOSE(CONTROL!$C$32, $C$9, 100%, $E$9)</f>
        <v>14.4481</v>
      </c>
      <c r="D967" s="32">
        <f>14.4497 * CHOOSE(CONTROL!$C$32, $C$9, 100%, $E$9)</f>
        <v>14.4497</v>
      </c>
      <c r="E967" s="33">
        <f>16.5408 * CHOOSE(CONTROL!$C$32, $C$9, 100%, $E$9)</f>
        <v>16.540800000000001</v>
      </c>
      <c r="F967" s="33">
        <f>16.5408 * CHOOSE(CONTROL!$C$32, $C$9, 100%, $E$9)</f>
        <v>16.540800000000001</v>
      </c>
      <c r="G967" s="33">
        <f>16.5461 * CHOOSE(CONTROL!$C$32, $C$9, 100%, $E$9)</f>
        <v>16.546099999999999</v>
      </c>
      <c r="H967" s="33">
        <f>34.0147 * CHOOSE(CONTROL!$C$32, $C$9, 100%, $E$9)</f>
        <v>34.014699999999998</v>
      </c>
      <c r="I967" s="33">
        <f>34.02 * CHOOSE(CONTROL!$C$32, $C$9, 100%, $E$9)</f>
        <v>34.020000000000003</v>
      </c>
      <c r="J967" s="33">
        <f>34.0147 * CHOOSE(CONTROL!$C$32, $C$9, 100%, $E$9)</f>
        <v>34.014699999999998</v>
      </c>
      <c r="K967" s="33">
        <f>34.02 * CHOOSE(CONTROL!$C$32, $C$9, 100%, $E$9)</f>
        <v>34.020000000000003</v>
      </c>
      <c r="L967" s="33">
        <f>16.5408 * CHOOSE(CONTROL!$C$32, $C$9, 100%, $E$9)</f>
        <v>16.540800000000001</v>
      </c>
      <c r="M967" s="33">
        <f>16.5461 * CHOOSE(CONTROL!$C$32, $C$9, 100%, $E$9)</f>
        <v>16.546099999999999</v>
      </c>
      <c r="N967" s="33">
        <f>16.5408 * CHOOSE(CONTROL!$C$32, $C$9, 100%, $E$9)</f>
        <v>16.540800000000001</v>
      </c>
      <c r="O967" s="33">
        <f>16.5461 * CHOOSE(CONTROL!$C$32, $C$9, 100%, $E$9)</f>
        <v>16.546099999999999</v>
      </c>
    </row>
    <row r="968" spans="1:15" ht="15" x14ac:dyDescent="0.2">
      <c r="A968" s="16">
        <v>70676</v>
      </c>
      <c r="B968" s="32">
        <f>14.6213 * CHOOSE(CONTROL!$C$32, $C$9, 100%, $E$9)</f>
        <v>14.6213</v>
      </c>
      <c r="C968" s="32">
        <f>14.6213 * CHOOSE(CONTROL!$C$32, $C$9, 100%, $E$9)</f>
        <v>14.6213</v>
      </c>
      <c r="D968" s="32">
        <f>14.6228 * CHOOSE(CONTROL!$C$32, $C$9, 100%, $E$9)</f>
        <v>14.6228</v>
      </c>
      <c r="E968" s="33">
        <f>16.7759 * CHOOSE(CONTROL!$C$32, $C$9, 100%, $E$9)</f>
        <v>16.7759</v>
      </c>
      <c r="F968" s="33">
        <f>16.7759 * CHOOSE(CONTROL!$C$32, $C$9, 100%, $E$9)</f>
        <v>16.7759</v>
      </c>
      <c r="G968" s="33">
        <f>16.7811 * CHOOSE(CONTROL!$C$32, $C$9, 100%, $E$9)</f>
        <v>16.781099999999999</v>
      </c>
      <c r="H968" s="33">
        <f>34.0856 * CHOOSE(CONTROL!$C$32, $C$9, 100%, $E$9)</f>
        <v>34.085599999999999</v>
      </c>
      <c r="I968" s="33">
        <f>34.0909 * CHOOSE(CONTROL!$C$32, $C$9, 100%, $E$9)</f>
        <v>34.090899999999998</v>
      </c>
      <c r="J968" s="33">
        <f>34.0856 * CHOOSE(CONTROL!$C$32, $C$9, 100%, $E$9)</f>
        <v>34.085599999999999</v>
      </c>
      <c r="K968" s="33">
        <f>34.0909 * CHOOSE(CONTROL!$C$32, $C$9, 100%, $E$9)</f>
        <v>34.090899999999998</v>
      </c>
      <c r="L968" s="33">
        <f>16.7759 * CHOOSE(CONTROL!$C$32, $C$9, 100%, $E$9)</f>
        <v>16.7759</v>
      </c>
      <c r="M968" s="33">
        <f>16.7811 * CHOOSE(CONTROL!$C$32, $C$9, 100%, $E$9)</f>
        <v>16.781099999999999</v>
      </c>
      <c r="N968" s="33">
        <f>16.7759 * CHOOSE(CONTROL!$C$32, $C$9, 100%, $E$9)</f>
        <v>16.7759</v>
      </c>
      <c r="O968" s="33">
        <f>16.7811 * CHOOSE(CONTROL!$C$32, $C$9, 100%, $E$9)</f>
        <v>16.781099999999999</v>
      </c>
    </row>
    <row r="969" spans="1:15" ht="15" x14ac:dyDescent="0.2">
      <c r="A969" s="16">
        <v>70707</v>
      </c>
      <c r="B969" s="32">
        <f>14.6279 * CHOOSE(CONTROL!$C$32, $C$9, 100%, $E$9)</f>
        <v>14.6279</v>
      </c>
      <c r="C969" s="32">
        <f>14.6279 * CHOOSE(CONTROL!$C$32, $C$9, 100%, $E$9)</f>
        <v>14.6279</v>
      </c>
      <c r="D969" s="32">
        <f>14.6295 * CHOOSE(CONTROL!$C$32, $C$9, 100%, $E$9)</f>
        <v>14.6295</v>
      </c>
      <c r="E969" s="33">
        <f>16.3501 * CHOOSE(CONTROL!$C$32, $C$9, 100%, $E$9)</f>
        <v>16.350100000000001</v>
      </c>
      <c r="F969" s="33">
        <f>16.3501 * CHOOSE(CONTROL!$C$32, $C$9, 100%, $E$9)</f>
        <v>16.350100000000001</v>
      </c>
      <c r="G969" s="33">
        <f>16.3554 * CHOOSE(CONTROL!$C$32, $C$9, 100%, $E$9)</f>
        <v>16.355399999999999</v>
      </c>
      <c r="H969" s="33">
        <f>34.1566 * CHOOSE(CONTROL!$C$32, $C$9, 100%, $E$9)</f>
        <v>34.156599999999997</v>
      </c>
      <c r="I969" s="33">
        <f>34.1619 * CHOOSE(CONTROL!$C$32, $C$9, 100%, $E$9)</f>
        <v>34.161900000000003</v>
      </c>
      <c r="J969" s="33">
        <f>34.1566 * CHOOSE(CONTROL!$C$32, $C$9, 100%, $E$9)</f>
        <v>34.156599999999997</v>
      </c>
      <c r="K969" s="33">
        <f>34.1619 * CHOOSE(CONTROL!$C$32, $C$9, 100%, $E$9)</f>
        <v>34.161900000000003</v>
      </c>
      <c r="L969" s="33">
        <f>16.3501 * CHOOSE(CONTROL!$C$32, $C$9, 100%, $E$9)</f>
        <v>16.350100000000001</v>
      </c>
      <c r="M969" s="33">
        <f>16.3554 * CHOOSE(CONTROL!$C$32, $C$9, 100%, $E$9)</f>
        <v>16.355399999999999</v>
      </c>
      <c r="N969" s="33">
        <f>16.3501 * CHOOSE(CONTROL!$C$32, $C$9, 100%, $E$9)</f>
        <v>16.350100000000001</v>
      </c>
      <c r="O969" s="33">
        <f>16.3554 * CHOOSE(CONTROL!$C$32, $C$9, 100%, $E$9)</f>
        <v>16.355399999999999</v>
      </c>
    </row>
    <row r="970" spans="1:15" ht="15" x14ac:dyDescent="0.2">
      <c r="A970" s="16">
        <v>70738</v>
      </c>
      <c r="B970" s="32">
        <f>14.6249 * CHOOSE(CONTROL!$C$32, $C$9, 100%, $E$9)</f>
        <v>14.6249</v>
      </c>
      <c r="C970" s="32">
        <f>14.6249 * CHOOSE(CONTROL!$C$32, $C$9, 100%, $E$9)</f>
        <v>14.6249</v>
      </c>
      <c r="D970" s="32">
        <f>14.6265 * CHOOSE(CONTROL!$C$32, $C$9, 100%, $E$9)</f>
        <v>14.6265</v>
      </c>
      <c r="E970" s="33">
        <f>16.3002 * CHOOSE(CONTROL!$C$32, $C$9, 100%, $E$9)</f>
        <v>16.3002</v>
      </c>
      <c r="F970" s="33">
        <f>16.3002 * CHOOSE(CONTROL!$C$32, $C$9, 100%, $E$9)</f>
        <v>16.3002</v>
      </c>
      <c r="G970" s="33">
        <f>16.3055 * CHOOSE(CONTROL!$C$32, $C$9, 100%, $E$9)</f>
        <v>16.305499999999999</v>
      </c>
      <c r="H970" s="33">
        <f>34.2277 * CHOOSE(CONTROL!$C$32, $C$9, 100%, $E$9)</f>
        <v>34.227699999999999</v>
      </c>
      <c r="I970" s="33">
        <f>34.233 * CHOOSE(CONTROL!$C$32, $C$9, 100%, $E$9)</f>
        <v>34.232999999999997</v>
      </c>
      <c r="J970" s="33">
        <f>34.2277 * CHOOSE(CONTROL!$C$32, $C$9, 100%, $E$9)</f>
        <v>34.227699999999999</v>
      </c>
      <c r="K970" s="33">
        <f>34.233 * CHOOSE(CONTROL!$C$32, $C$9, 100%, $E$9)</f>
        <v>34.232999999999997</v>
      </c>
      <c r="L970" s="33">
        <f>16.3002 * CHOOSE(CONTROL!$C$32, $C$9, 100%, $E$9)</f>
        <v>16.3002</v>
      </c>
      <c r="M970" s="33">
        <f>16.3055 * CHOOSE(CONTROL!$C$32, $C$9, 100%, $E$9)</f>
        <v>16.305499999999999</v>
      </c>
      <c r="N970" s="33">
        <f>16.3002 * CHOOSE(CONTROL!$C$32, $C$9, 100%, $E$9)</f>
        <v>16.3002</v>
      </c>
      <c r="O970" s="33">
        <f>16.3055 * CHOOSE(CONTROL!$C$32, $C$9, 100%, $E$9)</f>
        <v>16.305499999999999</v>
      </c>
    </row>
    <row r="971" spans="1:15" ht="15" x14ac:dyDescent="0.2">
      <c r="A971" s="16">
        <v>70768</v>
      </c>
      <c r="B971" s="32">
        <f>14.6597 * CHOOSE(CONTROL!$C$32, $C$9, 100%, $E$9)</f>
        <v>14.659700000000001</v>
      </c>
      <c r="C971" s="32">
        <f>14.6597 * CHOOSE(CONTROL!$C$32, $C$9, 100%, $E$9)</f>
        <v>14.659700000000001</v>
      </c>
      <c r="D971" s="32">
        <f>14.6608 * CHOOSE(CONTROL!$C$32, $C$9, 100%, $E$9)</f>
        <v>14.6608</v>
      </c>
      <c r="E971" s="33">
        <f>16.478 * CHOOSE(CONTROL!$C$32, $C$9, 100%, $E$9)</f>
        <v>16.478000000000002</v>
      </c>
      <c r="F971" s="33">
        <f>16.478 * CHOOSE(CONTROL!$C$32, $C$9, 100%, $E$9)</f>
        <v>16.478000000000002</v>
      </c>
      <c r="G971" s="33">
        <f>16.4817 * CHOOSE(CONTROL!$C$32, $C$9, 100%, $E$9)</f>
        <v>16.4817</v>
      </c>
      <c r="H971" s="33">
        <f>34.299 * CHOOSE(CONTROL!$C$32, $C$9, 100%, $E$9)</f>
        <v>34.298999999999999</v>
      </c>
      <c r="I971" s="33">
        <f>34.3027 * CHOOSE(CONTROL!$C$32, $C$9, 100%, $E$9)</f>
        <v>34.302700000000002</v>
      </c>
      <c r="J971" s="33">
        <f>34.299 * CHOOSE(CONTROL!$C$32, $C$9, 100%, $E$9)</f>
        <v>34.298999999999999</v>
      </c>
      <c r="K971" s="33">
        <f>34.3027 * CHOOSE(CONTROL!$C$32, $C$9, 100%, $E$9)</f>
        <v>34.302700000000002</v>
      </c>
      <c r="L971" s="33">
        <f>16.478 * CHOOSE(CONTROL!$C$32, $C$9, 100%, $E$9)</f>
        <v>16.478000000000002</v>
      </c>
      <c r="M971" s="33">
        <f>16.4817 * CHOOSE(CONTROL!$C$32, $C$9, 100%, $E$9)</f>
        <v>16.4817</v>
      </c>
      <c r="N971" s="33">
        <f>16.478 * CHOOSE(CONTROL!$C$32, $C$9, 100%, $E$9)</f>
        <v>16.478000000000002</v>
      </c>
      <c r="O971" s="33">
        <f>16.4817 * CHOOSE(CONTROL!$C$32, $C$9, 100%, $E$9)</f>
        <v>16.4817</v>
      </c>
    </row>
    <row r="972" spans="1:15" ht="15" x14ac:dyDescent="0.2">
      <c r="A972" s="16">
        <v>70799</v>
      </c>
      <c r="B972" s="32">
        <f>14.6627 * CHOOSE(CONTROL!$C$32, $C$9, 100%, $E$9)</f>
        <v>14.662699999999999</v>
      </c>
      <c r="C972" s="32">
        <f>14.6627 * CHOOSE(CONTROL!$C$32, $C$9, 100%, $E$9)</f>
        <v>14.662699999999999</v>
      </c>
      <c r="D972" s="32">
        <f>14.6638 * CHOOSE(CONTROL!$C$32, $C$9, 100%, $E$9)</f>
        <v>14.6638</v>
      </c>
      <c r="E972" s="33">
        <f>16.5758 * CHOOSE(CONTROL!$C$32, $C$9, 100%, $E$9)</f>
        <v>16.575800000000001</v>
      </c>
      <c r="F972" s="33">
        <f>16.5758 * CHOOSE(CONTROL!$C$32, $C$9, 100%, $E$9)</f>
        <v>16.575800000000001</v>
      </c>
      <c r="G972" s="33">
        <f>16.5794 * CHOOSE(CONTROL!$C$32, $C$9, 100%, $E$9)</f>
        <v>16.5794</v>
      </c>
      <c r="H972" s="33">
        <f>34.3705 * CHOOSE(CONTROL!$C$32, $C$9, 100%, $E$9)</f>
        <v>34.3705</v>
      </c>
      <c r="I972" s="33">
        <f>34.3741 * CHOOSE(CONTROL!$C$32, $C$9, 100%, $E$9)</f>
        <v>34.374099999999999</v>
      </c>
      <c r="J972" s="33">
        <f>34.3705 * CHOOSE(CONTROL!$C$32, $C$9, 100%, $E$9)</f>
        <v>34.3705</v>
      </c>
      <c r="K972" s="33">
        <f>34.3741 * CHOOSE(CONTROL!$C$32, $C$9, 100%, $E$9)</f>
        <v>34.374099999999999</v>
      </c>
      <c r="L972" s="33">
        <f>16.5758 * CHOOSE(CONTROL!$C$32, $C$9, 100%, $E$9)</f>
        <v>16.575800000000001</v>
      </c>
      <c r="M972" s="33">
        <f>16.5794 * CHOOSE(CONTROL!$C$32, $C$9, 100%, $E$9)</f>
        <v>16.5794</v>
      </c>
      <c r="N972" s="33">
        <f>16.5758 * CHOOSE(CONTROL!$C$32, $C$9, 100%, $E$9)</f>
        <v>16.575800000000001</v>
      </c>
      <c r="O972" s="33">
        <f>16.5794 * CHOOSE(CONTROL!$C$32, $C$9, 100%, $E$9)</f>
        <v>16.5794</v>
      </c>
    </row>
    <row r="973" spans="1:15" ht="15" x14ac:dyDescent="0.2">
      <c r="A973" s="16">
        <v>70829</v>
      </c>
      <c r="B973" s="32">
        <f>14.6627 * CHOOSE(CONTROL!$C$32, $C$9, 100%, $E$9)</f>
        <v>14.662699999999999</v>
      </c>
      <c r="C973" s="32">
        <f>14.6627 * CHOOSE(CONTROL!$C$32, $C$9, 100%, $E$9)</f>
        <v>14.662699999999999</v>
      </c>
      <c r="D973" s="32">
        <f>14.6638 * CHOOSE(CONTROL!$C$32, $C$9, 100%, $E$9)</f>
        <v>14.6638</v>
      </c>
      <c r="E973" s="33">
        <f>16.3367 * CHOOSE(CONTROL!$C$32, $C$9, 100%, $E$9)</f>
        <v>16.3367</v>
      </c>
      <c r="F973" s="33">
        <f>16.3367 * CHOOSE(CONTROL!$C$32, $C$9, 100%, $E$9)</f>
        <v>16.3367</v>
      </c>
      <c r="G973" s="33">
        <f>16.3403 * CHOOSE(CONTROL!$C$32, $C$9, 100%, $E$9)</f>
        <v>16.340299999999999</v>
      </c>
      <c r="H973" s="33">
        <f>34.4421 * CHOOSE(CONTROL!$C$32, $C$9, 100%, $E$9)</f>
        <v>34.442100000000003</v>
      </c>
      <c r="I973" s="33">
        <f>34.4457 * CHOOSE(CONTROL!$C$32, $C$9, 100%, $E$9)</f>
        <v>34.445700000000002</v>
      </c>
      <c r="J973" s="33">
        <f>34.4421 * CHOOSE(CONTROL!$C$32, $C$9, 100%, $E$9)</f>
        <v>34.442100000000003</v>
      </c>
      <c r="K973" s="33">
        <f>34.4457 * CHOOSE(CONTROL!$C$32, $C$9, 100%, $E$9)</f>
        <v>34.445700000000002</v>
      </c>
      <c r="L973" s="33">
        <f>16.3367 * CHOOSE(CONTROL!$C$32, $C$9, 100%, $E$9)</f>
        <v>16.3367</v>
      </c>
      <c r="M973" s="33">
        <f>16.3403 * CHOOSE(CONTROL!$C$32, $C$9, 100%, $E$9)</f>
        <v>16.340299999999999</v>
      </c>
      <c r="N973" s="33">
        <f>16.3367 * CHOOSE(CONTROL!$C$32, $C$9, 100%, $E$9)</f>
        <v>16.3367</v>
      </c>
      <c r="O973" s="33">
        <f>16.3403 * CHOOSE(CONTROL!$C$32, $C$9, 100%, $E$9)</f>
        <v>16.340299999999999</v>
      </c>
    </row>
    <row r="974" spans="1:15" ht="15" x14ac:dyDescent="0.2">
      <c r="A974" s="16">
        <v>70860</v>
      </c>
      <c r="B974" s="32">
        <f>14.6277 * CHOOSE(CONTROL!$C$32, $C$9, 100%, $E$9)</f>
        <v>14.627700000000001</v>
      </c>
      <c r="C974" s="32">
        <f>14.6277 * CHOOSE(CONTROL!$C$32, $C$9, 100%, $E$9)</f>
        <v>14.627700000000001</v>
      </c>
      <c r="D974" s="32">
        <f>14.6287 * CHOOSE(CONTROL!$C$32, $C$9, 100%, $E$9)</f>
        <v>14.6287</v>
      </c>
      <c r="E974" s="33">
        <f>16.4706 * CHOOSE(CONTROL!$C$32, $C$9, 100%, $E$9)</f>
        <v>16.470600000000001</v>
      </c>
      <c r="F974" s="33">
        <f>16.4706 * CHOOSE(CONTROL!$C$32, $C$9, 100%, $E$9)</f>
        <v>16.470600000000001</v>
      </c>
      <c r="G974" s="33">
        <f>16.4742 * CHOOSE(CONTROL!$C$32, $C$9, 100%, $E$9)</f>
        <v>16.4742</v>
      </c>
      <c r="H974" s="33">
        <f>34.1266 * CHOOSE(CONTROL!$C$32, $C$9, 100%, $E$9)</f>
        <v>34.126600000000003</v>
      </c>
      <c r="I974" s="33">
        <f>34.1302 * CHOOSE(CONTROL!$C$32, $C$9, 100%, $E$9)</f>
        <v>34.130200000000002</v>
      </c>
      <c r="J974" s="33">
        <f>34.1266 * CHOOSE(CONTROL!$C$32, $C$9, 100%, $E$9)</f>
        <v>34.126600000000003</v>
      </c>
      <c r="K974" s="33">
        <f>34.1302 * CHOOSE(CONTROL!$C$32, $C$9, 100%, $E$9)</f>
        <v>34.130200000000002</v>
      </c>
      <c r="L974" s="33">
        <f>16.4706 * CHOOSE(CONTROL!$C$32, $C$9, 100%, $E$9)</f>
        <v>16.470600000000001</v>
      </c>
      <c r="M974" s="33">
        <f>16.4742 * CHOOSE(CONTROL!$C$32, $C$9, 100%, $E$9)</f>
        <v>16.4742</v>
      </c>
      <c r="N974" s="33">
        <f>16.4706 * CHOOSE(CONTROL!$C$32, $C$9, 100%, $E$9)</f>
        <v>16.470600000000001</v>
      </c>
      <c r="O974" s="33">
        <f>16.4742 * CHOOSE(CONTROL!$C$32, $C$9, 100%, $E$9)</f>
        <v>16.4742</v>
      </c>
    </row>
    <row r="975" spans="1:15" ht="15" x14ac:dyDescent="0.2">
      <c r="A975" s="16">
        <v>70891</v>
      </c>
      <c r="B975" s="32">
        <f>14.6246 * CHOOSE(CONTROL!$C$32, $C$9, 100%, $E$9)</f>
        <v>14.624599999999999</v>
      </c>
      <c r="C975" s="32">
        <f>14.6246 * CHOOSE(CONTROL!$C$32, $C$9, 100%, $E$9)</f>
        <v>14.624599999999999</v>
      </c>
      <c r="D975" s="32">
        <f>14.6257 * CHOOSE(CONTROL!$C$32, $C$9, 100%, $E$9)</f>
        <v>14.6257</v>
      </c>
      <c r="E975" s="33">
        <f>16.0095 * CHOOSE(CONTROL!$C$32, $C$9, 100%, $E$9)</f>
        <v>16.009499999999999</v>
      </c>
      <c r="F975" s="33">
        <f>16.0095 * CHOOSE(CONTROL!$C$32, $C$9, 100%, $E$9)</f>
        <v>16.009499999999999</v>
      </c>
      <c r="G975" s="33">
        <f>16.0132 * CHOOSE(CONTROL!$C$32, $C$9, 100%, $E$9)</f>
        <v>16.013200000000001</v>
      </c>
      <c r="H975" s="33">
        <f>34.1977 * CHOOSE(CONTROL!$C$32, $C$9, 100%, $E$9)</f>
        <v>34.197699999999998</v>
      </c>
      <c r="I975" s="33">
        <f>34.2013 * CHOOSE(CONTROL!$C$32, $C$9, 100%, $E$9)</f>
        <v>34.201300000000003</v>
      </c>
      <c r="J975" s="33">
        <f>34.1977 * CHOOSE(CONTROL!$C$32, $C$9, 100%, $E$9)</f>
        <v>34.197699999999998</v>
      </c>
      <c r="K975" s="33">
        <f>34.2013 * CHOOSE(CONTROL!$C$32, $C$9, 100%, $E$9)</f>
        <v>34.201300000000003</v>
      </c>
      <c r="L975" s="33">
        <f>16.0095 * CHOOSE(CONTROL!$C$32, $C$9, 100%, $E$9)</f>
        <v>16.009499999999999</v>
      </c>
      <c r="M975" s="33">
        <f>16.0132 * CHOOSE(CONTROL!$C$32, $C$9, 100%, $E$9)</f>
        <v>16.013200000000001</v>
      </c>
      <c r="N975" s="33">
        <f>16.0095 * CHOOSE(CONTROL!$C$32, $C$9, 100%, $E$9)</f>
        <v>16.009499999999999</v>
      </c>
      <c r="O975" s="33">
        <f>16.0132 * CHOOSE(CONTROL!$C$32, $C$9, 100%, $E$9)</f>
        <v>16.013200000000001</v>
      </c>
    </row>
    <row r="976" spans="1:15" ht="15" x14ac:dyDescent="0.2">
      <c r="A976" s="16">
        <v>70919</v>
      </c>
      <c r="B976" s="32">
        <f>14.6216 * CHOOSE(CONTROL!$C$32, $C$9, 100%, $E$9)</f>
        <v>14.621600000000001</v>
      </c>
      <c r="C976" s="32">
        <f>14.6216 * CHOOSE(CONTROL!$C$32, $C$9, 100%, $E$9)</f>
        <v>14.621600000000001</v>
      </c>
      <c r="D976" s="32">
        <f>14.6227 * CHOOSE(CONTROL!$C$32, $C$9, 100%, $E$9)</f>
        <v>14.6227</v>
      </c>
      <c r="E976" s="33">
        <f>16.3692 * CHOOSE(CONTROL!$C$32, $C$9, 100%, $E$9)</f>
        <v>16.369199999999999</v>
      </c>
      <c r="F976" s="33">
        <f>16.3692 * CHOOSE(CONTROL!$C$32, $C$9, 100%, $E$9)</f>
        <v>16.369199999999999</v>
      </c>
      <c r="G976" s="33">
        <f>16.3729 * CHOOSE(CONTROL!$C$32, $C$9, 100%, $E$9)</f>
        <v>16.372900000000001</v>
      </c>
      <c r="H976" s="33">
        <f>34.269 * CHOOSE(CONTROL!$C$32, $C$9, 100%, $E$9)</f>
        <v>34.268999999999998</v>
      </c>
      <c r="I976" s="33">
        <f>34.2726 * CHOOSE(CONTROL!$C$32, $C$9, 100%, $E$9)</f>
        <v>34.272599999999997</v>
      </c>
      <c r="J976" s="33">
        <f>34.269 * CHOOSE(CONTROL!$C$32, $C$9, 100%, $E$9)</f>
        <v>34.268999999999998</v>
      </c>
      <c r="K976" s="33">
        <f>34.2726 * CHOOSE(CONTROL!$C$32, $C$9, 100%, $E$9)</f>
        <v>34.272599999999997</v>
      </c>
      <c r="L976" s="33">
        <f>16.3692 * CHOOSE(CONTROL!$C$32, $C$9, 100%, $E$9)</f>
        <v>16.369199999999999</v>
      </c>
      <c r="M976" s="33">
        <f>16.3729 * CHOOSE(CONTROL!$C$32, $C$9, 100%, $E$9)</f>
        <v>16.372900000000001</v>
      </c>
      <c r="N976" s="33">
        <f>16.3692 * CHOOSE(CONTROL!$C$32, $C$9, 100%, $E$9)</f>
        <v>16.369199999999999</v>
      </c>
      <c r="O976" s="33">
        <f>16.3729 * CHOOSE(CONTROL!$C$32, $C$9, 100%, $E$9)</f>
        <v>16.372900000000001</v>
      </c>
    </row>
    <row r="977" spans="1:15" ht="15" x14ac:dyDescent="0.2">
      <c r="A977" s="16">
        <v>70950</v>
      </c>
      <c r="B977" s="32">
        <f>14.6296 * CHOOSE(CONTROL!$C$32, $C$9, 100%, $E$9)</f>
        <v>14.6296</v>
      </c>
      <c r="C977" s="32">
        <f>14.6296 * CHOOSE(CONTROL!$C$32, $C$9, 100%, $E$9)</f>
        <v>14.6296</v>
      </c>
      <c r="D977" s="32">
        <f>14.6306 * CHOOSE(CONTROL!$C$32, $C$9, 100%, $E$9)</f>
        <v>14.630599999999999</v>
      </c>
      <c r="E977" s="33">
        <f>16.7536 * CHOOSE(CONTROL!$C$32, $C$9, 100%, $E$9)</f>
        <v>16.753599999999999</v>
      </c>
      <c r="F977" s="33">
        <f>16.7536 * CHOOSE(CONTROL!$C$32, $C$9, 100%, $E$9)</f>
        <v>16.753599999999999</v>
      </c>
      <c r="G977" s="33">
        <f>16.7572 * CHOOSE(CONTROL!$C$32, $C$9, 100%, $E$9)</f>
        <v>16.757200000000001</v>
      </c>
      <c r="H977" s="33">
        <f>34.3403 * CHOOSE(CONTROL!$C$32, $C$9, 100%, $E$9)</f>
        <v>34.340299999999999</v>
      </c>
      <c r="I977" s="33">
        <f>34.344 * CHOOSE(CONTROL!$C$32, $C$9, 100%, $E$9)</f>
        <v>34.344000000000001</v>
      </c>
      <c r="J977" s="33">
        <f>34.3403 * CHOOSE(CONTROL!$C$32, $C$9, 100%, $E$9)</f>
        <v>34.340299999999999</v>
      </c>
      <c r="K977" s="33">
        <f>34.344 * CHOOSE(CONTROL!$C$32, $C$9, 100%, $E$9)</f>
        <v>34.344000000000001</v>
      </c>
      <c r="L977" s="33">
        <f>16.7536 * CHOOSE(CONTROL!$C$32, $C$9, 100%, $E$9)</f>
        <v>16.753599999999999</v>
      </c>
      <c r="M977" s="33">
        <f>16.7572 * CHOOSE(CONTROL!$C$32, $C$9, 100%, $E$9)</f>
        <v>16.757200000000001</v>
      </c>
      <c r="N977" s="33">
        <f>16.7536 * CHOOSE(CONTROL!$C$32, $C$9, 100%, $E$9)</f>
        <v>16.753599999999999</v>
      </c>
      <c r="O977" s="33">
        <f>16.7572 * CHOOSE(CONTROL!$C$32, $C$9, 100%, $E$9)</f>
        <v>16.757200000000001</v>
      </c>
    </row>
    <row r="978" spans="1:15" ht="15" x14ac:dyDescent="0.2">
      <c r="A978" s="16">
        <v>70980</v>
      </c>
      <c r="B978" s="32">
        <f>14.6296 * CHOOSE(CONTROL!$C$32, $C$9, 100%, $E$9)</f>
        <v>14.6296</v>
      </c>
      <c r="C978" s="32">
        <f>14.6296 * CHOOSE(CONTROL!$C$32, $C$9, 100%, $E$9)</f>
        <v>14.6296</v>
      </c>
      <c r="D978" s="32">
        <f>14.6311 * CHOOSE(CONTROL!$C$32, $C$9, 100%, $E$9)</f>
        <v>14.6311</v>
      </c>
      <c r="E978" s="33">
        <f>16.8993 * CHOOSE(CONTROL!$C$32, $C$9, 100%, $E$9)</f>
        <v>16.8993</v>
      </c>
      <c r="F978" s="33">
        <f>16.8993 * CHOOSE(CONTROL!$C$32, $C$9, 100%, $E$9)</f>
        <v>16.8993</v>
      </c>
      <c r="G978" s="33">
        <f>16.9046 * CHOOSE(CONTROL!$C$32, $C$9, 100%, $E$9)</f>
        <v>16.904599999999999</v>
      </c>
      <c r="H978" s="33">
        <f>34.4119 * CHOOSE(CONTROL!$C$32, $C$9, 100%, $E$9)</f>
        <v>34.411900000000003</v>
      </c>
      <c r="I978" s="33">
        <f>34.4172 * CHOOSE(CONTROL!$C$32, $C$9, 100%, $E$9)</f>
        <v>34.417200000000001</v>
      </c>
      <c r="J978" s="33">
        <f>34.4119 * CHOOSE(CONTROL!$C$32, $C$9, 100%, $E$9)</f>
        <v>34.411900000000003</v>
      </c>
      <c r="K978" s="33">
        <f>34.4172 * CHOOSE(CONTROL!$C$32, $C$9, 100%, $E$9)</f>
        <v>34.417200000000001</v>
      </c>
      <c r="L978" s="33">
        <f>16.8993 * CHOOSE(CONTROL!$C$32, $C$9, 100%, $E$9)</f>
        <v>16.8993</v>
      </c>
      <c r="M978" s="33">
        <f>16.9046 * CHOOSE(CONTROL!$C$32, $C$9, 100%, $E$9)</f>
        <v>16.904599999999999</v>
      </c>
      <c r="N978" s="33">
        <f>16.8993 * CHOOSE(CONTROL!$C$32, $C$9, 100%, $E$9)</f>
        <v>16.8993</v>
      </c>
      <c r="O978" s="33">
        <f>16.9046 * CHOOSE(CONTROL!$C$32, $C$9, 100%, $E$9)</f>
        <v>16.904599999999999</v>
      </c>
    </row>
    <row r="979" spans="1:15" ht="15" x14ac:dyDescent="0.2">
      <c r="A979" s="16">
        <v>71011</v>
      </c>
      <c r="B979" s="32">
        <f>14.6356 * CHOOSE(CONTROL!$C$32, $C$9, 100%, $E$9)</f>
        <v>14.6356</v>
      </c>
      <c r="C979" s="32">
        <f>14.6356 * CHOOSE(CONTROL!$C$32, $C$9, 100%, $E$9)</f>
        <v>14.6356</v>
      </c>
      <c r="D979" s="32">
        <f>14.6372 * CHOOSE(CONTROL!$C$32, $C$9, 100%, $E$9)</f>
        <v>14.6372</v>
      </c>
      <c r="E979" s="33">
        <f>16.7578 * CHOOSE(CONTROL!$C$32, $C$9, 100%, $E$9)</f>
        <v>16.7578</v>
      </c>
      <c r="F979" s="33">
        <f>16.7578 * CHOOSE(CONTROL!$C$32, $C$9, 100%, $E$9)</f>
        <v>16.7578</v>
      </c>
      <c r="G979" s="33">
        <f>16.7631 * CHOOSE(CONTROL!$C$32, $C$9, 100%, $E$9)</f>
        <v>16.763100000000001</v>
      </c>
      <c r="H979" s="33">
        <f>34.4836 * CHOOSE(CONTROL!$C$32, $C$9, 100%, $E$9)</f>
        <v>34.483600000000003</v>
      </c>
      <c r="I979" s="33">
        <f>34.4889 * CHOOSE(CONTROL!$C$32, $C$9, 100%, $E$9)</f>
        <v>34.488900000000001</v>
      </c>
      <c r="J979" s="33">
        <f>34.4836 * CHOOSE(CONTROL!$C$32, $C$9, 100%, $E$9)</f>
        <v>34.483600000000003</v>
      </c>
      <c r="K979" s="33">
        <f>34.4889 * CHOOSE(CONTROL!$C$32, $C$9, 100%, $E$9)</f>
        <v>34.488900000000001</v>
      </c>
      <c r="L979" s="33">
        <f>16.7578 * CHOOSE(CONTROL!$C$32, $C$9, 100%, $E$9)</f>
        <v>16.7578</v>
      </c>
      <c r="M979" s="33">
        <f>16.7631 * CHOOSE(CONTROL!$C$32, $C$9, 100%, $E$9)</f>
        <v>16.763100000000001</v>
      </c>
      <c r="N979" s="33">
        <f>16.7578 * CHOOSE(CONTROL!$C$32, $C$9, 100%, $E$9)</f>
        <v>16.7578</v>
      </c>
      <c r="O979" s="33">
        <f>16.7631 * CHOOSE(CONTROL!$C$32, $C$9, 100%, $E$9)</f>
        <v>16.763100000000001</v>
      </c>
    </row>
    <row r="980" spans="1:15" ht="15" x14ac:dyDescent="0.2">
      <c r="A980" s="16">
        <v>71041</v>
      </c>
      <c r="B980" s="32">
        <f>14.8109 * CHOOSE(CONTROL!$C$32, $C$9, 100%, $E$9)</f>
        <v>14.8109</v>
      </c>
      <c r="C980" s="32">
        <f>14.8109 * CHOOSE(CONTROL!$C$32, $C$9, 100%, $E$9)</f>
        <v>14.8109</v>
      </c>
      <c r="D980" s="32">
        <f>14.8124 * CHOOSE(CONTROL!$C$32, $C$9, 100%, $E$9)</f>
        <v>14.8124</v>
      </c>
      <c r="E980" s="33">
        <f>16.996 * CHOOSE(CONTROL!$C$32, $C$9, 100%, $E$9)</f>
        <v>16.995999999999999</v>
      </c>
      <c r="F980" s="33">
        <f>16.996 * CHOOSE(CONTROL!$C$32, $C$9, 100%, $E$9)</f>
        <v>16.995999999999999</v>
      </c>
      <c r="G980" s="33">
        <f>17.0013 * CHOOSE(CONTROL!$C$32, $C$9, 100%, $E$9)</f>
        <v>17.001300000000001</v>
      </c>
      <c r="H980" s="33">
        <f>34.5554 * CHOOSE(CONTROL!$C$32, $C$9, 100%, $E$9)</f>
        <v>34.555399999999999</v>
      </c>
      <c r="I980" s="33">
        <f>34.5607 * CHOOSE(CONTROL!$C$32, $C$9, 100%, $E$9)</f>
        <v>34.560699999999997</v>
      </c>
      <c r="J980" s="33">
        <f>34.5554 * CHOOSE(CONTROL!$C$32, $C$9, 100%, $E$9)</f>
        <v>34.555399999999999</v>
      </c>
      <c r="K980" s="33">
        <f>34.5607 * CHOOSE(CONTROL!$C$32, $C$9, 100%, $E$9)</f>
        <v>34.560699999999997</v>
      </c>
      <c r="L980" s="33">
        <f>16.996 * CHOOSE(CONTROL!$C$32, $C$9, 100%, $E$9)</f>
        <v>16.995999999999999</v>
      </c>
      <c r="M980" s="33">
        <f>17.0013 * CHOOSE(CONTROL!$C$32, $C$9, 100%, $E$9)</f>
        <v>17.001300000000001</v>
      </c>
      <c r="N980" s="33">
        <f>16.996 * CHOOSE(CONTROL!$C$32, $C$9, 100%, $E$9)</f>
        <v>16.995999999999999</v>
      </c>
      <c r="O980" s="33">
        <f>17.0013 * CHOOSE(CONTROL!$C$32, $C$9, 100%, $E$9)</f>
        <v>17.001300000000001</v>
      </c>
    </row>
    <row r="981" spans="1:15" ht="15" x14ac:dyDescent="0.2">
      <c r="A981" s="16">
        <v>71072</v>
      </c>
      <c r="B981" s="32">
        <f>14.8175 * CHOOSE(CONTROL!$C$32, $C$9, 100%, $E$9)</f>
        <v>14.817500000000001</v>
      </c>
      <c r="C981" s="32">
        <f>14.8175 * CHOOSE(CONTROL!$C$32, $C$9, 100%, $E$9)</f>
        <v>14.817500000000001</v>
      </c>
      <c r="D981" s="32">
        <f>14.8191 * CHOOSE(CONTROL!$C$32, $C$9, 100%, $E$9)</f>
        <v>14.819100000000001</v>
      </c>
      <c r="E981" s="33">
        <f>16.5635 * CHOOSE(CONTROL!$C$32, $C$9, 100%, $E$9)</f>
        <v>16.563500000000001</v>
      </c>
      <c r="F981" s="33">
        <f>16.5635 * CHOOSE(CONTROL!$C$32, $C$9, 100%, $E$9)</f>
        <v>16.563500000000001</v>
      </c>
      <c r="G981" s="33">
        <f>16.5688 * CHOOSE(CONTROL!$C$32, $C$9, 100%, $E$9)</f>
        <v>16.5688</v>
      </c>
      <c r="H981" s="33">
        <f>34.6274 * CHOOSE(CONTROL!$C$32, $C$9, 100%, $E$9)</f>
        <v>34.627400000000002</v>
      </c>
      <c r="I981" s="33">
        <f>34.6327 * CHOOSE(CONTROL!$C$32, $C$9, 100%, $E$9)</f>
        <v>34.6327</v>
      </c>
      <c r="J981" s="33">
        <f>34.6274 * CHOOSE(CONTROL!$C$32, $C$9, 100%, $E$9)</f>
        <v>34.627400000000002</v>
      </c>
      <c r="K981" s="33">
        <f>34.6327 * CHOOSE(CONTROL!$C$32, $C$9, 100%, $E$9)</f>
        <v>34.6327</v>
      </c>
      <c r="L981" s="33">
        <f>16.5635 * CHOOSE(CONTROL!$C$32, $C$9, 100%, $E$9)</f>
        <v>16.563500000000001</v>
      </c>
      <c r="M981" s="33">
        <f>16.5688 * CHOOSE(CONTROL!$C$32, $C$9, 100%, $E$9)</f>
        <v>16.5688</v>
      </c>
      <c r="N981" s="33">
        <f>16.5635 * CHOOSE(CONTROL!$C$32, $C$9, 100%, $E$9)</f>
        <v>16.563500000000001</v>
      </c>
      <c r="O981" s="33">
        <f>16.5688 * CHOOSE(CONTROL!$C$32, $C$9, 100%, $E$9)</f>
        <v>16.5688</v>
      </c>
    </row>
    <row r="982" spans="1:15" ht="15" x14ac:dyDescent="0.2">
      <c r="A982" s="16">
        <v>71103</v>
      </c>
      <c r="B982" s="32">
        <f>14.8145 * CHOOSE(CONTROL!$C$32, $C$9, 100%, $E$9)</f>
        <v>14.814500000000001</v>
      </c>
      <c r="C982" s="32">
        <f>14.8145 * CHOOSE(CONTROL!$C$32, $C$9, 100%, $E$9)</f>
        <v>14.814500000000001</v>
      </c>
      <c r="D982" s="32">
        <f>14.8161 * CHOOSE(CONTROL!$C$32, $C$9, 100%, $E$9)</f>
        <v>14.8161</v>
      </c>
      <c r="E982" s="33">
        <f>16.5129 * CHOOSE(CONTROL!$C$32, $C$9, 100%, $E$9)</f>
        <v>16.512899999999998</v>
      </c>
      <c r="F982" s="33">
        <f>16.5129 * CHOOSE(CONTROL!$C$32, $C$9, 100%, $E$9)</f>
        <v>16.512899999999998</v>
      </c>
      <c r="G982" s="33">
        <f>16.5181 * CHOOSE(CONTROL!$C$32, $C$9, 100%, $E$9)</f>
        <v>16.5181</v>
      </c>
      <c r="H982" s="33">
        <f>34.6996 * CHOOSE(CONTROL!$C$32, $C$9, 100%, $E$9)</f>
        <v>34.699599999999997</v>
      </c>
      <c r="I982" s="33">
        <f>34.7048 * CHOOSE(CONTROL!$C$32, $C$9, 100%, $E$9)</f>
        <v>34.704799999999999</v>
      </c>
      <c r="J982" s="33">
        <f>34.6996 * CHOOSE(CONTROL!$C$32, $C$9, 100%, $E$9)</f>
        <v>34.699599999999997</v>
      </c>
      <c r="K982" s="33">
        <f>34.7048 * CHOOSE(CONTROL!$C$32, $C$9, 100%, $E$9)</f>
        <v>34.704799999999999</v>
      </c>
      <c r="L982" s="33">
        <f>16.5129 * CHOOSE(CONTROL!$C$32, $C$9, 100%, $E$9)</f>
        <v>16.512899999999998</v>
      </c>
      <c r="M982" s="33">
        <f>16.5181 * CHOOSE(CONTROL!$C$32, $C$9, 100%, $E$9)</f>
        <v>16.5181</v>
      </c>
      <c r="N982" s="33">
        <f>16.5129 * CHOOSE(CONTROL!$C$32, $C$9, 100%, $E$9)</f>
        <v>16.512899999999998</v>
      </c>
      <c r="O982" s="33">
        <f>16.5181 * CHOOSE(CONTROL!$C$32, $C$9, 100%, $E$9)</f>
        <v>16.5181</v>
      </c>
    </row>
    <row r="983" spans="1:15" ht="15" x14ac:dyDescent="0.2">
      <c r="A983" s="16">
        <v>71133</v>
      </c>
      <c r="B983" s="32">
        <f>14.85 * CHOOSE(CONTROL!$C$32, $C$9, 100%, $E$9)</f>
        <v>14.85</v>
      </c>
      <c r="C983" s="32">
        <f>14.85 * CHOOSE(CONTROL!$C$32, $C$9, 100%, $E$9)</f>
        <v>14.85</v>
      </c>
      <c r="D983" s="32">
        <f>14.8511 * CHOOSE(CONTROL!$C$32, $C$9, 100%, $E$9)</f>
        <v>14.851100000000001</v>
      </c>
      <c r="E983" s="33">
        <f>16.6937 * CHOOSE(CONTROL!$C$32, $C$9, 100%, $E$9)</f>
        <v>16.6937</v>
      </c>
      <c r="F983" s="33">
        <f>16.6937 * CHOOSE(CONTROL!$C$32, $C$9, 100%, $E$9)</f>
        <v>16.6937</v>
      </c>
      <c r="G983" s="33">
        <f>16.6973 * CHOOSE(CONTROL!$C$32, $C$9, 100%, $E$9)</f>
        <v>16.697299999999998</v>
      </c>
      <c r="H983" s="33">
        <f>34.7718 * CHOOSE(CONTROL!$C$32, $C$9, 100%, $E$9)</f>
        <v>34.771799999999999</v>
      </c>
      <c r="I983" s="33">
        <f>34.7755 * CHOOSE(CONTROL!$C$32, $C$9, 100%, $E$9)</f>
        <v>34.775500000000001</v>
      </c>
      <c r="J983" s="33">
        <f>34.7718 * CHOOSE(CONTROL!$C$32, $C$9, 100%, $E$9)</f>
        <v>34.771799999999999</v>
      </c>
      <c r="K983" s="33">
        <f>34.7755 * CHOOSE(CONTROL!$C$32, $C$9, 100%, $E$9)</f>
        <v>34.775500000000001</v>
      </c>
      <c r="L983" s="33">
        <f>16.6937 * CHOOSE(CONTROL!$C$32, $C$9, 100%, $E$9)</f>
        <v>16.6937</v>
      </c>
      <c r="M983" s="33">
        <f>16.6973 * CHOOSE(CONTROL!$C$32, $C$9, 100%, $E$9)</f>
        <v>16.697299999999998</v>
      </c>
      <c r="N983" s="33">
        <f>16.6937 * CHOOSE(CONTROL!$C$32, $C$9, 100%, $E$9)</f>
        <v>16.6937</v>
      </c>
      <c r="O983" s="33">
        <f>16.6973 * CHOOSE(CONTROL!$C$32, $C$9, 100%, $E$9)</f>
        <v>16.697299999999998</v>
      </c>
    </row>
    <row r="984" spans="1:15" ht="15" x14ac:dyDescent="0.2">
      <c r="A984" s="16">
        <v>71164</v>
      </c>
      <c r="B984" s="32">
        <f>14.8531 * CHOOSE(CONTROL!$C$32, $C$9, 100%, $E$9)</f>
        <v>14.8531</v>
      </c>
      <c r="C984" s="32">
        <f>14.8531 * CHOOSE(CONTROL!$C$32, $C$9, 100%, $E$9)</f>
        <v>14.8531</v>
      </c>
      <c r="D984" s="32">
        <f>14.8541 * CHOOSE(CONTROL!$C$32, $C$9, 100%, $E$9)</f>
        <v>14.854100000000001</v>
      </c>
      <c r="E984" s="33">
        <f>16.793 * CHOOSE(CONTROL!$C$32, $C$9, 100%, $E$9)</f>
        <v>16.792999999999999</v>
      </c>
      <c r="F984" s="33">
        <f>16.793 * CHOOSE(CONTROL!$C$32, $C$9, 100%, $E$9)</f>
        <v>16.792999999999999</v>
      </c>
      <c r="G984" s="33">
        <f>16.7966 * CHOOSE(CONTROL!$C$32, $C$9, 100%, $E$9)</f>
        <v>16.796600000000002</v>
      </c>
      <c r="H984" s="33">
        <f>34.8443 * CHOOSE(CONTROL!$C$32, $C$9, 100%, $E$9)</f>
        <v>34.844299999999997</v>
      </c>
      <c r="I984" s="33">
        <f>34.8479 * CHOOSE(CONTROL!$C$32, $C$9, 100%, $E$9)</f>
        <v>34.847900000000003</v>
      </c>
      <c r="J984" s="33">
        <f>34.8443 * CHOOSE(CONTROL!$C$32, $C$9, 100%, $E$9)</f>
        <v>34.844299999999997</v>
      </c>
      <c r="K984" s="33">
        <f>34.8479 * CHOOSE(CONTROL!$C$32, $C$9, 100%, $E$9)</f>
        <v>34.847900000000003</v>
      </c>
      <c r="L984" s="33">
        <f>16.793 * CHOOSE(CONTROL!$C$32, $C$9, 100%, $E$9)</f>
        <v>16.792999999999999</v>
      </c>
      <c r="M984" s="33">
        <f>16.7966 * CHOOSE(CONTROL!$C$32, $C$9, 100%, $E$9)</f>
        <v>16.796600000000002</v>
      </c>
      <c r="N984" s="33">
        <f>16.793 * CHOOSE(CONTROL!$C$32, $C$9, 100%, $E$9)</f>
        <v>16.792999999999999</v>
      </c>
      <c r="O984" s="33">
        <f>16.7966 * CHOOSE(CONTROL!$C$32, $C$9, 100%, $E$9)</f>
        <v>16.796600000000002</v>
      </c>
    </row>
    <row r="985" spans="1:15" ht="15" x14ac:dyDescent="0.2">
      <c r="A985" s="16">
        <v>71194</v>
      </c>
      <c r="B985" s="32">
        <f>14.8531 * CHOOSE(CONTROL!$C$32, $C$9, 100%, $E$9)</f>
        <v>14.8531</v>
      </c>
      <c r="C985" s="32">
        <f>14.8531 * CHOOSE(CONTROL!$C$32, $C$9, 100%, $E$9)</f>
        <v>14.8531</v>
      </c>
      <c r="D985" s="32">
        <f>14.8541 * CHOOSE(CONTROL!$C$32, $C$9, 100%, $E$9)</f>
        <v>14.854100000000001</v>
      </c>
      <c r="E985" s="33">
        <f>16.5501 * CHOOSE(CONTROL!$C$32, $C$9, 100%, $E$9)</f>
        <v>16.5501</v>
      </c>
      <c r="F985" s="33">
        <f>16.5501 * CHOOSE(CONTROL!$C$32, $C$9, 100%, $E$9)</f>
        <v>16.5501</v>
      </c>
      <c r="G985" s="33">
        <f>16.5537 * CHOOSE(CONTROL!$C$32, $C$9, 100%, $E$9)</f>
        <v>16.553699999999999</v>
      </c>
      <c r="H985" s="33">
        <f>34.9169 * CHOOSE(CONTROL!$C$32, $C$9, 100%, $E$9)</f>
        <v>34.916899999999998</v>
      </c>
      <c r="I985" s="33">
        <f>34.9205 * CHOOSE(CONTROL!$C$32, $C$9, 100%, $E$9)</f>
        <v>34.920499999999997</v>
      </c>
      <c r="J985" s="33">
        <f>34.9169 * CHOOSE(CONTROL!$C$32, $C$9, 100%, $E$9)</f>
        <v>34.916899999999998</v>
      </c>
      <c r="K985" s="33">
        <f>34.9205 * CHOOSE(CONTROL!$C$32, $C$9, 100%, $E$9)</f>
        <v>34.920499999999997</v>
      </c>
      <c r="L985" s="33">
        <f>16.5501 * CHOOSE(CONTROL!$C$32, $C$9, 100%, $E$9)</f>
        <v>16.5501</v>
      </c>
      <c r="M985" s="33">
        <f>16.5537 * CHOOSE(CONTROL!$C$32, $C$9, 100%, $E$9)</f>
        <v>16.553699999999999</v>
      </c>
      <c r="N985" s="33">
        <f>16.5501 * CHOOSE(CONTROL!$C$32, $C$9, 100%, $E$9)</f>
        <v>16.5501</v>
      </c>
      <c r="O985" s="33">
        <f>16.5537 * CHOOSE(CONTROL!$C$32, $C$9, 100%, $E$9)</f>
        <v>16.553699999999999</v>
      </c>
    </row>
    <row r="986" spans="1:15" ht="15" x14ac:dyDescent="0.2">
      <c r="A986" s="16">
        <v>71225</v>
      </c>
      <c r="B986" s="32">
        <f>14.815 * CHOOSE(CONTROL!$C$32, $C$9, 100%, $E$9)</f>
        <v>14.815</v>
      </c>
      <c r="C986" s="32">
        <f>14.815 * CHOOSE(CONTROL!$C$32, $C$9, 100%, $E$9)</f>
        <v>14.815</v>
      </c>
      <c r="D986" s="32">
        <f>14.8161 * CHOOSE(CONTROL!$C$32, $C$9, 100%, $E$9)</f>
        <v>14.8161</v>
      </c>
      <c r="E986" s="33">
        <f>16.6831 * CHOOSE(CONTROL!$C$32, $C$9, 100%, $E$9)</f>
        <v>16.6831</v>
      </c>
      <c r="F986" s="33">
        <f>16.6831 * CHOOSE(CONTROL!$C$32, $C$9, 100%, $E$9)</f>
        <v>16.6831</v>
      </c>
      <c r="G986" s="33">
        <f>16.6867 * CHOOSE(CONTROL!$C$32, $C$9, 100%, $E$9)</f>
        <v>16.686699999999998</v>
      </c>
      <c r="H986" s="33">
        <f>34.5906 * CHOOSE(CONTROL!$C$32, $C$9, 100%, $E$9)</f>
        <v>34.590600000000002</v>
      </c>
      <c r="I986" s="33">
        <f>34.5943 * CHOOSE(CONTROL!$C$32, $C$9, 100%, $E$9)</f>
        <v>34.594299999999997</v>
      </c>
      <c r="J986" s="33">
        <f>34.5906 * CHOOSE(CONTROL!$C$32, $C$9, 100%, $E$9)</f>
        <v>34.590600000000002</v>
      </c>
      <c r="K986" s="33">
        <f>34.5943 * CHOOSE(CONTROL!$C$32, $C$9, 100%, $E$9)</f>
        <v>34.594299999999997</v>
      </c>
      <c r="L986" s="33">
        <f>16.6831 * CHOOSE(CONTROL!$C$32, $C$9, 100%, $E$9)</f>
        <v>16.6831</v>
      </c>
      <c r="M986" s="33">
        <f>16.6867 * CHOOSE(CONTROL!$C$32, $C$9, 100%, $E$9)</f>
        <v>16.686699999999998</v>
      </c>
      <c r="N986" s="33">
        <f>16.6831 * CHOOSE(CONTROL!$C$32, $C$9, 100%, $E$9)</f>
        <v>16.6831</v>
      </c>
      <c r="O986" s="33">
        <f>16.6867 * CHOOSE(CONTROL!$C$32, $C$9, 100%, $E$9)</f>
        <v>16.686699999999998</v>
      </c>
    </row>
    <row r="987" spans="1:15" ht="15" x14ac:dyDescent="0.2">
      <c r="A987" s="16">
        <v>71256</v>
      </c>
      <c r="B987" s="32">
        <f>14.812 * CHOOSE(CONTROL!$C$32, $C$9, 100%, $E$9)</f>
        <v>14.811999999999999</v>
      </c>
      <c r="C987" s="32">
        <f>14.812 * CHOOSE(CONTROL!$C$32, $C$9, 100%, $E$9)</f>
        <v>14.811999999999999</v>
      </c>
      <c r="D987" s="32">
        <f>14.8131 * CHOOSE(CONTROL!$C$32, $C$9, 100%, $E$9)</f>
        <v>14.8131</v>
      </c>
      <c r="E987" s="33">
        <f>16.215 * CHOOSE(CONTROL!$C$32, $C$9, 100%, $E$9)</f>
        <v>16.215</v>
      </c>
      <c r="F987" s="33">
        <f>16.215 * CHOOSE(CONTROL!$C$32, $C$9, 100%, $E$9)</f>
        <v>16.215</v>
      </c>
      <c r="G987" s="33">
        <f>16.2186 * CHOOSE(CONTROL!$C$32, $C$9, 100%, $E$9)</f>
        <v>16.218599999999999</v>
      </c>
      <c r="H987" s="33">
        <f>34.6627 * CHOOSE(CONTROL!$C$32, $C$9, 100%, $E$9)</f>
        <v>34.662700000000001</v>
      </c>
      <c r="I987" s="33">
        <f>34.6663 * CHOOSE(CONTROL!$C$32, $C$9, 100%, $E$9)</f>
        <v>34.6663</v>
      </c>
      <c r="J987" s="33">
        <f>34.6627 * CHOOSE(CONTROL!$C$32, $C$9, 100%, $E$9)</f>
        <v>34.662700000000001</v>
      </c>
      <c r="K987" s="33">
        <f>34.6663 * CHOOSE(CONTROL!$C$32, $C$9, 100%, $E$9)</f>
        <v>34.6663</v>
      </c>
      <c r="L987" s="33">
        <f>16.215 * CHOOSE(CONTROL!$C$32, $C$9, 100%, $E$9)</f>
        <v>16.215</v>
      </c>
      <c r="M987" s="33">
        <f>16.2186 * CHOOSE(CONTROL!$C$32, $C$9, 100%, $E$9)</f>
        <v>16.218599999999999</v>
      </c>
      <c r="N987" s="33">
        <f>16.215 * CHOOSE(CONTROL!$C$32, $C$9, 100%, $E$9)</f>
        <v>16.215</v>
      </c>
      <c r="O987" s="33">
        <f>16.2186 * CHOOSE(CONTROL!$C$32, $C$9, 100%, $E$9)</f>
        <v>16.218599999999999</v>
      </c>
    </row>
    <row r="988" spans="1:15" ht="15" x14ac:dyDescent="0.2">
      <c r="A988" s="16">
        <v>71284</v>
      </c>
      <c r="B988" s="32">
        <f>14.8089 * CHOOSE(CONTROL!$C$32, $C$9, 100%, $E$9)</f>
        <v>14.8089</v>
      </c>
      <c r="C988" s="32">
        <f>14.8089 * CHOOSE(CONTROL!$C$32, $C$9, 100%, $E$9)</f>
        <v>14.8089</v>
      </c>
      <c r="D988" s="32">
        <f>14.81 * CHOOSE(CONTROL!$C$32, $C$9, 100%, $E$9)</f>
        <v>14.81</v>
      </c>
      <c r="E988" s="33">
        <f>16.5802 * CHOOSE(CONTROL!$C$32, $C$9, 100%, $E$9)</f>
        <v>16.580200000000001</v>
      </c>
      <c r="F988" s="33">
        <f>16.5802 * CHOOSE(CONTROL!$C$32, $C$9, 100%, $E$9)</f>
        <v>16.580200000000001</v>
      </c>
      <c r="G988" s="33">
        <f>16.5839 * CHOOSE(CONTROL!$C$32, $C$9, 100%, $E$9)</f>
        <v>16.5839</v>
      </c>
      <c r="H988" s="33">
        <f>34.7349 * CHOOSE(CONTROL!$C$32, $C$9, 100%, $E$9)</f>
        <v>34.734900000000003</v>
      </c>
      <c r="I988" s="33">
        <f>34.7385 * CHOOSE(CONTROL!$C$32, $C$9, 100%, $E$9)</f>
        <v>34.738500000000002</v>
      </c>
      <c r="J988" s="33">
        <f>34.7349 * CHOOSE(CONTROL!$C$32, $C$9, 100%, $E$9)</f>
        <v>34.734900000000003</v>
      </c>
      <c r="K988" s="33">
        <f>34.7385 * CHOOSE(CONTROL!$C$32, $C$9, 100%, $E$9)</f>
        <v>34.738500000000002</v>
      </c>
      <c r="L988" s="33">
        <f>16.5802 * CHOOSE(CONTROL!$C$32, $C$9, 100%, $E$9)</f>
        <v>16.580200000000001</v>
      </c>
      <c r="M988" s="33">
        <f>16.5839 * CHOOSE(CONTROL!$C$32, $C$9, 100%, $E$9)</f>
        <v>16.5839</v>
      </c>
      <c r="N988" s="33">
        <f>16.5802 * CHOOSE(CONTROL!$C$32, $C$9, 100%, $E$9)</f>
        <v>16.580200000000001</v>
      </c>
      <c r="O988" s="33">
        <f>16.5839 * CHOOSE(CONTROL!$C$32, $C$9, 100%, $E$9)</f>
        <v>16.5839</v>
      </c>
    </row>
    <row r="989" spans="1:15" ht="15" x14ac:dyDescent="0.2">
      <c r="A989" s="16">
        <v>71315</v>
      </c>
      <c r="B989" s="32">
        <f>14.8171 * CHOOSE(CONTROL!$C$32, $C$9, 100%, $E$9)</f>
        <v>14.8171</v>
      </c>
      <c r="C989" s="32">
        <f>14.8171 * CHOOSE(CONTROL!$C$32, $C$9, 100%, $E$9)</f>
        <v>14.8171</v>
      </c>
      <c r="D989" s="32">
        <f>14.8182 * CHOOSE(CONTROL!$C$32, $C$9, 100%, $E$9)</f>
        <v>14.818199999999999</v>
      </c>
      <c r="E989" s="33">
        <f>16.9706 * CHOOSE(CONTROL!$C$32, $C$9, 100%, $E$9)</f>
        <v>16.970600000000001</v>
      </c>
      <c r="F989" s="33">
        <f>16.9706 * CHOOSE(CONTROL!$C$32, $C$9, 100%, $E$9)</f>
        <v>16.970600000000001</v>
      </c>
      <c r="G989" s="33">
        <f>16.9742 * CHOOSE(CONTROL!$C$32, $C$9, 100%, $E$9)</f>
        <v>16.9742</v>
      </c>
      <c r="H989" s="33">
        <f>34.8073 * CHOOSE(CONTROL!$C$32, $C$9, 100%, $E$9)</f>
        <v>34.807299999999998</v>
      </c>
      <c r="I989" s="33">
        <f>34.8109 * CHOOSE(CONTROL!$C$32, $C$9, 100%, $E$9)</f>
        <v>34.810899999999997</v>
      </c>
      <c r="J989" s="33">
        <f>34.8073 * CHOOSE(CONTROL!$C$32, $C$9, 100%, $E$9)</f>
        <v>34.807299999999998</v>
      </c>
      <c r="K989" s="33">
        <f>34.8109 * CHOOSE(CONTROL!$C$32, $C$9, 100%, $E$9)</f>
        <v>34.810899999999997</v>
      </c>
      <c r="L989" s="33">
        <f>16.9706 * CHOOSE(CONTROL!$C$32, $C$9, 100%, $E$9)</f>
        <v>16.970600000000001</v>
      </c>
      <c r="M989" s="33">
        <f>16.9742 * CHOOSE(CONTROL!$C$32, $C$9, 100%, $E$9)</f>
        <v>16.9742</v>
      </c>
      <c r="N989" s="33">
        <f>16.9706 * CHOOSE(CONTROL!$C$32, $C$9, 100%, $E$9)</f>
        <v>16.970600000000001</v>
      </c>
      <c r="O989" s="33">
        <f>16.9742 * CHOOSE(CONTROL!$C$32, $C$9, 100%, $E$9)</f>
        <v>16.9742</v>
      </c>
    </row>
    <row r="990" spans="1:15" ht="15" x14ac:dyDescent="0.2">
      <c r="A990" s="16">
        <v>71345</v>
      </c>
      <c r="B990" s="32">
        <f>14.8171 * CHOOSE(CONTROL!$C$32, $C$9, 100%, $E$9)</f>
        <v>14.8171</v>
      </c>
      <c r="C990" s="32">
        <f>14.8171 * CHOOSE(CONTROL!$C$32, $C$9, 100%, $E$9)</f>
        <v>14.8171</v>
      </c>
      <c r="D990" s="32">
        <f>14.8187 * CHOOSE(CONTROL!$C$32, $C$9, 100%, $E$9)</f>
        <v>14.8187</v>
      </c>
      <c r="E990" s="33">
        <f>17.1185 * CHOOSE(CONTROL!$C$32, $C$9, 100%, $E$9)</f>
        <v>17.118500000000001</v>
      </c>
      <c r="F990" s="33">
        <f>17.1185 * CHOOSE(CONTROL!$C$32, $C$9, 100%, $E$9)</f>
        <v>17.118500000000001</v>
      </c>
      <c r="G990" s="33">
        <f>17.1238 * CHOOSE(CONTROL!$C$32, $C$9, 100%, $E$9)</f>
        <v>17.123799999999999</v>
      </c>
      <c r="H990" s="33">
        <f>34.8798 * CHOOSE(CONTROL!$C$32, $C$9, 100%, $E$9)</f>
        <v>34.879800000000003</v>
      </c>
      <c r="I990" s="33">
        <f>34.8851 * CHOOSE(CONTROL!$C$32, $C$9, 100%, $E$9)</f>
        <v>34.885100000000001</v>
      </c>
      <c r="J990" s="33">
        <f>34.8798 * CHOOSE(CONTROL!$C$32, $C$9, 100%, $E$9)</f>
        <v>34.879800000000003</v>
      </c>
      <c r="K990" s="33">
        <f>34.8851 * CHOOSE(CONTROL!$C$32, $C$9, 100%, $E$9)</f>
        <v>34.885100000000001</v>
      </c>
      <c r="L990" s="33">
        <f>17.1185 * CHOOSE(CONTROL!$C$32, $C$9, 100%, $E$9)</f>
        <v>17.118500000000001</v>
      </c>
      <c r="M990" s="33">
        <f>17.1238 * CHOOSE(CONTROL!$C$32, $C$9, 100%, $E$9)</f>
        <v>17.123799999999999</v>
      </c>
      <c r="N990" s="33">
        <f>17.1185 * CHOOSE(CONTROL!$C$32, $C$9, 100%, $E$9)</f>
        <v>17.118500000000001</v>
      </c>
      <c r="O990" s="33">
        <f>17.1238 * CHOOSE(CONTROL!$C$32, $C$9, 100%, $E$9)</f>
        <v>17.123799999999999</v>
      </c>
    </row>
    <row r="991" spans="1:15" ht="15" x14ac:dyDescent="0.2">
      <c r="A991" s="16">
        <v>71376</v>
      </c>
      <c r="B991" s="32">
        <f>14.8232 * CHOOSE(CONTROL!$C$32, $C$9, 100%, $E$9)</f>
        <v>14.8232</v>
      </c>
      <c r="C991" s="32">
        <f>14.8232 * CHOOSE(CONTROL!$C$32, $C$9, 100%, $E$9)</f>
        <v>14.8232</v>
      </c>
      <c r="D991" s="32">
        <f>14.8248 * CHOOSE(CONTROL!$C$32, $C$9, 100%, $E$9)</f>
        <v>14.8248</v>
      </c>
      <c r="E991" s="33">
        <f>16.9748 * CHOOSE(CONTROL!$C$32, $C$9, 100%, $E$9)</f>
        <v>16.974799999999998</v>
      </c>
      <c r="F991" s="33">
        <f>16.9748 * CHOOSE(CONTROL!$C$32, $C$9, 100%, $E$9)</f>
        <v>16.974799999999998</v>
      </c>
      <c r="G991" s="33">
        <f>16.9801 * CHOOSE(CONTROL!$C$32, $C$9, 100%, $E$9)</f>
        <v>16.9801</v>
      </c>
      <c r="H991" s="33">
        <f>34.9525 * CHOOSE(CONTROL!$C$32, $C$9, 100%, $E$9)</f>
        <v>34.952500000000001</v>
      </c>
      <c r="I991" s="33">
        <f>34.9578 * CHOOSE(CONTROL!$C$32, $C$9, 100%, $E$9)</f>
        <v>34.957799999999999</v>
      </c>
      <c r="J991" s="33">
        <f>34.9525 * CHOOSE(CONTROL!$C$32, $C$9, 100%, $E$9)</f>
        <v>34.952500000000001</v>
      </c>
      <c r="K991" s="33">
        <f>34.9578 * CHOOSE(CONTROL!$C$32, $C$9, 100%, $E$9)</f>
        <v>34.957799999999999</v>
      </c>
      <c r="L991" s="33">
        <f>16.9748 * CHOOSE(CONTROL!$C$32, $C$9, 100%, $E$9)</f>
        <v>16.974799999999998</v>
      </c>
      <c r="M991" s="33">
        <f>16.9801 * CHOOSE(CONTROL!$C$32, $C$9, 100%, $E$9)</f>
        <v>16.9801</v>
      </c>
      <c r="N991" s="33">
        <f>16.9748 * CHOOSE(CONTROL!$C$32, $C$9, 100%, $E$9)</f>
        <v>16.974799999999998</v>
      </c>
      <c r="O991" s="33">
        <f>16.9801 * CHOOSE(CONTROL!$C$32, $C$9, 100%, $E$9)</f>
        <v>16.9801</v>
      </c>
    </row>
    <row r="992" spans="1:15" ht="15" x14ac:dyDescent="0.2">
      <c r="A992" s="16">
        <v>71406</v>
      </c>
      <c r="B992" s="32">
        <f>15.0005 * CHOOSE(CONTROL!$C$32, $C$9, 100%, $E$9)</f>
        <v>15.000500000000001</v>
      </c>
      <c r="C992" s="32">
        <f>15.0005 * CHOOSE(CONTROL!$C$32, $C$9, 100%, $E$9)</f>
        <v>15.000500000000001</v>
      </c>
      <c r="D992" s="32">
        <f>15.002 * CHOOSE(CONTROL!$C$32, $C$9, 100%, $E$9)</f>
        <v>15.002000000000001</v>
      </c>
      <c r="E992" s="33">
        <f>17.2162 * CHOOSE(CONTROL!$C$32, $C$9, 100%, $E$9)</f>
        <v>17.216200000000001</v>
      </c>
      <c r="F992" s="33">
        <f>17.2162 * CHOOSE(CONTROL!$C$32, $C$9, 100%, $E$9)</f>
        <v>17.216200000000001</v>
      </c>
      <c r="G992" s="33">
        <f>17.2215 * CHOOSE(CONTROL!$C$32, $C$9, 100%, $E$9)</f>
        <v>17.221499999999999</v>
      </c>
      <c r="H992" s="33">
        <f>35.0253 * CHOOSE(CONTROL!$C$32, $C$9, 100%, $E$9)</f>
        <v>35.025300000000001</v>
      </c>
      <c r="I992" s="33">
        <f>35.0306 * CHOOSE(CONTROL!$C$32, $C$9, 100%, $E$9)</f>
        <v>35.0306</v>
      </c>
      <c r="J992" s="33">
        <f>35.0253 * CHOOSE(CONTROL!$C$32, $C$9, 100%, $E$9)</f>
        <v>35.025300000000001</v>
      </c>
      <c r="K992" s="33">
        <f>35.0306 * CHOOSE(CONTROL!$C$32, $C$9, 100%, $E$9)</f>
        <v>35.0306</v>
      </c>
      <c r="L992" s="33">
        <f>17.2162 * CHOOSE(CONTROL!$C$32, $C$9, 100%, $E$9)</f>
        <v>17.216200000000001</v>
      </c>
      <c r="M992" s="33">
        <f>17.2215 * CHOOSE(CONTROL!$C$32, $C$9, 100%, $E$9)</f>
        <v>17.221499999999999</v>
      </c>
      <c r="N992" s="33">
        <f>17.2162 * CHOOSE(CONTROL!$C$32, $C$9, 100%, $E$9)</f>
        <v>17.216200000000001</v>
      </c>
      <c r="O992" s="33">
        <f>17.2215 * CHOOSE(CONTROL!$C$32, $C$9, 100%, $E$9)</f>
        <v>17.221499999999999</v>
      </c>
    </row>
    <row r="993" spans="1:15" ht="15" x14ac:dyDescent="0.2">
      <c r="A993" s="16">
        <v>71437</v>
      </c>
      <c r="B993" s="32">
        <f>15.0071 * CHOOSE(CONTROL!$C$32, $C$9, 100%, $E$9)</f>
        <v>15.007099999999999</v>
      </c>
      <c r="C993" s="32">
        <f>15.0071 * CHOOSE(CONTROL!$C$32, $C$9, 100%, $E$9)</f>
        <v>15.007099999999999</v>
      </c>
      <c r="D993" s="32">
        <f>15.0087 * CHOOSE(CONTROL!$C$32, $C$9, 100%, $E$9)</f>
        <v>15.008699999999999</v>
      </c>
      <c r="E993" s="33">
        <f>16.777 * CHOOSE(CONTROL!$C$32, $C$9, 100%, $E$9)</f>
        <v>16.777000000000001</v>
      </c>
      <c r="F993" s="33">
        <f>16.777 * CHOOSE(CONTROL!$C$32, $C$9, 100%, $E$9)</f>
        <v>16.777000000000001</v>
      </c>
      <c r="G993" s="33">
        <f>16.7823 * CHOOSE(CONTROL!$C$32, $C$9, 100%, $E$9)</f>
        <v>16.782299999999999</v>
      </c>
      <c r="H993" s="33">
        <f>35.0983 * CHOOSE(CONTROL!$C$32, $C$9, 100%, $E$9)</f>
        <v>35.098300000000002</v>
      </c>
      <c r="I993" s="33">
        <f>35.1035 * CHOOSE(CONTROL!$C$32, $C$9, 100%, $E$9)</f>
        <v>35.103499999999997</v>
      </c>
      <c r="J993" s="33">
        <f>35.0983 * CHOOSE(CONTROL!$C$32, $C$9, 100%, $E$9)</f>
        <v>35.098300000000002</v>
      </c>
      <c r="K993" s="33">
        <f>35.1035 * CHOOSE(CONTROL!$C$32, $C$9, 100%, $E$9)</f>
        <v>35.103499999999997</v>
      </c>
      <c r="L993" s="33">
        <f>16.777 * CHOOSE(CONTROL!$C$32, $C$9, 100%, $E$9)</f>
        <v>16.777000000000001</v>
      </c>
      <c r="M993" s="33">
        <f>16.7823 * CHOOSE(CONTROL!$C$32, $C$9, 100%, $E$9)</f>
        <v>16.782299999999999</v>
      </c>
      <c r="N993" s="33">
        <f>16.777 * CHOOSE(CONTROL!$C$32, $C$9, 100%, $E$9)</f>
        <v>16.777000000000001</v>
      </c>
      <c r="O993" s="33">
        <f>16.7823 * CHOOSE(CONTROL!$C$32, $C$9, 100%, $E$9)</f>
        <v>16.782299999999999</v>
      </c>
    </row>
    <row r="994" spans="1:15" ht="15" x14ac:dyDescent="0.2">
      <c r="A994" s="16">
        <v>71468</v>
      </c>
      <c r="B994" s="32">
        <f>15.0041 * CHOOSE(CONTROL!$C$32, $C$9, 100%, $E$9)</f>
        <v>15.004099999999999</v>
      </c>
      <c r="C994" s="32">
        <f>15.0041 * CHOOSE(CONTROL!$C$32, $C$9, 100%, $E$9)</f>
        <v>15.004099999999999</v>
      </c>
      <c r="D994" s="32">
        <f>15.0057 * CHOOSE(CONTROL!$C$32, $C$9, 100%, $E$9)</f>
        <v>15.005699999999999</v>
      </c>
      <c r="E994" s="33">
        <f>16.7255 * CHOOSE(CONTROL!$C$32, $C$9, 100%, $E$9)</f>
        <v>16.7255</v>
      </c>
      <c r="F994" s="33">
        <f>16.7255 * CHOOSE(CONTROL!$C$32, $C$9, 100%, $E$9)</f>
        <v>16.7255</v>
      </c>
      <c r="G994" s="33">
        <f>16.7308 * CHOOSE(CONTROL!$C$32, $C$9, 100%, $E$9)</f>
        <v>16.730799999999999</v>
      </c>
      <c r="H994" s="33">
        <f>35.1714 * CHOOSE(CONTROL!$C$32, $C$9, 100%, $E$9)</f>
        <v>35.171399999999998</v>
      </c>
      <c r="I994" s="33">
        <f>35.1767 * CHOOSE(CONTROL!$C$32, $C$9, 100%, $E$9)</f>
        <v>35.176699999999997</v>
      </c>
      <c r="J994" s="33">
        <f>35.1714 * CHOOSE(CONTROL!$C$32, $C$9, 100%, $E$9)</f>
        <v>35.171399999999998</v>
      </c>
      <c r="K994" s="33">
        <f>35.1767 * CHOOSE(CONTROL!$C$32, $C$9, 100%, $E$9)</f>
        <v>35.176699999999997</v>
      </c>
      <c r="L994" s="33">
        <f>16.7255 * CHOOSE(CONTROL!$C$32, $C$9, 100%, $E$9)</f>
        <v>16.7255</v>
      </c>
      <c r="M994" s="33">
        <f>16.7308 * CHOOSE(CONTROL!$C$32, $C$9, 100%, $E$9)</f>
        <v>16.730799999999999</v>
      </c>
      <c r="N994" s="33">
        <f>16.7255 * CHOOSE(CONTROL!$C$32, $C$9, 100%, $E$9)</f>
        <v>16.7255</v>
      </c>
      <c r="O994" s="33">
        <f>16.7308 * CHOOSE(CONTROL!$C$32, $C$9, 100%, $E$9)</f>
        <v>16.730799999999999</v>
      </c>
    </row>
    <row r="995" spans="1:15" ht="15" x14ac:dyDescent="0.2">
      <c r="A995" s="16">
        <v>71498</v>
      </c>
      <c r="B995" s="32">
        <f>15.0403 * CHOOSE(CONTROL!$C$32, $C$9, 100%, $E$9)</f>
        <v>15.0403</v>
      </c>
      <c r="C995" s="32">
        <f>15.0403 * CHOOSE(CONTROL!$C$32, $C$9, 100%, $E$9)</f>
        <v>15.0403</v>
      </c>
      <c r="D995" s="32">
        <f>15.0414 * CHOOSE(CONTROL!$C$32, $C$9, 100%, $E$9)</f>
        <v>15.041399999999999</v>
      </c>
      <c r="E995" s="33">
        <f>16.9094 * CHOOSE(CONTROL!$C$32, $C$9, 100%, $E$9)</f>
        <v>16.909400000000002</v>
      </c>
      <c r="F995" s="33">
        <f>16.9094 * CHOOSE(CONTROL!$C$32, $C$9, 100%, $E$9)</f>
        <v>16.909400000000002</v>
      </c>
      <c r="G995" s="33">
        <f>16.913 * CHOOSE(CONTROL!$C$32, $C$9, 100%, $E$9)</f>
        <v>16.913</v>
      </c>
      <c r="H995" s="33">
        <f>35.2447 * CHOOSE(CONTROL!$C$32, $C$9, 100%, $E$9)</f>
        <v>35.244700000000002</v>
      </c>
      <c r="I995" s="33">
        <f>35.2483 * CHOOSE(CONTROL!$C$32, $C$9, 100%, $E$9)</f>
        <v>35.2483</v>
      </c>
      <c r="J995" s="33">
        <f>35.2447 * CHOOSE(CONTROL!$C$32, $C$9, 100%, $E$9)</f>
        <v>35.244700000000002</v>
      </c>
      <c r="K995" s="33">
        <f>35.2483 * CHOOSE(CONTROL!$C$32, $C$9, 100%, $E$9)</f>
        <v>35.2483</v>
      </c>
      <c r="L995" s="33">
        <f>16.9094 * CHOOSE(CONTROL!$C$32, $C$9, 100%, $E$9)</f>
        <v>16.909400000000002</v>
      </c>
      <c r="M995" s="33">
        <f>16.913 * CHOOSE(CONTROL!$C$32, $C$9, 100%, $E$9)</f>
        <v>16.913</v>
      </c>
      <c r="N995" s="33">
        <f>16.9094 * CHOOSE(CONTROL!$C$32, $C$9, 100%, $E$9)</f>
        <v>16.909400000000002</v>
      </c>
      <c r="O995" s="33">
        <f>16.913 * CHOOSE(CONTROL!$C$32, $C$9, 100%, $E$9)</f>
        <v>16.913</v>
      </c>
    </row>
    <row r="996" spans="1:15" ht="15" x14ac:dyDescent="0.2">
      <c r="A996" s="16">
        <v>71529</v>
      </c>
      <c r="B996" s="32">
        <f>15.0434 * CHOOSE(CONTROL!$C$32, $C$9, 100%, $E$9)</f>
        <v>15.0434</v>
      </c>
      <c r="C996" s="32">
        <f>15.0434 * CHOOSE(CONTROL!$C$32, $C$9, 100%, $E$9)</f>
        <v>15.0434</v>
      </c>
      <c r="D996" s="32">
        <f>15.0444 * CHOOSE(CONTROL!$C$32, $C$9, 100%, $E$9)</f>
        <v>15.0444</v>
      </c>
      <c r="E996" s="33">
        <f>17.0102 * CHOOSE(CONTROL!$C$32, $C$9, 100%, $E$9)</f>
        <v>17.010200000000001</v>
      </c>
      <c r="F996" s="33">
        <f>17.0102 * CHOOSE(CONTROL!$C$32, $C$9, 100%, $E$9)</f>
        <v>17.010200000000001</v>
      </c>
      <c r="G996" s="33">
        <f>17.0138 * CHOOSE(CONTROL!$C$32, $C$9, 100%, $E$9)</f>
        <v>17.0138</v>
      </c>
      <c r="H996" s="33">
        <f>35.3181 * CHOOSE(CONTROL!$C$32, $C$9, 100%, $E$9)</f>
        <v>35.318100000000001</v>
      </c>
      <c r="I996" s="33">
        <f>35.3217 * CHOOSE(CONTROL!$C$32, $C$9, 100%, $E$9)</f>
        <v>35.3217</v>
      </c>
      <c r="J996" s="33">
        <f>35.3181 * CHOOSE(CONTROL!$C$32, $C$9, 100%, $E$9)</f>
        <v>35.318100000000001</v>
      </c>
      <c r="K996" s="33">
        <f>35.3217 * CHOOSE(CONTROL!$C$32, $C$9, 100%, $E$9)</f>
        <v>35.3217</v>
      </c>
      <c r="L996" s="33">
        <f>17.0102 * CHOOSE(CONTROL!$C$32, $C$9, 100%, $E$9)</f>
        <v>17.010200000000001</v>
      </c>
      <c r="M996" s="33">
        <f>17.0138 * CHOOSE(CONTROL!$C$32, $C$9, 100%, $E$9)</f>
        <v>17.0138</v>
      </c>
      <c r="N996" s="33">
        <f>17.0102 * CHOOSE(CONTROL!$C$32, $C$9, 100%, $E$9)</f>
        <v>17.010200000000001</v>
      </c>
      <c r="O996" s="33">
        <f>17.0138 * CHOOSE(CONTROL!$C$32, $C$9, 100%, $E$9)</f>
        <v>17.0138</v>
      </c>
    </row>
    <row r="997" spans="1:15" ht="15" x14ac:dyDescent="0.2">
      <c r="A997" s="16">
        <v>71559</v>
      </c>
      <c r="B997" s="32">
        <f>15.0434 * CHOOSE(CONTROL!$C$32, $C$9, 100%, $E$9)</f>
        <v>15.0434</v>
      </c>
      <c r="C997" s="32">
        <f>15.0434 * CHOOSE(CONTROL!$C$32, $C$9, 100%, $E$9)</f>
        <v>15.0434</v>
      </c>
      <c r="D997" s="32">
        <f>15.0444 * CHOOSE(CONTROL!$C$32, $C$9, 100%, $E$9)</f>
        <v>15.0444</v>
      </c>
      <c r="E997" s="33">
        <f>16.7636 * CHOOSE(CONTROL!$C$32, $C$9, 100%, $E$9)</f>
        <v>16.7636</v>
      </c>
      <c r="F997" s="33">
        <f>16.7636 * CHOOSE(CONTROL!$C$32, $C$9, 100%, $E$9)</f>
        <v>16.7636</v>
      </c>
      <c r="G997" s="33">
        <f>16.7672 * CHOOSE(CONTROL!$C$32, $C$9, 100%, $E$9)</f>
        <v>16.767199999999999</v>
      </c>
      <c r="H997" s="33">
        <f>35.3917 * CHOOSE(CONTROL!$C$32, $C$9, 100%, $E$9)</f>
        <v>35.3917</v>
      </c>
      <c r="I997" s="33">
        <f>35.3953 * CHOOSE(CONTROL!$C$32, $C$9, 100%, $E$9)</f>
        <v>35.395299999999999</v>
      </c>
      <c r="J997" s="33">
        <f>35.3917 * CHOOSE(CONTROL!$C$32, $C$9, 100%, $E$9)</f>
        <v>35.3917</v>
      </c>
      <c r="K997" s="33">
        <f>35.3953 * CHOOSE(CONTROL!$C$32, $C$9, 100%, $E$9)</f>
        <v>35.395299999999999</v>
      </c>
      <c r="L997" s="33">
        <f>16.7636 * CHOOSE(CONTROL!$C$32, $C$9, 100%, $E$9)</f>
        <v>16.7636</v>
      </c>
      <c r="M997" s="33">
        <f>16.7672 * CHOOSE(CONTROL!$C$32, $C$9, 100%, $E$9)</f>
        <v>16.767199999999999</v>
      </c>
      <c r="N997" s="33">
        <f>16.7636 * CHOOSE(CONTROL!$C$32, $C$9, 100%, $E$9)</f>
        <v>16.7636</v>
      </c>
      <c r="O997" s="33">
        <f>16.7672 * CHOOSE(CONTROL!$C$32, $C$9, 100%, $E$9)</f>
        <v>16.767199999999999</v>
      </c>
    </row>
    <row r="998" spans="1:15" ht="15" x14ac:dyDescent="0.2">
      <c r="A998" s="16">
        <v>71590</v>
      </c>
      <c r="B998" s="32">
        <f>15.0024 * CHOOSE(CONTROL!$C$32, $C$9, 100%, $E$9)</f>
        <v>15.0024</v>
      </c>
      <c r="C998" s="32">
        <f>15.0024 * CHOOSE(CONTROL!$C$32, $C$9, 100%, $E$9)</f>
        <v>15.0024</v>
      </c>
      <c r="D998" s="32">
        <f>15.0035 * CHOOSE(CONTROL!$C$32, $C$9, 100%, $E$9)</f>
        <v>15.003500000000001</v>
      </c>
      <c r="E998" s="33">
        <f>16.8956 * CHOOSE(CONTROL!$C$32, $C$9, 100%, $E$9)</f>
        <v>16.895600000000002</v>
      </c>
      <c r="F998" s="33">
        <f>16.8956 * CHOOSE(CONTROL!$C$32, $C$9, 100%, $E$9)</f>
        <v>16.895600000000002</v>
      </c>
      <c r="G998" s="33">
        <f>16.8992 * CHOOSE(CONTROL!$C$32, $C$9, 100%, $E$9)</f>
        <v>16.8992</v>
      </c>
      <c r="H998" s="33">
        <f>35.0547 * CHOOSE(CONTROL!$C$32, $C$9, 100%, $E$9)</f>
        <v>35.054699999999997</v>
      </c>
      <c r="I998" s="33">
        <f>35.0583 * CHOOSE(CONTROL!$C$32, $C$9, 100%, $E$9)</f>
        <v>35.058300000000003</v>
      </c>
      <c r="J998" s="33">
        <f>35.0547 * CHOOSE(CONTROL!$C$32, $C$9, 100%, $E$9)</f>
        <v>35.054699999999997</v>
      </c>
      <c r="K998" s="33">
        <f>35.0583 * CHOOSE(CONTROL!$C$32, $C$9, 100%, $E$9)</f>
        <v>35.058300000000003</v>
      </c>
      <c r="L998" s="33">
        <f>16.8956 * CHOOSE(CONTROL!$C$32, $C$9, 100%, $E$9)</f>
        <v>16.895600000000002</v>
      </c>
      <c r="M998" s="33">
        <f>16.8992 * CHOOSE(CONTROL!$C$32, $C$9, 100%, $E$9)</f>
        <v>16.8992</v>
      </c>
      <c r="N998" s="33">
        <f>16.8956 * CHOOSE(CONTROL!$C$32, $C$9, 100%, $E$9)</f>
        <v>16.895600000000002</v>
      </c>
      <c r="O998" s="33">
        <f>16.8992 * CHOOSE(CONTROL!$C$32, $C$9, 100%, $E$9)</f>
        <v>16.8992</v>
      </c>
    </row>
    <row r="999" spans="1:15" ht="15" x14ac:dyDescent="0.2">
      <c r="A999" s="16">
        <v>71621</v>
      </c>
      <c r="B999" s="32">
        <f>14.9993 * CHOOSE(CONTROL!$C$32, $C$9, 100%, $E$9)</f>
        <v>14.9993</v>
      </c>
      <c r="C999" s="32">
        <f>14.9993 * CHOOSE(CONTROL!$C$32, $C$9, 100%, $E$9)</f>
        <v>14.9993</v>
      </c>
      <c r="D999" s="32">
        <f>15.0004 * CHOOSE(CONTROL!$C$32, $C$9, 100%, $E$9)</f>
        <v>15.000400000000001</v>
      </c>
      <c r="E999" s="33">
        <f>16.4204 * CHOOSE(CONTROL!$C$32, $C$9, 100%, $E$9)</f>
        <v>16.420400000000001</v>
      </c>
      <c r="F999" s="33">
        <f>16.4204 * CHOOSE(CONTROL!$C$32, $C$9, 100%, $E$9)</f>
        <v>16.420400000000001</v>
      </c>
      <c r="G999" s="33">
        <f>16.424 * CHOOSE(CONTROL!$C$32, $C$9, 100%, $E$9)</f>
        <v>16.423999999999999</v>
      </c>
      <c r="H999" s="33">
        <f>35.1277 * CHOOSE(CONTROL!$C$32, $C$9, 100%, $E$9)</f>
        <v>35.127699999999997</v>
      </c>
      <c r="I999" s="33">
        <f>35.1313 * CHOOSE(CONTROL!$C$32, $C$9, 100%, $E$9)</f>
        <v>35.131300000000003</v>
      </c>
      <c r="J999" s="33">
        <f>35.1277 * CHOOSE(CONTROL!$C$32, $C$9, 100%, $E$9)</f>
        <v>35.127699999999997</v>
      </c>
      <c r="K999" s="33">
        <f>35.1313 * CHOOSE(CONTROL!$C$32, $C$9, 100%, $E$9)</f>
        <v>35.131300000000003</v>
      </c>
      <c r="L999" s="33">
        <f>16.4204 * CHOOSE(CONTROL!$C$32, $C$9, 100%, $E$9)</f>
        <v>16.420400000000001</v>
      </c>
      <c r="M999" s="33">
        <f>16.424 * CHOOSE(CONTROL!$C$32, $C$9, 100%, $E$9)</f>
        <v>16.423999999999999</v>
      </c>
      <c r="N999" s="33">
        <f>16.4204 * CHOOSE(CONTROL!$C$32, $C$9, 100%, $E$9)</f>
        <v>16.420400000000001</v>
      </c>
      <c r="O999" s="33">
        <f>16.424 * CHOOSE(CONTROL!$C$32, $C$9, 100%, $E$9)</f>
        <v>16.423999999999999</v>
      </c>
    </row>
    <row r="1000" spans="1:15" ht="15" x14ac:dyDescent="0.2">
      <c r="A1000" s="16">
        <v>71650</v>
      </c>
      <c r="B1000" s="32">
        <f>14.9963 * CHOOSE(CONTROL!$C$32, $C$9, 100%, $E$9)</f>
        <v>14.9963</v>
      </c>
      <c r="C1000" s="32">
        <f>14.9963 * CHOOSE(CONTROL!$C$32, $C$9, 100%, $E$9)</f>
        <v>14.9963</v>
      </c>
      <c r="D1000" s="32">
        <f>14.9974 * CHOOSE(CONTROL!$C$32, $C$9, 100%, $E$9)</f>
        <v>14.997400000000001</v>
      </c>
      <c r="E1000" s="33">
        <f>16.7912 * CHOOSE(CONTROL!$C$32, $C$9, 100%, $E$9)</f>
        <v>16.7912</v>
      </c>
      <c r="F1000" s="33">
        <f>16.7912 * CHOOSE(CONTROL!$C$32, $C$9, 100%, $E$9)</f>
        <v>16.7912</v>
      </c>
      <c r="G1000" s="33">
        <f>16.7949 * CHOOSE(CONTROL!$C$32, $C$9, 100%, $E$9)</f>
        <v>16.794899999999998</v>
      </c>
      <c r="H1000" s="33">
        <f>35.2009 * CHOOSE(CONTROL!$C$32, $C$9, 100%, $E$9)</f>
        <v>35.200899999999997</v>
      </c>
      <c r="I1000" s="33">
        <f>35.2045 * CHOOSE(CONTROL!$C$32, $C$9, 100%, $E$9)</f>
        <v>35.204500000000003</v>
      </c>
      <c r="J1000" s="33">
        <f>35.2009 * CHOOSE(CONTROL!$C$32, $C$9, 100%, $E$9)</f>
        <v>35.200899999999997</v>
      </c>
      <c r="K1000" s="33">
        <f>35.2045 * CHOOSE(CONTROL!$C$32, $C$9, 100%, $E$9)</f>
        <v>35.204500000000003</v>
      </c>
      <c r="L1000" s="33">
        <f>16.7912 * CHOOSE(CONTROL!$C$32, $C$9, 100%, $E$9)</f>
        <v>16.7912</v>
      </c>
      <c r="M1000" s="33">
        <f>16.7949 * CHOOSE(CONTROL!$C$32, $C$9, 100%, $E$9)</f>
        <v>16.794899999999998</v>
      </c>
      <c r="N1000" s="33">
        <f>16.7912 * CHOOSE(CONTROL!$C$32, $C$9, 100%, $E$9)</f>
        <v>16.7912</v>
      </c>
      <c r="O1000" s="33">
        <f>16.7949 * CHOOSE(CONTROL!$C$32, $C$9, 100%, $E$9)</f>
        <v>16.794899999999998</v>
      </c>
    </row>
    <row r="1001" spans="1:15" ht="15" x14ac:dyDescent="0.2">
      <c r="A1001" s="16">
        <v>71681</v>
      </c>
      <c r="B1001" s="32">
        <f>15.0046 * CHOOSE(CONTROL!$C$32, $C$9, 100%, $E$9)</f>
        <v>15.0046</v>
      </c>
      <c r="C1001" s="32">
        <f>15.0046 * CHOOSE(CONTROL!$C$32, $C$9, 100%, $E$9)</f>
        <v>15.0046</v>
      </c>
      <c r="D1001" s="32">
        <f>15.0057 * CHOOSE(CONTROL!$C$32, $C$9, 100%, $E$9)</f>
        <v>15.005699999999999</v>
      </c>
      <c r="E1001" s="33">
        <f>17.1876 * CHOOSE(CONTROL!$C$32, $C$9, 100%, $E$9)</f>
        <v>17.1876</v>
      </c>
      <c r="F1001" s="33">
        <f>17.1876 * CHOOSE(CONTROL!$C$32, $C$9, 100%, $E$9)</f>
        <v>17.1876</v>
      </c>
      <c r="G1001" s="33">
        <f>17.1912 * CHOOSE(CONTROL!$C$32, $C$9, 100%, $E$9)</f>
        <v>17.191199999999998</v>
      </c>
      <c r="H1001" s="33">
        <f>35.2742 * CHOOSE(CONTROL!$C$32, $C$9, 100%, $E$9)</f>
        <v>35.2742</v>
      </c>
      <c r="I1001" s="33">
        <f>35.2778 * CHOOSE(CONTROL!$C$32, $C$9, 100%, $E$9)</f>
        <v>35.277799999999999</v>
      </c>
      <c r="J1001" s="33">
        <f>35.2742 * CHOOSE(CONTROL!$C$32, $C$9, 100%, $E$9)</f>
        <v>35.2742</v>
      </c>
      <c r="K1001" s="33">
        <f>35.2778 * CHOOSE(CONTROL!$C$32, $C$9, 100%, $E$9)</f>
        <v>35.277799999999999</v>
      </c>
      <c r="L1001" s="33">
        <f>17.1876 * CHOOSE(CONTROL!$C$32, $C$9, 100%, $E$9)</f>
        <v>17.1876</v>
      </c>
      <c r="M1001" s="33">
        <f>17.1912 * CHOOSE(CONTROL!$C$32, $C$9, 100%, $E$9)</f>
        <v>17.191199999999998</v>
      </c>
      <c r="N1001" s="33">
        <f>17.1876 * CHOOSE(CONTROL!$C$32, $C$9, 100%, $E$9)</f>
        <v>17.1876</v>
      </c>
      <c r="O1001" s="33">
        <f>17.1912 * CHOOSE(CONTROL!$C$32, $C$9, 100%, $E$9)</f>
        <v>17.191199999999998</v>
      </c>
    </row>
    <row r="1002" spans="1:15" ht="15" x14ac:dyDescent="0.2">
      <c r="A1002" s="16">
        <v>71711</v>
      </c>
      <c r="B1002" s="32">
        <f>15.0046 * CHOOSE(CONTROL!$C$32, $C$9, 100%, $E$9)</f>
        <v>15.0046</v>
      </c>
      <c r="C1002" s="32">
        <f>15.0046 * CHOOSE(CONTROL!$C$32, $C$9, 100%, $E$9)</f>
        <v>15.0046</v>
      </c>
      <c r="D1002" s="32">
        <f>15.0062 * CHOOSE(CONTROL!$C$32, $C$9, 100%, $E$9)</f>
        <v>15.0062</v>
      </c>
      <c r="E1002" s="33">
        <f>17.3378 * CHOOSE(CONTROL!$C$32, $C$9, 100%, $E$9)</f>
        <v>17.337800000000001</v>
      </c>
      <c r="F1002" s="33">
        <f>17.3378 * CHOOSE(CONTROL!$C$32, $C$9, 100%, $E$9)</f>
        <v>17.337800000000001</v>
      </c>
      <c r="G1002" s="33">
        <f>17.3431 * CHOOSE(CONTROL!$C$32, $C$9, 100%, $E$9)</f>
        <v>17.3431</v>
      </c>
      <c r="H1002" s="33">
        <f>35.3477 * CHOOSE(CONTROL!$C$32, $C$9, 100%, $E$9)</f>
        <v>35.347700000000003</v>
      </c>
      <c r="I1002" s="33">
        <f>35.353 * CHOOSE(CONTROL!$C$32, $C$9, 100%, $E$9)</f>
        <v>35.353000000000002</v>
      </c>
      <c r="J1002" s="33">
        <f>35.3477 * CHOOSE(CONTROL!$C$32, $C$9, 100%, $E$9)</f>
        <v>35.347700000000003</v>
      </c>
      <c r="K1002" s="33">
        <f>35.353 * CHOOSE(CONTROL!$C$32, $C$9, 100%, $E$9)</f>
        <v>35.353000000000002</v>
      </c>
      <c r="L1002" s="33">
        <f>17.3378 * CHOOSE(CONTROL!$C$32, $C$9, 100%, $E$9)</f>
        <v>17.337800000000001</v>
      </c>
      <c r="M1002" s="33">
        <f>17.3431 * CHOOSE(CONTROL!$C$32, $C$9, 100%, $E$9)</f>
        <v>17.3431</v>
      </c>
      <c r="N1002" s="33">
        <f>17.3378 * CHOOSE(CONTROL!$C$32, $C$9, 100%, $E$9)</f>
        <v>17.337800000000001</v>
      </c>
      <c r="O1002" s="33">
        <f>17.3431 * CHOOSE(CONTROL!$C$32, $C$9, 100%, $E$9)</f>
        <v>17.3431</v>
      </c>
    </row>
    <row r="1003" spans="1:15" ht="15" x14ac:dyDescent="0.2">
      <c r="A1003" s="16">
        <v>71742</v>
      </c>
      <c r="B1003" s="32">
        <f>15.0107 * CHOOSE(CONTROL!$C$32, $C$9, 100%, $E$9)</f>
        <v>15.0107</v>
      </c>
      <c r="C1003" s="32">
        <f>15.0107 * CHOOSE(CONTROL!$C$32, $C$9, 100%, $E$9)</f>
        <v>15.0107</v>
      </c>
      <c r="D1003" s="32">
        <f>15.0123 * CHOOSE(CONTROL!$C$32, $C$9, 100%, $E$9)</f>
        <v>15.0123</v>
      </c>
      <c r="E1003" s="33">
        <f>17.1918 * CHOOSE(CONTROL!$C$32, $C$9, 100%, $E$9)</f>
        <v>17.191800000000001</v>
      </c>
      <c r="F1003" s="33">
        <f>17.1918 * CHOOSE(CONTROL!$C$32, $C$9, 100%, $E$9)</f>
        <v>17.191800000000001</v>
      </c>
      <c r="G1003" s="33">
        <f>17.1971 * CHOOSE(CONTROL!$C$32, $C$9, 100%, $E$9)</f>
        <v>17.197099999999999</v>
      </c>
      <c r="H1003" s="33">
        <f>35.4214 * CHOOSE(CONTROL!$C$32, $C$9, 100%, $E$9)</f>
        <v>35.421399999999998</v>
      </c>
      <c r="I1003" s="33">
        <f>35.4266 * CHOOSE(CONTROL!$C$32, $C$9, 100%, $E$9)</f>
        <v>35.426600000000001</v>
      </c>
      <c r="J1003" s="33">
        <f>35.4214 * CHOOSE(CONTROL!$C$32, $C$9, 100%, $E$9)</f>
        <v>35.421399999999998</v>
      </c>
      <c r="K1003" s="33">
        <f>35.4266 * CHOOSE(CONTROL!$C$32, $C$9, 100%, $E$9)</f>
        <v>35.426600000000001</v>
      </c>
      <c r="L1003" s="33">
        <f>17.1918 * CHOOSE(CONTROL!$C$32, $C$9, 100%, $E$9)</f>
        <v>17.191800000000001</v>
      </c>
      <c r="M1003" s="33">
        <f>17.1971 * CHOOSE(CONTROL!$C$32, $C$9, 100%, $E$9)</f>
        <v>17.197099999999999</v>
      </c>
      <c r="N1003" s="33">
        <f>17.1918 * CHOOSE(CONTROL!$C$32, $C$9, 100%, $E$9)</f>
        <v>17.191800000000001</v>
      </c>
      <c r="O1003" s="33">
        <f>17.1971 * CHOOSE(CONTROL!$C$32, $C$9, 100%, $E$9)</f>
        <v>17.197099999999999</v>
      </c>
    </row>
    <row r="1004" spans="1:15" ht="15" x14ac:dyDescent="0.2">
      <c r="A1004" s="16">
        <v>71772</v>
      </c>
      <c r="B1004" s="32">
        <f>15.1901 * CHOOSE(CONTROL!$C$32, $C$9, 100%, $E$9)</f>
        <v>15.190099999999999</v>
      </c>
      <c r="C1004" s="32">
        <f>15.1901 * CHOOSE(CONTROL!$C$32, $C$9, 100%, $E$9)</f>
        <v>15.190099999999999</v>
      </c>
      <c r="D1004" s="32">
        <f>15.1916 * CHOOSE(CONTROL!$C$32, $C$9, 100%, $E$9)</f>
        <v>15.191599999999999</v>
      </c>
      <c r="E1004" s="33">
        <f>17.4364 * CHOOSE(CONTROL!$C$32, $C$9, 100%, $E$9)</f>
        <v>17.436399999999999</v>
      </c>
      <c r="F1004" s="33">
        <f>17.4364 * CHOOSE(CONTROL!$C$32, $C$9, 100%, $E$9)</f>
        <v>17.436399999999999</v>
      </c>
      <c r="G1004" s="33">
        <f>17.4417 * CHOOSE(CONTROL!$C$32, $C$9, 100%, $E$9)</f>
        <v>17.441700000000001</v>
      </c>
      <c r="H1004" s="33">
        <f>35.4951 * CHOOSE(CONTROL!$C$32, $C$9, 100%, $E$9)</f>
        <v>35.495100000000001</v>
      </c>
      <c r="I1004" s="33">
        <f>35.5004 * CHOOSE(CONTROL!$C$32, $C$9, 100%, $E$9)</f>
        <v>35.500399999999999</v>
      </c>
      <c r="J1004" s="33">
        <f>35.4951 * CHOOSE(CONTROL!$C$32, $C$9, 100%, $E$9)</f>
        <v>35.495100000000001</v>
      </c>
      <c r="K1004" s="33">
        <f>35.5004 * CHOOSE(CONTROL!$C$32, $C$9, 100%, $E$9)</f>
        <v>35.500399999999999</v>
      </c>
      <c r="L1004" s="33">
        <f>17.4364 * CHOOSE(CONTROL!$C$32, $C$9, 100%, $E$9)</f>
        <v>17.436399999999999</v>
      </c>
      <c r="M1004" s="33">
        <f>17.4417 * CHOOSE(CONTROL!$C$32, $C$9, 100%, $E$9)</f>
        <v>17.441700000000001</v>
      </c>
      <c r="N1004" s="33">
        <f>17.4364 * CHOOSE(CONTROL!$C$32, $C$9, 100%, $E$9)</f>
        <v>17.436399999999999</v>
      </c>
      <c r="O1004" s="33">
        <f>17.4417 * CHOOSE(CONTROL!$C$32, $C$9, 100%, $E$9)</f>
        <v>17.441700000000001</v>
      </c>
    </row>
    <row r="1005" spans="1:15" ht="15" x14ac:dyDescent="0.2">
      <c r="A1005" s="16">
        <v>71803</v>
      </c>
      <c r="B1005" s="32">
        <f>15.1967 * CHOOSE(CONTROL!$C$32, $C$9, 100%, $E$9)</f>
        <v>15.1967</v>
      </c>
      <c r="C1005" s="32">
        <f>15.1967 * CHOOSE(CONTROL!$C$32, $C$9, 100%, $E$9)</f>
        <v>15.1967</v>
      </c>
      <c r="D1005" s="32">
        <f>15.1983 * CHOOSE(CONTROL!$C$32, $C$9, 100%, $E$9)</f>
        <v>15.1983</v>
      </c>
      <c r="E1005" s="33">
        <f>16.9904 * CHOOSE(CONTROL!$C$32, $C$9, 100%, $E$9)</f>
        <v>16.990400000000001</v>
      </c>
      <c r="F1005" s="33">
        <f>16.9904 * CHOOSE(CONTROL!$C$32, $C$9, 100%, $E$9)</f>
        <v>16.990400000000001</v>
      </c>
      <c r="G1005" s="33">
        <f>16.9957 * CHOOSE(CONTROL!$C$32, $C$9, 100%, $E$9)</f>
        <v>16.995699999999999</v>
      </c>
      <c r="H1005" s="33">
        <f>35.5691 * CHOOSE(CONTROL!$C$32, $C$9, 100%, $E$9)</f>
        <v>35.569099999999999</v>
      </c>
      <c r="I1005" s="33">
        <f>35.5744 * CHOOSE(CONTROL!$C$32, $C$9, 100%, $E$9)</f>
        <v>35.574399999999997</v>
      </c>
      <c r="J1005" s="33">
        <f>35.5691 * CHOOSE(CONTROL!$C$32, $C$9, 100%, $E$9)</f>
        <v>35.569099999999999</v>
      </c>
      <c r="K1005" s="33">
        <f>35.5744 * CHOOSE(CONTROL!$C$32, $C$9, 100%, $E$9)</f>
        <v>35.574399999999997</v>
      </c>
      <c r="L1005" s="33">
        <f>16.9904 * CHOOSE(CONTROL!$C$32, $C$9, 100%, $E$9)</f>
        <v>16.990400000000001</v>
      </c>
      <c r="M1005" s="33">
        <f>16.9957 * CHOOSE(CONTROL!$C$32, $C$9, 100%, $E$9)</f>
        <v>16.995699999999999</v>
      </c>
      <c r="N1005" s="33">
        <f>16.9904 * CHOOSE(CONTROL!$C$32, $C$9, 100%, $E$9)</f>
        <v>16.990400000000001</v>
      </c>
      <c r="O1005" s="33">
        <f>16.9957 * CHOOSE(CONTROL!$C$32, $C$9, 100%, $E$9)</f>
        <v>16.995699999999999</v>
      </c>
    </row>
    <row r="1006" spans="1:15" ht="15" x14ac:dyDescent="0.2">
      <c r="A1006" s="16">
        <v>71834</v>
      </c>
      <c r="B1006" s="32">
        <f>15.1937 * CHOOSE(CONTROL!$C$32, $C$9, 100%, $E$9)</f>
        <v>15.1937</v>
      </c>
      <c r="C1006" s="32">
        <f>15.1937 * CHOOSE(CONTROL!$C$32, $C$9, 100%, $E$9)</f>
        <v>15.1937</v>
      </c>
      <c r="D1006" s="32">
        <f>15.1953 * CHOOSE(CONTROL!$C$32, $C$9, 100%, $E$9)</f>
        <v>15.1953</v>
      </c>
      <c r="E1006" s="33">
        <f>16.9382 * CHOOSE(CONTROL!$C$32, $C$9, 100%, $E$9)</f>
        <v>16.938199999999998</v>
      </c>
      <c r="F1006" s="33">
        <f>16.9382 * CHOOSE(CONTROL!$C$32, $C$9, 100%, $E$9)</f>
        <v>16.938199999999998</v>
      </c>
      <c r="G1006" s="33">
        <f>16.9435 * CHOOSE(CONTROL!$C$32, $C$9, 100%, $E$9)</f>
        <v>16.9435</v>
      </c>
      <c r="H1006" s="33">
        <f>35.6432 * CHOOSE(CONTROL!$C$32, $C$9, 100%, $E$9)</f>
        <v>35.6432</v>
      </c>
      <c r="I1006" s="33">
        <f>35.6485 * CHOOSE(CONTROL!$C$32, $C$9, 100%, $E$9)</f>
        <v>35.648499999999999</v>
      </c>
      <c r="J1006" s="33">
        <f>35.6432 * CHOOSE(CONTROL!$C$32, $C$9, 100%, $E$9)</f>
        <v>35.6432</v>
      </c>
      <c r="K1006" s="33">
        <f>35.6485 * CHOOSE(CONTROL!$C$32, $C$9, 100%, $E$9)</f>
        <v>35.648499999999999</v>
      </c>
      <c r="L1006" s="33">
        <f>16.9382 * CHOOSE(CONTROL!$C$32, $C$9, 100%, $E$9)</f>
        <v>16.938199999999998</v>
      </c>
      <c r="M1006" s="33">
        <f>16.9435 * CHOOSE(CONTROL!$C$32, $C$9, 100%, $E$9)</f>
        <v>16.9435</v>
      </c>
      <c r="N1006" s="33">
        <f>16.9382 * CHOOSE(CONTROL!$C$32, $C$9, 100%, $E$9)</f>
        <v>16.938199999999998</v>
      </c>
      <c r="O1006" s="33">
        <f>16.9435 * CHOOSE(CONTROL!$C$32, $C$9, 100%, $E$9)</f>
        <v>16.9435</v>
      </c>
    </row>
    <row r="1007" spans="1:15" ht="15" x14ac:dyDescent="0.2">
      <c r="A1007" s="16">
        <v>71864</v>
      </c>
      <c r="B1007" s="32">
        <f>15.2306 * CHOOSE(CONTROL!$C$32, $C$9, 100%, $E$9)</f>
        <v>15.230600000000001</v>
      </c>
      <c r="C1007" s="32">
        <f>15.2306 * CHOOSE(CONTROL!$C$32, $C$9, 100%, $E$9)</f>
        <v>15.230600000000001</v>
      </c>
      <c r="D1007" s="32">
        <f>15.2317 * CHOOSE(CONTROL!$C$32, $C$9, 100%, $E$9)</f>
        <v>15.2317</v>
      </c>
      <c r="E1007" s="33">
        <f>17.1251 * CHOOSE(CONTROL!$C$32, $C$9, 100%, $E$9)</f>
        <v>17.1251</v>
      </c>
      <c r="F1007" s="33">
        <f>17.1251 * CHOOSE(CONTROL!$C$32, $C$9, 100%, $E$9)</f>
        <v>17.1251</v>
      </c>
      <c r="G1007" s="33">
        <f>17.1287 * CHOOSE(CONTROL!$C$32, $C$9, 100%, $E$9)</f>
        <v>17.128699999999998</v>
      </c>
      <c r="H1007" s="33">
        <f>35.7175 * CHOOSE(CONTROL!$C$32, $C$9, 100%, $E$9)</f>
        <v>35.717500000000001</v>
      </c>
      <c r="I1007" s="33">
        <f>35.7211 * CHOOSE(CONTROL!$C$32, $C$9, 100%, $E$9)</f>
        <v>35.7211</v>
      </c>
      <c r="J1007" s="33">
        <f>35.7175 * CHOOSE(CONTROL!$C$32, $C$9, 100%, $E$9)</f>
        <v>35.717500000000001</v>
      </c>
      <c r="K1007" s="33">
        <f>35.7211 * CHOOSE(CONTROL!$C$32, $C$9, 100%, $E$9)</f>
        <v>35.7211</v>
      </c>
      <c r="L1007" s="33">
        <f>17.1251 * CHOOSE(CONTROL!$C$32, $C$9, 100%, $E$9)</f>
        <v>17.1251</v>
      </c>
      <c r="M1007" s="33">
        <f>17.1287 * CHOOSE(CONTROL!$C$32, $C$9, 100%, $E$9)</f>
        <v>17.128699999999998</v>
      </c>
      <c r="N1007" s="33">
        <f>17.1251 * CHOOSE(CONTROL!$C$32, $C$9, 100%, $E$9)</f>
        <v>17.1251</v>
      </c>
      <c r="O1007" s="33">
        <f>17.1287 * CHOOSE(CONTROL!$C$32, $C$9, 100%, $E$9)</f>
        <v>17.128699999999998</v>
      </c>
    </row>
    <row r="1008" spans="1:15" ht="15" x14ac:dyDescent="0.2">
      <c r="A1008" s="16">
        <v>71895</v>
      </c>
      <c r="B1008" s="32">
        <f>15.2337 * CHOOSE(CONTROL!$C$32, $C$9, 100%, $E$9)</f>
        <v>15.233700000000001</v>
      </c>
      <c r="C1008" s="32">
        <f>15.2337 * CHOOSE(CONTROL!$C$32, $C$9, 100%, $E$9)</f>
        <v>15.233700000000001</v>
      </c>
      <c r="D1008" s="32">
        <f>15.2347 * CHOOSE(CONTROL!$C$32, $C$9, 100%, $E$9)</f>
        <v>15.2347</v>
      </c>
      <c r="E1008" s="33">
        <f>17.2274 * CHOOSE(CONTROL!$C$32, $C$9, 100%, $E$9)</f>
        <v>17.227399999999999</v>
      </c>
      <c r="F1008" s="33">
        <f>17.2274 * CHOOSE(CONTROL!$C$32, $C$9, 100%, $E$9)</f>
        <v>17.227399999999999</v>
      </c>
      <c r="G1008" s="33">
        <f>17.231 * CHOOSE(CONTROL!$C$32, $C$9, 100%, $E$9)</f>
        <v>17.231000000000002</v>
      </c>
      <c r="H1008" s="33">
        <f>35.7919 * CHOOSE(CONTROL!$C$32, $C$9, 100%, $E$9)</f>
        <v>35.791899999999998</v>
      </c>
      <c r="I1008" s="33">
        <f>35.7955 * CHOOSE(CONTROL!$C$32, $C$9, 100%, $E$9)</f>
        <v>35.795499999999997</v>
      </c>
      <c r="J1008" s="33">
        <f>35.7919 * CHOOSE(CONTROL!$C$32, $C$9, 100%, $E$9)</f>
        <v>35.791899999999998</v>
      </c>
      <c r="K1008" s="33">
        <f>35.7955 * CHOOSE(CONTROL!$C$32, $C$9, 100%, $E$9)</f>
        <v>35.795499999999997</v>
      </c>
      <c r="L1008" s="33">
        <f>17.2274 * CHOOSE(CONTROL!$C$32, $C$9, 100%, $E$9)</f>
        <v>17.227399999999999</v>
      </c>
      <c r="M1008" s="33">
        <f>17.231 * CHOOSE(CONTROL!$C$32, $C$9, 100%, $E$9)</f>
        <v>17.231000000000002</v>
      </c>
      <c r="N1008" s="33">
        <f>17.2274 * CHOOSE(CONTROL!$C$32, $C$9, 100%, $E$9)</f>
        <v>17.227399999999999</v>
      </c>
      <c r="O1008" s="33">
        <f>17.231 * CHOOSE(CONTROL!$C$32, $C$9, 100%, $E$9)</f>
        <v>17.231000000000002</v>
      </c>
    </row>
    <row r="1009" spans="1:15" ht="15" x14ac:dyDescent="0.2">
      <c r="A1009" s="16">
        <v>71925</v>
      </c>
      <c r="B1009" s="32">
        <f>15.2337 * CHOOSE(CONTROL!$C$32, $C$9, 100%, $E$9)</f>
        <v>15.233700000000001</v>
      </c>
      <c r="C1009" s="32">
        <f>15.2337 * CHOOSE(CONTROL!$C$32, $C$9, 100%, $E$9)</f>
        <v>15.233700000000001</v>
      </c>
      <c r="D1009" s="32">
        <f>15.2347 * CHOOSE(CONTROL!$C$32, $C$9, 100%, $E$9)</f>
        <v>15.2347</v>
      </c>
      <c r="E1009" s="33">
        <f>16.977 * CHOOSE(CONTROL!$C$32, $C$9, 100%, $E$9)</f>
        <v>16.977</v>
      </c>
      <c r="F1009" s="33">
        <f>16.977 * CHOOSE(CONTROL!$C$32, $C$9, 100%, $E$9)</f>
        <v>16.977</v>
      </c>
      <c r="G1009" s="33">
        <f>16.9806 * CHOOSE(CONTROL!$C$32, $C$9, 100%, $E$9)</f>
        <v>16.980599999999999</v>
      </c>
      <c r="H1009" s="33">
        <f>35.8664 * CHOOSE(CONTROL!$C$32, $C$9, 100%, $E$9)</f>
        <v>35.866399999999999</v>
      </c>
      <c r="I1009" s="33">
        <f>35.8701 * CHOOSE(CONTROL!$C$32, $C$9, 100%, $E$9)</f>
        <v>35.870100000000001</v>
      </c>
      <c r="J1009" s="33">
        <f>35.8664 * CHOOSE(CONTROL!$C$32, $C$9, 100%, $E$9)</f>
        <v>35.866399999999999</v>
      </c>
      <c r="K1009" s="33">
        <f>35.8701 * CHOOSE(CONTROL!$C$32, $C$9, 100%, $E$9)</f>
        <v>35.870100000000001</v>
      </c>
      <c r="L1009" s="33">
        <f>16.977 * CHOOSE(CONTROL!$C$32, $C$9, 100%, $E$9)</f>
        <v>16.977</v>
      </c>
      <c r="M1009" s="33">
        <f>16.9806 * CHOOSE(CONTROL!$C$32, $C$9, 100%, $E$9)</f>
        <v>16.980599999999999</v>
      </c>
      <c r="N1009" s="33">
        <f>16.977 * CHOOSE(CONTROL!$C$32, $C$9, 100%, $E$9)</f>
        <v>16.977</v>
      </c>
      <c r="O1009" s="33">
        <f>16.9806 * CHOOSE(CONTROL!$C$32, $C$9, 100%, $E$9)</f>
        <v>16.980599999999999</v>
      </c>
    </row>
    <row r="1010" spans="1:15" ht="15" x14ac:dyDescent="0.2">
      <c r="A1010" s="16">
        <v>71956</v>
      </c>
      <c r="B1010" s="32">
        <f>15.1897 * CHOOSE(CONTROL!$C$32, $C$9, 100%, $E$9)</f>
        <v>15.1897</v>
      </c>
      <c r="C1010" s="32">
        <f>15.1897 * CHOOSE(CONTROL!$C$32, $C$9, 100%, $E$9)</f>
        <v>15.1897</v>
      </c>
      <c r="D1010" s="32">
        <f>15.1908 * CHOOSE(CONTROL!$C$32, $C$9, 100%, $E$9)</f>
        <v>15.190799999999999</v>
      </c>
      <c r="E1010" s="33">
        <f>17.1081 * CHOOSE(CONTROL!$C$32, $C$9, 100%, $E$9)</f>
        <v>17.1081</v>
      </c>
      <c r="F1010" s="33">
        <f>17.1081 * CHOOSE(CONTROL!$C$32, $C$9, 100%, $E$9)</f>
        <v>17.1081</v>
      </c>
      <c r="G1010" s="33">
        <f>17.1117 * CHOOSE(CONTROL!$C$32, $C$9, 100%, $E$9)</f>
        <v>17.111699999999999</v>
      </c>
      <c r="H1010" s="33">
        <f>35.5187 * CHOOSE(CONTROL!$C$32, $C$9, 100%, $E$9)</f>
        <v>35.518700000000003</v>
      </c>
      <c r="I1010" s="33">
        <f>35.5223 * CHOOSE(CONTROL!$C$32, $C$9, 100%, $E$9)</f>
        <v>35.522300000000001</v>
      </c>
      <c r="J1010" s="33">
        <f>35.5187 * CHOOSE(CONTROL!$C$32, $C$9, 100%, $E$9)</f>
        <v>35.518700000000003</v>
      </c>
      <c r="K1010" s="33">
        <f>35.5223 * CHOOSE(CONTROL!$C$32, $C$9, 100%, $E$9)</f>
        <v>35.522300000000001</v>
      </c>
      <c r="L1010" s="33">
        <f>17.1081 * CHOOSE(CONTROL!$C$32, $C$9, 100%, $E$9)</f>
        <v>17.1081</v>
      </c>
      <c r="M1010" s="33">
        <f>17.1117 * CHOOSE(CONTROL!$C$32, $C$9, 100%, $E$9)</f>
        <v>17.111699999999999</v>
      </c>
      <c r="N1010" s="33">
        <f>17.1081 * CHOOSE(CONTROL!$C$32, $C$9, 100%, $E$9)</f>
        <v>17.1081</v>
      </c>
      <c r="O1010" s="33">
        <f>17.1117 * CHOOSE(CONTROL!$C$32, $C$9, 100%, $E$9)</f>
        <v>17.111699999999999</v>
      </c>
    </row>
    <row r="1011" spans="1:15" ht="15" x14ac:dyDescent="0.2">
      <c r="A1011" s="16">
        <v>71987</v>
      </c>
      <c r="B1011" s="32">
        <f>15.1867 * CHOOSE(CONTROL!$C$32, $C$9, 100%, $E$9)</f>
        <v>15.1867</v>
      </c>
      <c r="C1011" s="32">
        <f>15.1867 * CHOOSE(CONTROL!$C$32, $C$9, 100%, $E$9)</f>
        <v>15.1867</v>
      </c>
      <c r="D1011" s="32">
        <f>15.1878 * CHOOSE(CONTROL!$C$32, $C$9, 100%, $E$9)</f>
        <v>15.187799999999999</v>
      </c>
      <c r="E1011" s="33">
        <f>16.6258 * CHOOSE(CONTROL!$C$32, $C$9, 100%, $E$9)</f>
        <v>16.625800000000002</v>
      </c>
      <c r="F1011" s="33">
        <f>16.6258 * CHOOSE(CONTROL!$C$32, $C$9, 100%, $E$9)</f>
        <v>16.625800000000002</v>
      </c>
      <c r="G1011" s="33">
        <f>16.6294 * CHOOSE(CONTROL!$C$32, $C$9, 100%, $E$9)</f>
        <v>16.6294</v>
      </c>
      <c r="H1011" s="33">
        <f>35.5927 * CHOOSE(CONTROL!$C$32, $C$9, 100%, $E$9)</f>
        <v>35.592700000000001</v>
      </c>
      <c r="I1011" s="33">
        <f>35.5963 * CHOOSE(CONTROL!$C$32, $C$9, 100%, $E$9)</f>
        <v>35.596299999999999</v>
      </c>
      <c r="J1011" s="33">
        <f>35.5927 * CHOOSE(CONTROL!$C$32, $C$9, 100%, $E$9)</f>
        <v>35.592700000000001</v>
      </c>
      <c r="K1011" s="33">
        <f>35.5963 * CHOOSE(CONTROL!$C$32, $C$9, 100%, $E$9)</f>
        <v>35.596299999999999</v>
      </c>
      <c r="L1011" s="33">
        <f>16.6258 * CHOOSE(CONTROL!$C$32, $C$9, 100%, $E$9)</f>
        <v>16.625800000000002</v>
      </c>
      <c r="M1011" s="33">
        <f>16.6294 * CHOOSE(CONTROL!$C$32, $C$9, 100%, $E$9)</f>
        <v>16.6294</v>
      </c>
      <c r="N1011" s="33">
        <f>16.6258 * CHOOSE(CONTROL!$C$32, $C$9, 100%, $E$9)</f>
        <v>16.625800000000002</v>
      </c>
      <c r="O1011" s="33">
        <f>16.6294 * CHOOSE(CONTROL!$C$32, $C$9, 100%, $E$9)</f>
        <v>16.6294</v>
      </c>
    </row>
    <row r="1012" spans="1:15" ht="15" x14ac:dyDescent="0.2">
      <c r="A1012" s="16">
        <v>72015</v>
      </c>
      <c r="B1012" s="32">
        <f>15.1837 * CHOOSE(CONTROL!$C$32, $C$9, 100%, $E$9)</f>
        <v>15.1837</v>
      </c>
      <c r="C1012" s="32">
        <f>15.1837 * CHOOSE(CONTROL!$C$32, $C$9, 100%, $E$9)</f>
        <v>15.1837</v>
      </c>
      <c r="D1012" s="32">
        <f>15.1847 * CHOOSE(CONTROL!$C$32, $C$9, 100%, $E$9)</f>
        <v>15.184699999999999</v>
      </c>
      <c r="E1012" s="33">
        <f>17.0022 * CHOOSE(CONTROL!$C$32, $C$9, 100%, $E$9)</f>
        <v>17.002199999999998</v>
      </c>
      <c r="F1012" s="33">
        <f>17.0022 * CHOOSE(CONTROL!$C$32, $C$9, 100%, $E$9)</f>
        <v>17.002199999999998</v>
      </c>
      <c r="G1012" s="33">
        <f>17.0059 * CHOOSE(CONTROL!$C$32, $C$9, 100%, $E$9)</f>
        <v>17.0059</v>
      </c>
      <c r="H1012" s="33">
        <f>35.6669 * CHOOSE(CONTROL!$C$32, $C$9, 100%, $E$9)</f>
        <v>35.666899999999998</v>
      </c>
      <c r="I1012" s="33">
        <f>35.6705 * CHOOSE(CONTROL!$C$32, $C$9, 100%, $E$9)</f>
        <v>35.670499999999997</v>
      </c>
      <c r="J1012" s="33">
        <f>35.6669 * CHOOSE(CONTROL!$C$32, $C$9, 100%, $E$9)</f>
        <v>35.666899999999998</v>
      </c>
      <c r="K1012" s="33">
        <f>35.6705 * CHOOSE(CONTROL!$C$32, $C$9, 100%, $E$9)</f>
        <v>35.670499999999997</v>
      </c>
      <c r="L1012" s="33">
        <f>17.0022 * CHOOSE(CONTROL!$C$32, $C$9, 100%, $E$9)</f>
        <v>17.002199999999998</v>
      </c>
      <c r="M1012" s="33">
        <f>17.0059 * CHOOSE(CONTROL!$C$32, $C$9, 100%, $E$9)</f>
        <v>17.0059</v>
      </c>
      <c r="N1012" s="33">
        <f>17.0022 * CHOOSE(CONTROL!$C$32, $C$9, 100%, $E$9)</f>
        <v>17.002199999999998</v>
      </c>
      <c r="O1012" s="33">
        <f>17.0059 * CHOOSE(CONTROL!$C$32, $C$9, 100%, $E$9)</f>
        <v>17.0059</v>
      </c>
    </row>
    <row r="1013" spans="1:15" ht="15" x14ac:dyDescent="0.2">
      <c r="A1013" s="16">
        <v>72046</v>
      </c>
      <c r="B1013" s="32">
        <f>15.1922 * CHOOSE(CONTROL!$C$32, $C$9, 100%, $E$9)</f>
        <v>15.1922</v>
      </c>
      <c r="C1013" s="32">
        <f>15.1922 * CHOOSE(CONTROL!$C$32, $C$9, 100%, $E$9)</f>
        <v>15.1922</v>
      </c>
      <c r="D1013" s="32">
        <f>15.1932 * CHOOSE(CONTROL!$C$32, $C$9, 100%, $E$9)</f>
        <v>15.193199999999999</v>
      </c>
      <c r="E1013" s="33">
        <f>17.4046 * CHOOSE(CONTROL!$C$32, $C$9, 100%, $E$9)</f>
        <v>17.404599999999999</v>
      </c>
      <c r="F1013" s="33">
        <f>17.4046 * CHOOSE(CONTROL!$C$32, $C$9, 100%, $E$9)</f>
        <v>17.404599999999999</v>
      </c>
      <c r="G1013" s="33">
        <f>17.4082 * CHOOSE(CONTROL!$C$32, $C$9, 100%, $E$9)</f>
        <v>17.408200000000001</v>
      </c>
      <c r="H1013" s="33">
        <f>35.7412 * CHOOSE(CONTROL!$C$32, $C$9, 100%, $E$9)</f>
        <v>35.741199999999999</v>
      </c>
      <c r="I1013" s="33">
        <f>35.7448 * CHOOSE(CONTROL!$C$32, $C$9, 100%, $E$9)</f>
        <v>35.744799999999998</v>
      </c>
      <c r="J1013" s="33">
        <f>35.7412 * CHOOSE(CONTROL!$C$32, $C$9, 100%, $E$9)</f>
        <v>35.741199999999999</v>
      </c>
      <c r="K1013" s="33">
        <f>35.7448 * CHOOSE(CONTROL!$C$32, $C$9, 100%, $E$9)</f>
        <v>35.744799999999998</v>
      </c>
      <c r="L1013" s="33">
        <f>17.4046 * CHOOSE(CONTROL!$C$32, $C$9, 100%, $E$9)</f>
        <v>17.404599999999999</v>
      </c>
      <c r="M1013" s="33">
        <f>17.4082 * CHOOSE(CONTROL!$C$32, $C$9, 100%, $E$9)</f>
        <v>17.408200000000001</v>
      </c>
      <c r="N1013" s="33">
        <f>17.4046 * CHOOSE(CONTROL!$C$32, $C$9, 100%, $E$9)</f>
        <v>17.404599999999999</v>
      </c>
      <c r="O1013" s="33">
        <f>17.4082 * CHOOSE(CONTROL!$C$32, $C$9, 100%, $E$9)</f>
        <v>17.408200000000001</v>
      </c>
    </row>
    <row r="1014" spans="1:15" ht="15" x14ac:dyDescent="0.2">
      <c r="A1014" s="16">
        <v>72076</v>
      </c>
      <c r="B1014" s="32">
        <f>15.1922 * CHOOSE(CONTROL!$C$32, $C$9, 100%, $E$9)</f>
        <v>15.1922</v>
      </c>
      <c r="C1014" s="32">
        <f>15.1922 * CHOOSE(CONTROL!$C$32, $C$9, 100%, $E$9)</f>
        <v>15.1922</v>
      </c>
      <c r="D1014" s="32">
        <f>15.1938 * CHOOSE(CONTROL!$C$32, $C$9, 100%, $E$9)</f>
        <v>15.1938</v>
      </c>
      <c r="E1014" s="33">
        <f>17.5571 * CHOOSE(CONTROL!$C$32, $C$9, 100%, $E$9)</f>
        <v>17.557099999999998</v>
      </c>
      <c r="F1014" s="33">
        <f>17.5571 * CHOOSE(CONTROL!$C$32, $C$9, 100%, $E$9)</f>
        <v>17.557099999999998</v>
      </c>
      <c r="G1014" s="33">
        <f>17.5623 * CHOOSE(CONTROL!$C$32, $C$9, 100%, $E$9)</f>
        <v>17.5623</v>
      </c>
      <c r="H1014" s="33">
        <f>35.8156 * CHOOSE(CONTROL!$C$32, $C$9, 100%, $E$9)</f>
        <v>35.815600000000003</v>
      </c>
      <c r="I1014" s="33">
        <f>35.8209 * CHOOSE(CONTROL!$C$32, $C$9, 100%, $E$9)</f>
        <v>35.820900000000002</v>
      </c>
      <c r="J1014" s="33">
        <f>35.8156 * CHOOSE(CONTROL!$C$32, $C$9, 100%, $E$9)</f>
        <v>35.815600000000003</v>
      </c>
      <c r="K1014" s="33">
        <f>35.8209 * CHOOSE(CONTROL!$C$32, $C$9, 100%, $E$9)</f>
        <v>35.820900000000002</v>
      </c>
      <c r="L1014" s="33">
        <f>17.5571 * CHOOSE(CONTROL!$C$32, $C$9, 100%, $E$9)</f>
        <v>17.557099999999998</v>
      </c>
      <c r="M1014" s="33">
        <f>17.5623 * CHOOSE(CONTROL!$C$32, $C$9, 100%, $E$9)</f>
        <v>17.5623</v>
      </c>
      <c r="N1014" s="33">
        <f>17.5571 * CHOOSE(CONTROL!$C$32, $C$9, 100%, $E$9)</f>
        <v>17.557099999999998</v>
      </c>
      <c r="O1014" s="33">
        <f>17.5623 * CHOOSE(CONTROL!$C$32, $C$9, 100%, $E$9)</f>
        <v>17.5623</v>
      </c>
    </row>
    <row r="1015" spans="1:15" ht="15" x14ac:dyDescent="0.2">
      <c r="A1015" s="16">
        <v>72107</v>
      </c>
      <c r="B1015" s="32">
        <f>15.1983 * CHOOSE(CONTROL!$C$32, $C$9, 100%, $E$9)</f>
        <v>15.1983</v>
      </c>
      <c r="C1015" s="32">
        <f>15.1983 * CHOOSE(CONTROL!$C$32, $C$9, 100%, $E$9)</f>
        <v>15.1983</v>
      </c>
      <c r="D1015" s="32">
        <f>15.1998 * CHOOSE(CONTROL!$C$32, $C$9, 100%, $E$9)</f>
        <v>15.1998</v>
      </c>
      <c r="E1015" s="33">
        <f>17.4088 * CHOOSE(CONTROL!$C$32, $C$9, 100%, $E$9)</f>
        <v>17.408799999999999</v>
      </c>
      <c r="F1015" s="33">
        <f>17.4088 * CHOOSE(CONTROL!$C$32, $C$9, 100%, $E$9)</f>
        <v>17.408799999999999</v>
      </c>
      <c r="G1015" s="33">
        <f>17.4141 * CHOOSE(CONTROL!$C$32, $C$9, 100%, $E$9)</f>
        <v>17.414100000000001</v>
      </c>
      <c r="H1015" s="33">
        <f>35.8902 * CHOOSE(CONTROL!$C$32, $C$9, 100%, $E$9)</f>
        <v>35.8902</v>
      </c>
      <c r="I1015" s="33">
        <f>35.8955 * CHOOSE(CONTROL!$C$32, $C$9, 100%, $E$9)</f>
        <v>35.895499999999998</v>
      </c>
      <c r="J1015" s="33">
        <f>35.8902 * CHOOSE(CONTROL!$C$32, $C$9, 100%, $E$9)</f>
        <v>35.8902</v>
      </c>
      <c r="K1015" s="33">
        <f>35.8955 * CHOOSE(CONTROL!$C$32, $C$9, 100%, $E$9)</f>
        <v>35.895499999999998</v>
      </c>
      <c r="L1015" s="33">
        <f>17.4088 * CHOOSE(CONTROL!$C$32, $C$9, 100%, $E$9)</f>
        <v>17.408799999999999</v>
      </c>
      <c r="M1015" s="33">
        <f>17.4141 * CHOOSE(CONTROL!$C$32, $C$9, 100%, $E$9)</f>
        <v>17.414100000000001</v>
      </c>
      <c r="N1015" s="33">
        <f>17.4088 * CHOOSE(CONTROL!$C$32, $C$9, 100%, $E$9)</f>
        <v>17.408799999999999</v>
      </c>
      <c r="O1015" s="33">
        <f>17.4141 * CHOOSE(CONTROL!$C$32, $C$9, 100%, $E$9)</f>
        <v>17.414100000000001</v>
      </c>
    </row>
    <row r="1016" spans="1:15" ht="15" x14ac:dyDescent="0.2">
      <c r="A1016" s="16">
        <v>72137</v>
      </c>
      <c r="B1016" s="32">
        <f>15.3797 * CHOOSE(CONTROL!$C$32, $C$9, 100%, $E$9)</f>
        <v>15.3797</v>
      </c>
      <c r="C1016" s="32">
        <f>15.3797 * CHOOSE(CONTROL!$C$32, $C$9, 100%, $E$9)</f>
        <v>15.3797</v>
      </c>
      <c r="D1016" s="32">
        <f>15.3812 * CHOOSE(CONTROL!$C$32, $C$9, 100%, $E$9)</f>
        <v>15.3812</v>
      </c>
      <c r="E1016" s="33">
        <f>17.6566 * CHOOSE(CONTROL!$C$32, $C$9, 100%, $E$9)</f>
        <v>17.656600000000001</v>
      </c>
      <c r="F1016" s="33">
        <f>17.6566 * CHOOSE(CONTROL!$C$32, $C$9, 100%, $E$9)</f>
        <v>17.656600000000001</v>
      </c>
      <c r="G1016" s="33">
        <f>17.6619 * CHOOSE(CONTROL!$C$32, $C$9, 100%, $E$9)</f>
        <v>17.661899999999999</v>
      </c>
      <c r="H1016" s="33">
        <f>35.965 * CHOOSE(CONTROL!$C$32, $C$9, 100%, $E$9)</f>
        <v>35.965000000000003</v>
      </c>
      <c r="I1016" s="33">
        <f>35.9703 * CHOOSE(CONTROL!$C$32, $C$9, 100%, $E$9)</f>
        <v>35.970300000000002</v>
      </c>
      <c r="J1016" s="33">
        <f>35.965 * CHOOSE(CONTROL!$C$32, $C$9, 100%, $E$9)</f>
        <v>35.965000000000003</v>
      </c>
      <c r="K1016" s="33">
        <f>35.9703 * CHOOSE(CONTROL!$C$32, $C$9, 100%, $E$9)</f>
        <v>35.970300000000002</v>
      </c>
      <c r="L1016" s="33">
        <f>17.6566 * CHOOSE(CONTROL!$C$32, $C$9, 100%, $E$9)</f>
        <v>17.656600000000001</v>
      </c>
      <c r="M1016" s="33">
        <f>17.6619 * CHOOSE(CONTROL!$C$32, $C$9, 100%, $E$9)</f>
        <v>17.661899999999999</v>
      </c>
      <c r="N1016" s="33">
        <f>17.6566 * CHOOSE(CONTROL!$C$32, $C$9, 100%, $E$9)</f>
        <v>17.656600000000001</v>
      </c>
      <c r="O1016" s="33">
        <f>17.6619 * CHOOSE(CONTROL!$C$32, $C$9, 100%, $E$9)</f>
        <v>17.661899999999999</v>
      </c>
    </row>
    <row r="1017" spans="1:15" ht="15" x14ac:dyDescent="0.2">
      <c r="A1017" s="16">
        <v>72168</v>
      </c>
      <c r="B1017" s="32">
        <f>15.3863 * CHOOSE(CONTROL!$C$32, $C$9, 100%, $E$9)</f>
        <v>15.3863</v>
      </c>
      <c r="C1017" s="32">
        <f>15.3863 * CHOOSE(CONTROL!$C$32, $C$9, 100%, $E$9)</f>
        <v>15.3863</v>
      </c>
      <c r="D1017" s="32">
        <f>15.3879 * CHOOSE(CONTROL!$C$32, $C$9, 100%, $E$9)</f>
        <v>15.3879</v>
      </c>
      <c r="E1017" s="33">
        <f>17.2038 * CHOOSE(CONTROL!$C$32, $C$9, 100%, $E$9)</f>
        <v>17.203800000000001</v>
      </c>
      <c r="F1017" s="33">
        <f>17.2038 * CHOOSE(CONTROL!$C$32, $C$9, 100%, $E$9)</f>
        <v>17.203800000000001</v>
      </c>
      <c r="G1017" s="33">
        <f>17.2091 * CHOOSE(CONTROL!$C$32, $C$9, 100%, $E$9)</f>
        <v>17.209099999999999</v>
      </c>
      <c r="H1017" s="33">
        <f>36.0399 * CHOOSE(CONTROL!$C$32, $C$9, 100%, $E$9)</f>
        <v>36.039900000000003</v>
      </c>
      <c r="I1017" s="33">
        <f>36.0452 * CHOOSE(CONTROL!$C$32, $C$9, 100%, $E$9)</f>
        <v>36.045200000000001</v>
      </c>
      <c r="J1017" s="33">
        <f>36.0399 * CHOOSE(CONTROL!$C$32, $C$9, 100%, $E$9)</f>
        <v>36.039900000000003</v>
      </c>
      <c r="K1017" s="33">
        <f>36.0452 * CHOOSE(CONTROL!$C$32, $C$9, 100%, $E$9)</f>
        <v>36.045200000000001</v>
      </c>
      <c r="L1017" s="33">
        <f>17.2038 * CHOOSE(CONTROL!$C$32, $C$9, 100%, $E$9)</f>
        <v>17.203800000000001</v>
      </c>
      <c r="M1017" s="33">
        <f>17.2091 * CHOOSE(CONTROL!$C$32, $C$9, 100%, $E$9)</f>
        <v>17.209099999999999</v>
      </c>
      <c r="N1017" s="33">
        <f>17.2038 * CHOOSE(CONTROL!$C$32, $C$9, 100%, $E$9)</f>
        <v>17.203800000000001</v>
      </c>
      <c r="O1017" s="33">
        <f>17.2091 * CHOOSE(CONTROL!$C$32, $C$9, 100%, $E$9)</f>
        <v>17.209099999999999</v>
      </c>
    </row>
    <row r="1018" spans="1:15" ht="15" x14ac:dyDescent="0.2">
      <c r="A1018" s="16">
        <v>72199</v>
      </c>
      <c r="B1018" s="32">
        <f>15.3833 * CHOOSE(CONTROL!$C$32, $C$9, 100%, $E$9)</f>
        <v>15.3833</v>
      </c>
      <c r="C1018" s="32">
        <f>15.3833 * CHOOSE(CONTROL!$C$32, $C$9, 100%, $E$9)</f>
        <v>15.3833</v>
      </c>
      <c r="D1018" s="32">
        <f>15.3849 * CHOOSE(CONTROL!$C$32, $C$9, 100%, $E$9)</f>
        <v>15.3849</v>
      </c>
      <c r="E1018" s="33">
        <f>17.1509 * CHOOSE(CONTROL!$C$32, $C$9, 100%, $E$9)</f>
        <v>17.1509</v>
      </c>
      <c r="F1018" s="33">
        <f>17.1509 * CHOOSE(CONTROL!$C$32, $C$9, 100%, $E$9)</f>
        <v>17.1509</v>
      </c>
      <c r="G1018" s="33">
        <f>17.1562 * CHOOSE(CONTROL!$C$32, $C$9, 100%, $E$9)</f>
        <v>17.156199999999998</v>
      </c>
      <c r="H1018" s="33">
        <f>36.115 * CHOOSE(CONTROL!$C$32, $C$9, 100%, $E$9)</f>
        <v>36.115000000000002</v>
      </c>
      <c r="I1018" s="33">
        <f>36.1203 * CHOOSE(CONTROL!$C$32, $C$9, 100%, $E$9)</f>
        <v>36.1203</v>
      </c>
      <c r="J1018" s="33">
        <f>36.115 * CHOOSE(CONTROL!$C$32, $C$9, 100%, $E$9)</f>
        <v>36.115000000000002</v>
      </c>
      <c r="K1018" s="33">
        <f>36.1203 * CHOOSE(CONTROL!$C$32, $C$9, 100%, $E$9)</f>
        <v>36.1203</v>
      </c>
      <c r="L1018" s="33">
        <f>17.1509 * CHOOSE(CONTROL!$C$32, $C$9, 100%, $E$9)</f>
        <v>17.1509</v>
      </c>
      <c r="M1018" s="33">
        <f>17.1562 * CHOOSE(CONTROL!$C$32, $C$9, 100%, $E$9)</f>
        <v>17.156199999999998</v>
      </c>
      <c r="N1018" s="33">
        <f>17.1509 * CHOOSE(CONTROL!$C$32, $C$9, 100%, $E$9)</f>
        <v>17.1509</v>
      </c>
      <c r="O1018" s="33">
        <f>17.1562 * CHOOSE(CONTROL!$C$32, $C$9, 100%, $E$9)</f>
        <v>17.156199999999998</v>
      </c>
    </row>
    <row r="1019" spans="1:15" ht="15" x14ac:dyDescent="0.2">
      <c r="A1019" s="16">
        <v>72229</v>
      </c>
      <c r="B1019" s="32">
        <f>15.4209 * CHOOSE(CONTROL!$C$32, $C$9, 100%, $E$9)</f>
        <v>15.4209</v>
      </c>
      <c r="C1019" s="32">
        <f>15.4209 * CHOOSE(CONTROL!$C$32, $C$9, 100%, $E$9)</f>
        <v>15.4209</v>
      </c>
      <c r="D1019" s="32">
        <f>15.422 * CHOOSE(CONTROL!$C$32, $C$9, 100%, $E$9)</f>
        <v>15.422000000000001</v>
      </c>
      <c r="E1019" s="33">
        <f>17.3408 * CHOOSE(CONTROL!$C$32, $C$9, 100%, $E$9)</f>
        <v>17.340800000000002</v>
      </c>
      <c r="F1019" s="33">
        <f>17.3408 * CHOOSE(CONTROL!$C$32, $C$9, 100%, $E$9)</f>
        <v>17.340800000000002</v>
      </c>
      <c r="G1019" s="33">
        <f>17.3444 * CHOOSE(CONTROL!$C$32, $C$9, 100%, $E$9)</f>
        <v>17.3444</v>
      </c>
      <c r="H1019" s="33">
        <f>36.1903 * CHOOSE(CONTROL!$C$32, $C$9, 100%, $E$9)</f>
        <v>36.190300000000001</v>
      </c>
      <c r="I1019" s="33">
        <f>36.1939 * CHOOSE(CONTROL!$C$32, $C$9, 100%, $E$9)</f>
        <v>36.193899999999999</v>
      </c>
      <c r="J1019" s="33">
        <f>36.1903 * CHOOSE(CONTROL!$C$32, $C$9, 100%, $E$9)</f>
        <v>36.190300000000001</v>
      </c>
      <c r="K1019" s="33">
        <f>36.1939 * CHOOSE(CONTROL!$C$32, $C$9, 100%, $E$9)</f>
        <v>36.193899999999999</v>
      </c>
      <c r="L1019" s="33">
        <f>17.3408 * CHOOSE(CONTROL!$C$32, $C$9, 100%, $E$9)</f>
        <v>17.340800000000002</v>
      </c>
      <c r="M1019" s="33">
        <f>17.3444 * CHOOSE(CONTROL!$C$32, $C$9, 100%, $E$9)</f>
        <v>17.3444</v>
      </c>
      <c r="N1019" s="33">
        <f>17.3408 * CHOOSE(CONTROL!$C$32, $C$9, 100%, $E$9)</f>
        <v>17.340800000000002</v>
      </c>
      <c r="O1019" s="33">
        <f>17.3444 * CHOOSE(CONTROL!$C$32, $C$9, 100%, $E$9)</f>
        <v>17.3444</v>
      </c>
    </row>
    <row r="1020" spans="1:15" ht="15" x14ac:dyDescent="0.2">
      <c r="A1020" s="16">
        <v>72260</v>
      </c>
      <c r="B1020" s="32">
        <f>15.424 * CHOOSE(CONTROL!$C$32, $C$9, 100%, $E$9)</f>
        <v>15.423999999999999</v>
      </c>
      <c r="C1020" s="32">
        <f>15.424 * CHOOSE(CONTROL!$C$32, $C$9, 100%, $E$9)</f>
        <v>15.423999999999999</v>
      </c>
      <c r="D1020" s="32">
        <f>15.425 * CHOOSE(CONTROL!$C$32, $C$9, 100%, $E$9)</f>
        <v>15.425000000000001</v>
      </c>
      <c r="E1020" s="33">
        <f>17.4445 * CHOOSE(CONTROL!$C$32, $C$9, 100%, $E$9)</f>
        <v>17.444500000000001</v>
      </c>
      <c r="F1020" s="33">
        <f>17.4445 * CHOOSE(CONTROL!$C$32, $C$9, 100%, $E$9)</f>
        <v>17.444500000000001</v>
      </c>
      <c r="G1020" s="33">
        <f>17.4482 * CHOOSE(CONTROL!$C$32, $C$9, 100%, $E$9)</f>
        <v>17.4482</v>
      </c>
      <c r="H1020" s="33">
        <f>36.2657 * CHOOSE(CONTROL!$C$32, $C$9, 100%, $E$9)</f>
        <v>36.265700000000002</v>
      </c>
      <c r="I1020" s="33">
        <f>36.2693 * CHOOSE(CONTROL!$C$32, $C$9, 100%, $E$9)</f>
        <v>36.269300000000001</v>
      </c>
      <c r="J1020" s="33">
        <f>36.2657 * CHOOSE(CONTROL!$C$32, $C$9, 100%, $E$9)</f>
        <v>36.265700000000002</v>
      </c>
      <c r="K1020" s="33">
        <f>36.2693 * CHOOSE(CONTROL!$C$32, $C$9, 100%, $E$9)</f>
        <v>36.269300000000001</v>
      </c>
      <c r="L1020" s="33">
        <f>17.4445 * CHOOSE(CONTROL!$C$32, $C$9, 100%, $E$9)</f>
        <v>17.444500000000001</v>
      </c>
      <c r="M1020" s="33">
        <f>17.4482 * CHOOSE(CONTROL!$C$32, $C$9, 100%, $E$9)</f>
        <v>17.4482</v>
      </c>
      <c r="N1020" s="33">
        <f>17.4445 * CHOOSE(CONTROL!$C$32, $C$9, 100%, $E$9)</f>
        <v>17.444500000000001</v>
      </c>
      <c r="O1020" s="33">
        <f>17.4482 * CHOOSE(CONTROL!$C$32, $C$9, 100%, $E$9)</f>
        <v>17.4482</v>
      </c>
    </row>
    <row r="1021" spans="1:15" ht="15" x14ac:dyDescent="0.2">
      <c r="A1021" s="16">
        <v>72290</v>
      </c>
      <c r="B1021" s="32">
        <f>15.424 * CHOOSE(CONTROL!$C$32, $C$9, 100%, $E$9)</f>
        <v>15.423999999999999</v>
      </c>
      <c r="C1021" s="32">
        <f>15.424 * CHOOSE(CONTROL!$C$32, $C$9, 100%, $E$9)</f>
        <v>15.423999999999999</v>
      </c>
      <c r="D1021" s="32">
        <f>15.425 * CHOOSE(CONTROL!$C$32, $C$9, 100%, $E$9)</f>
        <v>15.425000000000001</v>
      </c>
      <c r="E1021" s="33">
        <f>17.1904 * CHOOSE(CONTROL!$C$32, $C$9, 100%, $E$9)</f>
        <v>17.1904</v>
      </c>
      <c r="F1021" s="33">
        <f>17.1904 * CHOOSE(CONTROL!$C$32, $C$9, 100%, $E$9)</f>
        <v>17.1904</v>
      </c>
      <c r="G1021" s="33">
        <f>17.194 * CHOOSE(CONTROL!$C$32, $C$9, 100%, $E$9)</f>
        <v>17.193999999999999</v>
      </c>
      <c r="H1021" s="33">
        <f>36.3412 * CHOOSE(CONTROL!$C$32, $C$9, 100%, $E$9)</f>
        <v>36.341200000000001</v>
      </c>
      <c r="I1021" s="33">
        <f>36.3448 * CHOOSE(CONTROL!$C$32, $C$9, 100%, $E$9)</f>
        <v>36.344799999999999</v>
      </c>
      <c r="J1021" s="33">
        <f>36.3412 * CHOOSE(CONTROL!$C$32, $C$9, 100%, $E$9)</f>
        <v>36.341200000000001</v>
      </c>
      <c r="K1021" s="33">
        <f>36.3448 * CHOOSE(CONTROL!$C$32, $C$9, 100%, $E$9)</f>
        <v>36.344799999999999</v>
      </c>
      <c r="L1021" s="33">
        <f>17.1904 * CHOOSE(CONTROL!$C$32, $C$9, 100%, $E$9)</f>
        <v>17.1904</v>
      </c>
      <c r="M1021" s="33">
        <f>17.194 * CHOOSE(CONTROL!$C$32, $C$9, 100%, $E$9)</f>
        <v>17.193999999999999</v>
      </c>
      <c r="N1021" s="33">
        <f>17.1904 * CHOOSE(CONTROL!$C$32, $C$9, 100%, $E$9)</f>
        <v>17.1904</v>
      </c>
      <c r="O1021" s="33">
        <f>17.194 * CHOOSE(CONTROL!$C$32, $C$9, 100%, $E$9)</f>
        <v>17.193999999999999</v>
      </c>
    </row>
    <row r="1022" spans="1:15" ht="15" x14ac:dyDescent="0.2">
      <c r="A1022" s="16">
        <v>72321</v>
      </c>
      <c r="B1022" s="32">
        <f>15.3771 * CHOOSE(CONTROL!$C$32, $C$9, 100%, $E$9)</f>
        <v>15.3771</v>
      </c>
      <c r="C1022" s="32">
        <f>15.3771 * CHOOSE(CONTROL!$C$32, $C$9, 100%, $E$9)</f>
        <v>15.3771</v>
      </c>
      <c r="D1022" s="32">
        <f>15.3782 * CHOOSE(CONTROL!$C$32, $C$9, 100%, $E$9)</f>
        <v>15.3782</v>
      </c>
      <c r="E1022" s="33">
        <f>17.3206 * CHOOSE(CONTROL!$C$32, $C$9, 100%, $E$9)</f>
        <v>17.320599999999999</v>
      </c>
      <c r="F1022" s="33">
        <f>17.3206 * CHOOSE(CONTROL!$C$32, $C$9, 100%, $E$9)</f>
        <v>17.320599999999999</v>
      </c>
      <c r="G1022" s="33">
        <f>17.3243 * CHOOSE(CONTROL!$C$32, $C$9, 100%, $E$9)</f>
        <v>17.324300000000001</v>
      </c>
      <c r="H1022" s="33">
        <f>35.9827 * CHOOSE(CONTROL!$C$32, $C$9, 100%, $E$9)</f>
        <v>35.982700000000001</v>
      </c>
      <c r="I1022" s="33">
        <f>35.9864 * CHOOSE(CONTROL!$C$32, $C$9, 100%, $E$9)</f>
        <v>35.986400000000003</v>
      </c>
      <c r="J1022" s="33">
        <f>35.9827 * CHOOSE(CONTROL!$C$32, $C$9, 100%, $E$9)</f>
        <v>35.982700000000001</v>
      </c>
      <c r="K1022" s="33">
        <f>35.9864 * CHOOSE(CONTROL!$C$32, $C$9, 100%, $E$9)</f>
        <v>35.986400000000003</v>
      </c>
      <c r="L1022" s="33">
        <f>17.3206 * CHOOSE(CONTROL!$C$32, $C$9, 100%, $E$9)</f>
        <v>17.320599999999999</v>
      </c>
      <c r="M1022" s="33">
        <f>17.3243 * CHOOSE(CONTROL!$C$32, $C$9, 100%, $E$9)</f>
        <v>17.324300000000001</v>
      </c>
      <c r="N1022" s="33">
        <f>17.3206 * CHOOSE(CONTROL!$C$32, $C$9, 100%, $E$9)</f>
        <v>17.320599999999999</v>
      </c>
      <c r="O1022" s="33">
        <f>17.3243 * CHOOSE(CONTROL!$C$32, $C$9, 100%, $E$9)</f>
        <v>17.324300000000001</v>
      </c>
    </row>
    <row r="1023" spans="1:15" ht="15" x14ac:dyDescent="0.2">
      <c r="A1023" s="16">
        <v>72352</v>
      </c>
      <c r="B1023" s="32">
        <f>15.3741 * CHOOSE(CONTROL!$C$32, $C$9, 100%, $E$9)</f>
        <v>15.3741</v>
      </c>
      <c r="C1023" s="32">
        <f>15.3741 * CHOOSE(CONTROL!$C$32, $C$9, 100%, $E$9)</f>
        <v>15.3741</v>
      </c>
      <c r="D1023" s="32">
        <f>15.3751 * CHOOSE(CONTROL!$C$32, $C$9, 100%, $E$9)</f>
        <v>15.3751</v>
      </c>
      <c r="E1023" s="33">
        <f>16.8312 * CHOOSE(CONTROL!$C$32, $C$9, 100%, $E$9)</f>
        <v>16.831199999999999</v>
      </c>
      <c r="F1023" s="33">
        <f>16.8312 * CHOOSE(CONTROL!$C$32, $C$9, 100%, $E$9)</f>
        <v>16.831199999999999</v>
      </c>
      <c r="G1023" s="33">
        <f>16.8348 * CHOOSE(CONTROL!$C$32, $C$9, 100%, $E$9)</f>
        <v>16.834800000000001</v>
      </c>
      <c r="H1023" s="33">
        <f>36.0577 * CHOOSE(CONTROL!$C$32, $C$9, 100%, $E$9)</f>
        <v>36.057699999999997</v>
      </c>
      <c r="I1023" s="33">
        <f>36.0613 * CHOOSE(CONTROL!$C$32, $C$9, 100%, $E$9)</f>
        <v>36.061300000000003</v>
      </c>
      <c r="J1023" s="33">
        <f>36.0577 * CHOOSE(CONTROL!$C$32, $C$9, 100%, $E$9)</f>
        <v>36.057699999999997</v>
      </c>
      <c r="K1023" s="33">
        <f>36.0613 * CHOOSE(CONTROL!$C$32, $C$9, 100%, $E$9)</f>
        <v>36.061300000000003</v>
      </c>
      <c r="L1023" s="33">
        <f>16.8312 * CHOOSE(CONTROL!$C$32, $C$9, 100%, $E$9)</f>
        <v>16.831199999999999</v>
      </c>
      <c r="M1023" s="33">
        <f>16.8348 * CHOOSE(CONTROL!$C$32, $C$9, 100%, $E$9)</f>
        <v>16.834800000000001</v>
      </c>
      <c r="N1023" s="33">
        <f>16.8312 * CHOOSE(CONTROL!$C$32, $C$9, 100%, $E$9)</f>
        <v>16.831199999999999</v>
      </c>
      <c r="O1023" s="33">
        <f>16.8348 * CHOOSE(CONTROL!$C$32, $C$9, 100%, $E$9)</f>
        <v>16.834800000000001</v>
      </c>
    </row>
    <row r="1024" spans="1:15" ht="15" x14ac:dyDescent="0.2">
      <c r="A1024" s="16">
        <v>72380</v>
      </c>
      <c r="B1024" s="32">
        <f>15.371 * CHOOSE(CONTROL!$C$32, $C$9, 100%, $E$9)</f>
        <v>15.371</v>
      </c>
      <c r="C1024" s="32">
        <f>15.371 * CHOOSE(CONTROL!$C$32, $C$9, 100%, $E$9)</f>
        <v>15.371</v>
      </c>
      <c r="D1024" s="32">
        <f>15.3721 * CHOOSE(CONTROL!$C$32, $C$9, 100%, $E$9)</f>
        <v>15.3721</v>
      </c>
      <c r="E1024" s="33">
        <f>17.2133 * CHOOSE(CONTROL!$C$32, $C$9, 100%, $E$9)</f>
        <v>17.2133</v>
      </c>
      <c r="F1024" s="33">
        <f>17.2133 * CHOOSE(CONTROL!$C$32, $C$9, 100%, $E$9)</f>
        <v>17.2133</v>
      </c>
      <c r="G1024" s="33">
        <f>17.2169 * CHOOSE(CONTROL!$C$32, $C$9, 100%, $E$9)</f>
        <v>17.216899999999999</v>
      </c>
      <c r="H1024" s="33">
        <f>36.1328 * CHOOSE(CONTROL!$C$32, $C$9, 100%, $E$9)</f>
        <v>36.132800000000003</v>
      </c>
      <c r="I1024" s="33">
        <f>36.1364 * CHOOSE(CONTROL!$C$32, $C$9, 100%, $E$9)</f>
        <v>36.136400000000002</v>
      </c>
      <c r="J1024" s="33">
        <f>36.1328 * CHOOSE(CONTROL!$C$32, $C$9, 100%, $E$9)</f>
        <v>36.132800000000003</v>
      </c>
      <c r="K1024" s="33">
        <f>36.1364 * CHOOSE(CONTROL!$C$32, $C$9, 100%, $E$9)</f>
        <v>36.136400000000002</v>
      </c>
      <c r="L1024" s="33">
        <f>17.2133 * CHOOSE(CONTROL!$C$32, $C$9, 100%, $E$9)</f>
        <v>17.2133</v>
      </c>
      <c r="M1024" s="33">
        <f>17.2169 * CHOOSE(CONTROL!$C$32, $C$9, 100%, $E$9)</f>
        <v>17.216899999999999</v>
      </c>
      <c r="N1024" s="33">
        <f>17.2133 * CHOOSE(CONTROL!$C$32, $C$9, 100%, $E$9)</f>
        <v>17.2133</v>
      </c>
      <c r="O1024" s="33">
        <f>17.2169 * CHOOSE(CONTROL!$C$32, $C$9, 100%, $E$9)</f>
        <v>17.216899999999999</v>
      </c>
    </row>
    <row r="1025" spans="1:15" ht="15" x14ac:dyDescent="0.2">
      <c r="A1025" s="16">
        <v>72411</v>
      </c>
      <c r="B1025" s="32">
        <f>15.3797 * CHOOSE(CONTROL!$C$32, $C$9, 100%, $E$9)</f>
        <v>15.3797</v>
      </c>
      <c r="C1025" s="32">
        <f>15.3797 * CHOOSE(CONTROL!$C$32, $C$9, 100%, $E$9)</f>
        <v>15.3797</v>
      </c>
      <c r="D1025" s="32">
        <f>15.3808 * CHOOSE(CONTROL!$C$32, $C$9, 100%, $E$9)</f>
        <v>15.380800000000001</v>
      </c>
      <c r="E1025" s="33">
        <f>17.6216 * CHOOSE(CONTROL!$C$32, $C$9, 100%, $E$9)</f>
        <v>17.621600000000001</v>
      </c>
      <c r="F1025" s="33">
        <f>17.6216 * CHOOSE(CONTROL!$C$32, $C$9, 100%, $E$9)</f>
        <v>17.621600000000001</v>
      </c>
      <c r="G1025" s="33">
        <f>17.6252 * CHOOSE(CONTROL!$C$32, $C$9, 100%, $E$9)</f>
        <v>17.6252</v>
      </c>
      <c r="H1025" s="33">
        <f>36.2081 * CHOOSE(CONTROL!$C$32, $C$9, 100%, $E$9)</f>
        <v>36.208100000000002</v>
      </c>
      <c r="I1025" s="33">
        <f>36.2117 * CHOOSE(CONTROL!$C$32, $C$9, 100%, $E$9)</f>
        <v>36.2117</v>
      </c>
      <c r="J1025" s="33">
        <f>36.2081 * CHOOSE(CONTROL!$C$32, $C$9, 100%, $E$9)</f>
        <v>36.208100000000002</v>
      </c>
      <c r="K1025" s="33">
        <f>36.2117 * CHOOSE(CONTROL!$C$32, $C$9, 100%, $E$9)</f>
        <v>36.2117</v>
      </c>
      <c r="L1025" s="33">
        <f>17.6216 * CHOOSE(CONTROL!$C$32, $C$9, 100%, $E$9)</f>
        <v>17.621600000000001</v>
      </c>
      <c r="M1025" s="33">
        <f>17.6252 * CHOOSE(CONTROL!$C$32, $C$9, 100%, $E$9)</f>
        <v>17.6252</v>
      </c>
      <c r="N1025" s="33">
        <f>17.6216 * CHOOSE(CONTROL!$C$32, $C$9, 100%, $E$9)</f>
        <v>17.621600000000001</v>
      </c>
      <c r="O1025" s="33">
        <f>17.6252 * CHOOSE(CONTROL!$C$32, $C$9, 100%, $E$9)</f>
        <v>17.6252</v>
      </c>
    </row>
    <row r="1026" spans="1:15" ht="15" x14ac:dyDescent="0.2">
      <c r="A1026" s="16">
        <v>72441</v>
      </c>
      <c r="B1026" s="32">
        <f>15.3797 * CHOOSE(CONTROL!$C$32, $C$9, 100%, $E$9)</f>
        <v>15.3797</v>
      </c>
      <c r="C1026" s="32">
        <f>15.3797 * CHOOSE(CONTROL!$C$32, $C$9, 100%, $E$9)</f>
        <v>15.3797</v>
      </c>
      <c r="D1026" s="32">
        <f>15.3813 * CHOOSE(CONTROL!$C$32, $C$9, 100%, $E$9)</f>
        <v>15.3813</v>
      </c>
      <c r="E1026" s="33">
        <f>17.7763 * CHOOSE(CONTROL!$C$32, $C$9, 100%, $E$9)</f>
        <v>17.776299999999999</v>
      </c>
      <c r="F1026" s="33">
        <f>17.7763 * CHOOSE(CONTROL!$C$32, $C$9, 100%, $E$9)</f>
        <v>17.776299999999999</v>
      </c>
      <c r="G1026" s="33">
        <f>17.7816 * CHOOSE(CONTROL!$C$32, $C$9, 100%, $E$9)</f>
        <v>17.781600000000001</v>
      </c>
      <c r="H1026" s="33">
        <f>36.2835 * CHOOSE(CONTROL!$C$32, $C$9, 100%, $E$9)</f>
        <v>36.283499999999997</v>
      </c>
      <c r="I1026" s="33">
        <f>36.2888 * CHOOSE(CONTROL!$C$32, $C$9, 100%, $E$9)</f>
        <v>36.288800000000002</v>
      </c>
      <c r="J1026" s="33">
        <f>36.2835 * CHOOSE(CONTROL!$C$32, $C$9, 100%, $E$9)</f>
        <v>36.283499999999997</v>
      </c>
      <c r="K1026" s="33">
        <f>36.2888 * CHOOSE(CONTROL!$C$32, $C$9, 100%, $E$9)</f>
        <v>36.288800000000002</v>
      </c>
      <c r="L1026" s="33">
        <f>17.7763 * CHOOSE(CONTROL!$C$32, $C$9, 100%, $E$9)</f>
        <v>17.776299999999999</v>
      </c>
      <c r="M1026" s="33">
        <f>17.7816 * CHOOSE(CONTROL!$C$32, $C$9, 100%, $E$9)</f>
        <v>17.781600000000001</v>
      </c>
      <c r="N1026" s="33">
        <f>17.7763 * CHOOSE(CONTROL!$C$32, $C$9, 100%, $E$9)</f>
        <v>17.776299999999999</v>
      </c>
      <c r="O1026" s="33">
        <f>17.7816 * CHOOSE(CONTROL!$C$32, $C$9, 100%, $E$9)</f>
        <v>17.781600000000001</v>
      </c>
    </row>
    <row r="1027" spans="1:15" ht="15" x14ac:dyDescent="0.2">
      <c r="A1027" s="16">
        <v>72472</v>
      </c>
      <c r="B1027" s="32">
        <f>15.3858 * CHOOSE(CONTROL!$C$32, $C$9, 100%, $E$9)</f>
        <v>15.3858</v>
      </c>
      <c r="C1027" s="32">
        <f>15.3858 * CHOOSE(CONTROL!$C$32, $C$9, 100%, $E$9)</f>
        <v>15.3858</v>
      </c>
      <c r="D1027" s="32">
        <f>15.3874 * CHOOSE(CONTROL!$C$32, $C$9, 100%, $E$9)</f>
        <v>15.3874</v>
      </c>
      <c r="E1027" s="33">
        <f>17.6258 * CHOOSE(CONTROL!$C$32, $C$9, 100%, $E$9)</f>
        <v>17.625800000000002</v>
      </c>
      <c r="F1027" s="33">
        <f>17.6258 * CHOOSE(CONTROL!$C$32, $C$9, 100%, $E$9)</f>
        <v>17.625800000000002</v>
      </c>
      <c r="G1027" s="33">
        <f>17.6311 * CHOOSE(CONTROL!$C$32, $C$9, 100%, $E$9)</f>
        <v>17.6311</v>
      </c>
      <c r="H1027" s="33">
        <f>36.3591 * CHOOSE(CONTROL!$C$32, $C$9, 100%, $E$9)</f>
        <v>36.359099999999998</v>
      </c>
      <c r="I1027" s="33">
        <f>36.3644 * CHOOSE(CONTROL!$C$32, $C$9, 100%, $E$9)</f>
        <v>36.364400000000003</v>
      </c>
      <c r="J1027" s="33">
        <f>36.3591 * CHOOSE(CONTROL!$C$32, $C$9, 100%, $E$9)</f>
        <v>36.359099999999998</v>
      </c>
      <c r="K1027" s="33">
        <f>36.3644 * CHOOSE(CONTROL!$C$32, $C$9, 100%, $E$9)</f>
        <v>36.364400000000003</v>
      </c>
      <c r="L1027" s="33">
        <f>17.6258 * CHOOSE(CONTROL!$C$32, $C$9, 100%, $E$9)</f>
        <v>17.625800000000002</v>
      </c>
      <c r="M1027" s="33">
        <f>17.6311 * CHOOSE(CONTROL!$C$32, $C$9, 100%, $E$9)</f>
        <v>17.6311</v>
      </c>
      <c r="N1027" s="33">
        <f>17.6258 * CHOOSE(CONTROL!$C$32, $C$9, 100%, $E$9)</f>
        <v>17.625800000000002</v>
      </c>
      <c r="O1027" s="33">
        <f>17.6311 * CHOOSE(CONTROL!$C$32, $C$9, 100%, $E$9)</f>
        <v>17.6311</v>
      </c>
    </row>
    <row r="1028" spans="1:15" ht="15" x14ac:dyDescent="0.2">
      <c r="A1028" s="16">
        <v>72502</v>
      </c>
      <c r="B1028" s="32">
        <f>15.5692 * CHOOSE(CONTROL!$C$32, $C$9, 100%, $E$9)</f>
        <v>15.5692</v>
      </c>
      <c r="C1028" s="32">
        <f>15.5692 * CHOOSE(CONTROL!$C$32, $C$9, 100%, $E$9)</f>
        <v>15.5692</v>
      </c>
      <c r="D1028" s="32">
        <f>15.5708 * CHOOSE(CONTROL!$C$32, $C$9, 100%, $E$9)</f>
        <v>15.5708</v>
      </c>
      <c r="E1028" s="33">
        <f>17.8768 * CHOOSE(CONTROL!$C$32, $C$9, 100%, $E$9)</f>
        <v>17.876799999999999</v>
      </c>
      <c r="F1028" s="33">
        <f>17.8768 * CHOOSE(CONTROL!$C$32, $C$9, 100%, $E$9)</f>
        <v>17.876799999999999</v>
      </c>
      <c r="G1028" s="33">
        <f>17.8821 * CHOOSE(CONTROL!$C$32, $C$9, 100%, $E$9)</f>
        <v>17.882100000000001</v>
      </c>
      <c r="H1028" s="33">
        <f>36.4349 * CHOOSE(CONTROL!$C$32, $C$9, 100%, $E$9)</f>
        <v>36.434899999999999</v>
      </c>
      <c r="I1028" s="33">
        <f>36.4402 * CHOOSE(CONTROL!$C$32, $C$9, 100%, $E$9)</f>
        <v>36.440199999999997</v>
      </c>
      <c r="J1028" s="33">
        <f>36.4349 * CHOOSE(CONTROL!$C$32, $C$9, 100%, $E$9)</f>
        <v>36.434899999999999</v>
      </c>
      <c r="K1028" s="33">
        <f>36.4402 * CHOOSE(CONTROL!$C$32, $C$9, 100%, $E$9)</f>
        <v>36.440199999999997</v>
      </c>
      <c r="L1028" s="33">
        <f>17.8768 * CHOOSE(CONTROL!$C$32, $C$9, 100%, $E$9)</f>
        <v>17.876799999999999</v>
      </c>
      <c r="M1028" s="33">
        <f>17.8821 * CHOOSE(CONTROL!$C$32, $C$9, 100%, $E$9)</f>
        <v>17.882100000000001</v>
      </c>
      <c r="N1028" s="33">
        <f>17.8768 * CHOOSE(CONTROL!$C$32, $C$9, 100%, $E$9)</f>
        <v>17.876799999999999</v>
      </c>
      <c r="O1028" s="33">
        <f>17.8821 * CHOOSE(CONTROL!$C$32, $C$9, 100%, $E$9)</f>
        <v>17.882100000000001</v>
      </c>
    </row>
    <row r="1029" spans="1:15" ht="15" x14ac:dyDescent="0.2">
      <c r="A1029" s="16">
        <v>72533</v>
      </c>
      <c r="B1029" s="32">
        <f>15.5759 * CHOOSE(CONTROL!$C$32, $C$9, 100%, $E$9)</f>
        <v>15.575900000000001</v>
      </c>
      <c r="C1029" s="32">
        <f>15.5759 * CHOOSE(CONTROL!$C$32, $C$9, 100%, $E$9)</f>
        <v>15.575900000000001</v>
      </c>
      <c r="D1029" s="32">
        <f>15.5775 * CHOOSE(CONTROL!$C$32, $C$9, 100%, $E$9)</f>
        <v>15.577500000000001</v>
      </c>
      <c r="E1029" s="33">
        <f>17.4173 * CHOOSE(CONTROL!$C$32, $C$9, 100%, $E$9)</f>
        <v>17.417300000000001</v>
      </c>
      <c r="F1029" s="33">
        <f>17.4173 * CHOOSE(CONTROL!$C$32, $C$9, 100%, $E$9)</f>
        <v>17.417300000000001</v>
      </c>
      <c r="G1029" s="33">
        <f>17.4226 * CHOOSE(CONTROL!$C$32, $C$9, 100%, $E$9)</f>
        <v>17.422599999999999</v>
      </c>
      <c r="H1029" s="33">
        <f>36.5108 * CHOOSE(CONTROL!$C$32, $C$9, 100%, $E$9)</f>
        <v>36.510800000000003</v>
      </c>
      <c r="I1029" s="33">
        <f>36.5161 * CHOOSE(CONTROL!$C$32, $C$9, 100%, $E$9)</f>
        <v>36.516100000000002</v>
      </c>
      <c r="J1029" s="33">
        <f>36.5108 * CHOOSE(CONTROL!$C$32, $C$9, 100%, $E$9)</f>
        <v>36.510800000000003</v>
      </c>
      <c r="K1029" s="33">
        <f>36.5161 * CHOOSE(CONTROL!$C$32, $C$9, 100%, $E$9)</f>
        <v>36.516100000000002</v>
      </c>
      <c r="L1029" s="33">
        <f>17.4173 * CHOOSE(CONTROL!$C$32, $C$9, 100%, $E$9)</f>
        <v>17.417300000000001</v>
      </c>
      <c r="M1029" s="33">
        <f>17.4226 * CHOOSE(CONTROL!$C$32, $C$9, 100%, $E$9)</f>
        <v>17.422599999999999</v>
      </c>
      <c r="N1029" s="33">
        <f>17.4173 * CHOOSE(CONTROL!$C$32, $C$9, 100%, $E$9)</f>
        <v>17.417300000000001</v>
      </c>
      <c r="O1029" s="33">
        <f>17.4226 * CHOOSE(CONTROL!$C$32, $C$9, 100%, $E$9)</f>
        <v>17.422599999999999</v>
      </c>
    </row>
    <row r="1030" spans="1:15" ht="15" x14ac:dyDescent="0.2">
      <c r="A1030" s="16">
        <v>72564</v>
      </c>
      <c r="B1030" s="32">
        <f>15.5729 * CHOOSE(CONTROL!$C$32, $C$9, 100%, $E$9)</f>
        <v>15.572900000000001</v>
      </c>
      <c r="C1030" s="32">
        <f>15.5729 * CHOOSE(CONTROL!$C$32, $C$9, 100%, $E$9)</f>
        <v>15.572900000000001</v>
      </c>
      <c r="D1030" s="32">
        <f>15.5745 * CHOOSE(CONTROL!$C$32, $C$9, 100%, $E$9)</f>
        <v>15.5745</v>
      </c>
      <c r="E1030" s="33">
        <f>17.3636 * CHOOSE(CONTROL!$C$32, $C$9, 100%, $E$9)</f>
        <v>17.363600000000002</v>
      </c>
      <c r="F1030" s="33">
        <f>17.3636 * CHOOSE(CONTROL!$C$32, $C$9, 100%, $E$9)</f>
        <v>17.363600000000002</v>
      </c>
      <c r="G1030" s="33">
        <f>17.3689 * CHOOSE(CONTROL!$C$32, $C$9, 100%, $E$9)</f>
        <v>17.3689</v>
      </c>
      <c r="H1030" s="33">
        <f>36.5868 * CHOOSE(CONTROL!$C$32, $C$9, 100%, $E$9)</f>
        <v>36.586799999999997</v>
      </c>
      <c r="I1030" s="33">
        <f>36.5921 * CHOOSE(CONTROL!$C$32, $C$9, 100%, $E$9)</f>
        <v>36.592100000000002</v>
      </c>
      <c r="J1030" s="33">
        <f>36.5868 * CHOOSE(CONTROL!$C$32, $C$9, 100%, $E$9)</f>
        <v>36.586799999999997</v>
      </c>
      <c r="K1030" s="33">
        <f>36.5921 * CHOOSE(CONTROL!$C$32, $C$9, 100%, $E$9)</f>
        <v>36.592100000000002</v>
      </c>
      <c r="L1030" s="33">
        <f>17.3636 * CHOOSE(CONTROL!$C$32, $C$9, 100%, $E$9)</f>
        <v>17.363600000000002</v>
      </c>
      <c r="M1030" s="33">
        <f>17.3689 * CHOOSE(CONTROL!$C$32, $C$9, 100%, $E$9)</f>
        <v>17.3689</v>
      </c>
      <c r="N1030" s="33">
        <f>17.3636 * CHOOSE(CONTROL!$C$32, $C$9, 100%, $E$9)</f>
        <v>17.363600000000002</v>
      </c>
      <c r="O1030" s="33">
        <f>17.3689 * CHOOSE(CONTROL!$C$32, $C$9, 100%, $E$9)</f>
        <v>17.3689</v>
      </c>
    </row>
    <row r="1031" spans="1:15" ht="15" x14ac:dyDescent="0.2">
      <c r="A1031" s="16">
        <v>72594</v>
      </c>
      <c r="B1031" s="32">
        <f>15.6112 * CHOOSE(CONTROL!$C$32, $C$9, 100%, $E$9)</f>
        <v>15.6112</v>
      </c>
      <c r="C1031" s="32">
        <f>15.6112 * CHOOSE(CONTROL!$C$32, $C$9, 100%, $E$9)</f>
        <v>15.6112</v>
      </c>
      <c r="D1031" s="32">
        <f>15.6123 * CHOOSE(CONTROL!$C$32, $C$9, 100%, $E$9)</f>
        <v>15.612299999999999</v>
      </c>
      <c r="E1031" s="33">
        <f>17.5565 * CHOOSE(CONTROL!$C$32, $C$9, 100%, $E$9)</f>
        <v>17.5565</v>
      </c>
      <c r="F1031" s="33">
        <f>17.5565 * CHOOSE(CONTROL!$C$32, $C$9, 100%, $E$9)</f>
        <v>17.5565</v>
      </c>
      <c r="G1031" s="33">
        <f>17.5601 * CHOOSE(CONTROL!$C$32, $C$9, 100%, $E$9)</f>
        <v>17.560099999999998</v>
      </c>
      <c r="H1031" s="33">
        <f>36.6631 * CHOOSE(CONTROL!$C$32, $C$9, 100%, $E$9)</f>
        <v>36.6631</v>
      </c>
      <c r="I1031" s="33">
        <f>36.6667 * CHOOSE(CONTROL!$C$32, $C$9, 100%, $E$9)</f>
        <v>36.666699999999999</v>
      </c>
      <c r="J1031" s="33">
        <f>36.6631 * CHOOSE(CONTROL!$C$32, $C$9, 100%, $E$9)</f>
        <v>36.6631</v>
      </c>
      <c r="K1031" s="33">
        <f>36.6667 * CHOOSE(CONTROL!$C$32, $C$9, 100%, $E$9)</f>
        <v>36.666699999999999</v>
      </c>
      <c r="L1031" s="33">
        <f>17.5565 * CHOOSE(CONTROL!$C$32, $C$9, 100%, $E$9)</f>
        <v>17.5565</v>
      </c>
      <c r="M1031" s="33">
        <f>17.5601 * CHOOSE(CONTROL!$C$32, $C$9, 100%, $E$9)</f>
        <v>17.560099999999998</v>
      </c>
      <c r="N1031" s="33">
        <f>17.5565 * CHOOSE(CONTROL!$C$32, $C$9, 100%, $E$9)</f>
        <v>17.5565</v>
      </c>
      <c r="O1031" s="33">
        <f>17.5601 * CHOOSE(CONTROL!$C$32, $C$9, 100%, $E$9)</f>
        <v>17.560099999999998</v>
      </c>
    </row>
    <row r="1032" spans="1:15" ht="15" x14ac:dyDescent="0.2">
      <c r="A1032" s="16">
        <v>72625</v>
      </c>
      <c r="B1032" s="32">
        <f>15.6143 * CHOOSE(CONTROL!$C$32, $C$9, 100%, $E$9)</f>
        <v>15.6143</v>
      </c>
      <c r="C1032" s="32">
        <f>15.6143 * CHOOSE(CONTROL!$C$32, $C$9, 100%, $E$9)</f>
        <v>15.6143</v>
      </c>
      <c r="D1032" s="32">
        <f>15.6154 * CHOOSE(CONTROL!$C$32, $C$9, 100%, $E$9)</f>
        <v>15.615399999999999</v>
      </c>
      <c r="E1032" s="33">
        <f>17.6617 * CHOOSE(CONTROL!$C$32, $C$9, 100%, $E$9)</f>
        <v>17.6617</v>
      </c>
      <c r="F1032" s="33">
        <f>17.6617 * CHOOSE(CONTROL!$C$32, $C$9, 100%, $E$9)</f>
        <v>17.6617</v>
      </c>
      <c r="G1032" s="33">
        <f>17.6653 * CHOOSE(CONTROL!$C$32, $C$9, 100%, $E$9)</f>
        <v>17.665299999999998</v>
      </c>
      <c r="H1032" s="33">
        <f>36.7394 * CHOOSE(CONTROL!$C$32, $C$9, 100%, $E$9)</f>
        <v>36.739400000000003</v>
      </c>
      <c r="I1032" s="33">
        <f>36.7431 * CHOOSE(CONTROL!$C$32, $C$9, 100%, $E$9)</f>
        <v>36.743099999999998</v>
      </c>
      <c r="J1032" s="33">
        <f>36.7394 * CHOOSE(CONTROL!$C$32, $C$9, 100%, $E$9)</f>
        <v>36.739400000000003</v>
      </c>
      <c r="K1032" s="33">
        <f>36.7431 * CHOOSE(CONTROL!$C$32, $C$9, 100%, $E$9)</f>
        <v>36.743099999999998</v>
      </c>
      <c r="L1032" s="33">
        <f>17.6617 * CHOOSE(CONTROL!$C$32, $C$9, 100%, $E$9)</f>
        <v>17.6617</v>
      </c>
      <c r="M1032" s="33">
        <f>17.6653 * CHOOSE(CONTROL!$C$32, $C$9, 100%, $E$9)</f>
        <v>17.665299999999998</v>
      </c>
      <c r="N1032" s="33">
        <f>17.6617 * CHOOSE(CONTROL!$C$32, $C$9, 100%, $E$9)</f>
        <v>17.6617</v>
      </c>
      <c r="O1032" s="33">
        <f>17.6653 * CHOOSE(CONTROL!$C$32, $C$9, 100%, $E$9)</f>
        <v>17.665299999999998</v>
      </c>
    </row>
    <row r="1033" spans="1:15" ht="15" x14ac:dyDescent="0.2">
      <c r="A1033" s="16">
        <v>72655</v>
      </c>
      <c r="B1033" s="32">
        <f>15.6143 * CHOOSE(CONTROL!$C$32, $C$9, 100%, $E$9)</f>
        <v>15.6143</v>
      </c>
      <c r="C1033" s="32">
        <f>15.6143 * CHOOSE(CONTROL!$C$32, $C$9, 100%, $E$9)</f>
        <v>15.6143</v>
      </c>
      <c r="D1033" s="32">
        <f>15.6154 * CHOOSE(CONTROL!$C$32, $C$9, 100%, $E$9)</f>
        <v>15.615399999999999</v>
      </c>
      <c r="E1033" s="33">
        <f>17.4039 * CHOOSE(CONTROL!$C$32, $C$9, 100%, $E$9)</f>
        <v>17.4039</v>
      </c>
      <c r="F1033" s="33">
        <f>17.4039 * CHOOSE(CONTROL!$C$32, $C$9, 100%, $E$9)</f>
        <v>17.4039</v>
      </c>
      <c r="G1033" s="33">
        <f>17.4075 * CHOOSE(CONTROL!$C$32, $C$9, 100%, $E$9)</f>
        <v>17.407499999999999</v>
      </c>
      <c r="H1033" s="33">
        <f>36.816 * CHOOSE(CONTROL!$C$32, $C$9, 100%, $E$9)</f>
        <v>36.816000000000003</v>
      </c>
      <c r="I1033" s="33">
        <f>36.8196 * CHOOSE(CONTROL!$C$32, $C$9, 100%, $E$9)</f>
        <v>36.819600000000001</v>
      </c>
      <c r="J1033" s="33">
        <f>36.816 * CHOOSE(CONTROL!$C$32, $C$9, 100%, $E$9)</f>
        <v>36.816000000000003</v>
      </c>
      <c r="K1033" s="33">
        <f>36.8196 * CHOOSE(CONTROL!$C$32, $C$9, 100%, $E$9)</f>
        <v>36.819600000000001</v>
      </c>
      <c r="L1033" s="33">
        <f>17.4039 * CHOOSE(CONTROL!$C$32, $C$9, 100%, $E$9)</f>
        <v>17.4039</v>
      </c>
      <c r="M1033" s="33">
        <f>17.4075 * CHOOSE(CONTROL!$C$32, $C$9, 100%, $E$9)</f>
        <v>17.407499999999999</v>
      </c>
      <c r="N1033" s="33">
        <f>17.4039 * CHOOSE(CONTROL!$C$32, $C$9, 100%, $E$9)</f>
        <v>17.4039</v>
      </c>
      <c r="O1033" s="33">
        <f>17.4075 * CHOOSE(CONTROL!$C$32, $C$9, 100%, $E$9)</f>
        <v>17.407499999999999</v>
      </c>
    </row>
    <row r="1034" spans="1:15" ht="15" x14ac:dyDescent="0.2">
      <c r="A1034" s="16">
        <v>72686</v>
      </c>
      <c r="B1034" s="32">
        <f>15.5645 * CHOOSE(CONTROL!$C$32, $C$9, 100%, $E$9)</f>
        <v>15.564500000000001</v>
      </c>
      <c r="C1034" s="32">
        <f>15.5645 * CHOOSE(CONTROL!$C$32, $C$9, 100%, $E$9)</f>
        <v>15.564500000000001</v>
      </c>
      <c r="D1034" s="32">
        <f>15.5655 * CHOOSE(CONTROL!$C$32, $C$9, 100%, $E$9)</f>
        <v>15.5655</v>
      </c>
      <c r="E1034" s="33">
        <f>17.5331 * CHOOSE(CONTROL!$C$32, $C$9, 100%, $E$9)</f>
        <v>17.533100000000001</v>
      </c>
      <c r="F1034" s="33">
        <f>17.5331 * CHOOSE(CONTROL!$C$32, $C$9, 100%, $E$9)</f>
        <v>17.533100000000001</v>
      </c>
      <c r="G1034" s="33">
        <f>17.5368 * CHOOSE(CONTROL!$C$32, $C$9, 100%, $E$9)</f>
        <v>17.536799999999999</v>
      </c>
      <c r="H1034" s="33">
        <f>36.4468 * CHOOSE(CONTROL!$C$32, $C$9, 100%, $E$9)</f>
        <v>36.446800000000003</v>
      </c>
      <c r="I1034" s="33">
        <f>36.4504 * CHOOSE(CONTROL!$C$32, $C$9, 100%, $E$9)</f>
        <v>36.450400000000002</v>
      </c>
      <c r="J1034" s="33">
        <f>36.4468 * CHOOSE(CONTROL!$C$32, $C$9, 100%, $E$9)</f>
        <v>36.446800000000003</v>
      </c>
      <c r="K1034" s="33">
        <f>36.4504 * CHOOSE(CONTROL!$C$32, $C$9, 100%, $E$9)</f>
        <v>36.450400000000002</v>
      </c>
      <c r="L1034" s="33">
        <f>17.5331 * CHOOSE(CONTROL!$C$32, $C$9, 100%, $E$9)</f>
        <v>17.533100000000001</v>
      </c>
      <c r="M1034" s="33">
        <f>17.5368 * CHOOSE(CONTROL!$C$32, $C$9, 100%, $E$9)</f>
        <v>17.536799999999999</v>
      </c>
      <c r="N1034" s="33">
        <f>17.5331 * CHOOSE(CONTROL!$C$32, $C$9, 100%, $E$9)</f>
        <v>17.533100000000001</v>
      </c>
      <c r="O1034" s="33">
        <f>17.5368 * CHOOSE(CONTROL!$C$32, $C$9, 100%, $E$9)</f>
        <v>17.536799999999999</v>
      </c>
    </row>
    <row r="1035" spans="1:15" ht="15" x14ac:dyDescent="0.2">
      <c r="A1035" s="16">
        <v>72717</v>
      </c>
      <c r="B1035" s="32">
        <f>15.5614 * CHOOSE(CONTROL!$C$32, $C$9, 100%, $E$9)</f>
        <v>15.561400000000001</v>
      </c>
      <c r="C1035" s="32">
        <f>15.5614 * CHOOSE(CONTROL!$C$32, $C$9, 100%, $E$9)</f>
        <v>15.561400000000001</v>
      </c>
      <c r="D1035" s="32">
        <f>15.5625 * CHOOSE(CONTROL!$C$32, $C$9, 100%, $E$9)</f>
        <v>15.5625</v>
      </c>
      <c r="E1035" s="33">
        <f>17.0366 * CHOOSE(CONTROL!$C$32, $C$9, 100%, $E$9)</f>
        <v>17.0366</v>
      </c>
      <c r="F1035" s="33">
        <f>17.0366 * CHOOSE(CONTROL!$C$32, $C$9, 100%, $E$9)</f>
        <v>17.0366</v>
      </c>
      <c r="G1035" s="33">
        <f>17.0402 * CHOOSE(CONTROL!$C$32, $C$9, 100%, $E$9)</f>
        <v>17.040199999999999</v>
      </c>
      <c r="H1035" s="33">
        <f>36.5227 * CHOOSE(CONTROL!$C$32, $C$9, 100%, $E$9)</f>
        <v>36.5227</v>
      </c>
      <c r="I1035" s="33">
        <f>36.5263 * CHOOSE(CONTROL!$C$32, $C$9, 100%, $E$9)</f>
        <v>36.526299999999999</v>
      </c>
      <c r="J1035" s="33">
        <f>36.5227 * CHOOSE(CONTROL!$C$32, $C$9, 100%, $E$9)</f>
        <v>36.5227</v>
      </c>
      <c r="K1035" s="33">
        <f>36.5263 * CHOOSE(CONTROL!$C$32, $C$9, 100%, $E$9)</f>
        <v>36.526299999999999</v>
      </c>
      <c r="L1035" s="33">
        <f>17.0366 * CHOOSE(CONTROL!$C$32, $C$9, 100%, $E$9)</f>
        <v>17.0366</v>
      </c>
      <c r="M1035" s="33">
        <f>17.0402 * CHOOSE(CONTROL!$C$32, $C$9, 100%, $E$9)</f>
        <v>17.040199999999999</v>
      </c>
      <c r="N1035" s="33">
        <f>17.0366 * CHOOSE(CONTROL!$C$32, $C$9, 100%, $E$9)</f>
        <v>17.0366</v>
      </c>
      <c r="O1035" s="33">
        <f>17.0402 * CHOOSE(CONTROL!$C$32, $C$9, 100%, $E$9)</f>
        <v>17.040199999999999</v>
      </c>
    </row>
    <row r="1036" spans="1:15" ht="15" x14ac:dyDescent="0.2">
      <c r="A1036" s="16">
        <v>72745</v>
      </c>
      <c r="B1036" s="32">
        <f>15.5584 * CHOOSE(CONTROL!$C$32, $C$9, 100%, $E$9)</f>
        <v>15.558400000000001</v>
      </c>
      <c r="C1036" s="32">
        <f>15.5584 * CHOOSE(CONTROL!$C$32, $C$9, 100%, $E$9)</f>
        <v>15.558400000000001</v>
      </c>
      <c r="D1036" s="32">
        <f>15.5595 * CHOOSE(CONTROL!$C$32, $C$9, 100%, $E$9)</f>
        <v>15.5595</v>
      </c>
      <c r="E1036" s="33">
        <f>17.4243 * CHOOSE(CONTROL!$C$32, $C$9, 100%, $E$9)</f>
        <v>17.424299999999999</v>
      </c>
      <c r="F1036" s="33">
        <f>17.4243 * CHOOSE(CONTROL!$C$32, $C$9, 100%, $E$9)</f>
        <v>17.424299999999999</v>
      </c>
      <c r="G1036" s="33">
        <f>17.4279 * CHOOSE(CONTROL!$C$32, $C$9, 100%, $E$9)</f>
        <v>17.427900000000001</v>
      </c>
      <c r="H1036" s="33">
        <f>36.5988 * CHOOSE(CONTROL!$C$32, $C$9, 100%, $E$9)</f>
        <v>36.598799999999997</v>
      </c>
      <c r="I1036" s="33">
        <f>36.6024 * CHOOSE(CONTROL!$C$32, $C$9, 100%, $E$9)</f>
        <v>36.602400000000003</v>
      </c>
      <c r="J1036" s="33">
        <f>36.5988 * CHOOSE(CONTROL!$C$32, $C$9, 100%, $E$9)</f>
        <v>36.598799999999997</v>
      </c>
      <c r="K1036" s="33">
        <f>36.6024 * CHOOSE(CONTROL!$C$32, $C$9, 100%, $E$9)</f>
        <v>36.602400000000003</v>
      </c>
      <c r="L1036" s="33">
        <f>17.4243 * CHOOSE(CONTROL!$C$32, $C$9, 100%, $E$9)</f>
        <v>17.424299999999999</v>
      </c>
      <c r="M1036" s="33">
        <f>17.4279 * CHOOSE(CONTROL!$C$32, $C$9, 100%, $E$9)</f>
        <v>17.427900000000001</v>
      </c>
      <c r="N1036" s="33">
        <f>17.4243 * CHOOSE(CONTROL!$C$32, $C$9, 100%, $E$9)</f>
        <v>17.424299999999999</v>
      </c>
      <c r="O1036" s="33">
        <f>17.4279 * CHOOSE(CONTROL!$C$32, $C$9, 100%, $E$9)</f>
        <v>17.427900000000001</v>
      </c>
    </row>
    <row r="1037" spans="1:15" ht="15" x14ac:dyDescent="0.2">
      <c r="A1037" s="16">
        <v>72776</v>
      </c>
      <c r="B1037" s="32">
        <f>15.5673 * CHOOSE(CONTROL!$C$32, $C$9, 100%, $E$9)</f>
        <v>15.567299999999999</v>
      </c>
      <c r="C1037" s="32">
        <f>15.5673 * CHOOSE(CONTROL!$C$32, $C$9, 100%, $E$9)</f>
        <v>15.567299999999999</v>
      </c>
      <c r="D1037" s="32">
        <f>15.5683 * CHOOSE(CONTROL!$C$32, $C$9, 100%, $E$9)</f>
        <v>15.568300000000001</v>
      </c>
      <c r="E1037" s="33">
        <f>17.8386 * CHOOSE(CONTROL!$C$32, $C$9, 100%, $E$9)</f>
        <v>17.8386</v>
      </c>
      <c r="F1037" s="33">
        <f>17.8386 * CHOOSE(CONTROL!$C$32, $C$9, 100%, $E$9)</f>
        <v>17.8386</v>
      </c>
      <c r="G1037" s="33">
        <f>17.8422 * CHOOSE(CONTROL!$C$32, $C$9, 100%, $E$9)</f>
        <v>17.842199999999998</v>
      </c>
      <c r="H1037" s="33">
        <f>36.675 * CHOOSE(CONTROL!$C$32, $C$9, 100%, $E$9)</f>
        <v>36.674999999999997</v>
      </c>
      <c r="I1037" s="33">
        <f>36.6787 * CHOOSE(CONTROL!$C$32, $C$9, 100%, $E$9)</f>
        <v>36.678699999999999</v>
      </c>
      <c r="J1037" s="33">
        <f>36.675 * CHOOSE(CONTROL!$C$32, $C$9, 100%, $E$9)</f>
        <v>36.674999999999997</v>
      </c>
      <c r="K1037" s="33">
        <f>36.6787 * CHOOSE(CONTROL!$C$32, $C$9, 100%, $E$9)</f>
        <v>36.678699999999999</v>
      </c>
      <c r="L1037" s="33">
        <f>17.8386 * CHOOSE(CONTROL!$C$32, $C$9, 100%, $E$9)</f>
        <v>17.8386</v>
      </c>
      <c r="M1037" s="33">
        <f>17.8422 * CHOOSE(CONTROL!$C$32, $C$9, 100%, $E$9)</f>
        <v>17.842199999999998</v>
      </c>
      <c r="N1037" s="33">
        <f>17.8386 * CHOOSE(CONTROL!$C$32, $C$9, 100%, $E$9)</f>
        <v>17.8386</v>
      </c>
      <c r="O1037" s="33">
        <f>17.8422 * CHOOSE(CONTROL!$C$32, $C$9, 100%, $E$9)</f>
        <v>17.842199999999998</v>
      </c>
    </row>
    <row r="1038" spans="1:15" ht="15" x14ac:dyDescent="0.2">
      <c r="A1038" s="16">
        <v>72806</v>
      </c>
      <c r="B1038" s="32">
        <f>15.5673 * CHOOSE(CONTROL!$C$32, $C$9, 100%, $E$9)</f>
        <v>15.567299999999999</v>
      </c>
      <c r="C1038" s="32">
        <f>15.5673 * CHOOSE(CONTROL!$C$32, $C$9, 100%, $E$9)</f>
        <v>15.567299999999999</v>
      </c>
      <c r="D1038" s="32">
        <f>15.5688 * CHOOSE(CONTROL!$C$32, $C$9, 100%, $E$9)</f>
        <v>15.5688</v>
      </c>
      <c r="E1038" s="33">
        <f>17.9956 * CHOOSE(CONTROL!$C$32, $C$9, 100%, $E$9)</f>
        <v>17.9956</v>
      </c>
      <c r="F1038" s="33">
        <f>17.9956 * CHOOSE(CONTROL!$C$32, $C$9, 100%, $E$9)</f>
        <v>17.9956</v>
      </c>
      <c r="G1038" s="33">
        <f>18.0009 * CHOOSE(CONTROL!$C$32, $C$9, 100%, $E$9)</f>
        <v>18.000900000000001</v>
      </c>
      <c r="H1038" s="33">
        <f>36.7514 * CHOOSE(CONTROL!$C$32, $C$9, 100%, $E$9)</f>
        <v>36.751399999999997</v>
      </c>
      <c r="I1038" s="33">
        <f>36.7567 * CHOOSE(CONTROL!$C$32, $C$9, 100%, $E$9)</f>
        <v>36.756700000000002</v>
      </c>
      <c r="J1038" s="33">
        <f>36.7514 * CHOOSE(CONTROL!$C$32, $C$9, 100%, $E$9)</f>
        <v>36.751399999999997</v>
      </c>
      <c r="K1038" s="33">
        <f>36.7567 * CHOOSE(CONTROL!$C$32, $C$9, 100%, $E$9)</f>
        <v>36.756700000000002</v>
      </c>
      <c r="L1038" s="33">
        <f>17.9956 * CHOOSE(CONTROL!$C$32, $C$9, 100%, $E$9)</f>
        <v>17.9956</v>
      </c>
      <c r="M1038" s="33">
        <f>18.0009 * CHOOSE(CONTROL!$C$32, $C$9, 100%, $E$9)</f>
        <v>18.000900000000001</v>
      </c>
      <c r="N1038" s="33">
        <f>17.9956 * CHOOSE(CONTROL!$C$32, $C$9, 100%, $E$9)</f>
        <v>17.9956</v>
      </c>
      <c r="O1038" s="33">
        <f>18.0009 * CHOOSE(CONTROL!$C$32, $C$9, 100%, $E$9)</f>
        <v>18.000900000000001</v>
      </c>
    </row>
    <row r="1039" spans="1:15" ht="15" x14ac:dyDescent="0.2">
      <c r="A1039" s="16">
        <v>72837</v>
      </c>
      <c r="B1039" s="32">
        <f>15.5733 * CHOOSE(CONTROL!$C$32, $C$9, 100%, $E$9)</f>
        <v>15.5733</v>
      </c>
      <c r="C1039" s="32">
        <f>15.5733 * CHOOSE(CONTROL!$C$32, $C$9, 100%, $E$9)</f>
        <v>15.5733</v>
      </c>
      <c r="D1039" s="32">
        <f>15.5749 * CHOOSE(CONTROL!$C$32, $C$9, 100%, $E$9)</f>
        <v>15.5749</v>
      </c>
      <c r="E1039" s="33">
        <f>17.8428 * CHOOSE(CONTROL!$C$32, $C$9, 100%, $E$9)</f>
        <v>17.8428</v>
      </c>
      <c r="F1039" s="33">
        <f>17.8428 * CHOOSE(CONTROL!$C$32, $C$9, 100%, $E$9)</f>
        <v>17.8428</v>
      </c>
      <c r="G1039" s="33">
        <f>17.8481 * CHOOSE(CONTROL!$C$32, $C$9, 100%, $E$9)</f>
        <v>17.848099999999999</v>
      </c>
      <c r="H1039" s="33">
        <f>36.828 * CHOOSE(CONTROL!$C$32, $C$9, 100%, $E$9)</f>
        <v>36.828000000000003</v>
      </c>
      <c r="I1039" s="33">
        <f>36.8333 * CHOOSE(CONTROL!$C$32, $C$9, 100%, $E$9)</f>
        <v>36.833300000000001</v>
      </c>
      <c r="J1039" s="33">
        <f>36.828 * CHOOSE(CONTROL!$C$32, $C$9, 100%, $E$9)</f>
        <v>36.828000000000003</v>
      </c>
      <c r="K1039" s="33">
        <f>36.8333 * CHOOSE(CONTROL!$C$32, $C$9, 100%, $E$9)</f>
        <v>36.833300000000001</v>
      </c>
      <c r="L1039" s="33">
        <f>17.8428 * CHOOSE(CONTROL!$C$32, $C$9, 100%, $E$9)</f>
        <v>17.8428</v>
      </c>
      <c r="M1039" s="33">
        <f>17.8481 * CHOOSE(CONTROL!$C$32, $C$9, 100%, $E$9)</f>
        <v>17.848099999999999</v>
      </c>
      <c r="N1039" s="33">
        <f>17.8428 * CHOOSE(CONTROL!$C$32, $C$9, 100%, $E$9)</f>
        <v>17.8428</v>
      </c>
      <c r="O1039" s="33">
        <f>17.8481 * CHOOSE(CONTROL!$C$32, $C$9, 100%, $E$9)</f>
        <v>17.848099999999999</v>
      </c>
    </row>
    <row r="1040" spans="1:15" ht="15" x14ac:dyDescent="0.2">
      <c r="A1040" s="16">
        <v>72867</v>
      </c>
      <c r="B1040" s="32">
        <f>15.7588 * CHOOSE(CONTROL!$C$32, $C$9, 100%, $E$9)</f>
        <v>15.758800000000001</v>
      </c>
      <c r="C1040" s="32">
        <f>15.7588 * CHOOSE(CONTROL!$C$32, $C$9, 100%, $E$9)</f>
        <v>15.758800000000001</v>
      </c>
      <c r="D1040" s="32">
        <f>15.7604 * CHOOSE(CONTROL!$C$32, $C$9, 100%, $E$9)</f>
        <v>15.760400000000001</v>
      </c>
      <c r="E1040" s="33">
        <f>18.0969 * CHOOSE(CONTROL!$C$32, $C$9, 100%, $E$9)</f>
        <v>18.096900000000002</v>
      </c>
      <c r="F1040" s="33">
        <f>18.0969 * CHOOSE(CONTROL!$C$32, $C$9, 100%, $E$9)</f>
        <v>18.096900000000002</v>
      </c>
      <c r="G1040" s="33">
        <f>18.1022 * CHOOSE(CONTROL!$C$32, $C$9, 100%, $E$9)</f>
        <v>18.1022</v>
      </c>
      <c r="H1040" s="33">
        <f>36.9047 * CHOOSE(CONTROL!$C$32, $C$9, 100%, $E$9)</f>
        <v>36.904699999999998</v>
      </c>
      <c r="I1040" s="33">
        <f>36.91 * CHOOSE(CONTROL!$C$32, $C$9, 100%, $E$9)</f>
        <v>36.909999999999997</v>
      </c>
      <c r="J1040" s="33">
        <f>36.9047 * CHOOSE(CONTROL!$C$32, $C$9, 100%, $E$9)</f>
        <v>36.904699999999998</v>
      </c>
      <c r="K1040" s="33">
        <f>36.91 * CHOOSE(CONTROL!$C$32, $C$9, 100%, $E$9)</f>
        <v>36.909999999999997</v>
      </c>
      <c r="L1040" s="33">
        <f>18.0969 * CHOOSE(CONTROL!$C$32, $C$9, 100%, $E$9)</f>
        <v>18.096900000000002</v>
      </c>
      <c r="M1040" s="33">
        <f>18.1022 * CHOOSE(CONTROL!$C$32, $C$9, 100%, $E$9)</f>
        <v>18.1022</v>
      </c>
      <c r="N1040" s="33">
        <f>18.0969 * CHOOSE(CONTROL!$C$32, $C$9, 100%, $E$9)</f>
        <v>18.096900000000002</v>
      </c>
      <c r="O1040" s="33">
        <f>18.1022 * CHOOSE(CONTROL!$C$32, $C$9, 100%, $E$9)</f>
        <v>18.1022</v>
      </c>
    </row>
    <row r="1041" spans="1:15" ht="15" x14ac:dyDescent="0.2">
      <c r="A1041" s="16">
        <v>72898</v>
      </c>
      <c r="B1041" s="32">
        <f>15.7655 * CHOOSE(CONTROL!$C$32, $C$9, 100%, $E$9)</f>
        <v>15.765499999999999</v>
      </c>
      <c r="C1041" s="32">
        <f>15.7655 * CHOOSE(CONTROL!$C$32, $C$9, 100%, $E$9)</f>
        <v>15.765499999999999</v>
      </c>
      <c r="D1041" s="32">
        <f>15.7671 * CHOOSE(CONTROL!$C$32, $C$9, 100%, $E$9)</f>
        <v>15.767099999999999</v>
      </c>
      <c r="E1041" s="33">
        <f>17.6307 * CHOOSE(CONTROL!$C$32, $C$9, 100%, $E$9)</f>
        <v>17.630700000000001</v>
      </c>
      <c r="F1041" s="33">
        <f>17.6307 * CHOOSE(CONTROL!$C$32, $C$9, 100%, $E$9)</f>
        <v>17.630700000000001</v>
      </c>
      <c r="G1041" s="33">
        <f>17.636 * CHOOSE(CONTROL!$C$32, $C$9, 100%, $E$9)</f>
        <v>17.635999999999999</v>
      </c>
      <c r="H1041" s="33">
        <f>36.9816 * CHOOSE(CONTROL!$C$32, $C$9, 100%, $E$9)</f>
        <v>36.9816</v>
      </c>
      <c r="I1041" s="33">
        <f>36.9869 * CHOOSE(CONTROL!$C$32, $C$9, 100%, $E$9)</f>
        <v>36.986899999999999</v>
      </c>
      <c r="J1041" s="33">
        <f>36.9816 * CHOOSE(CONTROL!$C$32, $C$9, 100%, $E$9)</f>
        <v>36.9816</v>
      </c>
      <c r="K1041" s="33">
        <f>36.9869 * CHOOSE(CONTROL!$C$32, $C$9, 100%, $E$9)</f>
        <v>36.986899999999999</v>
      </c>
      <c r="L1041" s="33">
        <f>17.6307 * CHOOSE(CONTROL!$C$32, $C$9, 100%, $E$9)</f>
        <v>17.630700000000001</v>
      </c>
      <c r="M1041" s="33">
        <f>17.636 * CHOOSE(CONTROL!$C$32, $C$9, 100%, $E$9)</f>
        <v>17.635999999999999</v>
      </c>
      <c r="N1041" s="33">
        <f>17.6307 * CHOOSE(CONTROL!$C$32, $C$9, 100%, $E$9)</f>
        <v>17.630700000000001</v>
      </c>
      <c r="O1041" s="33">
        <f>17.636 * CHOOSE(CONTROL!$C$32, $C$9, 100%, $E$9)</f>
        <v>17.635999999999999</v>
      </c>
    </row>
    <row r="1042" spans="1:15" ht="15" x14ac:dyDescent="0.2">
      <c r="A1042" s="16">
        <v>72929</v>
      </c>
      <c r="B1042" s="32">
        <f>15.7625 * CHOOSE(CONTROL!$C$32, $C$9, 100%, $E$9)</f>
        <v>15.762499999999999</v>
      </c>
      <c r="C1042" s="32">
        <f>15.7625 * CHOOSE(CONTROL!$C$32, $C$9, 100%, $E$9)</f>
        <v>15.762499999999999</v>
      </c>
      <c r="D1042" s="32">
        <f>15.7641 * CHOOSE(CONTROL!$C$32, $C$9, 100%, $E$9)</f>
        <v>15.764099999999999</v>
      </c>
      <c r="E1042" s="33">
        <f>17.5763 * CHOOSE(CONTROL!$C$32, $C$9, 100%, $E$9)</f>
        <v>17.5763</v>
      </c>
      <c r="F1042" s="33">
        <f>17.5763 * CHOOSE(CONTROL!$C$32, $C$9, 100%, $E$9)</f>
        <v>17.5763</v>
      </c>
      <c r="G1042" s="33">
        <f>17.5816 * CHOOSE(CONTROL!$C$32, $C$9, 100%, $E$9)</f>
        <v>17.581600000000002</v>
      </c>
      <c r="H1042" s="33">
        <f>37.0587 * CHOOSE(CONTROL!$C$32, $C$9, 100%, $E$9)</f>
        <v>37.058700000000002</v>
      </c>
      <c r="I1042" s="33">
        <f>37.064 * CHOOSE(CONTROL!$C$32, $C$9, 100%, $E$9)</f>
        <v>37.064</v>
      </c>
      <c r="J1042" s="33">
        <f>37.0587 * CHOOSE(CONTROL!$C$32, $C$9, 100%, $E$9)</f>
        <v>37.058700000000002</v>
      </c>
      <c r="K1042" s="33">
        <f>37.064 * CHOOSE(CONTROL!$C$32, $C$9, 100%, $E$9)</f>
        <v>37.064</v>
      </c>
      <c r="L1042" s="33">
        <f>17.5763 * CHOOSE(CONTROL!$C$32, $C$9, 100%, $E$9)</f>
        <v>17.5763</v>
      </c>
      <c r="M1042" s="33">
        <f>17.5816 * CHOOSE(CONTROL!$C$32, $C$9, 100%, $E$9)</f>
        <v>17.581600000000002</v>
      </c>
      <c r="N1042" s="33">
        <f>17.5763 * CHOOSE(CONTROL!$C$32, $C$9, 100%, $E$9)</f>
        <v>17.5763</v>
      </c>
      <c r="O1042" s="33">
        <f>17.5816 * CHOOSE(CONTROL!$C$32, $C$9, 100%, $E$9)</f>
        <v>17.581600000000002</v>
      </c>
    </row>
    <row r="1043" spans="1:15" ht="15" x14ac:dyDescent="0.2">
      <c r="A1043" s="16">
        <v>72959</v>
      </c>
      <c r="B1043" s="32">
        <f>15.8016 * CHOOSE(CONTROL!$C$32, $C$9, 100%, $E$9)</f>
        <v>15.801600000000001</v>
      </c>
      <c r="C1043" s="32">
        <f>15.8016 * CHOOSE(CONTROL!$C$32, $C$9, 100%, $E$9)</f>
        <v>15.801600000000001</v>
      </c>
      <c r="D1043" s="32">
        <f>15.8026 * CHOOSE(CONTROL!$C$32, $C$9, 100%, $E$9)</f>
        <v>15.8026</v>
      </c>
      <c r="E1043" s="33">
        <f>17.7721 * CHOOSE(CONTROL!$C$32, $C$9, 100%, $E$9)</f>
        <v>17.772099999999998</v>
      </c>
      <c r="F1043" s="33">
        <f>17.7721 * CHOOSE(CONTROL!$C$32, $C$9, 100%, $E$9)</f>
        <v>17.772099999999998</v>
      </c>
      <c r="G1043" s="33">
        <f>17.7758 * CHOOSE(CONTROL!$C$32, $C$9, 100%, $E$9)</f>
        <v>17.7758</v>
      </c>
      <c r="H1043" s="33">
        <f>37.1359 * CHOOSE(CONTROL!$C$32, $C$9, 100%, $E$9)</f>
        <v>37.135899999999999</v>
      </c>
      <c r="I1043" s="33">
        <f>37.1395 * CHOOSE(CONTROL!$C$32, $C$9, 100%, $E$9)</f>
        <v>37.139499999999998</v>
      </c>
      <c r="J1043" s="33">
        <f>37.1359 * CHOOSE(CONTROL!$C$32, $C$9, 100%, $E$9)</f>
        <v>37.135899999999999</v>
      </c>
      <c r="K1043" s="33">
        <f>37.1395 * CHOOSE(CONTROL!$C$32, $C$9, 100%, $E$9)</f>
        <v>37.139499999999998</v>
      </c>
      <c r="L1043" s="33">
        <f>17.7721 * CHOOSE(CONTROL!$C$32, $C$9, 100%, $E$9)</f>
        <v>17.772099999999998</v>
      </c>
      <c r="M1043" s="33">
        <f>17.7758 * CHOOSE(CONTROL!$C$32, $C$9, 100%, $E$9)</f>
        <v>17.7758</v>
      </c>
      <c r="N1043" s="33">
        <f>17.7721 * CHOOSE(CONTROL!$C$32, $C$9, 100%, $E$9)</f>
        <v>17.772099999999998</v>
      </c>
      <c r="O1043" s="33">
        <f>17.7758 * CHOOSE(CONTROL!$C$32, $C$9, 100%, $E$9)</f>
        <v>17.7758</v>
      </c>
    </row>
    <row r="1044" spans="1:15" ht="15" x14ac:dyDescent="0.2">
      <c r="A1044" s="16">
        <v>72990</v>
      </c>
      <c r="B1044" s="32">
        <f>15.8046 * CHOOSE(CONTROL!$C$32, $C$9, 100%, $E$9)</f>
        <v>15.804600000000001</v>
      </c>
      <c r="C1044" s="32">
        <f>15.8046 * CHOOSE(CONTROL!$C$32, $C$9, 100%, $E$9)</f>
        <v>15.804600000000001</v>
      </c>
      <c r="D1044" s="32">
        <f>15.8057 * CHOOSE(CONTROL!$C$32, $C$9, 100%, $E$9)</f>
        <v>15.8057</v>
      </c>
      <c r="E1044" s="33">
        <f>17.8789 * CHOOSE(CONTROL!$C$32, $C$9, 100%, $E$9)</f>
        <v>17.878900000000002</v>
      </c>
      <c r="F1044" s="33">
        <f>17.8789 * CHOOSE(CONTROL!$C$32, $C$9, 100%, $E$9)</f>
        <v>17.878900000000002</v>
      </c>
      <c r="G1044" s="33">
        <f>17.8825 * CHOOSE(CONTROL!$C$32, $C$9, 100%, $E$9)</f>
        <v>17.8825</v>
      </c>
      <c r="H1044" s="33">
        <f>37.2132 * CHOOSE(CONTROL!$C$32, $C$9, 100%, $E$9)</f>
        <v>37.213200000000001</v>
      </c>
      <c r="I1044" s="33">
        <f>37.2169 * CHOOSE(CONTROL!$C$32, $C$9, 100%, $E$9)</f>
        <v>37.216900000000003</v>
      </c>
      <c r="J1044" s="33">
        <f>37.2132 * CHOOSE(CONTROL!$C$32, $C$9, 100%, $E$9)</f>
        <v>37.213200000000001</v>
      </c>
      <c r="K1044" s="33">
        <f>37.2169 * CHOOSE(CONTROL!$C$32, $C$9, 100%, $E$9)</f>
        <v>37.216900000000003</v>
      </c>
      <c r="L1044" s="33">
        <f>17.8789 * CHOOSE(CONTROL!$C$32, $C$9, 100%, $E$9)</f>
        <v>17.878900000000002</v>
      </c>
      <c r="M1044" s="33">
        <f>17.8825 * CHOOSE(CONTROL!$C$32, $C$9, 100%, $E$9)</f>
        <v>17.8825</v>
      </c>
      <c r="N1044" s="33">
        <f>17.8789 * CHOOSE(CONTROL!$C$32, $C$9, 100%, $E$9)</f>
        <v>17.878900000000002</v>
      </c>
      <c r="O1044" s="33">
        <f>17.8825 * CHOOSE(CONTROL!$C$32, $C$9, 100%, $E$9)</f>
        <v>17.8825</v>
      </c>
    </row>
    <row r="1045" spans="1:15" ht="15" x14ac:dyDescent="0.2">
      <c r="A1045" s="16">
        <v>73020</v>
      </c>
      <c r="B1045" s="32">
        <f>15.8046 * CHOOSE(CONTROL!$C$32, $C$9, 100%, $E$9)</f>
        <v>15.804600000000001</v>
      </c>
      <c r="C1045" s="32">
        <f>15.8046 * CHOOSE(CONTROL!$C$32, $C$9, 100%, $E$9)</f>
        <v>15.804600000000001</v>
      </c>
      <c r="D1045" s="32">
        <f>15.8057 * CHOOSE(CONTROL!$C$32, $C$9, 100%, $E$9)</f>
        <v>15.8057</v>
      </c>
      <c r="E1045" s="33">
        <f>17.6173 * CHOOSE(CONTROL!$C$32, $C$9, 100%, $E$9)</f>
        <v>17.6173</v>
      </c>
      <c r="F1045" s="33">
        <f>17.6173 * CHOOSE(CONTROL!$C$32, $C$9, 100%, $E$9)</f>
        <v>17.6173</v>
      </c>
      <c r="G1045" s="33">
        <f>17.6209 * CHOOSE(CONTROL!$C$32, $C$9, 100%, $E$9)</f>
        <v>17.620899999999999</v>
      </c>
      <c r="H1045" s="33">
        <f>37.2908 * CHOOSE(CONTROL!$C$32, $C$9, 100%, $E$9)</f>
        <v>37.290799999999997</v>
      </c>
      <c r="I1045" s="33">
        <f>37.2944 * CHOOSE(CONTROL!$C$32, $C$9, 100%, $E$9)</f>
        <v>37.294400000000003</v>
      </c>
      <c r="J1045" s="33">
        <f>37.2908 * CHOOSE(CONTROL!$C$32, $C$9, 100%, $E$9)</f>
        <v>37.290799999999997</v>
      </c>
      <c r="K1045" s="33">
        <f>37.2944 * CHOOSE(CONTROL!$C$32, $C$9, 100%, $E$9)</f>
        <v>37.294400000000003</v>
      </c>
      <c r="L1045" s="33">
        <f>17.6173 * CHOOSE(CONTROL!$C$32, $C$9, 100%, $E$9)</f>
        <v>17.6173</v>
      </c>
      <c r="M1045" s="33">
        <f>17.6209 * CHOOSE(CONTROL!$C$32, $C$9, 100%, $E$9)</f>
        <v>17.620899999999999</v>
      </c>
      <c r="N1045" s="33">
        <f>17.6173 * CHOOSE(CONTROL!$C$32, $C$9, 100%, $E$9)</f>
        <v>17.6173</v>
      </c>
      <c r="O1045" s="33">
        <f>17.6209 * CHOOSE(CONTROL!$C$32, $C$9, 100%, $E$9)</f>
        <v>17.620899999999999</v>
      </c>
    </row>
    <row r="1046" spans="1:15" ht="15" x14ac:dyDescent="0.2">
      <c r="A1046" s="16">
        <v>73051</v>
      </c>
      <c r="B1046" s="32">
        <f>15.7518 * CHOOSE(CONTROL!$C$32, $C$9, 100%, $E$9)</f>
        <v>15.751799999999999</v>
      </c>
      <c r="C1046" s="32">
        <f>15.7518 * CHOOSE(CONTROL!$C$32, $C$9, 100%, $E$9)</f>
        <v>15.751799999999999</v>
      </c>
      <c r="D1046" s="32">
        <f>15.7529 * CHOOSE(CONTROL!$C$32, $C$9, 100%, $E$9)</f>
        <v>15.7529</v>
      </c>
      <c r="E1046" s="33">
        <f>17.7456 * CHOOSE(CONTROL!$C$32, $C$9, 100%, $E$9)</f>
        <v>17.7456</v>
      </c>
      <c r="F1046" s="33">
        <f>17.7456 * CHOOSE(CONTROL!$C$32, $C$9, 100%, $E$9)</f>
        <v>17.7456</v>
      </c>
      <c r="G1046" s="33">
        <f>17.7493 * CHOOSE(CONTROL!$C$32, $C$9, 100%, $E$9)</f>
        <v>17.749300000000002</v>
      </c>
      <c r="H1046" s="33">
        <f>36.9108 * CHOOSE(CONTROL!$C$32, $C$9, 100%, $E$9)</f>
        <v>36.910800000000002</v>
      </c>
      <c r="I1046" s="33">
        <f>36.9144 * CHOOSE(CONTROL!$C$32, $C$9, 100%, $E$9)</f>
        <v>36.914400000000001</v>
      </c>
      <c r="J1046" s="33">
        <f>36.9108 * CHOOSE(CONTROL!$C$32, $C$9, 100%, $E$9)</f>
        <v>36.910800000000002</v>
      </c>
      <c r="K1046" s="33">
        <f>36.9144 * CHOOSE(CONTROL!$C$32, $C$9, 100%, $E$9)</f>
        <v>36.914400000000001</v>
      </c>
      <c r="L1046" s="33">
        <f>17.7456 * CHOOSE(CONTROL!$C$32, $C$9, 100%, $E$9)</f>
        <v>17.7456</v>
      </c>
      <c r="M1046" s="33">
        <f>17.7493 * CHOOSE(CONTROL!$C$32, $C$9, 100%, $E$9)</f>
        <v>17.749300000000002</v>
      </c>
      <c r="N1046" s="33">
        <f>17.7456 * CHOOSE(CONTROL!$C$32, $C$9, 100%, $E$9)</f>
        <v>17.7456</v>
      </c>
      <c r="O1046" s="33">
        <f>17.7493 * CHOOSE(CONTROL!$C$32, $C$9, 100%, $E$9)</f>
        <v>17.749300000000002</v>
      </c>
    </row>
    <row r="1047" spans="1:15" ht="15" x14ac:dyDescent="0.2">
      <c r="A1047" s="16">
        <v>73082</v>
      </c>
      <c r="B1047" s="32">
        <f>15.7488 * CHOOSE(CONTROL!$C$32, $C$9, 100%, $E$9)</f>
        <v>15.748799999999999</v>
      </c>
      <c r="C1047" s="32">
        <f>15.7488 * CHOOSE(CONTROL!$C$32, $C$9, 100%, $E$9)</f>
        <v>15.748799999999999</v>
      </c>
      <c r="D1047" s="32">
        <f>15.7498 * CHOOSE(CONTROL!$C$32, $C$9, 100%, $E$9)</f>
        <v>15.7498</v>
      </c>
      <c r="E1047" s="33">
        <f>17.242 * CHOOSE(CONTROL!$C$32, $C$9, 100%, $E$9)</f>
        <v>17.242000000000001</v>
      </c>
      <c r="F1047" s="33">
        <f>17.242 * CHOOSE(CONTROL!$C$32, $C$9, 100%, $E$9)</f>
        <v>17.242000000000001</v>
      </c>
      <c r="G1047" s="33">
        <f>17.2457 * CHOOSE(CONTROL!$C$32, $C$9, 100%, $E$9)</f>
        <v>17.245699999999999</v>
      </c>
      <c r="H1047" s="33">
        <f>36.9877 * CHOOSE(CONTROL!$C$32, $C$9, 100%, $E$9)</f>
        <v>36.987699999999997</v>
      </c>
      <c r="I1047" s="33">
        <f>36.9913 * CHOOSE(CONTROL!$C$32, $C$9, 100%, $E$9)</f>
        <v>36.991300000000003</v>
      </c>
      <c r="J1047" s="33">
        <f>36.9877 * CHOOSE(CONTROL!$C$32, $C$9, 100%, $E$9)</f>
        <v>36.987699999999997</v>
      </c>
      <c r="K1047" s="33">
        <f>36.9913 * CHOOSE(CONTROL!$C$32, $C$9, 100%, $E$9)</f>
        <v>36.991300000000003</v>
      </c>
      <c r="L1047" s="33">
        <f>17.242 * CHOOSE(CONTROL!$C$32, $C$9, 100%, $E$9)</f>
        <v>17.242000000000001</v>
      </c>
      <c r="M1047" s="33">
        <f>17.2457 * CHOOSE(CONTROL!$C$32, $C$9, 100%, $E$9)</f>
        <v>17.245699999999999</v>
      </c>
      <c r="N1047" s="33">
        <f>17.242 * CHOOSE(CONTROL!$C$32, $C$9, 100%, $E$9)</f>
        <v>17.242000000000001</v>
      </c>
      <c r="O1047" s="33">
        <f>17.2457 * CHOOSE(CONTROL!$C$32, $C$9, 100%, $E$9)</f>
        <v>17.245699999999999</v>
      </c>
    </row>
    <row r="1048" spans="1:15" ht="15" x14ac:dyDescent="0.2">
      <c r="A1048" s="16">
        <v>73110</v>
      </c>
      <c r="B1048" s="32">
        <f>15.7457 * CHOOSE(CONTROL!$C$32, $C$9, 100%, $E$9)</f>
        <v>15.745699999999999</v>
      </c>
      <c r="C1048" s="32">
        <f>15.7457 * CHOOSE(CONTROL!$C$32, $C$9, 100%, $E$9)</f>
        <v>15.745699999999999</v>
      </c>
      <c r="D1048" s="32">
        <f>15.7468 * CHOOSE(CONTROL!$C$32, $C$9, 100%, $E$9)</f>
        <v>15.7468</v>
      </c>
      <c r="E1048" s="33">
        <f>17.6353 * CHOOSE(CONTROL!$C$32, $C$9, 100%, $E$9)</f>
        <v>17.635300000000001</v>
      </c>
      <c r="F1048" s="33">
        <f>17.6353 * CHOOSE(CONTROL!$C$32, $C$9, 100%, $E$9)</f>
        <v>17.635300000000001</v>
      </c>
      <c r="G1048" s="33">
        <f>17.6389 * CHOOSE(CONTROL!$C$32, $C$9, 100%, $E$9)</f>
        <v>17.6389</v>
      </c>
      <c r="H1048" s="33">
        <f>37.0648 * CHOOSE(CONTROL!$C$32, $C$9, 100%, $E$9)</f>
        <v>37.064799999999998</v>
      </c>
      <c r="I1048" s="33">
        <f>37.0684 * CHOOSE(CONTROL!$C$32, $C$9, 100%, $E$9)</f>
        <v>37.068399999999997</v>
      </c>
      <c r="J1048" s="33">
        <f>37.0648 * CHOOSE(CONTROL!$C$32, $C$9, 100%, $E$9)</f>
        <v>37.064799999999998</v>
      </c>
      <c r="K1048" s="33">
        <f>37.0684 * CHOOSE(CONTROL!$C$32, $C$9, 100%, $E$9)</f>
        <v>37.068399999999997</v>
      </c>
      <c r="L1048" s="33">
        <f>17.6353 * CHOOSE(CONTROL!$C$32, $C$9, 100%, $E$9)</f>
        <v>17.635300000000001</v>
      </c>
      <c r="M1048" s="33">
        <f>17.6389 * CHOOSE(CONTROL!$C$32, $C$9, 100%, $E$9)</f>
        <v>17.6389</v>
      </c>
      <c r="N1048" s="33">
        <f>17.6353 * CHOOSE(CONTROL!$C$32, $C$9, 100%, $E$9)</f>
        <v>17.635300000000001</v>
      </c>
      <c r="O1048" s="33">
        <f>17.6389 * CHOOSE(CONTROL!$C$32, $C$9, 100%, $E$9)</f>
        <v>17.6389</v>
      </c>
    </row>
    <row r="1049" spans="1:15" ht="15" x14ac:dyDescent="0.2">
      <c r="A1049" s="16">
        <v>73141</v>
      </c>
      <c r="B1049" s="32">
        <f>15.7548 * CHOOSE(CONTROL!$C$32, $C$9, 100%, $E$9)</f>
        <v>15.754799999999999</v>
      </c>
      <c r="C1049" s="32">
        <f>15.7548 * CHOOSE(CONTROL!$C$32, $C$9, 100%, $E$9)</f>
        <v>15.754799999999999</v>
      </c>
      <c r="D1049" s="32">
        <f>15.7559 * CHOOSE(CONTROL!$C$32, $C$9, 100%, $E$9)</f>
        <v>15.7559</v>
      </c>
      <c r="E1049" s="33">
        <f>18.0556 * CHOOSE(CONTROL!$C$32, $C$9, 100%, $E$9)</f>
        <v>18.055599999999998</v>
      </c>
      <c r="F1049" s="33">
        <f>18.0556 * CHOOSE(CONTROL!$C$32, $C$9, 100%, $E$9)</f>
        <v>18.055599999999998</v>
      </c>
      <c r="G1049" s="33">
        <f>18.0592 * CHOOSE(CONTROL!$C$32, $C$9, 100%, $E$9)</f>
        <v>18.059200000000001</v>
      </c>
      <c r="H1049" s="33">
        <f>37.142 * CHOOSE(CONTROL!$C$32, $C$9, 100%, $E$9)</f>
        <v>37.142000000000003</v>
      </c>
      <c r="I1049" s="33">
        <f>37.1456 * CHOOSE(CONTROL!$C$32, $C$9, 100%, $E$9)</f>
        <v>37.145600000000002</v>
      </c>
      <c r="J1049" s="33">
        <f>37.142 * CHOOSE(CONTROL!$C$32, $C$9, 100%, $E$9)</f>
        <v>37.142000000000003</v>
      </c>
      <c r="K1049" s="33">
        <f>37.1456 * CHOOSE(CONTROL!$C$32, $C$9, 100%, $E$9)</f>
        <v>37.145600000000002</v>
      </c>
      <c r="L1049" s="33">
        <f>18.0556 * CHOOSE(CONTROL!$C$32, $C$9, 100%, $E$9)</f>
        <v>18.055599999999998</v>
      </c>
      <c r="M1049" s="33">
        <f>18.0592 * CHOOSE(CONTROL!$C$32, $C$9, 100%, $E$9)</f>
        <v>18.059200000000001</v>
      </c>
      <c r="N1049" s="33">
        <f>18.0556 * CHOOSE(CONTROL!$C$32, $C$9, 100%, $E$9)</f>
        <v>18.055599999999998</v>
      </c>
      <c r="O1049" s="33">
        <f>18.0592 * CHOOSE(CONTROL!$C$32, $C$9, 100%, $E$9)</f>
        <v>18.059200000000001</v>
      </c>
    </row>
    <row r="1050" spans="1:15" ht="15" x14ac:dyDescent="0.2">
      <c r="A1050" s="16">
        <v>73171</v>
      </c>
      <c r="B1050" s="32">
        <f>15.7548 * CHOOSE(CONTROL!$C$32, $C$9, 100%, $E$9)</f>
        <v>15.754799999999999</v>
      </c>
      <c r="C1050" s="32">
        <f>15.7548 * CHOOSE(CONTROL!$C$32, $C$9, 100%, $E$9)</f>
        <v>15.754799999999999</v>
      </c>
      <c r="D1050" s="32">
        <f>15.7564 * CHOOSE(CONTROL!$C$32, $C$9, 100%, $E$9)</f>
        <v>15.756399999999999</v>
      </c>
      <c r="E1050" s="33">
        <f>18.2148 * CHOOSE(CONTROL!$C$32, $C$9, 100%, $E$9)</f>
        <v>18.2148</v>
      </c>
      <c r="F1050" s="33">
        <f>18.2148 * CHOOSE(CONTROL!$C$32, $C$9, 100%, $E$9)</f>
        <v>18.2148</v>
      </c>
      <c r="G1050" s="33">
        <f>18.2201 * CHOOSE(CONTROL!$C$32, $C$9, 100%, $E$9)</f>
        <v>18.220099999999999</v>
      </c>
      <c r="H1050" s="33">
        <f>37.2194 * CHOOSE(CONTROL!$C$32, $C$9, 100%, $E$9)</f>
        <v>37.2194</v>
      </c>
      <c r="I1050" s="33">
        <f>37.2246 * CHOOSE(CONTROL!$C$32, $C$9, 100%, $E$9)</f>
        <v>37.224600000000002</v>
      </c>
      <c r="J1050" s="33">
        <f>37.2194 * CHOOSE(CONTROL!$C$32, $C$9, 100%, $E$9)</f>
        <v>37.2194</v>
      </c>
      <c r="K1050" s="33">
        <f>37.2246 * CHOOSE(CONTROL!$C$32, $C$9, 100%, $E$9)</f>
        <v>37.224600000000002</v>
      </c>
      <c r="L1050" s="33">
        <f>18.2148 * CHOOSE(CONTROL!$C$32, $C$9, 100%, $E$9)</f>
        <v>18.2148</v>
      </c>
      <c r="M1050" s="33">
        <f>18.2201 * CHOOSE(CONTROL!$C$32, $C$9, 100%, $E$9)</f>
        <v>18.220099999999999</v>
      </c>
      <c r="N1050" s="33">
        <f>18.2148 * CHOOSE(CONTROL!$C$32, $C$9, 100%, $E$9)</f>
        <v>18.2148</v>
      </c>
      <c r="O1050" s="33">
        <f>18.2201 * CHOOSE(CONTROL!$C$32, $C$9, 100%, $E$9)</f>
        <v>18.220099999999999</v>
      </c>
    </row>
    <row r="1051" spans="1:15" ht="15" x14ac:dyDescent="0.2">
      <c r="A1051" s="16">
        <v>73202</v>
      </c>
      <c r="B1051" s="32">
        <f>15.7609 * CHOOSE(CONTROL!$C$32, $C$9, 100%, $E$9)</f>
        <v>15.760899999999999</v>
      </c>
      <c r="C1051" s="32">
        <f>15.7609 * CHOOSE(CONTROL!$C$32, $C$9, 100%, $E$9)</f>
        <v>15.760899999999999</v>
      </c>
      <c r="D1051" s="32">
        <f>15.7625 * CHOOSE(CONTROL!$C$32, $C$9, 100%, $E$9)</f>
        <v>15.762499999999999</v>
      </c>
      <c r="E1051" s="33">
        <f>18.0598 * CHOOSE(CONTROL!$C$32, $C$9, 100%, $E$9)</f>
        <v>18.059799999999999</v>
      </c>
      <c r="F1051" s="33">
        <f>18.0598 * CHOOSE(CONTROL!$C$32, $C$9, 100%, $E$9)</f>
        <v>18.059799999999999</v>
      </c>
      <c r="G1051" s="33">
        <f>18.0651 * CHOOSE(CONTROL!$C$32, $C$9, 100%, $E$9)</f>
        <v>18.065100000000001</v>
      </c>
      <c r="H1051" s="33">
        <f>37.2969 * CHOOSE(CONTROL!$C$32, $C$9, 100%, $E$9)</f>
        <v>37.296900000000001</v>
      </c>
      <c r="I1051" s="33">
        <f>37.3022 * CHOOSE(CONTROL!$C$32, $C$9, 100%, $E$9)</f>
        <v>37.302199999999999</v>
      </c>
      <c r="J1051" s="33">
        <f>37.2969 * CHOOSE(CONTROL!$C$32, $C$9, 100%, $E$9)</f>
        <v>37.296900000000001</v>
      </c>
      <c r="K1051" s="33">
        <f>37.3022 * CHOOSE(CONTROL!$C$32, $C$9, 100%, $E$9)</f>
        <v>37.302199999999999</v>
      </c>
      <c r="L1051" s="33">
        <f>18.0598 * CHOOSE(CONTROL!$C$32, $C$9, 100%, $E$9)</f>
        <v>18.059799999999999</v>
      </c>
      <c r="M1051" s="33">
        <f>18.0651 * CHOOSE(CONTROL!$C$32, $C$9, 100%, $E$9)</f>
        <v>18.065100000000001</v>
      </c>
      <c r="N1051" s="33">
        <f>18.0598 * CHOOSE(CONTROL!$C$32, $C$9, 100%, $E$9)</f>
        <v>18.059799999999999</v>
      </c>
      <c r="O1051" s="33">
        <f>18.0651 * CHOOSE(CONTROL!$C$32, $C$9, 100%, $E$9)</f>
        <v>18.065100000000001</v>
      </c>
    </row>
    <row r="1052" spans="1:15" ht="15" x14ac:dyDescent="0.2">
      <c r="A1052" s="16">
        <v>73232</v>
      </c>
      <c r="B1052" s="32">
        <f>15.9484 * CHOOSE(CONTROL!$C$32, $C$9, 100%, $E$9)</f>
        <v>15.948399999999999</v>
      </c>
      <c r="C1052" s="32">
        <f>15.9484 * CHOOSE(CONTROL!$C$32, $C$9, 100%, $E$9)</f>
        <v>15.948399999999999</v>
      </c>
      <c r="D1052" s="32">
        <f>15.95 * CHOOSE(CONTROL!$C$32, $C$9, 100%, $E$9)</f>
        <v>15.95</v>
      </c>
      <c r="E1052" s="33">
        <f>18.3171 * CHOOSE(CONTROL!$C$32, $C$9, 100%, $E$9)</f>
        <v>18.3171</v>
      </c>
      <c r="F1052" s="33">
        <f>18.3171 * CHOOSE(CONTROL!$C$32, $C$9, 100%, $E$9)</f>
        <v>18.3171</v>
      </c>
      <c r="G1052" s="33">
        <f>18.3224 * CHOOSE(CONTROL!$C$32, $C$9, 100%, $E$9)</f>
        <v>18.322399999999998</v>
      </c>
      <c r="H1052" s="33">
        <f>37.3746 * CHOOSE(CONTROL!$C$32, $C$9, 100%, $E$9)</f>
        <v>37.374600000000001</v>
      </c>
      <c r="I1052" s="33">
        <f>37.3799 * CHOOSE(CONTROL!$C$32, $C$9, 100%, $E$9)</f>
        <v>37.379899999999999</v>
      </c>
      <c r="J1052" s="33">
        <f>37.3746 * CHOOSE(CONTROL!$C$32, $C$9, 100%, $E$9)</f>
        <v>37.374600000000001</v>
      </c>
      <c r="K1052" s="33">
        <f>37.3799 * CHOOSE(CONTROL!$C$32, $C$9, 100%, $E$9)</f>
        <v>37.379899999999999</v>
      </c>
      <c r="L1052" s="33">
        <f>18.3171 * CHOOSE(CONTROL!$C$32, $C$9, 100%, $E$9)</f>
        <v>18.3171</v>
      </c>
      <c r="M1052" s="33">
        <f>18.3224 * CHOOSE(CONTROL!$C$32, $C$9, 100%, $E$9)</f>
        <v>18.322399999999998</v>
      </c>
      <c r="N1052" s="33">
        <f>18.3171 * CHOOSE(CONTROL!$C$32, $C$9, 100%, $E$9)</f>
        <v>18.3171</v>
      </c>
      <c r="O1052" s="33">
        <f>18.3224 * CHOOSE(CONTROL!$C$32, $C$9, 100%, $E$9)</f>
        <v>18.322399999999998</v>
      </c>
    </row>
    <row r="1053" spans="1:15" ht="15" x14ac:dyDescent="0.2">
      <c r="A1053" s="16">
        <v>73263</v>
      </c>
      <c r="B1053" s="32">
        <f>15.9551 * CHOOSE(CONTROL!$C$32, $C$9, 100%, $E$9)</f>
        <v>15.9551</v>
      </c>
      <c r="C1053" s="32">
        <f>15.9551 * CHOOSE(CONTROL!$C$32, $C$9, 100%, $E$9)</f>
        <v>15.9551</v>
      </c>
      <c r="D1053" s="32">
        <f>15.9567 * CHOOSE(CONTROL!$C$32, $C$9, 100%, $E$9)</f>
        <v>15.9567</v>
      </c>
      <c r="E1053" s="33">
        <f>17.8441 * CHOOSE(CONTROL!$C$32, $C$9, 100%, $E$9)</f>
        <v>17.844100000000001</v>
      </c>
      <c r="F1053" s="33">
        <f>17.8441 * CHOOSE(CONTROL!$C$32, $C$9, 100%, $E$9)</f>
        <v>17.844100000000001</v>
      </c>
      <c r="G1053" s="33">
        <f>17.8494 * CHOOSE(CONTROL!$C$32, $C$9, 100%, $E$9)</f>
        <v>17.849399999999999</v>
      </c>
      <c r="H1053" s="33">
        <f>37.4525 * CHOOSE(CONTROL!$C$32, $C$9, 100%, $E$9)</f>
        <v>37.452500000000001</v>
      </c>
      <c r="I1053" s="33">
        <f>37.4578 * CHOOSE(CONTROL!$C$32, $C$9, 100%, $E$9)</f>
        <v>37.457799999999999</v>
      </c>
      <c r="J1053" s="33">
        <f>37.4525 * CHOOSE(CONTROL!$C$32, $C$9, 100%, $E$9)</f>
        <v>37.452500000000001</v>
      </c>
      <c r="K1053" s="33">
        <f>37.4578 * CHOOSE(CONTROL!$C$32, $C$9, 100%, $E$9)</f>
        <v>37.457799999999999</v>
      </c>
      <c r="L1053" s="33">
        <f>17.8441 * CHOOSE(CONTROL!$C$32, $C$9, 100%, $E$9)</f>
        <v>17.844100000000001</v>
      </c>
      <c r="M1053" s="33">
        <f>17.8494 * CHOOSE(CONTROL!$C$32, $C$9, 100%, $E$9)</f>
        <v>17.849399999999999</v>
      </c>
      <c r="N1053" s="33">
        <f>17.8441 * CHOOSE(CONTROL!$C$32, $C$9, 100%, $E$9)</f>
        <v>17.844100000000001</v>
      </c>
      <c r="O1053" s="33">
        <f>17.8494 * CHOOSE(CONTROL!$C$32, $C$9, 100%, $E$9)</f>
        <v>17.849399999999999</v>
      </c>
    </row>
    <row r="1054" spans="1:15" ht="15" x14ac:dyDescent="0.2">
      <c r="A1054" s="16">
        <v>73294</v>
      </c>
      <c r="B1054" s="32">
        <f>15.9521 * CHOOSE(CONTROL!$C$32, $C$9, 100%, $E$9)</f>
        <v>15.9521</v>
      </c>
      <c r="C1054" s="32">
        <f>15.9521 * CHOOSE(CONTROL!$C$32, $C$9, 100%, $E$9)</f>
        <v>15.9521</v>
      </c>
      <c r="D1054" s="32">
        <f>15.9537 * CHOOSE(CONTROL!$C$32, $C$9, 100%, $E$9)</f>
        <v>15.9537</v>
      </c>
      <c r="E1054" s="33">
        <f>17.789 * CHOOSE(CONTROL!$C$32, $C$9, 100%, $E$9)</f>
        <v>17.789000000000001</v>
      </c>
      <c r="F1054" s="33">
        <f>17.789 * CHOOSE(CONTROL!$C$32, $C$9, 100%, $E$9)</f>
        <v>17.789000000000001</v>
      </c>
      <c r="G1054" s="33">
        <f>17.7942 * CHOOSE(CONTROL!$C$32, $C$9, 100%, $E$9)</f>
        <v>17.7942</v>
      </c>
      <c r="H1054" s="33">
        <f>37.5305 * CHOOSE(CONTROL!$C$32, $C$9, 100%, $E$9)</f>
        <v>37.530500000000004</v>
      </c>
      <c r="I1054" s="33">
        <f>37.5358 * CHOOSE(CONTROL!$C$32, $C$9, 100%, $E$9)</f>
        <v>37.535800000000002</v>
      </c>
      <c r="J1054" s="33">
        <f>37.5305 * CHOOSE(CONTROL!$C$32, $C$9, 100%, $E$9)</f>
        <v>37.530500000000004</v>
      </c>
      <c r="K1054" s="33">
        <f>37.5358 * CHOOSE(CONTROL!$C$32, $C$9, 100%, $E$9)</f>
        <v>37.535800000000002</v>
      </c>
      <c r="L1054" s="33">
        <f>17.789 * CHOOSE(CONTROL!$C$32, $C$9, 100%, $E$9)</f>
        <v>17.789000000000001</v>
      </c>
      <c r="M1054" s="33">
        <f>17.7942 * CHOOSE(CONTROL!$C$32, $C$9, 100%, $E$9)</f>
        <v>17.7942</v>
      </c>
      <c r="N1054" s="33">
        <f>17.789 * CHOOSE(CONTROL!$C$32, $C$9, 100%, $E$9)</f>
        <v>17.789000000000001</v>
      </c>
      <c r="O1054" s="33">
        <f>17.7942 * CHOOSE(CONTROL!$C$32, $C$9, 100%, $E$9)</f>
        <v>17.7942</v>
      </c>
    </row>
    <row r="1055" spans="1:15" ht="15" x14ac:dyDescent="0.2">
      <c r="A1055" s="16">
        <v>73324</v>
      </c>
      <c r="B1055" s="32">
        <f>15.9919 * CHOOSE(CONTROL!$C$32, $C$9, 100%, $E$9)</f>
        <v>15.991899999999999</v>
      </c>
      <c r="C1055" s="32">
        <f>15.9919 * CHOOSE(CONTROL!$C$32, $C$9, 100%, $E$9)</f>
        <v>15.991899999999999</v>
      </c>
      <c r="D1055" s="32">
        <f>15.9929 * CHOOSE(CONTROL!$C$32, $C$9, 100%, $E$9)</f>
        <v>15.992900000000001</v>
      </c>
      <c r="E1055" s="33">
        <f>17.9878 * CHOOSE(CONTROL!$C$32, $C$9, 100%, $E$9)</f>
        <v>17.9878</v>
      </c>
      <c r="F1055" s="33">
        <f>17.9878 * CHOOSE(CONTROL!$C$32, $C$9, 100%, $E$9)</f>
        <v>17.9878</v>
      </c>
      <c r="G1055" s="33">
        <f>17.9914 * CHOOSE(CONTROL!$C$32, $C$9, 100%, $E$9)</f>
        <v>17.991399999999999</v>
      </c>
      <c r="H1055" s="33">
        <f>37.6087 * CHOOSE(CONTROL!$C$32, $C$9, 100%, $E$9)</f>
        <v>37.608699999999999</v>
      </c>
      <c r="I1055" s="33">
        <f>37.6123 * CHOOSE(CONTROL!$C$32, $C$9, 100%, $E$9)</f>
        <v>37.612299999999998</v>
      </c>
      <c r="J1055" s="33">
        <f>37.6087 * CHOOSE(CONTROL!$C$32, $C$9, 100%, $E$9)</f>
        <v>37.608699999999999</v>
      </c>
      <c r="K1055" s="33">
        <f>37.6123 * CHOOSE(CONTROL!$C$32, $C$9, 100%, $E$9)</f>
        <v>37.612299999999998</v>
      </c>
      <c r="L1055" s="33">
        <f>17.9878 * CHOOSE(CONTROL!$C$32, $C$9, 100%, $E$9)</f>
        <v>17.9878</v>
      </c>
      <c r="M1055" s="33">
        <f>17.9914 * CHOOSE(CONTROL!$C$32, $C$9, 100%, $E$9)</f>
        <v>17.991399999999999</v>
      </c>
      <c r="N1055" s="33">
        <f>17.9878 * CHOOSE(CONTROL!$C$32, $C$9, 100%, $E$9)</f>
        <v>17.9878</v>
      </c>
      <c r="O1055" s="33">
        <f>17.9914 * CHOOSE(CONTROL!$C$32, $C$9, 100%, $E$9)</f>
        <v>17.991399999999999</v>
      </c>
    </row>
    <row r="1056" spans="1:15" ht="15" x14ac:dyDescent="0.2">
      <c r="A1056" s="16">
        <v>73355</v>
      </c>
      <c r="B1056" s="32">
        <f>15.9949 * CHOOSE(CONTROL!$C$32, $C$9, 100%, $E$9)</f>
        <v>15.994899999999999</v>
      </c>
      <c r="C1056" s="32">
        <f>15.9949 * CHOOSE(CONTROL!$C$32, $C$9, 100%, $E$9)</f>
        <v>15.994899999999999</v>
      </c>
      <c r="D1056" s="32">
        <f>15.996 * CHOOSE(CONTROL!$C$32, $C$9, 100%, $E$9)</f>
        <v>15.996</v>
      </c>
      <c r="E1056" s="33">
        <f>18.0961 * CHOOSE(CONTROL!$C$32, $C$9, 100%, $E$9)</f>
        <v>18.0961</v>
      </c>
      <c r="F1056" s="33">
        <f>18.0961 * CHOOSE(CONTROL!$C$32, $C$9, 100%, $E$9)</f>
        <v>18.0961</v>
      </c>
      <c r="G1056" s="33">
        <f>18.0997 * CHOOSE(CONTROL!$C$32, $C$9, 100%, $E$9)</f>
        <v>18.099699999999999</v>
      </c>
      <c r="H1056" s="33">
        <f>37.687 * CHOOSE(CONTROL!$C$32, $C$9, 100%, $E$9)</f>
        <v>37.686999999999998</v>
      </c>
      <c r="I1056" s="33">
        <f>37.6906 * CHOOSE(CONTROL!$C$32, $C$9, 100%, $E$9)</f>
        <v>37.690600000000003</v>
      </c>
      <c r="J1056" s="33">
        <f>37.687 * CHOOSE(CONTROL!$C$32, $C$9, 100%, $E$9)</f>
        <v>37.686999999999998</v>
      </c>
      <c r="K1056" s="33">
        <f>37.6906 * CHOOSE(CONTROL!$C$32, $C$9, 100%, $E$9)</f>
        <v>37.690600000000003</v>
      </c>
      <c r="L1056" s="33">
        <f>18.0961 * CHOOSE(CONTROL!$C$32, $C$9, 100%, $E$9)</f>
        <v>18.0961</v>
      </c>
      <c r="M1056" s="33">
        <f>18.0997 * CHOOSE(CONTROL!$C$32, $C$9, 100%, $E$9)</f>
        <v>18.099699999999999</v>
      </c>
      <c r="N1056" s="33">
        <f>18.0961 * CHOOSE(CONTROL!$C$32, $C$9, 100%, $E$9)</f>
        <v>18.0961</v>
      </c>
      <c r="O1056" s="33">
        <f>18.0997 * CHOOSE(CONTROL!$C$32, $C$9, 100%, $E$9)</f>
        <v>18.099699999999999</v>
      </c>
    </row>
    <row r="1057" spans="1:15" ht="15" x14ac:dyDescent="0.2">
      <c r="A1057" s="16">
        <v>73385</v>
      </c>
      <c r="B1057" s="32">
        <f>15.9949 * CHOOSE(CONTROL!$C$32, $C$9, 100%, $E$9)</f>
        <v>15.994899999999999</v>
      </c>
      <c r="C1057" s="32">
        <f>15.9949 * CHOOSE(CONTROL!$C$32, $C$9, 100%, $E$9)</f>
        <v>15.994899999999999</v>
      </c>
      <c r="D1057" s="32">
        <f>15.996 * CHOOSE(CONTROL!$C$32, $C$9, 100%, $E$9)</f>
        <v>15.996</v>
      </c>
      <c r="E1057" s="33">
        <f>17.8307 * CHOOSE(CONTROL!$C$32, $C$9, 100%, $E$9)</f>
        <v>17.8307</v>
      </c>
      <c r="F1057" s="33">
        <f>17.8307 * CHOOSE(CONTROL!$C$32, $C$9, 100%, $E$9)</f>
        <v>17.8307</v>
      </c>
      <c r="G1057" s="33">
        <f>17.8343 * CHOOSE(CONTROL!$C$32, $C$9, 100%, $E$9)</f>
        <v>17.834299999999999</v>
      </c>
      <c r="H1057" s="33">
        <f>37.7655 * CHOOSE(CONTROL!$C$32, $C$9, 100%, $E$9)</f>
        <v>37.765500000000003</v>
      </c>
      <c r="I1057" s="33">
        <f>37.7692 * CHOOSE(CONTROL!$C$32, $C$9, 100%, $E$9)</f>
        <v>37.769199999999998</v>
      </c>
      <c r="J1057" s="33">
        <f>37.7655 * CHOOSE(CONTROL!$C$32, $C$9, 100%, $E$9)</f>
        <v>37.765500000000003</v>
      </c>
      <c r="K1057" s="33">
        <f>37.7692 * CHOOSE(CONTROL!$C$32, $C$9, 100%, $E$9)</f>
        <v>37.769199999999998</v>
      </c>
      <c r="L1057" s="33">
        <f>17.8307 * CHOOSE(CONTROL!$C$32, $C$9, 100%, $E$9)</f>
        <v>17.8307</v>
      </c>
      <c r="M1057" s="33">
        <f>17.8343 * CHOOSE(CONTROL!$C$32, $C$9, 100%, $E$9)</f>
        <v>17.834299999999999</v>
      </c>
      <c r="N1057" s="33">
        <f>17.8307 * CHOOSE(CONTROL!$C$32, $C$9, 100%, $E$9)</f>
        <v>17.8307</v>
      </c>
      <c r="O1057" s="33">
        <f>17.8343 * CHOOSE(CONTROL!$C$32, $C$9, 100%, $E$9)</f>
        <v>17.834299999999999</v>
      </c>
    </row>
    <row r="1058" spans="1:15" ht="15" x14ac:dyDescent="0.2">
      <c r="A1058" s="12"/>
      <c r="B1058" s="32"/>
      <c r="C1058" s="32"/>
      <c r="D1058" s="32"/>
      <c r="E1058" s="33"/>
      <c r="F1058" s="33"/>
      <c r="G1058" s="33"/>
      <c r="H1058" s="33"/>
      <c r="I1058" s="33"/>
      <c r="J1058" s="33"/>
      <c r="K1058" s="33"/>
      <c r="L1058" s="33"/>
      <c r="M1058" s="33"/>
      <c r="N1058" s="33"/>
      <c r="O1058" s="33"/>
    </row>
    <row r="1059" spans="1:15" ht="15" x14ac:dyDescent="0.2">
      <c r="A1059" s="11">
        <v>2014</v>
      </c>
      <c r="B1059" s="32">
        <f t="shared" ref="B1059:O1059" si="0">AVERAGE(B14:B25)</f>
        <v>2.365497721063452</v>
      </c>
      <c r="C1059" s="32">
        <f t="shared" si="0"/>
        <v>2.3576910984848483</v>
      </c>
      <c r="D1059" s="32">
        <f t="shared" si="0"/>
        <v>2.4043505151515152</v>
      </c>
      <c r="E1059" s="32">
        <f t="shared" si="0"/>
        <v>3.4605737242062751</v>
      </c>
      <c r="F1059" s="32">
        <f t="shared" si="0"/>
        <v>3.3780690677966105</v>
      </c>
      <c r="G1059" s="32">
        <f t="shared" si="0"/>
        <v>3.3935644844632775</v>
      </c>
      <c r="H1059" s="32">
        <f t="shared" si="0"/>
        <v>5.8732191966897451</v>
      </c>
      <c r="I1059" s="32">
        <f t="shared" si="0"/>
        <v>5.8887062800230767</v>
      </c>
      <c r="J1059" s="32">
        <f t="shared" si="0"/>
        <v>5.8732191966897451</v>
      </c>
      <c r="K1059" s="32">
        <f t="shared" si="0"/>
        <v>5.8887062800230767</v>
      </c>
      <c r="L1059" s="32">
        <f t="shared" si="0"/>
        <v>3.4605737242062751</v>
      </c>
      <c r="M1059" s="32">
        <f t="shared" si="0"/>
        <v>3.4760524742062753</v>
      </c>
      <c r="N1059" s="32">
        <f t="shared" si="0"/>
        <v>3.4605737242062751</v>
      </c>
      <c r="O1059" s="32">
        <f t="shared" si="0"/>
        <v>3.4760524742062753</v>
      </c>
    </row>
    <row r="1060" spans="1:15" ht="15" x14ac:dyDescent="0.2">
      <c r="A1060" s="11">
        <v>2015</v>
      </c>
      <c r="B1060" s="32">
        <f t="shared" ref="B1060:O1060" si="1">AVERAGE(B26:B37)</f>
        <v>2.483975</v>
      </c>
      <c r="C1060" s="32">
        <f t="shared" si="1"/>
        <v>2.483975</v>
      </c>
      <c r="D1060" s="32">
        <f t="shared" si="1"/>
        <v>2.485233333333333</v>
      </c>
      <c r="E1060" s="32">
        <f t="shared" si="1"/>
        <v>3.8020250000000004</v>
      </c>
      <c r="F1060" s="32">
        <f t="shared" si="1"/>
        <v>3.5835999999999992</v>
      </c>
      <c r="G1060" s="32">
        <f t="shared" si="1"/>
        <v>3.5879083333333335</v>
      </c>
      <c r="H1060" s="32">
        <f t="shared" si="1"/>
        <v>6.0330166666666676</v>
      </c>
      <c r="I1060" s="32">
        <f t="shared" si="1"/>
        <v>6.0373250000000018</v>
      </c>
      <c r="J1060" s="32">
        <f t="shared" si="1"/>
        <v>6.0330166666666676</v>
      </c>
      <c r="K1060" s="32">
        <f t="shared" si="1"/>
        <v>6.0373250000000018</v>
      </c>
      <c r="L1060" s="32">
        <f t="shared" si="1"/>
        <v>3.8020250000000004</v>
      </c>
      <c r="M1060" s="32">
        <f t="shared" si="1"/>
        <v>3.8063333333333329</v>
      </c>
      <c r="N1060" s="32">
        <f t="shared" si="1"/>
        <v>3.8020250000000004</v>
      </c>
      <c r="O1060" s="32">
        <f t="shared" si="1"/>
        <v>3.8063333333333329</v>
      </c>
    </row>
    <row r="1061" spans="1:15" ht="15" x14ac:dyDescent="0.2">
      <c r="A1061" s="11">
        <v>2016</v>
      </c>
      <c r="B1061" s="32">
        <f t="shared" ref="B1061:O1061" si="2">AVERAGE(B38:B49)</f>
        <v>3.2759166666666668</v>
      </c>
      <c r="C1061" s="32">
        <f t="shared" si="2"/>
        <v>3.2759166666666668</v>
      </c>
      <c r="D1061" s="32">
        <f t="shared" si="2"/>
        <v>3.2771833333333338</v>
      </c>
      <c r="E1061" s="32">
        <f t="shared" si="2"/>
        <v>3.9337</v>
      </c>
      <c r="F1061" s="32">
        <f t="shared" si="2"/>
        <v>3.6856000000000004</v>
      </c>
      <c r="G1061" s="32">
        <f t="shared" si="2"/>
        <v>3.6899083333333333</v>
      </c>
      <c r="H1061" s="32">
        <f t="shared" si="2"/>
        <v>6.185575</v>
      </c>
      <c r="I1061" s="32">
        <f t="shared" si="2"/>
        <v>6.189891666666667</v>
      </c>
      <c r="J1061" s="32">
        <f t="shared" si="2"/>
        <v>6.185575</v>
      </c>
      <c r="K1061" s="32">
        <f t="shared" si="2"/>
        <v>6.189891666666667</v>
      </c>
      <c r="L1061" s="32">
        <f t="shared" si="2"/>
        <v>3.9337</v>
      </c>
      <c r="M1061" s="32">
        <f t="shared" si="2"/>
        <v>3.9380083333333329</v>
      </c>
      <c r="N1061" s="32">
        <f t="shared" si="2"/>
        <v>3.9337</v>
      </c>
      <c r="O1061" s="32">
        <f t="shared" si="2"/>
        <v>3.9380083333333329</v>
      </c>
    </row>
    <row r="1062" spans="1:15" ht="15" x14ac:dyDescent="0.2">
      <c r="A1062" s="11">
        <v>2017</v>
      </c>
      <c r="B1062" s="32">
        <f t="shared" ref="B1062:O1062" si="3">AVERAGE(B50:B61)</f>
        <v>3.3130666666666659</v>
      </c>
      <c r="C1062" s="32">
        <f t="shared" si="3"/>
        <v>3.3130666666666659</v>
      </c>
      <c r="D1062" s="32">
        <f t="shared" si="3"/>
        <v>3.3143583333333329</v>
      </c>
      <c r="E1062" s="32">
        <f t="shared" si="3"/>
        <v>3.8792333333333331</v>
      </c>
      <c r="F1062" s="32">
        <f t="shared" si="3"/>
        <v>3.8792333333333331</v>
      </c>
      <c r="G1062" s="32">
        <f t="shared" si="3"/>
        <v>3.8835499999999996</v>
      </c>
      <c r="H1062" s="32">
        <f t="shared" si="3"/>
        <v>6.341991666666666</v>
      </c>
      <c r="I1062" s="32">
        <f t="shared" si="3"/>
        <v>6.346308333333333</v>
      </c>
      <c r="J1062" s="32">
        <f t="shared" si="3"/>
        <v>6.341991666666666</v>
      </c>
      <c r="K1062" s="32">
        <f t="shared" si="3"/>
        <v>6.346308333333333</v>
      </c>
      <c r="L1062" s="32">
        <f t="shared" si="3"/>
        <v>3.8792333333333331</v>
      </c>
      <c r="M1062" s="32">
        <f t="shared" si="3"/>
        <v>3.8835499999999996</v>
      </c>
      <c r="N1062" s="32">
        <f t="shared" si="3"/>
        <v>3.8792333333333331</v>
      </c>
      <c r="O1062" s="32">
        <f t="shared" si="3"/>
        <v>3.8835499999999996</v>
      </c>
    </row>
    <row r="1063" spans="1:15" ht="15" x14ac:dyDescent="0.2">
      <c r="A1063" s="11">
        <v>2018</v>
      </c>
      <c r="B1063" s="32">
        <f t="shared" ref="B1063:O1063" si="4">AVERAGE(B62:B73)</f>
        <v>3.4019250000000003</v>
      </c>
      <c r="C1063" s="32">
        <f t="shared" si="4"/>
        <v>3.4019250000000003</v>
      </c>
      <c r="D1063" s="32">
        <f t="shared" si="4"/>
        <v>3.4032166666666659</v>
      </c>
      <c r="E1063" s="32">
        <f t="shared" si="4"/>
        <v>3.9989833333333333</v>
      </c>
      <c r="F1063" s="32">
        <f t="shared" si="4"/>
        <v>3.9989833333333333</v>
      </c>
      <c r="G1063" s="32">
        <f t="shared" si="4"/>
        <v>4.0033166666666666</v>
      </c>
      <c r="H1063" s="32">
        <f t="shared" si="4"/>
        <v>6.502391666666667</v>
      </c>
      <c r="I1063" s="32">
        <f t="shared" si="4"/>
        <v>6.5066833333333349</v>
      </c>
      <c r="J1063" s="32">
        <f t="shared" si="4"/>
        <v>6.502391666666667</v>
      </c>
      <c r="K1063" s="32">
        <f t="shared" si="4"/>
        <v>6.5066833333333349</v>
      </c>
      <c r="L1063" s="32">
        <f t="shared" si="4"/>
        <v>3.9989833333333333</v>
      </c>
      <c r="M1063" s="32">
        <f t="shared" si="4"/>
        <v>4.0033166666666666</v>
      </c>
      <c r="N1063" s="32">
        <f t="shared" si="4"/>
        <v>3.9989833333333333</v>
      </c>
      <c r="O1063" s="32">
        <f t="shared" si="4"/>
        <v>4.0033166666666666</v>
      </c>
    </row>
    <row r="1064" spans="1:15" ht="15" x14ac:dyDescent="0.2">
      <c r="A1064" s="11">
        <v>2019</v>
      </c>
      <c r="B1064" s="32">
        <f t="shared" ref="B1064:O1064" si="5">AVERAGE(B74:B85)</f>
        <v>3.2222999999999993</v>
      </c>
      <c r="C1064" s="32">
        <f t="shared" si="5"/>
        <v>3.2222999999999993</v>
      </c>
      <c r="D1064" s="32">
        <f t="shared" si="5"/>
        <v>3.2235916666666671</v>
      </c>
      <c r="E1064" s="32">
        <f t="shared" si="5"/>
        <v>4.0889833333333341</v>
      </c>
      <c r="F1064" s="32">
        <f t="shared" si="5"/>
        <v>4.0889833333333341</v>
      </c>
      <c r="G1064" s="32">
        <f t="shared" si="5"/>
        <v>4.0932916666666666</v>
      </c>
      <c r="H1064" s="32">
        <f t="shared" si="5"/>
        <v>6.6668333333333329</v>
      </c>
      <c r="I1064" s="32">
        <f t="shared" si="5"/>
        <v>6.6711416666666663</v>
      </c>
      <c r="J1064" s="32">
        <f t="shared" si="5"/>
        <v>6.6668333333333329</v>
      </c>
      <c r="K1064" s="32">
        <f t="shared" si="5"/>
        <v>6.6711416666666663</v>
      </c>
      <c r="L1064" s="32">
        <f t="shared" si="5"/>
        <v>4.0889833333333341</v>
      </c>
      <c r="M1064" s="32">
        <f t="shared" si="5"/>
        <v>4.0932916666666666</v>
      </c>
      <c r="N1064" s="32">
        <f t="shared" si="5"/>
        <v>4.0889833333333341</v>
      </c>
      <c r="O1064" s="32">
        <f t="shared" si="5"/>
        <v>4.0932916666666666</v>
      </c>
    </row>
    <row r="1065" spans="1:15" ht="15" x14ac:dyDescent="0.2">
      <c r="A1065" s="11">
        <v>2020</v>
      </c>
      <c r="B1065" s="32">
        <f t="shared" ref="B1065:O1065" si="6">AVERAGE(B86:B97)</f>
        <v>3.286566666666666</v>
      </c>
      <c r="C1065" s="32">
        <f t="shared" si="6"/>
        <v>3.286566666666666</v>
      </c>
      <c r="D1065" s="32">
        <f t="shared" si="6"/>
        <v>3.2878583333333329</v>
      </c>
      <c r="E1065" s="32">
        <f t="shared" si="6"/>
        <v>4.1808833333333331</v>
      </c>
      <c r="F1065" s="32">
        <f t="shared" si="6"/>
        <v>4.1808833333333331</v>
      </c>
      <c r="G1065" s="32">
        <f t="shared" si="6"/>
        <v>4.1851916666666664</v>
      </c>
      <c r="H1065" s="32">
        <f t="shared" si="6"/>
        <v>6.8354083333333335</v>
      </c>
      <c r="I1065" s="32">
        <f t="shared" si="6"/>
        <v>6.8397166666666669</v>
      </c>
      <c r="J1065" s="32">
        <f t="shared" si="6"/>
        <v>6.8354083333333335</v>
      </c>
      <c r="K1065" s="32">
        <f t="shared" si="6"/>
        <v>6.8397166666666669</v>
      </c>
      <c r="L1065" s="32">
        <f t="shared" si="6"/>
        <v>4.1808833333333331</v>
      </c>
      <c r="M1065" s="32">
        <f t="shared" si="6"/>
        <v>4.1851916666666664</v>
      </c>
      <c r="N1065" s="32">
        <f t="shared" si="6"/>
        <v>4.1808833333333331</v>
      </c>
      <c r="O1065" s="32">
        <f t="shared" si="6"/>
        <v>4.1851916666666664</v>
      </c>
    </row>
    <row r="1066" spans="1:15" ht="15" x14ac:dyDescent="0.2">
      <c r="A1066" s="11">
        <v>2021</v>
      </c>
      <c r="B1066" s="32">
        <f t="shared" ref="B1066:O1066" si="7">AVERAGE(B98:B109)</f>
        <v>3.3671249999999993</v>
      </c>
      <c r="C1066" s="32">
        <f t="shared" si="7"/>
        <v>3.3671249999999993</v>
      </c>
      <c r="D1066" s="32">
        <f t="shared" si="7"/>
        <v>3.3684250000000002</v>
      </c>
      <c r="E1066" s="32">
        <f t="shared" si="7"/>
        <v>4.2754583333333338</v>
      </c>
      <c r="F1066" s="32">
        <f t="shared" si="7"/>
        <v>4.2754583333333338</v>
      </c>
      <c r="G1066" s="32">
        <f t="shared" si="7"/>
        <v>4.2797916666666671</v>
      </c>
      <c r="H1066" s="32">
        <f t="shared" si="7"/>
        <v>7.008258333333333</v>
      </c>
      <c r="I1066" s="32">
        <f t="shared" si="7"/>
        <v>7.0125666666666673</v>
      </c>
      <c r="J1066" s="32">
        <f t="shared" si="7"/>
        <v>7.008258333333333</v>
      </c>
      <c r="K1066" s="32">
        <f t="shared" si="7"/>
        <v>7.0125666666666673</v>
      </c>
      <c r="L1066" s="32">
        <f t="shared" si="7"/>
        <v>4.2754583333333338</v>
      </c>
      <c r="M1066" s="32">
        <f t="shared" si="7"/>
        <v>4.2797916666666671</v>
      </c>
      <c r="N1066" s="32">
        <f t="shared" si="7"/>
        <v>4.2754583333333338</v>
      </c>
      <c r="O1066" s="32">
        <f t="shared" si="7"/>
        <v>4.2797916666666671</v>
      </c>
    </row>
    <row r="1067" spans="1:15" ht="15" x14ac:dyDescent="0.2">
      <c r="A1067" s="11">
        <v>2022</v>
      </c>
      <c r="B1067" s="32">
        <f t="shared" ref="B1067:O1067" si="8">AVERAGE(B110:B121)</f>
        <v>3.4470750000000003</v>
      </c>
      <c r="C1067" s="32">
        <f t="shared" si="8"/>
        <v>3.4470750000000003</v>
      </c>
      <c r="D1067" s="32">
        <f t="shared" si="8"/>
        <v>3.4483666666666668</v>
      </c>
      <c r="E1067" s="32">
        <f t="shared" si="8"/>
        <v>4.3818083333333337</v>
      </c>
      <c r="F1067" s="32">
        <f t="shared" si="8"/>
        <v>4.3818083333333337</v>
      </c>
      <c r="G1067" s="32">
        <f t="shared" si="8"/>
        <v>4.3861166666666671</v>
      </c>
      <c r="H1067" s="32">
        <f t="shared" si="8"/>
        <v>7.1854833333333339</v>
      </c>
      <c r="I1067" s="32">
        <f t="shared" si="8"/>
        <v>7.1898166666666663</v>
      </c>
      <c r="J1067" s="32">
        <f t="shared" si="8"/>
        <v>7.1854833333333339</v>
      </c>
      <c r="K1067" s="32">
        <f t="shared" si="8"/>
        <v>7.1898166666666663</v>
      </c>
      <c r="L1067" s="32">
        <f t="shared" si="8"/>
        <v>4.3818083333333337</v>
      </c>
      <c r="M1067" s="32">
        <f t="shared" si="8"/>
        <v>4.3861166666666671</v>
      </c>
      <c r="N1067" s="32">
        <f t="shared" si="8"/>
        <v>4.3818083333333337</v>
      </c>
      <c r="O1067" s="32">
        <f t="shared" si="8"/>
        <v>4.3861166666666671</v>
      </c>
    </row>
    <row r="1068" spans="1:15" ht="15" x14ac:dyDescent="0.2">
      <c r="A1068" s="11">
        <v>2023</v>
      </c>
      <c r="B1068" s="32">
        <f t="shared" ref="B1068:O1068" si="9">AVERAGE(B122:B133)</f>
        <v>3.5408249999999994</v>
      </c>
      <c r="C1068" s="32">
        <f t="shared" si="9"/>
        <v>3.5408249999999994</v>
      </c>
      <c r="D1068" s="32">
        <f t="shared" si="9"/>
        <v>3.5421166666666668</v>
      </c>
      <c r="E1068" s="32">
        <f t="shared" si="9"/>
        <v>4.490308333333334</v>
      </c>
      <c r="F1068" s="32">
        <f t="shared" si="9"/>
        <v>4.490308333333334</v>
      </c>
      <c r="G1068" s="32">
        <f t="shared" si="9"/>
        <v>4.4946166666666665</v>
      </c>
      <c r="H1068" s="32">
        <f t="shared" si="9"/>
        <v>7.3672166666666676</v>
      </c>
      <c r="I1068" s="32">
        <f t="shared" si="9"/>
        <v>7.3715333333333328</v>
      </c>
      <c r="J1068" s="32">
        <f t="shared" si="9"/>
        <v>7.3672166666666676</v>
      </c>
      <c r="K1068" s="32">
        <f t="shared" si="9"/>
        <v>7.3715333333333328</v>
      </c>
      <c r="L1068" s="32">
        <f t="shared" si="9"/>
        <v>4.490308333333334</v>
      </c>
      <c r="M1068" s="32">
        <f t="shared" si="9"/>
        <v>4.4946166666666665</v>
      </c>
      <c r="N1068" s="32">
        <f t="shared" si="9"/>
        <v>4.490308333333334</v>
      </c>
      <c r="O1068" s="32">
        <f t="shared" si="9"/>
        <v>4.4946166666666665</v>
      </c>
    </row>
    <row r="1069" spans="1:15" ht="15" x14ac:dyDescent="0.2">
      <c r="A1069" s="11">
        <v>2024</v>
      </c>
      <c r="B1069" s="32">
        <f t="shared" ref="B1069:O1069" si="10">AVERAGE(B134:B145)</f>
        <v>3.6291499999999997</v>
      </c>
      <c r="C1069" s="32">
        <f t="shared" si="10"/>
        <v>3.6291499999999997</v>
      </c>
      <c r="D1069" s="32">
        <f t="shared" si="10"/>
        <v>3.6304500000000002</v>
      </c>
      <c r="E1069" s="32">
        <f t="shared" si="10"/>
        <v>4.6075583333333325</v>
      </c>
      <c r="F1069" s="32">
        <f t="shared" si="10"/>
        <v>4.6075583333333325</v>
      </c>
      <c r="G1069" s="32">
        <f t="shared" si="10"/>
        <v>4.6118500000000004</v>
      </c>
      <c r="H1069" s="32">
        <f t="shared" si="10"/>
        <v>7.553516666666666</v>
      </c>
      <c r="I1069" s="32">
        <f t="shared" si="10"/>
        <v>7.5578333333333338</v>
      </c>
      <c r="J1069" s="32">
        <f t="shared" si="10"/>
        <v>7.553516666666666</v>
      </c>
      <c r="K1069" s="32">
        <f t="shared" si="10"/>
        <v>7.5578333333333338</v>
      </c>
      <c r="L1069" s="32">
        <f t="shared" si="10"/>
        <v>4.6075583333333325</v>
      </c>
      <c r="M1069" s="32">
        <f t="shared" si="10"/>
        <v>4.6118500000000004</v>
      </c>
      <c r="N1069" s="32">
        <f t="shared" si="10"/>
        <v>4.6075583333333325</v>
      </c>
      <c r="O1069" s="32">
        <f t="shared" si="10"/>
        <v>4.6118500000000004</v>
      </c>
    </row>
    <row r="1070" spans="1:15" ht="15" x14ac:dyDescent="0.2">
      <c r="A1070" s="11">
        <v>2025</v>
      </c>
      <c r="B1070" s="32">
        <f t="shared" ref="B1070:O1070" si="11">AVERAGE(B146:B157)</f>
        <v>3.7209500000000002</v>
      </c>
      <c r="C1070" s="32">
        <f t="shared" si="11"/>
        <v>3.7209500000000002</v>
      </c>
      <c r="D1070" s="32">
        <f t="shared" si="11"/>
        <v>3.7222416666666676</v>
      </c>
      <c r="E1070" s="32">
        <f t="shared" si="11"/>
        <v>4.7325583333333325</v>
      </c>
      <c r="F1070" s="32">
        <f t="shared" si="11"/>
        <v>4.7325583333333325</v>
      </c>
      <c r="G1070" s="32">
        <f t="shared" si="11"/>
        <v>4.7368916666666667</v>
      </c>
      <c r="H1070" s="32">
        <f t="shared" si="11"/>
        <v>7.7445166666666667</v>
      </c>
      <c r="I1070" s="32">
        <f t="shared" si="11"/>
        <v>7.7488500000000009</v>
      </c>
      <c r="J1070" s="32">
        <f t="shared" si="11"/>
        <v>7.7445166666666667</v>
      </c>
      <c r="K1070" s="32">
        <f t="shared" si="11"/>
        <v>7.7488500000000009</v>
      </c>
      <c r="L1070" s="32">
        <f t="shared" si="11"/>
        <v>4.7325583333333325</v>
      </c>
      <c r="M1070" s="32">
        <f t="shared" si="11"/>
        <v>4.7368916666666667</v>
      </c>
      <c r="N1070" s="32">
        <f t="shared" si="11"/>
        <v>4.7325583333333325</v>
      </c>
      <c r="O1070" s="32">
        <f t="shared" si="11"/>
        <v>4.7368916666666667</v>
      </c>
    </row>
    <row r="1071" spans="1:15" ht="15" x14ac:dyDescent="0.2">
      <c r="A1071" s="11">
        <v>2026</v>
      </c>
      <c r="B1071" s="32">
        <f t="shared" ref="B1071:O1071" si="12">AVERAGE(B158:B169)</f>
        <v>3.8184083333333336</v>
      </c>
      <c r="C1071" s="32">
        <f t="shared" si="12"/>
        <v>3.8184083333333336</v>
      </c>
      <c r="D1071" s="32">
        <f t="shared" si="12"/>
        <v>3.8196916666666669</v>
      </c>
      <c r="E1071" s="32">
        <f t="shared" si="12"/>
        <v>4.8625583333333324</v>
      </c>
      <c r="F1071" s="32">
        <f t="shared" si="12"/>
        <v>4.8625583333333324</v>
      </c>
      <c r="G1071" s="32">
        <f t="shared" si="12"/>
        <v>4.8668749999999994</v>
      </c>
      <c r="H1071" s="32">
        <f t="shared" si="12"/>
        <v>7.9403749999999995</v>
      </c>
      <c r="I1071" s="32">
        <f t="shared" si="12"/>
        <v>7.9446916666666674</v>
      </c>
      <c r="J1071" s="32">
        <f t="shared" si="12"/>
        <v>7.9403749999999995</v>
      </c>
      <c r="K1071" s="32">
        <f t="shared" si="12"/>
        <v>7.9446916666666674</v>
      </c>
      <c r="L1071" s="32">
        <f t="shared" si="12"/>
        <v>4.8625583333333324</v>
      </c>
      <c r="M1071" s="32">
        <f t="shared" si="12"/>
        <v>4.8668749999999994</v>
      </c>
      <c r="N1071" s="32">
        <f t="shared" si="12"/>
        <v>4.8625583333333324</v>
      </c>
      <c r="O1071" s="32">
        <f t="shared" si="12"/>
        <v>4.8668749999999994</v>
      </c>
    </row>
    <row r="1072" spans="1:15" ht="15" x14ac:dyDescent="0.2">
      <c r="A1072" s="11">
        <v>2027</v>
      </c>
      <c r="B1072" s="32">
        <f t="shared" ref="B1072:O1072" si="13">AVERAGE(B170:B181)</f>
        <v>3.9176666666666669</v>
      </c>
      <c r="C1072" s="32">
        <f t="shared" si="13"/>
        <v>3.9176666666666669</v>
      </c>
      <c r="D1072" s="32">
        <f t="shared" si="13"/>
        <v>3.9189416666666665</v>
      </c>
      <c r="E1072" s="32">
        <f t="shared" si="13"/>
        <v>4.9883083333333325</v>
      </c>
      <c r="F1072" s="32">
        <f t="shared" si="13"/>
        <v>4.9883083333333325</v>
      </c>
      <c r="G1072" s="32">
        <f t="shared" si="13"/>
        <v>4.9926166666666658</v>
      </c>
      <c r="H1072" s="32">
        <f t="shared" si="13"/>
        <v>8.1411750000000023</v>
      </c>
      <c r="I1072" s="32">
        <f t="shared" si="13"/>
        <v>8.1454833333333312</v>
      </c>
      <c r="J1072" s="32">
        <f t="shared" si="13"/>
        <v>8.1411750000000023</v>
      </c>
      <c r="K1072" s="32">
        <f t="shared" si="13"/>
        <v>8.1454833333333312</v>
      </c>
      <c r="L1072" s="32">
        <f t="shared" si="13"/>
        <v>4.9883083333333325</v>
      </c>
      <c r="M1072" s="32">
        <f t="shared" si="13"/>
        <v>4.9926166666666658</v>
      </c>
      <c r="N1072" s="32">
        <f t="shared" si="13"/>
        <v>4.9883083333333325</v>
      </c>
      <c r="O1072" s="32">
        <f t="shared" si="13"/>
        <v>4.9926166666666658</v>
      </c>
    </row>
    <row r="1073" spans="1:15" ht="15" x14ac:dyDescent="0.2">
      <c r="A1073" s="11">
        <v>2028</v>
      </c>
      <c r="B1073" s="32">
        <f t="shared" ref="B1073:O1073" si="14">AVERAGE(B182:B193)</f>
        <v>4.0231749999999984</v>
      </c>
      <c r="C1073" s="32">
        <f t="shared" si="14"/>
        <v>4.0231749999999984</v>
      </c>
      <c r="D1073" s="32">
        <f t="shared" si="14"/>
        <v>4.0244666666666662</v>
      </c>
      <c r="E1073" s="32">
        <f t="shared" si="14"/>
        <v>5.121858333333333</v>
      </c>
      <c r="F1073" s="32">
        <f t="shared" si="14"/>
        <v>5.121858333333333</v>
      </c>
      <c r="G1073" s="32">
        <f t="shared" si="14"/>
        <v>5.1261666666666663</v>
      </c>
      <c r="H1073" s="32">
        <f t="shared" si="14"/>
        <v>8.3470499999999994</v>
      </c>
      <c r="I1073" s="32">
        <f t="shared" si="14"/>
        <v>8.3513750000000009</v>
      </c>
      <c r="J1073" s="32">
        <f t="shared" si="14"/>
        <v>8.3470499999999994</v>
      </c>
      <c r="K1073" s="32">
        <f t="shared" si="14"/>
        <v>8.3513750000000009</v>
      </c>
      <c r="L1073" s="32">
        <f t="shared" si="14"/>
        <v>5.121858333333333</v>
      </c>
      <c r="M1073" s="32">
        <f t="shared" si="14"/>
        <v>5.1261666666666663</v>
      </c>
      <c r="N1073" s="32">
        <f t="shared" si="14"/>
        <v>5.121858333333333</v>
      </c>
      <c r="O1073" s="32">
        <f t="shared" si="14"/>
        <v>5.1261666666666663</v>
      </c>
    </row>
    <row r="1074" spans="1:15" ht="15" x14ac:dyDescent="0.2">
      <c r="A1074" s="11">
        <v>2029</v>
      </c>
      <c r="B1074" s="32">
        <f t="shared" ref="B1074:O1074" si="15">AVERAGE(B194:B205)</f>
        <v>4.1202916666666676</v>
      </c>
      <c r="C1074" s="32">
        <f t="shared" si="15"/>
        <v>4.1202916666666676</v>
      </c>
      <c r="D1074" s="32">
        <f t="shared" si="15"/>
        <v>4.1215583333333337</v>
      </c>
      <c r="E1074" s="32">
        <f t="shared" si="15"/>
        <v>5.2511833333333335</v>
      </c>
      <c r="F1074" s="32">
        <f t="shared" si="15"/>
        <v>5.2511833333333335</v>
      </c>
      <c r="G1074" s="32">
        <f t="shared" si="15"/>
        <v>5.2554916666666669</v>
      </c>
      <c r="H1074" s="32">
        <f t="shared" si="15"/>
        <v>8.5581250000000022</v>
      </c>
      <c r="I1074" s="32">
        <f t="shared" si="15"/>
        <v>8.5624583333333337</v>
      </c>
      <c r="J1074" s="32">
        <f t="shared" si="15"/>
        <v>8.5581250000000022</v>
      </c>
      <c r="K1074" s="32">
        <f t="shared" si="15"/>
        <v>8.5624583333333337</v>
      </c>
      <c r="L1074" s="32">
        <f t="shared" si="15"/>
        <v>5.2511833333333335</v>
      </c>
      <c r="M1074" s="32">
        <f t="shared" si="15"/>
        <v>5.2554916666666669</v>
      </c>
      <c r="N1074" s="32">
        <f t="shared" si="15"/>
        <v>5.2511833333333335</v>
      </c>
      <c r="O1074" s="32">
        <f t="shared" si="15"/>
        <v>5.2554916666666669</v>
      </c>
    </row>
    <row r="1075" spans="1:15" ht="15" x14ac:dyDescent="0.2">
      <c r="A1075" s="11">
        <v>2030</v>
      </c>
      <c r="B1075" s="32">
        <f t="shared" ref="B1075:O1075" si="16">AVERAGE(B206:B217)</f>
        <v>4.2197500000000003</v>
      </c>
      <c r="C1075" s="32">
        <f t="shared" si="16"/>
        <v>4.2197500000000003</v>
      </c>
      <c r="D1075" s="32">
        <f t="shared" si="16"/>
        <v>4.2210416666666664</v>
      </c>
      <c r="E1075" s="32">
        <f t="shared" si="16"/>
        <v>5.3853833333333334</v>
      </c>
      <c r="F1075" s="32">
        <f t="shared" si="16"/>
        <v>5.3853833333333334</v>
      </c>
      <c r="G1075" s="32">
        <f t="shared" si="16"/>
        <v>5.3897166666666676</v>
      </c>
      <c r="H1075" s="32">
        <f t="shared" si="16"/>
        <v>8.7745666666666651</v>
      </c>
      <c r="I1075" s="32">
        <f t="shared" si="16"/>
        <v>8.7788916666666683</v>
      </c>
      <c r="J1075" s="32">
        <f t="shared" si="16"/>
        <v>8.7745666666666651</v>
      </c>
      <c r="K1075" s="32">
        <f t="shared" si="16"/>
        <v>8.7788916666666683</v>
      </c>
      <c r="L1075" s="32">
        <f t="shared" si="16"/>
        <v>5.3853833333333334</v>
      </c>
      <c r="M1075" s="32">
        <f t="shared" si="16"/>
        <v>5.3897166666666676</v>
      </c>
      <c r="N1075" s="32">
        <f t="shared" si="16"/>
        <v>5.3853833333333334</v>
      </c>
      <c r="O1075" s="32">
        <f t="shared" si="16"/>
        <v>5.3897166666666676</v>
      </c>
    </row>
    <row r="1076" spans="1:15" ht="15" x14ac:dyDescent="0.2">
      <c r="A1076" s="11">
        <v>2031</v>
      </c>
      <c r="B1076" s="32">
        <f t="shared" ref="B1076:O1076" si="17">AVERAGE(B218:B229)</f>
        <v>4.319983333333334</v>
      </c>
      <c r="C1076" s="32">
        <f t="shared" si="17"/>
        <v>4.319983333333334</v>
      </c>
      <c r="D1076" s="32">
        <f t="shared" si="17"/>
        <v>4.321275</v>
      </c>
      <c r="E1076" s="32">
        <f t="shared" si="17"/>
        <v>5.5212583333333329</v>
      </c>
      <c r="F1076" s="32">
        <f t="shared" si="17"/>
        <v>5.5212583333333329</v>
      </c>
      <c r="G1076" s="32">
        <f t="shared" si="17"/>
        <v>5.5255916666666671</v>
      </c>
      <c r="H1076" s="32">
        <f t="shared" si="17"/>
        <v>8.9964666666666648</v>
      </c>
      <c r="I1076" s="32">
        <f t="shared" si="17"/>
        <v>9.0007833333333327</v>
      </c>
      <c r="J1076" s="32">
        <f t="shared" si="17"/>
        <v>8.9964666666666648</v>
      </c>
      <c r="K1076" s="32">
        <f t="shared" si="17"/>
        <v>9.0007833333333327</v>
      </c>
      <c r="L1076" s="32">
        <f t="shared" si="17"/>
        <v>5.5212583333333329</v>
      </c>
      <c r="M1076" s="32">
        <f t="shared" si="17"/>
        <v>5.5255916666666671</v>
      </c>
      <c r="N1076" s="32">
        <f t="shared" si="17"/>
        <v>5.5212583333333329</v>
      </c>
      <c r="O1076" s="32">
        <f t="shared" si="17"/>
        <v>5.5255916666666671</v>
      </c>
    </row>
    <row r="1077" spans="1:15" ht="15" x14ac:dyDescent="0.2">
      <c r="A1077" s="11">
        <v>2032</v>
      </c>
      <c r="B1077" s="32">
        <f t="shared" ref="B1077:O1077" si="18">AVERAGE(B230:B241)</f>
        <v>4.4233666666666664</v>
      </c>
      <c r="C1077" s="32">
        <f t="shared" si="18"/>
        <v>4.4233666666666664</v>
      </c>
      <c r="D1077" s="32">
        <f t="shared" si="18"/>
        <v>4.4246499999999997</v>
      </c>
      <c r="E1077" s="32">
        <f t="shared" si="18"/>
        <v>5.6636583333333341</v>
      </c>
      <c r="F1077" s="32">
        <f t="shared" si="18"/>
        <v>5.6636583333333341</v>
      </c>
      <c r="G1077" s="32">
        <f t="shared" si="18"/>
        <v>5.6679666666666675</v>
      </c>
      <c r="H1077" s="32">
        <f t="shared" si="18"/>
        <v>9.2239583333333339</v>
      </c>
      <c r="I1077" s="32">
        <f t="shared" si="18"/>
        <v>9.2282833333333336</v>
      </c>
      <c r="J1077" s="32">
        <f t="shared" si="18"/>
        <v>9.2239583333333339</v>
      </c>
      <c r="K1077" s="32">
        <f t="shared" si="18"/>
        <v>9.2282833333333336</v>
      </c>
      <c r="L1077" s="32">
        <f t="shared" si="18"/>
        <v>5.6636583333333341</v>
      </c>
      <c r="M1077" s="32">
        <f t="shared" si="18"/>
        <v>5.6679666666666675</v>
      </c>
      <c r="N1077" s="32">
        <f t="shared" si="18"/>
        <v>5.6636583333333341</v>
      </c>
      <c r="O1077" s="32">
        <f t="shared" si="18"/>
        <v>5.6679666666666675</v>
      </c>
    </row>
    <row r="1078" spans="1:15" ht="15" x14ac:dyDescent="0.2">
      <c r="A1078" s="11">
        <v>2033</v>
      </c>
      <c r="B1078" s="32">
        <f t="shared" ref="B1078:O1078" si="19">AVERAGE(B242:B253)</f>
        <v>4.5277250000000011</v>
      </c>
      <c r="C1078" s="32">
        <f t="shared" si="19"/>
        <v>4.5277250000000011</v>
      </c>
      <c r="D1078" s="32">
        <f t="shared" si="19"/>
        <v>4.5290083333333335</v>
      </c>
      <c r="E1078" s="32">
        <f t="shared" si="19"/>
        <v>5.8086833333333336</v>
      </c>
      <c r="F1078" s="32">
        <f t="shared" si="19"/>
        <v>5.8086833333333336</v>
      </c>
      <c r="G1078" s="32">
        <f t="shared" si="19"/>
        <v>5.8129750000000016</v>
      </c>
      <c r="H1078" s="32">
        <f t="shared" si="19"/>
        <v>9.4572083333333321</v>
      </c>
      <c r="I1078" s="32">
        <f t="shared" si="19"/>
        <v>9.4615333333333336</v>
      </c>
      <c r="J1078" s="32">
        <f t="shared" si="19"/>
        <v>9.4572083333333321</v>
      </c>
      <c r="K1078" s="32">
        <f t="shared" si="19"/>
        <v>9.4615333333333336</v>
      </c>
      <c r="L1078" s="32">
        <f t="shared" si="19"/>
        <v>5.8086833333333336</v>
      </c>
      <c r="M1078" s="32">
        <f t="shared" si="19"/>
        <v>5.8129750000000016</v>
      </c>
      <c r="N1078" s="32">
        <f t="shared" si="19"/>
        <v>5.8086833333333336</v>
      </c>
      <c r="O1078" s="32">
        <f t="shared" si="19"/>
        <v>5.8129750000000016</v>
      </c>
    </row>
    <row r="1079" spans="1:15" ht="15" x14ac:dyDescent="0.2">
      <c r="A1079" s="11">
        <v>2034</v>
      </c>
      <c r="B1079" s="32">
        <f t="shared" ref="B1079:O1079" si="20">AVERAGE(B254:B265)</f>
        <v>4.6365749999999997</v>
      </c>
      <c r="C1079" s="32">
        <f t="shared" si="20"/>
        <v>4.6365749999999997</v>
      </c>
      <c r="D1079" s="32">
        <f t="shared" si="20"/>
        <v>4.6378583333333339</v>
      </c>
      <c r="E1079" s="32">
        <f t="shared" si="20"/>
        <v>5.9626083333333346</v>
      </c>
      <c r="F1079" s="32">
        <f t="shared" si="20"/>
        <v>5.9626083333333346</v>
      </c>
      <c r="G1079" s="32">
        <f t="shared" si="20"/>
        <v>5.966941666666667</v>
      </c>
      <c r="H1079" s="32">
        <f t="shared" si="20"/>
        <v>9.6963750000000015</v>
      </c>
      <c r="I1079" s="32">
        <f t="shared" si="20"/>
        <v>9.7006916666666658</v>
      </c>
      <c r="J1079" s="32">
        <f t="shared" si="20"/>
        <v>9.6963750000000015</v>
      </c>
      <c r="K1079" s="32">
        <f t="shared" si="20"/>
        <v>9.7006916666666658</v>
      </c>
      <c r="L1079" s="32">
        <f t="shared" si="20"/>
        <v>5.9626083333333346</v>
      </c>
      <c r="M1079" s="32">
        <f t="shared" si="20"/>
        <v>5.966941666666667</v>
      </c>
      <c r="N1079" s="32">
        <f t="shared" si="20"/>
        <v>5.9626083333333346</v>
      </c>
      <c r="O1079" s="32">
        <f t="shared" si="20"/>
        <v>5.966941666666667</v>
      </c>
    </row>
    <row r="1080" spans="1:15" ht="15" x14ac:dyDescent="0.2">
      <c r="A1080" s="11">
        <v>2035</v>
      </c>
      <c r="B1080" s="32">
        <f t="shared" ref="B1080:O1080" si="21">AVERAGE(B266:B277)</f>
        <v>4.7452499999999995</v>
      </c>
      <c r="C1080" s="32">
        <f t="shared" si="21"/>
        <v>4.7452499999999995</v>
      </c>
      <c r="D1080" s="32">
        <f t="shared" si="21"/>
        <v>4.7465333333333337</v>
      </c>
      <c r="E1080" s="32">
        <f t="shared" si="21"/>
        <v>6.2283083333333344</v>
      </c>
      <c r="F1080" s="32">
        <f t="shared" si="21"/>
        <v>6.2283083333333344</v>
      </c>
      <c r="G1080" s="32">
        <f t="shared" si="21"/>
        <v>6.2326249999999996</v>
      </c>
      <c r="H1080" s="32">
        <f t="shared" si="21"/>
        <v>9.9415916666666675</v>
      </c>
      <c r="I1080" s="32">
        <f t="shared" si="21"/>
        <v>9.9459083333333336</v>
      </c>
      <c r="J1080" s="32">
        <f t="shared" si="21"/>
        <v>9.9415916666666675</v>
      </c>
      <c r="K1080" s="32">
        <f t="shared" si="21"/>
        <v>9.9459083333333336</v>
      </c>
      <c r="L1080" s="32">
        <f t="shared" si="21"/>
        <v>6.2283083333333344</v>
      </c>
      <c r="M1080" s="32">
        <f t="shared" si="21"/>
        <v>6.2326249999999996</v>
      </c>
      <c r="N1080" s="32">
        <f t="shared" si="21"/>
        <v>6.2283083333333344</v>
      </c>
      <c r="O1080" s="32">
        <f t="shared" si="21"/>
        <v>6.2326249999999996</v>
      </c>
    </row>
    <row r="1081" spans="1:15" ht="15" x14ac:dyDescent="0.2">
      <c r="A1081" s="11">
        <v>2036</v>
      </c>
      <c r="B1081" s="32">
        <f t="shared" ref="B1081:O1081" si="22">AVERAGE(B278:B289)</f>
        <v>4.8552916666666661</v>
      </c>
      <c r="C1081" s="32">
        <f t="shared" si="22"/>
        <v>4.8552916666666661</v>
      </c>
      <c r="D1081" s="32">
        <f t="shared" si="22"/>
        <v>4.8565666666666667</v>
      </c>
      <c r="E1081" s="32">
        <f t="shared" si="22"/>
        <v>6.4622250000000001</v>
      </c>
      <c r="F1081" s="32">
        <f t="shared" si="22"/>
        <v>6.4622250000000001</v>
      </c>
      <c r="G1081" s="32">
        <f t="shared" si="22"/>
        <v>6.4665333333333317</v>
      </c>
      <c r="H1081" s="32">
        <f t="shared" si="22"/>
        <v>10.192983333333334</v>
      </c>
      <c r="I1081" s="32">
        <f t="shared" si="22"/>
        <v>10.197316666666667</v>
      </c>
      <c r="J1081" s="32">
        <f t="shared" si="22"/>
        <v>10.192983333333334</v>
      </c>
      <c r="K1081" s="32">
        <f t="shared" si="22"/>
        <v>10.197316666666667</v>
      </c>
      <c r="L1081" s="32">
        <f t="shared" si="22"/>
        <v>6.4622250000000001</v>
      </c>
      <c r="M1081" s="32">
        <f t="shared" si="22"/>
        <v>6.4665333333333317</v>
      </c>
      <c r="N1081" s="32">
        <f t="shared" si="22"/>
        <v>6.4622250000000001</v>
      </c>
      <c r="O1081" s="32">
        <f t="shared" si="22"/>
        <v>6.4665333333333317</v>
      </c>
    </row>
    <row r="1082" spans="1:15" ht="15" x14ac:dyDescent="0.2">
      <c r="A1082" s="11">
        <v>2037</v>
      </c>
      <c r="B1082" s="32">
        <f t="shared" ref="B1082:O1082" si="23">AVERAGE(B290:B301)</f>
        <v>4.964783333333334</v>
      </c>
      <c r="C1082" s="32">
        <f t="shared" si="23"/>
        <v>4.964783333333334</v>
      </c>
      <c r="D1082" s="32">
        <f t="shared" si="23"/>
        <v>4.9660833333333327</v>
      </c>
      <c r="E1082" s="32">
        <f t="shared" si="23"/>
        <v>6.5224749999999991</v>
      </c>
      <c r="F1082" s="32">
        <f t="shared" si="23"/>
        <v>6.5224749999999991</v>
      </c>
      <c r="G1082" s="32">
        <f t="shared" si="23"/>
        <v>6.5267833333333343</v>
      </c>
      <c r="H1082" s="32">
        <f t="shared" si="23"/>
        <v>10.450766666666667</v>
      </c>
      <c r="I1082" s="32">
        <f t="shared" si="23"/>
        <v>10.455083333333334</v>
      </c>
      <c r="J1082" s="32">
        <f t="shared" si="23"/>
        <v>10.450766666666667</v>
      </c>
      <c r="K1082" s="32">
        <f t="shared" si="23"/>
        <v>10.455083333333334</v>
      </c>
      <c r="L1082" s="32">
        <f t="shared" si="23"/>
        <v>6.5224749999999991</v>
      </c>
      <c r="M1082" s="32">
        <f t="shared" si="23"/>
        <v>6.5267833333333343</v>
      </c>
      <c r="N1082" s="32">
        <f t="shared" si="23"/>
        <v>6.5224749999999991</v>
      </c>
      <c r="O1082" s="32">
        <f t="shared" si="23"/>
        <v>6.5267833333333343</v>
      </c>
    </row>
    <row r="1083" spans="1:15" ht="15" x14ac:dyDescent="0.2">
      <c r="A1083" s="11">
        <v>2038</v>
      </c>
      <c r="B1083" s="32">
        <f t="shared" ref="B1083:O1083" si="24">AVERAGE(B302:B313)</f>
        <v>5.078008333333333</v>
      </c>
      <c r="C1083" s="32">
        <f t="shared" si="24"/>
        <v>5.078008333333333</v>
      </c>
      <c r="D1083" s="32">
        <f t="shared" si="24"/>
        <v>5.0792916666666663</v>
      </c>
      <c r="E1083" s="32">
        <f t="shared" si="24"/>
        <v>6.5534166666666671</v>
      </c>
      <c r="F1083" s="32">
        <f t="shared" si="24"/>
        <v>6.5534166666666671</v>
      </c>
      <c r="G1083" s="32">
        <f t="shared" si="24"/>
        <v>6.5577499999999995</v>
      </c>
      <c r="H1083" s="32">
        <f t="shared" si="24"/>
        <v>10.71505</v>
      </c>
      <c r="I1083" s="32">
        <f t="shared" si="24"/>
        <v>10.719358333333332</v>
      </c>
      <c r="J1083" s="32">
        <f t="shared" si="24"/>
        <v>10.71505</v>
      </c>
      <c r="K1083" s="32">
        <f t="shared" si="24"/>
        <v>10.719358333333332</v>
      </c>
      <c r="L1083" s="32">
        <f t="shared" si="24"/>
        <v>6.5534166666666671</v>
      </c>
      <c r="M1083" s="32">
        <f t="shared" si="24"/>
        <v>6.5577499999999995</v>
      </c>
      <c r="N1083" s="32">
        <f t="shared" si="24"/>
        <v>6.5534166666666671</v>
      </c>
      <c r="O1083" s="32">
        <f t="shared" si="24"/>
        <v>6.5577499999999995</v>
      </c>
    </row>
    <row r="1084" spans="1:15" ht="15" x14ac:dyDescent="0.2">
      <c r="A1084" s="11">
        <v>2039</v>
      </c>
      <c r="B1084" s="32">
        <f t="shared" ref="B1084:O1084" si="25">AVERAGE(B314:B325)</f>
        <v>5.1910833333333333</v>
      </c>
      <c r="C1084" s="32">
        <f t="shared" si="25"/>
        <v>5.1910833333333333</v>
      </c>
      <c r="D1084" s="32">
        <f t="shared" si="25"/>
        <v>5.1923583333333339</v>
      </c>
      <c r="E1084" s="32">
        <f t="shared" si="25"/>
        <v>6.5795250000000003</v>
      </c>
      <c r="F1084" s="32">
        <f t="shared" si="25"/>
        <v>6.5795250000000003</v>
      </c>
      <c r="G1084" s="32">
        <f t="shared" si="25"/>
        <v>6.5838416666666655</v>
      </c>
      <c r="H1084" s="32">
        <f t="shared" si="25"/>
        <v>10.986008333333332</v>
      </c>
      <c r="I1084" s="32">
        <f t="shared" si="25"/>
        <v>10.990325</v>
      </c>
      <c r="J1084" s="32">
        <f t="shared" si="25"/>
        <v>10.986008333333332</v>
      </c>
      <c r="K1084" s="32">
        <f t="shared" si="25"/>
        <v>10.990325</v>
      </c>
      <c r="L1084" s="32">
        <f t="shared" si="25"/>
        <v>6.5795250000000003</v>
      </c>
      <c r="M1084" s="32">
        <f t="shared" si="25"/>
        <v>6.5838416666666655</v>
      </c>
      <c r="N1084" s="32">
        <f t="shared" si="25"/>
        <v>6.5795250000000003</v>
      </c>
      <c r="O1084" s="32">
        <f t="shared" si="25"/>
        <v>6.5838416666666655</v>
      </c>
    </row>
    <row r="1085" spans="1:15" ht="15" x14ac:dyDescent="0.2">
      <c r="A1085" s="11">
        <v>2040</v>
      </c>
      <c r="B1085" s="32">
        <f t="shared" ref="B1085:O1085" si="26">AVERAGE(B326:B337)</f>
        <v>5.3088083333333334</v>
      </c>
      <c r="C1085" s="32">
        <f t="shared" si="26"/>
        <v>5.3088083333333334</v>
      </c>
      <c r="D1085" s="32">
        <f t="shared" si="26"/>
        <v>5.3100916666666675</v>
      </c>
      <c r="E1085" s="32">
        <f t="shared" si="26"/>
        <v>6.6098166666666671</v>
      </c>
      <c r="F1085" s="32">
        <f t="shared" si="26"/>
        <v>6.6098166666666671</v>
      </c>
      <c r="G1085" s="32">
        <f t="shared" si="26"/>
        <v>6.6141166666666669</v>
      </c>
      <c r="H1085" s="32">
        <f t="shared" si="26"/>
        <v>11.263824999999999</v>
      </c>
      <c r="I1085" s="32">
        <f t="shared" si="26"/>
        <v>11.268150000000004</v>
      </c>
      <c r="J1085" s="32">
        <f t="shared" si="26"/>
        <v>11.263824999999999</v>
      </c>
      <c r="K1085" s="32">
        <f t="shared" si="26"/>
        <v>11.268150000000004</v>
      </c>
      <c r="L1085" s="32">
        <f t="shared" si="26"/>
        <v>6.6098166666666671</v>
      </c>
      <c r="M1085" s="32">
        <f t="shared" si="26"/>
        <v>6.6141166666666669</v>
      </c>
      <c r="N1085" s="32">
        <f t="shared" si="26"/>
        <v>6.6098166666666671</v>
      </c>
      <c r="O1085" s="32">
        <f t="shared" si="26"/>
        <v>6.6141166666666669</v>
      </c>
    </row>
    <row r="1086" spans="1:15" ht="15" x14ac:dyDescent="0.2">
      <c r="A1086" s="11">
        <v>2041</v>
      </c>
      <c r="B1086" s="32">
        <f t="shared" ref="B1086:O1086" si="27">AVERAGE(B338:B349)</f>
        <v>5.4292249999999989</v>
      </c>
      <c r="C1086" s="32">
        <f t="shared" si="27"/>
        <v>5.4292249999999989</v>
      </c>
      <c r="D1086" s="32">
        <f t="shared" si="27"/>
        <v>5.430483333333334</v>
      </c>
      <c r="E1086" s="32">
        <f t="shared" si="27"/>
        <v>6.6440333333333328</v>
      </c>
      <c r="F1086" s="32">
        <f t="shared" si="27"/>
        <v>6.6440333333333328</v>
      </c>
      <c r="G1086" s="32">
        <f t="shared" si="27"/>
        <v>6.6483583333333343</v>
      </c>
      <c r="H1086" s="32">
        <f t="shared" si="27"/>
        <v>11.548666666666668</v>
      </c>
      <c r="I1086" s="32">
        <f t="shared" si="27"/>
        <v>11.552999999999999</v>
      </c>
      <c r="J1086" s="32">
        <f t="shared" si="27"/>
        <v>11.548666666666668</v>
      </c>
      <c r="K1086" s="32">
        <f t="shared" si="27"/>
        <v>11.552999999999999</v>
      </c>
      <c r="L1086" s="32">
        <f t="shared" si="27"/>
        <v>6.6440333333333328</v>
      </c>
      <c r="M1086" s="32">
        <f t="shared" si="27"/>
        <v>6.6483583333333343</v>
      </c>
      <c r="N1086" s="32">
        <f t="shared" si="27"/>
        <v>6.6440333333333328</v>
      </c>
      <c r="O1086" s="32">
        <f t="shared" si="27"/>
        <v>6.6483583333333343</v>
      </c>
    </row>
    <row r="1087" spans="1:15" ht="15" x14ac:dyDescent="0.2">
      <c r="A1087" s="11">
        <v>2042</v>
      </c>
      <c r="B1087" s="32">
        <f t="shared" ref="B1087:O1087" si="28">AVERAGE(B350:B361)</f>
        <v>5.5523500000000006</v>
      </c>
      <c r="C1087" s="32">
        <f t="shared" si="28"/>
        <v>5.5523500000000006</v>
      </c>
      <c r="D1087" s="32">
        <f t="shared" si="28"/>
        <v>5.5536416666666675</v>
      </c>
      <c r="E1087" s="32">
        <f t="shared" si="28"/>
        <v>6.6822333333333335</v>
      </c>
      <c r="F1087" s="32">
        <f t="shared" si="28"/>
        <v>6.6822333333333335</v>
      </c>
      <c r="G1087" s="32">
        <f t="shared" si="28"/>
        <v>6.6865499999999995</v>
      </c>
      <c r="H1087" s="32">
        <f t="shared" si="28"/>
        <v>11.840716666666664</v>
      </c>
      <c r="I1087" s="32">
        <f t="shared" si="28"/>
        <v>11.845033333333333</v>
      </c>
      <c r="J1087" s="32">
        <f t="shared" si="28"/>
        <v>11.840716666666664</v>
      </c>
      <c r="K1087" s="32">
        <f t="shared" si="28"/>
        <v>11.845033333333333</v>
      </c>
      <c r="L1087" s="32">
        <f t="shared" si="28"/>
        <v>6.6822333333333335</v>
      </c>
      <c r="M1087" s="32">
        <f t="shared" si="28"/>
        <v>6.6865499999999995</v>
      </c>
      <c r="N1087" s="32">
        <f t="shared" si="28"/>
        <v>6.6822333333333335</v>
      </c>
      <c r="O1087" s="32">
        <f t="shared" si="28"/>
        <v>6.6865499999999995</v>
      </c>
    </row>
    <row r="1088" spans="1:15" ht="15" x14ac:dyDescent="0.2">
      <c r="A1088" s="11">
        <v>2043</v>
      </c>
      <c r="B1088" s="32">
        <f t="shared" ref="B1088:O1088" si="29">AVERAGE(B362:B373)</f>
        <v>5.6783000000000001</v>
      </c>
      <c r="C1088" s="32">
        <f t="shared" si="29"/>
        <v>5.6783000000000001</v>
      </c>
      <c r="D1088" s="32">
        <f t="shared" si="29"/>
        <v>5.6795749999999998</v>
      </c>
      <c r="E1088" s="32">
        <f t="shared" si="29"/>
        <v>6.72445</v>
      </c>
      <c r="F1088" s="32">
        <f t="shared" si="29"/>
        <v>6.72445</v>
      </c>
      <c r="G1088" s="32">
        <f t="shared" si="29"/>
        <v>6.7287666666666661</v>
      </c>
      <c r="H1088" s="32">
        <f t="shared" si="29"/>
        <v>12.140158333333332</v>
      </c>
      <c r="I1088" s="32">
        <f t="shared" si="29"/>
        <v>12.144483333333334</v>
      </c>
      <c r="J1088" s="32">
        <f t="shared" si="29"/>
        <v>12.140158333333332</v>
      </c>
      <c r="K1088" s="32">
        <f t="shared" si="29"/>
        <v>12.144483333333334</v>
      </c>
      <c r="L1088" s="32">
        <f t="shared" si="29"/>
        <v>6.72445</v>
      </c>
      <c r="M1088" s="32">
        <f t="shared" si="29"/>
        <v>6.7287666666666661</v>
      </c>
      <c r="N1088" s="32">
        <f t="shared" si="29"/>
        <v>6.72445</v>
      </c>
      <c r="O1088" s="32">
        <f t="shared" si="29"/>
        <v>6.7287666666666661</v>
      </c>
    </row>
    <row r="1089" spans="1:15" ht="15" x14ac:dyDescent="0.2">
      <c r="A1089" s="11">
        <v>2044</v>
      </c>
      <c r="B1089" s="32">
        <f t="shared" ref="B1089:O1089" si="30">AVERAGE(B374:B385)</f>
        <v>5.807083333333332</v>
      </c>
      <c r="C1089" s="32">
        <f t="shared" si="30"/>
        <v>5.807083333333332</v>
      </c>
      <c r="D1089" s="32">
        <f t="shared" si="30"/>
        <v>5.8083583333333335</v>
      </c>
      <c r="E1089" s="32">
        <f t="shared" si="30"/>
        <v>6.774516666666667</v>
      </c>
      <c r="F1089" s="32">
        <f t="shared" si="30"/>
        <v>6.774516666666667</v>
      </c>
      <c r="G1089" s="32">
        <f t="shared" si="30"/>
        <v>6.7788249999999985</v>
      </c>
      <c r="H1089" s="32">
        <f t="shared" si="30"/>
        <v>12.447166666666668</v>
      </c>
      <c r="I1089" s="32">
        <f t="shared" si="30"/>
        <v>12.451491666666664</v>
      </c>
      <c r="J1089" s="32">
        <f t="shared" si="30"/>
        <v>12.447166666666668</v>
      </c>
      <c r="K1089" s="32">
        <f t="shared" si="30"/>
        <v>12.451491666666664</v>
      </c>
      <c r="L1089" s="32">
        <f t="shared" si="30"/>
        <v>6.774516666666667</v>
      </c>
      <c r="M1089" s="32">
        <f t="shared" si="30"/>
        <v>6.7788249999999985</v>
      </c>
      <c r="N1089" s="32">
        <f t="shared" si="30"/>
        <v>6.774516666666667</v>
      </c>
      <c r="O1089" s="32">
        <f t="shared" si="30"/>
        <v>6.7788249999999985</v>
      </c>
    </row>
    <row r="1090" spans="1:15" ht="15" x14ac:dyDescent="0.2">
      <c r="A1090" s="11">
        <v>2045</v>
      </c>
      <c r="B1090" s="32">
        <f t="shared" ref="B1090:O1090" si="31">AVERAGE(B386:B397)</f>
        <v>5.9387999999999996</v>
      </c>
      <c r="C1090" s="32">
        <f t="shared" si="31"/>
        <v>5.9387999999999996</v>
      </c>
      <c r="D1090" s="32">
        <f t="shared" si="31"/>
        <v>5.9400916666666665</v>
      </c>
      <c r="E1090" s="32">
        <f t="shared" si="31"/>
        <v>6.8389249999999997</v>
      </c>
      <c r="F1090" s="32">
        <f t="shared" si="31"/>
        <v>6.8389249999999997</v>
      </c>
      <c r="G1090" s="32">
        <f t="shared" si="31"/>
        <v>6.8432416666666676</v>
      </c>
      <c r="H1090" s="32">
        <f t="shared" si="31"/>
        <v>12.761933333333333</v>
      </c>
      <c r="I1090" s="32">
        <f t="shared" si="31"/>
        <v>12.766249999999999</v>
      </c>
      <c r="J1090" s="32">
        <f t="shared" si="31"/>
        <v>12.761933333333333</v>
      </c>
      <c r="K1090" s="32">
        <f t="shared" si="31"/>
        <v>12.766249999999999</v>
      </c>
      <c r="L1090" s="32">
        <f t="shared" si="31"/>
        <v>6.8389249999999997</v>
      </c>
      <c r="M1090" s="32">
        <f t="shared" si="31"/>
        <v>6.8432416666666676</v>
      </c>
      <c r="N1090" s="32">
        <f t="shared" si="31"/>
        <v>6.8389249999999997</v>
      </c>
      <c r="O1090" s="32">
        <f t="shared" si="31"/>
        <v>6.8432416666666676</v>
      </c>
    </row>
    <row r="1091" spans="1:15" ht="15" x14ac:dyDescent="0.2">
      <c r="A1091" s="11">
        <v>2046</v>
      </c>
      <c r="B1091" s="32">
        <f t="shared" ref="B1091:O1091" si="32">AVERAGE(B398:B409)</f>
        <v>6.073525000000001</v>
      </c>
      <c r="C1091" s="32">
        <f t="shared" si="32"/>
        <v>6.073525000000001</v>
      </c>
      <c r="D1091" s="32">
        <f t="shared" si="32"/>
        <v>6.0748083333333343</v>
      </c>
      <c r="E1091" s="32">
        <f t="shared" si="32"/>
        <v>6.9243500000000004</v>
      </c>
      <c r="F1091" s="32">
        <f t="shared" si="32"/>
        <v>6.9243500000000004</v>
      </c>
      <c r="G1091" s="32">
        <f t="shared" si="32"/>
        <v>6.9286583333333338</v>
      </c>
      <c r="H1091" s="32">
        <f t="shared" si="32"/>
        <v>13.084658333333332</v>
      </c>
      <c r="I1091" s="32">
        <f t="shared" si="32"/>
        <v>13.088974999999998</v>
      </c>
      <c r="J1091" s="32">
        <f t="shared" si="32"/>
        <v>13.084658333333332</v>
      </c>
      <c r="K1091" s="32">
        <f t="shared" si="32"/>
        <v>13.088974999999998</v>
      </c>
      <c r="L1091" s="32">
        <f t="shared" si="32"/>
        <v>6.9243500000000004</v>
      </c>
      <c r="M1091" s="32">
        <f t="shared" si="32"/>
        <v>6.9286583333333338</v>
      </c>
      <c r="N1091" s="32">
        <f t="shared" si="32"/>
        <v>6.9243500000000004</v>
      </c>
      <c r="O1091" s="32">
        <f t="shared" si="32"/>
        <v>6.9286583333333338</v>
      </c>
    </row>
    <row r="1092" spans="1:15" ht="15" x14ac:dyDescent="0.2">
      <c r="A1092" s="11">
        <v>2047</v>
      </c>
      <c r="B1092" s="32">
        <f t="shared" ref="B1092:O1092" si="33">AVERAGE(B410:B421)</f>
        <v>6.2112833333333333</v>
      </c>
      <c r="C1092" s="32">
        <f t="shared" si="33"/>
        <v>6.2112833333333333</v>
      </c>
      <c r="D1092" s="32">
        <f t="shared" si="33"/>
        <v>6.2125750000000011</v>
      </c>
      <c r="E1092" s="32">
        <f t="shared" si="33"/>
        <v>7.0300916666666664</v>
      </c>
      <c r="F1092" s="32">
        <f t="shared" si="33"/>
        <v>7.0300916666666664</v>
      </c>
      <c r="G1092" s="32">
        <f t="shared" si="33"/>
        <v>7.0343999999999989</v>
      </c>
      <c r="H1092" s="32">
        <f t="shared" si="33"/>
        <v>13.415558333333335</v>
      </c>
      <c r="I1092" s="32">
        <f t="shared" si="33"/>
        <v>13.419874999999998</v>
      </c>
      <c r="J1092" s="32">
        <f t="shared" si="33"/>
        <v>13.415558333333335</v>
      </c>
      <c r="K1092" s="32">
        <f t="shared" si="33"/>
        <v>13.419874999999998</v>
      </c>
      <c r="L1092" s="32">
        <f t="shared" si="33"/>
        <v>7.0300916666666664</v>
      </c>
      <c r="M1092" s="32">
        <f t="shared" si="33"/>
        <v>7.0343999999999989</v>
      </c>
      <c r="N1092" s="32">
        <f t="shared" si="33"/>
        <v>7.0300916666666664</v>
      </c>
      <c r="O1092" s="32">
        <f t="shared" si="33"/>
        <v>7.0343999999999989</v>
      </c>
    </row>
    <row r="1093" spans="1:15" ht="15" x14ac:dyDescent="0.2">
      <c r="A1093" s="11">
        <v>2048</v>
      </c>
      <c r="B1093" s="32">
        <f t="shared" ref="B1093:O1093" si="34">AVERAGE(B422:B433)</f>
        <v>6.3522166666666671</v>
      </c>
      <c r="C1093" s="32">
        <f t="shared" si="34"/>
        <v>6.3522166666666671</v>
      </c>
      <c r="D1093" s="32">
        <f t="shared" si="34"/>
        <v>6.3534666666666668</v>
      </c>
      <c r="E1093" s="32">
        <f t="shared" si="34"/>
        <v>7.1572916666666666</v>
      </c>
      <c r="F1093" s="32">
        <f t="shared" si="34"/>
        <v>7.1572916666666666</v>
      </c>
      <c r="G1093" s="32">
        <f t="shared" si="34"/>
        <v>7.1615916666666672</v>
      </c>
      <c r="H1093" s="32">
        <f t="shared" si="34"/>
        <v>13.754816666666668</v>
      </c>
      <c r="I1093" s="32">
        <f t="shared" si="34"/>
        <v>13.759133333333336</v>
      </c>
      <c r="J1093" s="32">
        <f t="shared" si="34"/>
        <v>13.754816666666668</v>
      </c>
      <c r="K1093" s="32">
        <f t="shared" si="34"/>
        <v>13.759133333333336</v>
      </c>
      <c r="L1093" s="32">
        <f t="shared" si="34"/>
        <v>7.1572916666666666</v>
      </c>
      <c r="M1093" s="32">
        <f t="shared" si="34"/>
        <v>7.1615916666666672</v>
      </c>
      <c r="N1093" s="32">
        <f t="shared" si="34"/>
        <v>7.1572916666666666</v>
      </c>
      <c r="O1093" s="32">
        <f t="shared" si="34"/>
        <v>7.1615916666666672</v>
      </c>
    </row>
    <row r="1094" spans="1:15" ht="15" x14ac:dyDescent="0.2">
      <c r="A1094" s="11">
        <v>2049</v>
      </c>
      <c r="B1094" s="32">
        <f t="shared" ref="B1094:O1094" si="35">AVERAGE(B434:B445)</f>
        <v>6.4963166666666652</v>
      </c>
      <c r="C1094" s="32">
        <f t="shared" si="35"/>
        <v>6.4963166666666652</v>
      </c>
      <c r="D1094" s="32">
        <f t="shared" si="35"/>
        <v>6.4976000000000012</v>
      </c>
      <c r="E1094" s="32">
        <f t="shared" si="35"/>
        <v>7.3044833333333328</v>
      </c>
      <c r="F1094" s="32">
        <f t="shared" si="35"/>
        <v>7.3044833333333328</v>
      </c>
      <c r="G1094" s="32">
        <f t="shared" si="35"/>
        <v>7.3087833333333334</v>
      </c>
      <c r="H1094" s="32">
        <f t="shared" si="35"/>
        <v>14.102649999999999</v>
      </c>
      <c r="I1094" s="32">
        <f t="shared" si="35"/>
        <v>14.106966666666667</v>
      </c>
      <c r="J1094" s="32">
        <f t="shared" si="35"/>
        <v>14.102649999999999</v>
      </c>
      <c r="K1094" s="32">
        <f t="shared" si="35"/>
        <v>14.106966666666667</v>
      </c>
      <c r="L1094" s="32">
        <f t="shared" si="35"/>
        <v>7.3044833333333328</v>
      </c>
      <c r="M1094" s="32">
        <f t="shared" si="35"/>
        <v>7.3087833333333334</v>
      </c>
      <c r="N1094" s="32">
        <f t="shared" si="35"/>
        <v>7.3044833333333328</v>
      </c>
      <c r="O1094" s="32">
        <f t="shared" si="35"/>
        <v>7.3087833333333334</v>
      </c>
    </row>
    <row r="1095" spans="1:15" ht="15" x14ac:dyDescent="0.2">
      <c r="A1095" s="11">
        <v>2050</v>
      </c>
      <c r="B1095" s="32">
        <f t="shared" ref="B1095:O1095" si="36">AVERAGE(B446:B457)</f>
        <v>6.6436749999999982</v>
      </c>
      <c r="C1095" s="32">
        <f t="shared" si="36"/>
        <v>6.6436749999999982</v>
      </c>
      <c r="D1095" s="32">
        <f t="shared" si="36"/>
        <v>6.6449666666666678</v>
      </c>
      <c r="E1095" s="32">
        <f t="shared" si="36"/>
        <v>7.4640833333333338</v>
      </c>
      <c r="F1095" s="32">
        <f t="shared" si="36"/>
        <v>7.4640833333333338</v>
      </c>
      <c r="G1095" s="32">
        <f t="shared" si="36"/>
        <v>7.4683916666666663</v>
      </c>
      <c r="H1095" s="32">
        <f t="shared" si="36"/>
        <v>14.459291666666667</v>
      </c>
      <c r="I1095" s="32">
        <f t="shared" si="36"/>
        <v>14.463608333333331</v>
      </c>
      <c r="J1095" s="32">
        <f t="shared" si="36"/>
        <v>14.459291666666667</v>
      </c>
      <c r="K1095" s="32">
        <f t="shared" si="36"/>
        <v>14.463608333333331</v>
      </c>
      <c r="L1095" s="32">
        <f t="shared" si="36"/>
        <v>7.4640833333333338</v>
      </c>
      <c r="M1095" s="32">
        <f t="shared" si="36"/>
        <v>7.4683916666666663</v>
      </c>
      <c r="N1095" s="32">
        <f t="shared" si="36"/>
        <v>7.4640833333333338</v>
      </c>
      <c r="O1095" s="32">
        <f t="shared" si="36"/>
        <v>7.4683916666666663</v>
      </c>
    </row>
    <row r="1096" spans="1:15" ht="15" x14ac:dyDescent="0.2">
      <c r="A1096" s="11">
        <v>2051</v>
      </c>
      <c r="B1096" s="32">
        <f t="shared" ref="B1096:O1096" si="37">AVERAGE(B458:B469)</f>
        <v>6.7943916666666659</v>
      </c>
      <c r="C1096" s="32">
        <f t="shared" si="37"/>
        <v>6.7943916666666659</v>
      </c>
      <c r="D1096" s="32">
        <f t="shared" si="37"/>
        <v>6.7957000000000001</v>
      </c>
      <c r="E1096" s="32">
        <f t="shared" si="37"/>
        <v>7.627958333333333</v>
      </c>
      <c r="F1096" s="32">
        <f t="shared" si="37"/>
        <v>7.627958333333333</v>
      </c>
      <c r="G1096" s="32">
        <f t="shared" si="37"/>
        <v>7.6322916666666671</v>
      </c>
      <c r="H1096" s="32">
        <f t="shared" si="37"/>
        <v>14.824925</v>
      </c>
      <c r="I1096" s="32">
        <f t="shared" si="37"/>
        <v>14.82925833333333</v>
      </c>
      <c r="J1096" s="32">
        <f t="shared" si="37"/>
        <v>14.824925</v>
      </c>
      <c r="K1096" s="32">
        <f t="shared" si="37"/>
        <v>14.82925833333333</v>
      </c>
      <c r="L1096" s="32">
        <f t="shared" si="37"/>
        <v>7.627958333333333</v>
      </c>
      <c r="M1096" s="32">
        <f t="shared" si="37"/>
        <v>7.6322916666666671</v>
      </c>
      <c r="N1096" s="32">
        <f t="shared" si="37"/>
        <v>7.627958333333333</v>
      </c>
      <c r="O1096" s="32">
        <f t="shared" si="37"/>
        <v>7.6322916666666671</v>
      </c>
    </row>
    <row r="1097" spans="1:15" ht="15" x14ac:dyDescent="0.2">
      <c r="A1097" s="11">
        <v>2052</v>
      </c>
      <c r="B1097" s="32">
        <f t="shared" ref="B1097:O1097" si="38">AVERAGE(B470:B481)</f>
        <v>6.9485583333333336</v>
      </c>
      <c r="C1097" s="32">
        <f t="shared" si="38"/>
        <v>6.9485583333333336</v>
      </c>
      <c r="D1097" s="32">
        <f t="shared" si="38"/>
        <v>6.9498499999999988</v>
      </c>
      <c r="E1097" s="32">
        <f t="shared" si="38"/>
        <v>7.7962999999999996</v>
      </c>
      <c r="F1097" s="32">
        <f t="shared" si="38"/>
        <v>7.7962999999999996</v>
      </c>
      <c r="G1097" s="32">
        <f t="shared" si="38"/>
        <v>7.8006083333333338</v>
      </c>
      <c r="H1097" s="32">
        <f t="shared" si="38"/>
        <v>15.19985</v>
      </c>
      <c r="I1097" s="32">
        <f t="shared" si="38"/>
        <v>15.204166666666671</v>
      </c>
      <c r="J1097" s="32">
        <f t="shared" si="38"/>
        <v>15.19985</v>
      </c>
      <c r="K1097" s="32">
        <f t="shared" si="38"/>
        <v>15.204166666666671</v>
      </c>
      <c r="L1097" s="32">
        <f t="shared" si="38"/>
        <v>7.7962999999999996</v>
      </c>
      <c r="M1097" s="32">
        <f t="shared" si="38"/>
        <v>7.8006083333333338</v>
      </c>
      <c r="N1097" s="32">
        <f t="shared" si="38"/>
        <v>7.7962999999999996</v>
      </c>
      <c r="O1097" s="32">
        <f t="shared" si="38"/>
        <v>7.8006083333333338</v>
      </c>
    </row>
    <row r="1098" spans="1:15" ht="15" x14ac:dyDescent="0.2">
      <c r="A1098" s="11">
        <v>2053</v>
      </c>
      <c r="B1098" s="32">
        <f t="shared" ref="B1098:O1098" si="39">AVERAGE(B482:B493)</f>
        <v>7.1062166666666675</v>
      </c>
      <c r="C1098" s="32">
        <f t="shared" si="39"/>
        <v>7.1062166666666675</v>
      </c>
      <c r="D1098" s="32">
        <f t="shared" si="39"/>
        <v>7.1075000000000008</v>
      </c>
      <c r="E1098" s="32">
        <f t="shared" si="39"/>
        <v>7.9691916666666662</v>
      </c>
      <c r="F1098" s="32">
        <f t="shared" si="39"/>
        <v>7.9691916666666662</v>
      </c>
      <c r="G1098" s="32">
        <f t="shared" si="39"/>
        <v>7.9735166666666659</v>
      </c>
      <c r="H1098" s="32">
        <f t="shared" si="39"/>
        <v>15.584200000000001</v>
      </c>
      <c r="I1098" s="32">
        <f t="shared" si="39"/>
        <v>15.588533333333332</v>
      </c>
      <c r="J1098" s="32">
        <f t="shared" si="39"/>
        <v>15.584200000000001</v>
      </c>
      <c r="K1098" s="32">
        <f t="shared" si="39"/>
        <v>15.588533333333332</v>
      </c>
      <c r="L1098" s="32">
        <f t="shared" si="39"/>
        <v>7.9691916666666662</v>
      </c>
      <c r="M1098" s="32">
        <f t="shared" si="39"/>
        <v>7.9735166666666659</v>
      </c>
      <c r="N1098" s="32">
        <f t="shared" si="39"/>
        <v>7.9691916666666662</v>
      </c>
      <c r="O1098" s="32">
        <f t="shared" si="39"/>
        <v>7.9735166666666659</v>
      </c>
    </row>
    <row r="1099" spans="1:15" ht="15" x14ac:dyDescent="0.2">
      <c r="A1099" s="11">
        <v>2054</v>
      </c>
      <c r="B1099" s="32">
        <f t="shared" ref="B1099:O1099" si="40">AVERAGE(B494:B505)</f>
        <v>7.2674666666666674</v>
      </c>
      <c r="C1099" s="32">
        <f t="shared" si="40"/>
        <v>7.2674666666666674</v>
      </c>
      <c r="D1099" s="32">
        <f t="shared" si="40"/>
        <v>7.2687416666666671</v>
      </c>
      <c r="E1099" s="32">
        <f t="shared" si="40"/>
        <v>8.1467749999999999</v>
      </c>
      <c r="F1099" s="32">
        <f t="shared" si="40"/>
        <v>8.1467749999999999</v>
      </c>
      <c r="G1099" s="32">
        <f t="shared" si="40"/>
        <v>8.151091666666666</v>
      </c>
      <c r="H1099" s="32">
        <f t="shared" si="40"/>
        <v>15.978316666666665</v>
      </c>
      <c r="I1099" s="32">
        <f t="shared" si="40"/>
        <v>15.982641666666666</v>
      </c>
      <c r="J1099" s="32">
        <f t="shared" si="40"/>
        <v>15.978316666666665</v>
      </c>
      <c r="K1099" s="32">
        <f t="shared" si="40"/>
        <v>15.982641666666666</v>
      </c>
      <c r="L1099" s="32">
        <f t="shared" si="40"/>
        <v>8.1467749999999999</v>
      </c>
      <c r="M1099" s="32">
        <f t="shared" si="40"/>
        <v>8.151091666666666</v>
      </c>
      <c r="N1099" s="32">
        <f t="shared" si="40"/>
        <v>8.1467749999999999</v>
      </c>
      <c r="O1099" s="32">
        <f t="shared" si="40"/>
        <v>8.151091666666666</v>
      </c>
    </row>
    <row r="1100" spans="1:15" ht="15" x14ac:dyDescent="0.2">
      <c r="A1100" s="11">
        <v>2055</v>
      </c>
      <c r="B1100" s="32">
        <f t="shared" ref="B1100:O1100" si="41">AVERAGE(B14:B517)</f>
        <v>4.831816810818971</v>
      </c>
      <c r="C1100" s="32">
        <f t="shared" si="41"/>
        <v>4.8316309388528138</v>
      </c>
      <c r="D1100" s="32">
        <f t="shared" si="41"/>
        <v>4.8339952503607506</v>
      </c>
      <c r="E1100" s="32">
        <f t="shared" si="41"/>
        <v>5.8754100886715772</v>
      </c>
      <c r="F1100" s="32">
        <f t="shared" si="41"/>
        <v>5.8623379539951568</v>
      </c>
      <c r="G1100" s="32">
        <f t="shared" si="41"/>
        <v>5.866918598836433</v>
      </c>
      <c r="H1100" s="32">
        <f t="shared" si="41"/>
        <v>10.274006012619598</v>
      </c>
      <c r="I1100" s="32">
        <f t="shared" si="41"/>
        <v>10.278591022540224</v>
      </c>
      <c r="J1100" s="32">
        <f t="shared" si="41"/>
        <v>10.274006012619598</v>
      </c>
      <c r="K1100" s="32">
        <f t="shared" si="41"/>
        <v>10.278591022540224</v>
      </c>
      <c r="L1100" s="32">
        <f t="shared" si="41"/>
        <v>5.8754100886715772</v>
      </c>
      <c r="M1100" s="32">
        <f t="shared" si="41"/>
        <v>5.879990336687456</v>
      </c>
      <c r="N1100" s="32">
        <f t="shared" si="41"/>
        <v>5.8754100886715772</v>
      </c>
      <c r="O1100" s="32">
        <f t="shared" si="41"/>
        <v>5.879990336687456</v>
      </c>
    </row>
    <row r="1101" spans="1:15" ht="15" x14ac:dyDescent="0.2">
      <c r="A1101" s="11">
        <v>2056</v>
      </c>
      <c r="B1101" s="32">
        <f t="shared" ref="B1101:O1101" si="42">AVERAGE(B518:B529)</f>
        <v>7.6010166666666663</v>
      </c>
      <c r="C1101" s="32">
        <f t="shared" si="42"/>
        <v>7.6010166666666663</v>
      </c>
      <c r="D1101" s="32">
        <f t="shared" si="42"/>
        <v>7.6022833333333333</v>
      </c>
      <c r="E1101" s="32">
        <f t="shared" si="42"/>
        <v>8.5165749999999996</v>
      </c>
      <c r="F1101" s="32">
        <f t="shared" si="42"/>
        <v>8.5165749999999996</v>
      </c>
      <c r="G1101" s="32">
        <f t="shared" si="42"/>
        <v>8.5208916666666674</v>
      </c>
      <c r="H1101" s="32">
        <f t="shared" si="42"/>
        <v>16.796683333333334</v>
      </c>
      <c r="I1101" s="32">
        <f t="shared" si="42"/>
        <v>16.800983333333331</v>
      </c>
      <c r="J1101" s="32">
        <f t="shared" si="42"/>
        <v>16.796683333333334</v>
      </c>
      <c r="K1101" s="32">
        <f t="shared" si="42"/>
        <v>16.800983333333331</v>
      </c>
      <c r="L1101" s="32">
        <f t="shared" si="42"/>
        <v>8.5165749999999996</v>
      </c>
      <c r="M1101" s="32">
        <f t="shared" si="42"/>
        <v>8.5208916666666674</v>
      </c>
      <c r="N1101" s="32">
        <f t="shared" si="42"/>
        <v>8.5165749999999996</v>
      </c>
      <c r="O1101" s="32">
        <f t="shared" si="42"/>
        <v>8.5208916666666674</v>
      </c>
    </row>
    <row r="1102" spans="1:15" ht="15" x14ac:dyDescent="0.2">
      <c r="A1102" s="11">
        <v>2057</v>
      </c>
      <c r="B1102" s="32">
        <f t="shared" ref="B1102:O1102" si="43">AVERAGE(B530:B541)</f>
        <v>7.7734750000000012</v>
      </c>
      <c r="C1102" s="32">
        <f t="shared" si="43"/>
        <v>7.7734750000000012</v>
      </c>
      <c r="D1102" s="32">
        <f t="shared" si="43"/>
        <v>7.7747666666666655</v>
      </c>
      <c r="E1102" s="32">
        <f t="shared" si="43"/>
        <v>8.7090916666666676</v>
      </c>
      <c r="F1102" s="32">
        <f t="shared" si="43"/>
        <v>8.7090916666666676</v>
      </c>
      <c r="G1102" s="32">
        <f t="shared" si="43"/>
        <v>8.7134166666666655</v>
      </c>
      <c r="H1102" s="32">
        <f t="shared" si="43"/>
        <v>17.221425</v>
      </c>
      <c r="I1102" s="32">
        <f t="shared" si="43"/>
        <v>17.225741666666668</v>
      </c>
      <c r="J1102" s="32">
        <f t="shared" si="43"/>
        <v>17.221425</v>
      </c>
      <c r="K1102" s="32">
        <f t="shared" si="43"/>
        <v>17.225741666666668</v>
      </c>
      <c r="L1102" s="32">
        <f t="shared" si="43"/>
        <v>8.7090916666666676</v>
      </c>
      <c r="M1102" s="32">
        <f t="shared" si="43"/>
        <v>8.7134166666666655</v>
      </c>
      <c r="N1102" s="32">
        <f t="shared" si="43"/>
        <v>8.7090916666666676</v>
      </c>
      <c r="O1102" s="32">
        <f t="shared" si="43"/>
        <v>8.7134166666666655</v>
      </c>
    </row>
    <row r="1103" spans="1:15" ht="15" x14ac:dyDescent="0.2">
      <c r="A1103" s="11">
        <v>2058</v>
      </c>
      <c r="B1103" s="32">
        <f t="shared" ref="B1103:O1103" si="44">AVERAGE(B542:B553)</f>
        <v>7.9498749999999996</v>
      </c>
      <c r="C1103" s="32">
        <f t="shared" si="44"/>
        <v>7.9498749999999996</v>
      </c>
      <c r="D1103" s="32">
        <f t="shared" si="44"/>
        <v>7.9511750000000019</v>
      </c>
      <c r="E1103" s="32">
        <f t="shared" si="44"/>
        <v>8.9068749999999994</v>
      </c>
      <c r="F1103" s="32">
        <f t="shared" si="44"/>
        <v>8.9068749999999994</v>
      </c>
      <c r="G1103" s="32">
        <f t="shared" si="44"/>
        <v>8.9111916666666673</v>
      </c>
      <c r="H1103" s="32">
        <f t="shared" si="44"/>
        <v>17.656933333333335</v>
      </c>
      <c r="I1103" s="32">
        <f t="shared" si="44"/>
        <v>17.661258333333333</v>
      </c>
      <c r="J1103" s="32">
        <f t="shared" si="44"/>
        <v>17.656933333333335</v>
      </c>
      <c r="K1103" s="32">
        <f t="shared" si="44"/>
        <v>17.661258333333333</v>
      </c>
      <c r="L1103" s="32">
        <f t="shared" si="44"/>
        <v>8.9068749999999994</v>
      </c>
      <c r="M1103" s="32">
        <f t="shared" si="44"/>
        <v>8.9111916666666673</v>
      </c>
      <c r="N1103" s="32">
        <f t="shared" si="44"/>
        <v>8.9068749999999994</v>
      </c>
      <c r="O1103" s="32">
        <f t="shared" si="44"/>
        <v>8.9111916666666673</v>
      </c>
    </row>
    <row r="1104" spans="1:15" ht="15" x14ac:dyDescent="0.2">
      <c r="A1104" s="11">
        <v>2059</v>
      </c>
      <c r="B1104" s="32">
        <f t="shared" ref="B1104:O1104" si="45">AVERAGE(B554:B565)</f>
        <v>8.1302916666666665</v>
      </c>
      <c r="C1104" s="32">
        <f t="shared" si="45"/>
        <v>8.1302916666666665</v>
      </c>
      <c r="D1104" s="32">
        <f t="shared" si="45"/>
        <v>8.1315833333333334</v>
      </c>
      <c r="E1104" s="32">
        <f t="shared" si="45"/>
        <v>9.1100750000000001</v>
      </c>
      <c r="F1104" s="32">
        <f t="shared" si="45"/>
        <v>9.1100750000000001</v>
      </c>
      <c r="G1104" s="32">
        <f t="shared" si="45"/>
        <v>9.1143999999999981</v>
      </c>
      <c r="H1104" s="32">
        <f t="shared" si="45"/>
        <v>18.103449999999999</v>
      </c>
      <c r="I1104" s="32">
        <f t="shared" si="45"/>
        <v>18.107775</v>
      </c>
      <c r="J1104" s="32">
        <f t="shared" si="45"/>
        <v>18.103449999999999</v>
      </c>
      <c r="K1104" s="32">
        <f t="shared" si="45"/>
        <v>18.107775</v>
      </c>
      <c r="L1104" s="32">
        <f t="shared" si="45"/>
        <v>9.1100750000000001</v>
      </c>
      <c r="M1104" s="32">
        <f t="shared" si="45"/>
        <v>9.1143999999999981</v>
      </c>
      <c r="N1104" s="32">
        <f t="shared" si="45"/>
        <v>9.1100750000000001</v>
      </c>
      <c r="O1104" s="32">
        <f t="shared" si="45"/>
        <v>9.1143999999999981</v>
      </c>
    </row>
    <row r="1105" spans="1:15" ht="15" x14ac:dyDescent="0.2">
      <c r="A1105" s="11">
        <v>2060</v>
      </c>
      <c r="B1105" s="32">
        <f t="shared" ref="B1105:O1105" si="46">AVERAGE(B566:B577)</f>
        <v>8.3147999999999982</v>
      </c>
      <c r="C1105" s="32">
        <f t="shared" si="46"/>
        <v>8.3147999999999982</v>
      </c>
      <c r="D1105" s="32">
        <f t="shared" si="46"/>
        <v>8.3160749999999997</v>
      </c>
      <c r="E1105" s="32">
        <f t="shared" si="46"/>
        <v>9.3188999999999993</v>
      </c>
      <c r="F1105" s="32">
        <f t="shared" si="46"/>
        <v>9.3188999999999993</v>
      </c>
      <c r="G1105" s="32">
        <f t="shared" si="46"/>
        <v>9.3232000000000017</v>
      </c>
      <c r="H1105" s="32">
        <f t="shared" si="46"/>
        <v>18.561266666666665</v>
      </c>
      <c r="I1105" s="32">
        <f t="shared" si="46"/>
        <v>18.565583333333333</v>
      </c>
      <c r="J1105" s="32">
        <f t="shared" si="46"/>
        <v>18.561266666666665</v>
      </c>
      <c r="K1105" s="32">
        <f t="shared" si="46"/>
        <v>18.565583333333333</v>
      </c>
      <c r="L1105" s="32">
        <f t="shared" si="46"/>
        <v>9.3188999999999993</v>
      </c>
      <c r="M1105" s="32">
        <f t="shared" si="46"/>
        <v>9.3232000000000017</v>
      </c>
      <c r="N1105" s="32">
        <f t="shared" si="46"/>
        <v>9.3188999999999993</v>
      </c>
      <c r="O1105" s="32">
        <f t="shared" si="46"/>
        <v>9.3232000000000017</v>
      </c>
    </row>
    <row r="1106" spans="1:15" ht="15" x14ac:dyDescent="0.2">
      <c r="A1106" s="11">
        <v>2061</v>
      </c>
      <c r="B1106" s="32">
        <f t="shared" ref="B1106:O1106" si="47">AVERAGE(B578:B589)</f>
        <v>8.5034916666666671</v>
      </c>
      <c r="C1106" s="32">
        <f t="shared" si="47"/>
        <v>8.5034916666666671</v>
      </c>
      <c r="D1106" s="32">
        <f t="shared" si="47"/>
        <v>8.5047749999999986</v>
      </c>
      <c r="E1106" s="32">
        <f t="shared" si="47"/>
        <v>9.5334583333333338</v>
      </c>
      <c r="F1106" s="32">
        <f t="shared" si="47"/>
        <v>9.5334583333333338</v>
      </c>
      <c r="G1106" s="32">
        <f t="shared" si="47"/>
        <v>9.5377750000000017</v>
      </c>
      <c r="H1106" s="32">
        <f t="shared" si="47"/>
        <v>19.030649999999998</v>
      </c>
      <c r="I1106" s="32">
        <f t="shared" si="47"/>
        <v>19.034975000000003</v>
      </c>
      <c r="J1106" s="32">
        <f t="shared" si="47"/>
        <v>19.030649999999998</v>
      </c>
      <c r="K1106" s="32">
        <f t="shared" si="47"/>
        <v>19.034975000000003</v>
      </c>
      <c r="L1106" s="32">
        <f t="shared" si="47"/>
        <v>9.5334583333333338</v>
      </c>
      <c r="M1106" s="32">
        <f t="shared" si="47"/>
        <v>9.5377750000000017</v>
      </c>
      <c r="N1106" s="32">
        <f t="shared" si="47"/>
        <v>9.5334583333333338</v>
      </c>
      <c r="O1106" s="32">
        <f t="shared" si="47"/>
        <v>9.5377750000000017</v>
      </c>
    </row>
    <row r="1107" spans="1:15" ht="15" x14ac:dyDescent="0.2">
      <c r="A1107" s="11">
        <v>2062</v>
      </c>
      <c r="B1107" s="32">
        <f t="shared" ref="B1107:O1116" ca="1" si="48">AVERAGE(OFFSET(B$590,($A1107-$A$1107)*12,0,12,1))</f>
        <v>8.6921999999999979</v>
      </c>
      <c r="C1107" s="32">
        <f t="shared" ca="1" si="48"/>
        <v>8.6921999999999979</v>
      </c>
      <c r="D1107" s="32">
        <f t="shared" ca="1" si="48"/>
        <v>8.6934833333333348</v>
      </c>
      <c r="E1107" s="32">
        <f t="shared" ca="1" si="48"/>
        <v>9.7480333333333338</v>
      </c>
      <c r="F1107" s="32">
        <f t="shared" ca="1" si="48"/>
        <v>9.7480333333333338</v>
      </c>
      <c r="G1107" s="32">
        <f t="shared" ca="1" si="48"/>
        <v>9.7523500000000016</v>
      </c>
      <c r="H1107" s="32">
        <f t="shared" ca="1" si="48"/>
        <v>19.500033333333331</v>
      </c>
      <c r="I1107" s="32">
        <f t="shared" ca="1" si="48"/>
        <v>19.504333333333332</v>
      </c>
      <c r="J1107" s="32">
        <f t="shared" ca="1" si="48"/>
        <v>19.500033333333331</v>
      </c>
      <c r="K1107" s="32">
        <f t="shared" ca="1" si="48"/>
        <v>19.504333333333332</v>
      </c>
      <c r="L1107" s="32">
        <f t="shared" ca="1" si="48"/>
        <v>9.7480333333333338</v>
      </c>
      <c r="M1107" s="32">
        <f t="shared" ca="1" si="48"/>
        <v>9.7523500000000016</v>
      </c>
      <c r="N1107" s="32">
        <f t="shared" ca="1" si="48"/>
        <v>9.7480333333333338</v>
      </c>
      <c r="O1107" s="32">
        <f t="shared" ca="1" si="48"/>
        <v>9.7523500000000016</v>
      </c>
    </row>
    <row r="1108" spans="1:15" ht="15" x14ac:dyDescent="0.2">
      <c r="A1108" s="11">
        <v>2063</v>
      </c>
      <c r="B1108" s="32">
        <f t="shared" ca="1" si="48"/>
        <v>8.8809083333333341</v>
      </c>
      <c r="C1108" s="32">
        <f t="shared" ca="1" si="48"/>
        <v>8.8809083333333341</v>
      </c>
      <c r="D1108" s="32">
        <f t="shared" ca="1" si="48"/>
        <v>8.8821999999999992</v>
      </c>
      <c r="E1108" s="32">
        <f t="shared" ca="1" si="48"/>
        <v>9.9625916666666665</v>
      </c>
      <c r="F1108" s="32">
        <f t="shared" ca="1" si="48"/>
        <v>9.9625916666666665</v>
      </c>
      <c r="G1108" s="32">
        <f t="shared" ca="1" si="48"/>
        <v>9.9669083333333344</v>
      </c>
      <c r="H1108" s="32">
        <f t="shared" ca="1" si="48"/>
        <v>19.969425000000001</v>
      </c>
      <c r="I1108" s="32">
        <f t="shared" ca="1" si="48"/>
        <v>19.973741666666665</v>
      </c>
      <c r="J1108" s="32">
        <f t="shared" ca="1" si="48"/>
        <v>19.969425000000001</v>
      </c>
      <c r="K1108" s="32">
        <f t="shared" ca="1" si="48"/>
        <v>19.973741666666665</v>
      </c>
      <c r="L1108" s="32">
        <f t="shared" ca="1" si="48"/>
        <v>9.9625916666666665</v>
      </c>
      <c r="M1108" s="32">
        <f t="shared" ca="1" si="48"/>
        <v>9.9669083333333344</v>
      </c>
      <c r="N1108" s="32">
        <f t="shared" ca="1" si="48"/>
        <v>9.9625916666666665</v>
      </c>
      <c r="O1108" s="32">
        <f t="shared" ca="1" si="48"/>
        <v>9.9669083333333344</v>
      </c>
    </row>
    <row r="1109" spans="1:15" ht="15" x14ac:dyDescent="0.2">
      <c r="A1109" s="11">
        <v>2064</v>
      </c>
      <c r="B1109" s="32">
        <f t="shared" ca="1" si="48"/>
        <v>9.0695916666666658</v>
      </c>
      <c r="C1109" s="32">
        <f t="shared" ca="1" si="48"/>
        <v>9.0695916666666658</v>
      </c>
      <c r="D1109" s="32">
        <f t="shared" ca="1" si="48"/>
        <v>9.0708916666666664</v>
      </c>
      <c r="E1109" s="32">
        <f t="shared" ca="1" si="48"/>
        <v>10.177166666666666</v>
      </c>
      <c r="F1109" s="32">
        <f t="shared" ca="1" si="48"/>
        <v>10.177166666666666</v>
      </c>
      <c r="G1109" s="32">
        <f t="shared" ca="1" si="48"/>
        <v>10.181483333333334</v>
      </c>
      <c r="H1109" s="32">
        <f t="shared" ca="1" si="48"/>
        <v>20.438816666666664</v>
      </c>
      <c r="I1109" s="32">
        <f t="shared" ca="1" si="48"/>
        <v>20.443133333333332</v>
      </c>
      <c r="J1109" s="32">
        <f t="shared" ca="1" si="48"/>
        <v>20.438816666666664</v>
      </c>
      <c r="K1109" s="32">
        <f t="shared" ca="1" si="48"/>
        <v>20.443133333333332</v>
      </c>
      <c r="L1109" s="32">
        <f t="shared" ca="1" si="48"/>
        <v>10.177166666666666</v>
      </c>
      <c r="M1109" s="32">
        <f t="shared" ca="1" si="48"/>
        <v>10.181483333333334</v>
      </c>
      <c r="N1109" s="32">
        <f t="shared" ca="1" si="48"/>
        <v>10.177166666666666</v>
      </c>
      <c r="O1109" s="32">
        <f t="shared" ca="1" si="48"/>
        <v>10.181483333333334</v>
      </c>
    </row>
    <row r="1110" spans="1:15" ht="15" x14ac:dyDescent="0.2">
      <c r="A1110" s="11">
        <v>2065</v>
      </c>
      <c r="B1110" s="32">
        <f t="shared" ca="1" si="48"/>
        <v>9.2583083333333338</v>
      </c>
      <c r="C1110" s="32">
        <f t="shared" ca="1" si="48"/>
        <v>9.2583083333333338</v>
      </c>
      <c r="D1110" s="32">
        <f t="shared" ca="1" si="48"/>
        <v>9.2596000000000007</v>
      </c>
      <c r="E1110" s="32">
        <f t="shared" ca="1" si="48"/>
        <v>10.391724999999999</v>
      </c>
      <c r="F1110" s="32">
        <f t="shared" ca="1" si="48"/>
        <v>10.391724999999999</v>
      </c>
      <c r="G1110" s="32">
        <f t="shared" ca="1" si="48"/>
        <v>10.396033333333333</v>
      </c>
      <c r="H1110" s="32">
        <f t="shared" ca="1" si="48"/>
        <v>20.908191666666667</v>
      </c>
      <c r="I1110" s="32">
        <f t="shared" ca="1" si="48"/>
        <v>20.912508333333331</v>
      </c>
      <c r="J1110" s="32">
        <f t="shared" ca="1" si="48"/>
        <v>20.908191666666667</v>
      </c>
      <c r="K1110" s="32">
        <f t="shared" ca="1" si="48"/>
        <v>20.912508333333331</v>
      </c>
      <c r="L1110" s="32">
        <f t="shared" ca="1" si="48"/>
        <v>10.391724999999999</v>
      </c>
      <c r="M1110" s="32">
        <f t="shared" ca="1" si="48"/>
        <v>10.396033333333333</v>
      </c>
      <c r="N1110" s="32">
        <f t="shared" ca="1" si="48"/>
        <v>10.391724999999999</v>
      </c>
      <c r="O1110" s="32">
        <f t="shared" ca="1" si="48"/>
        <v>10.396033333333333</v>
      </c>
    </row>
    <row r="1111" spans="1:15" ht="15" x14ac:dyDescent="0.2">
      <c r="A1111" s="11">
        <v>2066</v>
      </c>
      <c r="B1111" s="32">
        <f t="shared" ca="1" si="48"/>
        <v>9.447000000000001</v>
      </c>
      <c r="C1111" s="32">
        <f t="shared" ca="1" si="48"/>
        <v>9.447000000000001</v>
      </c>
      <c r="D1111" s="32">
        <f t="shared" ca="1" si="48"/>
        <v>9.4483000000000015</v>
      </c>
      <c r="E1111" s="32">
        <f t="shared" ca="1" si="48"/>
        <v>10.606275</v>
      </c>
      <c r="F1111" s="32">
        <f t="shared" ca="1" si="48"/>
        <v>10.606275</v>
      </c>
      <c r="G1111" s="32">
        <f t="shared" ca="1" si="48"/>
        <v>10.610583333333336</v>
      </c>
      <c r="H1111" s="32">
        <f t="shared" ca="1" si="48"/>
        <v>21.377583333333334</v>
      </c>
      <c r="I1111" s="32">
        <f t="shared" ca="1" si="48"/>
        <v>21.381891666666672</v>
      </c>
      <c r="J1111" s="32">
        <f t="shared" ca="1" si="48"/>
        <v>21.377583333333334</v>
      </c>
      <c r="K1111" s="32">
        <f t="shared" ca="1" si="48"/>
        <v>21.381891666666672</v>
      </c>
      <c r="L1111" s="32">
        <f t="shared" ca="1" si="48"/>
        <v>10.606275</v>
      </c>
      <c r="M1111" s="32">
        <f t="shared" ca="1" si="48"/>
        <v>10.610583333333336</v>
      </c>
      <c r="N1111" s="32">
        <f t="shared" ca="1" si="48"/>
        <v>10.606275</v>
      </c>
      <c r="O1111" s="32">
        <f t="shared" ca="1" si="48"/>
        <v>10.610583333333336</v>
      </c>
    </row>
    <row r="1112" spans="1:15" ht="15" x14ac:dyDescent="0.2">
      <c r="A1112" s="11">
        <v>2067</v>
      </c>
      <c r="B1112" s="32">
        <f t="shared" ca="1" si="48"/>
        <v>9.6357083333333335</v>
      </c>
      <c r="C1112" s="32">
        <f t="shared" ca="1" si="48"/>
        <v>9.6357083333333335</v>
      </c>
      <c r="D1112" s="32">
        <f t="shared" ca="1" si="48"/>
        <v>9.6369916666666686</v>
      </c>
      <c r="E1112" s="32">
        <f t="shared" ca="1" si="48"/>
        <v>10.82085</v>
      </c>
      <c r="F1112" s="32">
        <f t="shared" ca="1" si="48"/>
        <v>10.82085</v>
      </c>
      <c r="G1112" s="32">
        <f t="shared" ca="1" si="48"/>
        <v>10.825175000000002</v>
      </c>
      <c r="H1112" s="32">
        <f t="shared" ca="1" si="48"/>
        <v>21.846966666666663</v>
      </c>
      <c r="I1112" s="32">
        <f t="shared" ca="1" si="48"/>
        <v>21.851283333333331</v>
      </c>
      <c r="J1112" s="32">
        <f t="shared" ca="1" si="48"/>
        <v>21.846966666666663</v>
      </c>
      <c r="K1112" s="32">
        <f t="shared" ca="1" si="48"/>
        <v>21.851283333333331</v>
      </c>
      <c r="L1112" s="32">
        <f t="shared" ca="1" si="48"/>
        <v>10.82085</v>
      </c>
      <c r="M1112" s="32">
        <f t="shared" ca="1" si="48"/>
        <v>10.825175000000002</v>
      </c>
      <c r="N1112" s="32">
        <f t="shared" ca="1" si="48"/>
        <v>10.82085</v>
      </c>
      <c r="O1112" s="32">
        <f t="shared" ca="1" si="48"/>
        <v>10.825175000000002</v>
      </c>
    </row>
    <row r="1113" spans="1:15" ht="15" x14ac:dyDescent="0.2">
      <c r="A1113" s="11">
        <v>2068</v>
      </c>
      <c r="B1113" s="32">
        <f t="shared" ca="1" si="48"/>
        <v>9.8244083333333343</v>
      </c>
      <c r="C1113" s="32">
        <f t="shared" ca="1" si="48"/>
        <v>9.8244083333333343</v>
      </c>
      <c r="D1113" s="32">
        <f t="shared" ca="1" si="48"/>
        <v>9.8256916666666658</v>
      </c>
      <c r="E1113" s="32">
        <f t="shared" ca="1" si="48"/>
        <v>11.035424999999998</v>
      </c>
      <c r="F1113" s="32">
        <f t="shared" ca="1" si="48"/>
        <v>11.035424999999998</v>
      </c>
      <c r="G1113" s="32">
        <f t="shared" ca="1" si="48"/>
        <v>11.039733333333333</v>
      </c>
      <c r="H1113" s="32">
        <f t="shared" ca="1" si="48"/>
        <v>22.316350000000003</v>
      </c>
      <c r="I1113" s="32">
        <f t="shared" ca="1" si="48"/>
        <v>22.320666666666668</v>
      </c>
      <c r="J1113" s="32">
        <f t="shared" ca="1" si="48"/>
        <v>22.316350000000003</v>
      </c>
      <c r="K1113" s="32">
        <f t="shared" ca="1" si="48"/>
        <v>22.320666666666668</v>
      </c>
      <c r="L1113" s="32">
        <f t="shared" ca="1" si="48"/>
        <v>11.035424999999998</v>
      </c>
      <c r="M1113" s="32">
        <f t="shared" ca="1" si="48"/>
        <v>11.039733333333333</v>
      </c>
      <c r="N1113" s="32">
        <f t="shared" ca="1" si="48"/>
        <v>11.035424999999998</v>
      </c>
      <c r="O1113" s="32">
        <f t="shared" ca="1" si="48"/>
        <v>11.039733333333333</v>
      </c>
    </row>
    <row r="1114" spans="1:15" ht="15" x14ac:dyDescent="0.2">
      <c r="A1114" s="11">
        <v>2069</v>
      </c>
      <c r="B1114" s="32">
        <f t="shared" ca="1" si="48"/>
        <v>10.013091666666666</v>
      </c>
      <c r="C1114" s="32">
        <f t="shared" ca="1" si="48"/>
        <v>10.013091666666666</v>
      </c>
      <c r="D1114" s="32">
        <f t="shared" ca="1" si="48"/>
        <v>10.014383333333335</v>
      </c>
      <c r="E1114" s="32">
        <f t="shared" ca="1" si="48"/>
        <v>11.249983333333333</v>
      </c>
      <c r="F1114" s="32">
        <f t="shared" ca="1" si="48"/>
        <v>11.249983333333333</v>
      </c>
      <c r="G1114" s="32">
        <f t="shared" ca="1" si="48"/>
        <v>11.254300000000001</v>
      </c>
      <c r="H1114" s="32">
        <f t="shared" ca="1" si="48"/>
        <v>22.785733333333337</v>
      </c>
      <c r="I1114" s="32">
        <f t="shared" ca="1" si="48"/>
        <v>22.790050000000004</v>
      </c>
      <c r="J1114" s="32">
        <f t="shared" ca="1" si="48"/>
        <v>22.785733333333337</v>
      </c>
      <c r="K1114" s="32">
        <f t="shared" ca="1" si="48"/>
        <v>22.790050000000004</v>
      </c>
      <c r="L1114" s="32">
        <f t="shared" ca="1" si="48"/>
        <v>11.249983333333333</v>
      </c>
      <c r="M1114" s="32">
        <f t="shared" ca="1" si="48"/>
        <v>11.254300000000001</v>
      </c>
      <c r="N1114" s="32">
        <f t="shared" ca="1" si="48"/>
        <v>11.249983333333333</v>
      </c>
      <c r="O1114" s="32">
        <f t="shared" ca="1" si="48"/>
        <v>11.254300000000001</v>
      </c>
    </row>
    <row r="1115" spans="1:15" ht="15" x14ac:dyDescent="0.2">
      <c r="A1115" s="11">
        <v>2070</v>
      </c>
      <c r="B1115" s="32">
        <f t="shared" ca="1" si="48"/>
        <v>10.201825000000001</v>
      </c>
      <c r="C1115" s="32">
        <f t="shared" ca="1" si="48"/>
        <v>10.201825000000001</v>
      </c>
      <c r="D1115" s="32">
        <f t="shared" ca="1" si="48"/>
        <v>10.203091666666666</v>
      </c>
      <c r="E1115" s="32">
        <f t="shared" ca="1" si="48"/>
        <v>11.464541666666667</v>
      </c>
      <c r="F1115" s="32">
        <f t="shared" ca="1" si="48"/>
        <v>11.464541666666667</v>
      </c>
      <c r="G1115" s="32">
        <f t="shared" ca="1" si="48"/>
        <v>11.468866666666665</v>
      </c>
      <c r="H1115" s="32">
        <f t="shared" ca="1" si="48"/>
        <v>23.255099999999999</v>
      </c>
      <c r="I1115" s="32">
        <f t="shared" ca="1" si="48"/>
        <v>23.259425000000004</v>
      </c>
      <c r="J1115" s="32">
        <f t="shared" ca="1" si="48"/>
        <v>23.255099999999999</v>
      </c>
      <c r="K1115" s="32">
        <f t="shared" ca="1" si="48"/>
        <v>23.259425000000004</v>
      </c>
      <c r="L1115" s="32">
        <f t="shared" ca="1" si="48"/>
        <v>11.464541666666667</v>
      </c>
      <c r="M1115" s="32">
        <f t="shared" ca="1" si="48"/>
        <v>11.468866666666665</v>
      </c>
      <c r="N1115" s="32">
        <f t="shared" ca="1" si="48"/>
        <v>11.464541666666667</v>
      </c>
      <c r="O1115" s="32">
        <f t="shared" ca="1" si="48"/>
        <v>11.468866666666665</v>
      </c>
    </row>
    <row r="1116" spans="1:15" ht="15" x14ac:dyDescent="0.2">
      <c r="A1116" s="11">
        <v>2071</v>
      </c>
      <c r="B1116" s="32">
        <f t="shared" ca="1" si="48"/>
        <v>10.390508333333333</v>
      </c>
      <c r="C1116" s="32">
        <f t="shared" ca="1" si="48"/>
        <v>10.390508333333333</v>
      </c>
      <c r="D1116" s="32">
        <f t="shared" ca="1" si="48"/>
        <v>10.391791666666666</v>
      </c>
      <c r="E1116" s="32">
        <f t="shared" ca="1" si="48"/>
        <v>11.679108333333334</v>
      </c>
      <c r="F1116" s="32">
        <f t="shared" ca="1" si="48"/>
        <v>11.679108333333334</v>
      </c>
      <c r="G1116" s="32">
        <f t="shared" ca="1" si="48"/>
        <v>11.683416666666668</v>
      </c>
      <c r="H1116" s="32">
        <f t="shared" ca="1" si="48"/>
        <v>23.724491666666669</v>
      </c>
      <c r="I1116" s="32">
        <f t="shared" ca="1" si="48"/>
        <v>23.728808333333333</v>
      </c>
      <c r="J1116" s="32">
        <f t="shared" ca="1" si="48"/>
        <v>23.724491666666669</v>
      </c>
      <c r="K1116" s="32">
        <f t="shared" ca="1" si="48"/>
        <v>23.728808333333333</v>
      </c>
      <c r="L1116" s="32">
        <f t="shared" ca="1" si="48"/>
        <v>11.679108333333334</v>
      </c>
      <c r="M1116" s="32">
        <f t="shared" ca="1" si="48"/>
        <v>11.683416666666668</v>
      </c>
      <c r="N1116" s="32">
        <f t="shared" ca="1" si="48"/>
        <v>11.679108333333334</v>
      </c>
      <c r="O1116" s="32">
        <f t="shared" ca="1" si="48"/>
        <v>11.683416666666668</v>
      </c>
    </row>
    <row r="1117" spans="1:15" ht="15" x14ac:dyDescent="0.2">
      <c r="A1117" s="11">
        <v>2072</v>
      </c>
      <c r="B1117" s="32">
        <f t="shared" ref="B1117:O1126" ca="1" si="49">AVERAGE(OFFSET(B$590,($A1117-$A$1107)*12,0,12,1))</f>
        <v>10.579216666666667</v>
      </c>
      <c r="C1117" s="32">
        <f t="shared" ca="1" si="49"/>
        <v>10.579216666666667</v>
      </c>
      <c r="D1117" s="32">
        <f t="shared" ca="1" si="49"/>
        <v>10.580483333333332</v>
      </c>
      <c r="E1117" s="32">
        <f t="shared" ca="1" si="49"/>
        <v>11.893658333333335</v>
      </c>
      <c r="F1117" s="32">
        <f t="shared" ca="1" si="49"/>
        <v>11.893658333333335</v>
      </c>
      <c r="G1117" s="32">
        <f t="shared" ca="1" si="49"/>
        <v>11.897975000000002</v>
      </c>
      <c r="H1117" s="32">
        <f t="shared" ca="1" si="49"/>
        <v>24.193891666666673</v>
      </c>
      <c r="I1117" s="32">
        <f t="shared" ca="1" si="49"/>
        <v>24.198208333333337</v>
      </c>
      <c r="J1117" s="32">
        <f t="shared" ca="1" si="49"/>
        <v>24.193891666666673</v>
      </c>
      <c r="K1117" s="32">
        <f t="shared" ca="1" si="49"/>
        <v>24.198208333333337</v>
      </c>
      <c r="L1117" s="32">
        <f t="shared" ca="1" si="49"/>
        <v>11.893658333333335</v>
      </c>
      <c r="M1117" s="32">
        <f t="shared" ca="1" si="49"/>
        <v>11.897975000000002</v>
      </c>
      <c r="N1117" s="32">
        <f t="shared" ca="1" si="49"/>
        <v>11.893658333333335</v>
      </c>
      <c r="O1117" s="32">
        <f t="shared" ca="1" si="49"/>
        <v>11.897975000000002</v>
      </c>
    </row>
    <row r="1118" spans="1:15" ht="15" x14ac:dyDescent="0.2">
      <c r="A1118" s="11">
        <v>2073</v>
      </c>
      <c r="B1118" s="32">
        <f t="shared" ca="1" si="49"/>
        <v>10.767916666666666</v>
      </c>
      <c r="C1118" s="32">
        <f t="shared" ca="1" si="49"/>
        <v>10.767916666666666</v>
      </c>
      <c r="D1118" s="32">
        <f t="shared" ca="1" si="49"/>
        <v>10.769191666666666</v>
      </c>
      <c r="E1118" s="32">
        <f t="shared" ca="1" si="49"/>
        <v>12.108233333333333</v>
      </c>
      <c r="F1118" s="32">
        <f t="shared" ca="1" si="49"/>
        <v>12.108233333333333</v>
      </c>
      <c r="G1118" s="32">
        <f t="shared" ca="1" si="49"/>
        <v>12.112566666666666</v>
      </c>
      <c r="H1118" s="32">
        <f t="shared" ca="1" si="49"/>
        <v>24.663283333333336</v>
      </c>
      <c r="I1118" s="32">
        <f t="shared" ca="1" si="49"/>
        <v>24.667608333333334</v>
      </c>
      <c r="J1118" s="32">
        <f t="shared" ca="1" si="49"/>
        <v>24.663283333333336</v>
      </c>
      <c r="K1118" s="32">
        <f t="shared" ca="1" si="49"/>
        <v>24.667608333333334</v>
      </c>
      <c r="L1118" s="32">
        <f t="shared" ca="1" si="49"/>
        <v>12.108233333333333</v>
      </c>
      <c r="M1118" s="32">
        <f t="shared" ca="1" si="49"/>
        <v>12.112566666666666</v>
      </c>
      <c r="N1118" s="32">
        <f t="shared" ca="1" si="49"/>
        <v>12.108233333333333</v>
      </c>
      <c r="O1118" s="32">
        <f t="shared" ca="1" si="49"/>
        <v>12.112566666666666</v>
      </c>
    </row>
    <row r="1119" spans="1:15" ht="15" x14ac:dyDescent="0.2">
      <c r="A1119" s="11">
        <v>2074</v>
      </c>
      <c r="B1119" s="32">
        <f t="shared" ca="1" si="49"/>
        <v>10.956608333333334</v>
      </c>
      <c r="C1119" s="32">
        <f t="shared" ca="1" si="49"/>
        <v>10.956608333333334</v>
      </c>
      <c r="D1119" s="32">
        <f t="shared" ca="1" si="49"/>
        <v>10.9579</v>
      </c>
      <c r="E1119" s="32">
        <f t="shared" ca="1" si="49"/>
        <v>12.322799999999999</v>
      </c>
      <c r="F1119" s="32">
        <f t="shared" ca="1" si="49"/>
        <v>12.322799999999999</v>
      </c>
      <c r="G1119" s="32">
        <f t="shared" ca="1" si="49"/>
        <v>12.327133333333334</v>
      </c>
      <c r="H1119" s="32">
        <f t="shared" ca="1" si="49"/>
        <v>25.132658333333328</v>
      </c>
      <c r="I1119" s="32">
        <f t="shared" ca="1" si="49"/>
        <v>25.13699166666667</v>
      </c>
      <c r="J1119" s="32">
        <f t="shared" ca="1" si="49"/>
        <v>25.132658333333328</v>
      </c>
      <c r="K1119" s="32">
        <f t="shared" ca="1" si="49"/>
        <v>25.13699166666667</v>
      </c>
      <c r="L1119" s="32">
        <f t="shared" ca="1" si="49"/>
        <v>12.322799999999999</v>
      </c>
      <c r="M1119" s="32">
        <f t="shared" ca="1" si="49"/>
        <v>12.327133333333334</v>
      </c>
      <c r="N1119" s="32">
        <f t="shared" ca="1" si="49"/>
        <v>12.322799999999999</v>
      </c>
      <c r="O1119" s="32">
        <f t="shared" ca="1" si="49"/>
        <v>12.327133333333334</v>
      </c>
    </row>
    <row r="1120" spans="1:15" ht="15" x14ac:dyDescent="0.2">
      <c r="A1120" s="11">
        <v>2075</v>
      </c>
      <c r="B1120" s="32">
        <f t="shared" ca="1" si="49"/>
        <v>11.145333333333332</v>
      </c>
      <c r="C1120" s="32">
        <f t="shared" ca="1" si="49"/>
        <v>11.145333333333332</v>
      </c>
      <c r="D1120" s="32">
        <f t="shared" ca="1" si="49"/>
        <v>11.146608333333333</v>
      </c>
      <c r="E1120" s="32">
        <f t="shared" ca="1" si="49"/>
        <v>12.537374999999999</v>
      </c>
      <c r="F1120" s="32">
        <f t="shared" ca="1" si="49"/>
        <v>12.537374999999999</v>
      </c>
      <c r="G1120" s="32">
        <f t="shared" ca="1" si="49"/>
        <v>12.541691666666665</v>
      </c>
      <c r="H1120" s="32">
        <f t="shared" ca="1" si="49"/>
        <v>25.602041666666668</v>
      </c>
      <c r="I1120" s="32">
        <f t="shared" ca="1" si="49"/>
        <v>25.606358333333333</v>
      </c>
      <c r="J1120" s="32">
        <f t="shared" ca="1" si="49"/>
        <v>25.602041666666668</v>
      </c>
      <c r="K1120" s="32">
        <f t="shared" ca="1" si="49"/>
        <v>25.606358333333333</v>
      </c>
      <c r="L1120" s="32">
        <f t="shared" ca="1" si="49"/>
        <v>12.537374999999999</v>
      </c>
      <c r="M1120" s="32">
        <f t="shared" ca="1" si="49"/>
        <v>12.541691666666665</v>
      </c>
      <c r="N1120" s="32">
        <f t="shared" ca="1" si="49"/>
        <v>12.537374999999999</v>
      </c>
      <c r="O1120" s="32">
        <f t="shared" ca="1" si="49"/>
        <v>12.541691666666665</v>
      </c>
    </row>
    <row r="1121" spans="1:15" ht="15" x14ac:dyDescent="0.2">
      <c r="A1121" s="11">
        <v>2076</v>
      </c>
      <c r="B1121" s="32">
        <f t="shared" ca="1" si="49"/>
        <v>11.334016666666665</v>
      </c>
      <c r="C1121" s="32">
        <f t="shared" ca="1" si="49"/>
        <v>11.334016666666665</v>
      </c>
      <c r="D1121" s="32">
        <f t="shared" ca="1" si="49"/>
        <v>11.335308333333332</v>
      </c>
      <c r="E1121" s="32">
        <f t="shared" ca="1" si="49"/>
        <v>12.751941666666667</v>
      </c>
      <c r="F1121" s="32">
        <f t="shared" ca="1" si="49"/>
        <v>12.751941666666667</v>
      </c>
      <c r="G1121" s="32">
        <f t="shared" ca="1" si="49"/>
        <v>12.756258333333333</v>
      </c>
      <c r="H1121" s="32">
        <f t="shared" ca="1" si="49"/>
        <v>26.071433333333331</v>
      </c>
      <c r="I1121" s="32">
        <f t="shared" ca="1" si="49"/>
        <v>26.07576666666667</v>
      </c>
      <c r="J1121" s="32">
        <f t="shared" ca="1" si="49"/>
        <v>26.071433333333331</v>
      </c>
      <c r="K1121" s="32">
        <f t="shared" ca="1" si="49"/>
        <v>26.07576666666667</v>
      </c>
      <c r="L1121" s="32">
        <f t="shared" ca="1" si="49"/>
        <v>12.751941666666667</v>
      </c>
      <c r="M1121" s="32">
        <f t="shared" ca="1" si="49"/>
        <v>12.756258333333333</v>
      </c>
      <c r="N1121" s="32">
        <f t="shared" ca="1" si="49"/>
        <v>12.751941666666667</v>
      </c>
      <c r="O1121" s="32">
        <f t="shared" ca="1" si="49"/>
        <v>12.756258333333333</v>
      </c>
    </row>
    <row r="1122" spans="1:15" ht="15" x14ac:dyDescent="0.2">
      <c r="A1122" s="11">
        <v>2077</v>
      </c>
      <c r="B1122" s="32">
        <f t="shared" ca="1" si="49"/>
        <v>11.522716666666668</v>
      </c>
      <c r="C1122" s="32">
        <f t="shared" ca="1" si="49"/>
        <v>11.522716666666668</v>
      </c>
      <c r="D1122" s="32">
        <f t="shared" ca="1" si="49"/>
        <v>11.523991666666666</v>
      </c>
      <c r="E1122" s="32">
        <f t="shared" ca="1" si="49"/>
        <v>12.966499999999998</v>
      </c>
      <c r="F1122" s="32">
        <f t="shared" ca="1" si="49"/>
        <v>12.966499999999998</v>
      </c>
      <c r="G1122" s="32">
        <f t="shared" ca="1" si="49"/>
        <v>12.970808333333332</v>
      </c>
      <c r="H1122" s="32">
        <f t="shared" ca="1" si="49"/>
        <v>26.540824999999998</v>
      </c>
      <c r="I1122" s="32">
        <f t="shared" ca="1" si="49"/>
        <v>26.545141666666666</v>
      </c>
      <c r="J1122" s="32">
        <f t="shared" ca="1" si="49"/>
        <v>26.540824999999998</v>
      </c>
      <c r="K1122" s="32">
        <f t="shared" ca="1" si="49"/>
        <v>26.545141666666666</v>
      </c>
      <c r="L1122" s="32">
        <f t="shared" ca="1" si="49"/>
        <v>12.966499999999998</v>
      </c>
      <c r="M1122" s="32">
        <f t="shared" ca="1" si="49"/>
        <v>12.970808333333332</v>
      </c>
      <c r="N1122" s="32">
        <f t="shared" ca="1" si="49"/>
        <v>12.966499999999998</v>
      </c>
      <c r="O1122" s="32">
        <f t="shared" ca="1" si="49"/>
        <v>12.970808333333332</v>
      </c>
    </row>
    <row r="1123" spans="1:15" ht="15" x14ac:dyDescent="0.2">
      <c r="A1123" s="11">
        <v>2078</v>
      </c>
      <c r="B1123" s="32">
        <f t="shared" ca="1" si="49"/>
        <v>11.711416666666667</v>
      </c>
      <c r="C1123" s="32">
        <f t="shared" ca="1" si="49"/>
        <v>11.711416666666667</v>
      </c>
      <c r="D1123" s="32">
        <f t="shared" ca="1" si="49"/>
        <v>11.712716666666667</v>
      </c>
      <c r="E1123" s="32">
        <f t="shared" ca="1" si="49"/>
        <v>13.181066666666664</v>
      </c>
      <c r="F1123" s="32">
        <f t="shared" ca="1" si="49"/>
        <v>13.181066666666664</v>
      </c>
      <c r="G1123" s="32">
        <f t="shared" ca="1" si="49"/>
        <v>13.185383333333334</v>
      </c>
      <c r="H1123" s="32">
        <f t="shared" ca="1" si="49"/>
        <v>27.010191666666667</v>
      </c>
      <c r="I1123" s="32">
        <f t="shared" ca="1" si="49"/>
        <v>27.014533333333329</v>
      </c>
      <c r="J1123" s="32">
        <f t="shared" ca="1" si="49"/>
        <v>27.010191666666667</v>
      </c>
      <c r="K1123" s="32">
        <f t="shared" ca="1" si="49"/>
        <v>27.014533333333329</v>
      </c>
      <c r="L1123" s="32">
        <f t="shared" ca="1" si="49"/>
        <v>13.181066666666664</v>
      </c>
      <c r="M1123" s="32">
        <f t="shared" ca="1" si="49"/>
        <v>13.185383333333334</v>
      </c>
      <c r="N1123" s="32">
        <f t="shared" ca="1" si="49"/>
        <v>13.181066666666664</v>
      </c>
      <c r="O1123" s="32">
        <f t="shared" ca="1" si="49"/>
        <v>13.185383333333334</v>
      </c>
    </row>
    <row r="1124" spans="1:15" ht="15" x14ac:dyDescent="0.2">
      <c r="A1124" s="11">
        <v>2079</v>
      </c>
      <c r="B1124" s="32">
        <f t="shared" ca="1" si="49"/>
        <v>11.900108333333334</v>
      </c>
      <c r="C1124" s="32">
        <f t="shared" ca="1" si="49"/>
        <v>11.900108333333334</v>
      </c>
      <c r="D1124" s="32">
        <f t="shared" ca="1" si="49"/>
        <v>11.901408333333334</v>
      </c>
      <c r="E1124" s="32">
        <f t="shared" ca="1" si="49"/>
        <v>13.395650000000002</v>
      </c>
      <c r="F1124" s="32">
        <f t="shared" ca="1" si="49"/>
        <v>13.395650000000002</v>
      </c>
      <c r="G1124" s="32">
        <f t="shared" ca="1" si="49"/>
        <v>13.399958333333336</v>
      </c>
      <c r="H1124" s="32">
        <f t="shared" ca="1" si="49"/>
        <v>27.479583333333334</v>
      </c>
      <c r="I1124" s="32">
        <f t="shared" ca="1" si="49"/>
        <v>27.483916666666669</v>
      </c>
      <c r="J1124" s="32">
        <f t="shared" ca="1" si="49"/>
        <v>27.479583333333334</v>
      </c>
      <c r="K1124" s="32">
        <f t="shared" ca="1" si="49"/>
        <v>27.483916666666669</v>
      </c>
      <c r="L1124" s="32">
        <f t="shared" ca="1" si="49"/>
        <v>13.395650000000002</v>
      </c>
      <c r="M1124" s="32">
        <f t="shared" ca="1" si="49"/>
        <v>13.399958333333336</v>
      </c>
      <c r="N1124" s="32">
        <f t="shared" ca="1" si="49"/>
        <v>13.395650000000002</v>
      </c>
      <c r="O1124" s="32">
        <f t="shared" ca="1" si="49"/>
        <v>13.399958333333336</v>
      </c>
    </row>
    <row r="1125" spans="1:15" ht="15" x14ac:dyDescent="0.2">
      <c r="A1125" s="11">
        <v>2080</v>
      </c>
      <c r="B1125" s="32">
        <f t="shared" ca="1" si="49"/>
        <v>12.088825</v>
      </c>
      <c r="C1125" s="32">
        <f t="shared" ca="1" si="49"/>
        <v>12.088825</v>
      </c>
      <c r="D1125" s="32">
        <f t="shared" ca="1" si="49"/>
        <v>12.090108333333333</v>
      </c>
      <c r="E1125" s="32">
        <f t="shared" ca="1" si="49"/>
        <v>13.610216666666666</v>
      </c>
      <c r="F1125" s="32">
        <f t="shared" ca="1" si="49"/>
        <v>13.610216666666666</v>
      </c>
      <c r="G1125" s="32">
        <f t="shared" ca="1" si="49"/>
        <v>13.614524999999999</v>
      </c>
      <c r="H1125" s="32">
        <f t="shared" ca="1" si="49"/>
        <v>27.948966666666664</v>
      </c>
      <c r="I1125" s="32">
        <f t="shared" ca="1" si="49"/>
        <v>27.953275000000001</v>
      </c>
      <c r="J1125" s="32">
        <f t="shared" ca="1" si="49"/>
        <v>27.948966666666664</v>
      </c>
      <c r="K1125" s="32">
        <f t="shared" ca="1" si="49"/>
        <v>27.953275000000001</v>
      </c>
      <c r="L1125" s="32">
        <f t="shared" ca="1" si="49"/>
        <v>13.610216666666666</v>
      </c>
      <c r="M1125" s="32">
        <f t="shared" ca="1" si="49"/>
        <v>13.614524999999999</v>
      </c>
      <c r="N1125" s="32">
        <f t="shared" ca="1" si="49"/>
        <v>13.610216666666666</v>
      </c>
      <c r="O1125" s="32">
        <f t="shared" ca="1" si="49"/>
        <v>13.614524999999999</v>
      </c>
    </row>
    <row r="1126" spans="1:15" ht="15" x14ac:dyDescent="0.2">
      <c r="A1126" s="11">
        <v>2081</v>
      </c>
      <c r="B1126" s="32">
        <f t="shared" ca="1" si="49"/>
        <v>12.277508333333332</v>
      </c>
      <c r="C1126" s="32">
        <f t="shared" ca="1" si="49"/>
        <v>12.277508333333332</v>
      </c>
      <c r="D1126" s="32">
        <f t="shared" ca="1" si="49"/>
        <v>12.278808333333332</v>
      </c>
      <c r="E1126" s="32">
        <f t="shared" ca="1" si="49"/>
        <v>13.824775000000001</v>
      </c>
      <c r="F1126" s="32">
        <f t="shared" ca="1" si="49"/>
        <v>13.824775000000001</v>
      </c>
      <c r="G1126" s="32">
        <f t="shared" ca="1" si="49"/>
        <v>13.829083333333331</v>
      </c>
      <c r="H1126" s="32">
        <f t="shared" ca="1" si="49"/>
        <v>28.418375000000001</v>
      </c>
      <c r="I1126" s="32">
        <f t="shared" ca="1" si="49"/>
        <v>28.422674999999998</v>
      </c>
      <c r="J1126" s="32">
        <f t="shared" ca="1" si="49"/>
        <v>28.418375000000001</v>
      </c>
      <c r="K1126" s="32">
        <f t="shared" ca="1" si="49"/>
        <v>28.422674999999998</v>
      </c>
      <c r="L1126" s="32">
        <f t="shared" ca="1" si="49"/>
        <v>13.824775000000001</v>
      </c>
      <c r="M1126" s="32">
        <f t="shared" ca="1" si="49"/>
        <v>13.829083333333331</v>
      </c>
      <c r="N1126" s="32">
        <f t="shared" ca="1" si="49"/>
        <v>13.824775000000001</v>
      </c>
      <c r="O1126" s="32">
        <f t="shared" ca="1" si="49"/>
        <v>13.829083333333331</v>
      </c>
    </row>
    <row r="1127" spans="1:15" ht="15" x14ac:dyDescent="0.2">
      <c r="A1127" s="11">
        <v>2082</v>
      </c>
      <c r="B1127" s="32">
        <f t="shared" ref="B1127:O1136" ca="1" si="50">AVERAGE(OFFSET(B$590,($A1127-$A$1107)*12,0,12,1))</f>
        <v>12.466233333333333</v>
      </c>
      <c r="C1127" s="32">
        <f t="shared" ca="1" si="50"/>
        <v>12.466233333333333</v>
      </c>
      <c r="D1127" s="32">
        <f t="shared" ca="1" si="50"/>
        <v>12.467500000000001</v>
      </c>
      <c r="E1127" s="32">
        <f t="shared" ca="1" si="50"/>
        <v>14.039341666666667</v>
      </c>
      <c r="F1127" s="32">
        <f t="shared" ca="1" si="50"/>
        <v>14.039341666666667</v>
      </c>
      <c r="G1127" s="32">
        <f t="shared" ca="1" si="50"/>
        <v>14.043658333333333</v>
      </c>
      <c r="H1127" s="32">
        <f t="shared" ca="1" si="50"/>
        <v>28.887758333333338</v>
      </c>
      <c r="I1127" s="32">
        <f t="shared" ca="1" si="50"/>
        <v>28.892075000000002</v>
      </c>
      <c r="J1127" s="32">
        <f t="shared" ca="1" si="50"/>
        <v>28.887758333333338</v>
      </c>
      <c r="K1127" s="32">
        <f t="shared" ca="1" si="50"/>
        <v>28.892075000000002</v>
      </c>
      <c r="L1127" s="32">
        <f t="shared" ca="1" si="50"/>
        <v>14.039341666666667</v>
      </c>
      <c r="M1127" s="32">
        <f t="shared" ca="1" si="50"/>
        <v>14.043658333333333</v>
      </c>
      <c r="N1127" s="32">
        <f t="shared" ca="1" si="50"/>
        <v>14.039341666666667</v>
      </c>
      <c r="O1127" s="32">
        <f t="shared" ca="1" si="50"/>
        <v>14.043658333333333</v>
      </c>
    </row>
    <row r="1128" spans="1:15" ht="15" x14ac:dyDescent="0.2">
      <c r="A1128" s="11">
        <v>2083</v>
      </c>
      <c r="B1128" s="32">
        <f t="shared" ca="1" si="50"/>
        <v>12.654925</v>
      </c>
      <c r="C1128" s="32">
        <f t="shared" ca="1" si="50"/>
        <v>12.654925</v>
      </c>
      <c r="D1128" s="32">
        <f t="shared" ca="1" si="50"/>
        <v>12.656216666666666</v>
      </c>
      <c r="E1128" s="32">
        <f t="shared" ca="1" si="50"/>
        <v>14.253891666666668</v>
      </c>
      <c r="F1128" s="32">
        <f t="shared" ca="1" si="50"/>
        <v>14.253891666666668</v>
      </c>
      <c r="G1128" s="32">
        <f t="shared" ca="1" si="50"/>
        <v>14.258208333333334</v>
      </c>
      <c r="H1128" s="32">
        <f t="shared" ca="1" si="50"/>
        <v>29.357125000000007</v>
      </c>
      <c r="I1128" s="32">
        <f t="shared" ca="1" si="50"/>
        <v>29.361441666666661</v>
      </c>
      <c r="J1128" s="32">
        <f t="shared" ca="1" si="50"/>
        <v>29.357125000000007</v>
      </c>
      <c r="K1128" s="32">
        <f t="shared" ca="1" si="50"/>
        <v>29.361441666666661</v>
      </c>
      <c r="L1128" s="32">
        <f t="shared" ca="1" si="50"/>
        <v>14.253891666666668</v>
      </c>
      <c r="M1128" s="32">
        <f t="shared" ca="1" si="50"/>
        <v>14.258208333333334</v>
      </c>
      <c r="N1128" s="32">
        <f t="shared" ca="1" si="50"/>
        <v>14.253891666666668</v>
      </c>
      <c r="O1128" s="32">
        <f t="shared" ca="1" si="50"/>
        <v>14.258208333333334</v>
      </c>
    </row>
    <row r="1129" spans="1:15" ht="15" x14ac:dyDescent="0.2">
      <c r="A1129" s="11">
        <v>2084</v>
      </c>
      <c r="B1129" s="32">
        <f t="shared" ca="1" si="50"/>
        <v>12.843616666666664</v>
      </c>
      <c r="C1129" s="32">
        <f t="shared" ca="1" si="50"/>
        <v>12.843616666666664</v>
      </c>
      <c r="D1129" s="32">
        <f t="shared" ca="1" si="50"/>
        <v>12.844900000000001</v>
      </c>
      <c r="E1129" s="32">
        <f t="shared" ca="1" si="50"/>
        <v>14.468458333333331</v>
      </c>
      <c r="F1129" s="32">
        <f t="shared" ca="1" si="50"/>
        <v>14.468458333333331</v>
      </c>
      <c r="G1129" s="32">
        <f t="shared" ca="1" si="50"/>
        <v>14.47278333333333</v>
      </c>
      <c r="H1129" s="32">
        <f t="shared" ca="1" si="50"/>
        <v>29.826516666666667</v>
      </c>
      <c r="I1129" s="32">
        <f t="shared" ca="1" si="50"/>
        <v>29.830825000000001</v>
      </c>
      <c r="J1129" s="32">
        <f t="shared" ca="1" si="50"/>
        <v>29.826516666666667</v>
      </c>
      <c r="K1129" s="32">
        <f t="shared" ca="1" si="50"/>
        <v>29.830825000000001</v>
      </c>
      <c r="L1129" s="32">
        <f t="shared" ca="1" si="50"/>
        <v>14.468458333333331</v>
      </c>
      <c r="M1129" s="32">
        <f t="shared" ca="1" si="50"/>
        <v>14.47278333333333</v>
      </c>
      <c r="N1129" s="32">
        <f t="shared" ca="1" si="50"/>
        <v>14.468458333333331</v>
      </c>
      <c r="O1129" s="32">
        <f t="shared" ca="1" si="50"/>
        <v>14.47278333333333</v>
      </c>
    </row>
    <row r="1130" spans="1:15" ht="15" x14ac:dyDescent="0.2">
      <c r="A1130" s="11">
        <v>2085</v>
      </c>
      <c r="B1130" s="32">
        <f t="shared" ca="1" si="50"/>
        <v>13.032333333333334</v>
      </c>
      <c r="C1130" s="32">
        <f t="shared" ca="1" si="50"/>
        <v>13.032333333333334</v>
      </c>
      <c r="D1130" s="32">
        <f t="shared" ca="1" si="50"/>
        <v>13.0336</v>
      </c>
      <c r="E1130" s="32">
        <f t="shared" ca="1" si="50"/>
        <v>14.683025000000001</v>
      </c>
      <c r="F1130" s="32">
        <f t="shared" ca="1" si="50"/>
        <v>14.683025000000001</v>
      </c>
      <c r="G1130" s="32">
        <f t="shared" ca="1" si="50"/>
        <v>14.68734166666667</v>
      </c>
      <c r="H1130" s="32">
        <f t="shared" ca="1" si="50"/>
        <v>30.29590833333333</v>
      </c>
      <c r="I1130" s="32">
        <f t="shared" ca="1" si="50"/>
        <v>30.300216666666667</v>
      </c>
      <c r="J1130" s="32">
        <f t="shared" ca="1" si="50"/>
        <v>30.29590833333333</v>
      </c>
      <c r="K1130" s="32">
        <f t="shared" ca="1" si="50"/>
        <v>30.300216666666667</v>
      </c>
      <c r="L1130" s="32">
        <f t="shared" ca="1" si="50"/>
        <v>14.683025000000001</v>
      </c>
      <c r="M1130" s="32">
        <f t="shared" ca="1" si="50"/>
        <v>14.68734166666667</v>
      </c>
      <c r="N1130" s="32">
        <f t="shared" ca="1" si="50"/>
        <v>14.683025000000001</v>
      </c>
      <c r="O1130" s="32">
        <f t="shared" ca="1" si="50"/>
        <v>14.68734166666667</v>
      </c>
    </row>
    <row r="1131" spans="1:15" ht="15" x14ac:dyDescent="0.2">
      <c r="A1131" s="11">
        <v>2086</v>
      </c>
      <c r="B1131" s="32">
        <f t="shared" ca="1" si="50"/>
        <v>13.221025000000003</v>
      </c>
      <c r="C1131" s="32">
        <f t="shared" ca="1" si="50"/>
        <v>13.221025000000003</v>
      </c>
      <c r="D1131" s="32">
        <f t="shared" ca="1" si="50"/>
        <v>13.22231666666667</v>
      </c>
      <c r="E1131" s="32">
        <f t="shared" ca="1" si="50"/>
        <v>14.897599999999999</v>
      </c>
      <c r="F1131" s="32">
        <f t="shared" ca="1" si="50"/>
        <v>14.897599999999999</v>
      </c>
      <c r="G1131" s="32">
        <f t="shared" ca="1" si="50"/>
        <v>14.90191666666667</v>
      </c>
      <c r="H1131" s="32">
        <f t="shared" ca="1" si="50"/>
        <v>30.765291666666666</v>
      </c>
      <c r="I1131" s="32">
        <f t="shared" ca="1" si="50"/>
        <v>30.769608333333327</v>
      </c>
      <c r="J1131" s="32">
        <f t="shared" ca="1" si="50"/>
        <v>30.765291666666666</v>
      </c>
      <c r="K1131" s="32">
        <f t="shared" ca="1" si="50"/>
        <v>30.769608333333327</v>
      </c>
      <c r="L1131" s="32">
        <f t="shared" ca="1" si="50"/>
        <v>14.897599999999999</v>
      </c>
      <c r="M1131" s="32">
        <f t="shared" ca="1" si="50"/>
        <v>14.90191666666667</v>
      </c>
      <c r="N1131" s="32">
        <f t="shared" ca="1" si="50"/>
        <v>14.897599999999999</v>
      </c>
      <c r="O1131" s="32">
        <f t="shared" ca="1" si="50"/>
        <v>14.90191666666667</v>
      </c>
    </row>
    <row r="1132" spans="1:15" ht="15" x14ac:dyDescent="0.2">
      <c r="A1132" s="11">
        <v>2087</v>
      </c>
      <c r="B1132" s="32">
        <f t="shared" ca="1" si="50"/>
        <v>13.409750000000003</v>
      </c>
      <c r="C1132" s="32">
        <f t="shared" ca="1" si="50"/>
        <v>13.409750000000003</v>
      </c>
      <c r="D1132" s="32">
        <f t="shared" ca="1" si="50"/>
        <v>13.41100833333333</v>
      </c>
      <c r="E1132" s="32">
        <f t="shared" ca="1" si="50"/>
        <v>15.112158333333335</v>
      </c>
      <c r="F1132" s="32">
        <f t="shared" ca="1" si="50"/>
        <v>15.112158333333335</v>
      </c>
      <c r="G1132" s="32">
        <f t="shared" ca="1" si="50"/>
        <v>15.116474999999999</v>
      </c>
      <c r="H1132" s="32">
        <f t="shared" ca="1" si="50"/>
        <v>31.234674999999999</v>
      </c>
      <c r="I1132" s="32">
        <f t="shared" ca="1" si="50"/>
        <v>31.238991666666674</v>
      </c>
      <c r="J1132" s="32">
        <f t="shared" ca="1" si="50"/>
        <v>31.234674999999999</v>
      </c>
      <c r="K1132" s="32">
        <f t="shared" ca="1" si="50"/>
        <v>31.238991666666674</v>
      </c>
      <c r="L1132" s="32">
        <f t="shared" ca="1" si="50"/>
        <v>15.112158333333335</v>
      </c>
      <c r="M1132" s="32">
        <f t="shared" ca="1" si="50"/>
        <v>15.116474999999999</v>
      </c>
      <c r="N1132" s="32">
        <f t="shared" ca="1" si="50"/>
        <v>15.112158333333335</v>
      </c>
      <c r="O1132" s="32">
        <f t="shared" ca="1" si="50"/>
        <v>15.116474999999999</v>
      </c>
    </row>
    <row r="1133" spans="1:15" ht="15" x14ac:dyDescent="0.2">
      <c r="A1133" s="11">
        <v>2088</v>
      </c>
      <c r="B1133" s="32">
        <f t="shared" ca="1" si="50"/>
        <v>13.598433333333332</v>
      </c>
      <c r="C1133" s="32">
        <f t="shared" ca="1" si="50"/>
        <v>13.598433333333332</v>
      </c>
      <c r="D1133" s="32">
        <f t="shared" ca="1" si="50"/>
        <v>13.599724999999999</v>
      </c>
      <c r="E1133" s="32">
        <f t="shared" ca="1" si="50"/>
        <v>15.326716666666664</v>
      </c>
      <c r="F1133" s="32">
        <f t="shared" ca="1" si="50"/>
        <v>15.326716666666664</v>
      </c>
      <c r="G1133" s="32">
        <f t="shared" ca="1" si="50"/>
        <v>15.331025000000002</v>
      </c>
      <c r="H1133" s="32">
        <f t="shared" ca="1" si="50"/>
        <v>31.704058333333336</v>
      </c>
      <c r="I1133" s="32">
        <f t="shared" ca="1" si="50"/>
        <v>31.708366666666667</v>
      </c>
      <c r="J1133" s="32">
        <f t="shared" ca="1" si="50"/>
        <v>31.704058333333336</v>
      </c>
      <c r="K1133" s="32">
        <f t="shared" ca="1" si="50"/>
        <v>31.708366666666667</v>
      </c>
      <c r="L1133" s="32">
        <f t="shared" ca="1" si="50"/>
        <v>15.326716666666664</v>
      </c>
      <c r="M1133" s="32">
        <f t="shared" ca="1" si="50"/>
        <v>15.331025000000002</v>
      </c>
      <c r="N1133" s="32">
        <f t="shared" ca="1" si="50"/>
        <v>15.326716666666664</v>
      </c>
      <c r="O1133" s="32">
        <f t="shared" ca="1" si="50"/>
        <v>15.331025000000002</v>
      </c>
    </row>
    <row r="1134" spans="1:15" ht="15" x14ac:dyDescent="0.2">
      <c r="A1134" s="11">
        <v>2089</v>
      </c>
      <c r="B1134" s="32">
        <f t="shared" ca="1" si="50"/>
        <v>13.787141666666669</v>
      </c>
      <c r="C1134" s="32">
        <f t="shared" ca="1" si="50"/>
        <v>13.787141666666669</v>
      </c>
      <c r="D1134" s="32">
        <f t="shared" ca="1" si="50"/>
        <v>13.788400000000001</v>
      </c>
      <c r="E1134" s="32">
        <f t="shared" ca="1" si="50"/>
        <v>15.541283333333332</v>
      </c>
      <c r="F1134" s="32">
        <f t="shared" ca="1" si="50"/>
        <v>15.541283333333332</v>
      </c>
      <c r="G1134" s="32">
        <f t="shared" ca="1" si="50"/>
        <v>15.5456</v>
      </c>
      <c r="H1134" s="32">
        <f t="shared" ca="1" si="50"/>
        <v>32.173441666666669</v>
      </c>
      <c r="I1134" s="32">
        <f t="shared" ca="1" si="50"/>
        <v>32.177758333333337</v>
      </c>
      <c r="J1134" s="32">
        <f t="shared" ca="1" si="50"/>
        <v>32.173441666666669</v>
      </c>
      <c r="K1134" s="32">
        <f t="shared" ca="1" si="50"/>
        <v>32.177758333333337</v>
      </c>
      <c r="L1134" s="32">
        <f t="shared" ca="1" si="50"/>
        <v>15.541283333333332</v>
      </c>
      <c r="M1134" s="32">
        <f t="shared" ca="1" si="50"/>
        <v>15.5456</v>
      </c>
      <c r="N1134" s="32">
        <f t="shared" ca="1" si="50"/>
        <v>15.541283333333332</v>
      </c>
      <c r="O1134" s="32">
        <f t="shared" ca="1" si="50"/>
        <v>15.5456</v>
      </c>
    </row>
    <row r="1135" spans="1:15" ht="15" x14ac:dyDescent="0.2">
      <c r="A1135" s="11">
        <v>2090</v>
      </c>
      <c r="B1135" s="32">
        <f t="shared" ca="1" si="50"/>
        <v>13.975841666666668</v>
      </c>
      <c r="C1135" s="32">
        <f t="shared" ca="1" si="50"/>
        <v>13.975841666666668</v>
      </c>
      <c r="D1135" s="32">
        <f t="shared" ca="1" si="50"/>
        <v>13.977124999999996</v>
      </c>
      <c r="E1135" s="32">
        <f t="shared" ca="1" si="50"/>
        <v>15.755858333333334</v>
      </c>
      <c r="F1135" s="32">
        <f t="shared" ca="1" si="50"/>
        <v>15.755858333333334</v>
      </c>
      <c r="G1135" s="32">
        <f t="shared" ca="1" si="50"/>
        <v>15.760166666666663</v>
      </c>
      <c r="H1135" s="32">
        <f t="shared" ca="1" si="50"/>
        <v>32.642833333333336</v>
      </c>
      <c r="I1135" s="32">
        <f t="shared" ca="1" si="50"/>
        <v>32.647133333333329</v>
      </c>
      <c r="J1135" s="32">
        <f t="shared" ca="1" si="50"/>
        <v>32.642833333333336</v>
      </c>
      <c r="K1135" s="32">
        <f t="shared" ca="1" si="50"/>
        <v>32.647133333333329</v>
      </c>
      <c r="L1135" s="32">
        <f t="shared" ca="1" si="50"/>
        <v>15.755858333333334</v>
      </c>
      <c r="M1135" s="32">
        <f t="shared" ca="1" si="50"/>
        <v>15.760166666666663</v>
      </c>
      <c r="N1135" s="32">
        <f t="shared" ca="1" si="50"/>
        <v>15.755858333333334</v>
      </c>
      <c r="O1135" s="32">
        <f t="shared" ca="1" si="50"/>
        <v>15.760166666666663</v>
      </c>
    </row>
    <row r="1136" spans="1:15" ht="15" x14ac:dyDescent="0.2">
      <c r="A1136" s="11">
        <v>2091</v>
      </c>
      <c r="B1136" s="32">
        <f t="shared" ca="1" si="50"/>
        <v>14.164533333333333</v>
      </c>
      <c r="C1136" s="32">
        <f t="shared" ca="1" si="50"/>
        <v>14.164533333333333</v>
      </c>
      <c r="D1136" s="32">
        <f t="shared" ca="1" si="50"/>
        <v>14.165816666666665</v>
      </c>
      <c r="E1136" s="32">
        <f t="shared" ca="1" si="50"/>
        <v>15.970408333333333</v>
      </c>
      <c r="F1136" s="32">
        <f t="shared" ca="1" si="50"/>
        <v>15.970408333333333</v>
      </c>
      <c r="G1136" s="32">
        <f t="shared" ca="1" si="50"/>
        <v>15.974724999999999</v>
      </c>
      <c r="H1136" s="32">
        <f t="shared" ca="1" si="50"/>
        <v>33.112208333333335</v>
      </c>
      <c r="I1136" s="32">
        <f t="shared" ca="1" si="50"/>
        <v>33.116533333333329</v>
      </c>
      <c r="J1136" s="32">
        <f t="shared" ca="1" si="50"/>
        <v>33.112208333333335</v>
      </c>
      <c r="K1136" s="32">
        <f t="shared" ca="1" si="50"/>
        <v>33.116533333333329</v>
      </c>
      <c r="L1136" s="32">
        <f t="shared" ca="1" si="50"/>
        <v>15.970408333333333</v>
      </c>
      <c r="M1136" s="32">
        <f t="shared" ca="1" si="50"/>
        <v>15.974724999999999</v>
      </c>
      <c r="N1136" s="32">
        <f t="shared" ca="1" si="50"/>
        <v>15.970408333333333</v>
      </c>
      <c r="O1136" s="32">
        <f t="shared" ca="1" si="50"/>
        <v>15.974724999999999</v>
      </c>
    </row>
    <row r="1137" spans="1:15" ht="15" x14ac:dyDescent="0.2">
      <c r="A1137" s="11">
        <v>2092</v>
      </c>
      <c r="B1137" s="32">
        <f t="shared" ref="B1137:O1145" ca="1" si="51">AVERAGE(OFFSET(B$590,($A1137-$A$1107)*12,0,12,1))</f>
        <v>14.353250000000001</v>
      </c>
      <c r="C1137" s="32">
        <f t="shared" ca="1" si="51"/>
        <v>14.353250000000001</v>
      </c>
      <c r="D1137" s="32">
        <f t="shared" ca="1" si="51"/>
        <v>14.354508333333333</v>
      </c>
      <c r="E1137" s="32">
        <f t="shared" ca="1" si="51"/>
        <v>16.184991666666665</v>
      </c>
      <c r="F1137" s="32">
        <f t="shared" ca="1" si="51"/>
        <v>16.184991666666665</v>
      </c>
      <c r="G1137" s="32">
        <f t="shared" ca="1" si="51"/>
        <v>16.189299999999999</v>
      </c>
      <c r="H1137" s="32">
        <f t="shared" ca="1" si="51"/>
        <v>33.581600000000002</v>
      </c>
      <c r="I1137" s="32">
        <f t="shared" ca="1" si="51"/>
        <v>33.58591666666667</v>
      </c>
      <c r="J1137" s="32">
        <f t="shared" ca="1" si="51"/>
        <v>33.581600000000002</v>
      </c>
      <c r="K1137" s="32">
        <f t="shared" ca="1" si="51"/>
        <v>33.58591666666667</v>
      </c>
      <c r="L1137" s="32">
        <f t="shared" ca="1" si="51"/>
        <v>16.184991666666665</v>
      </c>
      <c r="M1137" s="32">
        <f t="shared" ca="1" si="51"/>
        <v>16.189299999999999</v>
      </c>
      <c r="N1137" s="32">
        <f t="shared" ca="1" si="51"/>
        <v>16.184991666666665</v>
      </c>
      <c r="O1137" s="32">
        <f t="shared" ca="1" si="51"/>
        <v>16.189299999999999</v>
      </c>
    </row>
    <row r="1138" spans="1:15" ht="15" x14ac:dyDescent="0.2">
      <c r="A1138" s="11">
        <v>2093</v>
      </c>
      <c r="B1138" s="32">
        <f t="shared" ca="1" si="51"/>
        <v>14.541925000000001</v>
      </c>
      <c r="C1138" s="32">
        <f t="shared" ca="1" si="51"/>
        <v>14.541925000000001</v>
      </c>
      <c r="D1138" s="32">
        <f t="shared" ca="1" si="51"/>
        <v>14.543216666666666</v>
      </c>
      <c r="E1138" s="32">
        <f t="shared" ca="1" si="51"/>
        <v>16.399541666666668</v>
      </c>
      <c r="F1138" s="32">
        <f t="shared" ca="1" si="51"/>
        <v>16.399541666666668</v>
      </c>
      <c r="G1138" s="32">
        <f t="shared" ca="1" si="51"/>
        <v>16.403849999999995</v>
      </c>
      <c r="H1138" s="32">
        <f t="shared" ca="1" si="51"/>
        <v>34.050991666666668</v>
      </c>
      <c r="I1138" s="32">
        <f t="shared" ca="1" si="51"/>
        <v>34.055308333333336</v>
      </c>
      <c r="J1138" s="32">
        <f t="shared" ca="1" si="51"/>
        <v>34.050991666666668</v>
      </c>
      <c r="K1138" s="32">
        <f t="shared" ca="1" si="51"/>
        <v>34.055308333333336</v>
      </c>
      <c r="L1138" s="32">
        <f t="shared" ca="1" si="51"/>
        <v>16.399541666666668</v>
      </c>
      <c r="M1138" s="32">
        <f t="shared" ca="1" si="51"/>
        <v>16.403849999999995</v>
      </c>
      <c r="N1138" s="32">
        <f t="shared" ca="1" si="51"/>
        <v>16.399541666666668</v>
      </c>
      <c r="O1138" s="32">
        <f t="shared" ca="1" si="51"/>
        <v>16.403849999999995</v>
      </c>
    </row>
    <row r="1139" spans="1:15" ht="15" x14ac:dyDescent="0.2">
      <c r="A1139" s="11">
        <v>2094</v>
      </c>
      <c r="B1139" s="32">
        <f t="shared" ca="1" si="51"/>
        <v>14.730650000000002</v>
      </c>
      <c r="C1139" s="32">
        <f t="shared" ca="1" si="51"/>
        <v>14.730650000000002</v>
      </c>
      <c r="D1139" s="32">
        <f t="shared" ca="1" si="51"/>
        <v>14.731908333333331</v>
      </c>
      <c r="E1139" s="32">
        <f t="shared" ca="1" si="51"/>
        <v>16.614100000000004</v>
      </c>
      <c r="F1139" s="32">
        <f t="shared" ca="1" si="51"/>
        <v>16.614100000000004</v>
      </c>
      <c r="G1139" s="32">
        <f t="shared" ca="1" si="51"/>
        <v>16.618416666666665</v>
      </c>
      <c r="H1139" s="32">
        <f t="shared" ca="1" si="51"/>
        <v>34.520374999999994</v>
      </c>
      <c r="I1139" s="32">
        <f t="shared" ca="1" si="51"/>
        <v>34.524691666666662</v>
      </c>
      <c r="J1139" s="32">
        <f t="shared" ca="1" si="51"/>
        <v>34.520374999999994</v>
      </c>
      <c r="K1139" s="32">
        <f t="shared" ca="1" si="51"/>
        <v>34.524691666666662</v>
      </c>
      <c r="L1139" s="32">
        <f t="shared" ca="1" si="51"/>
        <v>16.614100000000004</v>
      </c>
      <c r="M1139" s="32">
        <f t="shared" ca="1" si="51"/>
        <v>16.618416666666665</v>
      </c>
      <c r="N1139" s="32">
        <f t="shared" ca="1" si="51"/>
        <v>16.614100000000004</v>
      </c>
      <c r="O1139" s="32">
        <f t="shared" ca="1" si="51"/>
        <v>16.618416666666665</v>
      </c>
    </row>
    <row r="1140" spans="1:15" ht="15" x14ac:dyDescent="0.2">
      <c r="A1140" s="11">
        <v>2095</v>
      </c>
      <c r="B1140" s="32">
        <f t="shared" ca="1" si="51"/>
        <v>14.919341666666666</v>
      </c>
      <c r="C1140" s="32">
        <f t="shared" ca="1" si="51"/>
        <v>14.919341666666666</v>
      </c>
      <c r="D1140" s="32">
        <f t="shared" ca="1" si="51"/>
        <v>14.920624999999999</v>
      </c>
      <c r="E1140" s="32">
        <f t="shared" ca="1" si="51"/>
        <v>16.828675</v>
      </c>
      <c r="F1140" s="32">
        <f t="shared" ca="1" si="51"/>
        <v>16.828675</v>
      </c>
      <c r="G1140" s="32">
        <f t="shared" ca="1" si="51"/>
        <v>16.832991666666665</v>
      </c>
      <c r="H1140" s="32">
        <f t="shared" ca="1" si="51"/>
        <v>34.989775000000002</v>
      </c>
      <c r="I1140" s="32">
        <f t="shared" ca="1" si="51"/>
        <v>34.994083333333336</v>
      </c>
      <c r="J1140" s="32">
        <f t="shared" ca="1" si="51"/>
        <v>34.989775000000002</v>
      </c>
      <c r="K1140" s="32">
        <f t="shared" ca="1" si="51"/>
        <v>34.994083333333336</v>
      </c>
      <c r="L1140" s="32">
        <f t="shared" ca="1" si="51"/>
        <v>16.828675</v>
      </c>
      <c r="M1140" s="32">
        <f t="shared" ca="1" si="51"/>
        <v>16.832991666666665</v>
      </c>
      <c r="N1140" s="32">
        <f t="shared" ca="1" si="51"/>
        <v>16.828675</v>
      </c>
      <c r="O1140" s="32">
        <f t="shared" ca="1" si="51"/>
        <v>16.832991666666665</v>
      </c>
    </row>
    <row r="1141" spans="1:15" ht="15" x14ac:dyDescent="0.2">
      <c r="A1141" s="11">
        <v>2096</v>
      </c>
      <c r="B1141" s="32">
        <f t="shared" ca="1" si="51"/>
        <v>15.108033333333333</v>
      </c>
      <c r="C1141" s="32">
        <f t="shared" ca="1" si="51"/>
        <v>15.108033333333333</v>
      </c>
      <c r="D1141" s="32">
        <f t="shared" ca="1" si="51"/>
        <v>15.109316666666665</v>
      </c>
      <c r="E1141" s="32">
        <f t="shared" ca="1" si="51"/>
        <v>17.043241666666667</v>
      </c>
      <c r="F1141" s="32">
        <f t="shared" ca="1" si="51"/>
        <v>17.043241666666667</v>
      </c>
      <c r="G1141" s="32">
        <f t="shared" ca="1" si="51"/>
        <v>17.047558333333335</v>
      </c>
      <c r="H1141" s="32">
        <f t="shared" ca="1" si="51"/>
        <v>35.459150000000001</v>
      </c>
      <c r="I1141" s="32">
        <f t="shared" ca="1" si="51"/>
        <v>35.463458333333328</v>
      </c>
      <c r="J1141" s="32">
        <f t="shared" ca="1" si="51"/>
        <v>35.459150000000001</v>
      </c>
      <c r="K1141" s="32">
        <f t="shared" ca="1" si="51"/>
        <v>35.463458333333328</v>
      </c>
      <c r="L1141" s="32">
        <f t="shared" ca="1" si="51"/>
        <v>17.043241666666667</v>
      </c>
      <c r="M1141" s="32">
        <f t="shared" ca="1" si="51"/>
        <v>17.047558333333335</v>
      </c>
      <c r="N1141" s="32">
        <f t="shared" ca="1" si="51"/>
        <v>17.043241666666667</v>
      </c>
      <c r="O1141" s="32">
        <f t="shared" ca="1" si="51"/>
        <v>17.047558333333335</v>
      </c>
    </row>
    <row r="1142" spans="1:15" ht="15" x14ac:dyDescent="0.2">
      <c r="A1142" s="11">
        <v>2097</v>
      </c>
      <c r="B1142" s="32">
        <f t="shared" ca="1" si="51"/>
        <v>15.296750000000001</v>
      </c>
      <c r="C1142" s="32">
        <f t="shared" ca="1" si="51"/>
        <v>15.296750000000001</v>
      </c>
      <c r="D1142" s="32">
        <f t="shared" ca="1" si="51"/>
        <v>15.298008333333334</v>
      </c>
      <c r="E1142" s="32">
        <f t="shared" ca="1" si="51"/>
        <v>17.2578</v>
      </c>
      <c r="F1142" s="32">
        <f t="shared" ca="1" si="51"/>
        <v>17.2578</v>
      </c>
      <c r="G1142" s="32">
        <f t="shared" ca="1" si="51"/>
        <v>17.262116666666664</v>
      </c>
      <c r="H1142" s="32">
        <f t="shared" ca="1" si="51"/>
        <v>35.928533333333334</v>
      </c>
      <c r="I1142" s="32">
        <f t="shared" ca="1" si="51"/>
        <v>35.932841666666668</v>
      </c>
      <c r="J1142" s="32">
        <f t="shared" ca="1" si="51"/>
        <v>35.928533333333334</v>
      </c>
      <c r="K1142" s="32">
        <f t="shared" ca="1" si="51"/>
        <v>35.932841666666668</v>
      </c>
      <c r="L1142" s="32">
        <f t="shared" ca="1" si="51"/>
        <v>17.2578</v>
      </c>
      <c r="M1142" s="32">
        <f t="shared" ca="1" si="51"/>
        <v>17.262116666666664</v>
      </c>
      <c r="N1142" s="32">
        <f t="shared" ca="1" si="51"/>
        <v>17.2578</v>
      </c>
      <c r="O1142" s="32">
        <f t="shared" ca="1" si="51"/>
        <v>17.262116666666664</v>
      </c>
    </row>
    <row r="1143" spans="1:15" ht="15" x14ac:dyDescent="0.2">
      <c r="A1143" s="11">
        <v>2098</v>
      </c>
      <c r="B1143" s="32">
        <f t="shared" ca="1" si="51"/>
        <v>15.485433333333333</v>
      </c>
      <c r="C1143" s="32">
        <f t="shared" ca="1" si="51"/>
        <v>15.485433333333333</v>
      </c>
      <c r="D1143" s="32">
        <f t="shared" ca="1" si="51"/>
        <v>15.486733333333333</v>
      </c>
      <c r="E1143" s="32">
        <f t="shared" ca="1" si="51"/>
        <v>17.472383333333333</v>
      </c>
      <c r="F1143" s="32">
        <f t="shared" ca="1" si="51"/>
        <v>17.472383333333333</v>
      </c>
      <c r="G1143" s="32">
        <f t="shared" ca="1" si="51"/>
        <v>17.476700000000001</v>
      </c>
      <c r="H1143" s="32">
        <f t="shared" ca="1" si="51"/>
        <v>36.397908333333334</v>
      </c>
      <c r="I1143" s="32">
        <f t="shared" ca="1" si="51"/>
        <v>36.402233333333335</v>
      </c>
      <c r="J1143" s="32">
        <f t="shared" ca="1" si="51"/>
        <v>36.397908333333334</v>
      </c>
      <c r="K1143" s="32">
        <f t="shared" ca="1" si="51"/>
        <v>36.402233333333335</v>
      </c>
      <c r="L1143" s="32">
        <f t="shared" ca="1" si="51"/>
        <v>17.472383333333333</v>
      </c>
      <c r="M1143" s="32">
        <f t="shared" ca="1" si="51"/>
        <v>17.476700000000001</v>
      </c>
      <c r="N1143" s="32">
        <f t="shared" ca="1" si="51"/>
        <v>17.472383333333333</v>
      </c>
      <c r="O1143" s="32">
        <f t="shared" ca="1" si="51"/>
        <v>17.476700000000001</v>
      </c>
    </row>
    <row r="1144" spans="1:15" ht="15" x14ac:dyDescent="0.2">
      <c r="A1144" s="11">
        <v>2099</v>
      </c>
      <c r="B1144" s="32">
        <f t="shared" ca="1" si="51"/>
        <v>15.674149999999999</v>
      </c>
      <c r="C1144" s="32">
        <f t="shared" ca="1" si="51"/>
        <v>15.674149999999999</v>
      </c>
      <c r="D1144" s="32">
        <f t="shared" ca="1" si="51"/>
        <v>15.675425000000002</v>
      </c>
      <c r="E1144" s="32">
        <f t="shared" ca="1" si="51"/>
        <v>17.686933333333332</v>
      </c>
      <c r="F1144" s="32">
        <f t="shared" ca="1" si="51"/>
        <v>17.686933333333332</v>
      </c>
      <c r="G1144" s="32">
        <f t="shared" ca="1" si="51"/>
        <v>17.691258333333334</v>
      </c>
      <c r="H1144" s="32">
        <f t="shared" ca="1" si="51"/>
        <v>36.8673</v>
      </c>
      <c r="I1144" s="32">
        <f t="shared" ca="1" si="51"/>
        <v>36.871625000000002</v>
      </c>
      <c r="J1144" s="32">
        <f t="shared" ca="1" si="51"/>
        <v>36.8673</v>
      </c>
      <c r="K1144" s="32">
        <f t="shared" ca="1" si="51"/>
        <v>36.871625000000002</v>
      </c>
      <c r="L1144" s="32">
        <f t="shared" ca="1" si="51"/>
        <v>17.686933333333332</v>
      </c>
      <c r="M1144" s="32">
        <f t="shared" ca="1" si="51"/>
        <v>17.691258333333334</v>
      </c>
      <c r="N1144" s="32">
        <f t="shared" ca="1" si="51"/>
        <v>17.686933333333332</v>
      </c>
      <c r="O1144" s="32">
        <f t="shared" ca="1" si="51"/>
        <v>17.691258333333334</v>
      </c>
    </row>
    <row r="1145" spans="1:15" ht="15" x14ac:dyDescent="0.2">
      <c r="A1145" s="11">
        <v>2100</v>
      </c>
      <c r="B1145" s="32">
        <f t="shared" ca="1" si="51"/>
        <v>15.862841666666663</v>
      </c>
      <c r="C1145" s="32">
        <f t="shared" ca="1" si="51"/>
        <v>15.862841666666663</v>
      </c>
      <c r="D1145" s="32">
        <f t="shared" ca="1" si="51"/>
        <v>15.864133333333335</v>
      </c>
      <c r="E1145" s="32">
        <f t="shared" ca="1" si="51"/>
        <v>17.901491666666669</v>
      </c>
      <c r="F1145" s="32">
        <f t="shared" ca="1" si="51"/>
        <v>17.901491666666669</v>
      </c>
      <c r="G1145" s="32">
        <f t="shared" ca="1" si="51"/>
        <v>17.905808333333329</v>
      </c>
      <c r="H1145" s="32">
        <f t="shared" ca="1" si="51"/>
        <v>37.3367</v>
      </c>
      <c r="I1145" s="32">
        <f t="shared" ca="1" si="51"/>
        <v>37.341008333333342</v>
      </c>
      <c r="J1145" s="32">
        <f t="shared" ca="1" si="51"/>
        <v>37.3367</v>
      </c>
      <c r="K1145" s="32">
        <f t="shared" ca="1" si="51"/>
        <v>37.341008333333342</v>
      </c>
      <c r="L1145" s="32">
        <f t="shared" ca="1" si="51"/>
        <v>17.901491666666669</v>
      </c>
      <c r="M1145" s="32">
        <f t="shared" ca="1" si="51"/>
        <v>17.905808333333329</v>
      </c>
      <c r="N1145" s="32">
        <f t="shared" ca="1" si="51"/>
        <v>17.901491666666669</v>
      </c>
      <c r="O1145" s="32">
        <f t="shared" ca="1" si="51"/>
        <v>17.905808333333329</v>
      </c>
    </row>
  </sheetData>
  <mergeCells count="7">
    <mergeCell ref="B10:D10"/>
    <mergeCell ref="P10:Q10"/>
    <mergeCell ref="R10:S10"/>
    <mergeCell ref="P9:S9"/>
    <mergeCell ref="E10:G10"/>
    <mergeCell ref="H10:K10"/>
    <mergeCell ref="L10:O10"/>
  </mergeCells>
  <pageMargins left="0.25" right="0.25" top="0.5" bottom="0.5" header="0.25" footer="0.25"/>
  <pageSetup paperSize="17" scale="60" orientation="landscape" r:id="rId1"/>
  <headerFooter alignWithMargins="0">
    <oddFooter>&amp;R&amp;A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Drop Down 1">
              <controlPr locked="0" defaultSize="0" autoLine="0" autoPict="0">
                <anchor moveWithCells="1">
                  <from>
                    <xdr:col>5</xdr:col>
                    <xdr:colOff>371475</xdr:colOff>
                    <xdr:row>7</xdr:row>
                    <xdr:rowOff>38100</xdr:rowOff>
                  </from>
                  <to>
                    <xdr:col>6</xdr:col>
                    <xdr:colOff>381000</xdr:colOff>
                    <xdr:row>8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8"/>
  <dimension ref="A1:AC1159"/>
  <sheetViews>
    <sheetView zoomScale="70" zoomScaleNormal="70" workbookViewId="0">
      <pane xSplit="1" ySplit="12" topLeftCell="S1116" activePane="bottomRight" state="frozen"/>
      <selection activeCell="A12" sqref="A11:A12"/>
      <selection pane="topRight" activeCell="A12" sqref="A11:A12"/>
      <selection pane="bottomLeft" activeCell="A12" sqref="A11:A12"/>
      <selection pane="bottomRight" activeCell="B13" sqref="B13"/>
    </sheetView>
  </sheetViews>
  <sheetFormatPr defaultColWidth="7.109375" defaultRowHeight="12.75" x14ac:dyDescent="0.2"/>
  <cols>
    <col min="1" max="1" width="18.21875" style="9" customWidth="1"/>
    <col min="2" max="10" width="13" style="9" customWidth="1"/>
    <col min="11" max="11" width="18.6640625" style="9" customWidth="1"/>
    <col min="12" max="12" width="13" style="9" customWidth="1"/>
    <col min="13" max="16" width="20.6640625" style="9" customWidth="1"/>
    <col min="17" max="17" width="15.5546875" style="9" customWidth="1"/>
    <col min="18" max="18" width="16.21875" style="9" customWidth="1"/>
    <col min="19" max="19" width="13" style="8" customWidth="1"/>
    <col min="20" max="25" width="19.77734375" style="8" customWidth="1"/>
    <col min="26" max="26" width="15.5546875" style="8" customWidth="1"/>
    <col min="27" max="27" width="16.88671875" style="8" customWidth="1"/>
    <col min="28" max="29" width="14.77734375" style="8" customWidth="1"/>
    <col min="30" max="30" width="14" style="8" customWidth="1"/>
    <col min="31" max="31" width="10.21875" style="8" customWidth="1"/>
    <col min="32" max="32" width="11.77734375" style="8" customWidth="1"/>
    <col min="33" max="33" width="7.109375" style="8" customWidth="1"/>
    <col min="34" max="34" width="8.77734375" style="8" customWidth="1"/>
    <col min="35" max="35" width="9.21875" style="8" customWidth="1"/>
    <col min="36" max="36" width="11.77734375" style="8" customWidth="1"/>
    <col min="37" max="37" width="7.109375" style="8" customWidth="1"/>
    <col min="38" max="38" width="9.21875" style="8" customWidth="1"/>
    <col min="39" max="39" width="9.33203125" style="8" customWidth="1"/>
    <col min="40" max="40" width="8.21875" style="8" customWidth="1"/>
    <col min="41" max="41" width="9" style="8" customWidth="1"/>
    <col min="42" max="16384" width="7.109375" style="8"/>
  </cols>
  <sheetData>
    <row r="1" spans="1:29" ht="15.75" x14ac:dyDescent="0.25">
      <c r="A1" s="101" t="s">
        <v>91</v>
      </c>
    </row>
    <row r="2" spans="1:29" ht="15.75" x14ac:dyDescent="0.25">
      <c r="A2" s="101" t="s">
        <v>92</v>
      </c>
    </row>
    <row r="3" spans="1:29" ht="15.75" x14ac:dyDescent="0.25">
      <c r="A3" s="101" t="s">
        <v>93</v>
      </c>
    </row>
    <row r="4" spans="1:29" ht="15.75" x14ac:dyDescent="0.25">
      <c r="A4" s="101" t="s">
        <v>94</v>
      </c>
    </row>
    <row r="5" spans="1:29" ht="15.75" x14ac:dyDescent="0.25">
      <c r="A5" s="101" t="s">
        <v>96</v>
      </c>
    </row>
    <row r="6" spans="1:29" ht="15.75" x14ac:dyDescent="0.25">
      <c r="A6" s="101" t="s">
        <v>100</v>
      </c>
    </row>
    <row r="8" spans="1:29" ht="15.75" x14ac:dyDescent="0.25">
      <c r="A8" s="25" t="s">
        <v>28</v>
      </c>
      <c r="M8" s="76"/>
      <c r="N8" s="76"/>
      <c r="O8" s="72"/>
      <c r="P8" s="72"/>
      <c r="T8" s="110" t="s">
        <v>79</v>
      </c>
      <c r="U8" s="110"/>
      <c r="V8" s="110"/>
      <c r="W8" s="110"/>
      <c r="X8" s="110"/>
      <c r="Y8" s="110"/>
    </row>
    <row r="9" spans="1:29" ht="16.5" thickBot="1" x14ac:dyDescent="0.3">
      <c r="A9" s="25"/>
      <c r="B9" s="23" t="s">
        <v>27</v>
      </c>
      <c r="C9" s="75">
        <f>1-0.209</f>
        <v>0.79100000000000004</v>
      </c>
      <c r="D9" s="23"/>
      <c r="E9" s="75">
        <f>1+0.209</f>
        <v>1.2090000000000001</v>
      </c>
      <c r="F9" s="75"/>
      <c r="G9" s="75"/>
      <c r="H9" s="1"/>
      <c r="I9" s="1"/>
      <c r="J9" s="1"/>
      <c r="K9" s="1"/>
      <c r="L9" s="1"/>
      <c r="M9" s="1"/>
      <c r="N9" s="1"/>
      <c r="O9" s="1"/>
      <c r="P9" s="1"/>
      <c r="T9" s="110" t="s">
        <v>78</v>
      </c>
      <c r="U9" s="110"/>
      <c r="V9" s="110"/>
      <c r="W9" s="110"/>
      <c r="X9" s="110"/>
      <c r="Y9" s="110"/>
      <c r="Z9" s="106"/>
      <c r="AA9" s="106"/>
      <c r="AB9" s="1"/>
    </row>
    <row r="10" spans="1:29" ht="21.75" thickTop="1" thickBot="1" x14ac:dyDescent="0.35">
      <c r="B10" s="74"/>
      <c r="C10" s="73"/>
      <c r="D10" s="74"/>
      <c r="E10" s="73"/>
      <c r="F10" s="73"/>
      <c r="G10" s="73"/>
      <c r="H10" s="1"/>
      <c r="I10" s="1"/>
      <c r="J10" s="1"/>
      <c r="K10" s="1"/>
      <c r="L10" s="1"/>
      <c r="M10" s="1"/>
      <c r="N10" s="1"/>
      <c r="O10" s="1"/>
      <c r="P10" s="1"/>
      <c r="T10" s="111" t="s">
        <v>77</v>
      </c>
      <c r="U10" s="112"/>
      <c r="V10" s="112"/>
      <c r="W10" s="112"/>
      <c r="X10" s="112"/>
      <c r="Y10" s="113"/>
      <c r="Z10" s="72"/>
      <c r="AA10" s="72"/>
      <c r="AB10" s="1"/>
    </row>
    <row r="11" spans="1:29" s="18" customFormat="1" ht="112.5" customHeight="1" thickTop="1" x14ac:dyDescent="0.25">
      <c r="B11" s="67" t="s">
        <v>76</v>
      </c>
      <c r="C11" s="71" t="s">
        <v>75</v>
      </c>
      <c r="D11" s="67" t="s">
        <v>74</v>
      </c>
      <c r="E11" s="67" t="s">
        <v>73</v>
      </c>
      <c r="F11" s="71" t="s">
        <v>72</v>
      </c>
      <c r="G11" s="71" t="s">
        <v>71</v>
      </c>
      <c r="H11" s="71" t="s">
        <v>70</v>
      </c>
      <c r="I11" s="71" t="s">
        <v>69</v>
      </c>
      <c r="J11" s="71" t="s">
        <v>68</v>
      </c>
      <c r="K11" s="68" t="s">
        <v>67</v>
      </c>
      <c r="L11" s="19" t="s">
        <v>66</v>
      </c>
      <c r="M11" s="70" t="s">
        <v>65</v>
      </c>
      <c r="N11" s="70" t="s">
        <v>64</v>
      </c>
      <c r="O11" s="70" t="s">
        <v>63</v>
      </c>
      <c r="P11" s="70" t="s">
        <v>62</v>
      </c>
      <c r="Q11" s="19" t="s">
        <v>61</v>
      </c>
      <c r="R11" s="21" t="s">
        <v>60</v>
      </c>
      <c r="S11" s="19" t="s">
        <v>59</v>
      </c>
      <c r="T11" s="66" t="s">
        <v>58</v>
      </c>
      <c r="U11" s="66" t="s">
        <v>57</v>
      </c>
      <c r="V11" s="66" t="s">
        <v>56</v>
      </c>
      <c r="W11" s="66" t="s">
        <v>55</v>
      </c>
      <c r="X11" s="66" t="s">
        <v>54</v>
      </c>
      <c r="Y11" s="66" t="s">
        <v>53</v>
      </c>
      <c r="Z11" s="21" t="s">
        <v>52</v>
      </c>
      <c r="AA11" s="21" t="s">
        <v>51</v>
      </c>
      <c r="AB11" s="67" t="s">
        <v>50</v>
      </c>
      <c r="AC11" s="69" t="s">
        <v>49</v>
      </c>
    </row>
    <row r="12" spans="1:29" s="18" customFormat="1" ht="15.75" x14ac:dyDescent="0.25">
      <c r="A12" s="20" t="s">
        <v>15</v>
      </c>
      <c r="B12" s="19" t="s">
        <v>14</v>
      </c>
      <c r="C12" s="19" t="s">
        <v>14</v>
      </c>
      <c r="D12" s="19" t="s">
        <v>14</v>
      </c>
      <c r="E12" s="19" t="s">
        <v>14</v>
      </c>
      <c r="F12" s="19" t="s">
        <v>14</v>
      </c>
      <c r="G12" s="19" t="s">
        <v>14</v>
      </c>
      <c r="H12" s="19" t="s">
        <v>14</v>
      </c>
      <c r="I12" s="19" t="s">
        <v>14</v>
      </c>
      <c r="J12" s="19" t="s">
        <v>14</v>
      </c>
      <c r="K12" s="68" t="s">
        <v>14</v>
      </c>
      <c r="L12" s="19" t="s">
        <v>14</v>
      </c>
      <c r="M12" s="19" t="s">
        <v>14</v>
      </c>
      <c r="N12" s="19" t="s">
        <v>14</v>
      </c>
      <c r="O12" s="19" t="s">
        <v>14</v>
      </c>
      <c r="P12" s="19" t="s">
        <v>14</v>
      </c>
      <c r="Q12" s="19" t="s">
        <v>14</v>
      </c>
      <c r="R12" s="19" t="s">
        <v>14</v>
      </c>
      <c r="S12" s="19" t="s">
        <v>14</v>
      </c>
      <c r="T12" s="66" t="s">
        <v>48</v>
      </c>
      <c r="U12" s="66" t="s">
        <v>48</v>
      </c>
      <c r="V12" s="66" t="s">
        <v>48</v>
      </c>
      <c r="W12" s="66" t="s">
        <v>48</v>
      </c>
      <c r="X12" s="66" t="s">
        <v>48</v>
      </c>
      <c r="Y12" s="66" t="s">
        <v>48</v>
      </c>
      <c r="Z12" s="19" t="s">
        <v>14</v>
      </c>
      <c r="AA12" s="19" t="s">
        <v>48</v>
      </c>
      <c r="AB12" s="67" t="s">
        <v>14</v>
      </c>
      <c r="AC12" s="66" t="s">
        <v>14</v>
      </c>
    </row>
    <row r="13" spans="1:29" ht="15" x14ac:dyDescent="0.2">
      <c r="A13" s="16">
        <v>41640</v>
      </c>
      <c r="B13" s="10">
        <v>4.5403508981821297</v>
      </c>
      <c r="C13" s="10">
        <v>4.5453053729014501</v>
      </c>
      <c r="D13" s="10">
        <v>4.5955088080806696</v>
      </c>
      <c r="E13" s="10">
        <v>4.6292860121002901</v>
      </c>
      <c r="F13" s="10">
        <v>4.5057134542830504</v>
      </c>
      <c r="G13" s="10">
        <v>4.5232699624600601</v>
      </c>
      <c r="H13" s="10">
        <v>4.6184822160436596</v>
      </c>
      <c r="I13" s="10">
        <v>4.5142474091236702</v>
      </c>
      <c r="J13" s="10">
        <v>4.4987134542830498</v>
      </c>
      <c r="K13" s="63"/>
      <c r="L13" s="10">
        <v>5.2054822160436602</v>
      </c>
      <c r="M13" s="10">
        <v>4.4671409331847798</v>
      </c>
      <c r="N13" s="10">
        <v>4.4845202655912004</v>
      </c>
      <c r="O13" s="10">
        <v>4.5857010193679901</v>
      </c>
      <c r="P13" s="10">
        <v>4.48255738022426</v>
      </c>
      <c r="Q13" s="10">
        <v>5.1810010193679901</v>
      </c>
      <c r="R13" s="10">
        <v>5.7809535219164099</v>
      </c>
      <c r="S13" s="10">
        <v>4.407</v>
      </c>
      <c r="T13" s="58">
        <v>29.253942540000001</v>
      </c>
      <c r="U13" s="58">
        <v>12.063650000000001</v>
      </c>
      <c r="V13" s="58">
        <v>4.9444999999999997</v>
      </c>
      <c r="W13" s="58">
        <v>0.71033400000000002</v>
      </c>
      <c r="X13" s="58">
        <v>0</v>
      </c>
      <c r="Y13" s="58">
        <v>0.4</v>
      </c>
      <c r="Z13" s="10">
        <v>4.4959996929375601</v>
      </c>
      <c r="AA13" s="65">
        <v>1.0435350000000001</v>
      </c>
      <c r="AB13" s="51">
        <v>4.5470654716081098</v>
      </c>
      <c r="AC13" s="27">
        <v>4.5299185954854799</v>
      </c>
    </row>
    <row r="14" spans="1:29" ht="15" x14ac:dyDescent="0.2">
      <c r="A14" s="16">
        <v>41671</v>
      </c>
      <c r="B14" s="10">
        <v>5.7253939823975104</v>
      </c>
      <c r="C14" s="10">
        <v>5.7303484571168299</v>
      </c>
      <c r="D14" s="10">
        <v>5.7908494929551004</v>
      </c>
      <c r="E14" s="10">
        <v>5.8246266969747102</v>
      </c>
      <c r="F14" s="10">
        <v>5.7186228492538103</v>
      </c>
      <c r="G14" s="10">
        <v>5.7359240116945696</v>
      </c>
      <c r="H14" s="10">
        <v>5.8138229009180904</v>
      </c>
      <c r="I14" s="10">
        <v>5.7121624941628601</v>
      </c>
      <c r="J14" s="10">
        <v>5.7116228492538204</v>
      </c>
      <c r="K14" s="63"/>
      <c r="L14" s="10">
        <v>6.4008229009180804</v>
      </c>
      <c r="M14" s="10">
        <v>5.6678099581145602</v>
      </c>
      <c r="N14" s="10">
        <v>5.6849365216683001</v>
      </c>
      <c r="O14" s="10">
        <v>5.7689786331106596</v>
      </c>
      <c r="P14" s="10">
        <v>5.6683834139465397</v>
      </c>
      <c r="Q14" s="10">
        <v>6.3642786331106604</v>
      </c>
      <c r="R14" s="10">
        <v>6.9671893296934302</v>
      </c>
      <c r="S14" s="10">
        <v>5.55779533908155</v>
      </c>
      <c r="T14" s="58">
        <v>26.512149040000001</v>
      </c>
      <c r="U14" s="58">
        <v>10.8962</v>
      </c>
      <c r="V14" s="58">
        <v>4.4660000000000002</v>
      </c>
      <c r="W14" s="58">
        <v>0.64159200000000005</v>
      </c>
      <c r="X14" s="58">
        <v>0</v>
      </c>
      <c r="Y14" s="58">
        <v>0.4</v>
      </c>
      <c r="Z14" s="10">
        <v>5.6800276756208303</v>
      </c>
      <c r="AA14" s="65">
        <v>1.0435350000000001</v>
      </c>
      <c r="AB14" s="51">
        <v>5.7440587165890404</v>
      </c>
      <c r="AC14" s="27">
        <v>5.7195685555344298</v>
      </c>
    </row>
    <row r="15" spans="1:29" ht="15" x14ac:dyDescent="0.2">
      <c r="A15" s="16">
        <v>41699</v>
      </c>
      <c r="B15" s="10">
        <f>CHOOSE(CONTROL!$C$42, 5.054, 5.054) * CHOOSE(CONTROL!$C$21, $C$9, 100%, $E$9)</f>
        <v>5.0540000000000003</v>
      </c>
      <c r="C15" s="10">
        <f>CHOOSE(CONTROL!$C$42, 5.0589, 5.0589) * CHOOSE(CONTROL!$C$21, $C$9, 100%, $E$9)</f>
        <v>5.0589000000000004</v>
      </c>
      <c r="D15" s="10">
        <f>CHOOSE(CONTROL!$C$42, 5.1503, 5.1503) * CHOOSE(CONTROL!$C$21, $C$9, 100%, $E$9)</f>
        <v>5.1502999999999997</v>
      </c>
      <c r="E15" s="10">
        <f>CHOOSE(CONTROL!$C$42, 5.1841, 5.1841) * CHOOSE(CONTROL!$C$21, $C$9, 100%, $E$9)</f>
        <v>5.1840999999999999</v>
      </c>
      <c r="F15" s="10">
        <f>CHOOSE(CONTROL!$C$42, 5.0838, 5.0838)*CHOOSE(CONTROL!$C$21, $C$9, 100%, $E$9)</f>
        <v>5.0838000000000001</v>
      </c>
      <c r="G15" s="10">
        <f>CHOOSE(CONTROL!$C$42, 5.1033, 5.1033)*CHOOSE(CONTROL!$C$21, $C$9, 100%, $E$9)</f>
        <v>5.1032999999999999</v>
      </c>
      <c r="H15" s="10">
        <f>CHOOSE(CONTROL!$C$42, 5.1733, 5.1733) * CHOOSE(CONTROL!$C$21, $C$9, 100%, $E$9)</f>
        <v>5.1733000000000002</v>
      </c>
      <c r="I15" s="10">
        <f>CHOOSE(CONTROL!$C$42, 5.0768, 5.0768)* CHOOSE(CONTROL!$C$21, $C$9, 100%, $E$9)</f>
        <v>5.0768000000000004</v>
      </c>
      <c r="J15" s="10">
        <f>CHOOSE(CONTROL!$C$42, 5.0768, 5.0768)* CHOOSE(CONTROL!$C$21, $C$9, 100%, $E$9)</f>
        <v>5.0768000000000004</v>
      </c>
      <c r="K15" s="63"/>
      <c r="L15" s="10">
        <f>CHOOSE(CONTROL!$C$42, 5.7603, 5.7603) * CHOOSE(CONTROL!$C$21, $C$9, 100%, $E$9)</f>
        <v>5.7603</v>
      </c>
      <c r="M15" s="10">
        <f>CHOOSE(CONTROL!$C$42, 5.0394, 5.0394) * CHOOSE(CONTROL!$C$21, $C$9, 100%, $E$9)</f>
        <v>5.0393999999999997</v>
      </c>
      <c r="N15" s="10">
        <f>CHOOSE(CONTROL!$C$42, 5.0587, 5.0587) * CHOOSE(CONTROL!$C$21, $C$9, 100%, $E$9)</f>
        <v>5.0587</v>
      </c>
      <c r="O15" s="10">
        <f>CHOOSE(CONTROL!$C$42, 5.1349, 5.1349) * CHOOSE(CONTROL!$C$21, $C$9, 100%, $E$9)</f>
        <v>5.1349</v>
      </c>
      <c r="P15" s="10">
        <f>CHOOSE(CONTROL!$C$42, 5.0394, 5.0394) * CHOOSE(CONTROL!$C$21, $C$9, 100%, $E$9)</f>
        <v>5.0393999999999997</v>
      </c>
      <c r="Q15" s="10">
        <f>CHOOSE(CONTROL!$C$42, 5.7302, 5.7302) * CHOOSE(CONTROL!$C$21, $C$9, 100%, $E$9)</f>
        <v>5.7302</v>
      </c>
      <c r="R15" s="10">
        <f>CHOOSE(CONTROL!$C$42, 6.3316, 6.3316) * CHOOSE(CONTROL!$C$21, $C$9, 100%, $E$9)</f>
        <v>6.3315999999999999</v>
      </c>
      <c r="S15" s="10">
        <f>CHOOSE(CONTROL!$C$42, 4.9058, 4.9058) * CHOOSE(CONTROL!$C$21, $C$9, 100%, $E$9)</f>
        <v>4.9058000000000002</v>
      </c>
      <c r="T15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5" s="58">
        <f>(1000*CHOOSE(CONTROL!$C$42, 695, 695)*CHOOSE(CONTROL!$C$42, 0.5599, 0.5599)*CHOOSE(CONTROL!$C$42, 31, 31))/1000000</f>
        <v>12.063045499999998</v>
      </c>
      <c r="V15" s="58">
        <f>(1000*CHOOSE(CONTROL!$C$42, 580, 580)*CHOOSE(CONTROL!$C$42, 0.275, 0.275)*CHOOSE(CONTROL!$C$42, 31, 31))/1000000</f>
        <v>4.9444999999999997</v>
      </c>
      <c r="W15" s="58">
        <f>(1000*CHOOSE(CONTROL!$C$42, 0.1146, 0.1146)*CHOOSE(CONTROL!$C$42, 200, 200)*CHOOSE(CONTROL!$C$42, 31, 31))/1000000</f>
        <v>0.71052000000000004</v>
      </c>
      <c r="X15" s="58">
        <v>0</v>
      </c>
      <c r="Y15" s="58">
        <f>(0.16*2500000)/1000000</f>
        <v>0.4</v>
      </c>
      <c r="Z15" s="10">
        <f>CHOOSE(CONTROL!$C$42, 5.0168, 5.0168) * CHOOSE(CONTROL!$C$21, $C$9, 100%, $E$9)</f>
        <v>5.0167999999999999</v>
      </c>
      <c r="AA15" s="65">
        <f>(31*((7.89*31500+7.95*100000)/31))/1000000</f>
        <v>1.0435350000000001</v>
      </c>
      <c r="AB15" s="51">
        <f>(B15*122.58+C15*297.941+D15*89.177+E15*200.302+F15*40+G15*0+H15*0+I15*100+J15*300)/(122.58+297.941+89.177+200.302+0+40+0+100+300)</f>
        <v>5.0943643010434778</v>
      </c>
      <c r="AC15" s="27">
        <f>(M15*240+N15*0+O15*355+P15*100)/(240+0+355+100)</f>
        <v>5.0881805755395684</v>
      </c>
    </row>
    <row r="16" spans="1:29" ht="15" x14ac:dyDescent="0.2">
      <c r="A16" s="16">
        <v>41730</v>
      </c>
      <c r="B16" s="10">
        <f>CHOOSE(CONTROL!$C$42, 4.6449, 4.6449) * CHOOSE(CONTROL!$C$21, $C$9, 100%, $E$9)</f>
        <v>4.6448999999999998</v>
      </c>
      <c r="C16" s="10">
        <f>CHOOSE(CONTROL!$C$42, 4.6493, 4.6493) * CHOOSE(CONTROL!$C$21, $C$9, 100%, $E$9)</f>
        <v>4.6493000000000002</v>
      </c>
      <c r="D16" s="10">
        <f>CHOOSE(CONTROL!$C$42, 4.831, 4.831) * CHOOSE(CONTROL!$C$21, $C$9, 100%, $E$9)</f>
        <v>4.8310000000000004</v>
      </c>
      <c r="E16" s="10">
        <f>CHOOSE(CONTROL!$C$42, 4.8628, 4.8628) * CHOOSE(CONTROL!$C$21, $C$9, 100%, $E$9)</f>
        <v>4.8628</v>
      </c>
      <c r="F16" s="10">
        <f>CHOOSE(CONTROL!$C$42, 4.6333, 4.6333)*CHOOSE(CONTROL!$C$21, $C$9, 100%, $E$9)</f>
        <v>4.6333000000000002</v>
      </c>
      <c r="G16" s="10">
        <f>CHOOSE(CONTROL!$C$42, 4.6512, 4.6512)*CHOOSE(CONTROL!$C$21, $C$9, 100%, $E$9)</f>
        <v>4.6512000000000002</v>
      </c>
      <c r="H16" s="10">
        <f>CHOOSE(CONTROL!$C$42, 4.8525, 4.8525) * CHOOSE(CONTROL!$C$21, $C$9, 100%, $E$9)</f>
        <v>4.8525</v>
      </c>
      <c r="I16" s="10">
        <f>CHOOSE(CONTROL!$C$42, 4.6232, 4.6232)* CHOOSE(CONTROL!$C$21, $C$9, 100%, $E$9)</f>
        <v>4.6231999999999998</v>
      </c>
      <c r="J16" s="10">
        <f>CHOOSE(CONTROL!$C$42, 4.6263, 4.6263)* CHOOSE(CONTROL!$C$21, $C$9, 100%, $E$9)</f>
        <v>4.6262999999999996</v>
      </c>
      <c r="K16" s="63"/>
      <c r="L16" s="10">
        <f>CHOOSE(CONTROL!$C$42, 5.4395, 5.4395) * CHOOSE(CONTROL!$C$21, $C$9, 100%, $E$9)</f>
        <v>5.4394999999999998</v>
      </c>
      <c r="M16" s="10">
        <f>CHOOSE(CONTROL!$C$42, 4.5934, 4.5934) * CHOOSE(CONTROL!$C$21, $C$9, 100%, $E$9)</f>
        <v>4.5933999999999999</v>
      </c>
      <c r="N16" s="10">
        <f>CHOOSE(CONTROL!$C$42, 4.6112, 4.6112) * CHOOSE(CONTROL!$C$21, $C$9, 100%, $E$9)</f>
        <v>4.6112000000000002</v>
      </c>
      <c r="O16" s="10">
        <f>CHOOSE(CONTROL!$C$42, 4.8174, 4.8174) * CHOOSE(CONTROL!$C$21, $C$9, 100%, $E$9)</f>
        <v>4.8174000000000001</v>
      </c>
      <c r="P16" s="10">
        <f>CHOOSE(CONTROL!$C$42, 4.5904, 4.5904) * CHOOSE(CONTROL!$C$21, $C$9, 100%, $E$9)</f>
        <v>4.5903999999999998</v>
      </c>
      <c r="Q16" s="10">
        <f>CHOOSE(CONTROL!$C$42, 5.4127, 5.4127) * CHOOSE(CONTROL!$C$21, $C$9, 100%, $E$9)</f>
        <v>5.4127000000000001</v>
      </c>
      <c r="R16" s="10">
        <f>CHOOSE(CONTROL!$C$42, 6.0132, 6.0132) * CHOOSE(CONTROL!$C$21, $C$9, 100%, $E$9)</f>
        <v>6.0132000000000003</v>
      </c>
      <c r="S16" s="10">
        <f>CHOOSE(CONTROL!$C$42, 4.5078, 4.5078) * CHOOSE(CONTROL!$C$21, $C$9, 100%, $E$9)</f>
        <v>4.5077999999999996</v>
      </c>
      <c r="T16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6" s="58">
        <f>(1000*CHOOSE(CONTROL!$C$42, 695, 695)*CHOOSE(CONTROL!$C$42, 0.5599, 0.5599)*CHOOSE(CONTROL!$C$42, 30, 30))/1000000</f>
        <v>11.673914999999997</v>
      </c>
      <c r="V16" s="58">
        <f>(1000*CHOOSE(CONTROL!$C$42, 580, 580)*CHOOSE(CONTROL!$C$42, 0.275, 0.275)*CHOOSE(CONTROL!$C$42, 30, 30))/1000000</f>
        <v>4.7850000000000001</v>
      </c>
      <c r="W16" s="58">
        <f>(1000*CHOOSE(CONTROL!$C$42, 0.1146, 0.1146)*CHOOSE(CONTROL!$C$42, 200, 200)*CHOOSE(CONTROL!$C$42, 30, 30))/1000000</f>
        <v>0.68759999999999999</v>
      </c>
      <c r="X16" s="58">
        <f>30*0.1790888*145000/1000000</f>
        <v>0.77903627999999991</v>
      </c>
      <c r="Y16" s="58"/>
      <c r="Z16" s="10">
        <f>CHOOSE(CONTROL!$C$42, 4.6053, 4.6053) * CHOOSE(CONTROL!$C$21, $C$9, 100%, $E$9)</f>
        <v>4.6052999999999997</v>
      </c>
      <c r="AA16" s="65">
        <f>(30*((7.89*31500+7.95*100000)/30))/1000000</f>
        <v>1.0435350000000001</v>
      </c>
      <c r="AB16" s="51">
        <f>(B16*141.293+C16*267.993+D16*115.016+E16*249.698+F16*40+G16*25+H16*0+I16*100+J16*300)/(141.293+267.993+115.016+249.698+0+40+25+100+300)</f>
        <v>4.7005386933010502</v>
      </c>
      <c r="AC16" s="27">
        <f t="shared" ref="AC16:AC22" si="0">(M16*240+N16*120+O16*235+P16*100)/(240+120+235+100)</f>
        <v>4.6717827338129494</v>
      </c>
    </row>
    <row r="17" spans="1:29" ht="15" x14ac:dyDescent="0.2">
      <c r="A17" s="16">
        <v>41760</v>
      </c>
      <c r="B17" s="10">
        <f>CHOOSE(CONTROL!$C$42, 4.588, 4.588) * CHOOSE(CONTROL!$C$21, $C$9, 100%, $E$9)</f>
        <v>4.5880000000000001</v>
      </c>
      <c r="C17" s="10">
        <f>CHOOSE(CONTROL!$C$42, 4.5959, 4.5959) * CHOOSE(CONTROL!$C$21, $C$9, 100%, $E$9)</f>
        <v>4.5959000000000003</v>
      </c>
      <c r="D17" s="10">
        <f>CHOOSE(CONTROL!$C$42, 4.7745, 4.7745) * CHOOSE(CONTROL!$C$21, $C$9, 100%, $E$9)</f>
        <v>4.7744999999999997</v>
      </c>
      <c r="E17" s="10">
        <f>CHOOSE(CONTROL!$C$42, 4.8056, 4.8056) * CHOOSE(CONTROL!$C$21, $C$9, 100%, $E$9)</f>
        <v>4.8056000000000001</v>
      </c>
      <c r="F17" s="10">
        <f>CHOOSE(CONTROL!$C$42, 4.5742, 4.5742)*CHOOSE(CONTROL!$C$21, $C$9, 100%, $E$9)</f>
        <v>4.5742000000000003</v>
      </c>
      <c r="G17" s="10">
        <f>CHOOSE(CONTROL!$C$42, 4.5924, 4.5924)*CHOOSE(CONTROL!$C$21, $C$9, 100%, $E$9)</f>
        <v>4.5923999999999996</v>
      </c>
      <c r="H17" s="10">
        <f>CHOOSE(CONTROL!$C$42, 4.7942, 4.7942) * CHOOSE(CONTROL!$C$21, $C$9, 100%, $E$9)</f>
        <v>4.7942</v>
      </c>
      <c r="I17" s="10">
        <f>CHOOSE(CONTROL!$C$42, 4.5649, 4.5649)* CHOOSE(CONTROL!$C$21, $C$9, 100%, $E$9)</f>
        <v>4.5648999999999997</v>
      </c>
      <c r="J17" s="10">
        <f>CHOOSE(CONTROL!$C$42, 4.5672, 4.5672)* CHOOSE(CONTROL!$C$21, $C$9, 100%, $E$9)</f>
        <v>4.5671999999999997</v>
      </c>
      <c r="K17" s="63"/>
      <c r="L17" s="10">
        <f>CHOOSE(CONTROL!$C$42, 5.3812, 5.3812) * CHOOSE(CONTROL!$C$21, $C$9, 100%, $E$9)</f>
        <v>5.3811999999999998</v>
      </c>
      <c r="M17" s="10">
        <f>CHOOSE(CONTROL!$C$42, 4.5349, 4.5349) * CHOOSE(CONTROL!$C$21, $C$9, 100%, $E$9)</f>
        <v>4.5349000000000004</v>
      </c>
      <c r="N17" s="10">
        <f>CHOOSE(CONTROL!$C$42, 4.5529, 4.5529) * CHOOSE(CONTROL!$C$21, $C$9, 100%, $E$9)</f>
        <v>4.5529000000000002</v>
      </c>
      <c r="O17" s="10">
        <f>CHOOSE(CONTROL!$C$42, 4.7597, 4.7597) * CHOOSE(CONTROL!$C$21, $C$9, 100%, $E$9)</f>
        <v>4.7596999999999996</v>
      </c>
      <c r="P17" s="10">
        <f>CHOOSE(CONTROL!$C$42, 4.5327, 4.5327) * CHOOSE(CONTROL!$C$21, $C$9, 100%, $E$9)</f>
        <v>4.5327000000000002</v>
      </c>
      <c r="Q17" s="10">
        <f>CHOOSE(CONTROL!$C$42, 5.355, 5.355) * CHOOSE(CONTROL!$C$21, $C$9, 100%, $E$9)</f>
        <v>5.3550000000000004</v>
      </c>
      <c r="R17" s="10">
        <f>CHOOSE(CONTROL!$C$42, 5.9554, 5.9554) * CHOOSE(CONTROL!$C$21, $C$9, 100%, $E$9)</f>
        <v>5.9554</v>
      </c>
      <c r="S17" s="10">
        <f>CHOOSE(CONTROL!$C$42, 4.4512, 4.4512) * CHOOSE(CONTROL!$C$21, $C$9, 100%, $E$9)</f>
        <v>4.4512</v>
      </c>
      <c r="T17" s="60">
        <f>((((430000*CHOOSE(CONTROL!$C$42, 0.4694, 0.4694)+(874000-430000)*CHOOSE(CONTROL!$C$42, 0.7185, 0.7185)+400000*CHOOSE(CONTROL!$C$42, 1.14, 1.14)+50000*0.98)*CHOOSE(CONTROL!$C$42, 31, 31))/1000000))+CHOOSE(CONTROL!$C$42, 0.1662, 0.1662)+CHOOSE(CONTROL!$C$42, 0.6286, 0.6286)</f>
        <v>32.596336000000001</v>
      </c>
      <c r="U17" s="58">
        <f>(1000*CHOOSE(CONTROL!$C$42, 695, 695)*CHOOSE(CONTROL!$C$42, 0.5599, 0.5599)*CHOOSE(CONTROL!$C$42, 31, 31))/1000000</f>
        <v>12.063045499999998</v>
      </c>
      <c r="V17" s="58">
        <f>(1000*CHOOSE(CONTROL!$C$42, 580, 580)*CHOOSE(CONTROL!$C$42, 0.275, 0.275)*CHOOSE(CONTROL!$C$42, 31, 31))/1000000</f>
        <v>4.9444999999999997</v>
      </c>
      <c r="W17" s="58">
        <f>(1000*CHOOSE(CONTROL!$C$42, 0.1146, 0.1146)*CHOOSE(CONTROL!$C$42, 200, 200)*CHOOSE(CONTROL!$C$42, 31, 31))/1000000</f>
        <v>0.71052000000000004</v>
      </c>
      <c r="X17" s="58">
        <f>31*0.1790888*145000/1000000</f>
        <v>0.80500415599999997</v>
      </c>
      <c r="Y17" s="58"/>
      <c r="Z17" s="10">
        <f>CHOOSE(CONTROL!$C$42, 4.5474, 4.5474) * CHOOSE(CONTROL!$C$21, $C$9, 100%, $E$9)</f>
        <v>4.5473999999999997</v>
      </c>
      <c r="AA17" s="65">
        <f>(31*((7.89*31500+7.95*100000)/31))/1000000</f>
        <v>1.0435350000000001</v>
      </c>
      <c r="AB17" s="51">
        <f>(B17*194.205+C17*267.466+D17*133.845+E17*213.484+F17*40+G17*25+H17*50+I17*100+J17*300)/(194.205+267.466+133.845+213.484+50+40+25+100+300)</f>
        <v>4.6445311120090631</v>
      </c>
      <c r="AC17" s="27">
        <f t="shared" si="0"/>
        <v>4.6137028776978415</v>
      </c>
    </row>
    <row r="18" spans="1:29" ht="15" x14ac:dyDescent="0.2">
      <c r="A18" s="16">
        <v>41791</v>
      </c>
      <c r="B18" s="10">
        <f>CHOOSE(CONTROL!$C$42, 4.6076, 4.6076) * CHOOSE(CONTROL!$C$21, $C$9, 100%, $E$9)</f>
        <v>4.6075999999999997</v>
      </c>
      <c r="C18" s="10">
        <f>CHOOSE(CONTROL!$C$42, 4.6155, 4.6155) * CHOOSE(CONTROL!$C$21, $C$9, 100%, $E$9)</f>
        <v>4.6154999999999999</v>
      </c>
      <c r="D18" s="10">
        <f>CHOOSE(CONTROL!$C$42, 4.794, 4.794) * CHOOSE(CONTROL!$C$21, $C$9, 100%, $E$9)</f>
        <v>4.7939999999999996</v>
      </c>
      <c r="E18" s="10">
        <f>CHOOSE(CONTROL!$C$42, 4.8252, 4.8252) * CHOOSE(CONTROL!$C$21, $C$9, 100%, $E$9)</f>
        <v>4.8251999999999997</v>
      </c>
      <c r="F18" s="10">
        <f>CHOOSE(CONTROL!$C$42, 4.594, 4.594)*CHOOSE(CONTROL!$C$21, $C$9, 100%, $E$9)</f>
        <v>4.5940000000000003</v>
      </c>
      <c r="G18" s="10">
        <f>CHOOSE(CONTROL!$C$42, 4.6123, 4.6123)*CHOOSE(CONTROL!$C$21, $C$9, 100%, $E$9)</f>
        <v>4.6123000000000003</v>
      </c>
      <c r="H18" s="10">
        <f>CHOOSE(CONTROL!$C$42, 4.8138, 4.8138) * CHOOSE(CONTROL!$C$21, $C$9, 100%, $E$9)</f>
        <v>4.8137999999999996</v>
      </c>
      <c r="I18" s="10">
        <f>CHOOSE(CONTROL!$C$42, 4.5845, 4.5845)* CHOOSE(CONTROL!$C$21, $C$9, 100%, $E$9)</f>
        <v>4.5845000000000002</v>
      </c>
      <c r="J18" s="10">
        <f>CHOOSE(CONTROL!$C$42, 4.587, 4.587)* CHOOSE(CONTROL!$C$21, $C$9, 100%, $E$9)</f>
        <v>4.5869999999999997</v>
      </c>
      <c r="K18" s="63"/>
      <c r="L18" s="10">
        <f>CHOOSE(CONTROL!$C$42, 5.4008, 5.4008) * CHOOSE(CONTROL!$C$21, $C$9, 100%, $E$9)</f>
        <v>5.4008000000000003</v>
      </c>
      <c r="M18" s="10">
        <f>CHOOSE(CONTROL!$C$42, 4.5546, 4.5546) * CHOOSE(CONTROL!$C$21, $C$9, 100%, $E$9)</f>
        <v>4.5545999999999998</v>
      </c>
      <c r="N18" s="10">
        <f>CHOOSE(CONTROL!$C$42, 4.5726, 4.5726) * CHOOSE(CONTROL!$C$21, $C$9, 100%, $E$9)</f>
        <v>4.5726000000000004</v>
      </c>
      <c r="O18" s="10">
        <f>CHOOSE(CONTROL!$C$42, 4.779, 4.779) * CHOOSE(CONTROL!$C$21, $C$9, 100%, $E$9)</f>
        <v>4.7789999999999999</v>
      </c>
      <c r="P18" s="10">
        <f>CHOOSE(CONTROL!$C$42, 4.5521, 4.5521) * CHOOSE(CONTROL!$C$21, $C$9, 100%, $E$9)</f>
        <v>4.5521000000000003</v>
      </c>
      <c r="Q18" s="10">
        <f>CHOOSE(CONTROL!$C$42, 5.3743, 5.3743) * CHOOSE(CONTROL!$C$21, $C$9, 100%, $E$9)</f>
        <v>5.3742999999999999</v>
      </c>
      <c r="R18" s="10">
        <f>CHOOSE(CONTROL!$C$42, 5.9748, 5.9748) * CHOOSE(CONTROL!$C$21, $C$9, 100%, $E$9)</f>
        <v>5.9748000000000001</v>
      </c>
      <c r="S18" s="10">
        <f>CHOOSE(CONTROL!$C$42, 4.4702, 4.4702) * CHOOSE(CONTROL!$C$21, $C$9, 100%, $E$9)</f>
        <v>4.4702000000000002</v>
      </c>
      <c r="T18" s="60">
        <f>((((430000*CHOOSE(CONTROL!$C$42, 0.4694, 0.4694)+(874000-430000)*CHOOSE(CONTROL!$C$42, 0.7185, 0.7185)+400000*CHOOSE(CONTROL!$C$42, 1.14, 1.14)+50000*0.98)*CHOOSE(CONTROL!$C$42, 30, 30))/1000000))+CHOOSE(CONTROL!$C$42, 0.1573, 0.1573)+CHOOSE(CONTROL!$C$42, 0.6376, 0.6376)</f>
        <v>31.57058</v>
      </c>
      <c r="U18" s="58">
        <f>(1000*CHOOSE(CONTROL!$C$42, 695, 695)*CHOOSE(CONTROL!$C$42, 0.5599, 0.5599)*CHOOSE(CONTROL!$C$42, 30, 30))/1000000</f>
        <v>11.673914999999997</v>
      </c>
      <c r="V18" s="58">
        <f>(1000*CHOOSE(CONTROL!$C$42, 580, 580)*CHOOSE(CONTROL!$C$42, 0.275, 0.275)*CHOOSE(CONTROL!$C$42, 30, 30))/1000000</f>
        <v>4.7850000000000001</v>
      </c>
      <c r="W18" s="58">
        <f>(1000*CHOOSE(CONTROL!$C$42, 0.1146, 0.1146)*CHOOSE(CONTROL!$C$42, 200, 200)*CHOOSE(CONTROL!$C$42, 30, 30))/1000000</f>
        <v>0.68759999999999999</v>
      </c>
      <c r="X18" s="58">
        <f>30*0.1790888*145000/1000000</f>
        <v>0.77903627999999991</v>
      </c>
      <c r="Y18" s="58"/>
      <c r="Z18" s="10">
        <f>CHOOSE(CONTROL!$C$42, 4.5668, 4.5668) * CHOOSE(CONTROL!$C$21, $C$9, 100%, $E$9)</f>
        <v>4.5667999999999997</v>
      </c>
      <c r="AA18" s="64">
        <f>(30*((7.95*31500+8.07*100000)/30))/1000000</f>
        <v>1.0574250000000001</v>
      </c>
      <c r="AB18" s="51">
        <f>(B18*194.205+C18*267.466+D18*133.845+E18*213.484+F18*40+G18*25+H18*50+I18*100+J18*300)/(194.205+267.466+133.845+213.484+50+40+25+100+300)</f>
        <v>4.6641780270392745</v>
      </c>
      <c r="AC18" s="27">
        <f t="shared" si="0"/>
        <v>4.6332244604316548</v>
      </c>
    </row>
    <row r="19" spans="1:29" ht="15" x14ac:dyDescent="0.2">
      <c r="A19" s="16">
        <v>41821</v>
      </c>
      <c r="B19" s="10">
        <f>CHOOSE(CONTROL!$C$42, 4.6292, 4.6292) * CHOOSE(CONTROL!$C$21, $C$9, 100%, $E$9)</f>
        <v>4.6292</v>
      </c>
      <c r="C19" s="10">
        <f>CHOOSE(CONTROL!$C$42, 4.6371, 4.6371) * CHOOSE(CONTROL!$C$21, $C$9, 100%, $E$9)</f>
        <v>4.6371000000000002</v>
      </c>
      <c r="D19" s="10">
        <f>CHOOSE(CONTROL!$C$42, 4.8157, 4.8157) * CHOOSE(CONTROL!$C$21, $C$9, 100%, $E$9)</f>
        <v>4.8156999999999996</v>
      </c>
      <c r="E19" s="10">
        <f>CHOOSE(CONTROL!$C$42, 4.8468, 4.8468) * CHOOSE(CONTROL!$C$21, $C$9, 100%, $E$9)</f>
        <v>4.8468</v>
      </c>
      <c r="F19" s="10">
        <f>CHOOSE(CONTROL!$C$42, 4.6159, 4.6159)*CHOOSE(CONTROL!$C$21, $C$9, 100%, $E$9)</f>
        <v>4.6158999999999999</v>
      </c>
      <c r="G19" s="10">
        <f>CHOOSE(CONTROL!$C$42, 4.6342, 4.6342)*CHOOSE(CONTROL!$C$21, $C$9, 100%, $E$9)</f>
        <v>4.6341999999999999</v>
      </c>
      <c r="H19" s="10">
        <f>CHOOSE(CONTROL!$C$42, 4.8354, 4.8354) * CHOOSE(CONTROL!$C$21, $C$9, 100%, $E$9)</f>
        <v>4.8353999999999999</v>
      </c>
      <c r="I19" s="10">
        <f>CHOOSE(CONTROL!$C$42, 4.6061, 4.6061)* CHOOSE(CONTROL!$C$21, $C$9, 100%, $E$9)</f>
        <v>4.6060999999999996</v>
      </c>
      <c r="J19" s="10">
        <f>CHOOSE(CONTROL!$C$42, 4.6089, 4.6089)* CHOOSE(CONTROL!$C$21, $C$9, 100%, $E$9)</f>
        <v>4.6089000000000002</v>
      </c>
      <c r="K19" s="63"/>
      <c r="L19" s="10">
        <f>CHOOSE(CONTROL!$C$42, 5.4224, 5.4224) * CHOOSE(CONTROL!$C$21, $C$9, 100%, $E$9)</f>
        <v>5.4223999999999997</v>
      </c>
      <c r="M19" s="10">
        <f>CHOOSE(CONTROL!$C$42, 4.5762, 4.5762) * CHOOSE(CONTROL!$C$21, $C$9, 100%, $E$9)</f>
        <v>4.5762</v>
      </c>
      <c r="N19" s="10">
        <f>CHOOSE(CONTROL!$C$42, 4.5944, 4.5944) * CHOOSE(CONTROL!$C$21, $C$9, 100%, $E$9)</f>
        <v>4.5944000000000003</v>
      </c>
      <c r="O19" s="10">
        <f>CHOOSE(CONTROL!$C$42, 4.8005, 4.8005) * CHOOSE(CONTROL!$C$21, $C$9, 100%, $E$9)</f>
        <v>4.8005000000000004</v>
      </c>
      <c r="P19" s="10">
        <f>CHOOSE(CONTROL!$C$42, 4.5735, 4.5735) * CHOOSE(CONTROL!$C$21, $C$9, 100%, $E$9)</f>
        <v>4.5735000000000001</v>
      </c>
      <c r="Q19" s="10">
        <f>CHOOSE(CONTROL!$C$42, 5.3958, 5.3958) * CHOOSE(CONTROL!$C$21, $C$9, 100%, $E$9)</f>
        <v>5.3958000000000004</v>
      </c>
      <c r="R19" s="10">
        <f>CHOOSE(CONTROL!$C$42, 5.9962, 5.9962) * CHOOSE(CONTROL!$C$21, $C$9, 100%, $E$9)</f>
        <v>5.9962</v>
      </c>
      <c r="S19" s="10">
        <f>CHOOSE(CONTROL!$C$42, 4.4912, 4.4912) * CHOOSE(CONTROL!$C$21, $C$9, 100%, $E$9)</f>
        <v>4.4912000000000001</v>
      </c>
      <c r="T19" s="60">
        <f>((((430000*CHOOSE(CONTROL!$C$42, 0.4694, 0.4694)+(874000-430000)*CHOOSE(CONTROL!$C$42, 0.7185, 0.7185)+400000*CHOOSE(CONTROL!$C$42, 1.14, 1.14)+50000*0.98)*CHOOSE(CONTROL!$C$42, 31, 31))/1000000))+CHOOSE(CONTROL!$C$42, 0.1519, 0.1519)+CHOOSE(CONTROL!$C$42, 0.626, 0.626)</f>
        <v>32.579436000000001</v>
      </c>
      <c r="U19" s="58">
        <f>(1000*CHOOSE(CONTROL!$C$42, 695, 695)*CHOOSE(CONTROL!$C$42, 0.5599, 0.5599)*CHOOSE(CONTROL!$C$42, 31, 31))/1000000</f>
        <v>12.063045499999998</v>
      </c>
      <c r="V19" s="58">
        <f>(1000*CHOOSE(CONTROL!$C$42, 580, 580)*CHOOSE(CONTROL!$C$42, 0.275, 0.275)*CHOOSE(CONTROL!$C$42, 31, 31))/1000000</f>
        <v>4.9444999999999997</v>
      </c>
      <c r="W19" s="58">
        <f>(1000*CHOOSE(CONTROL!$C$42, 0.1146, 0.1146)*CHOOSE(CONTROL!$C$42, 200, 200)*CHOOSE(CONTROL!$C$42, 31, 31))/1000000</f>
        <v>0.71052000000000004</v>
      </c>
      <c r="X19" s="58">
        <f>31*0.1790888*145000/1000000</f>
        <v>0.80500415599999997</v>
      </c>
      <c r="Y19" s="58"/>
      <c r="Z19" s="10">
        <f>CHOOSE(CONTROL!$C$42, 4.5883, 4.5883) * CHOOSE(CONTROL!$C$21, $C$9, 100%, $E$9)</f>
        <v>4.5883000000000003</v>
      </c>
      <c r="AA19" s="62">
        <f>(31*((8.01*31500+8.07*100000)/31))/1000000</f>
        <v>1.059315</v>
      </c>
      <c r="AB19" s="51">
        <f>(B19*194.205+C19*267.466+D19*133.845+E19*213.484+F19*40+G19*25+H19*50+I19*100+J19*300)/(194.205+267.466+133.845+213.484+50+40+25+100+300)</f>
        <v>4.6858708401057401</v>
      </c>
      <c r="AC19" s="27">
        <f t="shared" si="0"/>
        <v>4.6547964028776985</v>
      </c>
    </row>
    <row r="20" spans="1:29" ht="15" x14ac:dyDescent="0.2">
      <c r="A20" s="16">
        <v>41852</v>
      </c>
      <c r="B20" s="10">
        <f>CHOOSE(CONTROL!$C$42, 4.6241, 4.6241) * CHOOSE(CONTROL!$C$21, $C$9, 100%, $E$9)</f>
        <v>4.6241000000000003</v>
      </c>
      <c r="C20" s="10">
        <f>CHOOSE(CONTROL!$C$42, 4.632, 4.632) * CHOOSE(CONTROL!$C$21, $C$9, 100%, $E$9)</f>
        <v>4.6319999999999997</v>
      </c>
      <c r="D20" s="10">
        <f>CHOOSE(CONTROL!$C$42, 4.8105, 4.8105) * CHOOSE(CONTROL!$C$21, $C$9, 100%, $E$9)</f>
        <v>4.8105000000000002</v>
      </c>
      <c r="E20" s="10">
        <f>CHOOSE(CONTROL!$C$42, 4.8416, 4.8416) * CHOOSE(CONTROL!$C$21, $C$9, 100%, $E$9)</f>
        <v>4.8415999999999997</v>
      </c>
      <c r="F20" s="10">
        <f>CHOOSE(CONTROL!$C$42, 4.6107, 4.6107)*CHOOSE(CONTROL!$C$21, $C$9, 100%, $E$9)</f>
        <v>4.6106999999999996</v>
      </c>
      <c r="G20" s="10">
        <f>CHOOSE(CONTROL!$C$42, 4.629, 4.629)*CHOOSE(CONTROL!$C$21, $C$9, 100%, $E$9)</f>
        <v>4.6289999999999996</v>
      </c>
      <c r="H20" s="10">
        <f>CHOOSE(CONTROL!$C$42, 4.8303, 4.8303) * CHOOSE(CONTROL!$C$21, $C$9, 100%, $E$9)</f>
        <v>4.8303000000000003</v>
      </c>
      <c r="I20" s="10">
        <f>CHOOSE(CONTROL!$C$42, 4.6009, 4.6009)* CHOOSE(CONTROL!$C$21, $C$9, 100%, $E$9)</f>
        <v>4.6009000000000002</v>
      </c>
      <c r="J20" s="10">
        <f>CHOOSE(CONTROL!$C$42, 4.6037, 4.6037)* CHOOSE(CONTROL!$C$21, $C$9, 100%, $E$9)</f>
        <v>4.6036999999999999</v>
      </c>
      <c r="K20" s="63"/>
      <c r="L20" s="10">
        <f>CHOOSE(CONTROL!$C$42, 5.4173, 5.4173) * CHOOSE(CONTROL!$C$21, $C$9, 100%, $E$9)</f>
        <v>5.4173</v>
      </c>
      <c r="M20" s="10">
        <f>CHOOSE(CONTROL!$C$42, 4.5711, 4.5711) * CHOOSE(CONTROL!$C$21, $C$9, 100%, $E$9)</f>
        <v>4.5711000000000004</v>
      </c>
      <c r="N20" s="10">
        <f>CHOOSE(CONTROL!$C$42, 4.5892, 4.5892) * CHOOSE(CONTROL!$C$21, $C$9, 100%, $E$9)</f>
        <v>4.5891999999999999</v>
      </c>
      <c r="O20" s="10">
        <f>CHOOSE(CONTROL!$C$42, 4.7954, 4.7954) * CHOOSE(CONTROL!$C$21, $C$9, 100%, $E$9)</f>
        <v>4.7953999999999999</v>
      </c>
      <c r="P20" s="10">
        <f>CHOOSE(CONTROL!$C$42, 4.5684, 4.5684) * CHOOSE(CONTROL!$C$21, $C$9, 100%, $E$9)</f>
        <v>4.5683999999999996</v>
      </c>
      <c r="Q20" s="10">
        <f>CHOOSE(CONTROL!$C$42, 5.3907, 5.3907) * CHOOSE(CONTROL!$C$21, $C$9, 100%, $E$9)</f>
        <v>5.3906999999999998</v>
      </c>
      <c r="R20" s="10">
        <f>CHOOSE(CONTROL!$C$42, 5.9911, 5.9911) * CHOOSE(CONTROL!$C$21, $C$9, 100%, $E$9)</f>
        <v>5.9911000000000003</v>
      </c>
      <c r="S20" s="10">
        <f>CHOOSE(CONTROL!$C$42, 4.4862, 4.4862) * CHOOSE(CONTROL!$C$21, $C$9, 100%, $E$9)</f>
        <v>4.4862000000000002</v>
      </c>
      <c r="T20" s="60">
        <f>((((430000*CHOOSE(CONTROL!$C$42, 0.4694, 0.4694)+(874000-430000)*CHOOSE(CONTROL!$C$42, 0.7185, 0.7185)+400000*CHOOSE(CONTROL!$C$42, 1.14, 1.14)+50000*0.98)*CHOOSE(CONTROL!$C$42, 31, 31))/1000000))+CHOOSE(CONTROL!$C$42, 0.1868, 0.1868)+CHOOSE(CONTROL!$C$42, 0.6257, 0.6257)</f>
        <v>32.614035999999999</v>
      </c>
      <c r="U20" s="58">
        <f>(1000*CHOOSE(CONTROL!$C$42, 695, 695)*CHOOSE(CONTROL!$C$42, 0.5599, 0.5599)*CHOOSE(CONTROL!$C$42, 31, 31))/1000000</f>
        <v>12.063045499999998</v>
      </c>
      <c r="V20" s="58">
        <f>(1000*CHOOSE(CONTROL!$C$42, 580, 580)*CHOOSE(CONTROL!$C$42, 0.275, 0.275)*CHOOSE(CONTROL!$C$42, 31, 31))/1000000</f>
        <v>4.9444999999999997</v>
      </c>
      <c r="W20" s="58">
        <f>(1000*CHOOSE(CONTROL!$C$42, 0.1146, 0.1146)*CHOOSE(CONTROL!$C$42, 200, 200)*CHOOSE(CONTROL!$C$42, 31, 31))/1000000</f>
        <v>0.71052000000000004</v>
      </c>
      <c r="X20" s="58">
        <f>31*0.1790888*145000/1000000</f>
        <v>0.80500415599999997</v>
      </c>
      <c r="Y20" s="58"/>
      <c r="Z20" s="10">
        <f>CHOOSE(CONTROL!$C$42, 4.5832, 4.5832) * CHOOSE(CONTROL!$C$21, $C$9, 100%, $E$9)</f>
        <v>4.5831999999999997</v>
      </c>
      <c r="AA20" s="62">
        <f>(31*((8.01*31500+8.07*100000)/31))/1000000</f>
        <v>1.059315</v>
      </c>
      <c r="AB20" s="51">
        <f>(B20*194.205+C20*267.466+D20*133.845+E20*213.484+F20*40+G20*25+H20*50+I20*100+J20*300)/(194.205+267.466+133.845+213.484+50+40+25+100+300)</f>
        <v>4.6807094859516614</v>
      </c>
      <c r="AC20" s="27">
        <f t="shared" si="0"/>
        <v>4.6496791366906471</v>
      </c>
    </row>
    <row r="21" spans="1:29" ht="15" x14ac:dyDescent="0.2">
      <c r="A21" s="16">
        <v>41883</v>
      </c>
      <c r="B21" s="10">
        <f>CHOOSE(CONTROL!$C$42, 4.6024, 4.6024) * CHOOSE(CONTROL!$C$21, $C$9, 100%, $E$9)</f>
        <v>4.6024000000000003</v>
      </c>
      <c r="C21" s="10">
        <f>CHOOSE(CONTROL!$C$42, 4.6104, 4.6104) * CHOOSE(CONTROL!$C$21, $C$9, 100%, $E$9)</f>
        <v>4.6104000000000003</v>
      </c>
      <c r="D21" s="10">
        <f>CHOOSE(CONTROL!$C$42, 4.7889, 4.7889) * CHOOSE(CONTROL!$C$21, $C$9, 100%, $E$9)</f>
        <v>4.7888999999999999</v>
      </c>
      <c r="E21" s="10">
        <f>CHOOSE(CONTROL!$C$42, 4.82, 4.82) * CHOOSE(CONTROL!$C$21, $C$9, 100%, $E$9)</f>
        <v>4.82</v>
      </c>
      <c r="F21" s="10">
        <f>CHOOSE(CONTROL!$C$42, 4.5888, 4.5888)*CHOOSE(CONTROL!$C$21, $C$9, 100%, $E$9)</f>
        <v>4.5888</v>
      </c>
      <c r="G21" s="10">
        <f>CHOOSE(CONTROL!$C$42, 4.607, 4.607)*CHOOSE(CONTROL!$C$21, $C$9, 100%, $E$9)</f>
        <v>4.6070000000000002</v>
      </c>
      <c r="H21" s="10">
        <f>CHOOSE(CONTROL!$C$42, 4.8087, 4.8087) * CHOOSE(CONTROL!$C$21, $C$9, 100%, $E$9)</f>
        <v>4.8087</v>
      </c>
      <c r="I21" s="10">
        <f>CHOOSE(CONTROL!$C$42, 4.5793, 4.5793)* CHOOSE(CONTROL!$C$21, $C$9, 100%, $E$9)</f>
        <v>4.5792999999999999</v>
      </c>
      <c r="J21" s="10">
        <f>CHOOSE(CONTROL!$C$42, 4.5818, 4.5818)* CHOOSE(CONTROL!$C$21, $C$9, 100%, $E$9)</f>
        <v>4.5818000000000003</v>
      </c>
      <c r="K21" s="63"/>
      <c r="L21" s="10">
        <f>CHOOSE(CONTROL!$C$42, 5.3957, 5.3957) * CHOOSE(CONTROL!$C$21, $C$9, 100%, $E$9)</f>
        <v>5.3956999999999997</v>
      </c>
      <c r="M21" s="10">
        <f>CHOOSE(CONTROL!$C$42, 4.5494, 4.5494) * CHOOSE(CONTROL!$C$21, $C$9, 100%, $E$9)</f>
        <v>4.5494000000000003</v>
      </c>
      <c r="N21" s="10">
        <f>CHOOSE(CONTROL!$C$42, 4.5674, 4.5674) * CHOOSE(CONTROL!$C$21, $C$9, 100%, $E$9)</f>
        <v>4.5674000000000001</v>
      </c>
      <c r="O21" s="10">
        <f>CHOOSE(CONTROL!$C$42, 4.774, 4.774) * CHOOSE(CONTROL!$C$21, $C$9, 100%, $E$9)</f>
        <v>4.774</v>
      </c>
      <c r="P21" s="10">
        <f>CHOOSE(CONTROL!$C$42, 4.547, 4.547) * CHOOSE(CONTROL!$C$21, $C$9, 100%, $E$9)</f>
        <v>4.5469999999999997</v>
      </c>
      <c r="Q21" s="10">
        <f>CHOOSE(CONTROL!$C$42, 5.3693, 5.3693) * CHOOSE(CONTROL!$C$21, $C$9, 100%, $E$9)</f>
        <v>5.3693</v>
      </c>
      <c r="R21" s="10">
        <f>CHOOSE(CONTROL!$C$42, 5.9697, 5.9697) * CHOOSE(CONTROL!$C$21, $C$9, 100%, $E$9)</f>
        <v>5.9696999999999996</v>
      </c>
      <c r="S21" s="10">
        <f>CHOOSE(CONTROL!$C$42, 4.4652, 4.4652) * CHOOSE(CONTROL!$C$21, $C$9, 100%, $E$9)</f>
        <v>4.4652000000000003</v>
      </c>
      <c r="T21" s="60">
        <f>((((430000*CHOOSE(CONTROL!$C$42, 0.4694, 0.4694)+(874000-430000)*CHOOSE(CONTROL!$C$42, 0.7185, 0.7185)+400000*CHOOSE(CONTROL!$C$42, 1.14, 1.14)+50000*0.98)*CHOOSE(CONTROL!$C$42, 30, 30))/1000000))+CHOOSE(CONTROL!$C$42, 0.1677, 0.1677)+CHOOSE(CONTROL!$C$42, 0.1997, 0.1997)</f>
        <v>31.143080000000001</v>
      </c>
      <c r="U21" s="58">
        <f>(1000*CHOOSE(CONTROL!$C$42, 695, 695)*CHOOSE(CONTROL!$C$42, 0.5599, 0.5599)*CHOOSE(CONTROL!$C$42, 30, 30))/1000000</f>
        <v>11.673914999999997</v>
      </c>
      <c r="V21" s="58">
        <f>(1000*CHOOSE(CONTROL!$C$42, 580, 580)*CHOOSE(CONTROL!$C$42, 0.275, 0.275)*CHOOSE(CONTROL!$C$42, 30, 30))/1000000</f>
        <v>4.7850000000000001</v>
      </c>
      <c r="W21" s="58">
        <f>(1000*CHOOSE(CONTROL!$C$42, 0.1146, 0.1146)*CHOOSE(CONTROL!$C$42, 200, 200)*CHOOSE(CONTROL!$C$42, 30, 30))/1000000</f>
        <v>0.68759999999999999</v>
      </c>
      <c r="X21" s="58">
        <f>30*0.1790888*145000/1000000</f>
        <v>0.77903627999999991</v>
      </c>
      <c r="Y21" s="58"/>
      <c r="Z21" s="10">
        <f>CHOOSE(CONTROL!$C$42, 4.5617, 4.5617) * CHOOSE(CONTROL!$C$21, $C$9, 100%, $E$9)</f>
        <v>4.5617000000000001</v>
      </c>
      <c r="AA21" s="62">
        <f>(30*((8.01*31500+8.07*100000)/30))/1000000</f>
        <v>1.059315</v>
      </c>
      <c r="AB21" s="51">
        <f>(B21*194.205+C21*267.466+D21*133.845+E21*213.484+F21*40+G21*25+H21*50+I21*100+J21*300)/(194.205+267.466+133.845+213.484+50+40+25+100+300)</f>
        <v>4.6590102257552877</v>
      </c>
      <c r="AC21" s="27">
        <f t="shared" si="0"/>
        <v>4.628106474820143</v>
      </c>
    </row>
    <row r="22" spans="1:29" ht="15" x14ac:dyDescent="0.2">
      <c r="A22" s="16">
        <v>41913</v>
      </c>
      <c r="B22" s="10">
        <f>CHOOSE(CONTROL!$C$42, 4.6157, 4.6157) * CHOOSE(CONTROL!$C$21, $C$9, 100%, $E$9)</f>
        <v>4.6157000000000004</v>
      </c>
      <c r="C22" s="10">
        <f>CHOOSE(CONTROL!$C$42, 4.6209, 4.6209) * CHOOSE(CONTROL!$C$21, $C$9, 100%, $E$9)</f>
        <v>4.6208999999999998</v>
      </c>
      <c r="D22" s="10">
        <f>CHOOSE(CONTROL!$C$42, 4.8044, 4.8044) * CHOOSE(CONTROL!$C$21, $C$9, 100%, $E$9)</f>
        <v>4.8044000000000002</v>
      </c>
      <c r="E22" s="10">
        <f>CHOOSE(CONTROL!$C$42, 4.8332, 4.8332) * CHOOSE(CONTROL!$C$21, $C$9, 100%, $E$9)</f>
        <v>4.8331999999999997</v>
      </c>
      <c r="F22" s="10">
        <f>CHOOSE(CONTROL!$C$42, 4.6041, 4.6041)*CHOOSE(CONTROL!$C$21, $C$9, 100%, $E$9)</f>
        <v>4.6040999999999999</v>
      </c>
      <c r="G22" s="10">
        <f>CHOOSE(CONTROL!$C$42, 4.6219, 4.6219)*CHOOSE(CONTROL!$C$21, $C$9, 100%, $E$9)</f>
        <v>4.6219000000000001</v>
      </c>
      <c r="H22" s="10">
        <f>CHOOSE(CONTROL!$C$42, 4.8237, 4.8237) * CHOOSE(CONTROL!$C$21, $C$9, 100%, $E$9)</f>
        <v>4.8236999999999997</v>
      </c>
      <c r="I22" s="10">
        <f>CHOOSE(CONTROL!$C$42, 4.5944, 4.5944)* CHOOSE(CONTROL!$C$21, $C$9, 100%, $E$9)</f>
        <v>4.5944000000000003</v>
      </c>
      <c r="J22" s="10">
        <f>CHOOSE(CONTROL!$C$42, 4.5971, 4.5971)* CHOOSE(CONTROL!$C$21, $C$9, 100%, $E$9)</f>
        <v>4.5971000000000002</v>
      </c>
      <c r="K22" s="63"/>
      <c r="L22" s="10">
        <f>CHOOSE(CONTROL!$C$42, 5.4107, 5.4107) * CHOOSE(CONTROL!$C$21, $C$9, 100%, $E$9)</f>
        <v>5.4107000000000003</v>
      </c>
      <c r="M22" s="10">
        <f>CHOOSE(CONTROL!$C$42, 4.5645, 4.5645) * CHOOSE(CONTROL!$C$21, $C$9, 100%, $E$9)</f>
        <v>4.5644999999999998</v>
      </c>
      <c r="N22" s="10">
        <f>CHOOSE(CONTROL!$C$42, 4.5822, 4.5822) * CHOOSE(CONTROL!$C$21, $C$9, 100%, $E$9)</f>
        <v>4.5822000000000003</v>
      </c>
      <c r="O22" s="10">
        <f>CHOOSE(CONTROL!$C$42, 4.7889, 4.7889) * CHOOSE(CONTROL!$C$21, $C$9, 100%, $E$9)</f>
        <v>4.7888999999999999</v>
      </c>
      <c r="P22" s="10">
        <f>CHOOSE(CONTROL!$C$42, 4.5619, 4.5619) * CHOOSE(CONTROL!$C$21, $C$9, 100%, $E$9)</f>
        <v>4.5618999999999996</v>
      </c>
      <c r="Q22" s="10">
        <f>CHOOSE(CONTROL!$C$42, 5.3842, 5.3842) * CHOOSE(CONTROL!$C$21, $C$9, 100%, $E$9)</f>
        <v>5.3841999999999999</v>
      </c>
      <c r="R22" s="10">
        <f>CHOOSE(CONTROL!$C$42, 5.9846, 5.9846) * CHOOSE(CONTROL!$C$21, $C$9, 100%, $E$9)</f>
        <v>5.9846000000000004</v>
      </c>
      <c r="S22" s="10">
        <f>CHOOSE(CONTROL!$C$42, 4.4798, 4.4798) * CHOOSE(CONTROL!$C$21, $C$9, 100%, $E$9)</f>
        <v>4.4798</v>
      </c>
      <c r="T22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2" s="58">
        <f>(1000*CHOOSE(CONTROL!$C$42, 695, 695)*CHOOSE(CONTROL!$C$42, 0.5599, 0.5599)*CHOOSE(CONTROL!$C$42, 31, 31))/1000000</f>
        <v>12.063045499999998</v>
      </c>
      <c r="V22" s="58">
        <f>(1000*CHOOSE(CONTROL!$C$42, 580, 580)*CHOOSE(CONTROL!$C$42, 0.275, 0.275)*CHOOSE(CONTROL!$C$42, 31, 31))/1000000</f>
        <v>4.9444999999999997</v>
      </c>
      <c r="W22" s="58">
        <f>(1000*CHOOSE(CONTROL!$C$42, 0.1146, 0.1146)*CHOOSE(CONTROL!$C$42, 200, 200)*CHOOSE(CONTROL!$C$42, 31, 31))/1000000</f>
        <v>0.71052000000000004</v>
      </c>
      <c r="X22" s="58">
        <f>31*0.1790888*145000/1000000</f>
        <v>0.80500415599999997</v>
      </c>
      <c r="Y22" s="58"/>
      <c r="Z22" s="10">
        <f>CHOOSE(CONTROL!$C$42, 4.5766, 4.5766) * CHOOSE(CONTROL!$C$21, $C$9, 100%, $E$9)</f>
        <v>4.5766</v>
      </c>
      <c r="AA22" s="62">
        <f>(31*((8.01*31500+8.07*100000)/31))/1000000</f>
        <v>1.059315</v>
      </c>
      <c r="AB22" s="51">
        <f>(B22*131.881+C22*277.167+D22*79.08+E22*285.872+F22*40+G22*25+H22*0+I22*100+J22*300)/(131.881+277.167+79.08+285.872+0+40+25+100+300)</f>
        <v>4.6726183409200974</v>
      </c>
      <c r="AC22" s="27">
        <f t="shared" si="0"/>
        <v>4.6430582733812944</v>
      </c>
    </row>
    <row r="23" spans="1:29" ht="15" x14ac:dyDescent="0.2">
      <c r="A23" s="16">
        <v>41944</v>
      </c>
      <c r="B23" s="10">
        <f>CHOOSE(CONTROL!$C$42, 4.6668, 4.6668) * CHOOSE(CONTROL!$C$21, $C$9, 100%, $E$9)</f>
        <v>4.6668000000000003</v>
      </c>
      <c r="C23" s="10">
        <f>CHOOSE(CONTROL!$C$42, 4.6718, 4.6718) * CHOOSE(CONTROL!$C$21, $C$9, 100%, $E$9)</f>
        <v>4.6718000000000002</v>
      </c>
      <c r="D23" s="10">
        <f>CHOOSE(CONTROL!$C$42, 4.7014, 4.7014) * CHOOSE(CONTROL!$C$21, $C$9, 100%, $E$9)</f>
        <v>4.7013999999999996</v>
      </c>
      <c r="E23" s="10">
        <f>CHOOSE(CONTROL!$C$42, 4.7351, 4.7351) * CHOOSE(CONTROL!$C$21, $C$9, 100%, $E$9)</f>
        <v>4.7351000000000001</v>
      </c>
      <c r="F23" s="10">
        <f>CHOOSE(CONTROL!$C$42, 4.6526, 4.6526)*CHOOSE(CONTROL!$C$21, $C$9, 100%, $E$9)</f>
        <v>4.6525999999999996</v>
      </c>
      <c r="G23" s="10">
        <f>CHOOSE(CONTROL!$C$42, 4.6706, 4.6706)*CHOOSE(CONTROL!$C$21, $C$9, 100%, $E$9)</f>
        <v>4.6706000000000003</v>
      </c>
      <c r="H23" s="10">
        <f>CHOOSE(CONTROL!$C$42, 4.7243, 4.7243) * CHOOSE(CONTROL!$C$21, $C$9, 100%, $E$9)</f>
        <v>4.7243000000000004</v>
      </c>
      <c r="I23" s="10">
        <f>CHOOSE(CONTROL!$C$42, 4.633, 4.633)* CHOOSE(CONTROL!$C$21, $C$9, 100%, $E$9)</f>
        <v>4.633</v>
      </c>
      <c r="J23" s="10">
        <f>CHOOSE(CONTROL!$C$42, 4.6456, 4.6456)* CHOOSE(CONTROL!$C$21, $C$9, 100%, $E$9)</f>
        <v>4.6456</v>
      </c>
      <c r="K23" s="63"/>
      <c r="L23" s="10">
        <f>CHOOSE(CONTROL!$C$42, 5.3113, 5.3113) * CHOOSE(CONTROL!$C$21, $C$9, 100%, $E$9)</f>
        <v>5.3113000000000001</v>
      </c>
      <c r="M23" s="10">
        <f>CHOOSE(CONTROL!$C$42, 4.6125, 4.6125) * CHOOSE(CONTROL!$C$21, $C$9, 100%, $E$9)</f>
        <v>4.6124999999999998</v>
      </c>
      <c r="N23" s="10">
        <f>CHOOSE(CONTROL!$C$42, 4.6304, 4.6304) * CHOOSE(CONTROL!$C$21, $C$9, 100%, $E$9)</f>
        <v>4.6303999999999998</v>
      </c>
      <c r="O23" s="10">
        <f>CHOOSE(CONTROL!$C$42, 4.6905, 4.6905) * CHOOSE(CONTROL!$C$21, $C$9, 100%, $E$9)</f>
        <v>4.6905000000000001</v>
      </c>
      <c r="P23" s="10">
        <f>CHOOSE(CONTROL!$C$42, 4.6001, 4.6001) * CHOOSE(CONTROL!$C$21, $C$9, 100%, $E$9)</f>
        <v>4.6001000000000003</v>
      </c>
      <c r="Q23" s="10">
        <f>CHOOSE(CONTROL!$C$42, 5.2858, 5.2858) * CHOOSE(CONTROL!$C$21, $C$9, 100%, $E$9)</f>
        <v>5.2858000000000001</v>
      </c>
      <c r="R23" s="10">
        <f>CHOOSE(CONTROL!$C$42, 5.886, 5.886) * CHOOSE(CONTROL!$C$21, $C$9, 100%, $E$9)</f>
        <v>5.8860000000000001</v>
      </c>
      <c r="S23" s="10">
        <f>CHOOSE(CONTROL!$C$42, 4.5298, 4.5298) * CHOOSE(CONTROL!$C$21, $C$9, 100%, $E$9)</f>
        <v>4.5297999999999998</v>
      </c>
      <c r="T23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3" s="58">
        <f>(1000*CHOOSE(CONTROL!$C$42, 695, 695)*CHOOSE(CONTROL!$C$42, 0.5599, 0.5599)*CHOOSE(CONTROL!$C$42, 30, 30))/1000000</f>
        <v>11.673914999999997</v>
      </c>
      <c r="V23" s="58">
        <f>(1000*CHOOSE(CONTROL!$C$42, 580, 580)*CHOOSE(CONTROL!$C$42, 0.275, 0.275)*CHOOSE(CONTROL!$C$42, 30, 30))/1000000</f>
        <v>4.7850000000000001</v>
      </c>
      <c r="W23" s="58">
        <f>(1000*CHOOSE(CONTROL!$C$42, 0.1146, 0.1146)*CHOOSE(CONTROL!$C$42, 200, 200)*CHOOSE(CONTROL!$C$42, 30, 30))/1000000</f>
        <v>0.68759999999999999</v>
      </c>
      <c r="X23" s="58">
        <v>0</v>
      </c>
      <c r="Y23" s="58"/>
      <c r="Z23" s="10">
        <f>CHOOSE(CONTROL!$C$42, 4.6161, 4.6161) * CHOOSE(CONTROL!$C$21, $C$9, 100%, $E$9)</f>
        <v>4.6161000000000003</v>
      </c>
      <c r="AA23" s="62">
        <f>(30*((8.01*31500+8.07*100000)/30))/1000000</f>
        <v>1.059315</v>
      </c>
      <c r="AB23" s="51">
        <f>(B23*122.58+C23*297.941+D23*89.177+E23*200.302+F23*40+G23*0+H23*0+I23*100+J23*300)/(122.58+297.941+89.177+200.302+0+40+0+100+300)</f>
        <v>4.6737111789565216</v>
      </c>
      <c r="AC23" s="27">
        <f>(M23*240+N23*0+O23*355+P23*100)/(240+0+355+100)</f>
        <v>4.6505575539568351</v>
      </c>
    </row>
    <row r="24" spans="1:29" ht="15" x14ac:dyDescent="0.2">
      <c r="A24" s="16">
        <v>41974</v>
      </c>
      <c r="B24" s="10">
        <f>CHOOSE(CONTROL!$C$42, 4.7873, 4.7873) * CHOOSE(CONTROL!$C$21, $C$9, 100%, $E$9)</f>
        <v>4.7873000000000001</v>
      </c>
      <c r="C24" s="10">
        <f>CHOOSE(CONTROL!$C$42, 4.7922, 4.7922) * CHOOSE(CONTROL!$C$21, $C$9, 100%, $E$9)</f>
        <v>4.7922000000000002</v>
      </c>
      <c r="D24" s="10">
        <f>CHOOSE(CONTROL!$C$42, 4.8218, 4.8218) * CHOOSE(CONTROL!$C$21, $C$9, 100%, $E$9)</f>
        <v>4.8217999999999996</v>
      </c>
      <c r="E24" s="10">
        <f>CHOOSE(CONTROL!$C$42, 4.8556, 4.8556) * CHOOSE(CONTROL!$C$21, $C$9, 100%, $E$9)</f>
        <v>4.8555999999999999</v>
      </c>
      <c r="F24" s="10">
        <f>CHOOSE(CONTROL!$C$42, 4.7746, 4.7746)*CHOOSE(CONTROL!$C$21, $C$9, 100%, $E$9)</f>
        <v>4.7746000000000004</v>
      </c>
      <c r="G24" s="10">
        <f>CHOOSE(CONTROL!$C$42, 4.793, 4.793)*CHOOSE(CONTROL!$C$21, $C$9, 100%, $E$9)</f>
        <v>4.7930000000000001</v>
      </c>
      <c r="H24" s="10">
        <f>CHOOSE(CONTROL!$C$42, 4.8448, 4.8448) * CHOOSE(CONTROL!$C$21, $C$9, 100%, $E$9)</f>
        <v>4.8448000000000002</v>
      </c>
      <c r="I24" s="10">
        <f>CHOOSE(CONTROL!$C$42, 4.7535, 4.7535)* CHOOSE(CONTROL!$C$21, $C$9, 100%, $E$9)</f>
        <v>4.7534999999999998</v>
      </c>
      <c r="J24" s="10">
        <f>CHOOSE(CONTROL!$C$42, 4.7676, 4.7676)* CHOOSE(CONTROL!$C$21, $C$9, 100%, $E$9)</f>
        <v>4.7675999999999998</v>
      </c>
      <c r="K24" s="63"/>
      <c r="L24" s="10">
        <f>CHOOSE(CONTROL!$C$42, 5.4318, 5.4318) * CHOOSE(CONTROL!$C$21, $C$9, 100%, $E$9)</f>
        <v>5.4318</v>
      </c>
      <c r="M24" s="10">
        <f>CHOOSE(CONTROL!$C$42, 4.7333, 4.7333) * CHOOSE(CONTROL!$C$21, $C$9, 100%, $E$9)</f>
        <v>4.7332999999999998</v>
      </c>
      <c r="N24" s="10">
        <f>CHOOSE(CONTROL!$C$42, 4.7516, 4.7516) * CHOOSE(CONTROL!$C$21, $C$9, 100%, $E$9)</f>
        <v>4.7515999999999998</v>
      </c>
      <c r="O24" s="10">
        <f>CHOOSE(CONTROL!$C$42, 4.8098, 4.8098) * CHOOSE(CONTROL!$C$21, $C$9, 100%, $E$9)</f>
        <v>4.8098000000000001</v>
      </c>
      <c r="P24" s="10">
        <f>CHOOSE(CONTROL!$C$42, 4.7194, 4.7194) * CHOOSE(CONTROL!$C$21, $C$9, 100%, $E$9)</f>
        <v>4.7194000000000003</v>
      </c>
      <c r="Q24" s="10">
        <f>CHOOSE(CONTROL!$C$42, 5.4051, 5.4051) * CHOOSE(CONTROL!$C$21, $C$9, 100%, $E$9)</f>
        <v>5.4051</v>
      </c>
      <c r="R24" s="10">
        <f>CHOOSE(CONTROL!$C$42, 6.0056, 6.0056) * CHOOSE(CONTROL!$C$21, $C$9, 100%, $E$9)</f>
        <v>6.0056000000000003</v>
      </c>
      <c r="S24" s="10">
        <f>CHOOSE(CONTROL!$C$42, 4.6468, 4.6468) * CHOOSE(CONTROL!$C$21, $C$9, 100%, $E$9)</f>
        <v>4.6467999999999998</v>
      </c>
      <c r="T24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24" s="58">
        <f>(1000*CHOOSE(CONTROL!$C$42, 695, 695)*CHOOSE(CONTROL!$C$42, 0.5599, 0.5599)*CHOOSE(CONTROL!$C$42, 31, 31))/1000000</f>
        <v>12.063045499999998</v>
      </c>
      <c r="V24" s="58">
        <f>(1000*CHOOSE(CONTROL!$C$42, 580, 580)*CHOOSE(CONTROL!$C$42, 0.275, 0.275)*CHOOSE(CONTROL!$C$42, 31, 31))/1000000</f>
        <v>4.9444999999999997</v>
      </c>
      <c r="W24" s="58">
        <f>(1000*CHOOSE(CONTROL!$C$42, 0.1146, 0.1146)*CHOOSE(CONTROL!$C$42, 200, 200)*CHOOSE(CONTROL!$C$42, 31, 31))/1000000</f>
        <v>0.71052000000000004</v>
      </c>
      <c r="X24" s="58">
        <v>0</v>
      </c>
      <c r="Y24" s="58"/>
      <c r="Z24" s="10">
        <f>CHOOSE(CONTROL!$C$42, 4.7358, 4.7358) * CHOOSE(CONTROL!$C$21, $C$9, 100%, $E$9)</f>
        <v>4.7358000000000002</v>
      </c>
      <c r="AA24" s="62">
        <f>(31*((8.01*31500+8.07*100000)/31))/1000000</f>
        <v>1.059315</v>
      </c>
      <c r="AB24" s="51">
        <f>(B24*122.58+C24*297.941+D24*89.177+E24*200.302+F24*40+G24*0+H24*0+I24*100+J24*300)/(122.58+297.941+89.177+200.302+0+40+0+100+300)</f>
        <v>4.7946209947826084</v>
      </c>
      <c r="AC24" s="27">
        <f>(M24*240+N24*0+O24*355+P24*100)/(240+0+355+100)</f>
        <v>4.7703755395683451</v>
      </c>
    </row>
    <row r="25" spans="1:29" ht="15.75" x14ac:dyDescent="0.25">
      <c r="A25" s="16">
        <v>42005</v>
      </c>
      <c r="B25" s="10">
        <f>CHOOSE(CONTROL!$C$42, 4.8882, 4.8882) * CHOOSE(CONTROL!$C$21, $C$9, 100%, $E$9)</f>
        <v>4.8882000000000003</v>
      </c>
      <c r="C25" s="10">
        <f>CHOOSE(CONTROL!$C$42, 4.8932, 4.8932) * CHOOSE(CONTROL!$C$21, $C$9, 100%, $E$9)</f>
        <v>4.8932000000000002</v>
      </c>
      <c r="D25" s="10">
        <f>CHOOSE(CONTROL!$C$42, 4.9434, 4.9434) * CHOOSE(CONTROL!$C$21, $C$9, 100%, $E$9)</f>
        <v>4.9433999999999996</v>
      </c>
      <c r="E25" s="10">
        <f>CHOOSE(CONTROL!$C$42, 4.9771, 4.9771) * CHOOSE(CONTROL!$C$21, $C$9, 100%, $E$9)</f>
        <v>4.9771000000000001</v>
      </c>
      <c r="F25" s="10">
        <f>CHOOSE(CONTROL!$C$42, 4.8536, 4.8536)*CHOOSE(CONTROL!$C$21, $C$9, 100%, $E$9)</f>
        <v>4.8536000000000001</v>
      </c>
      <c r="G25" s="10">
        <f>CHOOSE(CONTROL!$C$42, 4.8711, 4.8711)*CHOOSE(CONTROL!$C$21, $C$9, 100%, $E$9)</f>
        <v>4.8711000000000002</v>
      </c>
      <c r="H25" s="10">
        <f>CHOOSE(CONTROL!$C$42, 4.9663, 4.9663) * CHOOSE(CONTROL!$C$21, $C$9, 100%, $E$9)</f>
        <v>4.9663000000000004</v>
      </c>
      <c r="I25" s="10">
        <f>CHOOSE(CONTROL!$C$42, 4.8621, 4.8621)* CHOOSE(CONTROL!$C$21, $C$9, 100%, $E$9)</f>
        <v>4.8620999999999999</v>
      </c>
      <c r="J25" s="10">
        <f>CHOOSE(CONTROL!$C$42, 4.8466, 4.8466)* CHOOSE(CONTROL!$C$21, $C$9, 100%, $E$9)</f>
        <v>4.8465999999999996</v>
      </c>
      <c r="K25" s="54"/>
      <c r="L25" s="10">
        <f>CHOOSE(CONTROL!$C$42, 5.5533, 5.5533) * CHOOSE(CONTROL!$C$21, $C$9, 100%, $E$9)</f>
        <v>5.5533000000000001</v>
      </c>
      <c r="M25" s="10">
        <f>CHOOSE(CONTROL!$C$42, 4.8115, 4.8115) * CHOOSE(CONTROL!$C$21, $C$9, 100%, $E$9)</f>
        <v>4.8114999999999997</v>
      </c>
      <c r="N25" s="10">
        <f>CHOOSE(CONTROL!$C$42, 4.8289, 4.8289) * CHOOSE(CONTROL!$C$21, $C$9, 100%, $E$9)</f>
        <v>4.8289</v>
      </c>
      <c r="O25" s="10">
        <f>CHOOSE(CONTROL!$C$42, 4.93, 4.93) * CHOOSE(CONTROL!$C$21, $C$9, 100%, $E$9)</f>
        <v>4.93</v>
      </c>
      <c r="P25" s="10">
        <f>CHOOSE(CONTROL!$C$42, 4.8269, 4.8269) * CHOOSE(CONTROL!$C$21, $C$9, 100%, $E$9)</f>
        <v>4.8269000000000002</v>
      </c>
      <c r="Q25" s="10">
        <f>CHOOSE(CONTROL!$C$42, 5.5253, 5.5253) * CHOOSE(CONTROL!$C$21, $C$9, 100%, $E$9)</f>
        <v>5.5252999999999997</v>
      </c>
      <c r="R25" s="10">
        <f>CHOOSE(CONTROL!$C$42, 6.1262, 6.1262) * CHOOSE(CONTROL!$C$21, $C$9, 100%, $E$9)</f>
        <v>6.1261999999999999</v>
      </c>
      <c r="S25" s="10">
        <f>CHOOSE(CONTROL!$C$42, 4.7448, 4.7448) * CHOOSE(CONTROL!$C$21, $C$9, 100%, $E$9)</f>
        <v>4.7447999999999997</v>
      </c>
      <c r="T25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5" s="58">
        <f>(1000*CHOOSE(CONTROL!$C$42, 695, 695)*CHOOSE(CONTROL!$C$42, 0.5599, 0.5599)*CHOOSE(CONTROL!$C$42, 31, 31))/1000000</f>
        <v>12.063045499999998</v>
      </c>
      <c r="V25" s="58">
        <f>(1000*CHOOSE(CONTROL!$C$42, 580, 580)*CHOOSE(CONTROL!$C$42, 0.275, 0.275)*CHOOSE(CONTROL!$C$42, 31, 31))/1000000</f>
        <v>4.9444999999999997</v>
      </c>
      <c r="W25" s="58">
        <f>(1000*CHOOSE(CONTROL!$C$42, 0.1146, 0.1146)*CHOOSE(CONTROL!$C$42, 200, 200)*CHOOSE(CONTROL!$C$42, 31, 31))/1000000</f>
        <v>0.71052000000000004</v>
      </c>
      <c r="X25" s="58">
        <v>0</v>
      </c>
      <c r="Y25" s="58"/>
      <c r="Z25" s="10">
        <f>CHOOSE(CONTROL!$C$42, 4.8417, 4.8417) * CHOOSE(CONTROL!$C$21, $C$9, 100%, $E$9)</f>
        <v>4.8417000000000003</v>
      </c>
      <c r="AA25" s="62">
        <f>(31*((8.01*31500+8.07*100000)/31))/1000000</f>
        <v>1.059315</v>
      </c>
      <c r="AB25" s="51">
        <f>(B25*122.58+C25*297.941+D25*89.177+E25*200.302+F25*40+G25*0+H25*0+I25*100+J25*300)/(122.58+297.941+89.177+200.302+0+40+0+100+300)</f>
        <v>4.8949348897391305</v>
      </c>
      <c r="AC25" s="27">
        <f>(M25*240+N25*0+O25*355+P25*100)/(240+0+355+100)</f>
        <v>4.874244604316547</v>
      </c>
    </row>
    <row r="26" spans="1:29" ht="15.75" x14ac:dyDescent="0.25">
      <c r="A26" s="16">
        <v>42036</v>
      </c>
      <c r="B26" s="10">
        <f>CHOOSE(CONTROL!$C$42, 4.8264, 4.8264) * CHOOSE(CONTROL!$C$21, $C$9, 100%, $E$9)</f>
        <v>4.8263999999999996</v>
      </c>
      <c r="C26" s="10">
        <f>CHOOSE(CONTROL!$C$42, 4.8314, 4.8314) * CHOOSE(CONTROL!$C$21, $C$9, 100%, $E$9)</f>
        <v>4.8314000000000004</v>
      </c>
      <c r="D26" s="10">
        <f>CHOOSE(CONTROL!$C$42, 4.9485, 4.9485) * CHOOSE(CONTROL!$C$21, $C$9, 100%, $E$9)</f>
        <v>4.9485000000000001</v>
      </c>
      <c r="E26" s="10">
        <f>CHOOSE(CONTROL!$C$42, 4.9823, 4.9823) * CHOOSE(CONTROL!$C$21, $C$9, 100%, $E$9)</f>
        <v>4.9823000000000004</v>
      </c>
      <c r="F26" s="10">
        <f>CHOOSE(CONTROL!$C$42, 4.904, 4.904)*CHOOSE(CONTROL!$C$21, $C$9, 100%, $E$9)</f>
        <v>4.9039999999999999</v>
      </c>
      <c r="G26" s="10">
        <f>CHOOSE(CONTROL!$C$42, 4.9259, 4.9259)*CHOOSE(CONTROL!$C$21, $C$9, 100%, $E$9)</f>
        <v>4.9259000000000004</v>
      </c>
      <c r="H26" s="10">
        <f>CHOOSE(CONTROL!$C$42, 4.9715, 4.9715) * CHOOSE(CONTROL!$C$21, $C$9, 100%, $E$9)</f>
        <v>4.9714999999999998</v>
      </c>
      <c r="I26" s="10">
        <f>CHOOSE(CONTROL!$C$42, 4.8621, 4.8621)* CHOOSE(CONTROL!$C$21, $C$9, 100%, $E$9)</f>
        <v>4.8620999999999999</v>
      </c>
      <c r="J26" s="10">
        <f>CHOOSE(CONTROL!$C$42, 4.897, 4.897)* CHOOSE(CONTROL!$C$21, $C$9, 100%, $E$9)</f>
        <v>4.8970000000000002</v>
      </c>
      <c r="K26" s="54"/>
      <c r="L26" s="10">
        <f>CHOOSE(CONTROL!$C$42, 5.5585, 5.5585) * CHOOSE(CONTROL!$C$21, $C$9, 100%, $E$9)</f>
        <v>5.5585000000000004</v>
      </c>
      <c r="M26" s="10">
        <f>CHOOSE(CONTROL!$C$42, 4.8614, 4.8614) * CHOOSE(CONTROL!$C$21, $C$9, 100%, $E$9)</f>
        <v>4.8613999999999997</v>
      </c>
      <c r="N26" s="10">
        <f>CHOOSE(CONTROL!$C$42, 4.8831, 4.8831) * CHOOSE(CONTROL!$C$21, $C$9, 100%, $E$9)</f>
        <v>4.8830999999999998</v>
      </c>
      <c r="O26" s="10">
        <f>CHOOSE(CONTROL!$C$42, 4.9351, 4.9351) * CHOOSE(CONTROL!$C$21, $C$9, 100%, $E$9)</f>
        <v>4.9351000000000003</v>
      </c>
      <c r="P26" s="10">
        <f>CHOOSE(CONTROL!$C$42, 4.8269, 4.8269) * CHOOSE(CONTROL!$C$21, $C$9, 100%, $E$9)</f>
        <v>4.8269000000000002</v>
      </c>
      <c r="Q26" s="10">
        <f>CHOOSE(CONTROL!$C$42, 5.5304, 5.5304) * CHOOSE(CONTROL!$C$21, $C$9, 100%, $E$9)</f>
        <v>5.5304000000000002</v>
      </c>
      <c r="R26" s="10">
        <f>CHOOSE(CONTROL!$C$42, 6.1313, 6.1313) * CHOOSE(CONTROL!$C$21, $C$9, 100%, $E$9)</f>
        <v>6.1313000000000004</v>
      </c>
      <c r="S26" s="10">
        <f>CHOOSE(CONTROL!$C$42, 4.6848, 4.6848) * CHOOSE(CONTROL!$C$21, $C$9, 100%, $E$9)</f>
        <v>4.6848000000000001</v>
      </c>
      <c r="T26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26" s="58">
        <f>(1000*CHOOSE(CONTROL!$C$42, 695, 695)*CHOOSE(CONTROL!$C$42, 0.5599, 0.5599)*CHOOSE(CONTROL!$C$42, 28, 28))/1000000</f>
        <v>10.895653999999999</v>
      </c>
      <c r="V26" s="58">
        <f>(1000*CHOOSE(CONTROL!$C$42, 580, 580)*CHOOSE(CONTROL!$C$42, 0.275, 0.275)*CHOOSE(CONTROL!$C$42, 28, 28))/1000000</f>
        <v>4.4660000000000002</v>
      </c>
      <c r="W26" s="58">
        <f>(1000*CHOOSE(CONTROL!$C$42, 0.1146, 0.1146)*CHOOSE(CONTROL!$C$42, 200, 200)*CHOOSE(CONTROL!$C$42, 28, 28))/1000000</f>
        <v>0.64176</v>
      </c>
      <c r="X26" s="58">
        <v>0</v>
      </c>
      <c r="Y26" s="58"/>
      <c r="Z26" s="10">
        <f>CHOOSE(CONTROL!$C$42, 4.8069, 4.8069) * CHOOSE(CONTROL!$C$21, $C$9, 100%, $E$9)</f>
        <v>4.8068999999999997</v>
      </c>
      <c r="AA26" s="62">
        <f>(28*((8.01*31500+8.07*100000)/28))/1000000</f>
        <v>1.059315</v>
      </c>
      <c r="AB26" s="51">
        <f>(B26*122.58+C26*297.941+D26*89.177+E26*200.302+F26*40+G26*0+H26*0+I26*100+J26*300)/(122.58+297.941+89.177+200.302+0+40+0+100+300)</f>
        <v>4.888538520434782</v>
      </c>
      <c r="AC26" s="27">
        <f>(M26*240+N26*0+O26*355+P26*100)/(240+0+355+100)</f>
        <v>4.8940812949640291</v>
      </c>
    </row>
    <row r="27" spans="1:29" ht="15.75" x14ac:dyDescent="0.25">
      <c r="A27" s="16">
        <v>42064</v>
      </c>
      <c r="B27" s="10">
        <f>CHOOSE(CONTROL!$C$42, 4.7162, 4.7162) * CHOOSE(CONTROL!$C$21, $C$9, 100%, $E$9)</f>
        <v>4.7161999999999997</v>
      </c>
      <c r="C27" s="10">
        <f>CHOOSE(CONTROL!$C$42, 4.7212, 4.7212) * CHOOSE(CONTROL!$C$21, $C$9, 100%, $E$9)</f>
        <v>4.7211999999999996</v>
      </c>
      <c r="D27" s="10">
        <f>CHOOSE(CONTROL!$C$42, 4.8126, 4.8126) * CHOOSE(CONTROL!$C$21, $C$9, 100%, $E$9)</f>
        <v>4.8125999999999998</v>
      </c>
      <c r="E27" s="10">
        <f>CHOOSE(CONTROL!$C$42, 4.8464, 4.8464) * CHOOSE(CONTROL!$C$21, $C$9, 100%, $E$9)</f>
        <v>4.8464</v>
      </c>
      <c r="F27" s="10">
        <f>CHOOSE(CONTROL!$C$42, 4.7461, 4.7461)*CHOOSE(CONTROL!$C$21, $C$9, 100%, $E$9)</f>
        <v>4.7461000000000002</v>
      </c>
      <c r="G27" s="10">
        <f>CHOOSE(CONTROL!$C$42, 4.7656, 4.7656)*CHOOSE(CONTROL!$C$21, $C$9, 100%, $E$9)</f>
        <v>4.7656000000000001</v>
      </c>
      <c r="H27" s="10">
        <f>CHOOSE(CONTROL!$C$42, 4.8356, 4.8356) * CHOOSE(CONTROL!$C$21, $C$9, 100%, $E$9)</f>
        <v>4.8356000000000003</v>
      </c>
      <c r="I27" s="10">
        <f>CHOOSE(CONTROL!$C$42, 4.739, 4.739)* CHOOSE(CONTROL!$C$21, $C$9, 100%, $E$9)</f>
        <v>4.7389999999999999</v>
      </c>
      <c r="J27" s="10">
        <f>CHOOSE(CONTROL!$C$42, 4.7391, 4.7391)* CHOOSE(CONTROL!$C$21, $C$9, 100%, $E$9)</f>
        <v>4.7390999999999996</v>
      </c>
      <c r="K27" s="54"/>
      <c r="L27" s="10">
        <f>CHOOSE(CONTROL!$C$42, 5.4226, 5.4226) * CHOOSE(CONTROL!$C$21, $C$9, 100%, $E$9)</f>
        <v>5.4226000000000001</v>
      </c>
      <c r="M27" s="10">
        <f>CHOOSE(CONTROL!$C$42, 4.7051, 4.7051) * CHOOSE(CONTROL!$C$21, $C$9, 100%, $E$9)</f>
        <v>4.7050999999999998</v>
      </c>
      <c r="N27" s="10">
        <f>CHOOSE(CONTROL!$C$42, 4.7244, 4.7244) * CHOOSE(CONTROL!$C$21, $C$9, 100%, $E$9)</f>
        <v>4.7244000000000002</v>
      </c>
      <c r="O27" s="10">
        <f>CHOOSE(CONTROL!$C$42, 4.8006, 4.8006) * CHOOSE(CONTROL!$C$21, $C$9, 100%, $E$9)</f>
        <v>4.8006000000000002</v>
      </c>
      <c r="P27" s="10">
        <f>CHOOSE(CONTROL!$C$42, 4.7051, 4.7051) * CHOOSE(CONTROL!$C$21, $C$9, 100%, $E$9)</f>
        <v>4.7050999999999998</v>
      </c>
      <c r="Q27" s="10">
        <f>CHOOSE(CONTROL!$C$42, 5.3959, 5.3959) * CHOOSE(CONTROL!$C$21, $C$9, 100%, $E$9)</f>
        <v>5.3959000000000001</v>
      </c>
      <c r="R27" s="10">
        <f>CHOOSE(CONTROL!$C$42, 5.9964, 5.9964) * CHOOSE(CONTROL!$C$21, $C$9, 100%, $E$9)</f>
        <v>5.9964000000000004</v>
      </c>
      <c r="S27" s="10">
        <f>CHOOSE(CONTROL!$C$42, 4.5778, 4.5778) * CHOOSE(CONTROL!$C$21, $C$9, 100%, $E$9)</f>
        <v>4.5777999999999999</v>
      </c>
      <c r="T27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7" s="58">
        <f>(1000*CHOOSE(CONTROL!$C$42, 695, 695)*CHOOSE(CONTROL!$C$42, 0.5599, 0.5599)*CHOOSE(CONTROL!$C$42, 31, 31))/1000000</f>
        <v>12.063045499999998</v>
      </c>
      <c r="V27" s="58">
        <f>(1000*CHOOSE(CONTROL!$C$42, 580, 580)*CHOOSE(CONTROL!$C$42, 0.275, 0.275)*CHOOSE(CONTROL!$C$42, 31, 31))/1000000</f>
        <v>4.9444999999999997</v>
      </c>
      <c r="W27" s="58">
        <f>(1000*CHOOSE(CONTROL!$C$42, 0.1146, 0.1146)*CHOOSE(CONTROL!$C$42, 200, 200)*CHOOSE(CONTROL!$C$42, 31, 31))/1000000</f>
        <v>0.71052000000000004</v>
      </c>
      <c r="X27" s="58">
        <v>0</v>
      </c>
      <c r="Y27" s="58"/>
      <c r="Z27" s="10">
        <f>CHOOSE(CONTROL!$C$42, 4.6811, 4.6811) * CHOOSE(CONTROL!$C$21, $C$9, 100%, $E$9)</f>
        <v>4.6810999999999998</v>
      </c>
      <c r="AA27" s="62">
        <f>(31*((8.01*31500+8.07*100000)/31))/1000000</f>
        <v>1.059315</v>
      </c>
      <c r="AB27" s="51">
        <f>(B27*122.58+C27*297.941+D27*89.177+E27*200.302+F27*40+G27*0+H27*0+I27*100+J27*300)/(122.58+297.941+89.177+200.302+0+40+0+100+300)</f>
        <v>4.7566449462608693</v>
      </c>
      <c r="AC27" s="27">
        <f>(M27*240+N27*0+O27*355+P27*100)/(240+0+355+100)</f>
        <v>4.7538805755395686</v>
      </c>
    </row>
    <row r="28" spans="1:29" ht="15.75" x14ac:dyDescent="0.25">
      <c r="A28" s="16">
        <v>42095</v>
      </c>
      <c r="B28" s="10">
        <f>CHOOSE(CONTROL!$C$42, 4.1589, 4.1589) * CHOOSE(CONTROL!$C$21, $C$9, 100%, $E$9)</f>
        <v>4.1589</v>
      </c>
      <c r="C28" s="10">
        <f>CHOOSE(CONTROL!$C$42, 4.1633, 4.1633) * CHOOSE(CONTROL!$C$21, $C$9, 100%, $E$9)</f>
        <v>4.1632999999999996</v>
      </c>
      <c r="D28" s="10">
        <f>CHOOSE(CONTROL!$C$42, 4.3449, 4.3449) * CHOOSE(CONTROL!$C$21, $C$9, 100%, $E$9)</f>
        <v>4.3449</v>
      </c>
      <c r="E28" s="10">
        <f>CHOOSE(CONTROL!$C$42, 4.3767, 4.3767) * CHOOSE(CONTROL!$C$21, $C$9, 100%, $E$9)</f>
        <v>4.3766999999999996</v>
      </c>
      <c r="F28" s="10">
        <f>CHOOSE(CONTROL!$C$42, 4.1472, 4.1472)*CHOOSE(CONTROL!$C$21, $C$9, 100%, $E$9)</f>
        <v>4.1471999999999998</v>
      </c>
      <c r="G28" s="10">
        <f>CHOOSE(CONTROL!$C$42, 4.1652, 4.1652)*CHOOSE(CONTROL!$C$21, $C$9, 100%, $E$9)</f>
        <v>4.1651999999999996</v>
      </c>
      <c r="H28" s="10">
        <f>CHOOSE(CONTROL!$C$42, 4.3665, 4.3665) * CHOOSE(CONTROL!$C$21, $C$9, 100%, $E$9)</f>
        <v>4.3665000000000003</v>
      </c>
      <c r="I28" s="10">
        <f>CHOOSE(CONTROL!$C$42, 4.1371, 4.1371)* CHOOSE(CONTROL!$C$21, $C$9, 100%, $E$9)</f>
        <v>4.1371000000000002</v>
      </c>
      <c r="J28" s="10">
        <f>CHOOSE(CONTROL!$C$42, 4.1402, 4.1402)* CHOOSE(CONTROL!$C$21, $C$9, 100%, $E$9)</f>
        <v>4.1402000000000001</v>
      </c>
      <c r="K28" s="54"/>
      <c r="L28" s="10">
        <f>CHOOSE(CONTROL!$C$42, 4.9535, 4.9535) * CHOOSE(CONTROL!$C$21, $C$9, 100%, $E$9)</f>
        <v>4.9535</v>
      </c>
      <c r="M28" s="10">
        <f>CHOOSE(CONTROL!$C$42, 4.1123, 4.1123) * CHOOSE(CONTROL!$C$21, $C$9, 100%, $E$9)</f>
        <v>4.1123000000000003</v>
      </c>
      <c r="N28" s="10">
        <f>CHOOSE(CONTROL!$C$42, 4.1301, 4.1301) * CHOOSE(CONTROL!$C$21, $C$9, 100%, $E$9)</f>
        <v>4.1300999999999997</v>
      </c>
      <c r="O28" s="10">
        <f>CHOOSE(CONTROL!$C$42, 4.3363, 4.3363) * CHOOSE(CONTROL!$C$21, $C$9, 100%, $E$9)</f>
        <v>4.3362999999999996</v>
      </c>
      <c r="P28" s="10">
        <f>CHOOSE(CONTROL!$C$42, 4.1093, 4.1093) * CHOOSE(CONTROL!$C$21, $C$9, 100%, $E$9)</f>
        <v>4.1093000000000002</v>
      </c>
      <c r="Q28" s="10">
        <f>CHOOSE(CONTROL!$C$42, 4.9316, 4.9316) * CHOOSE(CONTROL!$C$21, $C$9, 100%, $E$9)</f>
        <v>4.9316000000000004</v>
      </c>
      <c r="R28" s="10">
        <f>CHOOSE(CONTROL!$C$42, 5.5309, 5.5309) * CHOOSE(CONTROL!$C$21, $C$9, 100%, $E$9)</f>
        <v>5.5308999999999999</v>
      </c>
      <c r="S28" s="10">
        <f>CHOOSE(CONTROL!$C$42, 4.0358, 4.0358) * CHOOSE(CONTROL!$C$21, $C$9, 100%, $E$9)</f>
        <v>4.0358000000000001</v>
      </c>
      <c r="T28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8" s="58">
        <f>(1000*CHOOSE(CONTROL!$C$42, 695, 695)*CHOOSE(CONTROL!$C$42, 0.5599, 0.5599)*CHOOSE(CONTROL!$C$42, 30, 30))/1000000</f>
        <v>11.673914999999997</v>
      </c>
      <c r="V28" s="58">
        <f>(1000*CHOOSE(CONTROL!$C$42, 580, 580)*CHOOSE(CONTROL!$C$42, 0.275, 0.275)*CHOOSE(CONTROL!$C$42, 30, 30))/1000000</f>
        <v>4.7850000000000001</v>
      </c>
      <c r="W28" s="58">
        <f>(1000*CHOOSE(CONTROL!$C$42, 0.1146, 0.1146)*CHOOSE(CONTROL!$C$42, 200, 200)*CHOOSE(CONTROL!$C$42, 30, 30))/1000000</f>
        <v>0.68759999999999999</v>
      </c>
      <c r="X28" s="58">
        <f>(30*0.1790888*245000/1000000)+(30*0.2374*100000/1000000)</f>
        <v>2.0285026799999999</v>
      </c>
      <c r="Y28" s="58"/>
      <c r="Z28" s="10">
        <f>CHOOSE(CONTROL!$C$42, 4.1222, 4.1222) * CHOOSE(CONTROL!$C$21, $C$9, 100%, $E$9)</f>
        <v>4.1222000000000003</v>
      </c>
      <c r="AA28" s="62">
        <f>(30*((8.01*31500+8.07*100000)/30))/1000000</f>
        <v>1.059315</v>
      </c>
      <c r="AB28" s="51">
        <f>(B28*141.293+C28*267.993+D28*115.016+E28*89.698+F28*40+G28*185+H28*0+I28*100+J28*300)/(141.293+267.993+115.016+89.698+0+40+185+100+300)</f>
        <v>4.1871613959644876</v>
      </c>
      <c r="AC28" s="27">
        <f t="shared" ref="AC28:AC34" si="1">(M28*240+N28*160+O28*195+P28*100)/(240+160+195+100)</f>
        <v>4.1788151079136693</v>
      </c>
    </row>
    <row r="29" spans="1:29" ht="15.75" x14ac:dyDescent="0.25">
      <c r="A29" s="16">
        <v>42125</v>
      </c>
      <c r="B29" s="10">
        <f>CHOOSE(CONTROL!$C$42, 4.1184, 4.1184) * CHOOSE(CONTROL!$C$21, $C$9, 100%, $E$9)</f>
        <v>4.1184000000000003</v>
      </c>
      <c r="C29" s="10">
        <f>CHOOSE(CONTROL!$C$42, 4.1264, 4.1264) * CHOOSE(CONTROL!$C$21, $C$9, 100%, $E$9)</f>
        <v>4.1264000000000003</v>
      </c>
      <c r="D29" s="10">
        <f>CHOOSE(CONTROL!$C$42, 4.3049, 4.3049) * CHOOSE(CONTROL!$C$21, $C$9, 100%, $E$9)</f>
        <v>4.3048999999999999</v>
      </c>
      <c r="E29" s="10">
        <f>CHOOSE(CONTROL!$C$42, 4.336, 4.336) * CHOOSE(CONTROL!$C$21, $C$9, 100%, $E$9)</f>
        <v>4.3360000000000003</v>
      </c>
      <c r="F29" s="10">
        <f>CHOOSE(CONTROL!$C$42, 4.1046, 4.1046)*CHOOSE(CONTROL!$C$21, $C$9, 100%, $E$9)</f>
        <v>4.1045999999999996</v>
      </c>
      <c r="G29" s="10">
        <f>CHOOSE(CONTROL!$C$42, 4.1228, 4.1228)*CHOOSE(CONTROL!$C$21, $C$9, 100%, $E$9)</f>
        <v>4.1227999999999998</v>
      </c>
      <c r="H29" s="10">
        <f>CHOOSE(CONTROL!$C$42, 4.3247, 4.3247) * CHOOSE(CONTROL!$C$21, $C$9, 100%, $E$9)</f>
        <v>4.3247</v>
      </c>
      <c r="I29" s="10">
        <f>CHOOSE(CONTROL!$C$42, 4.0953, 4.0953)* CHOOSE(CONTROL!$C$21, $C$9, 100%, $E$9)</f>
        <v>4.0952999999999999</v>
      </c>
      <c r="J29" s="10">
        <f>CHOOSE(CONTROL!$C$42, 4.0976, 4.0976)* CHOOSE(CONTROL!$C$21, $C$9, 100%, $E$9)</f>
        <v>4.0975999999999999</v>
      </c>
      <c r="K29" s="54"/>
      <c r="L29" s="10">
        <f>CHOOSE(CONTROL!$C$42, 4.9117, 4.9117) * CHOOSE(CONTROL!$C$21, $C$9, 100%, $E$9)</f>
        <v>4.9116999999999997</v>
      </c>
      <c r="M29" s="10">
        <f>CHOOSE(CONTROL!$C$42, 4.0701, 4.0701) * CHOOSE(CONTROL!$C$21, $C$9, 100%, $E$9)</f>
        <v>4.0701000000000001</v>
      </c>
      <c r="N29" s="10">
        <f>CHOOSE(CONTROL!$C$42, 4.0881, 4.0881) * CHOOSE(CONTROL!$C$21, $C$9, 100%, $E$9)</f>
        <v>4.0880999999999998</v>
      </c>
      <c r="O29" s="10">
        <f>CHOOSE(CONTROL!$C$42, 4.2949, 4.2949) * CHOOSE(CONTROL!$C$21, $C$9, 100%, $E$9)</f>
        <v>4.2949000000000002</v>
      </c>
      <c r="P29" s="10">
        <f>CHOOSE(CONTROL!$C$42, 4.0679, 4.0679) * CHOOSE(CONTROL!$C$21, $C$9, 100%, $E$9)</f>
        <v>4.0678999999999998</v>
      </c>
      <c r="Q29" s="10">
        <f>CHOOSE(CONTROL!$C$42, 4.8902, 4.8902) * CHOOSE(CONTROL!$C$21, $C$9, 100%, $E$9)</f>
        <v>4.8902000000000001</v>
      </c>
      <c r="R29" s="10">
        <f>CHOOSE(CONTROL!$C$42, 5.4894, 5.4894) * CHOOSE(CONTROL!$C$21, $C$9, 100%, $E$9)</f>
        <v>5.4893999999999998</v>
      </c>
      <c r="S29" s="10">
        <f>CHOOSE(CONTROL!$C$42, 3.9952, 3.9952) * CHOOSE(CONTROL!$C$21, $C$9, 100%, $E$9)</f>
        <v>3.9952000000000001</v>
      </c>
      <c r="T29" s="60">
        <f>((((430000*CHOOSE(CONTROL!$C$42, 0.4694, 0.4694)+(874000-430000)*CHOOSE(CONTROL!$C$42, 0.7185, 0.7185)+400000*CHOOSE(CONTROL!$C$42, 1.14, 1.14)+50000*0.98)*CHOOSE(CONTROL!$C$42, 31, 31))/1000000))+CHOOSE(CONTROL!$C$42, 0.1662, 0.1662)+CHOOSE(CONTROL!$C$42, 0.6286, 0.6286)</f>
        <v>32.596336000000001</v>
      </c>
      <c r="U29" s="58">
        <f>(1000*CHOOSE(CONTROL!$C$42, 695, 695)*CHOOSE(CONTROL!$C$42, 0.5599, 0.5599)*CHOOSE(CONTROL!$C$42, 31, 31))/1000000</f>
        <v>12.063045499999998</v>
      </c>
      <c r="V29" s="58">
        <f>(1000*CHOOSE(CONTROL!$C$42, 580, 580)*CHOOSE(CONTROL!$C$42, 0.275, 0.275)*CHOOSE(CONTROL!$C$42, 31, 31))/1000000</f>
        <v>4.9444999999999997</v>
      </c>
      <c r="W29" s="58">
        <f>(1000*CHOOSE(CONTROL!$C$42, 0.1146, 0.1146)*CHOOSE(CONTROL!$C$42, 200, 200)*CHOOSE(CONTROL!$C$42, 31, 31))/1000000</f>
        <v>0.71052000000000004</v>
      </c>
      <c r="X29" s="58">
        <f>(31*0.1790888*245000/1000000)+(31*0.2374*100000/1000000)</f>
        <v>2.0961194359999999</v>
      </c>
      <c r="Y29" s="58"/>
      <c r="Z29" s="10">
        <f>CHOOSE(CONTROL!$C$42, 4.0806, 4.0806) * CHOOSE(CONTROL!$C$21, $C$9, 100%, $E$9)</f>
        <v>4.0805999999999996</v>
      </c>
      <c r="AA29" s="62">
        <f>(31*((8.01*31500+8.07*100000)/31))/1000000</f>
        <v>1.059315</v>
      </c>
      <c r="AB29" s="51">
        <f>(B29*194.205+C29*267.466+D29*133.845+E29*53.484+F29*40+G29*185+H29*50+I29*100+J29*300)/(194.205+267.466+133.845+53.484+50+40+185+100+300)</f>
        <v>4.1491907393504528</v>
      </c>
      <c r="AC29" s="27">
        <f t="shared" si="1"/>
        <v>4.1370007194244609</v>
      </c>
    </row>
    <row r="30" spans="1:29" ht="15.75" x14ac:dyDescent="0.25">
      <c r="A30" s="16">
        <v>42156</v>
      </c>
      <c r="B30" s="10">
        <f>CHOOSE(CONTROL!$C$42, 4.136, 4.136) * CHOOSE(CONTROL!$C$21, $C$9, 100%, $E$9)</f>
        <v>4.1360000000000001</v>
      </c>
      <c r="C30" s="10">
        <f>CHOOSE(CONTROL!$C$42, 4.1439, 4.1439) * CHOOSE(CONTROL!$C$21, $C$9, 100%, $E$9)</f>
        <v>4.1439000000000004</v>
      </c>
      <c r="D30" s="10">
        <f>CHOOSE(CONTROL!$C$42, 4.3224, 4.3224) * CHOOSE(CONTROL!$C$21, $C$9, 100%, $E$9)</f>
        <v>4.3224</v>
      </c>
      <c r="E30" s="10">
        <f>CHOOSE(CONTROL!$C$42, 4.3535, 4.3535) * CHOOSE(CONTROL!$C$21, $C$9, 100%, $E$9)</f>
        <v>4.3535000000000004</v>
      </c>
      <c r="F30" s="10">
        <f>CHOOSE(CONTROL!$C$42, 4.1224, 4.1224)*CHOOSE(CONTROL!$C$21, $C$9, 100%, $E$9)</f>
        <v>4.1223999999999998</v>
      </c>
      <c r="G30" s="10">
        <f>CHOOSE(CONTROL!$C$42, 4.1406, 4.1406)*CHOOSE(CONTROL!$C$21, $C$9, 100%, $E$9)</f>
        <v>4.1406000000000001</v>
      </c>
      <c r="H30" s="10">
        <f>CHOOSE(CONTROL!$C$42, 4.3422, 4.3422) * CHOOSE(CONTROL!$C$21, $C$9, 100%, $E$9)</f>
        <v>4.3422000000000001</v>
      </c>
      <c r="I30" s="10">
        <f>CHOOSE(CONTROL!$C$42, 4.1128, 4.1128)* CHOOSE(CONTROL!$C$21, $C$9, 100%, $E$9)</f>
        <v>4.1128</v>
      </c>
      <c r="J30" s="10">
        <f>CHOOSE(CONTROL!$C$42, 4.1154, 4.1154)* CHOOSE(CONTROL!$C$21, $C$9, 100%, $E$9)</f>
        <v>4.1154000000000002</v>
      </c>
      <c r="K30" s="54"/>
      <c r="L30" s="10">
        <f>CHOOSE(CONTROL!$C$42, 4.9292, 4.9292) * CHOOSE(CONTROL!$C$21, $C$9, 100%, $E$9)</f>
        <v>4.9291999999999998</v>
      </c>
      <c r="M30" s="10">
        <f>CHOOSE(CONTROL!$C$42, 4.0877, 4.0877) * CHOOSE(CONTROL!$C$21, $C$9, 100%, $E$9)</f>
        <v>4.0876999999999999</v>
      </c>
      <c r="N30" s="10">
        <f>CHOOSE(CONTROL!$C$42, 4.1057, 4.1057) * CHOOSE(CONTROL!$C$21, $C$9, 100%, $E$9)</f>
        <v>4.1056999999999997</v>
      </c>
      <c r="O30" s="10">
        <f>CHOOSE(CONTROL!$C$42, 4.3122, 4.3122) * CHOOSE(CONTROL!$C$21, $C$9, 100%, $E$9)</f>
        <v>4.3121999999999998</v>
      </c>
      <c r="P30" s="10">
        <f>CHOOSE(CONTROL!$C$42, 4.0852, 4.0852) * CHOOSE(CONTROL!$C$21, $C$9, 100%, $E$9)</f>
        <v>4.0852000000000004</v>
      </c>
      <c r="Q30" s="10">
        <f>CHOOSE(CONTROL!$C$42, 4.9075, 4.9075) * CHOOSE(CONTROL!$C$21, $C$9, 100%, $E$9)</f>
        <v>4.9074999999999998</v>
      </c>
      <c r="R30" s="10">
        <f>CHOOSE(CONTROL!$C$42, 5.5067, 5.5067) * CHOOSE(CONTROL!$C$21, $C$9, 100%, $E$9)</f>
        <v>5.5067000000000004</v>
      </c>
      <c r="S30" s="10">
        <f>CHOOSE(CONTROL!$C$42, 4.0122, 4.0122) * CHOOSE(CONTROL!$C$21, $C$9, 100%, $E$9)</f>
        <v>4.0122</v>
      </c>
      <c r="T30" s="60">
        <f>((((430000*CHOOSE(CONTROL!$C$42, 0.4694, 0.4694)+(874000-430000)*CHOOSE(CONTROL!$C$42, 0.7185, 0.7185)+400000*CHOOSE(CONTROL!$C$42, 1.14, 1.14)+50000*0.98)*CHOOSE(CONTROL!$C$42, 30, 30))/1000000))+CHOOSE(CONTROL!$C$42, 0.1573, 0.1573)+CHOOSE(CONTROL!$C$42, 0.6376, 0.6376)</f>
        <v>31.57058</v>
      </c>
      <c r="U30" s="58">
        <f>(1000*CHOOSE(CONTROL!$C$42, 695, 695)*CHOOSE(CONTROL!$C$42, 0.5599, 0.5599)*CHOOSE(CONTROL!$C$42, 30, 30))/1000000</f>
        <v>11.673914999999997</v>
      </c>
      <c r="V30" s="58">
        <f>(1000*CHOOSE(CONTROL!$C$42, 580, 580)*CHOOSE(CONTROL!$C$42, 0.275, 0.275)*CHOOSE(CONTROL!$C$42, 30, 30))/1000000</f>
        <v>4.7850000000000001</v>
      </c>
      <c r="W30" s="58">
        <f>(1000*CHOOSE(CONTROL!$C$42, 0.1146, 0.1146)*CHOOSE(CONTROL!$C$42, 200, 200)*CHOOSE(CONTROL!$C$42, 30, 30))/1000000</f>
        <v>0.68759999999999999</v>
      </c>
      <c r="X30" s="58">
        <f>(30*0.1790888*245000/1000000)+(30*0.2374*100000/1000000)</f>
        <v>2.0285026799999999</v>
      </c>
      <c r="Y30" s="58"/>
      <c r="Z30" s="10">
        <f>CHOOSE(CONTROL!$C$42, 4.098, 4.098) * CHOOSE(CONTROL!$C$21, $C$9, 100%, $E$9)</f>
        <v>4.0979999999999999</v>
      </c>
      <c r="AA30" s="61">
        <f>(30*((8.07*31500+8.18*100000)/30))/1000000</f>
        <v>1.0722050000000001</v>
      </c>
      <c r="AB30" s="51">
        <f>(B30*194.205+C30*267.466+D30*133.845+E30*53.484+F30*40+G30*185+H30*50+I30*100+J30*300)/(194.205+267.466+133.845+53.484+50+40+185+100+300)</f>
        <v>4.1668243651057404</v>
      </c>
      <c r="AC30" s="27">
        <f t="shared" si="1"/>
        <v>4.1544733812949639</v>
      </c>
    </row>
    <row r="31" spans="1:29" ht="15.75" x14ac:dyDescent="0.25">
      <c r="A31" s="16">
        <v>42186</v>
      </c>
      <c r="B31" s="10">
        <f>CHOOSE(CONTROL!$C$42, 4.1555, 4.1555) * CHOOSE(CONTROL!$C$21, $C$9, 100%, $E$9)</f>
        <v>4.1555</v>
      </c>
      <c r="C31" s="10">
        <f>CHOOSE(CONTROL!$C$42, 4.1634, 4.1634) * CHOOSE(CONTROL!$C$21, $C$9, 100%, $E$9)</f>
        <v>4.1634000000000002</v>
      </c>
      <c r="D31" s="10">
        <f>CHOOSE(CONTROL!$C$42, 4.342, 4.342) * CHOOSE(CONTROL!$C$21, $C$9, 100%, $E$9)</f>
        <v>4.3419999999999996</v>
      </c>
      <c r="E31" s="10">
        <f>CHOOSE(CONTROL!$C$42, 4.3731, 4.3731) * CHOOSE(CONTROL!$C$21, $C$9, 100%, $E$9)</f>
        <v>4.3731</v>
      </c>
      <c r="F31" s="10">
        <f>CHOOSE(CONTROL!$C$42, 4.1422, 4.1422)*CHOOSE(CONTROL!$C$21, $C$9, 100%, $E$9)</f>
        <v>4.1421999999999999</v>
      </c>
      <c r="G31" s="10">
        <f>CHOOSE(CONTROL!$C$42, 4.1605, 4.1605)*CHOOSE(CONTROL!$C$21, $C$9, 100%, $E$9)</f>
        <v>4.1604999999999999</v>
      </c>
      <c r="H31" s="10">
        <f>CHOOSE(CONTROL!$C$42, 4.3617, 4.3617) * CHOOSE(CONTROL!$C$21, $C$9, 100%, $E$9)</f>
        <v>4.3616999999999999</v>
      </c>
      <c r="I31" s="10">
        <f>CHOOSE(CONTROL!$C$42, 4.1324, 4.1324)* CHOOSE(CONTROL!$C$21, $C$9, 100%, $E$9)</f>
        <v>4.1323999999999996</v>
      </c>
      <c r="J31" s="10">
        <f>CHOOSE(CONTROL!$C$42, 4.1352, 4.1352)* CHOOSE(CONTROL!$C$21, $C$9, 100%, $E$9)</f>
        <v>4.1352000000000002</v>
      </c>
      <c r="K31" s="54"/>
      <c r="L31" s="10">
        <f>CHOOSE(CONTROL!$C$42, 4.9487, 4.9487) * CHOOSE(CONTROL!$C$21, $C$9, 100%, $E$9)</f>
        <v>4.9486999999999997</v>
      </c>
      <c r="M31" s="10">
        <f>CHOOSE(CONTROL!$C$42, 4.1073, 4.1073) * CHOOSE(CONTROL!$C$21, $C$9, 100%, $E$9)</f>
        <v>4.1073000000000004</v>
      </c>
      <c r="N31" s="10">
        <f>CHOOSE(CONTROL!$C$42, 4.1255, 4.1255) * CHOOSE(CONTROL!$C$21, $C$9, 100%, $E$9)</f>
        <v>4.1254999999999997</v>
      </c>
      <c r="O31" s="10">
        <f>CHOOSE(CONTROL!$C$42, 4.3315, 4.3315) * CHOOSE(CONTROL!$C$21, $C$9, 100%, $E$9)</f>
        <v>4.3315000000000001</v>
      </c>
      <c r="P31" s="10">
        <f>CHOOSE(CONTROL!$C$42, 4.1046, 4.1046) * CHOOSE(CONTROL!$C$21, $C$9, 100%, $E$9)</f>
        <v>4.1045999999999996</v>
      </c>
      <c r="Q31" s="10">
        <f>CHOOSE(CONTROL!$C$42, 4.9268, 4.9268) * CHOOSE(CONTROL!$C$21, $C$9, 100%, $E$9)</f>
        <v>4.9268000000000001</v>
      </c>
      <c r="R31" s="10">
        <f>CHOOSE(CONTROL!$C$42, 5.5262, 5.5262) * CHOOSE(CONTROL!$C$21, $C$9, 100%, $E$9)</f>
        <v>5.5262000000000002</v>
      </c>
      <c r="S31" s="10">
        <f>CHOOSE(CONTROL!$C$42, 4.0312, 4.0312) * CHOOSE(CONTROL!$C$21, $C$9, 100%, $E$9)</f>
        <v>4.0312000000000001</v>
      </c>
      <c r="T31" s="60">
        <f>((((430000*CHOOSE(CONTROL!$C$42, 0.4694, 0.4694)+(874000-430000)*CHOOSE(CONTROL!$C$42, 0.7185, 0.7185)+400000*CHOOSE(CONTROL!$C$42, 1.14, 1.14)+50000*0.98)*CHOOSE(CONTROL!$C$42, 31, 31))/1000000))+CHOOSE(CONTROL!$C$42, 0.1519, 0.1519)+CHOOSE(CONTROL!$C$42, 0.626, 0.626)</f>
        <v>32.579436000000001</v>
      </c>
      <c r="U31" s="58">
        <f>(1000*CHOOSE(CONTROL!$C$42, 695, 695)*CHOOSE(CONTROL!$C$42, 0.5599, 0.5599)*CHOOSE(CONTROL!$C$42, 31, 31))/1000000</f>
        <v>12.063045499999998</v>
      </c>
      <c r="V31" s="58">
        <f>(1000*CHOOSE(CONTROL!$C$42, 580, 580)*CHOOSE(CONTROL!$C$42, 0.275, 0.275)*CHOOSE(CONTROL!$C$42, 31, 31))/1000000</f>
        <v>4.9444999999999997</v>
      </c>
      <c r="W31" s="58">
        <f>(1000*CHOOSE(CONTROL!$C$42, 0.1146, 0.1146)*CHOOSE(CONTROL!$C$42, 200, 200)*CHOOSE(CONTROL!$C$42, 31, 31))/1000000</f>
        <v>0.71052000000000004</v>
      </c>
      <c r="X31" s="58">
        <f>(31*0.1790888*245000/1000000)+(31*0.2374*100000/1000000)</f>
        <v>2.0961194359999999</v>
      </c>
      <c r="Y31" s="58"/>
      <c r="Z31" s="10">
        <f>CHOOSE(CONTROL!$C$42, 4.1175, 4.1175) * CHOOSE(CONTROL!$C$21, $C$9, 100%, $E$9)</f>
        <v>4.1174999999999997</v>
      </c>
      <c r="AA31" s="59">
        <f>(31*((8.12*31500+8.18*100000)/31))/1000000</f>
        <v>1.07378</v>
      </c>
      <c r="AB31" s="51">
        <f>(B31*194.205+C31*267.466+D31*133.845+E31*53.484+F31*40+G31*185+H31*50+I31*100+J31*300)/(194.205+267.466+133.845+53.484+50+40+185+100+300)</f>
        <v>4.1864789972054384</v>
      </c>
      <c r="AC31" s="27">
        <f t="shared" si="1"/>
        <v>4.1740064748201435</v>
      </c>
    </row>
    <row r="32" spans="1:29" ht="15.75" x14ac:dyDescent="0.25">
      <c r="A32" s="16">
        <v>42217</v>
      </c>
      <c r="B32" s="10">
        <f>CHOOSE(CONTROL!$C$42, 4.1668, 4.1668) * CHOOSE(CONTROL!$C$21, $C$9, 100%, $E$9)</f>
        <v>4.1668000000000003</v>
      </c>
      <c r="C32" s="10">
        <f>CHOOSE(CONTROL!$C$42, 4.1748, 4.1748) * CHOOSE(CONTROL!$C$21, $C$9, 100%, $E$9)</f>
        <v>4.1748000000000003</v>
      </c>
      <c r="D32" s="10">
        <f>CHOOSE(CONTROL!$C$42, 4.3533, 4.3533) * CHOOSE(CONTROL!$C$21, $C$9, 100%, $E$9)</f>
        <v>4.3532999999999999</v>
      </c>
      <c r="E32" s="10">
        <f>CHOOSE(CONTROL!$C$42, 4.3844, 4.3844) * CHOOSE(CONTROL!$C$21, $C$9, 100%, $E$9)</f>
        <v>4.3844000000000003</v>
      </c>
      <c r="F32" s="10">
        <f>CHOOSE(CONTROL!$C$42, 4.1535, 4.1535)*CHOOSE(CONTROL!$C$21, $C$9, 100%, $E$9)</f>
        <v>4.1535000000000002</v>
      </c>
      <c r="G32" s="10">
        <f>CHOOSE(CONTROL!$C$42, 4.1718, 4.1718)*CHOOSE(CONTROL!$C$21, $C$9, 100%, $E$9)</f>
        <v>4.1718000000000002</v>
      </c>
      <c r="H32" s="10">
        <f>CHOOSE(CONTROL!$C$42, 4.3731, 4.3731) * CHOOSE(CONTROL!$C$21, $C$9, 100%, $E$9)</f>
        <v>4.3731</v>
      </c>
      <c r="I32" s="10">
        <f>CHOOSE(CONTROL!$C$42, 4.1437, 4.1437)* CHOOSE(CONTROL!$C$21, $C$9, 100%, $E$9)</f>
        <v>4.1436999999999999</v>
      </c>
      <c r="J32" s="10">
        <f>CHOOSE(CONTROL!$C$42, 4.1465, 4.1465)* CHOOSE(CONTROL!$C$21, $C$9, 100%, $E$9)</f>
        <v>4.1464999999999996</v>
      </c>
      <c r="K32" s="54"/>
      <c r="L32" s="10">
        <f>CHOOSE(CONTROL!$C$42, 4.9601, 4.9601) * CHOOSE(CONTROL!$C$21, $C$9, 100%, $E$9)</f>
        <v>4.9600999999999997</v>
      </c>
      <c r="M32" s="10">
        <f>CHOOSE(CONTROL!$C$42, 4.1185, 4.1185) * CHOOSE(CONTROL!$C$21, $C$9, 100%, $E$9)</f>
        <v>4.1185</v>
      </c>
      <c r="N32" s="10">
        <f>CHOOSE(CONTROL!$C$42, 4.1366, 4.1366) * CHOOSE(CONTROL!$C$21, $C$9, 100%, $E$9)</f>
        <v>4.1365999999999996</v>
      </c>
      <c r="O32" s="10">
        <f>CHOOSE(CONTROL!$C$42, 4.3428, 4.3428) * CHOOSE(CONTROL!$C$21, $C$9, 100%, $E$9)</f>
        <v>4.3428000000000004</v>
      </c>
      <c r="P32" s="10">
        <f>CHOOSE(CONTROL!$C$42, 4.1158, 4.1158) * CHOOSE(CONTROL!$C$21, $C$9, 100%, $E$9)</f>
        <v>4.1158000000000001</v>
      </c>
      <c r="Q32" s="10">
        <f>CHOOSE(CONTROL!$C$42, 4.9381, 4.9381) * CHOOSE(CONTROL!$C$21, $C$9, 100%, $E$9)</f>
        <v>4.9381000000000004</v>
      </c>
      <c r="R32" s="10">
        <f>CHOOSE(CONTROL!$C$42, 5.5374, 5.5374) * CHOOSE(CONTROL!$C$21, $C$9, 100%, $E$9)</f>
        <v>5.5373999999999999</v>
      </c>
      <c r="S32" s="10">
        <f>CHOOSE(CONTROL!$C$42, 4.0422, 4.0422) * CHOOSE(CONTROL!$C$21, $C$9, 100%, $E$9)</f>
        <v>4.0422000000000002</v>
      </c>
      <c r="T32" s="60">
        <f>((((430000*CHOOSE(CONTROL!$C$42, 0.4694, 0.4694)+(874000-430000)*CHOOSE(CONTROL!$C$42, 0.7185, 0.7185)+400000*CHOOSE(CONTROL!$C$42, 1.14, 1.14)+50000*0.98)*CHOOSE(CONTROL!$C$42, 31, 31))/1000000))+CHOOSE(CONTROL!$C$42, 0.1868, 0.1868)+CHOOSE(CONTROL!$C$42, 0.6257, 0.6257)</f>
        <v>32.614035999999999</v>
      </c>
      <c r="U32" s="58">
        <f>(1000*CHOOSE(CONTROL!$C$42, 695, 695)*CHOOSE(CONTROL!$C$42, 0.5599, 0.5599)*CHOOSE(CONTROL!$C$42, 31, 31))/1000000</f>
        <v>12.063045499999998</v>
      </c>
      <c r="V32" s="58">
        <f>(1000*CHOOSE(CONTROL!$C$42, 580, 580)*CHOOSE(CONTROL!$C$42, 0.275, 0.275)*CHOOSE(CONTROL!$C$42, 31, 31))/1000000</f>
        <v>4.9444999999999997</v>
      </c>
      <c r="W32" s="58">
        <f>(1000*CHOOSE(CONTROL!$C$42, 0.1146, 0.1146)*CHOOSE(CONTROL!$C$42, 200, 200)*CHOOSE(CONTROL!$C$42, 31, 31))/1000000</f>
        <v>0.71052000000000004</v>
      </c>
      <c r="X32" s="58">
        <f>(31*0.1790888*245000/1000000)+(31*0.2374*100000/1000000)</f>
        <v>2.0961194359999999</v>
      </c>
      <c r="Y32" s="58"/>
      <c r="Z32" s="10">
        <f>CHOOSE(CONTROL!$C$42, 4.1287, 4.1287) * CHOOSE(CONTROL!$C$21, $C$9, 100%, $E$9)</f>
        <v>4.1287000000000003</v>
      </c>
      <c r="AA32" s="59">
        <f>(31*((8.12*31500+8.18*100000)/31))/1000000</f>
        <v>1.07378</v>
      </c>
      <c r="AB32" s="51">
        <f>(B32*194.205+C32*267.466+D32*133.845+E32*53.484+F32*40+G32*185+H32*50+I32*100+J32*300)/(194.205+267.466+133.845+53.484+50+40+185+100+300)</f>
        <v>4.1978029750000001</v>
      </c>
      <c r="AC32" s="27">
        <f t="shared" si="1"/>
        <v>4.1852115107913672</v>
      </c>
    </row>
    <row r="33" spans="1:29" ht="15.75" x14ac:dyDescent="0.25">
      <c r="A33" s="16">
        <v>42248</v>
      </c>
      <c r="B33" s="10">
        <f>CHOOSE(CONTROL!$C$42, 4.1565, 4.1565) * CHOOSE(CONTROL!$C$21, $C$9, 100%, $E$9)</f>
        <v>4.1565000000000003</v>
      </c>
      <c r="C33" s="10">
        <f>CHOOSE(CONTROL!$C$42, 4.1645, 4.1645) * CHOOSE(CONTROL!$C$21, $C$9, 100%, $E$9)</f>
        <v>4.1645000000000003</v>
      </c>
      <c r="D33" s="10">
        <f>CHOOSE(CONTROL!$C$42, 4.343, 4.343) * CHOOSE(CONTROL!$C$21, $C$9, 100%, $E$9)</f>
        <v>4.343</v>
      </c>
      <c r="E33" s="10">
        <f>CHOOSE(CONTROL!$C$42, 4.3741, 4.3741) * CHOOSE(CONTROL!$C$21, $C$9, 100%, $E$9)</f>
        <v>4.3741000000000003</v>
      </c>
      <c r="F33" s="10">
        <f>CHOOSE(CONTROL!$C$42, 4.1429, 4.1429)*CHOOSE(CONTROL!$C$21, $C$9, 100%, $E$9)</f>
        <v>4.1429</v>
      </c>
      <c r="G33" s="10">
        <f>CHOOSE(CONTROL!$C$42, 4.1611, 4.1611)*CHOOSE(CONTROL!$C$21, $C$9, 100%, $E$9)</f>
        <v>4.1611000000000002</v>
      </c>
      <c r="H33" s="10">
        <f>CHOOSE(CONTROL!$C$42, 4.3628, 4.3628) * CHOOSE(CONTROL!$C$21, $C$9, 100%, $E$9)</f>
        <v>4.3628</v>
      </c>
      <c r="I33" s="10">
        <f>CHOOSE(CONTROL!$C$42, 4.1334, 4.1334)* CHOOSE(CONTROL!$C$21, $C$9, 100%, $E$9)</f>
        <v>4.1334</v>
      </c>
      <c r="J33" s="10">
        <f>CHOOSE(CONTROL!$C$42, 4.1359, 4.1359)* CHOOSE(CONTROL!$C$21, $C$9, 100%, $E$9)</f>
        <v>4.1359000000000004</v>
      </c>
      <c r="K33" s="54"/>
      <c r="L33" s="10">
        <f>CHOOSE(CONTROL!$C$42, 4.9498, 4.9498) * CHOOSE(CONTROL!$C$21, $C$9, 100%, $E$9)</f>
        <v>4.9497999999999998</v>
      </c>
      <c r="M33" s="10">
        <f>CHOOSE(CONTROL!$C$42, 4.108, 4.108) * CHOOSE(CONTROL!$C$21, $C$9, 100%, $E$9)</f>
        <v>4.1079999999999997</v>
      </c>
      <c r="N33" s="10">
        <f>CHOOSE(CONTROL!$C$42, 4.126, 4.126) * CHOOSE(CONTROL!$C$21, $C$9, 100%, $E$9)</f>
        <v>4.1260000000000003</v>
      </c>
      <c r="O33" s="10">
        <f>CHOOSE(CONTROL!$C$42, 4.3326, 4.3326) * CHOOSE(CONTROL!$C$21, $C$9, 100%, $E$9)</f>
        <v>4.3326000000000002</v>
      </c>
      <c r="P33" s="10">
        <f>CHOOSE(CONTROL!$C$42, 4.1056, 4.1056) * CHOOSE(CONTROL!$C$21, $C$9, 100%, $E$9)</f>
        <v>4.1055999999999999</v>
      </c>
      <c r="Q33" s="10">
        <f>CHOOSE(CONTROL!$C$42, 4.9279, 4.9279) * CHOOSE(CONTROL!$C$21, $C$9, 100%, $E$9)</f>
        <v>4.9279000000000002</v>
      </c>
      <c r="R33" s="10">
        <f>CHOOSE(CONTROL!$C$42, 5.5272, 5.5272) * CHOOSE(CONTROL!$C$21, $C$9, 100%, $E$9)</f>
        <v>5.5271999999999997</v>
      </c>
      <c r="S33" s="10">
        <f>CHOOSE(CONTROL!$C$42, 4.0322, 4.0322) * CHOOSE(CONTROL!$C$21, $C$9, 100%, $E$9)</f>
        <v>4.0321999999999996</v>
      </c>
      <c r="T33" s="60">
        <f>((((430000*CHOOSE(CONTROL!$C$42, 0.4694, 0.4694)+(874000-430000)*CHOOSE(CONTROL!$C$42, 0.7185, 0.7185)+400000*CHOOSE(CONTROL!$C$42, 1.14, 1.14)+50000*0.98)*CHOOSE(CONTROL!$C$42, 30, 30))/1000000))+CHOOSE(CONTROL!$C$42, 0.1677, 0.1677)+CHOOSE(CONTROL!$C$42, 0.1997, 0.1997)</f>
        <v>31.143080000000001</v>
      </c>
      <c r="U33" s="58">
        <f>(1000*CHOOSE(CONTROL!$C$42, 695, 695)*CHOOSE(CONTROL!$C$42, 0.5599, 0.5599)*CHOOSE(CONTROL!$C$42, 30, 30))/1000000</f>
        <v>11.673914999999997</v>
      </c>
      <c r="V33" s="58">
        <f>(1000*CHOOSE(CONTROL!$C$42, 580, 580)*CHOOSE(CONTROL!$C$42, 0.275, 0.275)*CHOOSE(CONTROL!$C$42, 30, 30))/1000000</f>
        <v>4.7850000000000001</v>
      </c>
      <c r="W33" s="58">
        <f>(1000*CHOOSE(CONTROL!$C$42, 0.1146, 0.1146)*CHOOSE(CONTROL!$C$42, 200, 200)*CHOOSE(CONTROL!$C$42, 30, 30))/1000000</f>
        <v>0.68759999999999999</v>
      </c>
      <c r="X33" s="58">
        <f>(30*0.1790888*245000/1000000)+(30*0.2374*100000/1000000)</f>
        <v>2.0285026799999999</v>
      </c>
      <c r="Y33" s="58"/>
      <c r="Z33" s="10">
        <f>CHOOSE(CONTROL!$C$42, 4.1185, 4.1185) * CHOOSE(CONTROL!$C$21, $C$9, 100%, $E$9)</f>
        <v>4.1185</v>
      </c>
      <c r="AA33" s="59">
        <f>(30*((8.12*31500+8.18*100000)/30))/1000000</f>
        <v>1.07378</v>
      </c>
      <c r="AB33" s="51">
        <f>(B33*194.205+C33*267.466+D33*133.845+E33*53.484+F33*40+G33*185+H33*50+I33*100+J33*300)/(194.205+267.466+133.845+53.484+50+40+185+100+300)</f>
        <v>4.1873700444864044</v>
      </c>
      <c r="AC33" s="27">
        <f t="shared" si="1"/>
        <v>4.1748158273381293</v>
      </c>
    </row>
    <row r="34" spans="1:29" ht="15.75" x14ac:dyDescent="0.25">
      <c r="A34" s="16">
        <v>42278</v>
      </c>
      <c r="B34" s="10">
        <f>CHOOSE(CONTROL!$C$42, 4.1812, 4.1812) * CHOOSE(CONTROL!$C$21, $C$9, 100%, $E$9)</f>
        <v>4.1811999999999996</v>
      </c>
      <c r="C34" s="10">
        <f>CHOOSE(CONTROL!$C$42, 4.1864, 4.1864) * CHOOSE(CONTROL!$C$21, $C$9, 100%, $E$9)</f>
        <v>4.1863999999999999</v>
      </c>
      <c r="D34" s="10">
        <f>CHOOSE(CONTROL!$C$42, 4.3699, 4.3699) * CHOOSE(CONTROL!$C$21, $C$9, 100%, $E$9)</f>
        <v>4.3699000000000003</v>
      </c>
      <c r="E34" s="10">
        <f>CHOOSE(CONTROL!$C$42, 4.3987, 4.3987) * CHOOSE(CONTROL!$C$21, $C$9, 100%, $E$9)</f>
        <v>4.3986999999999998</v>
      </c>
      <c r="F34" s="10">
        <f>CHOOSE(CONTROL!$C$42, 4.1695, 4.1695)*CHOOSE(CONTROL!$C$21, $C$9, 100%, $E$9)</f>
        <v>4.1695000000000002</v>
      </c>
      <c r="G34" s="10">
        <f>CHOOSE(CONTROL!$C$42, 4.1874, 4.1874)*CHOOSE(CONTROL!$C$21, $C$9, 100%, $E$9)</f>
        <v>4.1874000000000002</v>
      </c>
      <c r="H34" s="10">
        <f>CHOOSE(CONTROL!$C$42, 4.3891, 4.3891) * CHOOSE(CONTROL!$C$21, $C$9, 100%, $E$9)</f>
        <v>4.3891</v>
      </c>
      <c r="I34" s="10">
        <f>CHOOSE(CONTROL!$C$42, 4.1598, 4.1598)* CHOOSE(CONTROL!$C$21, $C$9, 100%, $E$9)</f>
        <v>4.1597999999999997</v>
      </c>
      <c r="J34" s="10">
        <f>CHOOSE(CONTROL!$C$42, 4.1625, 4.1625)* CHOOSE(CONTROL!$C$21, $C$9, 100%, $E$9)</f>
        <v>4.1624999999999996</v>
      </c>
      <c r="K34" s="54"/>
      <c r="L34" s="10">
        <f>CHOOSE(CONTROL!$C$42, 4.9761, 4.9761) * CHOOSE(CONTROL!$C$21, $C$9, 100%, $E$9)</f>
        <v>4.9760999999999997</v>
      </c>
      <c r="M34" s="10">
        <f>CHOOSE(CONTROL!$C$42, 4.1343, 4.1343) * CHOOSE(CONTROL!$C$21, $C$9, 100%, $E$9)</f>
        <v>4.1342999999999996</v>
      </c>
      <c r="N34" s="10">
        <f>CHOOSE(CONTROL!$C$42, 4.152, 4.152) * CHOOSE(CONTROL!$C$21, $C$9, 100%, $E$9)</f>
        <v>4.1520000000000001</v>
      </c>
      <c r="O34" s="10">
        <f>CHOOSE(CONTROL!$C$42, 4.3587, 4.3587) * CHOOSE(CONTROL!$C$21, $C$9, 100%, $E$9)</f>
        <v>4.3586999999999998</v>
      </c>
      <c r="P34" s="10">
        <f>CHOOSE(CONTROL!$C$42, 4.1317, 4.1317) * CHOOSE(CONTROL!$C$21, $C$9, 100%, $E$9)</f>
        <v>4.1317000000000004</v>
      </c>
      <c r="Q34" s="10">
        <f>CHOOSE(CONTROL!$C$42, 4.954, 4.954) * CHOOSE(CONTROL!$C$21, $C$9, 100%, $E$9)</f>
        <v>4.9539999999999997</v>
      </c>
      <c r="R34" s="10">
        <f>CHOOSE(CONTROL!$C$42, 5.5534, 5.5534) * CHOOSE(CONTROL!$C$21, $C$9, 100%, $E$9)</f>
        <v>5.5533999999999999</v>
      </c>
      <c r="S34" s="10">
        <f>CHOOSE(CONTROL!$C$42, 4.0578, 4.0578) * CHOOSE(CONTROL!$C$21, $C$9, 100%, $E$9)</f>
        <v>4.0578000000000003</v>
      </c>
      <c r="T34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4" s="58">
        <f>(1000*CHOOSE(CONTROL!$C$42, 695, 695)*CHOOSE(CONTROL!$C$42, 0.5599, 0.5599)*CHOOSE(CONTROL!$C$42, 31, 31))/1000000</f>
        <v>12.063045499999998</v>
      </c>
      <c r="V34" s="58">
        <f>(1000*CHOOSE(CONTROL!$C$42, 580, 580)*CHOOSE(CONTROL!$C$42, 0.275, 0.275)*CHOOSE(CONTROL!$C$42, 31, 31))/1000000</f>
        <v>4.9444999999999997</v>
      </c>
      <c r="W34" s="58">
        <f>(1000*CHOOSE(CONTROL!$C$42, 0.1146, 0.1146)*CHOOSE(CONTROL!$C$42, 200, 200)*CHOOSE(CONTROL!$C$42, 31, 31))/1000000</f>
        <v>0.71052000000000004</v>
      </c>
      <c r="X34" s="58">
        <f>(31*0.1790888*245000/1000000)+(31*0.2374*100000/1000000)</f>
        <v>2.0961194359999999</v>
      </c>
      <c r="Y34" s="58"/>
      <c r="Z34" s="10">
        <f>CHOOSE(CONTROL!$C$42, 4.1447, 4.1447) * CHOOSE(CONTROL!$C$21, $C$9, 100%, $E$9)</f>
        <v>4.1447000000000003</v>
      </c>
      <c r="AA34" s="59">
        <f>(31*((8.12*31500+8.18*100000)/31))/1000000</f>
        <v>1.07378</v>
      </c>
      <c r="AB34" s="51">
        <f>(B34*131.881+C34*277.167+D34*79.08+E34*125.872+F34*40+G34*185+H34*0+I34*100+J34*300)/(131.881+277.167+79.08+125.872+0+40+185+100+300)</f>
        <v>4.2107963070217913</v>
      </c>
      <c r="AC34" s="27">
        <f t="shared" si="1"/>
        <v>4.2009618705035976</v>
      </c>
    </row>
    <row r="35" spans="1:29" ht="15.75" x14ac:dyDescent="0.25">
      <c r="A35" s="16">
        <v>42309</v>
      </c>
      <c r="B35" s="10">
        <f>CHOOSE(CONTROL!$C$42, 4.2364, 4.2364) * CHOOSE(CONTROL!$C$21, $C$9, 100%, $E$9)</f>
        <v>4.2363999999999997</v>
      </c>
      <c r="C35" s="10">
        <f>CHOOSE(CONTROL!$C$42, 4.2413, 4.2413) * CHOOSE(CONTROL!$C$21, $C$9, 100%, $E$9)</f>
        <v>4.2412999999999998</v>
      </c>
      <c r="D35" s="10">
        <f>CHOOSE(CONTROL!$C$42, 4.2709, 4.2709) * CHOOSE(CONTROL!$C$21, $C$9, 100%, $E$9)</f>
        <v>4.2709000000000001</v>
      </c>
      <c r="E35" s="10">
        <f>CHOOSE(CONTROL!$C$42, 4.3047, 4.3047) * CHOOSE(CONTROL!$C$21, $C$9, 100%, $E$9)</f>
        <v>4.3047000000000004</v>
      </c>
      <c r="F35" s="10">
        <f>CHOOSE(CONTROL!$C$42, 4.2221, 4.2221)*CHOOSE(CONTROL!$C$21, $C$9, 100%, $E$9)</f>
        <v>4.2221000000000002</v>
      </c>
      <c r="G35" s="10">
        <f>CHOOSE(CONTROL!$C$42, 4.2402, 4.2402)*CHOOSE(CONTROL!$C$21, $C$9, 100%, $E$9)</f>
        <v>4.2401999999999997</v>
      </c>
      <c r="H35" s="10">
        <f>CHOOSE(CONTROL!$C$42, 4.2939, 4.2939) * CHOOSE(CONTROL!$C$21, $C$9, 100%, $E$9)</f>
        <v>4.2938999999999998</v>
      </c>
      <c r="I35" s="10">
        <f>CHOOSE(CONTROL!$C$42, 4.2025, 4.2025)* CHOOSE(CONTROL!$C$21, $C$9, 100%, $E$9)</f>
        <v>4.2024999999999997</v>
      </c>
      <c r="J35" s="10">
        <f>CHOOSE(CONTROL!$C$42, 4.2151, 4.2151)* CHOOSE(CONTROL!$C$21, $C$9, 100%, $E$9)</f>
        <v>4.2150999999999996</v>
      </c>
      <c r="K35" s="54"/>
      <c r="L35" s="10">
        <f>CHOOSE(CONTROL!$C$42, 4.8809, 4.8809) * CHOOSE(CONTROL!$C$21, $C$9, 100%, $E$9)</f>
        <v>4.8808999999999996</v>
      </c>
      <c r="M35" s="10">
        <f>CHOOSE(CONTROL!$C$42, 4.1864, 4.1864) * CHOOSE(CONTROL!$C$21, $C$9, 100%, $E$9)</f>
        <v>4.1863999999999999</v>
      </c>
      <c r="N35" s="10">
        <f>CHOOSE(CONTROL!$C$42, 4.2043, 4.2043) * CHOOSE(CONTROL!$C$21, $C$9, 100%, $E$9)</f>
        <v>4.2042999999999999</v>
      </c>
      <c r="O35" s="10">
        <f>CHOOSE(CONTROL!$C$42, 4.2644, 4.2644) * CHOOSE(CONTROL!$C$21, $C$9, 100%, $E$9)</f>
        <v>4.2644000000000002</v>
      </c>
      <c r="P35" s="10">
        <f>CHOOSE(CONTROL!$C$42, 4.174, 4.174) * CHOOSE(CONTROL!$C$21, $C$9, 100%, $E$9)</f>
        <v>4.1740000000000004</v>
      </c>
      <c r="Q35" s="10">
        <f>CHOOSE(CONTROL!$C$42, 4.8597, 4.8597) * CHOOSE(CONTROL!$C$21, $C$9, 100%, $E$9)</f>
        <v>4.8597000000000001</v>
      </c>
      <c r="R35" s="10">
        <f>CHOOSE(CONTROL!$C$42, 5.4588, 5.4588) * CHOOSE(CONTROL!$C$21, $C$9, 100%, $E$9)</f>
        <v>5.4588000000000001</v>
      </c>
      <c r="S35" s="10">
        <f>CHOOSE(CONTROL!$C$42, 4.1118, 4.1118) * CHOOSE(CONTROL!$C$21, $C$9, 100%, $E$9)</f>
        <v>4.1117999999999997</v>
      </c>
      <c r="T35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5" s="58">
        <f>(1000*CHOOSE(CONTROL!$C$42, 695, 695)*CHOOSE(CONTROL!$C$42, 0.5599, 0.5599)*CHOOSE(CONTROL!$C$42, 30, 30))/1000000</f>
        <v>11.673914999999997</v>
      </c>
      <c r="V35" s="58">
        <f>(1000*CHOOSE(CONTROL!$C$42, 580, 580)*CHOOSE(CONTROL!$C$42, 0.275, 0.275)*CHOOSE(CONTROL!$C$42, 30, 30))/1000000</f>
        <v>4.7850000000000001</v>
      </c>
      <c r="W35" s="58">
        <f>(1000*CHOOSE(CONTROL!$C$42, 0.1146, 0.1146)*CHOOSE(CONTROL!$C$42, 200, 200)*CHOOSE(CONTROL!$C$42, 30, 30))/1000000</f>
        <v>0.68759999999999999</v>
      </c>
      <c r="X35" s="58">
        <f>(30*0.1790888*100000/1000000)+(30*0.2374*100000/1000000)</f>
        <v>1.2494664</v>
      </c>
      <c r="Y35" s="58"/>
      <c r="Z35" s="10">
        <f>CHOOSE(CONTROL!$C$42, 4.1882, 4.1882) * CHOOSE(CONTROL!$C$21, $C$9, 100%, $E$9)</f>
        <v>4.1882000000000001</v>
      </c>
      <c r="AA35" s="59">
        <f>(30*((8.12*31500+8.18*100000)/30))/1000000</f>
        <v>1.07378</v>
      </c>
      <c r="AB35" s="51">
        <f>(B35*122.58+C35*297.941+D35*89.177+E35*40.302+F35*40+G35*160+H35*0+I35*100+J35*300)/(122.58+297.941+89.177+40.302+0+40+160+100+300)</f>
        <v>4.2342653426086958</v>
      </c>
      <c r="AC35" s="27">
        <f>(M35*240+N35*40+O35*315+P35*100)/(240+40+315+100)</f>
        <v>4.2209985611510792</v>
      </c>
    </row>
    <row r="36" spans="1:29" ht="15.75" x14ac:dyDescent="0.25">
      <c r="A36" s="16">
        <v>42339</v>
      </c>
      <c r="B36" s="10">
        <f>CHOOSE(CONTROL!$C$42, 4.3816, 4.3816) * CHOOSE(CONTROL!$C$21, $C$9, 100%, $E$9)</f>
        <v>4.3815999999999997</v>
      </c>
      <c r="C36" s="10">
        <f>CHOOSE(CONTROL!$C$42, 4.3865, 4.3865) * CHOOSE(CONTROL!$C$21, $C$9, 100%, $E$9)</f>
        <v>4.3864999999999998</v>
      </c>
      <c r="D36" s="10">
        <f>CHOOSE(CONTROL!$C$42, 4.4161, 4.4161) * CHOOSE(CONTROL!$C$21, $C$9, 100%, $E$9)</f>
        <v>4.4161000000000001</v>
      </c>
      <c r="E36" s="10">
        <f>CHOOSE(CONTROL!$C$42, 4.4499, 4.4499) * CHOOSE(CONTROL!$C$21, $C$9, 100%, $E$9)</f>
        <v>4.4499000000000004</v>
      </c>
      <c r="F36" s="10">
        <f>CHOOSE(CONTROL!$C$42, 4.3689, 4.3689)*CHOOSE(CONTROL!$C$21, $C$9, 100%, $E$9)</f>
        <v>4.3689</v>
      </c>
      <c r="G36" s="10">
        <f>CHOOSE(CONTROL!$C$42, 4.3873, 4.3873)*CHOOSE(CONTROL!$C$21, $C$9, 100%, $E$9)</f>
        <v>4.3872999999999998</v>
      </c>
      <c r="H36" s="10">
        <f>CHOOSE(CONTROL!$C$42, 4.4391, 4.4391) * CHOOSE(CONTROL!$C$21, $C$9, 100%, $E$9)</f>
        <v>4.4390999999999998</v>
      </c>
      <c r="I36" s="10">
        <f>CHOOSE(CONTROL!$C$42, 4.3477, 4.3477)* CHOOSE(CONTROL!$C$21, $C$9, 100%, $E$9)</f>
        <v>4.3476999999999997</v>
      </c>
      <c r="J36" s="10">
        <f>CHOOSE(CONTROL!$C$42, 4.3619, 4.3619)* CHOOSE(CONTROL!$C$21, $C$9, 100%, $E$9)</f>
        <v>4.3619000000000003</v>
      </c>
      <c r="K36" s="54"/>
      <c r="L36" s="10">
        <f>CHOOSE(CONTROL!$C$42, 5.0261, 5.0261) * CHOOSE(CONTROL!$C$21, $C$9, 100%, $E$9)</f>
        <v>5.0260999999999996</v>
      </c>
      <c r="M36" s="10">
        <f>CHOOSE(CONTROL!$C$42, 4.3317, 4.3317) * CHOOSE(CONTROL!$C$21, $C$9, 100%, $E$9)</f>
        <v>4.3316999999999997</v>
      </c>
      <c r="N36" s="10">
        <f>CHOOSE(CONTROL!$C$42, 4.3499, 4.3499) * CHOOSE(CONTROL!$C$21, $C$9, 100%, $E$9)</f>
        <v>4.3498999999999999</v>
      </c>
      <c r="O36" s="10">
        <f>CHOOSE(CONTROL!$C$42, 4.4081, 4.4081) * CHOOSE(CONTROL!$C$21, $C$9, 100%, $E$9)</f>
        <v>4.4081000000000001</v>
      </c>
      <c r="P36" s="10">
        <f>CHOOSE(CONTROL!$C$42, 4.3177, 4.3177) * CHOOSE(CONTROL!$C$21, $C$9, 100%, $E$9)</f>
        <v>4.3177000000000003</v>
      </c>
      <c r="Q36" s="10">
        <f>CHOOSE(CONTROL!$C$42, 5.0034, 5.0034) * CHOOSE(CONTROL!$C$21, $C$9, 100%, $E$9)</f>
        <v>5.0034000000000001</v>
      </c>
      <c r="R36" s="10">
        <f>CHOOSE(CONTROL!$C$42, 5.6029, 5.6029) * CHOOSE(CONTROL!$C$21, $C$9, 100%, $E$9)</f>
        <v>5.6029</v>
      </c>
      <c r="S36" s="10">
        <f>CHOOSE(CONTROL!$C$42, 4.2528, 4.2528) * CHOOSE(CONTROL!$C$21, $C$9, 100%, $E$9)</f>
        <v>4.2527999999999997</v>
      </c>
      <c r="T36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6" s="58">
        <f>(1000*CHOOSE(CONTROL!$C$42, 695, 695)*CHOOSE(CONTROL!$C$42, 0.5599, 0.5599)*CHOOSE(CONTROL!$C$42, 31, 31))/1000000</f>
        <v>12.063045499999998</v>
      </c>
      <c r="V36" s="58">
        <f>(1000*CHOOSE(CONTROL!$C$42, 580, 580)*CHOOSE(CONTROL!$C$42, 0.275, 0.275)*CHOOSE(CONTROL!$C$42, 31, 31))/1000000</f>
        <v>4.9444999999999997</v>
      </c>
      <c r="W36" s="58">
        <f>(1000*CHOOSE(CONTROL!$C$42, 0.1146, 0.1146)*CHOOSE(CONTROL!$C$42, 200, 200)*CHOOSE(CONTROL!$C$42, 31, 31))/1000000</f>
        <v>0.71052000000000004</v>
      </c>
      <c r="X36" s="58">
        <f>(31*0.1790888*100000/1000000)+(31*0.2374*100000/1000000)</f>
        <v>1.2911152800000001</v>
      </c>
      <c r="Y36" s="58"/>
      <c r="Z36" s="10">
        <f>CHOOSE(CONTROL!$C$42, 4.3325, 4.3325) * CHOOSE(CONTROL!$C$21, $C$9, 100%, $E$9)</f>
        <v>4.3324999999999996</v>
      </c>
      <c r="AA36" s="59">
        <f>(31*((8.12*31500+8.18*100000)/31))/1000000</f>
        <v>1.07378</v>
      </c>
      <c r="AB36" s="51">
        <f>(B36*122.58+C36*297.941+D36*89.177+E36*40.302+F36*40+G36*160+H36*0+I36*100+J36*300)/(122.58+297.941+89.177+40.302+0+40+160+100+300)</f>
        <v>4.3802027339130429</v>
      </c>
      <c r="AC36" s="27">
        <f>(M36*240+N36*40+O36*315+P36*100)/(240+40+315+100)</f>
        <v>4.3653604316546764</v>
      </c>
    </row>
    <row r="37" spans="1:29" ht="15.75" x14ac:dyDescent="0.25">
      <c r="A37" s="16">
        <v>42370</v>
      </c>
      <c r="B37" s="10">
        <f>CHOOSE(CONTROL!$C$42, 4.5, 4.5) * CHOOSE(CONTROL!$C$21, $C$9, 100%, $E$9)</f>
        <v>4.5</v>
      </c>
      <c r="C37" s="10">
        <f>CHOOSE(CONTROL!$C$42, 4.5049, 4.5049) * CHOOSE(CONTROL!$C$21, $C$9, 100%, $E$9)</f>
        <v>4.5049000000000001</v>
      </c>
      <c r="D37" s="10">
        <f>CHOOSE(CONTROL!$C$42, 4.5551, 4.5551) * CHOOSE(CONTROL!$C$21, $C$9, 100%, $E$9)</f>
        <v>4.5551000000000004</v>
      </c>
      <c r="E37" s="10">
        <f>CHOOSE(CONTROL!$C$42, 4.5889, 4.5889) * CHOOSE(CONTROL!$C$21, $C$9, 100%, $E$9)</f>
        <v>4.5888999999999998</v>
      </c>
      <c r="F37" s="10">
        <f>CHOOSE(CONTROL!$C$42, 4.4653, 4.4653)*CHOOSE(CONTROL!$C$21, $C$9, 100%, $E$9)</f>
        <v>4.4653</v>
      </c>
      <c r="G37" s="10">
        <f>CHOOSE(CONTROL!$C$42, 4.4829, 4.4829)*CHOOSE(CONTROL!$C$21, $C$9, 100%, $E$9)</f>
        <v>4.4828999999999999</v>
      </c>
      <c r="H37" s="10">
        <f>CHOOSE(CONTROL!$C$42, 4.5781, 4.5781) * CHOOSE(CONTROL!$C$21, $C$9, 100%, $E$9)</f>
        <v>4.5781000000000001</v>
      </c>
      <c r="I37" s="10">
        <f>CHOOSE(CONTROL!$C$42, 4.4739, 4.4739)* CHOOSE(CONTROL!$C$21, $C$9, 100%, $E$9)</f>
        <v>4.4739000000000004</v>
      </c>
      <c r="J37" s="10">
        <f>CHOOSE(CONTROL!$C$42, 4.4583, 4.4583)* CHOOSE(CONTROL!$C$21, $C$9, 100%, $E$9)</f>
        <v>4.4583000000000004</v>
      </c>
      <c r="K37" s="54"/>
      <c r="L37" s="10">
        <f>CHOOSE(CONTROL!$C$42, 5.1651, 5.1651) * CHOOSE(CONTROL!$C$21, $C$9, 100%, $E$9)</f>
        <v>5.1650999999999998</v>
      </c>
      <c r="M37" s="10">
        <f>CHOOSE(CONTROL!$C$42, 4.4272, 4.4272) * CHOOSE(CONTROL!$C$21, $C$9, 100%, $E$9)</f>
        <v>4.4272</v>
      </c>
      <c r="N37" s="10">
        <f>CHOOSE(CONTROL!$C$42, 4.4446, 4.4446) * CHOOSE(CONTROL!$C$21, $C$9, 100%, $E$9)</f>
        <v>4.4446000000000003</v>
      </c>
      <c r="O37" s="10">
        <f>CHOOSE(CONTROL!$C$42, 4.5457, 4.5457) * CHOOSE(CONTROL!$C$21, $C$9, 100%, $E$9)</f>
        <v>4.5457000000000001</v>
      </c>
      <c r="P37" s="10">
        <f>CHOOSE(CONTROL!$C$42, 4.4426, 4.4426) * CHOOSE(CONTROL!$C$21, $C$9, 100%, $E$9)</f>
        <v>4.4425999999999997</v>
      </c>
      <c r="Q37" s="10">
        <f>CHOOSE(CONTROL!$C$42, 5.141, 5.141) * CHOOSE(CONTROL!$C$21, $C$9, 100%, $E$9)</f>
        <v>5.141</v>
      </c>
      <c r="R37" s="10">
        <f>CHOOSE(CONTROL!$C$42, 5.7409, 5.7409) * CHOOSE(CONTROL!$C$21, $C$9, 100%, $E$9)</f>
        <v>5.7408999999999999</v>
      </c>
      <c r="S37" s="10">
        <f>CHOOSE(CONTROL!$C$42, 4.3678, 4.3678) * CHOOSE(CONTROL!$C$21, $C$9, 100%, $E$9)</f>
        <v>4.3677999999999999</v>
      </c>
      <c r="T37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7" s="58">
        <f>(1000*CHOOSE(CONTROL!$C$42, 695, 695)*CHOOSE(CONTROL!$C$42, 0.5599, 0.5599)*CHOOSE(CONTROL!$C$42, 31, 31))/1000000</f>
        <v>12.063045499999998</v>
      </c>
      <c r="V37" s="58">
        <f>(1000*CHOOSE(CONTROL!$C$42, 580, 580)*CHOOSE(CONTROL!$C$42, 0.275, 0.275)*CHOOSE(CONTROL!$C$42, 31, 31))/1000000</f>
        <v>4.9444999999999997</v>
      </c>
      <c r="W37" s="58">
        <f>(1000*CHOOSE(CONTROL!$C$42, 0.1146, 0.1146)*CHOOSE(CONTROL!$C$42, 200, 200)*CHOOSE(CONTROL!$C$42, 31, 31))/1000000</f>
        <v>0.71052000000000004</v>
      </c>
      <c r="X37" s="58">
        <f>(31*0.1790888*100000/1000000)+(31*0.2374*100000/1000000)</f>
        <v>1.2911152800000001</v>
      </c>
      <c r="Y37" s="58"/>
      <c r="Z37" s="10"/>
      <c r="AA37" s="57"/>
      <c r="AB37" s="51">
        <f>(B37*122.58+C37*297.941+D37*89.177+E37*40.302+F37*40+G37*160+H37*0+I37*100+J37*300)/(122.58+297.941+89.177+40.302+0+40+160+100+300)</f>
        <v>4.4919238359999998</v>
      </c>
      <c r="AC37" s="27">
        <f>(M37*'RAP TEMPLATE-GAS AVAILABILITY'!O36+N37*'RAP TEMPLATE-GAS AVAILABILITY'!P36+O37*'RAP TEMPLATE-GAS AVAILABILITY'!Q36+P37*'RAP TEMPLATE-GAS AVAILABILITY'!R36)/('RAP TEMPLATE-GAS AVAILABILITY'!O36+'RAP TEMPLATE-GAS AVAILABILITY'!P36+'RAP TEMPLATE-GAS AVAILABILITY'!Q36+'RAP TEMPLATE-GAS AVAILABILITY'!R36)</f>
        <v>4.4841258992805768</v>
      </c>
    </row>
    <row r="38" spans="1:29" ht="15.75" x14ac:dyDescent="0.25">
      <c r="A38" s="16">
        <v>42401</v>
      </c>
      <c r="B38" s="10">
        <f>CHOOSE(CONTROL!$C$42, 4.4742, 4.4742) * CHOOSE(CONTROL!$C$21, $C$9, 100%, $E$9)</f>
        <v>4.4741999999999997</v>
      </c>
      <c r="C38" s="10">
        <f>CHOOSE(CONTROL!$C$42, 4.4792, 4.4792) * CHOOSE(CONTROL!$C$21, $C$9, 100%, $E$9)</f>
        <v>4.4791999999999996</v>
      </c>
      <c r="D38" s="10">
        <f>CHOOSE(CONTROL!$C$42, 4.5963, 4.5963) * CHOOSE(CONTROL!$C$21, $C$9, 100%, $E$9)</f>
        <v>4.5963000000000003</v>
      </c>
      <c r="E38" s="10">
        <f>CHOOSE(CONTROL!$C$42, 4.6301, 4.6301) * CHOOSE(CONTROL!$C$21, $C$9, 100%, $E$9)</f>
        <v>4.6300999999999997</v>
      </c>
      <c r="F38" s="10">
        <f>CHOOSE(CONTROL!$C$42, 4.5518, 4.5518)*CHOOSE(CONTROL!$C$21, $C$9, 100%, $E$9)</f>
        <v>4.5518000000000001</v>
      </c>
      <c r="G38" s="10">
        <f>CHOOSE(CONTROL!$C$42, 4.5737, 4.5737)*CHOOSE(CONTROL!$C$21, $C$9, 100%, $E$9)</f>
        <v>4.5736999999999997</v>
      </c>
      <c r="H38" s="10">
        <f>CHOOSE(CONTROL!$C$42, 4.6193, 4.6193) * CHOOSE(CONTROL!$C$21, $C$9, 100%, $E$9)</f>
        <v>4.6193</v>
      </c>
      <c r="I38" s="10">
        <f>CHOOSE(CONTROL!$C$42, 4.5099, 4.5099)* CHOOSE(CONTROL!$C$21, $C$9, 100%, $E$9)</f>
        <v>4.5099</v>
      </c>
      <c r="J38" s="10">
        <f>CHOOSE(CONTROL!$C$42, 4.5448, 4.5448)* CHOOSE(CONTROL!$C$21, $C$9, 100%, $E$9)</f>
        <v>4.5448000000000004</v>
      </c>
      <c r="K38" s="54"/>
      <c r="L38" s="10">
        <f>CHOOSE(CONTROL!$C$42, 5.2063, 5.2063) * CHOOSE(CONTROL!$C$21, $C$9, 100%, $E$9)</f>
        <v>5.2062999999999997</v>
      </c>
      <c r="M38" s="10">
        <f>CHOOSE(CONTROL!$C$42, 4.5128, 4.5128) * CHOOSE(CONTROL!$C$21, $C$9, 100%, $E$9)</f>
        <v>4.5128000000000004</v>
      </c>
      <c r="N38" s="10">
        <f>CHOOSE(CONTROL!$C$42, 4.5345, 4.5345) * CHOOSE(CONTROL!$C$21, $C$9, 100%, $E$9)</f>
        <v>4.5345000000000004</v>
      </c>
      <c r="O38" s="10">
        <f>CHOOSE(CONTROL!$C$42, 4.5865, 4.5865) * CHOOSE(CONTROL!$C$21, $C$9, 100%, $E$9)</f>
        <v>4.5865</v>
      </c>
      <c r="P38" s="10">
        <f>CHOOSE(CONTROL!$C$42, 4.4783, 4.4783) * CHOOSE(CONTROL!$C$21, $C$9, 100%, $E$9)</f>
        <v>4.4782999999999999</v>
      </c>
      <c r="Q38" s="10">
        <f>CHOOSE(CONTROL!$C$42, 5.1818, 5.1818) * CHOOSE(CONTROL!$C$21, $C$9, 100%, $E$9)</f>
        <v>5.1818</v>
      </c>
      <c r="R38" s="10">
        <f>CHOOSE(CONTROL!$C$42, 5.7818, 5.7818) * CHOOSE(CONTROL!$C$21, $C$9, 100%, $E$9)</f>
        <v>5.7817999999999996</v>
      </c>
      <c r="S38" s="10">
        <f>CHOOSE(CONTROL!$C$42, 4.3428, 4.3428) * CHOOSE(CONTROL!$C$21, $C$9, 100%, $E$9)</f>
        <v>4.3428000000000004</v>
      </c>
      <c r="T38" s="5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38" s="58">
        <f>(1000*CHOOSE(CONTROL!$C$42, 695, 695)*CHOOSE(CONTROL!$C$42, 0.5599, 0.5599)*CHOOSE(CONTROL!$C$42, 29, 29))/1000000</f>
        <v>11.284784499999999</v>
      </c>
      <c r="V38" s="58">
        <f>(1000*CHOOSE(CONTROL!$C$42, 580, 580)*CHOOSE(CONTROL!$C$42, 0.275, 0.275)*CHOOSE(CONTROL!$C$42, 29, 29))/1000000</f>
        <v>4.6254999999999997</v>
      </c>
      <c r="W38" s="58">
        <f>(1000*CHOOSE(CONTROL!$C$42, 0.1146, 0.1146)*CHOOSE(CONTROL!$C$42, 200, 200)*CHOOSE(CONTROL!$C$42, 29, 29))/1000000</f>
        <v>0.66468000000000005</v>
      </c>
      <c r="X38" s="58">
        <f>(29*0.1790888*100000/1000000)+(29*0.2374*100000/1000000)</f>
        <v>1.2078175199999999</v>
      </c>
      <c r="Y38" s="58"/>
      <c r="Z38" s="10"/>
      <c r="AA38" s="57"/>
      <c r="AB38" s="51">
        <f>(B38*122.58+C38*297.941+D38*89.177+E38*40.302+F38*40+G38*160+H38*0+I38*100+J38*300)/(122.58+297.941+89.177+40.302+0+40+160+100+300)</f>
        <v>4.5284915639130441</v>
      </c>
      <c r="AC38" s="27">
        <f>(M38*'RAP TEMPLATE-GAS AVAILABILITY'!O37+N38*'RAP TEMPLATE-GAS AVAILABILITY'!P37+O38*'RAP TEMPLATE-GAS AVAILABILITY'!Q37+P38*'RAP TEMPLATE-GAS AVAILABILITY'!R37)/('RAP TEMPLATE-GAS AVAILABILITY'!O37+'RAP TEMPLATE-GAS AVAILABILITY'!P37+'RAP TEMPLATE-GAS AVAILABILITY'!Q37+'RAP TEMPLATE-GAS AVAILABILITY'!R37)</f>
        <v>4.5424884892086332</v>
      </c>
    </row>
    <row r="39" spans="1:29" ht="15.75" x14ac:dyDescent="0.25">
      <c r="A39" s="16">
        <v>42430</v>
      </c>
      <c r="B39" s="10">
        <f>CHOOSE(CONTROL!$C$42, 4.4176, 4.4176) * CHOOSE(CONTROL!$C$21, $C$9, 100%, $E$9)</f>
        <v>4.4176000000000002</v>
      </c>
      <c r="C39" s="10">
        <f>CHOOSE(CONTROL!$C$42, 4.4226, 4.4226) * CHOOSE(CONTROL!$C$21, $C$9, 100%, $E$9)</f>
        <v>4.4226000000000001</v>
      </c>
      <c r="D39" s="10">
        <f>CHOOSE(CONTROL!$C$42, 4.5139, 4.5139) * CHOOSE(CONTROL!$C$21, $C$9, 100%, $E$9)</f>
        <v>4.5138999999999996</v>
      </c>
      <c r="E39" s="10">
        <f>CHOOSE(CONTROL!$C$42, 4.5477, 4.5477) * CHOOSE(CONTROL!$C$21, $C$9, 100%, $E$9)</f>
        <v>4.5476999999999999</v>
      </c>
      <c r="F39" s="10">
        <f>CHOOSE(CONTROL!$C$42, 4.4474, 4.4474)*CHOOSE(CONTROL!$C$21, $C$9, 100%, $E$9)</f>
        <v>4.4474</v>
      </c>
      <c r="G39" s="10">
        <f>CHOOSE(CONTROL!$C$42, 4.4669, 4.4669)*CHOOSE(CONTROL!$C$21, $C$9, 100%, $E$9)</f>
        <v>4.4668999999999999</v>
      </c>
      <c r="H39" s="10">
        <f>CHOOSE(CONTROL!$C$42, 4.5369, 4.5369) * CHOOSE(CONTROL!$C$21, $C$9, 100%, $E$9)</f>
        <v>4.5369000000000002</v>
      </c>
      <c r="I39" s="10">
        <f>CHOOSE(CONTROL!$C$42, 4.4404, 4.4404)* CHOOSE(CONTROL!$C$21, $C$9, 100%, $E$9)</f>
        <v>4.4404000000000003</v>
      </c>
      <c r="J39" s="10">
        <f>CHOOSE(CONTROL!$C$42, 4.4404, 4.4404)* CHOOSE(CONTROL!$C$21, $C$9, 100%, $E$9)</f>
        <v>4.4404000000000003</v>
      </c>
      <c r="K39" s="54"/>
      <c r="L39" s="10">
        <f>CHOOSE(CONTROL!$C$42, 5.1239, 5.1239) * CHOOSE(CONTROL!$C$21, $C$9, 100%, $E$9)</f>
        <v>5.1238999999999999</v>
      </c>
      <c r="M39" s="10">
        <f>CHOOSE(CONTROL!$C$42, 4.4095, 4.4095) * CHOOSE(CONTROL!$C$21, $C$9, 100%, $E$9)</f>
        <v>4.4095000000000004</v>
      </c>
      <c r="N39" s="10">
        <f>CHOOSE(CONTROL!$C$42, 4.4288, 4.4288) * CHOOSE(CONTROL!$C$21, $C$9, 100%, $E$9)</f>
        <v>4.4287999999999998</v>
      </c>
      <c r="O39" s="10">
        <f>CHOOSE(CONTROL!$C$42, 4.505, 4.505) * CHOOSE(CONTROL!$C$21, $C$9, 100%, $E$9)</f>
        <v>4.5049999999999999</v>
      </c>
      <c r="P39" s="10">
        <f>CHOOSE(CONTROL!$C$42, 4.4095, 4.4095) * CHOOSE(CONTROL!$C$21, $C$9, 100%, $E$9)</f>
        <v>4.4095000000000004</v>
      </c>
      <c r="Q39" s="10">
        <f>CHOOSE(CONTROL!$C$42, 5.1003, 5.1003) * CHOOSE(CONTROL!$C$21, $C$9, 100%, $E$9)</f>
        <v>5.1002999999999998</v>
      </c>
      <c r="R39" s="10">
        <f>CHOOSE(CONTROL!$C$42, 5.7, 5.7) * CHOOSE(CONTROL!$C$21, $C$9, 100%, $E$9)</f>
        <v>5.7</v>
      </c>
      <c r="S39" s="10">
        <f>CHOOSE(CONTROL!$C$42, 4.2878, 4.2878) * CHOOSE(CONTROL!$C$21, $C$9, 100%, $E$9)</f>
        <v>4.2877999999999998</v>
      </c>
      <c r="T39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9" s="58">
        <f>(1000*CHOOSE(CONTROL!$C$42, 695, 695)*CHOOSE(CONTROL!$C$42, 0.5599, 0.5599)*CHOOSE(CONTROL!$C$42, 31, 31))/1000000</f>
        <v>12.063045499999998</v>
      </c>
      <c r="V39" s="58">
        <f>(1000*CHOOSE(CONTROL!$C$42, 580, 580)*CHOOSE(CONTROL!$C$42, 0.275, 0.275)*CHOOSE(CONTROL!$C$42, 31, 31))/1000000</f>
        <v>4.9444999999999997</v>
      </c>
      <c r="W39" s="58">
        <f>(1000*CHOOSE(CONTROL!$C$42, 0.1146, 0.1146)*CHOOSE(CONTROL!$C$42, 200, 200)*CHOOSE(CONTROL!$C$42, 31, 31))/1000000</f>
        <v>0.71052000000000004</v>
      </c>
      <c r="X39" s="58">
        <f>(31*0.1790888*100000/1000000)+(31*0.2374*100000/1000000)</f>
        <v>1.2911152800000001</v>
      </c>
      <c r="Y39" s="58"/>
      <c r="Z39" s="10"/>
      <c r="AA39" s="57"/>
      <c r="AB39" s="51">
        <f>(B39*122.58+C39*297.941+D39*89.177+E39*40.302+F39*40+G39*160+H39*0+I39*100+J39*300)/(122.58+297.941+89.177+40.302+0+40+160+100+300)</f>
        <v>4.4467484698260868</v>
      </c>
      <c r="AC39" s="27">
        <f>(M39*'RAP TEMPLATE-GAS AVAILABILITY'!O38+N39*'RAP TEMPLATE-GAS AVAILABILITY'!P38+O39*'RAP TEMPLATE-GAS AVAILABILITY'!Q38+P39*'RAP TEMPLATE-GAS AVAILABILITY'!R38)/('RAP TEMPLATE-GAS AVAILABILITY'!O38+'RAP TEMPLATE-GAS AVAILABILITY'!P38+'RAP TEMPLATE-GAS AVAILABILITY'!Q38+'RAP TEMPLATE-GAS AVAILABILITY'!R38)</f>
        <v>4.4538949640287777</v>
      </c>
    </row>
    <row r="40" spans="1:29" ht="15.75" x14ac:dyDescent="0.25">
      <c r="A40" s="16">
        <v>42461</v>
      </c>
      <c r="B40" s="10">
        <f>CHOOSE(CONTROL!$C$42, 4.1198, 4.1198) * CHOOSE(CONTROL!$C$21, $C$9, 100%, $E$9)</f>
        <v>4.1197999999999997</v>
      </c>
      <c r="C40" s="10">
        <f>CHOOSE(CONTROL!$C$42, 4.1241, 4.1241) * CHOOSE(CONTROL!$C$21, $C$9, 100%, $E$9)</f>
        <v>4.1241000000000003</v>
      </c>
      <c r="D40" s="10">
        <f>CHOOSE(CONTROL!$C$42, 4.3058, 4.3058) * CHOOSE(CONTROL!$C$21, $C$9, 100%, $E$9)</f>
        <v>4.3057999999999996</v>
      </c>
      <c r="E40" s="10">
        <f>CHOOSE(CONTROL!$C$42, 4.3376, 4.3376) * CHOOSE(CONTROL!$C$21, $C$9, 100%, $E$9)</f>
        <v>4.3376000000000001</v>
      </c>
      <c r="F40" s="10">
        <f>CHOOSE(CONTROL!$C$42, 4.1081, 4.1081)*CHOOSE(CONTROL!$C$21, $C$9, 100%, $E$9)</f>
        <v>4.1081000000000003</v>
      </c>
      <c r="G40" s="10">
        <f>CHOOSE(CONTROL!$C$42, 4.1261, 4.1261)*CHOOSE(CONTROL!$C$21, $C$9, 100%, $E$9)</f>
        <v>4.1261000000000001</v>
      </c>
      <c r="H40" s="10">
        <f>CHOOSE(CONTROL!$C$42, 4.3274, 4.3274) * CHOOSE(CONTROL!$C$21, $C$9, 100%, $E$9)</f>
        <v>4.3273999999999999</v>
      </c>
      <c r="I40" s="10">
        <f>CHOOSE(CONTROL!$C$42, 4.098, 4.098)* CHOOSE(CONTROL!$C$21, $C$9, 100%, $E$9)</f>
        <v>4.0979999999999999</v>
      </c>
      <c r="J40" s="10">
        <f>CHOOSE(CONTROL!$C$42, 4.1011, 4.1011)* CHOOSE(CONTROL!$C$21, $C$9, 100%, $E$9)</f>
        <v>4.1010999999999997</v>
      </c>
      <c r="K40" s="54"/>
      <c r="L40" s="10">
        <f>CHOOSE(CONTROL!$C$42, 4.9144, 4.9144) * CHOOSE(CONTROL!$C$21, $C$9, 100%, $E$9)</f>
        <v>4.9143999999999997</v>
      </c>
      <c r="M40" s="10">
        <f>CHOOSE(CONTROL!$C$42, 4.0735, 4.0735) * CHOOSE(CONTROL!$C$21, $C$9, 100%, $E$9)</f>
        <v>4.0735000000000001</v>
      </c>
      <c r="N40" s="10">
        <f>CHOOSE(CONTROL!$C$42, 4.0913, 4.0913) * CHOOSE(CONTROL!$C$21, $C$9, 100%, $E$9)</f>
        <v>4.0913000000000004</v>
      </c>
      <c r="O40" s="10">
        <f>CHOOSE(CONTROL!$C$42, 4.2975, 4.2975) * CHOOSE(CONTROL!$C$21, $C$9, 100%, $E$9)</f>
        <v>4.2975000000000003</v>
      </c>
      <c r="P40" s="10">
        <f>CHOOSE(CONTROL!$C$42, 4.0705, 4.0705) * CHOOSE(CONTROL!$C$21, $C$9, 100%, $E$9)</f>
        <v>4.0705</v>
      </c>
      <c r="Q40" s="10">
        <f>CHOOSE(CONTROL!$C$42, 4.8928, 4.8928) * CHOOSE(CONTROL!$C$21, $C$9, 100%, $E$9)</f>
        <v>4.8928000000000003</v>
      </c>
      <c r="R40" s="10">
        <f>CHOOSE(CONTROL!$C$42, 5.4921, 5.4921) * CHOOSE(CONTROL!$C$21, $C$9, 100%, $E$9)</f>
        <v>5.4920999999999998</v>
      </c>
      <c r="S40" s="10">
        <f>CHOOSE(CONTROL!$C$42, 3.9978, 3.9978) * CHOOSE(CONTROL!$C$21, $C$9, 100%, $E$9)</f>
        <v>3.9977999999999998</v>
      </c>
      <c r="T40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0" s="58">
        <f>(1000*CHOOSE(CONTROL!$C$42, 695, 695)*CHOOSE(CONTROL!$C$42, 0.5599, 0.5599)*CHOOSE(CONTROL!$C$42, 30, 30))/1000000</f>
        <v>11.673914999999997</v>
      </c>
      <c r="V40" s="58">
        <f>(1000*CHOOSE(CONTROL!$C$42, 580, 580)*CHOOSE(CONTROL!$C$42, 0.275, 0.275)*CHOOSE(CONTROL!$C$42, 30, 30))/1000000</f>
        <v>4.7850000000000001</v>
      </c>
      <c r="W40" s="58">
        <f>(1000*CHOOSE(CONTROL!$C$42, 0.1146, 0.1146)*CHOOSE(CONTROL!$C$42, 200, 200)*CHOOSE(CONTROL!$C$42, 30, 30))/1000000</f>
        <v>0.68759999999999999</v>
      </c>
      <c r="X40" s="58">
        <f>(30*0.1790888*245000/1000000)+(30*0.2374*100000/1000000)</f>
        <v>2.0285026799999999</v>
      </c>
      <c r="Y40" s="58"/>
      <c r="Z40" s="10"/>
      <c r="AA40" s="57"/>
      <c r="AB40" s="51">
        <f>(B40*141.293+C40*267.993+D40*115.016+E40*89.698+F40*40+G40*185+H40*0+I40*100+J40*300)/(141.293+267.993+115.016+89.698+0+40+185+100+300)</f>
        <v>4.1480397661824053</v>
      </c>
      <c r="AC40" s="27">
        <f>(M40*'RAP TEMPLATE-GAS AVAILABILITY'!O39+N40*'RAP TEMPLATE-GAS AVAILABILITY'!P39+O40*'RAP TEMPLATE-GAS AVAILABILITY'!Q39+P40*'RAP TEMPLATE-GAS AVAILABILITY'!R39)/('RAP TEMPLATE-GAS AVAILABILITY'!O39+'RAP TEMPLATE-GAS AVAILABILITY'!P39+'RAP TEMPLATE-GAS AVAILABILITY'!Q39+'RAP TEMPLATE-GAS AVAILABILITY'!R39)</f>
        <v>4.14001510791367</v>
      </c>
    </row>
    <row r="41" spans="1:29" ht="15.75" x14ac:dyDescent="0.25">
      <c r="A41" s="16">
        <v>42491</v>
      </c>
      <c r="B41" s="10">
        <f>CHOOSE(CONTROL!$C$42, 4.1318, 4.1318) * CHOOSE(CONTROL!$C$21, $C$9, 100%, $E$9)</f>
        <v>4.1318000000000001</v>
      </c>
      <c r="C41" s="10">
        <f>CHOOSE(CONTROL!$C$42, 4.1398, 4.1398) * CHOOSE(CONTROL!$C$21, $C$9, 100%, $E$9)</f>
        <v>4.1398000000000001</v>
      </c>
      <c r="D41" s="10">
        <f>CHOOSE(CONTROL!$C$42, 4.3183, 4.3183) * CHOOSE(CONTROL!$C$21, $C$9, 100%, $E$9)</f>
        <v>4.3182999999999998</v>
      </c>
      <c r="E41" s="10">
        <f>CHOOSE(CONTROL!$C$42, 4.3494, 4.3494) * CHOOSE(CONTROL!$C$21, $C$9, 100%, $E$9)</f>
        <v>4.3494000000000002</v>
      </c>
      <c r="F41" s="10">
        <f>CHOOSE(CONTROL!$C$42, 4.118, 4.118)*CHOOSE(CONTROL!$C$21, $C$9, 100%, $E$9)</f>
        <v>4.1180000000000003</v>
      </c>
      <c r="G41" s="10">
        <f>CHOOSE(CONTROL!$C$42, 4.1362, 4.1362)*CHOOSE(CONTROL!$C$21, $C$9, 100%, $E$9)</f>
        <v>4.1361999999999997</v>
      </c>
      <c r="H41" s="10">
        <f>CHOOSE(CONTROL!$C$42, 4.3381, 4.3381) * CHOOSE(CONTROL!$C$21, $C$9, 100%, $E$9)</f>
        <v>4.3380999999999998</v>
      </c>
      <c r="I41" s="10">
        <f>CHOOSE(CONTROL!$C$42, 4.1087, 4.1087)* CHOOSE(CONTROL!$C$21, $C$9, 100%, $E$9)</f>
        <v>4.1086999999999998</v>
      </c>
      <c r="J41" s="10">
        <f>CHOOSE(CONTROL!$C$42, 4.111, 4.111)* CHOOSE(CONTROL!$C$21, $C$9, 100%, $E$9)</f>
        <v>4.1109999999999998</v>
      </c>
      <c r="K41" s="54"/>
      <c r="L41" s="10">
        <f>CHOOSE(CONTROL!$C$42, 4.9251, 4.9251) * CHOOSE(CONTROL!$C$21, $C$9, 100%, $E$9)</f>
        <v>4.9250999999999996</v>
      </c>
      <c r="M41" s="10">
        <f>CHOOSE(CONTROL!$C$42, 4.0834, 4.0834) * CHOOSE(CONTROL!$C$21, $C$9, 100%, $E$9)</f>
        <v>4.0834000000000001</v>
      </c>
      <c r="N41" s="10">
        <f>CHOOSE(CONTROL!$C$42, 4.1013, 4.1013) * CHOOSE(CONTROL!$C$21, $C$9, 100%, $E$9)</f>
        <v>4.1013000000000002</v>
      </c>
      <c r="O41" s="10">
        <f>CHOOSE(CONTROL!$C$42, 4.3081, 4.3081) * CHOOSE(CONTROL!$C$21, $C$9, 100%, $E$9)</f>
        <v>4.3080999999999996</v>
      </c>
      <c r="P41" s="10">
        <f>CHOOSE(CONTROL!$C$42, 4.0811, 4.0811) * CHOOSE(CONTROL!$C$21, $C$9, 100%, $E$9)</f>
        <v>4.0811000000000002</v>
      </c>
      <c r="Q41" s="10">
        <f>CHOOSE(CONTROL!$C$42, 4.9034, 4.9034) * CHOOSE(CONTROL!$C$21, $C$9, 100%, $E$9)</f>
        <v>4.9034000000000004</v>
      </c>
      <c r="R41" s="10">
        <f>CHOOSE(CONTROL!$C$42, 5.5027, 5.5027) * CHOOSE(CONTROL!$C$21, $C$9, 100%, $E$9)</f>
        <v>5.5026999999999999</v>
      </c>
      <c r="S41" s="10">
        <f>CHOOSE(CONTROL!$C$42, 4.0082, 4.0082) * CHOOSE(CONTROL!$C$21, $C$9, 100%, $E$9)</f>
        <v>4.0082000000000004</v>
      </c>
      <c r="T41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1" s="58">
        <f>(1000*CHOOSE(CONTROL!$C$42, 695, 695)*CHOOSE(CONTROL!$C$42, 0.5599, 0.5599)*CHOOSE(CONTROL!$C$42, 31, 31))/1000000</f>
        <v>12.063045499999998</v>
      </c>
      <c r="V41" s="58">
        <f>(1000*CHOOSE(CONTROL!$C$42, 580, 580)*CHOOSE(CONTROL!$C$42, 0.275, 0.275)*CHOOSE(CONTROL!$C$42, 31, 31))/1000000</f>
        <v>4.9444999999999997</v>
      </c>
      <c r="W41" s="58">
        <f>(1000*CHOOSE(CONTROL!$C$42, 0.1146, 0.1146)*CHOOSE(CONTROL!$C$42, 121.5, 121.5)*CHOOSE(CONTROL!$C$42, 31, 31))/1000000</f>
        <v>0.43164089999999994</v>
      </c>
      <c r="X41" s="58">
        <f>(31*0.1790888*245000/1000000)+(31*0.2374*100000/1000000)</f>
        <v>2.0961194359999999</v>
      </c>
      <c r="Y41" s="58"/>
      <c r="Z41" s="10"/>
      <c r="AA41" s="57"/>
      <c r="AB41" s="51">
        <f>(B41*194.205+C41*267.466+D41*133.845+E41*53.484+F41*40+G41*185+H41*0+I41*100+J41*300)/(194.205+267.466+133.845+53.484+0+40+185+100+300)</f>
        <v>4.1557026208006285</v>
      </c>
      <c r="AC41" s="27">
        <f>(M41*'RAP TEMPLATE-GAS AVAILABILITY'!O40+N41*'RAP TEMPLATE-GAS AVAILABILITY'!P40+O41*'RAP TEMPLATE-GAS AVAILABILITY'!Q40+P41*'RAP TEMPLATE-GAS AVAILABILITY'!R40)/('RAP TEMPLATE-GAS AVAILABILITY'!O40+'RAP TEMPLATE-GAS AVAILABILITY'!P40+'RAP TEMPLATE-GAS AVAILABILITY'!Q40+'RAP TEMPLATE-GAS AVAILABILITY'!R40)</f>
        <v>4.150235251798561</v>
      </c>
    </row>
    <row r="42" spans="1:29" ht="15.75" x14ac:dyDescent="0.25">
      <c r="A42" s="16">
        <v>42522</v>
      </c>
      <c r="B42" s="10">
        <f>CHOOSE(CONTROL!$C$42, 4.1565, 4.1565) * CHOOSE(CONTROL!$C$21, $C$9, 100%, $E$9)</f>
        <v>4.1565000000000003</v>
      </c>
      <c r="C42" s="10">
        <f>CHOOSE(CONTROL!$C$42, 4.1645, 4.1645) * CHOOSE(CONTROL!$C$21, $C$9, 100%, $E$9)</f>
        <v>4.1645000000000003</v>
      </c>
      <c r="D42" s="10">
        <f>CHOOSE(CONTROL!$C$42, 4.343, 4.343) * CHOOSE(CONTROL!$C$21, $C$9, 100%, $E$9)</f>
        <v>4.343</v>
      </c>
      <c r="E42" s="10">
        <f>CHOOSE(CONTROL!$C$42, 4.3741, 4.3741) * CHOOSE(CONTROL!$C$21, $C$9, 100%, $E$9)</f>
        <v>4.3741000000000003</v>
      </c>
      <c r="F42" s="10">
        <f>CHOOSE(CONTROL!$C$42, 4.143, 4.143)*CHOOSE(CONTROL!$C$21, $C$9, 100%, $E$9)</f>
        <v>4.1429999999999998</v>
      </c>
      <c r="G42" s="10">
        <f>CHOOSE(CONTROL!$C$42, 4.1612, 4.1612)*CHOOSE(CONTROL!$C$21, $C$9, 100%, $E$9)</f>
        <v>4.1612</v>
      </c>
      <c r="H42" s="10">
        <f>CHOOSE(CONTROL!$C$42, 4.3628, 4.3628) * CHOOSE(CONTROL!$C$21, $C$9, 100%, $E$9)</f>
        <v>4.3628</v>
      </c>
      <c r="I42" s="10">
        <f>CHOOSE(CONTROL!$C$42, 4.1334, 4.1334)* CHOOSE(CONTROL!$C$21, $C$9, 100%, $E$9)</f>
        <v>4.1334</v>
      </c>
      <c r="J42" s="10">
        <f>CHOOSE(CONTROL!$C$42, 4.136, 4.136)* CHOOSE(CONTROL!$C$21, $C$9, 100%, $E$9)</f>
        <v>4.1360000000000001</v>
      </c>
      <c r="K42" s="54"/>
      <c r="L42" s="10">
        <f>CHOOSE(CONTROL!$C$42, 4.9498, 4.9498) * CHOOSE(CONTROL!$C$21, $C$9, 100%, $E$9)</f>
        <v>4.9497999999999998</v>
      </c>
      <c r="M42" s="10">
        <f>CHOOSE(CONTROL!$C$42, 4.1081, 4.1081) * CHOOSE(CONTROL!$C$21, $C$9, 100%, $E$9)</f>
        <v>4.1081000000000003</v>
      </c>
      <c r="N42" s="10">
        <f>CHOOSE(CONTROL!$C$42, 4.1261, 4.1261) * CHOOSE(CONTROL!$C$21, $C$9, 100%, $E$9)</f>
        <v>4.1261000000000001</v>
      </c>
      <c r="O42" s="10">
        <f>CHOOSE(CONTROL!$C$42, 4.3326, 4.3326) * CHOOSE(CONTROL!$C$21, $C$9, 100%, $E$9)</f>
        <v>4.3326000000000002</v>
      </c>
      <c r="P42" s="10">
        <f>CHOOSE(CONTROL!$C$42, 4.1056, 4.1056) * CHOOSE(CONTROL!$C$21, $C$9, 100%, $E$9)</f>
        <v>4.1055999999999999</v>
      </c>
      <c r="Q42" s="10">
        <f>CHOOSE(CONTROL!$C$42, 4.9279, 4.9279) * CHOOSE(CONTROL!$C$21, $C$9, 100%, $E$9)</f>
        <v>4.9279000000000002</v>
      </c>
      <c r="R42" s="10">
        <f>CHOOSE(CONTROL!$C$42, 5.5272, 5.5272) * CHOOSE(CONTROL!$C$21, $C$9, 100%, $E$9)</f>
        <v>5.5271999999999997</v>
      </c>
      <c r="S42" s="10">
        <f>CHOOSE(CONTROL!$C$42, 4.0322, 4.0322) * CHOOSE(CONTROL!$C$21, $C$9, 100%, $E$9)</f>
        <v>4.0321999999999996</v>
      </c>
      <c r="T42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2" s="58">
        <f>(1000*CHOOSE(CONTROL!$C$42, 695, 695)*CHOOSE(CONTROL!$C$42, 0.5599, 0.5599)*CHOOSE(CONTROL!$C$42, 30, 30))/1000000</f>
        <v>11.673914999999997</v>
      </c>
      <c r="V42" s="58">
        <f>(1000*CHOOSE(CONTROL!$C$42, 580, 580)*CHOOSE(CONTROL!$C$42, 0.275, 0.275)*CHOOSE(CONTROL!$C$42, 30, 30))/1000000</f>
        <v>4.7850000000000001</v>
      </c>
      <c r="W42" s="58">
        <f>(1000*CHOOSE(CONTROL!$C$42, 0.1146, 0.1146)*CHOOSE(CONTROL!$C$42, 121.5, 121.5)*CHOOSE(CONTROL!$C$42, 30, 30))/1000000</f>
        <v>0.417717</v>
      </c>
      <c r="X42" s="58">
        <f>(30*0.1790888*245000/1000000)+(30*0.2374*100000/1000000)</f>
        <v>2.0285026799999999</v>
      </c>
      <c r="Y42" s="58"/>
      <c r="Z42" s="10"/>
      <c r="AA42" s="57"/>
      <c r="AB42" s="51">
        <f>(B42*194.205+C42*267.466+D42*133.845+E42*53.484+F42*40+G42*185+H42*0+I42*100+J42*300)/(194.205+267.466+133.845+53.484+0+40+185+100+300)</f>
        <v>4.1805262471742548</v>
      </c>
      <c r="AC42" s="27">
        <f>(M42*'RAP TEMPLATE-GAS AVAILABILITY'!O41+N42*'RAP TEMPLATE-GAS AVAILABILITY'!P41+O42*'RAP TEMPLATE-GAS AVAILABILITY'!Q41+P42*'RAP TEMPLATE-GAS AVAILABILITY'!R41)/('RAP TEMPLATE-GAS AVAILABILITY'!O41+'RAP TEMPLATE-GAS AVAILABILITY'!P41+'RAP TEMPLATE-GAS AVAILABILITY'!Q41+'RAP TEMPLATE-GAS AVAILABILITY'!R41)</f>
        <v>4.1748733812949643</v>
      </c>
    </row>
    <row r="43" spans="1:29" ht="15.75" x14ac:dyDescent="0.25">
      <c r="A43" s="16">
        <v>42552</v>
      </c>
      <c r="B43" s="10">
        <f>CHOOSE(CONTROL!$C$42, 4.1844, 4.1844) * CHOOSE(CONTROL!$C$21, $C$9, 100%, $E$9)</f>
        <v>4.1844000000000001</v>
      </c>
      <c r="C43" s="10">
        <f>CHOOSE(CONTROL!$C$42, 4.1923, 4.1923) * CHOOSE(CONTROL!$C$21, $C$9, 100%, $E$9)</f>
        <v>4.1923000000000004</v>
      </c>
      <c r="D43" s="10">
        <f>CHOOSE(CONTROL!$C$42, 4.3708, 4.3708) * CHOOSE(CONTROL!$C$21, $C$9, 100%, $E$9)</f>
        <v>4.3708</v>
      </c>
      <c r="E43" s="10">
        <f>CHOOSE(CONTROL!$C$42, 4.4019, 4.4019) * CHOOSE(CONTROL!$C$21, $C$9, 100%, $E$9)</f>
        <v>4.4019000000000004</v>
      </c>
      <c r="F43" s="10">
        <f>CHOOSE(CONTROL!$C$42, 4.1711, 4.1711)*CHOOSE(CONTROL!$C$21, $C$9, 100%, $E$9)</f>
        <v>4.1711</v>
      </c>
      <c r="G43" s="10">
        <f>CHOOSE(CONTROL!$C$42, 4.1894, 4.1894)*CHOOSE(CONTROL!$C$21, $C$9, 100%, $E$9)</f>
        <v>4.1894</v>
      </c>
      <c r="H43" s="10">
        <f>CHOOSE(CONTROL!$C$42, 4.3906, 4.3906) * CHOOSE(CONTROL!$C$21, $C$9, 100%, $E$9)</f>
        <v>4.3906000000000001</v>
      </c>
      <c r="I43" s="10">
        <f>CHOOSE(CONTROL!$C$42, 4.1612, 4.1612)* CHOOSE(CONTROL!$C$21, $C$9, 100%, $E$9)</f>
        <v>4.1612</v>
      </c>
      <c r="J43" s="10">
        <f>CHOOSE(CONTROL!$C$42, 4.1641, 4.1641)* CHOOSE(CONTROL!$C$21, $C$9, 100%, $E$9)</f>
        <v>4.1641000000000004</v>
      </c>
      <c r="K43" s="54"/>
      <c r="L43" s="10">
        <f>CHOOSE(CONTROL!$C$42, 4.9776, 4.9776) * CHOOSE(CONTROL!$C$21, $C$9, 100%, $E$9)</f>
        <v>4.9775999999999998</v>
      </c>
      <c r="M43" s="10">
        <f>CHOOSE(CONTROL!$C$42, 4.1359, 4.1359) * CHOOSE(CONTROL!$C$21, $C$9, 100%, $E$9)</f>
        <v>4.1359000000000004</v>
      </c>
      <c r="N43" s="10">
        <f>CHOOSE(CONTROL!$C$42, 4.154, 4.154) * CHOOSE(CONTROL!$C$21, $C$9, 100%, $E$9)</f>
        <v>4.1539999999999999</v>
      </c>
      <c r="O43" s="10">
        <f>CHOOSE(CONTROL!$C$42, 4.3601, 4.3601) * CHOOSE(CONTROL!$C$21, $C$9, 100%, $E$9)</f>
        <v>4.3601000000000001</v>
      </c>
      <c r="P43" s="10">
        <f>CHOOSE(CONTROL!$C$42, 4.1331, 4.1331) * CHOOSE(CONTROL!$C$21, $C$9, 100%, $E$9)</f>
        <v>4.1330999999999998</v>
      </c>
      <c r="Q43" s="10">
        <f>CHOOSE(CONTROL!$C$42, 4.9554, 4.9554) * CHOOSE(CONTROL!$C$21, $C$9, 100%, $E$9)</f>
        <v>4.9554</v>
      </c>
      <c r="R43" s="10">
        <f>CHOOSE(CONTROL!$C$42, 5.5548, 5.5548) * CHOOSE(CONTROL!$C$21, $C$9, 100%, $E$9)</f>
        <v>5.5548000000000002</v>
      </c>
      <c r="S43" s="10">
        <f>CHOOSE(CONTROL!$C$42, 4.0592, 4.0592) * CHOOSE(CONTROL!$C$21, $C$9, 100%, $E$9)</f>
        <v>4.0591999999999997</v>
      </c>
      <c r="T43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3" s="58">
        <f>(1000*CHOOSE(CONTROL!$C$42, 695, 695)*CHOOSE(CONTROL!$C$42, 0.5599, 0.5599)*CHOOSE(CONTROL!$C$42, 31, 31))/1000000</f>
        <v>12.063045499999998</v>
      </c>
      <c r="V43" s="58">
        <f>(1000*CHOOSE(CONTROL!$C$42, 580, 580)*CHOOSE(CONTROL!$C$42, 0.275, 0.275)*CHOOSE(CONTROL!$C$42, 31, 31))/1000000</f>
        <v>4.9444999999999997</v>
      </c>
      <c r="W43" s="58">
        <f>(1000*CHOOSE(CONTROL!$C$42, 0.1146, 0.1146)*CHOOSE(CONTROL!$C$42, 121.5, 121.5)*CHOOSE(CONTROL!$C$42, 31, 31))/1000000</f>
        <v>0.43164089999999994</v>
      </c>
      <c r="X43" s="58">
        <f>(31*0.1790888*245000/1000000)+(31*0.2374*100000/1000000)</f>
        <v>2.0961194359999999</v>
      </c>
      <c r="Y43" s="58"/>
      <c r="Z43" s="10"/>
      <c r="AA43" s="57"/>
      <c r="AB43" s="51">
        <f>(B43*194.205+C43*267.466+D43*133.845+E43*53.484+F43*40+G43*185+H43*0+I43*100+J43*300)/(194.205+267.466+133.845+53.484+0+40+185+100+300)</f>
        <v>4.2084796384615384</v>
      </c>
      <c r="AC43" s="27">
        <f>(M43*'RAP TEMPLATE-GAS AVAILABILITY'!O42+N43*'RAP TEMPLATE-GAS AVAILABILITY'!P42+O43*'RAP TEMPLATE-GAS AVAILABILITY'!Q42+P43*'RAP TEMPLATE-GAS AVAILABILITY'!R42)/('RAP TEMPLATE-GAS AVAILABILITY'!O42+'RAP TEMPLATE-GAS AVAILABILITY'!P42+'RAP TEMPLATE-GAS AVAILABILITY'!Q42+'RAP TEMPLATE-GAS AVAILABILITY'!R42)</f>
        <v>4.202569064748201</v>
      </c>
    </row>
    <row r="44" spans="1:29" ht="15.75" x14ac:dyDescent="0.25">
      <c r="A44" s="16">
        <v>42583</v>
      </c>
      <c r="B44" s="10">
        <f>CHOOSE(CONTROL!$C$42, 4.1988, 4.1988) * CHOOSE(CONTROL!$C$21, $C$9, 100%, $E$9)</f>
        <v>4.1988000000000003</v>
      </c>
      <c r="C44" s="10">
        <f>CHOOSE(CONTROL!$C$42, 4.2067, 4.2067) * CHOOSE(CONTROL!$C$21, $C$9, 100%, $E$9)</f>
        <v>4.2066999999999997</v>
      </c>
      <c r="D44" s="10">
        <f>CHOOSE(CONTROL!$C$42, 4.3852, 4.3852) * CHOOSE(CONTROL!$C$21, $C$9, 100%, $E$9)</f>
        <v>4.3852000000000002</v>
      </c>
      <c r="E44" s="10">
        <f>CHOOSE(CONTROL!$C$42, 4.4164, 4.4164) * CHOOSE(CONTROL!$C$21, $C$9, 100%, $E$9)</f>
        <v>4.4164000000000003</v>
      </c>
      <c r="F44" s="10">
        <f>CHOOSE(CONTROL!$C$42, 4.1854, 4.1854)*CHOOSE(CONTROL!$C$21, $C$9, 100%, $E$9)</f>
        <v>4.1853999999999996</v>
      </c>
      <c r="G44" s="10">
        <f>CHOOSE(CONTROL!$C$42, 4.2037, 4.2037)*CHOOSE(CONTROL!$C$21, $C$9, 100%, $E$9)</f>
        <v>4.2037000000000004</v>
      </c>
      <c r="H44" s="10">
        <f>CHOOSE(CONTROL!$C$42, 4.405, 4.405) * CHOOSE(CONTROL!$C$21, $C$9, 100%, $E$9)</f>
        <v>4.4050000000000002</v>
      </c>
      <c r="I44" s="10">
        <f>CHOOSE(CONTROL!$C$42, 4.1756, 4.1756)* CHOOSE(CONTROL!$C$21, $C$9, 100%, $E$9)</f>
        <v>4.1756000000000002</v>
      </c>
      <c r="J44" s="10">
        <f>CHOOSE(CONTROL!$C$42, 4.1784, 4.1784)* CHOOSE(CONTROL!$C$21, $C$9, 100%, $E$9)</f>
        <v>4.1783999999999999</v>
      </c>
      <c r="K44" s="54"/>
      <c r="L44" s="10">
        <f>CHOOSE(CONTROL!$C$42, 4.992, 4.992) * CHOOSE(CONTROL!$C$21, $C$9, 100%, $E$9)</f>
        <v>4.992</v>
      </c>
      <c r="M44" s="10">
        <f>CHOOSE(CONTROL!$C$42, 4.1501, 4.1501) * CHOOSE(CONTROL!$C$21, $C$9, 100%, $E$9)</f>
        <v>4.1501000000000001</v>
      </c>
      <c r="N44" s="10">
        <f>CHOOSE(CONTROL!$C$42, 4.1682, 4.1682) * CHOOSE(CONTROL!$C$21, $C$9, 100%, $E$9)</f>
        <v>4.1681999999999997</v>
      </c>
      <c r="O44" s="10">
        <f>CHOOSE(CONTROL!$C$42, 4.3744, 4.3744) * CHOOSE(CONTROL!$C$21, $C$9, 100%, $E$9)</f>
        <v>4.3743999999999996</v>
      </c>
      <c r="P44" s="10">
        <f>CHOOSE(CONTROL!$C$42, 4.1474, 4.1474) * CHOOSE(CONTROL!$C$21, $C$9, 100%, $E$9)</f>
        <v>4.1474000000000002</v>
      </c>
      <c r="Q44" s="10">
        <f>CHOOSE(CONTROL!$C$42, 4.9697, 4.9697) * CHOOSE(CONTROL!$C$21, $C$9, 100%, $E$9)</f>
        <v>4.9696999999999996</v>
      </c>
      <c r="R44" s="10">
        <f>CHOOSE(CONTROL!$C$42, 5.5691, 5.5691) * CHOOSE(CONTROL!$C$21, $C$9, 100%, $E$9)</f>
        <v>5.5690999999999997</v>
      </c>
      <c r="S44" s="10">
        <f>CHOOSE(CONTROL!$C$42, 4.0732, 4.0732) * CHOOSE(CONTROL!$C$21, $C$9, 100%, $E$9)</f>
        <v>4.0731999999999999</v>
      </c>
      <c r="T44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44" s="58">
        <f>(1000*CHOOSE(CONTROL!$C$42, 695, 695)*CHOOSE(CONTROL!$C$42, 0.5599, 0.5599)*CHOOSE(CONTROL!$C$42, 31, 31))/1000000</f>
        <v>12.063045499999998</v>
      </c>
      <c r="V44" s="58">
        <f>(1000*CHOOSE(CONTROL!$C$42, 580, 580)*CHOOSE(CONTROL!$C$42, 0.275, 0.275)*CHOOSE(CONTROL!$C$42, 31, 31))/1000000</f>
        <v>4.9444999999999997</v>
      </c>
      <c r="W44" s="58">
        <f>(1000*CHOOSE(CONTROL!$C$42, 0.1146, 0.1146)*CHOOSE(CONTROL!$C$42, 121.5, 121.5)*CHOOSE(CONTROL!$C$42, 31, 31))/1000000</f>
        <v>0.43164089999999994</v>
      </c>
      <c r="X44" s="58">
        <f>(31*0.1790888*245000/1000000)+(31*0.2374*100000/1000000)</f>
        <v>2.0961194359999999</v>
      </c>
      <c r="Y44" s="58"/>
      <c r="Z44" s="10"/>
      <c r="AA44" s="57"/>
      <c r="AB44" s="51">
        <f>(B44*194.205+C44*267.466+D44*133.845+E44*53.484+F44*40+G44*185+H44*0+I44*100+J44*300)/(194.205+267.466+133.845+53.484+0+40+185+100+300)</f>
        <v>4.2228426277865001</v>
      </c>
      <c r="AC44" s="27">
        <f>(M44*'RAP TEMPLATE-GAS AVAILABILITY'!O43+N44*'RAP TEMPLATE-GAS AVAILABILITY'!P43+O44*'RAP TEMPLATE-GAS AVAILABILITY'!Q43+P44*'RAP TEMPLATE-GAS AVAILABILITY'!R43)/('RAP TEMPLATE-GAS AVAILABILITY'!O43+'RAP TEMPLATE-GAS AVAILABILITY'!P43+'RAP TEMPLATE-GAS AVAILABILITY'!Q43+'RAP TEMPLATE-GAS AVAILABILITY'!R43)</f>
        <v>4.2168115107913673</v>
      </c>
    </row>
    <row r="45" spans="1:29" ht="15.75" x14ac:dyDescent="0.25">
      <c r="A45" s="16">
        <v>42614</v>
      </c>
      <c r="B45" s="10">
        <f>CHOOSE(CONTROL!$C$42, 4.1967, 4.1967) * CHOOSE(CONTROL!$C$21, $C$9, 100%, $E$9)</f>
        <v>4.1966999999999999</v>
      </c>
      <c r="C45" s="10">
        <f>CHOOSE(CONTROL!$C$42, 4.2046, 4.2046) * CHOOSE(CONTROL!$C$21, $C$9, 100%, $E$9)</f>
        <v>4.2046000000000001</v>
      </c>
      <c r="D45" s="10">
        <f>CHOOSE(CONTROL!$C$42, 4.3832, 4.3832) * CHOOSE(CONTROL!$C$21, $C$9, 100%, $E$9)</f>
        <v>4.3832000000000004</v>
      </c>
      <c r="E45" s="10">
        <f>CHOOSE(CONTROL!$C$42, 4.4143, 4.4143) * CHOOSE(CONTROL!$C$21, $C$9, 100%, $E$9)</f>
        <v>4.4142999999999999</v>
      </c>
      <c r="F45" s="10">
        <f>CHOOSE(CONTROL!$C$42, 4.1831, 4.1831)*CHOOSE(CONTROL!$C$21, $C$9, 100%, $E$9)</f>
        <v>4.1830999999999996</v>
      </c>
      <c r="G45" s="10">
        <f>CHOOSE(CONTROL!$C$42, 4.2013, 4.2013)*CHOOSE(CONTROL!$C$21, $C$9, 100%, $E$9)</f>
        <v>4.2012999999999998</v>
      </c>
      <c r="H45" s="10">
        <f>CHOOSE(CONTROL!$C$42, 4.4029, 4.4029) * CHOOSE(CONTROL!$C$21, $C$9, 100%, $E$9)</f>
        <v>4.4028999999999998</v>
      </c>
      <c r="I45" s="10">
        <f>CHOOSE(CONTROL!$C$42, 4.1736, 4.1736)* CHOOSE(CONTROL!$C$21, $C$9, 100%, $E$9)</f>
        <v>4.1736000000000004</v>
      </c>
      <c r="J45" s="10">
        <f>CHOOSE(CONTROL!$C$42, 4.1761, 4.1761)* CHOOSE(CONTROL!$C$21, $C$9, 100%, $E$9)</f>
        <v>4.1760999999999999</v>
      </c>
      <c r="K45" s="54"/>
      <c r="L45" s="10">
        <f>CHOOSE(CONTROL!$C$42, 4.9899, 4.9899) * CHOOSE(CONTROL!$C$21, $C$9, 100%, $E$9)</f>
        <v>4.9898999999999996</v>
      </c>
      <c r="M45" s="10">
        <f>CHOOSE(CONTROL!$C$42, 4.1478, 4.1478) * CHOOSE(CONTROL!$C$21, $C$9, 100%, $E$9)</f>
        <v>4.1478000000000002</v>
      </c>
      <c r="N45" s="10">
        <f>CHOOSE(CONTROL!$C$42, 4.1658, 4.1658) * CHOOSE(CONTROL!$C$21, $C$9, 100%, $E$9)</f>
        <v>4.1657999999999999</v>
      </c>
      <c r="O45" s="10">
        <f>CHOOSE(CONTROL!$C$42, 4.3723, 4.3723) * CHOOSE(CONTROL!$C$21, $C$9, 100%, $E$9)</f>
        <v>4.3723000000000001</v>
      </c>
      <c r="P45" s="10">
        <f>CHOOSE(CONTROL!$C$42, 4.1453, 4.1453) * CHOOSE(CONTROL!$C$21, $C$9, 100%, $E$9)</f>
        <v>4.1452999999999998</v>
      </c>
      <c r="Q45" s="10">
        <f>CHOOSE(CONTROL!$C$42, 4.9676, 4.9676) * CHOOSE(CONTROL!$C$21, $C$9, 100%, $E$9)</f>
        <v>4.9676</v>
      </c>
      <c r="R45" s="10">
        <f>CHOOSE(CONTROL!$C$42, 5.567, 5.567) * CHOOSE(CONTROL!$C$21, $C$9, 100%, $E$9)</f>
        <v>5.5670000000000002</v>
      </c>
      <c r="S45" s="10">
        <f>CHOOSE(CONTROL!$C$42, 4.0712, 4.0712) * CHOOSE(CONTROL!$C$21, $C$9, 100%, $E$9)</f>
        <v>4.0712000000000002</v>
      </c>
      <c r="T45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45" s="58">
        <f>(1000*CHOOSE(CONTROL!$C$42, 695, 695)*CHOOSE(CONTROL!$C$42, 0.5599, 0.5599)*CHOOSE(CONTROL!$C$42, 30, 30))/1000000</f>
        <v>11.673914999999997</v>
      </c>
      <c r="V45" s="58">
        <f>(1000*CHOOSE(CONTROL!$C$42, 580, 580)*CHOOSE(CONTROL!$C$42, 0.275, 0.275)*CHOOSE(CONTROL!$C$42, 30, 30))/1000000</f>
        <v>4.7850000000000001</v>
      </c>
      <c r="W45" s="58">
        <f>(1000*CHOOSE(CONTROL!$C$42, 0.1146, 0.1146)*CHOOSE(CONTROL!$C$42, 121.5, 121.5)*CHOOSE(CONTROL!$C$42, 30, 30))/1000000</f>
        <v>0.417717</v>
      </c>
      <c r="X45" s="58">
        <f>(30*0.1790888*245000/1000000)+(30*0.2374*100000/1000000)</f>
        <v>2.0285026799999999</v>
      </c>
      <c r="Y45" s="58"/>
      <c r="Z45" s="10"/>
      <c r="AA45" s="57"/>
      <c r="AB45" s="51">
        <f>(B45*194.205+C45*267.466+D45*133.845+E45*53.484+F45*40+G45*185+H45*0+I45*100+J45*300)/(194.205+267.466+133.845+53.484+0+40+185+100+300)</f>
        <v>4.2206640441915226</v>
      </c>
      <c r="AC45" s="27">
        <f>(M45*'RAP TEMPLATE-GAS AVAILABILITY'!O44+N45*'RAP TEMPLATE-GAS AVAILABILITY'!P44+O45*'RAP TEMPLATE-GAS AVAILABILITY'!Q44+P45*'RAP TEMPLATE-GAS AVAILABILITY'!R44)/('RAP TEMPLATE-GAS AVAILABILITY'!O44+'RAP TEMPLATE-GAS AVAILABILITY'!P44+'RAP TEMPLATE-GAS AVAILABILITY'!Q44+'RAP TEMPLATE-GAS AVAILABILITY'!R44)</f>
        <v>4.2145733812949642</v>
      </c>
    </row>
    <row r="46" spans="1:29" ht="15.75" x14ac:dyDescent="0.25">
      <c r="A46" s="16">
        <v>42644</v>
      </c>
      <c r="B46" s="10">
        <f>CHOOSE(CONTROL!$C$42, 4.2234, 4.2234) * CHOOSE(CONTROL!$C$21, $C$9, 100%, $E$9)</f>
        <v>4.2233999999999998</v>
      </c>
      <c r="C46" s="10">
        <f>CHOOSE(CONTROL!$C$42, 4.2286, 4.2286) * CHOOSE(CONTROL!$C$21, $C$9, 100%, $E$9)</f>
        <v>4.2286000000000001</v>
      </c>
      <c r="D46" s="10">
        <f>CHOOSE(CONTROL!$C$42, 4.4121, 4.4121) * CHOOSE(CONTROL!$C$21, $C$9, 100%, $E$9)</f>
        <v>4.4120999999999997</v>
      </c>
      <c r="E46" s="10">
        <f>CHOOSE(CONTROL!$C$42, 4.4409, 4.4409) * CHOOSE(CONTROL!$C$21, $C$9, 100%, $E$9)</f>
        <v>4.4409000000000001</v>
      </c>
      <c r="F46" s="10">
        <f>CHOOSE(CONTROL!$C$42, 4.2117, 4.2117)*CHOOSE(CONTROL!$C$21, $C$9, 100%, $E$9)</f>
        <v>4.2117000000000004</v>
      </c>
      <c r="G46" s="10">
        <f>CHOOSE(CONTROL!$C$42, 4.2296, 4.2296)*CHOOSE(CONTROL!$C$21, $C$9, 100%, $E$9)</f>
        <v>4.2295999999999996</v>
      </c>
      <c r="H46" s="10">
        <f>CHOOSE(CONTROL!$C$42, 4.4314, 4.4314) * CHOOSE(CONTROL!$C$21, $C$9, 100%, $E$9)</f>
        <v>4.4314</v>
      </c>
      <c r="I46" s="10">
        <f>CHOOSE(CONTROL!$C$42, 4.202, 4.202)* CHOOSE(CONTROL!$C$21, $C$9, 100%, $E$9)</f>
        <v>4.202</v>
      </c>
      <c r="J46" s="10">
        <f>CHOOSE(CONTROL!$C$42, 4.2047, 4.2047)* CHOOSE(CONTROL!$C$21, $C$9, 100%, $E$9)</f>
        <v>4.2046999999999999</v>
      </c>
      <c r="K46" s="54"/>
      <c r="L46" s="10">
        <f>CHOOSE(CONTROL!$C$42, 5.0184, 5.0184) * CHOOSE(CONTROL!$C$21, $C$9, 100%, $E$9)</f>
        <v>5.0183999999999997</v>
      </c>
      <c r="M46" s="10">
        <f>CHOOSE(CONTROL!$C$42, 4.1761, 4.1761) * CHOOSE(CONTROL!$C$21, $C$9, 100%, $E$9)</f>
        <v>4.1760999999999999</v>
      </c>
      <c r="N46" s="10">
        <f>CHOOSE(CONTROL!$C$42, 4.1938, 4.1938) * CHOOSE(CONTROL!$C$21, $C$9, 100%, $E$9)</f>
        <v>4.1938000000000004</v>
      </c>
      <c r="O46" s="10">
        <f>CHOOSE(CONTROL!$C$42, 4.4005, 4.4005) * CHOOSE(CONTROL!$C$21, $C$9, 100%, $E$9)</f>
        <v>4.4005000000000001</v>
      </c>
      <c r="P46" s="10">
        <f>CHOOSE(CONTROL!$C$42, 4.1735, 4.1735) * CHOOSE(CONTROL!$C$21, $C$9, 100%, $E$9)</f>
        <v>4.1734999999999998</v>
      </c>
      <c r="Q46" s="10">
        <f>CHOOSE(CONTROL!$C$42, 4.9958, 4.9958) * CHOOSE(CONTROL!$C$21, $C$9, 100%, $E$9)</f>
        <v>4.9958</v>
      </c>
      <c r="R46" s="10">
        <f>CHOOSE(CONTROL!$C$42, 5.5953, 5.5953) * CHOOSE(CONTROL!$C$21, $C$9, 100%, $E$9)</f>
        <v>5.5952999999999999</v>
      </c>
      <c r="S46" s="10">
        <f>CHOOSE(CONTROL!$C$42, 4.0988, 4.0988) * CHOOSE(CONTROL!$C$21, $C$9, 100%, $E$9)</f>
        <v>4.0987999999999998</v>
      </c>
      <c r="T46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6" s="58">
        <f>(1000*CHOOSE(CONTROL!$C$42, 695, 695)*CHOOSE(CONTROL!$C$42, 0.5599, 0.5599)*CHOOSE(CONTROL!$C$42, 31, 31))/1000000</f>
        <v>12.063045499999998</v>
      </c>
      <c r="V46" s="58">
        <f>(1000*CHOOSE(CONTROL!$C$42, 580, 580)*CHOOSE(CONTROL!$C$42, 0.275, 0.275)*CHOOSE(CONTROL!$C$42, 31, 31))/1000000</f>
        <v>4.9444999999999997</v>
      </c>
      <c r="W46" s="58">
        <f>(1000*CHOOSE(CONTROL!$C$42, 0.1146, 0.1146)*CHOOSE(CONTROL!$C$42, 121.5, 121.5)*CHOOSE(CONTROL!$C$42, 31, 31))/1000000</f>
        <v>0.43164089999999994</v>
      </c>
      <c r="X46" s="58">
        <f>(31*0.1790888*245000/1000000)+(31*0.2374*100000/1000000)</f>
        <v>2.0961194359999999</v>
      </c>
      <c r="Y46" s="58"/>
      <c r="Z46" s="10"/>
      <c r="AA46" s="57"/>
      <c r="AB46" s="51">
        <f>(B46*131.881+C46*277.167+D46*79.08+E46*125.872+F46*40+G46*185+H46*0+I46*100+J46*300)/(131.881+277.167+79.08+125.872+0+40+185+100+300)</f>
        <v>4.2529963070217907</v>
      </c>
      <c r="AC46" s="27">
        <f>(M46*'RAP TEMPLATE-GAS AVAILABILITY'!O45+N46*'RAP TEMPLATE-GAS AVAILABILITY'!P45+O46*'RAP TEMPLATE-GAS AVAILABILITY'!Q45+P46*'RAP TEMPLATE-GAS AVAILABILITY'!R45)/('RAP TEMPLATE-GAS AVAILABILITY'!O45+'RAP TEMPLATE-GAS AVAILABILITY'!P45+'RAP TEMPLATE-GAS AVAILABILITY'!Q45+'RAP TEMPLATE-GAS AVAILABILITY'!R45)</f>
        <v>4.242761870503597</v>
      </c>
    </row>
    <row r="47" spans="1:29" ht="15.75" x14ac:dyDescent="0.25">
      <c r="A47" s="16">
        <v>42675</v>
      </c>
      <c r="B47" s="10">
        <f>CHOOSE(CONTROL!$C$42, 4.2909, 4.2909) * CHOOSE(CONTROL!$C$21, $C$9, 100%, $E$9)</f>
        <v>4.2908999999999997</v>
      </c>
      <c r="C47" s="10">
        <f>CHOOSE(CONTROL!$C$42, 4.2959, 4.2959) * CHOOSE(CONTROL!$C$21, $C$9, 100%, $E$9)</f>
        <v>4.2958999999999996</v>
      </c>
      <c r="D47" s="10">
        <f>CHOOSE(CONTROL!$C$42, 4.3255, 4.3255) * CHOOSE(CONTROL!$C$21, $C$9, 100%, $E$9)</f>
        <v>4.3254999999999999</v>
      </c>
      <c r="E47" s="10">
        <f>CHOOSE(CONTROL!$C$42, 4.3593, 4.3593) * CHOOSE(CONTROL!$C$21, $C$9, 100%, $E$9)</f>
        <v>4.3593000000000002</v>
      </c>
      <c r="F47" s="10">
        <f>CHOOSE(CONTROL!$C$42, 4.2767, 4.2767)*CHOOSE(CONTROL!$C$21, $C$9, 100%, $E$9)</f>
        <v>4.2766999999999999</v>
      </c>
      <c r="G47" s="10">
        <f>CHOOSE(CONTROL!$C$42, 4.2947, 4.2947)*CHOOSE(CONTROL!$C$21, $C$9, 100%, $E$9)</f>
        <v>4.2946999999999997</v>
      </c>
      <c r="H47" s="10">
        <f>CHOOSE(CONTROL!$C$42, 4.3485, 4.3485) * CHOOSE(CONTROL!$C$21, $C$9, 100%, $E$9)</f>
        <v>4.3484999999999996</v>
      </c>
      <c r="I47" s="10">
        <f>CHOOSE(CONTROL!$C$42, 4.2571, 4.2571)* CHOOSE(CONTROL!$C$21, $C$9, 100%, $E$9)</f>
        <v>4.2571000000000003</v>
      </c>
      <c r="J47" s="10">
        <f>CHOOSE(CONTROL!$C$42, 4.2697, 4.2697)* CHOOSE(CONTROL!$C$21, $C$9, 100%, $E$9)</f>
        <v>4.2697000000000003</v>
      </c>
      <c r="K47" s="54"/>
      <c r="L47" s="10">
        <f>CHOOSE(CONTROL!$C$42, 4.9355, 4.9355) * CHOOSE(CONTROL!$C$21, $C$9, 100%, $E$9)</f>
        <v>4.9355000000000002</v>
      </c>
      <c r="M47" s="10">
        <f>CHOOSE(CONTROL!$C$42, 4.2404, 4.2404) * CHOOSE(CONTROL!$C$21, $C$9, 100%, $E$9)</f>
        <v>4.2404000000000002</v>
      </c>
      <c r="N47" s="10">
        <f>CHOOSE(CONTROL!$C$42, 4.2583, 4.2583) * CHOOSE(CONTROL!$C$21, $C$9, 100%, $E$9)</f>
        <v>4.2583000000000002</v>
      </c>
      <c r="O47" s="10">
        <f>CHOOSE(CONTROL!$C$42, 4.3184, 4.3184) * CHOOSE(CONTROL!$C$21, $C$9, 100%, $E$9)</f>
        <v>4.3183999999999996</v>
      </c>
      <c r="P47" s="10">
        <f>CHOOSE(CONTROL!$C$42, 4.228, 4.228) * CHOOSE(CONTROL!$C$21, $C$9, 100%, $E$9)</f>
        <v>4.2279999999999998</v>
      </c>
      <c r="Q47" s="10">
        <f>CHOOSE(CONTROL!$C$42, 4.9137, 4.9137) * CHOOSE(CONTROL!$C$21, $C$9, 100%, $E$9)</f>
        <v>4.9137000000000004</v>
      </c>
      <c r="R47" s="10">
        <f>CHOOSE(CONTROL!$C$42, 5.513, 5.513) * CHOOSE(CONTROL!$C$21, $C$9, 100%, $E$9)</f>
        <v>5.5129999999999999</v>
      </c>
      <c r="S47" s="10">
        <f>CHOOSE(CONTROL!$C$42, 4.1648, 4.1648) * CHOOSE(CONTROL!$C$21, $C$9, 100%, $E$9)</f>
        <v>4.1647999999999996</v>
      </c>
      <c r="T47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7" s="58">
        <f>(1000*CHOOSE(CONTROL!$C$42, 695, 695)*CHOOSE(CONTROL!$C$42, 0.5599, 0.5599)*CHOOSE(CONTROL!$C$42, 30, 30))/1000000</f>
        <v>11.673914999999997</v>
      </c>
      <c r="V47" s="58">
        <f>(1000*CHOOSE(CONTROL!$C$42, 580, 580)*CHOOSE(CONTROL!$C$42, 0.275, 0.275)*CHOOSE(CONTROL!$C$42, 30, 30))/1000000</f>
        <v>4.7850000000000001</v>
      </c>
      <c r="W47" s="58">
        <f>(1000*CHOOSE(CONTROL!$C$42, 0.1146, 0.1146)*CHOOSE(CONTROL!$C$42, 121.5, 121.5)*CHOOSE(CONTROL!$C$42, 30, 30))/1000000</f>
        <v>0.417717</v>
      </c>
      <c r="X47" s="58">
        <f>(30*0.1790888*100000/1000000)+(30*0.2374*100000/1000000)</f>
        <v>1.2494664</v>
      </c>
      <c r="Y47" s="58"/>
      <c r="Z47" s="10"/>
      <c r="AA47" s="57"/>
      <c r="AB47" s="51">
        <f>(B47*122.58+C47*297.941+D47*89.177+E47*40.302+F47*40+G47*160+H47*0+I47*100+J47*300)/(122.58+297.941+89.177+40.302+0+40+160+100+300)</f>
        <v>4.2888407704347822</v>
      </c>
      <c r="AC47" s="27">
        <f>(M47*'RAP TEMPLATE-GAS AVAILABILITY'!O46+N47*'RAP TEMPLATE-GAS AVAILABILITY'!P46+O47*'RAP TEMPLATE-GAS AVAILABILITY'!Q46+P47*'RAP TEMPLATE-GAS AVAILABILITY'!R46)/('RAP TEMPLATE-GAS AVAILABILITY'!O46+'RAP TEMPLATE-GAS AVAILABILITY'!P46+'RAP TEMPLATE-GAS AVAILABILITY'!Q46+'RAP TEMPLATE-GAS AVAILABILITY'!R46)</f>
        <v>4.2749985611510786</v>
      </c>
    </row>
    <row r="48" spans="1:29" ht="15.75" x14ac:dyDescent="0.25">
      <c r="A48" s="16">
        <v>42705</v>
      </c>
      <c r="B48" s="10">
        <f>CHOOSE(CONTROL!$C$42, 4.4341, 4.4341) * CHOOSE(CONTROL!$C$21, $C$9, 100%, $E$9)</f>
        <v>4.4340999999999999</v>
      </c>
      <c r="C48" s="10">
        <f>CHOOSE(CONTROL!$C$42, 4.439, 4.439) * CHOOSE(CONTROL!$C$21, $C$9, 100%, $E$9)</f>
        <v>4.4390000000000001</v>
      </c>
      <c r="D48" s="10">
        <f>CHOOSE(CONTROL!$C$42, 4.4686, 4.4686) * CHOOSE(CONTROL!$C$21, $C$9, 100%, $E$9)</f>
        <v>4.4686000000000003</v>
      </c>
      <c r="E48" s="10">
        <f>CHOOSE(CONTROL!$C$42, 4.5024, 4.5024) * CHOOSE(CONTROL!$C$21, $C$9, 100%, $E$9)</f>
        <v>4.5023999999999997</v>
      </c>
      <c r="F48" s="10">
        <f>CHOOSE(CONTROL!$C$42, 4.4214, 4.4214)*CHOOSE(CONTROL!$C$21, $C$9, 100%, $E$9)</f>
        <v>4.4214000000000002</v>
      </c>
      <c r="G48" s="10">
        <f>CHOOSE(CONTROL!$C$42, 4.4398, 4.4398)*CHOOSE(CONTROL!$C$21, $C$9, 100%, $E$9)</f>
        <v>4.4398</v>
      </c>
      <c r="H48" s="10">
        <f>CHOOSE(CONTROL!$C$42, 4.4916, 4.4916) * CHOOSE(CONTROL!$C$21, $C$9, 100%, $E$9)</f>
        <v>4.4916</v>
      </c>
      <c r="I48" s="10">
        <f>CHOOSE(CONTROL!$C$42, 4.4002, 4.4002)* CHOOSE(CONTROL!$C$21, $C$9, 100%, $E$9)</f>
        <v>4.4001999999999999</v>
      </c>
      <c r="J48" s="10">
        <f>CHOOSE(CONTROL!$C$42, 4.4144, 4.4144)* CHOOSE(CONTROL!$C$21, $C$9, 100%, $E$9)</f>
        <v>4.4143999999999997</v>
      </c>
      <c r="K48" s="54"/>
      <c r="L48" s="10">
        <f>CHOOSE(CONTROL!$C$42, 5.0786, 5.0786) * CHOOSE(CONTROL!$C$21, $C$9, 100%, $E$9)</f>
        <v>5.0785999999999998</v>
      </c>
      <c r="M48" s="10">
        <f>CHOOSE(CONTROL!$C$42, 4.3837, 4.3837) * CHOOSE(CONTROL!$C$21, $C$9, 100%, $E$9)</f>
        <v>4.3837000000000002</v>
      </c>
      <c r="N48" s="10">
        <f>CHOOSE(CONTROL!$C$42, 4.4019, 4.4019) * CHOOSE(CONTROL!$C$21, $C$9, 100%, $E$9)</f>
        <v>4.4019000000000004</v>
      </c>
      <c r="O48" s="10">
        <f>CHOOSE(CONTROL!$C$42, 4.4601, 4.4601) * CHOOSE(CONTROL!$C$21, $C$9, 100%, $E$9)</f>
        <v>4.4600999999999997</v>
      </c>
      <c r="P48" s="10">
        <f>CHOOSE(CONTROL!$C$42, 4.3697, 4.3697) * CHOOSE(CONTROL!$C$21, $C$9, 100%, $E$9)</f>
        <v>4.3696999999999999</v>
      </c>
      <c r="Q48" s="10">
        <f>CHOOSE(CONTROL!$C$42, 5.0554, 5.0554) * CHOOSE(CONTROL!$C$21, $C$9, 100%, $E$9)</f>
        <v>5.0553999999999997</v>
      </c>
      <c r="R48" s="10">
        <f>CHOOSE(CONTROL!$C$42, 5.655, 5.655) * CHOOSE(CONTROL!$C$21, $C$9, 100%, $E$9)</f>
        <v>5.6550000000000002</v>
      </c>
      <c r="S48" s="10">
        <f>CHOOSE(CONTROL!$C$42, 4.3038, 4.3038) * CHOOSE(CONTROL!$C$21, $C$9, 100%, $E$9)</f>
        <v>4.3037999999999998</v>
      </c>
      <c r="T48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8" s="58">
        <f>(1000*CHOOSE(CONTROL!$C$42, 695, 695)*CHOOSE(CONTROL!$C$42, 0.5599, 0.5599)*CHOOSE(CONTROL!$C$42, 31, 31))/1000000</f>
        <v>12.063045499999998</v>
      </c>
      <c r="V48" s="58">
        <f>(1000*CHOOSE(CONTROL!$C$42, 580, 580)*CHOOSE(CONTROL!$C$42, 0.275, 0.275)*CHOOSE(CONTROL!$C$42, 31, 31))/1000000</f>
        <v>4.9444999999999997</v>
      </c>
      <c r="W48" s="58">
        <f>(1000*CHOOSE(CONTROL!$C$42, 0.1146, 0.1146)*CHOOSE(CONTROL!$C$42, 121.5, 121.5)*CHOOSE(CONTROL!$C$42, 31, 31))/1000000</f>
        <v>0.43164089999999994</v>
      </c>
      <c r="X48" s="58">
        <f>(31*0.1790888*100000/1000000)+(31*0.2374*100000/1000000)</f>
        <v>1.2911152800000001</v>
      </c>
      <c r="Y48" s="58"/>
      <c r="Z48" s="10"/>
      <c r="AA48" s="57"/>
      <c r="AB48" s="51">
        <f>(B48*122.58+C48*297.941+D48*89.177+E48*40.302+F48*40+G48*160+H48*0+I48*100+J48*300)/(122.58+297.941+89.177+40.302+0+40+160+100+300)</f>
        <v>4.4327027339130431</v>
      </c>
      <c r="AC48" s="27">
        <f>(M48*'RAP TEMPLATE-GAS AVAILABILITY'!O47+N48*'RAP TEMPLATE-GAS AVAILABILITY'!P47+O48*'RAP TEMPLATE-GAS AVAILABILITY'!Q47+P48*'RAP TEMPLATE-GAS AVAILABILITY'!R47)/('RAP TEMPLATE-GAS AVAILABILITY'!O47+'RAP TEMPLATE-GAS AVAILABILITY'!P47+'RAP TEMPLATE-GAS AVAILABILITY'!Q47+'RAP TEMPLATE-GAS AVAILABILITY'!R47)</f>
        <v>4.417360431654676</v>
      </c>
    </row>
    <row r="49" spans="1:29" ht="15.75" x14ac:dyDescent="0.25">
      <c r="A49" s="16">
        <v>42736</v>
      </c>
      <c r="B49" s="10">
        <f>CHOOSE(CONTROL!$C$42, 4.7971, 4.7971) * CHOOSE(CONTROL!$C$21, $C$9, 100%, $E$9)</f>
        <v>4.7971000000000004</v>
      </c>
      <c r="C49" s="10">
        <f>CHOOSE(CONTROL!$C$42, 4.802, 4.802) * CHOOSE(CONTROL!$C$21, $C$9, 100%, $E$9)</f>
        <v>4.8019999999999996</v>
      </c>
      <c r="D49" s="10">
        <f>CHOOSE(CONTROL!$C$42, 4.8522, 4.8522) * CHOOSE(CONTROL!$C$21, $C$9, 100%, $E$9)</f>
        <v>4.8521999999999998</v>
      </c>
      <c r="E49" s="10">
        <f>CHOOSE(CONTROL!$C$42, 4.886, 4.886) * CHOOSE(CONTROL!$C$21, $C$9, 100%, $E$9)</f>
        <v>4.8860000000000001</v>
      </c>
      <c r="F49" s="10">
        <f>CHOOSE(CONTROL!$C$42, 4.7624, 4.7624)*CHOOSE(CONTROL!$C$21, $C$9, 100%, $E$9)</f>
        <v>4.7624000000000004</v>
      </c>
      <c r="G49" s="10">
        <f>CHOOSE(CONTROL!$C$42, 4.78, 4.78)*CHOOSE(CONTROL!$C$21, $C$9, 100%, $E$9)</f>
        <v>4.78</v>
      </c>
      <c r="H49" s="10">
        <f>CHOOSE(CONTROL!$C$42, 4.8752, 4.8752) * CHOOSE(CONTROL!$C$21, $C$9, 100%, $E$9)</f>
        <v>4.8752000000000004</v>
      </c>
      <c r="I49" s="10">
        <f>CHOOSE(CONTROL!$C$42, 4.771, 4.771)* CHOOSE(CONTROL!$C$21, $C$9, 100%, $E$9)</f>
        <v>4.7709999999999999</v>
      </c>
      <c r="J49" s="10">
        <f>CHOOSE(CONTROL!$C$42, 4.7554, 4.7554)* CHOOSE(CONTROL!$C$21, $C$9, 100%, $E$9)</f>
        <v>4.7553999999999998</v>
      </c>
      <c r="K49" s="54">
        <f>CHOOSE(CONTROL!$C$42, 4.7671, 4.7671) * CHOOSE(CONTROL!$C$21, $C$9, 100%, $E$9)</f>
        <v>4.7671000000000001</v>
      </c>
      <c r="L49" s="10">
        <f>CHOOSE(CONTROL!$C$42, 5.4622, 5.4622) * CHOOSE(CONTROL!$C$21, $C$9, 100%, $E$9)</f>
        <v>5.4622000000000002</v>
      </c>
      <c r="M49" s="10">
        <f>CHOOSE(CONTROL!$C$42, 4.7213, 4.7213) * CHOOSE(CONTROL!$C$21, $C$9, 100%, $E$9)</f>
        <v>4.7213000000000003</v>
      </c>
      <c r="N49" s="10">
        <f>CHOOSE(CONTROL!$C$42, 4.7387, 4.7387) * CHOOSE(CONTROL!$C$21, $C$9, 100%, $E$9)</f>
        <v>4.7386999999999997</v>
      </c>
      <c r="O49" s="10">
        <f>CHOOSE(CONTROL!$C$42, 4.8398, 4.8398) * CHOOSE(CONTROL!$C$21, $C$9, 100%, $E$9)</f>
        <v>4.8398000000000003</v>
      </c>
      <c r="P49" s="10">
        <f>CHOOSE(CONTROL!$C$42, 4.7367, 4.7367) * CHOOSE(CONTROL!$C$21, $C$9, 100%, $E$9)</f>
        <v>4.7366999999999999</v>
      </c>
      <c r="Q49" s="10">
        <f>CHOOSE(CONTROL!$C$42, 5.4351, 5.4351) * CHOOSE(CONTROL!$C$21, $C$9, 100%, $E$9)</f>
        <v>5.4351000000000003</v>
      </c>
      <c r="R49" s="10">
        <f>CHOOSE(CONTROL!$C$42, 6.0357, 6.0357) * CHOOSE(CONTROL!$C$21, $C$9, 100%, $E$9)</f>
        <v>6.0357000000000003</v>
      </c>
      <c r="S49" s="10">
        <f>CHOOSE(CONTROL!$C$42, 4.6563, 4.6563) * CHOOSE(CONTROL!$C$21, $C$9, 100%, $E$9)</f>
        <v>4.6562999999999999</v>
      </c>
      <c r="T49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9" s="58">
        <f>(1000*CHOOSE(CONTROL!$C$42, 695, 695)*CHOOSE(CONTROL!$C$42, 0.5599, 0.5599)*CHOOSE(CONTROL!$C$42, 31, 31))/1000000</f>
        <v>12.063045499999998</v>
      </c>
      <c r="V49" s="58">
        <f>(1000*CHOOSE(CONTROL!$C$42, 580, 580)*CHOOSE(CONTROL!$C$42, 0.275, 0.275)*CHOOSE(CONTROL!$C$42, 31, 31))/1000000</f>
        <v>4.9444999999999997</v>
      </c>
      <c r="W49" s="58">
        <f>(1000*CHOOSE(CONTROL!$C$42, 0.1146, 0.1146)*CHOOSE(CONTROL!$C$42, 121.5, 121.5)*CHOOSE(CONTROL!$C$42, 31, 31))/1000000</f>
        <v>0.43164089999999994</v>
      </c>
      <c r="X49" s="58">
        <f>(31*0.1790888*100000/1000000)+(31*0.2374*100000/1000000)</f>
        <v>1.2911152800000001</v>
      </c>
      <c r="Y49" s="58"/>
      <c r="Z49" s="10"/>
      <c r="AA49" s="57"/>
      <c r="AB49" s="51">
        <f>(B49*122.58+C49*297.941+D49*89.177+E49*40.302+F49*40+G49*160+H49*0+I49*100+J49*300)/(122.58+297.941+89.177+40.302+0+40+160+100+300)</f>
        <v>4.7890238360000001</v>
      </c>
      <c r="AC49" s="27">
        <f>(M49*'RAP TEMPLATE-GAS AVAILABILITY'!O48+N49*'RAP TEMPLATE-GAS AVAILABILITY'!P48+O49*'RAP TEMPLATE-GAS AVAILABILITY'!Q48+P49*'RAP TEMPLATE-GAS AVAILABILITY'!R48)/('RAP TEMPLATE-GAS AVAILABILITY'!O48+'RAP TEMPLATE-GAS AVAILABILITY'!P48+'RAP TEMPLATE-GAS AVAILABILITY'!Q48+'RAP TEMPLATE-GAS AVAILABILITY'!R48)</f>
        <v>4.7782258992805762</v>
      </c>
    </row>
    <row r="50" spans="1:29" ht="15.75" x14ac:dyDescent="0.25">
      <c r="A50" s="16">
        <v>42767</v>
      </c>
      <c r="B50" s="10">
        <f>CHOOSE(CONTROL!$C$42, 4.8824, 4.8824) * CHOOSE(CONTROL!$C$21, $C$9, 100%, $E$9)</f>
        <v>4.8823999999999996</v>
      </c>
      <c r="C50" s="10">
        <f>CHOOSE(CONTROL!$C$42, 4.8874, 4.8874) * CHOOSE(CONTROL!$C$21, $C$9, 100%, $E$9)</f>
        <v>4.8874000000000004</v>
      </c>
      <c r="D50" s="10">
        <f>CHOOSE(CONTROL!$C$42, 5.0045, 5.0045) * CHOOSE(CONTROL!$C$21, $C$9, 100%, $E$9)</f>
        <v>5.0045000000000002</v>
      </c>
      <c r="E50" s="10">
        <f>CHOOSE(CONTROL!$C$42, 5.0383, 5.0383) * CHOOSE(CONTROL!$C$21, $C$9, 100%, $E$9)</f>
        <v>5.0382999999999996</v>
      </c>
      <c r="F50" s="10">
        <f>CHOOSE(CONTROL!$C$42, 4.96, 4.96)*CHOOSE(CONTROL!$C$21, $C$9, 100%, $E$9)</f>
        <v>4.96</v>
      </c>
      <c r="G50" s="10">
        <f>CHOOSE(CONTROL!$C$42, 4.9819, 4.9819)*CHOOSE(CONTROL!$C$21, $C$9, 100%, $E$9)</f>
        <v>4.9819000000000004</v>
      </c>
      <c r="H50" s="10">
        <f>CHOOSE(CONTROL!$C$42, 5.0275, 5.0275) * CHOOSE(CONTROL!$C$21, $C$9, 100%, $E$9)</f>
        <v>5.0274999999999999</v>
      </c>
      <c r="I50" s="10">
        <f>CHOOSE(CONTROL!$C$42, 4.9181, 4.9181)* CHOOSE(CONTROL!$C$21, $C$9, 100%, $E$9)</f>
        <v>4.9180999999999999</v>
      </c>
      <c r="J50" s="10">
        <f>CHOOSE(CONTROL!$C$42, 4.953, 4.953)* CHOOSE(CONTROL!$C$21, $C$9, 100%, $E$9)</f>
        <v>4.9530000000000003</v>
      </c>
      <c r="K50" s="54">
        <f>CHOOSE(CONTROL!$C$42, 4.9142, 4.9142) * CHOOSE(CONTROL!$C$21, $C$9, 100%, $E$9)</f>
        <v>4.9142000000000001</v>
      </c>
      <c r="L50" s="10">
        <f>CHOOSE(CONTROL!$C$42, 5.6145, 5.6145) * CHOOSE(CONTROL!$C$21, $C$9, 100%, $E$9)</f>
        <v>5.6144999999999996</v>
      </c>
      <c r="M50" s="10">
        <f>CHOOSE(CONTROL!$C$42, 4.9169, 4.9169) * CHOOSE(CONTROL!$C$21, $C$9, 100%, $E$9)</f>
        <v>4.9169</v>
      </c>
      <c r="N50" s="10">
        <f>CHOOSE(CONTROL!$C$42, 4.9385, 4.9385) * CHOOSE(CONTROL!$C$21, $C$9, 100%, $E$9)</f>
        <v>4.9385000000000003</v>
      </c>
      <c r="O50" s="10">
        <f>CHOOSE(CONTROL!$C$42, 4.9906, 4.9906) * CHOOSE(CONTROL!$C$21, $C$9, 100%, $E$9)</f>
        <v>4.9905999999999997</v>
      </c>
      <c r="P50" s="10">
        <f>CHOOSE(CONTROL!$C$42, 4.8823, 4.8823) * CHOOSE(CONTROL!$C$21, $C$9, 100%, $E$9)</f>
        <v>4.8822999999999999</v>
      </c>
      <c r="Q50" s="10">
        <f>CHOOSE(CONTROL!$C$42, 5.5859, 5.5859) * CHOOSE(CONTROL!$C$21, $C$9, 100%, $E$9)</f>
        <v>5.5858999999999996</v>
      </c>
      <c r="R50" s="10">
        <f>CHOOSE(CONTROL!$C$42, 6.1868, 6.1868) * CHOOSE(CONTROL!$C$21, $C$9, 100%, $E$9)</f>
        <v>6.1867999999999999</v>
      </c>
      <c r="S50" s="10">
        <f>CHOOSE(CONTROL!$C$42, 4.7392, 4.7392) * CHOOSE(CONTROL!$C$21, $C$9, 100%, $E$9)</f>
        <v>4.7392000000000003</v>
      </c>
      <c r="T50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50" s="58">
        <f>(1000*CHOOSE(CONTROL!$C$42, 695, 695)*CHOOSE(CONTROL!$C$42, 0.5599, 0.5599)*CHOOSE(CONTROL!$C$42, 28, 28))/1000000</f>
        <v>10.895653999999999</v>
      </c>
      <c r="V50" s="58">
        <f>(1000*CHOOSE(CONTROL!$C$42, 580, 580)*CHOOSE(CONTROL!$C$42, 0.275, 0.275)*CHOOSE(CONTROL!$C$42, 28, 28))/1000000</f>
        <v>4.4660000000000002</v>
      </c>
      <c r="W50" s="58">
        <f>(1000*CHOOSE(CONTROL!$C$42, 0.1146, 0.1146)*CHOOSE(CONTROL!$C$42, 121.5, 121.5)*CHOOSE(CONTROL!$C$42, 28, 28))/1000000</f>
        <v>0.38986920000000003</v>
      </c>
      <c r="X50" s="58">
        <f>(28*0.1790888*100000/1000000)+(28*0.2374*100000/1000000)</f>
        <v>1.16616864</v>
      </c>
      <c r="Y50" s="58"/>
      <c r="Z50" s="10"/>
      <c r="AA50" s="57"/>
      <c r="AB50" s="51">
        <f>(B50*122.58+C50*297.941+D50*89.177+E50*40.302+F50*40+G50*160+H50*0+I50*100+J50*300)/(122.58+297.941+89.177+40.302+0+40+160+100+300)</f>
        <v>4.936691563913044</v>
      </c>
      <c r="AC50" s="27">
        <f>(M50*'RAP TEMPLATE-GAS AVAILABILITY'!O49+N50*'RAP TEMPLATE-GAS AVAILABILITY'!P49+O50*'RAP TEMPLATE-GAS AVAILABILITY'!Q49+P50*'RAP TEMPLATE-GAS AVAILABILITY'!R49)/('RAP TEMPLATE-GAS AVAILABILITY'!O49+'RAP TEMPLATE-GAS AVAILABILITY'!P49+'RAP TEMPLATE-GAS AVAILABILITY'!Q49+'RAP TEMPLATE-GAS AVAILABILITY'!R49)</f>
        <v>4.9465683453237412</v>
      </c>
    </row>
    <row r="51" spans="1:29" ht="15.75" x14ac:dyDescent="0.25">
      <c r="A51" s="16">
        <v>42795</v>
      </c>
      <c r="B51" s="10">
        <f>CHOOSE(CONTROL!$C$42, 4.7439, 4.7439) * CHOOSE(CONTROL!$C$21, $C$9, 100%, $E$9)</f>
        <v>4.7439</v>
      </c>
      <c r="C51" s="10">
        <f>CHOOSE(CONTROL!$C$42, 4.7488, 4.7488) * CHOOSE(CONTROL!$C$21, $C$9, 100%, $E$9)</f>
        <v>4.7488000000000001</v>
      </c>
      <c r="D51" s="10">
        <f>CHOOSE(CONTROL!$C$42, 4.8402, 4.8402) * CHOOSE(CONTROL!$C$21, $C$9, 100%, $E$9)</f>
        <v>4.8402000000000003</v>
      </c>
      <c r="E51" s="10">
        <f>CHOOSE(CONTROL!$C$42, 4.874, 4.874) * CHOOSE(CONTROL!$C$21, $C$9, 100%, $E$9)</f>
        <v>4.8739999999999997</v>
      </c>
      <c r="F51" s="10">
        <f>CHOOSE(CONTROL!$C$42, 4.7737, 4.7737)*CHOOSE(CONTROL!$C$21, $C$9, 100%, $E$9)</f>
        <v>4.7736999999999998</v>
      </c>
      <c r="G51" s="10">
        <f>CHOOSE(CONTROL!$C$42, 4.7932, 4.7932)*CHOOSE(CONTROL!$C$21, $C$9, 100%, $E$9)</f>
        <v>4.7931999999999997</v>
      </c>
      <c r="H51" s="10">
        <f>CHOOSE(CONTROL!$C$42, 4.8632, 4.8632) * CHOOSE(CONTROL!$C$21, $C$9, 100%, $E$9)</f>
        <v>4.8632</v>
      </c>
      <c r="I51" s="10">
        <f>CHOOSE(CONTROL!$C$42, 4.7667, 4.7667)* CHOOSE(CONTROL!$C$21, $C$9, 100%, $E$9)</f>
        <v>4.7667000000000002</v>
      </c>
      <c r="J51" s="10">
        <f>CHOOSE(CONTROL!$C$42, 4.7667, 4.7667)* CHOOSE(CONTROL!$C$21, $C$9, 100%, $E$9)</f>
        <v>4.7667000000000002</v>
      </c>
      <c r="K51" s="54">
        <f>CHOOSE(CONTROL!$C$42, 4.7628, 4.7628) * CHOOSE(CONTROL!$C$21, $C$9, 100%, $E$9)</f>
        <v>4.7628000000000004</v>
      </c>
      <c r="L51" s="10">
        <f>CHOOSE(CONTROL!$C$42, 5.4502, 5.4502) * CHOOSE(CONTROL!$C$21, $C$9, 100%, $E$9)</f>
        <v>5.4501999999999997</v>
      </c>
      <c r="M51" s="10">
        <f>CHOOSE(CONTROL!$C$42, 4.7325, 4.7325) * CHOOSE(CONTROL!$C$21, $C$9, 100%, $E$9)</f>
        <v>4.7324999999999999</v>
      </c>
      <c r="N51" s="10">
        <f>CHOOSE(CONTROL!$C$42, 4.7518, 4.7518) * CHOOSE(CONTROL!$C$21, $C$9, 100%, $E$9)</f>
        <v>4.7518000000000002</v>
      </c>
      <c r="O51" s="10">
        <f>CHOOSE(CONTROL!$C$42, 4.828, 4.828) * CHOOSE(CONTROL!$C$21, $C$9, 100%, $E$9)</f>
        <v>4.8280000000000003</v>
      </c>
      <c r="P51" s="10">
        <f>CHOOSE(CONTROL!$C$42, 4.7325, 4.7325) * CHOOSE(CONTROL!$C$21, $C$9, 100%, $E$9)</f>
        <v>4.7324999999999999</v>
      </c>
      <c r="Q51" s="10">
        <f>CHOOSE(CONTROL!$C$42, 5.4233, 5.4233) * CHOOSE(CONTROL!$C$21, $C$9, 100%, $E$9)</f>
        <v>5.4233000000000002</v>
      </c>
      <c r="R51" s="10">
        <f>CHOOSE(CONTROL!$C$42, 6.0238, 6.0238) * CHOOSE(CONTROL!$C$21, $C$9, 100%, $E$9)</f>
        <v>6.0237999999999996</v>
      </c>
      <c r="S51" s="10">
        <f>CHOOSE(CONTROL!$C$42, 4.6047, 4.6047) * CHOOSE(CONTROL!$C$21, $C$9, 100%, $E$9)</f>
        <v>4.6047000000000002</v>
      </c>
      <c r="T51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1" s="58">
        <f>(1000*CHOOSE(CONTROL!$C$42, 695, 695)*CHOOSE(CONTROL!$C$42, 0.5599, 0.5599)*CHOOSE(CONTROL!$C$42, 31, 31))/1000000</f>
        <v>12.063045499999998</v>
      </c>
      <c r="V51" s="58">
        <f>(1000*CHOOSE(CONTROL!$C$42, 580, 580)*CHOOSE(CONTROL!$C$42, 0.275, 0.275)*CHOOSE(CONTROL!$C$42, 31, 31))/1000000</f>
        <v>4.9444999999999997</v>
      </c>
      <c r="W51" s="58">
        <f>(1000*CHOOSE(CONTROL!$C$42, 0.1146, 0.1146)*CHOOSE(CONTROL!$C$42, 121.5, 121.5)*CHOOSE(CONTROL!$C$42, 31, 31))/1000000</f>
        <v>0.43164089999999994</v>
      </c>
      <c r="X51" s="58">
        <f>(31*0.1790888*100000/1000000)+(31*0.2374*100000/1000000)</f>
        <v>1.2911152800000001</v>
      </c>
      <c r="Y51" s="58"/>
      <c r="Z51" s="10"/>
      <c r="AA51" s="57"/>
      <c r="AB51" s="51">
        <f>(B51*122.58+C51*297.941+D51*89.177+E51*40.302+F51*40+G51*160+H51*0+I51*100+J51*300)/(122.58+297.941+89.177+40.302+0+40+160+100+300)</f>
        <v>4.7730225619130424</v>
      </c>
      <c r="AC51" s="27">
        <f>(M51*'RAP TEMPLATE-GAS AVAILABILITY'!O50+N51*'RAP TEMPLATE-GAS AVAILABILITY'!P50+O51*'RAP TEMPLATE-GAS AVAILABILITY'!Q50+P51*'RAP TEMPLATE-GAS AVAILABILITY'!R50)/('RAP TEMPLATE-GAS AVAILABILITY'!O50+'RAP TEMPLATE-GAS AVAILABILITY'!P50+'RAP TEMPLATE-GAS AVAILABILITY'!Q50+'RAP TEMPLATE-GAS AVAILABILITY'!R50)</f>
        <v>4.7768949640287772</v>
      </c>
    </row>
    <row r="52" spans="1:29" ht="15.75" x14ac:dyDescent="0.25">
      <c r="A52" s="16">
        <v>42826</v>
      </c>
      <c r="B52" s="10">
        <f>CHOOSE(CONTROL!$C$42, 4.7305, 4.7305) * CHOOSE(CONTROL!$C$21, $C$9, 100%, $E$9)</f>
        <v>4.7305000000000001</v>
      </c>
      <c r="C52" s="10">
        <f>CHOOSE(CONTROL!$C$42, 4.7348, 4.7348) * CHOOSE(CONTROL!$C$21, $C$9, 100%, $E$9)</f>
        <v>4.7347999999999999</v>
      </c>
      <c r="D52" s="10">
        <f>CHOOSE(CONTROL!$C$42, 4.9165, 4.9165) * CHOOSE(CONTROL!$C$21, $C$9, 100%, $E$9)</f>
        <v>4.9165000000000001</v>
      </c>
      <c r="E52" s="10">
        <f>CHOOSE(CONTROL!$C$42, 4.9483, 4.9483) * CHOOSE(CONTROL!$C$21, $C$9, 100%, $E$9)</f>
        <v>4.9482999999999997</v>
      </c>
      <c r="F52" s="10">
        <f>CHOOSE(CONTROL!$C$42, 4.7188, 4.7188)*CHOOSE(CONTROL!$C$21, $C$9, 100%, $E$9)</f>
        <v>4.7187999999999999</v>
      </c>
      <c r="G52" s="10">
        <f>CHOOSE(CONTROL!$C$42, 4.7368, 4.7368)*CHOOSE(CONTROL!$C$21, $C$9, 100%, $E$9)</f>
        <v>4.7367999999999997</v>
      </c>
      <c r="H52" s="10">
        <f>CHOOSE(CONTROL!$C$42, 4.9381, 4.9381) * CHOOSE(CONTROL!$C$21, $C$9, 100%, $E$9)</f>
        <v>4.9381000000000004</v>
      </c>
      <c r="I52" s="10">
        <f>CHOOSE(CONTROL!$C$42, 4.7087, 4.7087)* CHOOSE(CONTROL!$C$21, $C$9, 100%, $E$9)</f>
        <v>4.7087000000000003</v>
      </c>
      <c r="J52" s="10">
        <f>CHOOSE(CONTROL!$C$42, 4.7118, 4.7118)* CHOOSE(CONTROL!$C$21, $C$9, 100%, $E$9)</f>
        <v>4.7118000000000002</v>
      </c>
      <c r="K52" s="54">
        <f>CHOOSE(CONTROL!$C$42, 4.7048, 4.7048) * CHOOSE(CONTROL!$C$21, $C$9, 100%, $E$9)</f>
        <v>4.7047999999999996</v>
      </c>
      <c r="L52" s="10">
        <f>CHOOSE(CONTROL!$C$42, 5.5251, 5.5251) * CHOOSE(CONTROL!$C$21, $C$9, 100%, $E$9)</f>
        <v>5.5251000000000001</v>
      </c>
      <c r="M52" s="10">
        <f>CHOOSE(CONTROL!$C$42, 4.6781, 4.6781) * CHOOSE(CONTROL!$C$21, $C$9, 100%, $E$9)</f>
        <v>4.6780999999999997</v>
      </c>
      <c r="N52" s="10">
        <f>CHOOSE(CONTROL!$C$42, 4.6959, 4.6959) * CHOOSE(CONTROL!$C$21, $C$9, 100%, $E$9)</f>
        <v>4.6959</v>
      </c>
      <c r="O52" s="10">
        <f>CHOOSE(CONTROL!$C$42, 4.9021, 4.9021) * CHOOSE(CONTROL!$C$21, $C$9, 100%, $E$9)</f>
        <v>4.9020999999999999</v>
      </c>
      <c r="P52" s="10">
        <f>CHOOSE(CONTROL!$C$42, 4.6751, 4.6751) * CHOOSE(CONTROL!$C$21, $C$9, 100%, $E$9)</f>
        <v>4.6750999999999996</v>
      </c>
      <c r="Q52" s="10">
        <f>CHOOSE(CONTROL!$C$42, 5.4974, 5.4974) * CHOOSE(CONTROL!$C$21, $C$9, 100%, $E$9)</f>
        <v>5.4973999999999998</v>
      </c>
      <c r="R52" s="10">
        <f>CHOOSE(CONTROL!$C$42, 6.0981, 6.0981) * CHOOSE(CONTROL!$C$21, $C$9, 100%, $E$9)</f>
        <v>6.0980999999999996</v>
      </c>
      <c r="S52" s="10">
        <f>CHOOSE(CONTROL!$C$42, 4.5909, 4.5909) * CHOOSE(CONTROL!$C$21, $C$9, 100%, $E$9)</f>
        <v>4.5909000000000004</v>
      </c>
      <c r="T52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2" s="58">
        <f>(1000*CHOOSE(CONTROL!$C$42, 695, 695)*CHOOSE(CONTROL!$C$42, 0.5599, 0.5599)*CHOOSE(CONTROL!$C$42, 30, 30))/1000000</f>
        <v>11.673914999999997</v>
      </c>
      <c r="V52" s="58">
        <f>(1000*CHOOSE(CONTROL!$C$42, 580, 580)*CHOOSE(CONTROL!$C$42, 0.275, 0.275)*CHOOSE(CONTROL!$C$42, 30, 30))/1000000</f>
        <v>4.7850000000000001</v>
      </c>
      <c r="W52" s="58">
        <f>(1000*CHOOSE(CONTROL!$C$42, 0.1146, 0.1146)*CHOOSE(CONTROL!$C$42, 121.5, 121.5)*CHOOSE(CONTROL!$C$42, 30, 30))/1000000</f>
        <v>0.417717</v>
      </c>
      <c r="X52" s="58">
        <f>(30*0.1790888*245000/1000000)+(30*0.2374*100000/1000000)</f>
        <v>2.0285026799999999</v>
      </c>
      <c r="Y52" s="58"/>
      <c r="Z52" s="10"/>
      <c r="AA52" s="57"/>
      <c r="AB52" s="51">
        <f>(B52*141.293+C52*267.993+D52*115.016+E52*89.698+F52*40+G52*185+H52*0+I52*100+J52*300)/(141.293+267.993+115.016+89.698+0+40+185+100+300)</f>
        <v>4.7587397661824049</v>
      </c>
      <c r="AC52" s="27">
        <f>(M52*'RAP TEMPLATE-GAS AVAILABILITY'!O51+N52*'RAP TEMPLATE-GAS AVAILABILITY'!P51+O52*'RAP TEMPLATE-GAS AVAILABILITY'!Q51+P52*'RAP TEMPLATE-GAS AVAILABILITY'!R51)/('RAP TEMPLATE-GAS AVAILABILITY'!O51+'RAP TEMPLATE-GAS AVAILABILITY'!P51+'RAP TEMPLATE-GAS AVAILABILITY'!Q51+'RAP TEMPLATE-GAS AVAILABILITY'!R51)</f>
        <v>4.7446151079136687</v>
      </c>
    </row>
    <row r="53" spans="1:29" ht="15.75" x14ac:dyDescent="0.25">
      <c r="A53" s="16">
        <v>42856</v>
      </c>
      <c r="B53" s="10">
        <f>CHOOSE(CONTROL!$C$42, 4.774, 4.774) * CHOOSE(CONTROL!$C$21, $C$9, 100%, $E$9)</f>
        <v>4.774</v>
      </c>
      <c r="C53" s="10">
        <f>CHOOSE(CONTROL!$C$42, 4.7819, 4.7819) * CHOOSE(CONTROL!$C$21, $C$9, 100%, $E$9)</f>
        <v>4.7819000000000003</v>
      </c>
      <c r="D53" s="10">
        <f>CHOOSE(CONTROL!$C$42, 4.9604, 4.9604) * CHOOSE(CONTROL!$C$21, $C$9, 100%, $E$9)</f>
        <v>4.9603999999999999</v>
      </c>
      <c r="E53" s="10">
        <f>CHOOSE(CONTROL!$C$42, 4.9916, 4.9916) * CHOOSE(CONTROL!$C$21, $C$9, 100%, $E$9)</f>
        <v>4.9916</v>
      </c>
      <c r="F53" s="10">
        <f>CHOOSE(CONTROL!$C$42, 4.7602, 4.7602)*CHOOSE(CONTROL!$C$21, $C$9, 100%, $E$9)</f>
        <v>4.7602000000000002</v>
      </c>
      <c r="G53" s="10">
        <f>CHOOSE(CONTROL!$C$42, 4.7783, 4.7783)*CHOOSE(CONTROL!$C$21, $C$9, 100%, $E$9)</f>
        <v>4.7782999999999998</v>
      </c>
      <c r="H53" s="10">
        <f>CHOOSE(CONTROL!$C$42, 4.9802, 4.9802) * CHOOSE(CONTROL!$C$21, $C$9, 100%, $E$9)</f>
        <v>4.9802</v>
      </c>
      <c r="I53" s="10">
        <f>CHOOSE(CONTROL!$C$42, 4.7508, 4.7508)* CHOOSE(CONTROL!$C$21, $C$9, 100%, $E$9)</f>
        <v>4.7507999999999999</v>
      </c>
      <c r="J53" s="10">
        <f>CHOOSE(CONTROL!$C$42, 4.7532, 4.7532)* CHOOSE(CONTROL!$C$21, $C$9, 100%, $E$9)</f>
        <v>4.7531999999999996</v>
      </c>
      <c r="K53" s="54">
        <f>CHOOSE(CONTROL!$C$42, 4.747, 4.747) * CHOOSE(CONTROL!$C$21, $C$9, 100%, $E$9)</f>
        <v>4.7469999999999999</v>
      </c>
      <c r="L53" s="10">
        <f>CHOOSE(CONTROL!$C$42, 5.5672, 5.5672) * CHOOSE(CONTROL!$C$21, $C$9, 100%, $E$9)</f>
        <v>5.5671999999999997</v>
      </c>
      <c r="M53" s="10">
        <f>CHOOSE(CONTROL!$C$42, 4.719, 4.719) * CHOOSE(CONTROL!$C$21, $C$9, 100%, $E$9)</f>
        <v>4.7190000000000003</v>
      </c>
      <c r="N53" s="10">
        <f>CHOOSE(CONTROL!$C$42, 4.737, 4.737) * CHOOSE(CONTROL!$C$21, $C$9, 100%, $E$9)</f>
        <v>4.7370000000000001</v>
      </c>
      <c r="O53" s="10">
        <f>CHOOSE(CONTROL!$C$42, 4.9438, 4.9438) * CHOOSE(CONTROL!$C$21, $C$9, 100%, $E$9)</f>
        <v>4.9438000000000004</v>
      </c>
      <c r="P53" s="10">
        <f>CHOOSE(CONTROL!$C$42, 4.7168, 4.7168) * CHOOSE(CONTROL!$C$21, $C$9, 100%, $E$9)</f>
        <v>4.7168000000000001</v>
      </c>
      <c r="Q53" s="10">
        <f>CHOOSE(CONTROL!$C$42, 5.5391, 5.5391) * CHOOSE(CONTROL!$C$21, $C$9, 100%, $E$9)</f>
        <v>5.5391000000000004</v>
      </c>
      <c r="R53" s="10">
        <f>CHOOSE(CONTROL!$C$42, 6.1399, 6.1399) * CHOOSE(CONTROL!$C$21, $C$9, 100%, $E$9)</f>
        <v>6.1398999999999999</v>
      </c>
      <c r="S53" s="10">
        <f>CHOOSE(CONTROL!$C$42, 4.6318, 4.6318) * CHOOSE(CONTROL!$C$21, $C$9, 100%, $E$9)</f>
        <v>4.6318000000000001</v>
      </c>
      <c r="T53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3" s="58">
        <f>(1000*CHOOSE(CONTROL!$C$42, 695, 695)*CHOOSE(CONTROL!$C$42, 0.5599, 0.5599)*CHOOSE(CONTROL!$C$42, 31, 31))/1000000</f>
        <v>12.063045499999998</v>
      </c>
      <c r="V53" s="58">
        <f>(1000*CHOOSE(CONTROL!$C$42, 580, 580)*CHOOSE(CONTROL!$C$42, 0.275, 0.275)*CHOOSE(CONTROL!$C$42, 31, 31))/1000000</f>
        <v>4.9444999999999997</v>
      </c>
      <c r="W53" s="58">
        <f>(1000*CHOOSE(CONTROL!$C$42, 0.1146, 0.1146)*CHOOSE(CONTROL!$C$42, 121.5, 121.5)*CHOOSE(CONTROL!$C$42, 31, 31))/1000000</f>
        <v>0.43164089999999994</v>
      </c>
      <c r="X53" s="58">
        <f>(31*0.1790888*245000/1000000)+(31*0.2374*100000/1000000)</f>
        <v>2.0961194359999999</v>
      </c>
      <c r="Y53" s="58"/>
      <c r="Z53" s="10"/>
      <c r="AA53" s="57"/>
      <c r="AB53" s="51">
        <f>(B53*194.205+C53*267.466+D53*133.845+E53*53.484+F53*40+G53*185+H53*0+I53*100+J53*300)/(194.205+267.466+133.845+53.484+0+40+185+100+300)</f>
        <v>4.7978487502354783</v>
      </c>
      <c r="AC53" s="27">
        <f>(M53*'RAP TEMPLATE-GAS AVAILABILITY'!O52+N53*'RAP TEMPLATE-GAS AVAILABILITY'!P52+O53*'RAP TEMPLATE-GAS AVAILABILITY'!Q52+P53*'RAP TEMPLATE-GAS AVAILABILITY'!R52)/('RAP TEMPLATE-GAS AVAILABILITY'!O52+'RAP TEMPLATE-GAS AVAILABILITY'!P52+'RAP TEMPLATE-GAS AVAILABILITY'!Q52+'RAP TEMPLATE-GAS AVAILABILITY'!R52)</f>
        <v>4.7859007194244603</v>
      </c>
    </row>
    <row r="54" spans="1:29" ht="15.75" x14ac:dyDescent="0.25">
      <c r="A54" s="16">
        <v>42887</v>
      </c>
      <c r="B54" s="10">
        <f>CHOOSE(CONTROL!$C$42, 4.9092, 4.9092) * CHOOSE(CONTROL!$C$21, $C$9, 100%, $E$9)</f>
        <v>4.9092000000000002</v>
      </c>
      <c r="C54" s="10">
        <f>CHOOSE(CONTROL!$C$42, 4.9172, 4.9172) * CHOOSE(CONTROL!$C$21, $C$9, 100%, $E$9)</f>
        <v>4.9172000000000002</v>
      </c>
      <c r="D54" s="10">
        <f>CHOOSE(CONTROL!$C$42, 5.0957, 5.0957) * CHOOSE(CONTROL!$C$21, $C$9, 100%, $E$9)</f>
        <v>5.0956999999999999</v>
      </c>
      <c r="E54" s="10">
        <f>CHOOSE(CONTROL!$C$42, 5.1268, 5.1268) * CHOOSE(CONTROL!$C$21, $C$9, 100%, $E$9)</f>
        <v>5.1268000000000002</v>
      </c>
      <c r="F54" s="10">
        <f>CHOOSE(CONTROL!$C$42, 4.8957, 4.8957)*CHOOSE(CONTROL!$C$21, $C$9, 100%, $E$9)</f>
        <v>4.8956999999999997</v>
      </c>
      <c r="G54" s="10">
        <f>CHOOSE(CONTROL!$C$42, 4.9139, 4.9139)*CHOOSE(CONTROL!$C$21, $C$9, 100%, $E$9)</f>
        <v>4.9138999999999999</v>
      </c>
      <c r="H54" s="10">
        <f>CHOOSE(CONTROL!$C$42, 5.1155, 5.1155) * CHOOSE(CONTROL!$C$21, $C$9, 100%, $E$9)</f>
        <v>5.1154999999999999</v>
      </c>
      <c r="I54" s="10">
        <f>CHOOSE(CONTROL!$C$42, 4.8861, 4.8861)* CHOOSE(CONTROL!$C$21, $C$9, 100%, $E$9)</f>
        <v>4.8860999999999999</v>
      </c>
      <c r="J54" s="10">
        <f>CHOOSE(CONTROL!$C$42, 4.8887, 4.8887)* CHOOSE(CONTROL!$C$21, $C$9, 100%, $E$9)</f>
        <v>4.8887</v>
      </c>
      <c r="K54" s="54">
        <f>CHOOSE(CONTROL!$C$42, 4.8822, 4.8822) * CHOOSE(CONTROL!$C$21, $C$9, 100%, $E$9)</f>
        <v>4.8822000000000001</v>
      </c>
      <c r="L54" s="10">
        <f>CHOOSE(CONTROL!$C$42, 5.7025, 5.7025) * CHOOSE(CONTROL!$C$21, $C$9, 100%, $E$9)</f>
        <v>5.7024999999999997</v>
      </c>
      <c r="M54" s="10">
        <f>CHOOSE(CONTROL!$C$42, 4.8532, 4.8532) * CHOOSE(CONTROL!$C$21, $C$9, 100%, $E$9)</f>
        <v>4.8532000000000002</v>
      </c>
      <c r="N54" s="10">
        <f>CHOOSE(CONTROL!$C$42, 4.8712, 4.8712) * CHOOSE(CONTROL!$C$21, $C$9, 100%, $E$9)</f>
        <v>4.8712</v>
      </c>
      <c r="O54" s="10">
        <f>CHOOSE(CONTROL!$C$42, 5.0777, 5.0777) * CHOOSE(CONTROL!$C$21, $C$9, 100%, $E$9)</f>
        <v>5.0777000000000001</v>
      </c>
      <c r="P54" s="10">
        <f>CHOOSE(CONTROL!$C$42, 4.8507, 4.8507) * CHOOSE(CONTROL!$C$21, $C$9, 100%, $E$9)</f>
        <v>4.8506999999999998</v>
      </c>
      <c r="Q54" s="10">
        <f>CHOOSE(CONTROL!$C$42, 5.673, 5.673) * CHOOSE(CONTROL!$C$21, $C$9, 100%, $E$9)</f>
        <v>5.673</v>
      </c>
      <c r="R54" s="10">
        <f>CHOOSE(CONTROL!$C$42, 6.2741, 6.2741) * CHOOSE(CONTROL!$C$21, $C$9, 100%, $E$9)</f>
        <v>6.2740999999999998</v>
      </c>
      <c r="S54" s="10">
        <f>CHOOSE(CONTROL!$C$42, 4.7631, 4.7631) * CHOOSE(CONTROL!$C$21, $C$9, 100%, $E$9)</f>
        <v>4.7630999999999997</v>
      </c>
      <c r="T54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4" s="58">
        <f>(1000*CHOOSE(CONTROL!$C$42, 695, 695)*CHOOSE(CONTROL!$C$42, 0.5599, 0.5599)*CHOOSE(CONTROL!$C$42, 30, 30))/1000000</f>
        <v>11.673914999999997</v>
      </c>
      <c r="V54" s="58">
        <f>(1000*CHOOSE(CONTROL!$C$42, 580, 580)*CHOOSE(CONTROL!$C$42, 0.275, 0.275)*CHOOSE(CONTROL!$C$42, 30, 30))/1000000</f>
        <v>4.7850000000000001</v>
      </c>
      <c r="W54" s="58">
        <f>(1000*CHOOSE(CONTROL!$C$42, 0.1146, 0.1146)*CHOOSE(CONTROL!$C$42, 121.5, 121.5)*CHOOSE(CONTROL!$C$42, 30, 30))/1000000</f>
        <v>0.417717</v>
      </c>
      <c r="X54" s="58">
        <f>(30*0.1790888*245000/1000000)+(30*0.2374*100000/1000000)</f>
        <v>2.0285026799999999</v>
      </c>
      <c r="Y54" s="58"/>
      <c r="Z54" s="10"/>
      <c r="AA54" s="57"/>
      <c r="AB54" s="51">
        <f>(B54*194.205+C54*267.466+D54*133.845+E54*53.484+F54*40+G54*185+H54*0+I54*100+J54*300)/(194.205+267.466+133.845+53.484+0+40+185+100+300)</f>
        <v>4.9332262471742547</v>
      </c>
      <c r="AC54" s="27">
        <f>(M54*'RAP TEMPLATE-GAS AVAILABILITY'!O53+N54*'RAP TEMPLATE-GAS AVAILABILITY'!P53+O54*'RAP TEMPLATE-GAS AVAILABILITY'!Q53+P54*'RAP TEMPLATE-GAS AVAILABILITY'!R53)/('RAP TEMPLATE-GAS AVAILABILITY'!O53+'RAP TEMPLATE-GAS AVAILABILITY'!P53+'RAP TEMPLATE-GAS AVAILABILITY'!Q53+'RAP TEMPLATE-GAS AVAILABILITY'!R53)</f>
        <v>4.9199733812949642</v>
      </c>
    </row>
    <row r="55" spans="1:29" ht="15.75" x14ac:dyDescent="0.25">
      <c r="A55" s="16">
        <v>42917</v>
      </c>
      <c r="B55" s="10">
        <f>CHOOSE(CONTROL!$C$42, 4.8152, 4.8152) * CHOOSE(CONTROL!$C$21, $C$9, 100%, $E$9)</f>
        <v>4.8151999999999999</v>
      </c>
      <c r="C55" s="10">
        <f>CHOOSE(CONTROL!$C$42, 4.8231, 4.8231) * CHOOSE(CONTROL!$C$21, $C$9, 100%, $E$9)</f>
        <v>4.8231000000000002</v>
      </c>
      <c r="D55" s="10">
        <f>CHOOSE(CONTROL!$C$42, 5.0016, 5.0016) * CHOOSE(CONTROL!$C$21, $C$9, 100%, $E$9)</f>
        <v>5.0015999999999998</v>
      </c>
      <c r="E55" s="10">
        <f>CHOOSE(CONTROL!$C$42, 5.0327, 5.0327) * CHOOSE(CONTROL!$C$21, $C$9, 100%, $E$9)</f>
        <v>5.0327000000000002</v>
      </c>
      <c r="F55" s="10">
        <f>CHOOSE(CONTROL!$C$42, 4.8019, 4.8019)*CHOOSE(CONTROL!$C$21, $C$9, 100%, $E$9)</f>
        <v>4.8018999999999998</v>
      </c>
      <c r="G55" s="10">
        <f>CHOOSE(CONTROL!$C$42, 4.8202, 4.8202)*CHOOSE(CONTROL!$C$21, $C$9, 100%, $E$9)</f>
        <v>4.8201999999999998</v>
      </c>
      <c r="H55" s="10">
        <f>CHOOSE(CONTROL!$C$42, 5.0214, 5.0214) * CHOOSE(CONTROL!$C$21, $C$9, 100%, $E$9)</f>
        <v>5.0213999999999999</v>
      </c>
      <c r="I55" s="10">
        <f>CHOOSE(CONTROL!$C$42, 4.792, 4.792)* CHOOSE(CONTROL!$C$21, $C$9, 100%, $E$9)</f>
        <v>4.7919999999999998</v>
      </c>
      <c r="J55" s="10">
        <f>CHOOSE(CONTROL!$C$42, 4.7949, 4.7949)* CHOOSE(CONTROL!$C$21, $C$9, 100%, $E$9)</f>
        <v>4.7949000000000002</v>
      </c>
      <c r="K55" s="54">
        <f>CHOOSE(CONTROL!$C$42, 4.7881, 4.7881) * CHOOSE(CONTROL!$C$21, $C$9, 100%, $E$9)</f>
        <v>4.7881</v>
      </c>
      <c r="L55" s="10">
        <f>CHOOSE(CONTROL!$C$42, 5.6084, 5.6084) * CHOOSE(CONTROL!$C$21, $C$9, 100%, $E$9)</f>
        <v>5.6083999999999996</v>
      </c>
      <c r="M55" s="10">
        <f>CHOOSE(CONTROL!$C$42, 4.7603, 4.7603) * CHOOSE(CONTROL!$C$21, $C$9, 100%, $E$9)</f>
        <v>4.7603</v>
      </c>
      <c r="N55" s="10">
        <f>CHOOSE(CONTROL!$C$42, 4.7784, 4.7784) * CHOOSE(CONTROL!$C$21, $C$9, 100%, $E$9)</f>
        <v>4.7784000000000004</v>
      </c>
      <c r="O55" s="10">
        <f>CHOOSE(CONTROL!$C$42, 4.9845, 4.9845) * CHOOSE(CONTROL!$C$21, $C$9, 100%, $E$9)</f>
        <v>4.9844999999999997</v>
      </c>
      <c r="P55" s="10">
        <f>CHOOSE(CONTROL!$C$42, 4.7575, 4.7575) * CHOOSE(CONTROL!$C$21, $C$9, 100%, $E$9)</f>
        <v>4.7575000000000003</v>
      </c>
      <c r="Q55" s="10">
        <f>CHOOSE(CONTROL!$C$42, 5.5798, 5.5798) * CHOOSE(CONTROL!$C$21, $C$9, 100%, $E$9)</f>
        <v>5.5797999999999996</v>
      </c>
      <c r="R55" s="10">
        <f>CHOOSE(CONTROL!$C$42, 6.1808, 6.1808) * CHOOSE(CONTROL!$C$21, $C$9, 100%, $E$9)</f>
        <v>6.1807999999999996</v>
      </c>
      <c r="S55" s="10">
        <f>CHOOSE(CONTROL!$C$42, 4.6718, 4.6718) * CHOOSE(CONTROL!$C$21, $C$9, 100%, $E$9)</f>
        <v>4.6718000000000002</v>
      </c>
      <c r="T55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5" s="58">
        <f>(1000*CHOOSE(CONTROL!$C$42, 695, 695)*CHOOSE(CONTROL!$C$42, 0.5599, 0.5599)*CHOOSE(CONTROL!$C$42, 31, 31))/1000000</f>
        <v>12.063045499999998</v>
      </c>
      <c r="V55" s="58">
        <f>(1000*CHOOSE(CONTROL!$C$42, 580, 580)*CHOOSE(CONTROL!$C$42, 0.275, 0.275)*CHOOSE(CONTROL!$C$42, 31, 31))/1000000</f>
        <v>4.9444999999999997</v>
      </c>
      <c r="W55" s="58">
        <f>(1000*CHOOSE(CONTROL!$C$42, 0.1146, 0.1146)*CHOOSE(CONTROL!$C$42, 121.5, 121.5)*CHOOSE(CONTROL!$C$42, 31, 31))/1000000</f>
        <v>0.43164089999999994</v>
      </c>
      <c r="X55" s="58">
        <f>(31*0.1790888*245000/1000000)+(31*0.2374*100000/1000000)</f>
        <v>2.0961194359999999</v>
      </c>
      <c r="Y55" s="58"/>
      <c r="Z55" s="10"/>
      <c r="AA55" s="57"/>
      <c r="AB55" s="51">
        <f>(B55*194.205+C55*267.466+D55*133.845+E55*53.484+F55*40+G55*185+H55*0+I55*100+J55*300)/(194.205+267.466+133.845+53.484+0+40+185+100+300)</f>
        <v>4.8392796384615382</v>
      </c>
      <c r="AC55" s="27">
        <f>(M55*'RAP TEMPLATE-GAS AVAILABILITY'!O54+N55*'RAP TEMPLATE-GAS AVAILABILITY'!P54+O55*'RAP TEMPLATE-GAS AVAILABILITY'!Q54+P55*'RAP TEMPLATE-GAS AVAILABILITY'!R54)/('RAP TEMPLATE-GAS AVAILABILITY'!O54+'RAP TEMPLATE-GAS AVAILABILITY'!P54+'RAP TEMPLATE-GAS AVAILABILITY'!Q54+'RAP TEMPLATE-GAS AVAILABILITY'!R54)</f>
        <v>4.8269690647482015</v>
      </c>
    </row>
    <row r="56" spans="1:29" ht="15.75" x14ac:dyDescent="0.25">
      <c r="A56" s="16">
        <v>42948</v>
      </c>
      <c r="B56" s="10">
        <f>CHOOSE(CONTROL!$C$42, 4.5776, 4.5776) * CHOOSE(CONTROL!$C$21, $C$9, 100%, $E$9)</f>
        <v>4.5776000000000003</v>
      </c>
      <c r="C56" s="10">
        <f>CHOOSE(CONTROL!$C$42, 4.5855, 4.5855) * CHOOSE(CONTROL!$C$21, $C$9, 100%, $E$9)</f>
        <v>4.5854999999999997</v>
      </c>
      <c r="D56" s="10">
        <f>CHOOSE(CONTROL!$C$42, 4.764, 4.764) * CHOOSE(CONTROL!$C$21, $C$9, 100%, $E$9)</f>
        <v>4.7640000000000002</v>
      </c>
      <c r="E56" s="10">
        <f>CHOOSE(CONTROL!$C$42, 4.7952, 4.7952) * CHOOSE(CONTROL!$C$21, $C$9, 100%, $E$9)</f>
        <v>4.7952000000000004</v>
      </c>
      <c r="F56" s="10">
        <f>CHOOSE(CONTROL!$C$42, 4.5642, 4.5642)*CHOOSE(CONTROL!$C$21, $C$9, 100%, $E$9)</f>
        <v>4.5641999999999996</v>
      </c>
      <c r="G56" s="10">
        <f>CHOOSE(CONTROL!$C$42, 4.5825, 4.5825)*CHOOSE(CONTROL!$C$21, $C$9, 100%, $E$9)</f>
        <v>4.5824999999999996</v>
      </c>
      <c r="H56" s="10">
        <f>CHOOSE(CONTROL!$C$42, 4.7838, 4.7838) * CHOOSE(CONTROL!$C$21, $C$9, 100%, $E$9)</f>
        <v>4.7838000000000003</v>
      </c>
      <c r="I56" s="10">
        <f>CHOOSE(CONTROL!$C$42, 4.5545, 4.5545)* CHOOSE(CONTROL!$C$21, $C$9, 100%, $E$9)</f>
        <v>4.5545</v>
      </c>
      <c r="J56" s="10">
        <f>CHOOSE(CONTROL!$C$42, 4.5572, 4.5572)* CHOOSE(CONTROL!$C$21, $C$9, 100%, $E$9)</f>
        <v>4.5571999999999999</v>
      </c>
      <c r="K56" s="54">
        <f>CHOOSE(CONTROL!$C$42, 4.5506, 4.5506) * CHOOSE(CONTROL!$C$21, $C$9, 100%, $E$9)</f>
        <v>4.5506000000000002</v>
      </c>
      <c r="L56" s="10">
        <f>CHOOSE(CONTROL!$C$42, 5.3708, 5.3708) * CHOOSE(CONTROL!$C$21, $C$9, 100%, $E$9)</f>
        <v>5.3708</v>
      </c>
      <c r="M56" s="10">
        <f>CHOOSE(CONTROL!$C$42, 4.5251, 4.5251) * CHOOSE(CONTROL!$C$21, $C$9, 100%, $E$9)</f>
        <v>4.5251000000000001</v>
      </c>
      <c r="N56" s="10">
        <f>CHOOSE(CONTROL!$C$42, 4.5432, 4.5432) * CHOOSE(CONTROL!$C$21, $C$9, 100%, $E$9)</f>
        <v>4.5431999999999997</v>
      </c>
      <c r="O56" s="10">
        <f>CHOOSE(CONTROL!$C$42, 4.7494, 4.7494) * CHOOSE(CONTROL!$C$21, $C$9, 100%, $E$9)</f>
        <v>4.7493999999999996</v>
      </c>
      <c r="P56" s="10">
        <f>CHOOSE(CONTROL!$C$42, 4.5224, 4.5224) * CHOOSE(CONTROL!$C$21, $C$9, 100%, $E$9)</f>
        <v>4.5224000000000002</v>
      </c>
      <c r="Q56" s="10">
        <f>CHOOSE(CONTROL!$C$42, 5.3447, 5.3447) * CHOOSE(CONTROL!$C$21, $C$9, 100%, $E$9)</f>
        <v>5.3446999999999996</v>
      </c>
      <c r="R56" s="10">
        <f>CHOOSE(CONTROL!$C$42, 5.945, 5.945) * CHOOSE(CONTROL!$C$21, $C$9, 100%, $E$9)</f>
        <v>5.9450000000000003</v>
      </c>
      <c r="S56" s="10">
        <f>CHOOSE(CONTROL!$C$42, 4.4411, 4.4411) * CHOOSE(CONTROL!$C$21, $C$9, 100%, $E$9)</f>
        <v>4.4410999999999996</v>
      </c>
      <c r="T56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6" s="58">
        <f>(1000*CHOOSE(CONTROL!$C$42, 695, 695)*CHOOSE(CONTROL!$C$42, 0.5599, 0.5599)*CHOOSE(CONTROL!$C$42, 31, 31))/1000000</f>
        <v>12.063045499999998</v>
      </c>
      <c r="V56" s="58">
        <f>(1000*CHOOSE(CONTROL!$C$42, 580, 580)*CHOOSE(CONTROL!$C$42, 0.275, 0.275)*CHOOSE(CONTROL!$C$42, 31, 31))/1000000</f>
        <v>4.9444999999999997</v>
      </c>
      <c r="W56" s="58">
        <f>(1000*CHOOSE(CONTROL!$C$42, 0.1146, 0.1146)*CHOOSE(CONTROL!$C$42, 121.5, 121.5)*CHOOSE(CONTROL!$C$42, 31, 31))/1000000</f>
        <v>0.43164089999999994</v>
      </c>
      <c r="X56" s="58">
        <f>(31*0.1790888*245000/1000000)+(31*0.2374*100000/1000000)</f>
        <v>2.0961194359999999</v>
      </c>
      <c r="Y56" s="58"/>
      <c r="Z56" s="10"/>
      <c r="AA56" s="57"/>
      <c r="AB56" s="51">
        <f>(B56*194.205+C56*267.466+D56*133.845+E56*53.484+F56*40+G56*185+H56*0+I56*100+J56*300)/(194.205+267.466+133.845+53.484+0+40+185+100+300)</f>
        <v>4.6016504770800619</v>
      </c>
      <c r="AC56" s="27">
        <f>(M56*'RAP TEMPLATE-GAS AVAILABILITY'!O55+N56*'RAP TEMPLATE-GAS AVAILABILITY'!P55+O56*'RAP TEMPLATE-GAS AVAILABILITY'!Q55+P56*'RAP TEMPLATE-GAS AVAILABILITY'!R55)/('RAP TEMPLATE-GAS AVAILABILITY'!O55+'RAP TEMPLATE-GAS AVAILABILITY'!P55+'RAP TEMPLATE-GAS AVAILABILITY'!Q55+'RAP TEMPLATE-GAS AVAILABILITY'!R55)</f>
        <v>4.5918115107913673</v>
      </c>
    </row>
    <row r="57" spans="1:29" ht="15.75" x14ac:dyDescent="0.25">
      <c r="A57" s="16">
        <v>42979</v>
      </c>
      <c r="B57" s="10">
        <f>CHOOSE(CONTROL!$C$42, 4.2873, 4.2873) * CHOOSE(CONTROL!$C$21, $C$9, 100%, $E$9)</f>
        <v>4.2873000000000001</v>
      </c>
      <c r="C57" s="10">
        <f>CHOOSE(CONTROL!$C$42, 4.2952, 4.2952) * CHOOSE(CONTROL!$C$21, $C$9, 100%, $E$9)</f>
        <v>4.2952000000000004</v>
      </c>
      <c r="D57" s="10">
        <f>CHOOSE(CONTROL!$C$42, 4.4738, 4.4738) * CHOOSE(CONTROL!$C$21, $C$9, 100%, $E$9)</f>
        <v>4.4737999999999998</v>
      </c>
      <c r="E57" s="10">
        <f>CHOOSE(CONTROL!$C$42, 4.5049, 4.5049) * CHOOSE(CONTROL!$C$21, $C$9, 100%, $E$9)</f>
        <v>4.5049000000000001</v>
      </c>
      <c r="F57" s="10">
        <f>CHOOSE(CONTROL!$C$42, 4.2737, 4.2737)*CHOOSE(CONTROL!$C$21, $C$9, 100%, $E$9)</f>
        <v>4.2736999999999998</v>
      </c>
      <c r="G57" s="10">
        <f>CHOOSE(CONTROL!$C$42, 4.2919, 4.2919)*CHOOSE(CONTROL!$C$21, $C$9, 100%, $E$9)</f>
        <v>4.2919</v>
      </c>
      <c r="H57" s="10">
        <f>CHOOSE(CONTROL!$C$42, 4.4935, 4.4935) * CHOOSE(CONTROL!$C$21, $C$9, 100%, $E$9)</f>
        <v>4.4935</v>
      </c>
      <c r="I57" s="10">
        <f>CHOOSE(CONTROL!$C$42, 4.2642, 4.2642)* CHOOSE(CONTROL!$C$21, $C$9, 100%, $E$9)</f>
        <v>4.2641999999999998</v>
      </c>
      <c r="J57" s="10">
        <f>CHOOSE(CONTROL!$C$42, 4.2667, 4.2667)* CHOOSE(CONTROL!$C$21, $C$9, 100%, $E$9)</f>
        <v>4.2667000000000002</v>
      </c>
      <c r="K57" s="54">
        <f>CHOOSE(CONTROL!$C$42, 4.2603, 4.2603) * CHOOSE(CONTROL!$C$21, $C$9, 100%, $E$9)</f>
        <v>4.2603</v>
      </c>
      <c r="L57" s="10">
        <f>CHOOSE(CONTROL!$C$42, 5.0805, 5.0805) * CHOOSE(CONTROL!$C$21, $C$9, 100%, $E$9)</f>
        <v>5.0804999999999998</v>
      </c>
      <c r="M57" s="10">
        <f>CHOOSE(CONTROL!$C$42, 4.2375, 4.2375) * CHOOSE(CONTROL!$C$21, $C$9, 100%, $E$9)</f>
        <v>4.2374999999999998</v>
      </c>
      <c r="N57" s="10">
        <f>CHOOSE(CONTROL!$C$42, 4.2555, 4.2555) * CHOOSE(CONTROL!$C$21, $C$9, 100%, $E$9)</f>
        <v>4.2554999999999996</v>
      </c>
      <c r="O57" s="10">
        <f>CHOOSE(CONTROL!$C$42, 4.462, 4.462) * CHOOSE(CONTROL!$C$21, $C$9, 100%, $E$9)</f>
        <v>4.4619999999999997</v>
      </c>
      <c r="P57" s="10">
        <f>CHOOSE(CONTROL!$C$42, 4.235, 4.235) * CHOOSE(CONTROL!$C$21, $C$9, 100%, $E$9)</f>
        <v>4.2350000000000003</v>
      </c>
      <c r="Q57" s="10">
        <f>CHOOSE(CONTROL!$C$42, 5.0573, 5.0573) * CHOOSE(CONTROL!$C$21, $C$9, 100%, $E$9)</f>
        <v>5.0572999999999997</v>
      </c>
      <c r="R57" s="10">
        <f>CHOOSE(CONTROL!$C$42, 5.657, 5.657) * CHOOSE(CONTROL!$C$21, $C$9, 100%, $E$9)</f>
        <v>5.657</v>
      </c>
      <c r="S57" s="10">
        <f>CHOOSE(CONTROL!$C$42, 4.1592, 4.1592) * CHOOSE(CONTROL!$C$21, $C$9, 100%, $E$9)</f>
        <v>4.1592000000000002</v>
      </c>
      <c r="T57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7" s="58">
        <f>(1000*CHOOSE(CONTROL!$C$42, 695, 695)*CHOOSE(CONTROL!$C$42, 0.5599, 0.5599)*CHOOSE(CONTROL!$C$42, 30, 30))/1000000</f>
        <v>11.673914999999997</v>
      </c>
      <c r="V57" s="58">
        <f>(1000*CHOOSE(CONTROL!$C$42, 580, 580)*CHOOSE(CONTROL!$C$42, 0.275, 0.275)*CHOOSE(CONTROL!$C$42, 30, 30))/1000000</f>
        <v>4.7850000000000001</v>
      </c>
      <c r="W57" s="58">
        <f>(1000*CHOOSE(CONTROL!$C$42, 0.1146, 0.1146)*CHOOSE(CONTROL!$C$42, 121.5, 121.5)*CHOOSE(CONTROL!$C$42, 30, 30))/1000000</f>
        <v>0.417717</v>
      </c>
      <c r="X57" s="58">
        <f>(30*0.1790888*245000/1000000)+(30*0.2374*100000/1000000)</f>
        <v>2.0285026799999999</v>
      </c>
      <c r="Y57" s="58"/>
      <c r="Z57" s="10"/>
      <c r="AA57" s="57"/>
      <c r="AB57" s="51">
        <f>(B57*194.205+C57*267.466+D57*133.845+E57*53.484+F57*40+G57*185+H57*0+I57*100+J57*300)/(194.205+267.466+133.845+53.484+0+40+185+100+300)</f>
        <v>4.3112640441915229</v>
      </c>
      <c r="AC57" s="27">
        <f>(M57*'RAP TEMPLATE-GAS AVAILABILITY'!O56+N57*'RAP TEMPLATE-GAS AVAILABILITY'!P56+O57*'RAP TEMPLATE-GAS AVAILABILITY'!Q56+P57*'RAP TEMPLATE-GAS AVAILABILITY'!R56)/('RAP TEMPLATE-GAS AVAILABILITY'!O56+'RAP TEMPLATE-GAS AVAILABILITY'!P56+'RAP TEMPLATE-GAS AVAILABILITY'!Q56+'RAP TEMPLATE-GAS AVAILABILITY'!R56)</f>
        <v>4.3042733812949638</v>
      </c>
    </row>
    <row r="58" spans="1:29" ht="15.75" x14ac:dyDescent="0.25">
      <c r="A58" s="16">
        <v>43009</v>
      </c>
      <c r="B58" s="10">
        <f>CHOOSE(CONTROL!$C$42, 4.1982, 4.1982) * CHOOSE(CONTROL!$C$21, $C$9, 100%, $E$9)</f>
        <v>4.1981999999999999</v>
      </c>
      <c r="C58" s="10">
        <f>CHOOSE(CONTROL!$C$42, 4.2034, 4.2034) * CHOOSE(CONTROL!$C$21, $C$9, 100%, $E$9)</f>
        <v>4.2034000000000002</v>
      </c>
      <c r="D58" s="10">
        <f>CHOOSE(CONTROL!$C$42, 4.387, 4.387) * CHOOSE(CONTROL!$C$21, $C$9, 100%, $E$9)</f>
        <v>4.3869999999999996</v>
      </c>
      <c r="E58" s="10">
        <f>CHOOSE(CONTROL!$C$42, 4.4157, 4.4157) * CHOOSE(CONTROL!$C$21, $C$9, 100%, $E$9)</f>
        <v>4.4157000000000002</v>
      </c>
      <c r="F58" s="10">
        <f>CHOOSE(CONTROL!$C$42, 4.1866, 4.1866)*CHOOSE(CONTROL!$C$21, $C$9, 100%, $E$9)</f>
        <v>4.1866000000000003</v>
      </c>
      <c r="G58" s="10">
        <f>CHOOSE(CONTROL!$C$42, 4.2044, 4.2044)*CHOOSE(CONTROL!$C$21, $C$9, 100%, $E$9)</f>
        <v>4.2043999999999997</v>
      </c>
      <c r="H58" s="10">
        <f>CHOOSE(CONTROL!$C$42, 4.4062, 4.4062) * CHOOSE(CONTROL!$C$21, $C$9, 100%, $E$9)</f>
        <v>4.4062000000000001</v>
      </c>
      <c r="I58" s="10">
        <f>CHOOSE(CONTROL!$C$42, 4.1769, 4.1769)* CHOOSE(CONTROL!$C$21, $C$9, 100%, $E$9)</f>
        <v>4.1768999999999998</v>
      </c>
      <c r="J58" s="10">
        <f>CHOOSE(CONTROL!$C$42, 4.1796, 4.1796)* CHOOSE(CONTROL!$C$21, $C$9, 100%, $E$9)</f>
        <v>4.1795999999999998</v>
      </c>
      <c r="K58" s="54">
        <f>CHOOSE(CONTROL!$C$42, 4.173, 4.173) * CHOOSE(CONTROL!$C$21, $C$9, 100%, $E$9)</f>
        <v>4.173</v>
      </c>
      <c r="L58" s="10">
        <f>CHOOSE(CONTROL!$C$42, 4.9932, 4.9932) * CHOOSE(CONTROL!$C$21, $C$9, 100%, $E$9)</f>
        <v>4.9931999999999999</v>
      </c>
      <c r="M58" s="10">
        <f>CHOOSE(CONTROL!$C$42, 4.1512, 4.1512) * CHOOSE(CONTROL!$C$21, $C$9, 100%, $E$9)</f>
        <v>4.1512000000000002</v>
      </c>
      <c r="N58" s="10">
        <f>CHOOSE(CONTROL!$C$42, 4.1689, 4.1689) * CHOOSE(CONTROL!$C$21, $C$9, 100%, $E$9)</f>
        <v>4.1688999999999998</v>
      </c>
      <c r="O58" s="10">
        <f>CHOOSE(CONTROL!$C$42, 4.3756, 4.3756) * CHOOSE(CONTROL!$C$21, $C$9, 100%, $E$9)</f>
        <v>4.3756000000000004</v>
      </c>
      <c r="P58" s="10">
        <f>CHOOSE(CONTROL!$C$42, 4.1486, 4.1486) * CHOOSE(CONTROL!$C$21, $C$9, 100%, $E$9)</f>
        <v>4.1486000000000001</v>
      </c>
      <c r="Q58" s="10">
        <f>CHOOSE(CONTROL!$C$42, 4.9709, 4.9709) * CHOOSE(CONTROL!$C$21, $C$9, 100%, $E$9)</f>
        <v>4.9709000000000003</v>
      </c>
      <c r="R58" s="10">
        <f>CHOOSE(CONTROL!$C$42, 5.5703, 5.5703) * CHOOSE(CONTROL!$C$21, $C$9, 100%, $E$9)</f>
        <v>5.5702999999999996</v>
      </c>
      <c r="S58" s="10">
        <f>CHOOSE(CONTROL!$C$42, 4.0744, 4.0744) * CHOOSE(CONTROL!$C$21, $C$9, 100%, $E$9)</f>
        <v>4.0743999999999998</v>
      </c>
      <c r="T58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8" s="58">
        <f>(1000*CHOOSE(CONTROL!$C$42, 695, 695)*CHOOSE(CONTROL!$C$42, 0.5599, 0.5599)*CHOOSE(CONTROL!$C$42, 31, 31))/1000000</f>
        <v>12.063045499999998</v>
      </c>
      <c r="V58" s="58">
        <f>(1000*CHOOSE(CONTROL!$C$42, 580, 580)*CHOOSE(CONTROL!$C$42, 0.275, 0.275)*CHOOSE(CONTROL!$C$42, 31, 31))/1000000</f>
        <v>4.9444999999999997</v>
      </c>
      <c r="W58" s="58">
        <f>(1000*CHOOSE(CONTROL!$C$42, 0.1146, 0.1146)*CHOOSE(CONTROL!$C$42, 121.5, 121.5)*CHOOSE(CONTROL!$C$42, 31, 31))/1000000</f>
        <v>0.43164089999999994</v>
      </c>
      <c r="X58" s="58">
        <f>(31*0.1790888*245000/1000000)+(31*0.2374*100000/1000000)</f>
        <v>2.0961194359999999</v>
      </c>
      <c r="Y58" s="58"/>
      <c r="Z58" s="10"/>
      <c r="AA58" s="57"/>
      <c r="AB58" s="51">
        <f>(B58*131.881+C58*277.167+D58*79.08+E58*125.872+F58*40+G58*185+H58*0+I58*100+J58*300)/(131.881+277.167+79.08+125.872+0+40+185+100+300)</f>
        <v>4.2278382020984662</v>
      </c>
      <c r="AC58" s="27">
        <f>(M58*'RAP TEMPLATE-GAS AVAILABILITY'!O57+N58*'RAP TEMPLATE-GAS AVAILABILITY'!P57+O58*'RAP TEMPLATE-GAS AVAILABILITY'!Q57+P58*'RAP TEMPLATE-GAS AVAILABILITY'!R57)/('RAP TEMPLATE-GAS AVAILABILITY'!O57+'RAP TEMPLATE-GAS AVAILABILITY'!P57+'RAP TEMPLATE-GAS AVAILABILITY'!Q57+'RAP TEMPLATE-GAS AVAILABILITY'!R57)</f>
        <v>4.2178618705035973</v>
      </c>
    </row>
    <row r="59" spans="1:29" ht="15.75" x14ac:dyDescent="0.25">
      <c r="A59" s="16">
        <v>43040</v>
      </c>
      <c r="B59" s="10">
        <f>CHOOSE(CONTROL!$C$42, 4.3083, 4.3083) * CHOOSE(CONTROL!$C$21, $C$9, 100%, $E$9)</f>
        <v>4.3083</v>
      </c>
      <c r="C59" s="10">
        <f>CHOOSE(CONTROL!$C$42, 4.3133, 4.3133) * CHOOSE(CONTROL!$C$21, $C$9, 100%, $E$9)</f>
        <v>4.3132999999999999</v>
      </c>
      <c r="D59" s="10">
        <f>CHOOSE(CONTROL!$C$42, 4.3429, 4.3429) * CHOOSE(CONTROL!$C$21, $C$9, 100%, $E$9)</f>
        <v>4.3429000000000002</v>
      </c>
      <c r="E59" s="10">
        <f>CHOOSE(CONTROL!$C$42, 4.3767, 4.3767) * CHOOSE(CONTROL!$C$21, $C$9, 100%, $E$9)</f>
        <v>4.3766999999999996</v>
      </c>
      <c r="F59" s="10">
        <f>CHOOSE(CONTROL!$C$42, 4.2941, 4.2941)*CHOOSE(CONTROL!$C$21, $C$9, 100%, $E$9)</f>
        <v>4.2941000000000003</v>
      </c>
      <c r="G59" s="10">
        <f>CHOOSE(CONTROL!$C$42, 4.3121, 4.3121)*CHOOSE(CONTROL!$C$21, $C$9, 100%, $E$9)</f>
        <v>4.3121</v>
      </c>
      <c r="H59" s="10">
        <f>CHOOSE(CONTROL!$C$42, 4.3659, 4.3659) * CHOOSE(CONTROL!$C$21, $C$9, 100%, $E$9)</f>
        <v>4.3658999999999999</v>
      </c>
      <c r="I59" s="10">
        <f>CHOOSE(CONTROL!$C$42, 4.2745, 4.2745)* CHOOSE(CONTROL!$C$21, $C$9, 100%, $E$9)</f>
        <v>4.2744999999999997</v>
      </c>
      <c r="J59" s="10">
        <f>CHOOSE(CONTROL!$C$42, 4.2871, 4.2871)* CHOOSE(CONTROL!$C$21, $C$9, 100%, $E$9)</f>
        <v>4.2870999999999997</v>
      </c>
      <c r="K59" s="54">
        <f>CHOOSE(CONTROL!$C$42, 4.2706, 4.2706) * CHOOSE(CONTROL!$C$21, $C$9, 100%, $E$9)</f>
        <v>4.2706</v>
      </c>
      <c r="L59" s="10">
        <f>CHOOSE(CONTROL!$C$42, 4.9529, 4.9529) * CHOOSE(CONTROL!$C$21, $C$9, 100%, $E$9)</f>
        <v>4.9528999999999996</v>
      </c>
      <c r="M59" s="10">
        <f>CHOOSE(CONTROL!$C$42, 4.2576, 4.2576) * CHOOSE(CONTROL!$C$21, $C$9, 100%, $E$9)</f>
        <v>4.2576000000000001</v>
      </c>
      <c r="N59" s="10">
        <f>CHOOSE(CONTROL!$C$42, 4.2755, 4.2755) * CHOOSE(CONTROL!$C$21, $C$9, 100%, $E$9)</f>
        <v>4.2755000000000001</v>
      </c>
      <c r="O59" s="10">
        <f>CHOOSE(CONTROL!$C$42, 4.3356, 4.3356) * CHOOSE(CONTROL!$C$21, $C$9, 100%, $E$9)</f>
        <v>4.3356000000000003</v>
      </c>
      <c r="P59" s="10">
        <f>CHOOSE(CONTROL!$C$42, 4.2452, 4.2452) * CHOOSE(CONTROL!$C$21, $C$9, 100%, $E$9)</f>
        <v>4.2451999999999996</v>
      </c>
      <c r="Q59" s="10">
        <f>CHOOSE(CONTROL!$C$42, 4.9309, 4.9309) * CHOOSE(CONTROL!$C$21, $C$9, 100%, $E$9)</f>
        <v>4.9309000000000003</v>
      </c>
      <c r="R59" s="10">
        <f>CHOOSE(CONTROL!$C$42, 5.5303, 5.5303) * CHOOSE(CONTROL!$C$21, $C$9, 100%, $E$9)</f>
        <v>5.5303000000000004</v>
      </c>
      <c r="S59" s="10">
        <f>CHOOSE(CONTROL!$C$42, 4.1817, 4.1817) * CHOOSE(CONTROL!$C$21, $C$9, 100%, $E$9)</f>
        <v>4.1817000000000002</v>
      </c>
      <c r="T59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9" s="58">
        <f>(1000*CHOOSE(CONTROL!$C$42, 695, 695)*CHOOSE(CONTROL!$C$42, 0.5599, 0.5599)*CHOOSE(CONTROL!$C$42, 30, 30))/1000000</f>
        <v>11.673914999999997</v>
      </c>
      <c r="V59" s="58">
        <f>(1000*CHOOSE(CONTROL!$C$42, 580, 580)*CHOOSE(CONTROL!$C$42, 0.275, 0.275)*CHOOSE(CONTROL!$C$42, 30, 30))/1000000</f>
        <v>4.7850000000000001</v>
      </c>
      <c r="W59" s="58">
        <f>(1000*CHOOSE(CONTROL!$C$42, 0.1146, 0.1146)*CHOOSE(CONTROL!$C$42, 121.5, 121.5)*CHOOSE(CONTROL!$C$42, 30, 30))/1000000</f>
        <v>0.417717</v>
      </c>
      <c r="X59" s="58">
        <f>(30*0.1790888*100000/1000000)+(30*0.2374*100000/1000000)</f>
        <v>1.2494664</v>
      </c>
      <c r="Y59" s="58"/>
      <c r="Z59" s="10"/>
      <c r="AA59" s="57"/>
      <c r="AB59" s="51">
        <f>(B59*122.58+C59*297.941+D59*89.177+E59*40.302+F59*40+G59*160+H59*0+I59*100+J59*300)/(122.58+297.941+89.177+40.302+0+40+160+100+300)</f>
        <v>4.3062407704347825</v>
      </c>
      <c r="AC59" s="27">
        <f>(M59*'RAP TEMPLATE-GAS AVAILABILITY'!O58+N59*'RAP TEMPLATE-GAS AVAILABILITY'!P58+O59*'RAP TEMPLATE-GAS AVAILABILITY'!Q58+P59*'RAP TEMPLATE-GAS AVAILABILITY'!R58)/('RAP TEMPLATE-GAS AVAILABILITY'!O58+'RAP TEMPLATE-GAS AVAILABILITY'!P58+'RAP TEMPLATE-GAS AVAILABILITY'!Q58+'RAP TEMPLATE-GAS AVAILABILITY'!R58)</f>
        <v>4.2921985611510793</v>
      </c>
    </row>
    <row r="60" spans="1:29" ht="15.75" x14ac:dyDescent="0.25">
      <c r="A60" s="16">
        <v>43070</v>
      </c>
      <c r="B60" s="10">
        <f>CHOOSE(CONTROL!$C$42, 4.6019, 4.6019) * CHOOSE(CONTROL!$C$21, $C$9, 100%, $E$9)</f>
        <v>4.6018999999999997</v>
      </c>
      <c r="C60" s="10">
        <f>CHOOSE(CONTROL!$C$42, 4.6068, 4.6068) * CHOOSE(CONTROL!$C$21, $C$9, 100%, $E$9)</f>
        <v>4.6067999999999998</v>
      </c>
      <c r="D60" s="10">
        <f>CHOOSE(CONTROL!$C$42, 4.6364, 4.6364) * CHOOSE(CONTROL!$C$21, $C$9, 100%, $E$9)</f>
        <v>4.6364000000000001</v>
      </c>
      <c r="E60" s="10">
        <f>CHOOSE(CONTROL!$C$42, 4.6702, 4.6702) * CHOOSE(CONTROL!$C$21, $C$9, 100%, $E$9)</f>
        <v>4.6702000000000004</v>
      </c>
      <c r="F60" s="10">
        <f>CHOOSE(CONTROL!$C$42, 4.5892, 4.5892)*CHOOSE(CONTROL!$C$21, $C$9, 100%, $E$9)</f>
        <v>4.5891999999999999</v>
      </c>
      <c r="G60" s="10">
        <f>CHOOSE(CONTROL!$C$42, 4.6076, 4.6076)*CHOOSE(CONTROL!$C$21, $C$9, 100%, $E$9)</f>
        <v>4.6075999999999997</v>
      </c>
      <c r="H60" s="10">
        <f>CHOOSE(CONTROL!$C$42, 4.6594, 4.6594) * CHOOSE(CONTROL!$C$21, $C$9, 100%, $E$9)</f>
        <v>4.6593999999999998</v>
      </c>
      <c r="I60" s="10">
        <f>CHOOSE(CONTROL!$C$42, 4.568, 4.568)* CHOOSE(CONTROL!$C$21, $C$9, 100%, $E$9)</f>
        <v>4.5679999999999996</v>
      </c>
      <c r="J60" s="10">
        <f>CHOOSE(CONTROL!$C$42, 4.5822, 4.5822)* CHOOSE(CONTROL!$C$21, $C$9, 100%, $E$9)</f>
        <v>4.5822000000000003</v>
      </c>
      <c r="K60" s="54">
        <f>CHOOSE(CONTROL!$C$42, 4.5641, 4.5641) * CHOOSE(CONTROL!$C$21, $C$9, 100%, $E$9)</f>
        <v>4.5640999999999998</v>
      </c>
      <c r="L60" s="10">
        <f>CHOOSE(CONTROL!$C$42, 5.2464, 5.2464) * CHOOSE(CONTROL!$C$21, $C$9, 100%, $E$9)</f>
        <v>5.2464000000000004</v>
      </c>
      <c r="M60" s="10">
        <f>CHOOSE(CONTROL!$C$42, 4.5498, 4.5498) * CHOOSE(CONTROL!$C$21, $C$9, 100%, $E$9)</f>
        <v>4.5498000000000003</v>
      </c>
      <c r="N60" s="10">
        <f>CHOOSE(CONTROL!$C$42, 4.568, 4.568) * CHOOSE(CONTROL!$C$21, $C$9, 100%, $E$9)</f>
        <v>4.5679999999999996</v>
      </c>
      <c r="O60" s="10">
        <f>CHOOSE(CONTROL!$C$42, 4.6262, 4.6262) * CHOOSE(CONTROL!$C$21, $C$9, 100%, $E$9)</f>
        <v>4.6261999999999999</v>
      </c>
      <c r="P60" s="10">
        <f>CHOOSE(CONTROL!$C$42, 4.5358, 4.5358) * CHOOSE(CONTROL!$C$21, $C$9, 100%, $E$9)</f>
        <v>4.5358000000000001</v>
      </c>
      <c r="Q60" s="10">
        <f>CHOOSE(CONTROL!$C$42, 5.2215, 5.2215) * CHOOSE(CONTROL!$C$21, $C$9, 100%, $E$9)</f>
        <v>5.2214999999999998</v>
      </c>
      <c r="R60" s="10">
        <f>CHOOSE(CONTROL!$C$42, 5.8216, 5.8216) * CHOOSE(CONTROL!$C$21, $C$9, 100%, $E$9)</f>
        <v>5.8216000000000001</v>
      </c>
      <c r="S60" s="10">
        <f>CHOOSE(CONTROL!$C$42, 4.4667, 4.4667) * CHOOSE(CONTROL!$C$21, $C$9, 100%, $E$9)</f>
        <v>4.4667000000000003</v>
      </c>
      <c r="T60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0" s="58">
        <f>(1000*CHOOSE(CONTROL!$C$42, 695, 695)*CHOOSE(CONTROL!$C$42, 0.5599, 0.5599)*CHOOSE(CONTROL!$C$42, 31, 31))/1000000</f>
        <v>12.063045499999998</v>
      </c>
      <c r="V60" s="58">
        <f>(1000*CHOOSE(CONTROL!$C$42, 580, 580)*CHOOSE(CONTROL!$C$42, 0.275, 0.275)*CHOOSE(CONTROL!$C$42, 31, 31))/1000000</f>
        <v>4.9444999999999997</v>
      </c>
      <c r="W60" s="58">
        <f>(1000*CHOOSE(CONTROL!$C$42, 0.1146, 0.1146)*CHOOSE(CONTROL!$C$42, 121.5, 121.5)*CHOOSE(CONTROL!$C$42, 31, 31))/1000000</f>
        <v>0.43164089999999994</v>
      </c>
      <c r="X60" s="58">
        <f>(31*0.1790888*100000/1000000)+(31*0.2374*100000/1000000)</f>
        <v>1.2911152800000001</v>
      </c>
      <c r="Y60" s="58"/>
      <c r="Z60" s="10"/>
      <c r="AA60" s="57"/>
      <c r="AB60" s="51">
        <f>(B60*122.58+C60*297.941+D60*89.177+E60*40.302+F60*40+G60*160+H60*0+I60*100+J60*300)/(122.58+297.941+89.177+40.302+0+40+160+100+300)</f>
        <v>4.6005027339130429</v>
      </c>
      <c r="AC60" s="27">
        <f>(M60*'RAP TEMPLATE-GAS AVAILABILITY'!O59+N60*'RAP TEMPLATE-GAS AVAILABILITY'!P59+O60*'RAP TEMPLATE-GAS AVAILABILITY'!Q59+P60*'RAP TEMPLATE-GAS AVAILABILITY'!R59)/('RAP TEMPLATE-GAS AVAILABILITY'!O59+'RAP TEMPLATE-GAS AVAILABILITY'!P59+'RAP TEMPLATE-GAS AVAILABILITY'!Q59+'RAP TEMPLATE-GAS AVAILABILITY'!R59)</f>
        <v>4.5834604316546761</v>
      </c>
    </row>
    <row r="61" spans="1:29" ht="15.75" x14ac:dyDescent="0.25">
      <c r="A61" s="16">
        <v>43101</v>
      </c>
      <c r="B61" s="10">
        <f>CHOOSE(CONTROL!$C$42, 4.9892, 4.9892) * CHOOSE(CONTROL!$C$21, $C$9, 100%, $E$9)</f>
        <v>4.9892000000000003</v>
      </c>
      <c r="C61" s="10">
        <f>CHOOSE(CONTROL!$C$42, 4.9942, 4.9942) * CHOOSE(CONTROL!$C$21, $C$9, 100%, $E$9)</f>
        <v>4.9942000000000002</v>
      </c>
      <c r="D61" s="10">
        <f>CHOOSE(CONTROL!$C$42, 5.0444, 5.0444) * CHOOSE(CONTROL!$C$21, $C$9, 100%, $E$9)</f>
        <v>5.0444000000000004</v>
      </c>
      <c r="E61" s="10">
        <f>CHOOSE(CONTROL!$C$42, 5.0781, 5.0781) * CHOOSE(CONTROL!$C$21, $C$9, 100%, $E$9)</f>
        <v>5.0781000000000001</v>
      </c>
      <c r="F61" s="10">
        <f>CHOOSE(CONTROL!$C$42, 4.9546, 4.9546)*CHOOSE(CONTROL!$C$21, $C$9, 100%, $E$9)</f>
        <v>4.9546000000000001</v>
      </c>
      <c r="G61" s="10">
        <f>CHOOSE(CONTROL!$C$42, 4.9721, 4.9721)*CHOOSE(CONTROL!$C$21, $C$9, 100%, $E$9)</f>
        <v>4.9721000000000002</v>
      </c>
      <c r="H61" s="10">
        <f>CHOOSE(CONTROL!$C$42, 5.0673, 5.0673) * CHOOSE(CONTROL!$C$21, $C$9, 100%, $E$9)</f>
        <v>5.0673000000000004</v>
      </c>
      <c r="I61" s="10">
        <f>CHOOSE(CONTROL!$C$42, 4.9631, 4.9631)* CHOOSE(CONTROL!$C$21, $C$9, 100%, $E$9)</f>
        <v>4.9630999999999998</v>
      </c>
      <c r="J61" s="10">
        <f>CHOOSE(CONTROL!$C$42, 4.9476, 4.9476)* CHOOSE(CONTROL!$C$21, $C$9, 100%, $E$9)</f>
        <v>4.9476000000000004</v>
      </c>
      <c r="K61" s="54">
        <f>CHOOSE(CONTROL!$C$42, 4.9592, 4.9592) * CHOOSE(CONTROL!$C$21, $C$9, 100%, $E$9)</f>
        <v>4.9592000000000001</v>
      </c>
      <c r="L61" s="10">
        <f>CHOOSE(CONTROL!$C$42, 5.6543, 5.6543) * CHOOSE(CONTROL!$C$21, $C$9, 100%, $E$9)</f>
        <v>5.6543000000000001</v>
      </c>
      <c r="M61" s="10">
        <f>CHOOSE(CONTROL!$C$42, 4.9115, 4.9115) * CHOOSE(CONTROL!$C$21, $C$9, 100%, $E$9)</f>
        <v>4.9115000000000002</v>
      </c>
      <c r="N61" s="10">
        <f>CHOOSE(CONTROL!$C$42, 4.9289, 4.9289) * CHOOSE(CONTROL!$C$21, $C$9, 100%, $E$9)</f>
        <v>4.9288999999999996</v>
      </c>
      <c r="O61" s="10">
        <f>CHOOSE(CONTROL!$C$42, 5.03, 5.03) * CHOOSE(CONTROL!$C$21, $C$9, 100%, $E$9)</f>
        <v>5.03</v>
      </c>
      <c r="P61" s="10">
        <f>CHOOSE(CONTROL!$C$42, 4.9269, 4.9269) * CHOOSE(CONTROL!$C$21, $C$9, 100%, $E$9)</f>
        <v>4.9268999999999998</v>
      </c>
      <c r="Q61" s="10">
        <f>CHOOSE(CONTROL!$C$42, 5.6253, 5.6253) * CHOOSE(CONTROL!$C$21, $C$9, 100%, $E$9)</f>
        <v>5.6253000000000002</v>
      </c>
      <c r="R61" s="10">
        <f>CHOOSE(CONTROL!$C$42, 6.2264, 6.2264) * CHOOSE(CONTROL!$C$21, $C$9, 100%, $E$9)</f>
        <v>6.2263999999999999</v>
      </c>
      <c r="S61" s="10">
        <f>CHOOSE(CONTROL!$C$42, 4.8429, 4.8429) * CHOOSE(CONTROL!$C$21, $C$9, 100%, $E$9)</f>
        <v>4.8429000000000002</v>
      </c>
      <c r="T61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1" s="58">
        <f>(1000*CHOOSE(CONTROL!$C$42, 695, 695)*CHOOSE(CONTROL!$C$42, 0.5599, 0.5599)*CHOOSE(CONTROL!$C$42, 31, 31))/1000000</f>
        <v>12.063045499999998</v>
      </c>
      <c r="V61" s="58">
        <f>(1000*CHOOSE(CONTROL!$C$42, 500, 500)*CHOOSE(CONTROL!$C$42, 0.275, 0.275)*CHOOSE(CONTROL!$C$42, 31, 31))/1000000</f>
        <v>4.2625000000000002</v>
      </c>
      <c r="W61" s="58">
        <f>(1000*CHOOSE(CONTROL!$C$42, 0.1146, 0.1146)*CHOOSE(CONTROL!$C$42, 121.5, 121.5)*CHOOSE(CONTROL!$C$42, 31, 31))/1000000</f>
        <v>0.43164089999999994</v>
      </c>
      <c r="X61" s="58">
        <f>(31*0.1790888*100000/1000000)+(31*0.2374*100000/1000000)</f>
        <v>1.2911152800000001</v>
      </c>
      <c r="Y61" s="58"/>
      <c r="Z61" s="10"/>
      <c r="AA61" s="57"/>
      <c r="AB61" s="51">
        <f>(B61*122.58+C61*297.941+D61*89.177+E61*40.302+F61*40+G61*160+H61*0+I61*100+J61*300)/(122.58+297.941+89.177+40.302+0+40+160+100+300)</f>
        <v>4.9811870636521745</v>
      </c>
      <c r="AC61" s="27">
        <f>(M61*'RAP TEMPLATE-GAS AVAILABILITY'!O60+N61*'RAP TEMPLATE-GAS AVAILABILITY'!P60+O61*'RAP TEMPLATE-GAS AVAILABILITY'!Q60+P61*'RAP TEMPLATE-GAS AVAILABILITY'!R60)/('RAP TEMPLATE-GAS AVAILABILITY'!O60+'RAP TEMPLATE-GAS AVAILABILITY'!P60+'RAP TEMPLATE-GAS AVAILABILITY'!Q60+'RAP TEMPLATE-GAS AVAILABILITY'!R60)</f>
        <v>4.9684258992805752</v>
      </c>
    </row>
    <row r="62" spans="1:29" ht="15.75" x14ac:dyDescent="0.25">
      <c r="A62" s="16">
        <v>43132</v>
      </c>
      <c r="B62" s="10">
        <f>CHOOSE(CONTROL!$C$42, 5.078, 5.078) * CHOOSE(CONTROL!$C$21, $C$9, 100%, $E$9)</f>
        <v>5.0780000000000003</v>
      </c>
      <c r="C62" s="10">
        <f>CHOOSE(CONTROL!$C$42, 5.0829, 5.0829) * CHOOSE(CONTROL!$C$21, $C$9, 100%, $E$9)</f>
        <v>5.0829000000000004</v>
      </c>
      <c r="D62" s="10">
        <f>CHOOSE(CONTROL!$C$42, 5.2001, 5.2001) * CHOOSE(CONTROL!$C$21, $C$9, 100%, $E$9)</f>
        <v>5.2000999999999999</v>
      </c>
      <c r="E62" s="10">
        <f>CHOOSE(CONTROL!$C$42, 5.2338, 5.2338) * CHOOSE(CONTROL!$C$21, $C$9, 100%, $E$9)</f>
        <v>5.2337999999999996</v>
      </c>
      <c r="F62" s="10">
        <f>CHOOSE(CONTROL!$C$42, 5.1556, 5.1556)*CHOOSE(CONTROL!$C$21, $C$9, 100%, $E$9)</f>
        <v>5.1555999999999997</v>
      </c>
      <c r="G62" s="10">
        <f>CHOOSE(CONTROL!$C$42, 5.1775, 5.1775)*CHOOSE(CONTROL!$C$21, $C$9, 100%, $E$9)</f>
        <v>5.1775000000000002</v>
      </c>
      <c r="H62" s="10">
        <f>CHOOSE(CONTROL!$C$42, 5.223, 5.223) * CHOOSE(CONTROL!$C$21, $C$9, 100%, $E$9)</f>
        <v>5.2229999999999999</v>
      </c>
      <c r="I62" s="10">
        <f>CHOOSE(CONTROL!$C$42, 5.1137, 5.1137)* CHOOSE(CONTROL!$C$21, $C$9, 100%, $E$9)</f>
        <v>5.1136999999999997</v>
      </c>
      <c r="J62" s="10">
        <f>CHOOSE(CONTROL!$C$42, 5.1486, 5.1486)* CHOOSE(CONTROL!$C$21, $C$9, 100%, $E$9)</f>
        <v>5.1486000000000001</v>
      </c>
      <c r="K62" s="54">
        <f>CHOOSE(CONTROL!$C$42, 5.1098, 5.1098) * CHOOSE(CONTROL!$C$21, $C$9, 100%, $E$9)</f>
        <v>5.1097999999999999</v>
      </c>
      <c r="L62" s="10">
        <f>CHOOSE(CONTROL!$C$42, 5.81, 5.81) * CHOOSE(CONTROL!$C$21, $C$9, 100%, $E$9)</f>
        <v>5.81</v>
      </c>
      <c r="M62" s="10">
        <f>CHOOSE(CONTROL!$C$42, 5.1104, 5.1104) * CHOOSE(CONTROL!$C$21, $C$9, 100%, $E$9)</f>
        <v>5.1104000000000003</v>
      </c>
      <c r="N62" s="10">
        <f>CHOOSE(CONTROL!$C$42, 5.1321, 5.1321) * CHOOSE(CONTROL!$C$21, $C$9, 100%, $E$9)</f>
        <v>5.1321000000000003</v>
      </c>
      <c r="O62" s="10">
        <f>CHOOSE(CONTROL!$C$42, 5.1842, 5.1842) * CHOOSE(CONTROL!$C$21, $C$9, 100%, $E$9)</f>
        <v>5.1841999999999997</v>
      </c>
      <c r="P62" s="10">
        <f>CHOOSE(CONTROL!$C$42, 5.0759, 5.0759) * CHOOSE(CONTROL!$C$21, $C$9, 100%, $E$9)</f>
        <v>5.0758999999999999</v>
      </c>
      <c r="Q62" s="10">
        <f>CHOOSE(CONTROL!$C$42, 5.7795, 5.7795) * CHOOSE(CONTROL!$C$21, $C$9, 100%, $E$9)</f>
        <v>5.7794999999999996</v>
      </c>
      <c r="R62" s="10">
        <f>CHOOSE(CONTROL!$C$42, 6.3809, 6.3809) * CHOOSE(CONTROL!$C$21, $C$9, 100%, $E$9)</f>
        <v>6.3808999999999996</v>
      </c>
      <c r="S62" s="10">
        <f>CHOOSE(CONTROL!$C$42, 4.9291, 4.9291) * CHOOSE(CONTROL!$C$21, $C$9, 100%, $E$9)</f>
        <v>4.9291</v>
      </c>
      <c r="T62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62" s="58">
        <f>(1000*CHOOSE(CONTROL!$C$42, 695, 695)*CHOOSE(CONTROL!$C$42, 0.5599, 0.5599)*CHOOSE(CONTROL!$C$42, 28, 28))/1000000</f>
        <v>10.895653999999999</v>
      </c>
      <c r="V62" s="58">
        <f>(1000*CHOOSE(CONTROL!$C$42, 500, 500)*CHOOSE(CONTROL!$C$42, 0.275, 0.275)*CHOOSE(CONTROL!$C$42, 28, 28))/1000000</f>
        <v>3.85</v>
      </c>
      <c r="W62" s="58">
        <f>(1000*CHOOSE(CONTROL!$C$42, 0.1146, 0.1146)*CHOOSE(CONTROL!$C$42, 121.5, 121.5)*CHOOSE(CONTROL!$C$42, 28, 28))/1000000</f>
        <v>0.38986920000000003</v>
      </c>
      <c r="X62" s="58">
        <f>(28*0.1790888*100000/1000000)+(28*0.2374*100000/1000000)</f>
        <v>1.16616864</v>
      </c>
      <c r="Y62" s="58"/>
      <c r="Z62" s="10"/>
      <c r="AA62" s="57"/>
      <c r="AB62" s="51">
        <f>(B62*122.58+C62*297.941+D62*89.177+E62*40.302+F62*40+G62*160+H62*0+I62*100+J62*300)/(122.58+297.941+89.177+40.302+0+40+160+100+300)</f>
        <v>5.1322621514782618</v>
      </c>
      <c r="AC62" s="27">
        <f>(M62*'RAP TEMPLATE-GAS AVAILABILITY'!O61+N62*'RAP TEMPLATE-GAS AVAILABILITY'!P61+O62*'RAP TEMPLATE-GAS AVAILABILITY'!Q61+P62*'RAP TEMPLATE-GAS AVAILABILITY'!R61)/('RAP TEMPLATE-GAS AVAILABILITY'!O61+'RAP TEMPLATE-GAS AVAILABILITY'!P61+'RAP TEMPLATE-GAS AVAILABILITY'!Q61+'RAP TEMPLATE-GAS AVAILABILITY'!R61)</f>
        <v>5.1401338129496406</v>
      </c>
    </row>
    <row r="63" spans="1:29" ht="15.75" x14ac:dyDescent="0.25">
      <c r="A63" s="16">
        <v>43160</v>
      </c>
      <c r="B63" s="10">
        <f>CHOOSE(CONTROL!$C$42, 4.9339, 4.9339) * CHOOSE(CONTROL!$C$21, $C$9, 100%, $E$9)</f>
        <v>4.9339000000000004</v>
      </c>
      <c r="C63" s="10">
        <f>CHOOSE(CONTROL!$C$42, 4.9388, 4.9388) * CHOOSE(CONTROL!$C$21, $C$9, 100%, $E$9)</f>
        <v>4.9387999999999996</v>
      </c>
      <c r="D63" s="10">
        <f>CHOOSE(CONTROL!$C$42, 5.0302, 5.0302) * CHOOSE(CONTROL!$C$21, $C$9, 100%, $E$9)</f>
        <v>5.0301999999999998</v>
      </c>
      <c r="E63" s="10">
        <f>CHOOSE(CONTROL!$C$42, 5.064, 5.064) * CHOOSE(CONTROL!$C$21, $C$9, 100%, $E$9)</f>
        <v>5.0640000000000001</v>
      </c>
      <c r="F63" s="10">
        <f>CHOOSE(CONTROL!$C$42, 4.9637, 4.9637)*CHOOSE(CONTROL!$C$21, $C$9, 100%, $E$9)</f>
        <v>4.9637000000000002</v>
      </c>
      <c r="G63" s="10">
        <f>CHOOSE(CONTROL!$C$42, 4.9832, 4.9832)*CHOOSE(CONTROL!$C$21, $C$9, 100%, $E$9)</f>
        <v>4.9832000000000001</v>
      </c>
      <c r="H63" s="10">
        <f>CHOOSE(CONTROL!$C$42, 5.0532, 5.0532) * CHOOSE(CONTROL!$C$21, $C$9, 100%, $E$9)</f>
        <v>5.0532000000000004</v>
      </c>
      <c r="I63" s="10">
        <f>CHOOSE(CONTROL!$C$42, 4.9567, 4.9567)* CHOOSE(CONTROL!$C$21, $C$9, 100%, $E$9)</f>
        <v>4.9566999999999997</v>
      </c>
      <c r="J63" s="10">
        <f>CHOOSE(CONTROL!$C$42, 4.9567, 4.9567)* CHOOSE(CONTROL!$C$21, $C$9, 100%, $E$9)</f>
        <v>4.9566999999999997</v>
      </c>
      <c r="K63" s="54">
        <f>CHOOSE(CONTROL!$C$42, 4.9528, 4.9528) * CHOOSE(CONTROL!$C$21, $C$9, 100%, $E$9)</f>
        <v>4.9527999999999999</v>
      </c>
      <c r="L63" s="10">
        <f>CHOOSE(CONTROL!$C$42, 5.6402, 5.6402) * CHOOSE(CONTROL!$C$21, $C$9, 100%, $E$9)</f>
        <v>5.6402000000000001</v>
      </c>
      <c r="M63" s="10">
        <f>CHOOSE(CONTROL!$C$42, 4.9205, 4.9205) * CHOOSE(CONTROL!$C$21, $C$9, 100%, $E$9)</f>
        <v>4.9204999999999997</v>
      </c>
      <c r="N63" s="10">
        <f>CHOOSE(CONTROL!$C$42, 4.9398, 4.9398) * CHOOSE(CONTROL!$C$21, $C$9, 100%, $E$9)</f>
        <v>4.9398</v>
      </c>
      <c r="O63" s="10">
        <f>CHOOSE(CONTROL!$C$42, 5.016, 5.016) * CHOOSE(CONTROL!$C$21, $C$9, 100%, $E$9)</f>
        <v>5.016</v>
      </c>
      <c r="P63" s="10">
        <f>CHOOSE(CONTROL!$C$42, 4.9205, 4.9205) * CHOOSE(CONTROL!$C$21, $C$9, 100%, $E$9)</f>
        <v>4.9204999999999997</v>
      </c>
      <c r="Q63" s="10">
        <f>CHOOSE(CONTROL!$C$42, 5.6113, 5.6113) * CHOOSE(CONTROL!$C$21, $C$9, 100%, $E$9)</f>
        <v>5.6113</v>
      </c>
      <c r="R63" s="10">
        <f>CHOOSE(CONTROL!$C$42, 6.2124, 6.2124) * CHOOSE(CONTROL!$C$21, $C$9, 100%, $E$9)</f>
        <v>6.2123999999999997</v>
      </c>
      <c r="S63" s="10">
        <f>CHOOSE(CONTROL!$C$42, 4.7892, 4.7892) * CHOOSE(CONTROL!$C$21, $C$9, 100%, $E$9)</f>
        <v>4.7892000000000001</v>
      </c>
      <c r="T63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3" s="58">
        <f>(1000*CHOOSE(CONTROL!$C$42, 695, 695)*CHOOSE(CONTROL!$C$42, 0.5599, 0.5599)*CHOOSE(CONTROL!$C$42, 31, 31))/1000000</f>
        <v>12.063045499999998</v>
      </c>
      <c r="V63" s="58">
        <f>(1000*CHOOSE(CONTROL!$C$42, 500, 500)*CHOOSE(CONTROL!$C$42, 0.275, 0.275)*CHOOSE(CONTROL!$C$42, 31, 31))/1000000</f>
        <v>4.2625000000000002</v>
      </c>
      <c r="W63" s="58">
        <f>(1000*CHOOSE(CONTROL!$C$42, 0.1146, 0.1146)*CHOOSE(CONTROL!$C$42, 121.5, 121.5)*CHOOSE(CONTROL!$C$42, 31, 31))/1000000</f>
        <v>0.43164089999999994</v>
      </c>
      <c r="X63" s="58">
        <f>(31*0.1790888*100000/1000000)+(31*0.2374*100000/1000000)</f>
        <v>1.2911152800000001</v>
      </c>
      <c r="Y63" s="58"/>
      <c r="Z63" s="10"/>
      <c r="AA63" s="57"/>
      <c r="AB63" s="51">
        <f>(B63*122.58+C63*297.941+D63*89.177+E63*40.302+F63*40+G63*160+H63*0+I63*100+J63*300)/(122.58+297.941+89.177+40.302+0+40+160+100+300)</f>
        <v>4.9630225619130428</v>
      </c>
      <c r="AC63" s="27">
        <f>(M63*'RAP TEMPLATE-GAS AVAILABILITY'!O62+N63*'RAP TEMPLATE-GAS AVAILABILITY'!P62+O63*'RAP TEMPLATE-GAS AVAILABILITY'!Q62+P63*'RAP TEMPLATE-GAS AVAILABILITY'!R62)/('RAP TEMPLATE-GAS AVAILABILITY'!O62+'RAP TEMPLATE-GAS AVAILABILITY'!P62+'RAP TEMPLATE-GAS AVAILABILITY'!Q62+'RAP TEMPLATE-GAS AVAILABILITY'!R62)</f>
        <v>4.9648949640287769</v>
      </c>
    </row>
    <row r="64" spans="1:29" ht="15.75" x14ac:dyDescent="0.25">
      <c r="A64" s="16">
        <v>43191</v>
      </c>
      <c r="B64" s="10">
        <f>CHOOSE(CONTROL!$C$42, 4.9199, 4.9199) * CHOOSE(CONTROL!$C$21, $C$9, 100%, $E$9)</f>
        <v>4.9199000000000002</v>
      </c>
      <c r="C64" s="10">
        <f>CHOOSE(CONTROL!$C$42, 4.9243, 4.9243) * CHOOSE(CONTROL!$C$21, $C$9, 100%, $E$9)</f>
        <v>4.9242999999999997</v>
      </c>
      <c r="D64" s="10">
        <f>CHOOSE(CONTROL!$C$42, 5.106, 5.106) * CHOOSE(CONTROL!$C$21, $C$9, 100%, $E$9)</f>
        <v>5.1059999999999999</v>
      </c>
      <c r="E64" s="10">
        <f>CHOOSE(CONTROL!$C$42, 5.1377, 5.1377) * CHOOSE(CONTROL!$C$21, $C$9, 100%, $E$9)</f>
        <v>5.1376999999999997</v>
      </c>
      <c r="F64" s="10">
        <f>CHOOSE(CONTROL!$C$42, 4.9082, 4.9082)*CHOOSE(CONTROL!$C$21, $C$9, 100%, $E$9)</f>
        <v>4.9081999999999999</v>
      </c>
      <c r="G64" s="10">
        <f>CHOOSE(CONTROL!$C$42, 4.9262, 4.9262)*CHOOSE(CONTROL!$C$21, $C$9, 100%, $E$9)</f>
        <v>4.9261999999999997</v>
      </c>
      <c r="H64" s="10">
        <f>CHOOSE(CONTROL!$C$42, 5.1275, 5.1275) * CHOOSE(CONTROL!$C$21, $C$9, 100%, $E$9)</f>
        <v>5.1275000000000004</v>
      </c>
      <c r="I64" s="10">
        <f>CHOOSE(CONTROL!$C$42, 4.8982, 4.8982)* CHOOSE(CONTROL!$C$21, $C$9, 100%, $E$9)</f>
        <v>4.8982000000000001</v>
      </c>
      <c r="J64" s="10">
        <f>CHOOSE(CONTROL!$C$42, 4.9012, 4.9012)* CHOOSE(CONTROL!$C$21, $C$9, 100%, $E$9)</f>
        <v>4.9012000000000002</v>
      </c>
      <c r="K64" s="54">
        <f>CHOOSE(CONTROL!$C$42, 4.8943, 4.8943) * CHOOSE(CONTROL!$C$21, $C$9, 100%, $E$9)</f>
        <v>4.8943000000000003</v>
      </c>
      <c r="L64" s="10">
        <f>CHOOSE(CONTROL!$C$42, 5.7145, 5.7145) * CHOOSE(CONTROL!$C$21, $C$9, 100%, $E$9)</f>
        <v>5.7145000000000001</v>
      </c>
      <c r="M64" s="10">
        <f>CHOOSE(CONTROL!$C$42, 4.8656, 4.8656) * CHOOSE(CONTROL!$C$21, $C$9, 100%, $E$9)</f>
        <v>4.8655999999999997</v>
      </c>
      <c r="N64" s="10">
        <f>CHOOSE(CONTROL!$C$42, 4.8834, 4.8834) * CHOOSE(CONTROL!$C$21, $C$9, 100%, $E$9)</f>
        <v>4.8834</v>
      </c>
      <c r="O64" s="10">
        <f>CHOOSE(CONTROL!$C$42, 5.0896, 5.0896) * CHOOSE(CONTROL!$C$21, $C$9, 100%, $E$9)</f>
        <v>5.0895999999999999</v>
      </c>
      <c r="P64" s="10">
        <f>CHOOSE(CONTROL!$C$42, 4.8626, 4.8626) * CHOOSE(CONTROL!$C$21, $C$9, 100%, $E$9)</f>
        <v>4.8625999999999996</v>
      </c>
      <c r="Q64" s="10">
        <f>CHOOSE(CONTROL!$C$42, 5.6849, 5.6849) * CHOOSE(CONTROL!$C$21, $C$9, 100%, $E$9)</f>
        <v>5.6848999999999998</v>
      </c>
      <c r="R64" s="10">
        <f>CHOOSE(CONTROL!$C$42, 6.2861, 6.2861) * CHOOSE(CONTROL!$C$21, $C$9, 100%, $E$9)</f>
        <v>6.2861000000000002</v>
      </c>
      <c r="S64" s="10">
        <f>CHOOSE(CONTROL!$C$42, 4.7748, 4.7748) * CHOOSE(CONTROL!$C$21, $C$9, 100%, $E$9)</f>
        <v>4.7747999999999999</v>
      </c>
      <c r="T64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4" s="58">
        <f>(1000*CHOOSE(CONTROL!$C$42, 695, 695)*CHOOSE(CONTROL!$C$42, 0.5599, 0.5599)*CHOOSE(CONTROL!$C$42, 30, 30))/1000000</f>
        <v>11.673914999999997</v>
      </c>
      <c r="V64" s="58">
        <f>(1000*CHOOSE(CONTROL!$C$42, 500, 500)*CHOOSE(CONTROL!$C$42, 0.275, 0.275)*CHOOSE(CONTROL!$C$42, 30, 30))/1000000</f>
        <v>4.125</v>
      </c>
      <c r="W64" s="58">
        <f>(1000*CHOOSE(CONTROL!$C$42, 0.1146, 0.1146)*CHOOSE(CONTROL!$C$42, 121.5, 121.5)*CHOOSE(CONTROL!$C$42, 30, 30))/1000000</f>
        <v>0.417717</v>
      </c>
      <c r="X64" s="58">
        <f>(30*0.1790888*245000/1000000)+(30*0.2374*100000/1000000)</f>
        <v>2.0285026799999999</v>
      </c>
      <c r="Y64" s="58"/>
      <c r="Z64" s="10"/>
      <c r="AA64" s="57"/>
      <c r="AB64" s="51">
        <f>(B64*141.293+C64*267.993+D64*115.016+E64*89.698+F64*40+G64*185+H64*0+I64*100+J64*300)/(141.293+267.993+115.016+89.698+0+40+185+100+300)</f>
        <v>4.948178749959645</v>
      </c>
      <c r="AC64" s="27">
        <f>(M64*'RAP TEMPLATE-GAS AVAILABILITY'!O63+N64*'RAP TEMPLATE-GAS AVAILABILITY'!P63+O64*'RAP TEMPLATE-GAS AVAILABILITY'!Q63+P64*'RAP TEMPLATE-GAS AVAILABILITY'!R63)/('RAP TEMPLATE-GAS AVAILABILITY'!O63+'RAP TEMPLATE-GAS AVAILABILITY'!P63+'RAP TEMPLATE-GAS AVAILABILITY'!Q63+'RAP TEMPLATE-GAS AVAILABILITY'!R63)</f>
        <v>4.9321151079136687</v>
      </c>
    </row>
    <row r="65" spans="1:29" ht="15.75" x14ac:dyDescent="0.25">
      <c r="A65" s="16">
        <v>43221</v>
      </c>
      <c r="B65" s="10">
        <f>CHOOSE(CONTROL!$C$42, 4.9651, 4.9651) * CHOOSE(CONTROL!$C$21, $C$9, 100%, $E$9)</f>
        <v>4.9650999999999996</v>
      </c>
      <c r="C65" s="10">
        <f>CHOOSE(CONTROL!$C$42, 4.973, 4.973) * CHOOSE(CONTROL!$C$21, $C$9, 100%, $E$9)</f>
        <v>4.9729999999999999</v>
      </c>
      <c r="D65" s="10">
        <f>CHOOSE(CONTROL!$C$42, 5.1515, 5.1515) * CHOOSE(CONTROL!$C$21, $C$9, 100%, $E$9)</f>
        <v>5.1515000000000004</v>
      </c>
      <c r="E65" s="10">
        <f>CHOOSE(CONTROL!$C$42, 5.1827, 5.1827) * CHOOSE(CONTROL!$C$21, $C$9, 100%, $E$9)</f>
        <v>5.1826999999999996</v>
      </c>
      <c r="F65" s="10">
        <f>CHOOSE(CONTROL!$C$42, 4.9513, 4.9513)*CHOOSE(CONTROL!$C$21, $C$9, 100%, $E$9)</f>
        <v>4.9512999999999998</v>
      </c>
      <c r="G65" s="10">
        <f>CHOOSE(CONTROL!$C$42, 4.9694, 4.9694)*CHOOSE(CONTROL!$C$21, $C$9, 100%, $E$9)</f>
        <v>4.9694000000000003</v>
      </c>
      <c r="H65" s="10">
        <f>CHOOSE(CONTROL!$C$42, 5.1713, 5.1713) * CHOOSE(CONTROL!$C$21, $C$9, 100%, $E$9)</f>
        <v>5.1712999999999996</v>
      </c>
      <c r="I65" s="10">
        <f>CHOOSE(CONTROL!$C$42, 4.942, 4.942)* CHOOSE(CONTROL!$C$21, $C$9, 100%, $E$9)</f>
        <v>4.9420000000000002</v>
      </c>
      <c r="J65" s="10">
        <f>CHOOSE(CONTROL!$C$42, 4.9443, 4.9443)* CHOOSE(CONTROL!$C$21, $C$9, 100%, $E$9)</f>
        <v>4.9443000000000001</v>
      </c>
      <c r="K65" s="54">
        <f>CHOOSE(CONTROL!$C$42, 4.9381, 4.9381) * CHOOSE(CONTROL!$C$21, $C$9, 100%, $E$9)</f>
        <v>4.9381000000000004</v>
      </c>
      <c r="L65" s="10">
        <f>CHOOSE(CONTROL!$C$42, 5.7583, 5.7583) * CHOOSE(CONTROL!$C$21, $C$9, 100%, $E$9)</f>
        <v>5.7583000000000002</v>
      </c>
      <c r="M65" s="10">
        <f>CHOOSE(CONTROL!$C$42, 4.9082, 4.9082) * CHOOSE(CONTROL!$C$21, $C$9, 100%, $E$9)</f>
        <v>4.9081999999999999</v>
      </c>
      <c r="N65" s="10">
        <f>CHOOSE(CONTROL!$C$42, 4.9262, 4.9262) * CHOOSE(CONTROL!$C$21, $C$9, 100%, $E$9)</f>
        <v>4.9261999999999997</v>
      </c>
      <c r="O65" s="10">
        <f>CHOOSE(CONTROL!$C$42, 5.1329, 5.1329) * CHOOSE(CONTROL!$C$21, $C$9, 100%, $E$9)</f>
        <v>5.1329000000000002</v>
      </c>
      <c r="P65" s="10">
        <f>CHOOSE(CONTROL!$C$42, 4.9059, 4.9059) * CHOOSE(CONTROL!$C$21, $C$9, 100%, $E$9)</f>
        <v>4.9058999999999999</v>
      </c>
      <c r="Q65" s="10">
        <f>CHOOSE(CONTROL!$C$42, 5.7282, 5.7282) * CHOOSE(CONTROL!$C$21, $C$9, 100%, $E$9)</f>
        <v>5.7282000000000002</v>
      </c>
      <c r="R65" s="10">
        <f>CHOOSE(CONTROL!$C$42, 6.3296, 6.3296) * CHOOSE(CONTROL!$C$21, $C$9, 100%, $E$9)</f>
        <v>6.3296000000000001</v>
      </c>
      <c r="S65" s="10">
        <f>CHOOSE(CONTROL!$C$42, 4.8173, 4.8173) * CHOOSE(CONTROL!$C$21, $C$9, 100%, $E$9)</f>
        <v>4.8173000000000004</v>
      </c>
      <c r="T65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5" s="58">
        <f>(1000*CHOOSE(CONTROL!$C$42, 695, 695)*CHOOSE(CONTROL!$C$42, 0.5599, 0.5599)*CHOOSE(CONTROL!$C$42, 31, 31))/1000000</f>
        <v>12.063045499999998</v>
      </c>
      <c r="V65" s="58">
        <f>(1000*CHOOSE(CONTROL!$C$42, 500, 500)*CHOOSE(CONTROL!$C$42, 0.275, 0.275)*CHOOSE(CONTROL!$C$42, 31, 31))/1000000</f>
        <v>4.2625000000000002</v>
      </c>
      <c r="W65" s="58">
        <f>(1000*CHOOSE(CONTROL!$C$42, 0.1146, 0.1146)*CHOOSE(CONTROL!$C$42, 121.5, 121.5)*CHOOSE(CONTROL!$C$42, 31, 31))/1000000</f>
        <v>0.43164089999999994</v>
      </c>
      <c r="X65" s="58">
        <f>(31*0.1790888*245000/1000000)+(31*0.2374*100000/1000000)</f>
        <v>2.0961194359999999</v>
      </c>
      <c r="Y65" s="58"/>
      <c r="Z65" s="10"/>
      <c r="AA65" s="57"/>
      <c r="AB65" s="51">
        <f>(B65*194.205+C65*267.466+D65*133.845+E65*53.484+F65*40+G65*185+H65*0+I65*100+J65*300)/(194.205+267.466+133.845+53.484+0+40+185+100+300)</f>
        <v>4.9889565995290424</v>
      </c>
      <c r="AC65" s="27">
        <f>(M65*'RAP TEMPLATE-GAS AVAILABILITY'!O64+N65*'RAP TEMPLATE-GAS AVAILABILITY'!P64+O65*'RAP TEMPLATE-GAS AVAILABILITY'!Q64+P65*'RAP TEMPLATE-GAS AVAILABILITY'!R64)/('RAP TEMPLATE-GAS AVAILABILITY'!O64+'RAP TEMPLATE-GAS AVAILABILITY'!P64+'RAP TEMPLATE-GAS AVAILABILITY'!Q64+'RAP TEMPLATE-GAS AVAILABILITY'!R64)</f>
        <v>4.9750582733812951</v>
      </c>
    </row>
    <row r="66" spans="1:29" ht="15.75" x14ac:dyDescent="0.25">
      <c r="A66" s="16">
        <v>43252</v>
      </c>
      <c r="B66" s="10">
        <f>CHOOSE(CONTROL!$C$42, 5.1058, 5.1058) * CHOOSE(CONTROL!$C$21, $C$9, 100%, $E$9)</f>
        <v>5.1058000000000003</v>
      </c>
      <c r="C66" s="10">
        <f>CHOOSE(CONTROL!$C$42, 5.1137, 5.1137) * CHOOSE(CONTROL!$C$21, $C$9, 100%, $E$9)</f>
        <v>5.1136999999999997</v>
      </c>
      <c r="D66" s="10">
        <f>CHOOSE(CONTROL!$C$42, 5.2922, 5.2922) * CHOOSE(CONTROL!$C$21, $C$9, 100%, $E$9)</f>
        <v>5.2922000000000002</v>
      </c>
      <c r="E66" s="10">
        <f>CHOOSE(CONTROL!$C$42, 5.3234, 5.3234) * CHOOSE(CONTROL!$C$21, $C$9, 100%, $E$9)</f>
        <v>5.3234000000000004</v>
      </c>
      <c r="F66" s="10">
        <f>CHOOSE(CONTROL!$C$42, 5.0922, 5.0922)*CHOOSE(CONTROL!$C$21, $C$9, 100%, $E$9)</f>
        <v>5.0922000000000001</v>
      </c>
      <c r="G66" s="10">
        <f>CHOOSE(CONTROL!$C$42, 5.1104, 5.1104)*CHOOSE(CONTROL!$C$21, $C$9, 100%, $E$9)</f>
        <v>5.1104000000000003</v>
      </c>
      <c r="H66" s="10">
        <f>CHOOSE(CONTROL!$C$42, 5.312, 5.312) * CHOOSE(CONTROL!$C$21, $C$9, 100%, $E$9)</f>
        <v>5.3120000000000003</v>
      </c>
      <c r="I66" s="10">
        <f>CHOOSE(CONTROL!$C$42, 5.0826, 5.0826)* CHOOSE(CONTROL!$C$21, $C$9, 100%, $E$9)</f>
        <v>5.0826000000000002</v>
      </c>
      <c r="J66" s="10">
        <f>CHOOSE(CONTROL!$C$42, 5.0852, 5.0852)* CHOOSE(CONTROL!$C$21, $C$9, 100%, $E$9)</f>
        <v>5.0852000000000004</v>
      </c>
      <c r="K66" s="54">
        <f>CHOOSE(CONTROL!$C$42, 5.0787, 5.0787) * CHOOSE(CONTROL!$C$21, $C$9, 100%, $E$9)</f>
        <v>5.0787000000000004</v>
      </c>
      <c r="L66" s="10">
        <f>CHOOSE(CONTROL!$C$42, 5.899, 5.899) * CHOOSE(CONTROL!$C$21, $C$9, 100%, $E$9)</f>
        <v>5.899</v>
      </c>
      <c r="M66" s="10">
        <f>CHOOSE(CONTROL!$C$42, 5.0477, 5.0477) * CHOOSE(CONTROL!$C$21, $C$9, 100%, $E$9)</f>
        <v>5.0476999999999999</v>
      </c>
      <c r="N66" s="10">
        <f>CHOOSE(CONTROL!$C$42, 5.0658, 5.0658) * CHOOSE(CONTROL!$C$21, $C$9, 100%, $E$9)</f>
        <v>5.0658000000000003</v>
      </c>
      <c r="O66" s="10">
        <f>CHOOSE(CONTROL!$C$42, 5.2722, 5.2722) * CHOOSE(CONTROL!$C$21, $C$9, 100%, $E$9)</f>
        <v>5.2721999999999998</v>
      </c>
      <c r="P66" s="10">
        <f>CHOOSE(CONTROL!$C$42, 5.0452, 5.0452) * CHOOSE(CONTROL!$C$21, $C$9, 100%, $E$9)</f>
        <v>5.0452000000000004</v>
      </c>
      <c r="Q66" s="10">
        <f>CHOOSE(CONTROL!$C$42, 5.8675, 5.8675) * CHOOSE(CONTROL!$C$21, $C$9, 100%, $E$9)</f>
        <v>5.8674999999999997</v>
      </c>
      <c r="R66" s="10">
        <f>CHOOSE(CONTROL!$C$42, 6.4692, 6.4692) * CHOOSE(CONTROL!$C$21, $C$9, 100%, $E$9)</f>
        <v>6.4691999999999998</v>
      </c>
      <c r="S66" s="10">
        <f>CHOOSE(CONTROL!$C$42, 4.954, 4.954) * CHOOSE(CONTROL!$C$21, $C$9, 100%, $E$9)</f>
        <v>4.9539999999999997</v>
      </c>
      <c r="T66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6" s="58">
        <f>(1000*CHOOSE(CONTROL!$C$42, 695, 695)*CHOOSE(CONTROL!$C$42, 0.5599, 0.5599)*CHOOSE(CONTROL!$C$42, 30, 30))/1000000</f>
        <v>11.673914999999997</v>
      </c>
      <c r="V66" s="58">
        <f>(1000*CHOOSE(CONTROL!$C$42, 500, 500)*CHOOSE(CONTROL!$C$42, 0.275, 0.275)*CHOOSE(CONTROL!$C$42, 30, 30))/1000000</f>
        <v>4.125</v>
      </c>
      <c r="W66" s="58">
        <f>(1000*CHOOSE(CONTROL!$C$42, 0.1146, 0.1146)*CHOOSE(CONTROL!$C$42, 121.5, 121.5)*CHOOSE(CONTROL!$C$42, 30, 30))/1000000</f>
        <v>0.417717</v>
      </c>
      <c r="X66" s="58">
        <f>(30*0.1790888*245000/1000000)+(30*0.2374*100000/1000000)</f>
        <v>2.0285026799999999</v>
      </c>
      <c r="Y66" s="58"/>
      <c r="Z66" s="10"/>
      <c r="AA66" s="57"/>
      <c r="AB66" s="51">
        <f>(B66*194.205+C66*267.466+D66*133.845+E66*53.484+F66*40+G66*185+H66*0+I66*100+J66*300)/(194.205+267.466+133.845+53.484+0+40+185+100+300)</f>
        <v>5.1297456890109903</v>
      </c>
      <c r="AC66" s="27">
        <f>(M66*'RAP TEMPLATE-GAS AVAILABILITY'!O65+N66*'RAP TEMPLATE-GAS AVAILABILITY'!P65+O66*'RAP TEMPLATE-GAS AVAILABILITY'!Q65+P66*'RAP TEMPLATE-GAS AVAILABILITY'!R65)/('RAP TEMPLATE-GAS AVAILABILITY'!O65+'RAP TEMPLATE-GAS AVAILABILITY'!P65+'RAP TEMPLATE-GAS AVAILABILITY'!Q65+'RAP TEMPLATE-GAS AVAILABILITY'!R65)</f>
        <v>5.1144964028776974</v>
      </c>
    </row>
    <row r="67" spans="1:29" ht="15.75" x14ac:dyDescent="0.25">
      <c r="A67" s="16">
        <v>43282</v>
      </c>
      <c r="B67" s="10">
        <f>CHOOSE(CONTROL!$C$42, 5.0079, 5.0079) * CHOOSE(CONTROL!$C$21, $C$9, 100%, $E$9)</f>
        <v>5.0079000000000002</v>
      </c>
      <c r="C67" s="10">
        <f>CHOOSE(CONTROL!$C$42, 5.0158, 5.0158) * CHOOSE(CONTROL!$C$21, $C$9, 100%, $E$9)</f>
        <v>5.0157999999999996</v>
      </c>
      <c r="D67" s="10">
        <f>CHOOSE(CONTROL!$C$42, 5.1944, 5.1944) * CHOOSE(CONTROL!$C$21, $C$9, 100%, $E$9)</f>
        <v>5.1943999999999999</v>
      </c>
      <c r="E67" s="10">
        <f>CHOOSE(CONTROL!$C$42, 5.2255, 5.2255) * CHOOSE(CONTROL!$C$21, $C$9, 100%, $E$9)</f>
        <v>5.2255000000000003</v>
      </c>
      <c r="F67" s="10">
        <f>CHOOSE(CONTROL!$C$42, 4.9946, 4.9946)*CHOOSE(CONTROL!$C$21, $C$9, 100%, $E$9)</f>
        <v>4.9946000000000002</v>
      </c>
      <c r="G67" s="10">
        <f>CHOOSE(CONTROL!$C$42, 5.0129, 5.0129)*CHOOSE(CONTROL!$C$21, $C$9, 100%, $E$9)</f>
        <v>5.0129000000000001</v>
      </c>
      <c r="H67" s="10">
        <f>CHOOSE(CONTROL!$C$42, 5.2141, 5.2141) * CHOOSE(CONTROL!$C$21, $C$9, 100%, $E$9)</f>
        <v>5.2141000000000002</v>
      </c>
      <c r="I67" s="10">
        <f>CHOOSE(CONTROL!$C$42, 4.9848, 4.9848)* CHOOSE(CONTROL!$C$21, $C$9, 100%, $E$9)</f>
        <v>4.9847999999999999</v>
      </c>
      <c r="J67" s="10">
        <f>CHOOSE(CONTROL!$C$42, 4.9876, 4.9876)* CHOOSE(CONTROL!$C$21, $C$9, 100%, $E$9)</f>
        <v>4.9875999999999996</v>
      </c>
      <c r="K67" s="54">
        <f>CHOOSE(CONTROL!$C$42, 4.9809, 4.9809) * CHOOSE(CONTROL!$C$21, $C$9, 100%, $E$9)</f>
        <v>4.9809000000000001</v>
      </c>
      <c r="L67" s="10">
        <f>CHOOSE(CONTROL!$C$42, 5.8011, 5.8011) * CHOOSE(CONTROL!$C$21, $C$9, 100%, $E$9)</f>
        <v>5.8010999999999999</v>
      </c>
      <c r="M67" s="10">
        <f>CHOOSE(CONTROL!$C$42, 4.9511, 4.9511) * CHOOSE(CONTROL!$C$21, $C$9, 100%, $E$9)</f>
        <v>4.9511000000000003</v>
      </c>
      <c r="N67" s="10">
        <f>CHOOSE(CONTROL!$C$42, 4.9693, 4.9693) * CHOOSE(CONTROL!$C$21, $C$9, 100%, $E$9)</f>
        <v>4.9692999999999996</v>
      </c>
      <c r="O67" s="10">
        <f>CHOOSE(CONTROL!$C$42, 5.1754, 5.1754) * CHOOSE(CONTROL!$C$21, $C$9, 100%, $E$9)</f>
        <v>5.1753999999999998</v>
      </c>
      <c r="P67" s="10">
        <f>CHOOSE(CONTROL!$C$42, 4.9484, 4.9484) * CHOOSE(CONTROL!$C$21, $C$9, 100%, $E$9)</f>
        <v>4.9484000000000004</v>
      </c>
      <c r="Q67" s="10">
        <f>CHOOSE(CONTROL!$C$42, 5.7707, 5.7707) * CHOOSE(CONTROL!$C$21, $C$9, 100%, $E$9)</f>
        <v>5.7706999999999997</v>
      </c>
      <c r="R67" s="10">
        <f>CHOOSE(CONTROL!$C$42, 6.3721, 6.3721) * CHOOSE(CONTROL!$C$21, $C$9, 100%, $E$9)</f>
        <v>6.3720999999999997</v>
      </c>
      <c r="S67" s="10">
        <f>CHOOSE(CONTROL!$C$42, 4.8589, 4.8589) * CHOOSE(CONTROL!$C$21, $C$9, 100%, $E$9)</f>
        <v>4.8589000000000002</v>
      </c>
      <c r="T67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7" s="58">
        <f>(1000*CHOOSE(CONTROL!$C$42, 695, 695)*CHOOSE(CONTROL!$C$42, 0.5599, 0.5599)*CHOOSE(CONTROL!$C$42, 31, 31))/1000000</f>
        <v>12.063045499999998</v>
      </c>
      <c r="V67" s="58">
        <f>(1000*CHOOSE(CONTROL!$C$42, 500, 500)*CHOOSE(CONTROL!$C$42, 0.275, 0.275)*CHOOSE(CONTROL!$C$42, 31, 31))/1000000</f>
        <v>4.2625000000000002</v>
      </c>
      <c r="W67" s="58">
        <f>(1000*CHOOSE(CONTROL!$C$42, 0.1146, 0.1146)*CHOOSE(CONTROL!$C$42, 121.5, 121.5)*CHOOSE(CONTROL!$C$42, 31, 31))/1000000</f>
        <v>0.43164089999999994</v>
      </c>
      <c r="X67" s="58">
        <f>(31*0.1790888*245000/1000000)+(31*0.2374*100000/1000000)</f>
        <v>2.0961194359999999</v>
      </c>
      <c r="Y67" s="58"/>
      <c r="Z67" s="10"/>
      <c r="AA67" s="57"/>
      <c r="AB67" s="51">
        <f>(B67*194.205+C67*267.466+D67*133.845+E67*53.484+F67*40+G67*185+H67*0+I67*100+J67*300)/(194.205+267.466+133.845+53.484+0+40+185+100+300)</f>
        <v>5.0320021917582407</v>
      </c>
      <c r="AC67" s="27">
        <f>(M67*'RAP TEMPLATE-GAS AVAILABILITY'!O66+N67*'RAP TEMPLATE-GAS AVAILABILITY'!P66+O67*'RAP TEMPLATE-GAS AVAILABILITY'!Q66+P67*'RAP TEMPLATE-GAS AVAILABILITY'!R66)/('RAP TEMPLATE-GAS AVAILABILITY'!O66+'RAP TEMPLATE-GAS AVAILABILITY'!P66+'RAP TEMPLATE-GAS AVAILABILITY'!Q66+'RAP TEMPLATE-GAS AVAILABILITY'!R66)</f>
        <v>5.0178345323741009</v>
      </c>
    </row>
    <row r="68" spans="1:29" ht="15.75" x14ac:dyDescent="0.25">
      <c r="A68" s="16">
        <v>43313</v>
      </c>
      <c r="B68" s="10">
        <f>CHOOSE(CONTROL!$C$42, 4.7608, 4.7608) * CHOOSE(CONTROL!$C$21, $C$9, 100%, $E$9)</f>
        <v>4.7607999999999997</v>
      </c>
      <c r="C68" s="10">
        <f>CHOOSE(CONTROL!$C$42, 4.7687, 4.7687) * CHOOSE(CONTROL!$C$21, $C$9, 100%, $E$9)</f>
        <v>4.7686999999999999</v>
      </c>
      <c r="D68" s="10">
        <f>CHOOSE(CONTROL!$C$42, 4.9473, 4.9473) * CHOOSE(CONTROL!$C$21, $C$9, 100%, $E$9)</f>
        <v>4.9473000000000003</v>
      </c>
      <c r="E68" s="10">
        <f>CHOOSE(CONTROL!$C$42, 4.9784, 4.9784) * CHOOSE(CONTROL!$C$21, $C$9, 100%, $E$9)</f>
        <v>4.9783999999999997</v>
      </c>
      <c r="F68" s="10">
        <f>CHOOSE(CONTROL!$C$42, 4.7475, 4.7475)*CHOOSE(CONTROL!$C$21, $C$9, 100%, $E$9)</f>
        <v>4.7474999999999996</v>
      </c>
      <c r="G68" s="10">
        <f>CHOOSE(CONTROL!$C$42, 4.7658, 4.7658)*CHOOSE(CONTROL!$C$21, $C$9, 100%, $E$9)</f>
        <v>4.7657999999999996</v>
      </c>
      <c r="H68" s="10">
        <f>CHOOSE(CONTROL!$C$42, 4.9671, 4.9671) * CHOOSE(CONTROL!$C$21, $C$9, 100%, $E$9)</f>
        <v>4.9671000000000003</v>
      </c>
      <c r="I68" s="10">
        <f>CHOOSE(CONTROL!$C$42, 4.7377, 4.7377)* CHOOSE(CONTROL!$C$21, $C$9, 100%, $E$9)</f>
        <v>4.7377000000000002</v>
      </c>
      <c r="J68" s="10">
        <f>CHOOSE(CONTROL!$C$42, 4.7405, 4.7405)* CHOOSE(CONTROL!$C$21, $C$9, 100%, $E$9)</f>
        <v>4.7404999999999999</v>
      </c>
      <c r="K68" s="54">
        <f>CHOOSE(CONTROL!$C$42, 4.7338, 4.7338) * CHOOSE(CONTROL!$C$21, $C$9, 100%, $E$9)</f>
        <v>4.7337999999999996</v>
      </c>
      <c r="L68" s="10">
        <f>CHOOSE(CONTROL!$C$42, 5.5541, 5.5541) * CHOOSE(CONTROL!$C$21, $C$9, 100%, $E$9)</f>
        <v>5.5541</v>
      </c>
      <c r="M68" s="10">
        <f>CHOOSE(CONTROL!$C$42, 4.7065, 4.7065) * CHOOSE(CONTROL!$C$21, $C$9, 100%, $E$9)</f>
        <v>4.7065000000000001</v>
      </c>
      <c r="N68" s="10">
        <f>CHOOSE(CONTROL!$C$42, 4.7246, 4.7246) * CHOOSE(CONTROL!$C$21, $C$9, 100%, $E$9)</f>
        <v>4.7245999999999997</v>
      </c>
      <c r="O68" s="10">
        <f>CHOOSE(CONTROL!$C$42, 4.9308, 4.9308) * CHOOSE(CONTROL!$C$21, $C$9, 100%, $E$9)</f>
        <v>4.9307999999999996</v>
      </c>
      <c r="P68" s="10">
        <f>CHOOSE(CONTROL!$C$42, 4.7038, 4.7038) * CHOOSE(CONTROL!$C$21, $C$9, 100%, $E$9)</f>
        <v>4.7038000000000002</v>
      </c>
      <c r="Q68" s="10">
        <f>CHOOSE(CONTROL!$C$42, 5.5261, 5.5261) * CHOOSE(CONTROL!$C$21, $C$9, 100%, $E$9)</f>
        <v>5.5260999999999996</v>
      </c>
      <c r="R68" s="10">
        <f>CHOOSE(CONTROL!$C$42, 6.1269, 6.1269) * CHOOSE(CONTROL!$C$21, $C$9, 100%, $E$9)</f>
        <v>6.1269</v>
      </c>
      <c r="S68" s="10">
        <f>CHOOSE(CONTROL!$C$42, 4.619, 4.619) * CHOOSE(CONTROL!$C$21, $C$9, 100%, $E$9)</f>
        <v>4.6189999999999998</v>
      </c>
      <c r="T68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8" s="58">
        <f>(1000*CHOOSE(CONTROL!$C$42, 695, 695)*CHOOSE(CONTROL!$C$42, 0.5599, 0.5599)*CHOOSE(CONTROL!$C$42, 31, 31))/1000000</f>
        <v>12.063045499999998</v>
      </c>
      <c r="V68" s="58">
        <f>(1000*CHOOSE(CONTROL!$C$42, 500, 500)*CHOOSE(CONTROL!$C$42, 0.275, 0.275)*CHOOSE(CONTROL!$C$42, 31, 31))/1000000</f>
        <v>4.2625000000000002</v>
      </c>
      <c r="W68" s="58">
        <f>(1000*CHOOSE(CONTROL!$C$42, 0.1146, 0.1146)*CHOOSE(CONTROL!$C$42, 121.5, 121.5)*CHOOSE(CONTROL!$C$42, 31, 31))/1000000</f>
        <v>0.43164089999999994</v>
      </c>
      <c r="X68" s="58">
        <f>(31*0.1790888*245000/1000000)+(31*0.2374*100000/1000000)</f>
        <v>2.0961194359999999</v>
      </c>
      <c r="Y68" s="58"/>
      <c r="Z68" s="10"/>
      <c r="AA68" s="57"/>
      <c r="AB68" s="51">
        <f>(B68*194.205+C68*267.466+D68*133.845+E68*53.484+F68*40+G68*185+H68*0+I68*100+J68*300)/(194.205+267.466+133.845+53.484+0+40+185+100+300)</f>
        <v>4.7849021917582419</v>
      </c>
      <c r="AC68" s="27">
        <f>(M68*'RAP TEMPLATE-GAS AVAILABILITY'!O67+N68*'RAP TEMPLATE-GAS AVAILABILITY'!P67+O68*'RAP TEMPLATE-GAS AVAILABILITY'!Q67+P68*'RAP TEMPLATE-GAS AVAILABILITY'!R67)/('RAP TEMPLATE-GAS AVAILABILITY'!O67+'RAP TEMPLATE-GAS AVAILABILITY'!P67+'RAP TEMPLATE-GAS AVAILABILITY'!Q67+'RAP TEMPLATE-GAS AVAILABILITY'!R67)</f>
        <v>4.7732115107913673</v>
      </c>
    </row>
    <row r="69" spans="1:29" ht="15.75" x14ac:dyDescent="0.25">
      <c r="A69" s="16">
        <v>43344</v>
      </c>
      <c r="B69" s="10">
        <f>CHOOSE(CONTROL!$C$42, 4.4589, 4.4589) * CHOOSE(CONTROL!$C$21, $C$9, 100%, $E$9)</f>
        <v>4.4588999999999999</v>
      </c>
      <c r="C69" s="10">
        <f>CHOOSE(CONTROL!$C$42, 4.4668, 4.4668) * CHOOSE(CONTROL!$C$21, $C$9, 100%, $E$9)</f>
        <v>4.4668000000000001</v>
      </c>
      <c r="D69" s="10">
        <f>CHOOSE(CONTROL!$C$42, 4.6454, 4.6454) * CHOOSE(CONTROL!$C$21, $C$9, 100%, $E$9)</f>
        <v>4.6454000000000004</v>
      </c>
      <c r="E69" s="10">
        <f>CHOOSE(CONTROL!$C$42, 4.6765, 4.6765) * CHOOSE(CONTROL!$C$21, $C$9, 100%, $E$9)</f>
        <v>4.6764999999999999</v>
      </c>
      <c r="F69" s="10">
        <f>CHOOSE(CONTROL!$C$42, 4.4453, 4.4453)*CHOOSE(CONTROL!$C$21, $C$9, 100%, $E$9)</f>
        <v>4.4452999999999996</v>
      </c>
      <c r="G69" s="10">
        <f>CHOOSE(CONTROL!$C$42, 4.4635, 4.4635)*CHOOSE(CONTROL!$C$21, $C$9, 100%, $E$9)</f>
        <v>4.4634999999999998</v>
      </c>
      <c r="H69" s="10">
        <f>CHOOSE(CONTROL!$C$42, 4.6651, 4.6651) * CHOOSE(CONTROL!$C$21, $C$9, 100%, $E$9)</f>
        <v>4.6650999999999998</v>
      </c>
      <c r="I69" s="10">
        <f>CHOOSE(CONTROL!$C$42, 4.4358, 4.4358)* CHOOSE(CONTROL!$C$21, $C$9, 100%, $E$9)</f>
        <v>4.4358000000000004</v>
      </c>
      <c r="J69" s="10">
        <f>CHOOSE(CONTROL!$C$42, 4.4383, 4.4383)* CHOOSE(CONTROL!$C$21, $C$9, 100%, $E$9)</f>
        <v>4.4382999999999999</v>
      </c>
      <c r="K69" s="54">
        <f>CHOOSE(CONTROL!$C$42, 4.4319, 4.4319) * CHOOSE(CONTROL!$C$21, $C$9, 100%, $E$9)</f>
        <v>4.4318999999999997</v>
      </c>
      <c r="L69" s="10">
        <f>CHOOSE(CONTROL!$C$42, 5.2521, 5.2521) * CHOOSE(CONTROL!$C$21, $C$9, 100%, $E$9)</f>
        <v>5.2521000000000004</v>
      </c>
      <c r="M69" s="10">
        <f>CHOOSE(CONTROL!$C$42, 4.4073, 4.4073) * CHOOSE(CONTROL!$C$21, $C$9, 100%, $E$9)</f>
        <v>4.4073000000000002</v>
      </c>
      <c r="N69" s="10">
        <f>CHOOSE(CONTROL!$C$42, 4.4254, 4.4254) * CHOOSE(CONTROL!$C$21, $C$9, 100%, $E$9)</f>
        <v>4.4253999999999998</v>
      </c>
      <c r="O69" s="10">
        <f>CHOOSE(CONTROL!$C$42, 4.6319, 4.6319) * CHOOSE(CONTROL!$C$21, $C$9, 100%, $E$9)</f>
        <v>4.6318999999999999</v>
      </c>
      <c r="P69" s="10">
        <f>CHOOSE(CONTROL!$C$42, 4.4049, 4.4049) * CHOOSE(CONTROL!$C$21, $C$9, 100%, $E$9)</f>
        <v>4.4048999999999996</v>
      </c>
      <c r="Q69" s="10">
        <f>CHOOSE(CONTROL!$C$42, 5.2272, 5.2272) * CHOOSE(CONTROL!$C$21, $C$9, 100%, $E$9)</f>
        <v>5.2271999999999998</v>
      </c>
      <c r="R69" s="10">
        <f>CHOOSE(CONTROL!$C$42, 5.8273, 5.8273) * CHOOSE(CONTROL!$C$21, $C$9, 100%, $E$9)</f>
        <v>5.8273000000000001</v>
      </c>
      <c r="S69" s="10">
        <f>CHOOSE(CONTROL!$C$42, 4.3258, 4.3258) * CHOOSE(CONTROL!$C$21, $C$9, 100%, $E$9)</f>
        <v>4.3258000000000001</v>
      </c>
      <c r="T69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9" s="58">
        <f>(1000*CHOOSE(CONTROL!$C$42, 695, 695)*CHOOSE(CONTROL!$C$42, 0.5599, 0.5599)*CHOOSE(CONTROL!$C$42, 30, 30))/1000000</f>
        <v>11.673914999999997</v>
      </c>
      <c r="V69" s="58">
        <f>(1000*CHOOSE(CONTROL!$C$42, 500, 500)*CHOOSE(CONTROL!$C$42, 0.275, 0.275)*CHOOSE(CONTROL!$C$42, 30, 30))/1000000</f>
        <v>4.125</v>
      </c>
      <c r="W69" s="58">
        <f>(1000*CHOOSE(CONTROL!$C$42, 0.1146, 0.1146)*CHOOSE(CONTROL!$C$42, 121.5, 121.5)*CHOOSE(CONTROL!$C$42, 30, 30))/1000000</f>
        <v>0.417717</v>
      </c>
      <c r="X69" s="58">
        <f>(30*0.1790888*245000/1000000)+(30*0.2374*100000/1000000)</f>
        <v>2.0285026799999999</v>
      </c>
      <c r="Y69" s="58"/>
      <c r="Z69" s="10"/>
      <c r="AA69" s="57"/>
      <c r="AB69" s="51">
        <f>(B69*194.205+C69*267.466+D69*133.845+E69*53.484+F69*40+G69*185+H69*0+I69*100+J69*300)/(194.205+267.466+133.845+53.484+0+40+185+100+300)</f>
        <v>4.4828640441915226</v>
      </c>
      <c r="AC69" s="27">
        <f>(M69*'RAP TEMPLATE-GAS AVAILABILITY'!O68+N69*'RAP TEMPLATE-GAS AVAILABILITY'!P68+O69*'RAP TEMPLATE-GAS AVAILABILITY'!Q68+P69*'RAP TEMPLATE-GAS AVAILABILITY'!R68)/('RAP TEMPLATE-GAS AVAILABILITY'!O68+'RAP TEMPLATE-GAS AVAILABILITY'!P68+'RAP TEMPLATE-GAS AVAILABILITY'!Q68+'RAP TEMPLATE-GAS AVAILABILITY'!R68)</f>
        <v>4.4741388489208624</v>
      </c>
    </row>
    <row r="70" spans="1:29" ht="15.75" x14ac:dyDescent="0.25">
      <c r="A70" s="16">
        <v>43374</v>
      </c>
      <c r="B70" s="10">
        <f>CHOOSE(CONTROL!$C$42, 4.3664, 4.3664) * CHOOSE(CONTROL!$C$21, $C$9, 100%, $E$9)</f>
        <v>4.3663999999999996</v>
      </c>
      <c r="C70" s="10">
        <f>CHOOSE(CONTROL!$C$42, 4.3716, 4.3716) * CHOOSE(CONTROL!$C$21, $C$9, 100%, $E$9)</f>
        <v>4.3715999999999999</v>
      </c>
      <c r="D70" s="10">
        <f>CHOOSE(CONTROL!$C$42, 4.5551, 4.5551) * CHOOSE(CONTROL!$C$21, $C$9, 100%, $E$9)</f>
        <v>4.5551000000000004</v>
      </c>
      <c r="E70" s="10">
        <f>CHOOSE(CONTROL!$C$42, 4.5839, 4.5839) * CHOOSE(CONTROL!$C$21, $C$9, 100%, $E$9)</f>
        <v>4.5838999999999999</v>
      </c>
      <c r="F70" s="10">
        <f>CHOOSE(CONTROL!$C$42, 4.3547, 4.3547)*CHOOSE(CONTROL!$C$21, $C$9, 100%, $E$9)</f>
        <v>4.3547000000000002</v>
      </c>
      <c r="G70" s="10">
        <f>CHOOSE(CONTROL!$C$42, 4.3726, 4.3726)*CHOOSE(CONTROL!$C$21, $C$9, 100%, $E$9)</f>
        <v>4.3726000000000003</v>
      </c>
      <c r="H70" s="10">
        <f>CHOOSE(CONTROL!$C$42, 4.5743, 4.5743) * CHOOSE(CONTROL!$C$21, $C$9, 100%, $E$9)</f>
        <v>4.5743</v>
      </c>
      <c r="I70" s="10">
        <f>CHOOSE(CONTROL!$C$42, 4.345, 4.345)* CHOOSE(CONTROL!$C$21, $C$9, 100%, $E$9)</f>
        <v>4.3449999999999998</v>
      </c>
      <c r="J70" s="10">
        <f>CHOOSE(CONTROL!$C$42, 4.3477, 4.3477)* CHOOSE(CONTROL!$C$21, $C$9, 100%, $E$9)</f>
        <v>4.3476999999999997</v>
      </c>
      <c r="K70" s="54">
        <f>CHOOSE(CONTROL!$C$42, 4.3411, 4.3411) * CHOOSE(CONTROL!$C$21, $C$9, 100%, $E$9)</f>
        <v>4.3411</v>
      </c>
      <c r="L70" s="10">
        <f>CHOOSE(CONTROL!$C$42, 5.1613, 5.1613) * CHOOSE(CONTROL!$C$21, $C$9, 100%, $E$9)</f>
        <v>5.1612999999999998</v>
      </c>
      <c r="M70" s="10">
        <f>CHOOSE(CONTROL!$C$42, 4.3176, 4.3176) * CHOOSE(CONTROL!$C$21, $C$9, 100%, $E$9)</f>
        <v>4.3175999999999997</v>
      </c>
      <c r="N70" s="10">
        <f>CHOOSE(CONTROL!$C$42, 4.3353, 4.3353) * CHOOSE(CONTROL!$C$21, $C$9, 100%, $E$9)</f>
        <v>4.3353000000000002</v>
      </c>
      <c r="O70" s="10">
        <f>CHOOSE(CONTROL!$C$42, 4.542, 4.542) * CHOOSE(CONTROL!$C$21, $C$9, 100%, $E$9)</f>
        <v>4.5419999999999998</v>
      </c>
      <c r="P70" s="10">
        <f>CHOOSE(CONTROL!$C$42, 4.315, 4.315) * CHOOSE(CONTROL!$C$21, $C$9, 100%, $E$9)</f>
        <v>4.3150000000000004</v>
      </c>
      <c r="Q70" s="10">
        <f>CHOOSE(CONTROL!$C$42, 5.1373, 5.1373) * CHOOSE(CONTROL!$C$21, $C$9, 100%, $E$9)</f>
        <v>5.1372999999999998</v>
      </c>
      <c r="R70" s="10">
        <f>CHOOSE(CONTROL!$C$42, 5.7371, 5.7371) * CHOOSE(CONTROL!$C$21, $C$9, 100%, $E$9)</f>
        <v>5.7370999999999999</v>
      </c>
      <c r="S70" s="10">
        <f>CHOOSE(CONTROL!$C$42, 4.2376, 4.2376) * CHOOSE(CONTROL!$C$21, $C$9, 100%, $E$9)</f>
        <v>4.2375999999999996</v>
      </c>
      <c r="T70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0" s="58">
        <f>(1000*CHOOSE(CONTROL!$C$42, 695, 695)*CHOOSE(CONTROL!$C$42, 0.5599, 0.5599)*CHOOSE(CONTROL!$C$42, 31, 31))/1000000</f>
        <v>12.063045499999998</v>
      </c>
      <c r="V70" s="58">
        <f>(1000*CHOOSE(CONTROL!$C$42, 500, 500)*CHOOSE(CONTROL!$C$42, 0.275, 0.275)*CHOOSE(CONTROL!$C$42, 31, 31))/1000000</f>
        <v>4.2625000000000002</v>
      </c>
      <c r="W70" s="58">
        <f>(1000*CHOOSE(CONTROL!$C$42, 0.1146, 0.1146)*CHOOSE(CONTROL!$C$42, 121.5, 121.5)*CHOOSE(CONTROL!$C$42, 31, 31))/1000000</f>
        <v>0.43164089999999994</v>
      </c>
      <c r="X70" s="58">
        <f>(31*0.1790888*245000/1000000)+(31*0.2374*100000/1000000)</f>
        <v>2.0961194359999999</v>
      </c>
      <c r="Y70" s="58"/>
      <c r="Z70" s="10"/>
      <c r="AA70" s="57"/>
      <c r="AB70" s="51">
        <f>(B70*131.881+C70*277.167+D70*79.08+E70*125.872+F70*40+G70*185+H70*0+I70*100+J70*300)/(131.881+277.167+79.08+125.872+0+40+185+100+300)</f>
        <v>4.3959963070217905</v>
      </c>
      <c r="AC70" s="27">
        <f>(M70*'RAP TEMPLATE-GAS AVAILABILITY'!O69+N70*'RAP TEMPLATE-GAS AVAILABILITY'!P69+O70*'RAP TEMPLATE-GAS AVAILABILITY'!Q69+P70*'RAP TEMPLATE-GAS AVAILABILITY'!R69)/('RAP TEMPLATE-GAS AVAILABILITY'!O69+'RAP TEMPLATE-GAS AVAILABILITY'!P69+'RAP TEMPLATE-GAS AVAILABILITY'!Q69+'RAP TEMPLATE-GAS AVAILABILITY'!R69)</f>
        <v>4.3842618705035967</v>
      </c>
    </row>
    <row r="71" spans="1:29" ht="15.75" x14ac:dyDescent="0.25">
      <c r="A71" s="16">
        <v>43405</v>
      </c>
      <c r="B71" s="10">
        <f>CHOOSE(CONTROL!$C$42, 4.4809, 4.4809) * CHOOSE(CONTROL!$C$21, $C$9, 100%, $E$9)</f>
        <v>4.4809000000000001</v>
      </c>
      <c r="C71" s="10">
        <f>CHOOSE(CONTROL!$C$42, 4.4858, 4.4858) * CHOOSE(CONTROL!$C$21, $C$9, 100%, $E$9)</f>
        <v>4.4858000000000002</v>
      </c>
      <c r="D71" s="10">
        <f>CHOOSE(CONTROL!$C$42, 4.5154, 4.5154) * CHOOSE(CONTROL!$C$21, $C$9, 100%, $E$9)</f>
        <v>4.5153999999999996</v>
      </c>
      <c r="E71" s="10">
        <f>CHOOSE(CONTROL!$C$42, 4.5492, 4.5492) * CHOOSE(CONTROL!$C$21, $C$9, 100%, $E$9)</f>
        <v>4.5491999999999999</v>
      </c>
      <c r="F71" s="10">
        <f>CHOOSE(CONTROL!$C$42, 4.4666, 4.4666)*CHOOSE(CONTROL!$C$21, $C$9, 100%, $E$9)</f>
        <v>4.4665999999999997</v>
      </c>
      <c r="G71" s="10">
        <f>CHOOSE(CONTROL!$C$42, 4.4847, 4.4847)*CHOOSE(CONTROL!$C$21, $C$9, 100%, $E$9)</f>
        <v>4.4847000000000001</v>
      </c>
      <c r="H71" s="10">
        <f>CHOOSE(CONTROL!$C$42, 4.5384, 4.5384) * CHOOSE(CONTROL!$C$21, $C$9, 100%, $E$9)</f>
        <v>4.5384000000000002</v>
      </c>
      <c r="I71" s="10">
        <f>CHOOSE(CONTROL!$C$42, 4.4471, 4.4471)* CHOOSE(CONTROL!$C$21, $C$9, 100%, $E$9)</f>
        <v>4.4470999999999998</v>
      </c>
      <c r="J71" s="10">
        <f>CHOOSE(CONTROL!$C$42, 4.4596, 4.4596)* CHOOSE(CONTROL!$C$21, $C$9, 100%, $E$9)</f>
        <v>4.4596</v>
      </c>
      <c r="K71" s="54">
        <f>CHOOSE(CONTROL!$C$42, 4.4432, 4.4432) * CHOOSE(CONTROL!$C$21, $C$9, 100%, $E$9)</f>
        <v>4.4432</v>
      </c>
      <c r="L71" s="10">
        <f>CHOOSE(CONTROL!$C$42, 5.1254, 5.1254) * CHOOSE(CONTROL!$C$21, $C$9, 100%, $E$9)</f>
        <v>5.1254</v>
      </c>
      <c r="M71" s="10">
        <f>CHOOSE(CONTROL!$C$42, 4.4285, 4.4285) * CHOOSE(CONTROL!$C$21, $C$9, 100%, $E$9)</f>
        <v>4.4284999999999997</v>
      </c>
      <c r="N71" s="10">
        <f>CHOOSE(CONTROL!$C$42, 4.4463, 4.4463) * CHOOSE(CONTROL!$C$21, $C$9, 100%, $E$9)</f>
        <v>4.4462999999999999</v>
      </c>
      <c r="O71" s="10">
        <f>CHOOSE(CONTROL!$C$42, 4.5064, 4.5064) * CHOOSE(CONTROL!$C$21, $C$9, 100%, $E$9)</f>
        <v>4.5064000000000002</v>
      </c>
      <c r="P71" s="10">
        <f>CHOOSE(CONTROL!$C$42, 4.416, 4.416) * CHOOSE(CONTROL!$C$21, $C$9, 100%, $E$9)</f>
        <v>4.4160000000000004</v>
      </c>
      <c r="Q71" s="10">
        <f>CHOOSE(CONTROL!$C$42, 5.1017, 5.1017) * CHOOSE(CONTROL!$C$21, $C$9, 100%, $E$9)</f>
        <v>5.1017000000000001</v>
      </c>
      <c r="R71" s="10">
        <f>CHOOSE(CONTROL!$C$42, 5.7015, 5.7015) * CHOOSE(CONTROL!$C$21, $C$9, 100%, $E$9)</f>
        <v>5.7015000000000002</v>
      </c>
      <c r="S71" s="10">
        <f>CHOOSE(CONTROL!$C$42, 4.3492, 4.3492) * CHOOSE(CONTROL!$C$21, $C$9, 100%, $E$9)</f>
        <v>4.3491999999999997</v>
      </c>
      <c r="T71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1" s="58">
        <f>(1000*CHOOSE(CONTROL!$C$42, 695, 695)*CHOOSE(CONTROL!$C$42, 0.5599, 0.5599)*CHOOSE(CONTROL!$C$42, 30, 30))/1000000</f>
        <v>11.673914999999997</v>
      </c>
      <c r="V71" s="58">
        <f>(1000*CHOOSE(CONTROL!$C$42, 500, 500)*CHOOSE(CONTROL!$C$42, 0.275, 0.275)*CHOOSE(CONTROL!$C$42, 30, 30))/1000000</f>
        <v>4.125</v>
      </c>
      <c r="W71" s="58">
        <f>(1000*CHOOSE(CONTROL!$C$42, 0.1146, 0.1146)*CHOOSE(CONTROL!$C$42, 121.5, 121.5)*CHOOSE(CONTROL!$C$42, 30, 30))/1000000</f>
        <v>0.417717</v>
      </c>
      <c r="X71" s="58">
        <f>(30*0.1790888*100000/1000000)+(30*0.2374*100000/1000000)</f>
        <v>1.2494664</v>
      </c>
      <c r="Y71" s="58"/>
      <c r="Z71" s="10"/>
      <c r="AA71" s="57"/>
      <c r="AB71" s="51">
        <f>(B71*122.58+C71*297.941+D71*89.177+E71*40.302+F71*40+G71*160+H71*0+I71*100+J71*300)/(122.58+297.941+89.177+40.302+0+40+160+100+300)</f>
        <v>4.4787740382608696</v>
      </c>
      <c r="AC71" s="27">
        <f>(M71*'RAP TEMPLATE-GAS AVAILABILITY'!O70+N71*'RAP TEMPLATE-GAS AVAILABILITY'!P70+O71*'RAP TEMPLATE-GAS AVAILABILITY'!Q70+P71*'RAP TEMPLATE-GAS AVAILABILITY'!R70)/('RAP TEMPLATE-GAS AVAILABILITY'!O70+'RAP TEMPLATE-GAS AVAILABILITY'!P70+'RAP TEMPLATE-GAS AVAILABILITY'!Q70+'RAP TEMPLATE-GAS AVAILABILITY'!R70)</f>
        <v>4.4630330935251799</v>
      </c>
    </row>
    <row r="72" spans="1:29" ht="15.75" x14ac:dyDescent="0.25">
      <c r="A72" s="16">
        <v>43435</v>
      </c>
      <c r="B72" s="10">
        <f>CHOOSE(CONTROL!$C$42, 4.7862, 4.7862) * CHOOSE(CONTROL!$C$21, $C$9, 100%, $E$9)</f>
        <v>4.7862</v>
      </c>
      <c r="C72" s="10">
        <f>CHOOSE(CONTROL!$C$42, 4.7911, 4.7911) * CHOOSE(CONTROL!$C$21, $C$9, 100%, $E$9)</f>
        <v>4.7911000000000001</v>
      </c>
      <c r="D72" s="10">
        <f>CHOOSE(CONTROL!$C$42, 4.8207, 4.8207) * CHOOSE(CONTROL!$C$21, $C$9, 100%, $E$9)</f>
        <v>4.8207000000000004</v>
      </c>
      <c r="E72" s="10">
        <f>CHOOSE(CONTROL!$C$42, 4.8545, 4.8545) * CHOOSE(CONTROL!$C$21, $C$9, 100%, $E$9)</f>
        <v>4.8544999999999998</v>
      </c>
      <c r="F72" s="10">
        <f>CHOOSE(CONTROL!$C$42, 4.7735, 4.7735)*CHOOSE(CONTROL!$C$21, $C$9, 100%, $E$9)</f>
        <v>4.7735000000000003</v>
      </c>
      <c r="G72" s="10">
        <f>CHOOSE(CONTROL!$C$42, 4.7919, 4.7919)*CHOOSE(CONTROL!$C$21, $C$9, 100%, $E$9)</f>
        <v>4.7919</v>
      </c>
      <c r="H72" s="10">
        <f>CHOOSE(CONTROL!$C$42, 4.8437, 4.8437) * CHOOSE(CONTROL!$C$21, $C$9, 100%, $E$9)</f>
        <v>4.8437000000000001</v>
      </c>
      <c r="I72" s="10">
        <f>CHOOSE(CONTROL!$C$42, 4.7524, 4.7524)* CHOOSE(CONTROL!$C$21, $C$9, 100%, $E$9)</f>
        <v>4.7523999999999997</v>
      </c>
      <c r="J72" s="10">
        <f>CHOOSE(CONTROL!$C$42, 4.7665, 4.7665)* CHOOSE(CONTROL!$C$21, $C$9, 100%, $E$9)</f>
        <v>4.7664999999999997</v>
      </c>
      <c r="K72" s="54">
        <f>CHOOSE(CONTROL!$C$42, 4.7485, 4.7485) * CHOOSE(CONTROL!$C$21, $C$9, 100%, $E$9)</f>
        <v>4.7484999999999999</v>
      </c>
      <c r="L72" s="10">
        <f>CHOOSE(CONTROL!$C$42, 5.4307, 5.4307) * CHOOSE(CONTROL!$C$21, $C$9, 100%, $E$9)</f>
        <v>5.4306999999999999</v>
      </c>
      <c r="M72" s="10">
        <f>CHOOSE(CONTROL!$C$42, 4.7322, 4.7322) * CHOOSE(CONTROL!$C$21, $C$9, 100%, $E$9)</f>
        <v>4.7321999999999997</v>
      </c>
      <c r="N72" s="10">
        <f>CHOOSE(CONTROL!$C$42, 4.7505, 4.7505) * CHOOSE(CONTROL!$C$21, $C$9, 100%, $E$9)</f>
        <v>4.7504999999999997</v>
      </c>
      <c r="O72" s="10">
        <f>CHOOSE(CONTROL!$C$42, 4.8087, 4.8087) * CHOOSE(CONTROL!$C$21, $C$9, 100%, $E$9)</f>
        <v>4.8087</v>
      </c>
      <c r="P72" s="10">
        <f>CHOOSE(CONTROL!$C$42, 4.7183, 4.7183) * CHOOSE(CONTROL!$C$21, $C$9, 100%, $E$9)</f>
        <v>4.7183000000000002</v>
      </c>
      <c r="Q72" s="10">
        <f>CHOOSE(CONTROL!$C$42, 5.404, 5.404) * CHOOSE(CONTROL!$C$21, $C$9, 100%, $E$9)</f>
        <v>5.4039999999999999</v>
      </c>
      <c r="R72" s="10">
        <f>CHOOSE(CONTROL!$C$42, 6.0045, 6.0045) * CHOOSE(CONTROL!$C$21, $C$9, 100%, $E$9)</f>
        <v>6.0045000000000002</v>
      </c>
      <c r="S72" s="10">
        <f>CHOOSE(CONTROL!$C$42, 4.6457, 4.6457) * CHOOSE(CONTROL!$C$21, $C$9, 100%, $E$9)</f>
        <v>4.6456999999999997</v>
      </c>
      <c r="T72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2" s="58">
        <f>(1000*CHOOSE(CONTROL!$C$42, 695, 695)*CHOOSE(CONTROL!$C$42, 0.5599, 0.5599)*CHOOSE(CONTROL!$C$42, 31, 31))/1000000</f>
        <v>12.063045499999998</v>
      </c>
      <c r="V72" s="58">
        <f>(1000*CHOOSE(CONTROL!$C$42, 500, 500)*CHOOSE(CONTROL!$C$42, 0.275, 0.275)*CHOOSE(CONTROL!$C$42, 31, 31))/1000000</f>
        <v>4.2625000000000002</v>
      </c>
      <c r="W72" s="58">
        <f>(1000*CHOOSE(CONTROL!$C$42, 0.1146, 0.1146)*CHOOSE(CONTROL!$C$42, 121.5, 121.5)*CHOOSE(CONTROL!$C$42, 31, 31))/1000000</f>
        <v>0.43164089999999994</v>
      </c>
      <c r="X72" s="58">
        <f>(31*0.1790888*100000/1000000)+(31*0.2374*100000/1000000)</f>
        <v>1.2911152800000001</v>
      </c>
      <c r="Y72" s="58"/>
      <c r="Z72" s="10"/>
      <c r="AA72" s="57"/>
      <c r="AB72" s="51">
        <f>(B72*122.58+C72*297.941+D72*89.177+E72*40.302+F72*40+G72*160+H72*0+I72*100+J72*300)/(122.58+297.941+89.177+40.302+0+40+160+100+300)</f>
        <v>4.7848114295652175</v>
      </c>
      <c r="AC72" s="27">
        <f>(M72*'RAP TEMPLATE-GAS AVAILABILITY'!O71+N72*'RAP TEMPLATE-GAS AVAILABILITY'!P71+O72*'RAP TEMPLATE-GAS AVAILABILITY'!Q71+P72*'RAP TEMPLATE-GAS AVAILABILITY'!R71)/('RAP TEMPLATE-GAS AVAILABILITY'!O71+'RAP TEMPLATE-GAS AVAILABILITY'!P71+'RAP TEMPLATE-GAS AVAILABILITY'!Q71+'RAP TEMPLATE-GAS AVAILABILITY'!R71)</f>
        <v>4.7659258992805746</v>
      </c>
    </row>
    <row r="73" spans="1:29" ht="15.75" x14ac:dyDescent="0.25">
      <c r="A73" s="16">
        <v>43466</v>
      </c>
      <c r="B73" s="10">
        <f>CHOOSE(CONTROL!$C$42, 5.6526, 5.6526) * CHOOSE(CONTROL!$C$21, $C$9, 100%, $E$9)</f>
        <v>5.6525999999999996</v>
      </c>
      <c r="C73" s="10">
        <f>CHOOSE(CONTROL!$C$42, 5.6575, 5.6575) * CHOOSE(CONTROL!$C$21, $C$9, 100%, $E$9)</f>
        <v>5.6574999999999998</v>
      </c>
      <c r="D73" s="10">
        <f>CHOOSE(CONTROL!$C$42, 5.7078, 5.7078) * CHOOSE(CONTROL!$C$21, $C$9, 100%, $E$9)</f>
        <v>5.7077999999999998</v>
      </c>
      <c r="E73" s="10">
        <f>CHOOSE(CONTROL!$C$42, 5.7415, 5.7415) * CHOOSE(CONTROL!$C$21, $C$9, 100%, $E$9)</f>
        <v>5.7415000000000003</v>
      </c>
      <c r="F73" s="10">
        <f>CHOOSE(CONTROL!$C$42, 5.618, 5.618)*CHOOSE(CONTROL!$C$21, $C$9, 100%, $E$9)</f>
        <v>5.6180000000000003</v>
      </c>
      <c r="G73" s="10">
        <f>CHOOSE(CONTROL!$C$42, 5.6355, 5.6355)*CHOOSE(CONTROL!$C$21, $C$9, 100%, $E$9)</f>
        <v>5.6355000000000004</v>
      </c>
      <c r="H73" s="10">
        <f>CHOOSE(CONTROL!$C$42, 5.7307, 5.7307) * CHOOSE(CONTROL!$C$21, $C$9, 100%, $E$9)</f>
        <v>5.7306999999999997</v>
      </c>
      <c r="I73" s="10">
        <f>CHOOSE(CONTROL!$C$42, 5.6265, 5.6265)* CHOOSE(CONTROL!$C$21, $C$9, 100%, $E$9)</f>
        <v>5.6265000000000001</v>
      </c>
      <c r="J73" s="10">
        <f>CHOOSE(CONTROL!$C$42, 5.611, 5.611)* CHOOSE(CONTROL!$C$21, $C$9, 100%, $E$9)</f>
        <v>5.6109999999999998</v>
      </c>
      <c r="K73" s="54">
        <f>CHOOSE(CONTROL!$C$42, 5.6226, 5.6226) * CHOOSE(CONTROL!$C$21, $C$9, 100%, $E$9)</f>
        <v>5.6226000000000003</v>
      </c>
      <c r="L73" s="10">
        <f>CHOOSE(CONTROL!$C$42, 6.3177, 6.3177) * CHOOSE(CONTROL!$C$21, $C$9, 100%, $E$9)</f>
        <v>6.3177000000000003</v>
      </c>
      <c r="M73" s="10">
        <f>CHOOSE(CONTROL!$C$42, 5.5682, 5.5682) * CHOOSE(CONTROL!$C$21, $C$9, 100%, $E$9)</f>
        <v>5.5682</v>
      </c>
      <c r="N73" s="10">
        <f>CHOOSE(CONTROL!$C$42, 5.5855, 5.5855) * CHOOSE(CONTROL!$C$21, $C$9, 100%, $E$9)</f>
        <v>5.5854999999999997</v>
      </c>
      <c r="O73" s="10">
        <f>CHOOSE(CONTROL!$C$42, 5.6867, 5.6867) * CHOOSE(CONTROL!$C$21, $C$9, 100%, $E$9)</f>
        <v>5.6867000000000001</v>
      </c>
      <c r="P73" s="10">
        <f>CHOOSE(CONTROL!$C$42, 5.5836, 5.5836) * CHOOSE(CONTROL!$C$21, $C$9, 100%, $E$9)</f>
        <v>5.5835999999999997</v>
      </c>
      <c r="Q73" s="10">
        <f>CHOOSE(CONTROL!$C$42, 6.282, 6.282) * CHOOSE(CONTROL!$C$21, $C$9, 100%, $E$9)</f>
        <v>6.282</v>
      </c>
      <c r="R73" s="10">
        <f>CHOOSE(CONTROL!$C$42, 6.8847, 6.8847) * CHOOSE(CONTROL!$C$21, $C$9, 100%, $E$9)</f>
        <v>6.8846999999999996</v>
      </c>
      <c r="S73" s="10">
        <f>CHOOSE(CONTROL!$C$42, 5.4871, 5.4871) * CHOOSE(CONTROL!$C$21, $C$9, 100%, $E$9)</f>
        <v>5.4870999999999999</v>
      </c>
      <c r="T73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3" s="58">
        <f>(1000*CHOOSE(CONTROL!$C$42, 695, 695)*CHOOSE(CONTROL!$C$42, 0.5599, 0.5599)*CHOOSE(CONTROL!$C$42, 31, 31))/1000000</f>
        <v>12.063045499999998</v>
      </c>
      <c r="V73" s="58">
        <f>(1000*CHOOSE(CONTROL!$C$42, 500, 500)*CHOOSE(CONTROL!$C$42, 0.275, 0.275)*CHOOSE(CONTROL!$C$42, 31, 31))/1000000</f>
        <v>4.2625000000000002</v>
      </c>
      <c r="W73" s="58">
        <f>(1000*CHOOSE(CONTROL!$C$42, 0.1146, 0.1146)*CHOOSE(CONTROL!$C$42, 121.5, 121.5)*CHOOSE(CONTROL!$C$42, 31, 31))/1000000</f>
        <v>0.43164089999999994</v>
      </c>
      <c r="X73" s="58">
        <f>(31*0.1790888*100000/1000000)+(31*0.2374*100000/1000000)</f>
        <v>1.2911152800000001</v>
      </c>
      <c r="Y73" s="58"/>
      <c r="Z73" s="10"/>
      <c r="AA73" s="57"/>
      <c r="AB73" s="51">
        <f>(B73*122.58+C73*297.941+D73*89.177+E73*40.302+F73*40+G73*160+H73*0+I73*100+J73*300)/(122.58+297.941+89.177+40.302+0+40+160+100+300)</f>
        <v>5.6445611557391304</v>
      </c>
      <c r="AC73" s="27">
        <f>(M73*'RAP TEMPLATE-GAS AVAILABILITY'!O72+N73*'RAP TEMPLATE-GAS AVAILABILITY'!P72+O73*'RAP TEMPLATE-GAS AVAILABILITY'!Q72+P73*'RAP TEMPLATE-GAS AVAILABILITY'!R72)/('RAP TEMPLATE-GAS AVAILABILITY'!O72+'RAP TEMPLATE-GAS AVAILABILITY'!P72+'RAP TEMPLATE-GAS AVAILABILITY'!Q72+'RAP TEMPLATE-GAS AVAILABILITY'!R72)</f>
        <v>5.6251201438848923</v>
      </c>
    </row>
    <row r="74" spans="1:29" ht="15.75" x14ac:dyDescent="0.25">
      <c r="A74" s="16">
        <v>43497</v>
      </c>
      <c r="B74" s="10">
        <f>CHOOSE(CONTROL!$C$42, 5.7532, 5.7532) * CHOOSE(CONTROL!$C$21, $C$9, 100%, $E$9)</f>
        <v>5.7531999999999996</v>
      </c>
      <c r="C74" s="10">
        <f>CHOOSE(CONTROL!$C$42, 5.7581, 5.7581) * CHOOSE(CONTROL!$C$21, $C$9, 100%, $E$9)</f>
        <v>5.7580999999999998</v>
      </c>
      <c r="D74" s="10">
        <f>CHOOSE(CONTROL!$C$42, 5.8753, 5.8753) * CHOOSE(CONTROL!$C$21, $C$9, 100%, $E$9)</f>
        <v>5.8753000000000002</v>
      </c>
      <c r="E74" s="10">
        <f>CHOOSE(CONTROL!$C$42, 5.909, 5.909) * CHOOSE(CONTROL!$C$21, $C$9, 100%, $E$9)</f>
        <v>5.9089999999999998</v>
      </c>
      <c r="F74" s="10">
        <f>CHOOSE(CONTROL!$C$42, 5.8308, 5.8308)*CHOOSE(CONTROL!$C$21, $C$9, 100%, $E$9)</f>
        <v>5.8308</v>
      </c>
      <c r="G74" s="10">
        <f>CHOOSE(CONTROL!$C$42, 5.8527, 5.8527)*CHOOSE(CONTROL!$C$21, $C$9, 100%, $E$9)</f>
        <v>5.8526999999999996</v>
      </c>
      <c r="H74" s="10">
        <f>CHOOSE(CONTROL!$C$42, 5.8982, 5.8982) * CHOOSE(CONTROL!$C$21, $C$9, 100%, $E$9)</f>
        <v>5.8982000000000001</v>
      </c>
      <c r="I74" s="10">
        <f>CHOOSE(CONTROL!$C$42, 5.7888, 5.7888)* CHOOSE(CONTROL!$C$21, $C$9, 100%, $E$9)</f>
        <v>5.7888000000000002</v>
      </c>
      <c r="J74" s="10">
        <f>CHOOSE(CONTROL!$C$42, 5.8238, 5.8238)* CHOOSE(CONTROL!$C$21, $C$9, 100%, $E$9)</f>
        <v>5.8238000000000003</v>
      </c>
      <c r="K74" s="54">
        <f>CHOOSE(CONTROL!$C$42, 5.785, 5.785) * CHOOSE(CONTROL!$C$21, $C$9, 100%, $E$9)</f>
        <v>5.7850000000000001</v>
      </c>
      <c r="L74" s="10">
        <f>CHOOSE(CONTROL!$C$42, 6.4852, 6.4852) * CHOOSE(CONTROL!$C$21, $C$9, 100%, $E$9)</f>
        <v>6.4851999999999999</v>
      </c>
      <c r="M74" s="10">
        <f>CHOOSE(CONTROL!$C$42, 5.7788, 5.7788) * CHOOSE(CONTROL!$C$21, $C$9, 100%, $E$9)</f>
        <v>5.7788000000000004</v>
      </c>
      <c r="N74" s="10">
        <f>CHOOSE(CONTROL!$C$42, 5.8005, 5.8005) * CHOOSE(CONTROL!$C$21, $C$9, 100%, $E$9)</f>
        <v>5.8005000000000004</v>
      </c>
      <c r="O74" s="10">
        <f>CHOOSE(CONTROL!$C$42, 5.8525, 5.8525) * CHOOSE(CONTROL!$C$21, $C$9, 100%, $E$9)</f>
        <v>5.8525</v>
      </c>
      <c r="P74" s="10">
        <f>CHOOSE(CONTROL!$C$42, 5.7443, 5.7443) * CHOOSE(CONTROL!$C$21, $C$9, 100%, $E$9)</f>
        <v>5.7443</v>
      </c>
      <c r="Q74" s="10">
        <f>CHOOSE(CONTROL!$C$42, 6.4478, 6.4478) * CHOOSE(CONTROL!$C$21, $C$9, 100%, $E$9)</f>
        <v>6.4478</v>
      </c>
      <c r="R74" s="10">
        <f>CHOOSE(CONTROL!$C$42, 7.051, 7.051) * CHOOSE(CONTROL!$C$21, $C$9, 100%, $E$9)</f>
        <v>7.0510000000000002</v>
      </c>
      <c r="S74" s="10">
        <f>CHOOSE(CONTROL!$C$42, 5.5848, 5.5848) * CHOOSE(CONTROL!$C$21, $C$9, 100%, $E$9)</f>
        <v>5.5848000000000004</v>
      </c>
      <c r="T74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74" s="58">
        <f>(1000*CHOOSE(CONTROL!$C$42, 695, 695)*CHOOSE(CONTROL!$C$42, 0.5599, 0.5599)*CHOOSE(CONTROL!$C$42, 28, 28))/1000000</f>
        <v>10.895653999999999</v>
      </c>
      <c r="V74" s="58">
        <f>(1000*CHOOSE(CONTROL!$C$42, 500, 500)*CHOOSE(CONTROL!$C$42, 0.275, 0.275)*CHOOSE(CONTROL!$C$42, 28, 28))/1000000</f>
        <v>3.85</v>
      </c>
      <c r="W74" s="58">
        <f>(1000*CHOOSE(CONTROL!$C$42, 0.1146, 0.1146)*CHOOSE(CONTROL!$C$42, 121.5, 121.5)*CHOOSE(CONTROL!$C$42, 28, 28))/1000000</f>
        <v>0.38986920000000003</v>
      </c>
      <c r="X74" s="58">
        <f>(28*0.1790888*100000/1000000)+(28*0.2374*100000/1000000)</f>
        <v>1.16616864</v>
      </c>
      <c r="Y74" s="58"/>
      <c r="Z74" s="10"/>
      <c r="AA74" s="57"/>
      <c r="AB74" s="51">
        <f>(B74*122.58+C74*297.941+D74*89.177+E74*40.302+F74*40+G74*160+H74*0+I74*100+J74*300)/(122.58+297.941+89.177+40.302+0+40+160+100+300)</f>
        <v>5.8074534558260869</v>
      </c>
      <c r="AC74" s="27">
        <f>(M74*'RAP TEMPLATE-GAS AVAILABILITY'!O73+N74*'RAP TEMPLATE-GAS AVAILABILITY'!P73+O74*'RAP TEMPLATE-GAS AVAILABILITY'!Q73+P74*'RAP TEMPLATE-GAS AVAILABILITY'!R73)/('RAP TEMPLATE-GAS AVAILABILITY'!O73+'RAP TEMPLATE-GAS AVAILABILITY'!P73+'RAP TEMPLATE-GAS AVAILABILITY'!Q73+'RAP TEMPLATE-GAS AVAILABILITY'!R73)</f>
        <v>5.8084884892086333</v>
      </c>
    </row>
    <row r="75" spans="1:29" ht="15.75" x14ac:dyDescent="0.25">
      <c r="A75" s="16">
        <v>43525</v>
      </c>
      <c r="B75" s="10">
        <f>CHOOSE(CONTROL!$C$42, 5.5899, 5.5899) * CHOOSE(CONTROL!$C$21, $C$9, 100%, $E$9)</f>
        <v>5.5899000000000001</v>
      </c>
      <c r="C75" s="10">
        <f>CHOOSE(CONTROL!$C$42, 5.5949, 5.5949) * CHOOSE(CONTROL!$C$21, $C$9, 100%, $E$9)</f>
        <v>5.5949</v>
      </c>
      <c r="D75" s="10">
        <f>CHOOSE(CONTROL!$C$42, 5.6863, 5.6863) * CHOOSE(CONTROL!$C$21, $C$9, 100%, $E$9)</f>
        <v>5.6863000000000001</v>
      </c>
      <c r="E75" s="10">
        <f>CHOOSE(CONTROL!$C$42, 5.72, 5.72) * CHOOSE(CONTROL!$C$21, $C$9, 100%, $E$9)</f>
        <v>5.72</v>
      </c>
      <c r="F75" s="10">
        <f>CHOOSE(CONTROL!$C$42, 5.6198, 5.6198)*CHOOSE(CONTROL!$C$21, $C$9, 100%, $E$9)</f>
        <v>5.6197999999999997</v>
      </c>
      <c r="G75" s="10">
        <f>CHOOSE(CONTROL!$C$42, 5.6393, 5.6393)*CHOOSE(CONTROL!$C$21, $C$9, 100%, $E$9)</f>
        <v>5.6393000000000004</v>
      </c>
      <c r="H75" s="10">
        <f>CHOOSE(CONTROL!$C$42, 5.7092, 5.7092) * CHOOSE(CONTROL!$C$21, $C$9, 100%, $E$9)</f>
        <v>5.7092000000000001</v>
      </c>
      <c r="I75" s="10">
        <f>CHOOSE(CONTROL!$C$42, 5.6127, 5.6127)* CHOOSE(CONTROL!$C$21, $C$9, 100%, $E$9)</f>
        <v>5.6127000000000002</v>
      </c>
      <c r="J75" s="10">
        <f>CHOOSE(CONTROL!$C$42, 5.6128, 5.6128)* CHOOSE(CONTROL!$C$21, $C$9, 100%, $E$9)</f>
        <v>5.6128</v>
      </c>
      <c r="K75" s="54">
        <f>CHOOSE(CONTROL!$C$42, 5.6088, 5.6088) * CHOOSE(CONTROL!$C$21, $C$9, 100%, $E$9)</f>
        <v>5.6087999999999996</v>
      </c>
      <c r="L75" s="10">
        <f>CHOOSE(CONTROL!$C$42, 6.2962, 6.2962) * CHOOSE(CONTROL!$C$21, $C$9, 100%, $E$9)</f>
        <v>6.2961999999999998</v>
      </c>
      <c r="M75" s="10">
        <f>CHOOSE(CONTROL!$C$42, 5.5699, 5.5699) * CHOOSE(CONTROL!$C$21, $C$9, 100%, $E$9)</f>
        <v>5.5698999999999996</v>
      </c>
      <c r="N75" s="10">
        <f>CHOOSE(CONTROL!$C$42, 5.5892, 5.5892) * CHOOSE(CONTROL!$C$21, $C$9, 100%, $E$9)</f>
        <v>5.5891999999999999</v>
      </c>
      <c r="O75" s="10">
        <f>CHOOSE(CONTROL!$C$42, 5.6654, 5.6654) * CHOOSE(CONTROL!$C$21, $C$9, 100%, $E$9)</f>
        <v>5.6654</v>
      </c>
      <c r="P75" s="10">
        <f>CHOOSE(CONTROL!$C$42, 5.5699, 5.5699) * CHOOSE(CONTROL!$C$21, $C$9, 100%, $E$9)</f>
        <v>5.5698999999999996</v>
      </c>
      <c r="Q75" s="10">
        <f>CHOOSE(CONTROL!$C$42, 6.2607, 6.2607) * CHOOSE(CONTROL!$C$21, $C$9, 100%, $E$9)</f>
        <v>6.2606999999999999</v>
      </c>
      <c r="R75" s="10">
        <f>CHOOSE(CONTROL!$C$42, 6.8634, 6.8634) * CHOOSE(CONTROL!$C$21, $C$9, 100%, $E$9)</f>
        <v>6.8634000000000004</v>
      </c>
      <c r="S75" s="10">
        <f>CHOOSE(CONTROL!$C$42, 5.4262, 5.4262) * CHOOSE(CONTROL!$C$21, $C$9, 100%, $E$9)</f>
        <v>5.4261999999999997</v>
      </c>
      <c r="T75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5" s="58">
        <f>(1000*CHOOSE(CONTROL!$C$42, 695, 695)*CHOOSE(CONTROL!$C$42, 0.5599, 0.5599)*CHOOSE(CONTROL!$C$42, 31, 31))/1000000</f>
        <v>12.063045499999998</v>
      </c>
      <c r="V75" s="58">
        <f>(1000*CHOOSE(CONTROL!$C$42, 500, 500)*CHOOSE(CONTROL!$C$42, 0.275, 0.275)*CHOOSE(CONTROL!$C$42, 31, 31))/1000000</f>
        <v>4.2625000000000002</v>
      </c>
      <c r="W75" s="58">
        <f>(1000*CHOOSE(CONTROL!$C$42, 0.1146, 0.1146)*CHOOSE(CONTROL!$C$42, 121.5, 121.5)*CHOOSE(CONTROL!$C$42, 31, 31))/1000000</f>
        <v>0.43164089999999994</v>
      </c>
      <c r="X75" s="58">
        <f>(31*0.1790888*100000/1000000)+(31*0.2374*100000/1000000)</f>
        <v>1.2911152800000001</v>
      </c>
      <c r="Y75" s="58"/>
      <c r="Z75" s="10"/>
      <c r="AA75" s="57"/>
      <c r="AB75" s="51">
        <f>(B75*122.58+C75*297.941+D75*89.177+E75*40.302+F75*40+G75*160+H75*0+I75*100+J75*300)/(122.58+297.941+89.177+40.302+0+40+160+100+300)</f>
        <v>5.619099702608696</v>
      </c>
      <c r="AC75" s="27">
        <f>(M75*'RAP TEMPLATE-GAS AVAILABILITY'!O74+N75*'RAP TEMPLATE-GAS AVAILABILITY'!P74+O75*'RAP TEMPLATE-GAS AVAILABILITY'!Q74+P75*'RAP TEMPLATE-GAS AVAILABILITY'!R74)/('RAP TEMPLATE-GAS AVAILABILITY'!O74+'RAP TEMPLATE-GAS AVAILABILITY'!P74+'RAP TEMPLATE-GAS AVAILABILITY'!Q74+'RAP TEMPLATE-GAS AVAILABILITY'!R74)</f>
        <v>5.614294964028776</v>
      </c>
    </row>
    <row r="76" spans="1:29" ht="15.75" x14ac:dyDescent="0.25">
      <c r="A76" s="16">
        <v>43556</v>
      </c>
      <c r="B76" s="10">
        <f>CHOOSE(CONTROL!$C$42, 5.574, 5.574) * CHOOSE(CONTROL!$C$21, $C$9, 100%, $E$9)</f>
        <v>5.5739999999999998</v>
      </c>
      <c r="C76" s="10">
        <f>CHOOSE(CONTROL!$C$42, 5.5783, 5.5783) * CHOOSE(CONTROL!$C$21, $C$9, 100%, $E$9)</f>
        <v>5.5782999999999996</v>
      </c>
      <c r="D76" s="10">
        <f>CHOOSE(CONTROL!$C$42, 5.76, 5.76) * CHOOSE(CONTROL!$C$21, $C$9, 100%, $E$9)</f>
        <v>5.76</v>
      </c>
      <c r="E76" s="10">
        <f>CHOOSE(CONTROL!$C$42, 5.7918, 5.7918) * CHOOSE(CONTROL!$C$21, $C$9, 100%, $E$9)</f>
        <v>5.7918000000000003</v>
      </c>
      <c r="F76" s="10">
        <f>CHOOSE(CONTROL!$C$42, 5.5623, 5.5623)*CHOOSE(CONTROL!$C$21, $C$9, 100%, $E$9)</f>
        <v>5.5622999999999996</v>
      </c>
      <c r="G76" s="10">
        <f>CHOOSE(CONTROL!$C$42, 5.5803, 5.5803)*CHOOSE(CONTROL!$C$21, $C$9, 100%, $E$9)</f>
        <v>5.5803000000000003</v>
      </c>
      <c r="H76" s="10">
        <f>CHOOSE(CONTROL!$C$42, 5.7816, 5.7816) * CHOOSE(CONTROL!$C$21, $C$9, 100%, $E$9)</f>
        <v>5.7816000000000001</v>
      </c>
      <c r="I76" s="10">
        <f>CHOOSE(CONTROL!$C$42, 5.5522, 5.5522)* CHOOSE(CONTROL!$C$21, $C$9, 100%, $E$9)</f>
        <v>5.5522</v>
      </c>
      <c r="J76" s="10">
        <f>CHOOSE(CONTROL!$C$42, 5.5553, 5.5553)* CHOOSE(CONTROL!$C$21, $C$9, 100%, $E$9)</f>
        <v>5.5552999999999999</v>
      </c>
      <c r="K76" s="54">
        <f>CHOOSE(CONTROL!$C$42, 5.5483, 5.5483) * CHOOSE(CONTROL!$C$21, $C$9, 100%, $E$9)</f>
        <v>5.5483000000000002</v>
      </c>
      <c r="L76" s="10">
        <f>CHOOSE(CONTROL!$C$42, 6.3686, 6.3686) * CHOOSE(CONTROL!$C$21, $C$9, 100%, $E$9)</f>
        <v>6.3685999999999998</v>
      </c>
      <c r="M76" s="10">
        <f>CHOOSE(CONTROL!$C$42, 5.5131, 5.5131) * CHOOSE(CONTROL!$C$21, $C$9, 100%, $E$9)</f>
        <v>5.5130999999999997</v>
      </c>
      <c r="N76" s="10">
        <f>CHOOSE(CONTROL!$C$42, 5.5309, 5.5309) * CHOOSE(CONTROL!$C$21, $C$9, 100%, $E$9)</f>
        <v>5.5308999999999999</v>
      </c>
      <c r="O76" s="10">
        <f>CHOOSE(CONTROL!$C$42, 5.7371, 5.7371) * CHOOSE(CONTROL!$C$21, $C$9, 100%, $E$9)</f>
        <v>5.7370999999999999</v>
      </c>
      <c r="P76" s="10">
        <f>CHOOSE(CONTROL!$C$42, 5.5101, 5.5101) * CHOOSE(CONTROL!$C$21, $C$9, 100%, $E$9)</f>
        <v>5.5101000000000004</v>
      </c>
      <c r="Q76" s="10">
        <f>CHOOSE(CONTROL!$C$42, 6.3324, 6.3324) * CHOOSE(CONTROL!$C$21, $C$9, 100%, $E$9)</f>
        <v>6.3323999999999998</v>
      </c>
      <c r="R76" s="10">
        <f>CHOOSE(CONTROL!$C$42, 6.9352, 6.9352) * CHOOSE(CONTROL!$C$21, $C$9, 100%, $E$9)</f>
        <v>6.9352</v>
      </c>
      <c r="S76" s="10">
        <f>CHOOSE(CONTROL!$C$42, 5.41, 5.41) * CHOOSE(CONTROL!$C$21, $C$9, 100%, $E$9)</f>
        <v>5.41</v>
      </c>
      <c r="T76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6" s="58">
        <f>(1000*CHOOSE(CONTROL!$C$42, 695, 695)*CHOOSE(CONTROL!$C$42, 0.5599, 0.5599)*CHOOSE(CONTROL!$C$42, 30, 30))/1000000</f>
        <v>11.673914999999997</v>
      </c>
      <c r="V76" s="58">
        <f>(1000*CHOOSE(CONTROL!$C$42, 500, 500)*CHOOSE(CONTROL!$C$42, 0.275, 0.275)*CHOOSE(CONTROL!$C$42, 30, 30))/1000000</f>
        <v>4.125</v>
      </c>
      <c r="W76" s="58">
        <f>(1000*CHOOSE(CONTROL!$C$42, 0.1146, 0.1146)*CHOOSE(CONTROL!$C$42, 121.5, 121.5)*CHOOSE(CONTROL!$C$42, 30, 30))/1000000</f>
        <v>0.417717</v>
      </c>
      <c r="X76" s="58">
        <f>(30*0.1790888*245000/1000000)+(30*0.2374*100000/1000000)</f>
        <v>2.0285026799999999</v>
      </c>
      <c r="Y76" s="58"/>
      <c r="Z76" s="10"/>
      <c r="AA76" s="57"/>
      <c r="AB76" s="51">
        <f>(B76*141.293+C76*267.993+D76*115.016+E76*89.698+F76*40+G76*185+H76*0+I76*100+J76*300)/(141.293+267.993+115.016+89.698+0+40+185+100+300)</f>
        <v>5.6022397661824055</v>
      </c>
      <c r="AC76" s="27">
        <f>(M76*'RAP TEMPLATE-GAS AVAILABILITY'!O75+N76*'RAP TEMPLATE-GAS AVAILABILITY'!P75+O76*'RAP TEMPLATE-GAS AVAILABILITY'!Q75+P76*'RAP TEMPLATE-GAS AVAILABILITY'!R75)/('RAP TEMPLATE-GAS AVAILABILITY'!O75+'RAP TEMPLATE-GAS AVAILABILITY'!P75+'RAP TEMPLATE-GAS AVAILABILITY'!Q75+'RAP TEMPLATE-GAS AVAILABILITY'!R75)</f>
        <v>5.5796151079136687</v>
      </c>
    </row>
    <row r="77" spans="1:29" ht="15.75" x14ac:dyDescent="0.25">
      <c r="A77" s="16">
        <v>43586</v>
      </c>
      <c r="B77" s="10">
        <f>CHOOSE(CONTROL!$C$42, 5.6249, 5.6249) * CHOOSE(CONTROL!$C$21, $C$9, 100%, $E$9)</f>
        <v>5.6249000000000002</v>
      </c>
      <c r="C77" s="10">
        <f>CHOOSE(CONTROL!$C$42, 5.6328, 5.6328) * CHOOSE(CONTROL!$C$21, $C$9, 100%, $E$9)</f>
        <v>5.6327999999999996</v>
      </c>
      <c r="D77" s="10">
        <f>CHOOSE(CONTROL!$C$42, 5.8114, 5.8114) * CHOOSE(CONTROL!$C$21, $C$9, 100%, $E$9)</f>
        <v>5.8113999999999999</v>
      </c>
      <c r="E77" s="10">
        <f>CHOOSE(CONTROL!$C$42, 5.8425, 5.8425) * CHOOSE(CONTROL!$C$21, $C$9, 100%, $E$9)</f>
        <v>5.8425000000000002</v>
      </c>
      <c r="F77" s="10">
        <f>CHOOSE(CONTROL!$C$42, 5.6111, 5.6111)*CHOOSE(CONTROL!$C$21, $C$9, 100%, $E$9)</f>
        <v>5.6111000000000004</v>
      </c>
      <c r="G77" s="10">
        <f>CHOOSE(CONTROL!$C$42, 5.6293, 5.6293)*CHOOSE(CONTROL!$C$21, $C$9, 100%, $E$9)</f>
        <v>5.6292999999999997</v>
      </c>
      <c r="H77" s="10">
        <f>CHOOSE(CONTROL!$C$42, 5.8311, 5.8311) * CHOOSE(CONTROL!$C$21, $C$9, 100%, $E$9)</f>
        <v>5.8311000000000002</v>
      </c>
      <c r="I77" s="10">
        <f>CHOOSE(CONTROL!$C$42, 5.6018, 5.6018)* CHOOSE(CONTROL!$C$21, $C$9, 100%, $E$9)</f>
        <v>5.6017999999999999</v>
      </c>
      <c r="J77" s="10">
        <f>CHOOSE(CONTROL!$C$42, 5.6041, 5.6041)* CHOOSE(CONTROL!$C$21, $C$9, 100%, $E$9)</f>
        <v>5.6040999999999999</v>
      </c>
      <c r="K77" s="54">
        <f>CHOOSE(CONTROL!$C$42, 5.5979, 5.5979) * CHOOSE(CONTROL!$C$21, $C$9, 100%, $E$9)</f>
        <v>5.5979000000000001</v>
      </c>
      <c r="L77" s="10">
        <f>CHOOSE(CONTROL!$C$42, 6.4181, 6.4181) * CHOOSE(CONTROL!$C$21, $C$9, 100%, $E$9)</f>
        <v>6.4180999999999999</v>
      </c>
      <c r="M77" s="10">
        <f>CHOOSE(CONTROL!$C$42, 5.5614, 5.5614) * CHOOSE(CONTROL!$C$21, $C$9, 100%, $E$9)</f>
        <v>5.5613999999999999</v>
      </c>
      <c r="N77" s="10">
        <f>CHOOSE(CONTROL!$C$42, 5.5794, 5.5794) * CHOOSE(CONTROL!$C$21, $C$9, 100%, $E$9)</f>
        <v>5.5793999999999997</v>
      </c>
      <c r="O77" s="10">
        <f>CHOOSE(CONTROL!$C$42, 5.7861, 5.7861) * CHOOSE(CONTROL!$C$21, $C$9, 100%, $E$9)</f>
        <v>5.7861000000000002</v>
      </c>
      <c r="P77" s="10">
        <f>CHOOSE(CONTROL!$C$42, 5.5591, 5.5591) * CHOOSE(CONTROL!$C$21, $C$9, 100%, $E$9)</f>
        <v>5.5590999999999999</v>
      </c>
      <c r="Q77" s="10">
        <f>CHOOSE(CONTROL!$C$42, 6.3814, 6.3814) * CHOOSE(CONTROL!$C$21, $C$9, 100%, $E$9)</f>
        <v>6.3814000000000002</v>
      </c>
      <c r="R77" s="10">
        <f>CHOOSE(CONTROL!$C$42, 6.9844, 6.9844) * CHOOSE(CONTROL!$C$21, $C$9, 100%, $E$9)</f>
        <v>6.9843999999999999</v>
      </c>
      <c r="S77" s="10">
        <f>CHOOSE(CONTROL!$C$42, 5.4581, 5.4581) * CHOOSE(CONTROL!$C$21, $C$9, 100%, $E$9)</f>
        <v>5.4581</v>
      </c>
      <c r="T77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7" s="58">
        <f>(1000*CHOOSE(CONTROL!$C$42, 695, 695)*CHOOSE(CONTROL!$C$42, 0.5599, 0.5599)*CHOOSE(CONTROL!$C$42, 31, 31))/1000000</f>
        <v>12.063045499999998</v>
      </c>
      <c r="V77" s="58">
        <f>(1000*CHOOSE(CONTROL!$C$42, 500, 500)*CHOOSE(CONTROL!$C$42, 0.275, 0.275)*CHOOSE(CONTROL!$C$42, 31, 31))/1000000</f>
        <v>4.2625000000000002</v>
      </c>
      <c r="W77" s="58">
        <f>(1000*CHOOSE(CONTROL!$C$42, 0.1146, 0.1146)*CHOOSE(CONTROL!$C$42, 121.5, 121.5)*CHOOSE(CONTROL!$C$42, 31, 31))/1000000</f>
        <v>0.43164089999999994</v>
      </c>
      <c r="X77" s="58">
        <f>(31*0.1790888*245000/1000000)+(31*0.2374*100000/1000000)</f>
        <v>2.0961194359999999</v>
      </c>
      <c r="Y77" s="58"/>
      <c r="Z77" s="10"/>
      <c r="AA77" s="57"/>
      <c r="AB77" s="51">
        <f>(B77*194.205+C77*267.466+D77*133.845+E77*53.484+F77*40+G77*185+H77*0+I77*100+J77*300)/(194.205+267.466+133.845+53.484+0+40+185+100+300)</f>
        <v>5.6487816266091047</v>
      </c>
      <c r="AC77" s="27">
        <f>(M77*'RAP TEMPLATE-GAS AVAILABILITY'!O76+N77*'RAP TEMPLATE-GAS AVAILABILITY'!P76+O77*'RAP TEMPLATE-GAS AVAILABILITY'!Q76+P77*'RAP TEMPLATE-GAS AVAILABILITY'!R76)/('RAP TEMPLATE-GAS AVAILABILITY'!O76+'RAP TEMPLATE-GAS AVAILABILITY'!P76+'RAP TEMPLATE-GAS AVAILABILITY'!Q76+'RAP TEMPLATE-GAS AVAILABILITY'!R76)</f>
        <v>5.6282582733812943</v>
      </c>
    </row>
    <row r="78" spans="1:29" ht="15.75" x14ac:dyDescent="0.25">
      <c r="A78" s="16">
        <v>43617</v>
      </c>
      <c r="B78" s="10">
        <f>CHOOSE(CONTROL!$C$42, 5.7843, 5.7843) * CHOOSE(CONTROL!$C$21, $C$9, 100%, $E$9)</f>
        <v>5.7843</v>
      </c>
      <c r="C78" s="10">
        <f>CHOOSE(CONTROL!$C$42, 5.7922, 5.7922) * CHOOSE(CONTROL!$C$21, $C$9, 100%, $E$9)</f>
        <v>5.7922000000000002</v>
      </c>
      <c r="D78" s="10">
        <f>CHOOSE(CONTROL!$C$42, 5.9708, 5.9708) * CHOOSE(CONTROL!$C$21, $C$9, 100%, $E$9)</f>
        <v>5.9707999999999997</v>
      </c>
      <c r="E78" s="10">
        <f>CHOOSE(CONTROL!$C$42, 6.0019, 6.0019) * CHOOSE(CONTROL!$C$21, $C$9, 100%, $E$9)</f>
        <v>6.0019</v>
      </c>
      <c r="F78" s="10">
        <f>CHOOSE(CONTROL!$C$42, 5.7707, 5.7707)*CHOOSE(CONTROL!$C$21, $C$9, 100%, $E$9)</f>
        <v>5.7706999999999997</v>
      </c>
      <c r="G78" s="10">
        <f>CHOOSE(CONTROL!$C$42, 5.789, 5.789)*CHOOSE(CONTROL!$C$21, $C$9, 100%, $E$9)</f>
        <v>5.7889999999999997</v>
      </c>
      <c r="H78" s="10">
        <f>CHOOSE(CONTROL!$C$42, 5.9905, 5.9905) * CHOOSE(CONTROL!$C$21, $C$9, 100%, $E$9)</f>
        <v>5.9904999999999999</v>
      </c>
      <c r="I78" s="10">
        <f>CHOOSE(CONTROL!$C$42, 5.7612, 5.7612)* CHOOSE(CONTROL!$C$21, $C$9, 100%, $E$9)</f>
        <v>5.7611999999999997</v>
      </c>
      <c r="J78" s="10">
        <f>CHOOSE(CONTROL!$C$42, 5.7637, 5.7637)* CHOOSE(CONTROL!$C$21, $C$9, 100%, $E$9)</f>
        <v>5.7637</v>
      </c>
      <c r="K78" s="54">
        <f>CHOOSE(CONTROL!$C$42, 5.7573, 5.7573) * CHOOSE(CONTROL!$C$21, $C$9, 100%, $E$9)</f>
        <v>5.7572999999999999</v>
      </c>
      <c r="L78" s="10">
        <f>CHOOSE(CONTROL!$C$42, 6.5775, 6.5775) * CHOOSE(CONTROL!$C$21, $C$9, 100%, $E$9)</f>
        <v>6.5774999999999997</v>
      </c>
      <c r="M78" s="10">
        <f>CHOOSE(CONTROL!$C$42, 5.7194, 5.7194) * CHOOSE(CONTROL!$C$21, $C$9, 100%, $E$9)</f>
        <v>5.7194000000000003</v>
      </c>
      <c r="N78" s="10">
        <f>CHOOSE(CONTROL!$C$42, 5.7375, 5.7375) * CHOOSE(CONTROL!$C$21, $C$9, 100%, $E$9)</f>
        <v>5.7374999999999998</v>
      </c>
      <c r="O78" s="10">
        <f>CHOOSE(CONTROL!$C$42, 5.9439, 5.9439) * CHOOSE(CONTROL!$C$21, $C$9, 100%, $E$9)</f>
        <v>5.9439000000000002</v>
      </c>
      <c r="P78" s="10">
        <f>CHOOSE(CONTROL!$C$42, 5.7169, 5.7169) * CHOOSE(CONTROL!$C$21, $C$9, 100%, $E$9)</f>
        <v>5.7168999999999999</v>
      </c>
      <c r="Q78" s="10">
        <f>CHOOSE(CONTROL!$C$42, 6.5392, 6.5392) * CHOOSE(CONTROL!$C$21, $C$9, 100%, $E$9)</f>
        <v>6.5392000000000001</v>
      </c>
      <c r="R78" s="10">
        <f>CHOOSE(CONTROL!$C$42, 7.1426, 7.1426) * CHOOSE(CONTROL!$C$21, $C$9, 100%, $E$9)</f>
        <v>7.1425999999999998</v>
      </c>
      <c r="S78" s="10">
        <f>CHOOSE(CONTROL!$C$42, 5.6129, 5.6129) * CHOOSE(CONTROL!$C$21, $C$9, 100%, $E$9)</f>
        <v>5.6128999999999998</v>
      </c>
      <c r="T78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8" s="58">
        <f>(1000*CHOOSE(CONTROL!$C$42, 695, 695)*CHOOSE(CONTROL!$C$42, 0.5599, 0.5599)*CHOOSE(CONTROL!$C$42, 30, 30))/1000000</f>
        <v>11.673914999999997</v>
      </c>
      <c r="V78" s="58">
        <f>(1000*CHOOSE(CONTROL!$C$42, 500, 500)*CHOOSE(CONTROL!$C$42, 0.275, 0.275)*CHOOSE(CONTROL!$C$42, 30, 30))/1000000</f>
        <v>4.125</v>
      </c>
      <c r="W78" s="58">
        <f>(1000*CHOOSE(CONTROL!$C$42, 0.1146, 0.1146)*CHOOSE(CONTROL!$C$42, 121.5, 121.5)*CHOOSE(CONTROL!$C$42, 30, 30))/1000000</f>
        <v>0.417717</v>
      </c>
      <c r="X78" s="58">
        <f>(30*0.1790888*245000/1000000)+(30*0.2374*100000/1000000)</f>
        <v>2.0285026799999999</v>
      </c>
      <c r="Y78" s="58"/>
      <c r="Z78" s="10"/>
      <c r="AA78" s="57"/>
      <c r="AB78" s="51">
        <f>(B78*194.205+C78*267.466+D78*133.845+E78*53.484+F78*40+G78*185+H78*0+I78*100+J78*300)/(194.205+267.466+133.845+53.484+0+40+185+100+300)</f>
        <v>5.8082785653846152</v>
      </c>
      <c r="AC78" s="27">
        <f>(M78*'RAP TEMPLATE-GAS AVAILABILITY'!O77+N78*'RAP TEMPLATE-GAS AVAILABILITY'!P77+O78*'RAP TEMPLATE-GAS AVAILABILITY'!Q77+P78*'RAP TEMPLATE-GAS AVAILABILITY'!R77)/('RAP TEMPLATE-GAS AVAILABILITY'!O77+'RAP TEMPLATE-GAS AVAILABILITY'!P77+'RAP TEMPLATE-GAS AVAILABILITY'!Q77+'RAP TEMPLATE-GAS AVAILABILITY'!R77)</f>
        <v>5.7861964028776978</v>
      </c>
    </row>
    <row r="79" spans="1:29" ht="15.75" x14ac:dyDescent="0.25">
      <c r="A79" s="16">
        <v>43647</v>
      </c>
      <c r="B79" s="10">
        <f>CHOOSE(CONTROL!$C$42, 5.6735, 5.6735) * CHOOSE(CONTROL!$C$21, $C$9, 100%, $E$9)</f>
        <v>5.6734999999999998</v>
      </c>
      <c r="C79" s="10">
        <f>CHOOSE(CONTROL!$C$42, 5.6814, 5.6814) * CHOOSE(CONTROL!$C$21, $C$9, 100%, $E$9)</f>
        <v>5.6814</v>
      </c>
      <c r="D79" s="10">
        <f>CHOOSE(CONTROL!$C$42, 5.8599, 5.8599) * CHOOSE(CONTROL!$C$21, $C$9, 100%, $E$9)</f>
        <v>5.8598999999999997</v>
      </c>
      <c r="E79" s="10">
        <f>CHOOSE(CONTROL!$C$42, 5.891, 5.891) * CHOOSE(CONTROL!$C$21, $C$9, 100%, $E$9)</f>
        <v>5.891</v>
      </c>
      <c r="F79" s="10">
        <f>CHOOSE(CONTROL!$C$42, 5.6602, 5.6602)*CHOOSE(CONTROL!$C$21, $C$9, 100%, $E$9)</f>
        <v>5.6601999999999997</v>
      </c>
      <c r="G79" s="10">
        <f>CHOOSE(CONTROL!$C$42, 5.6785, 5.6785)*CHOOSE(CONTROL!$C$21, $C$9, 100%, $E$9)</f>
        <v>5.6784999999999997</v>
      </c>
      <c r="H79" s="10">
        <f>CHOOSE(CONTROL!$C$42, 5.8797, 5.8797) * CHOOSE(CONTROL!$C$21, $C$9, 100%, $E$9)</f>
        <v>5.8796999999999997</v>
      </c>
      <c r="I79" s="10">
        <f>CHOOSE(CONTROL!$C$42, 5.6503, 5.6503)* CHOOSE(CONTROL!$C$21, $C$9, 100%, $E$9)</f>
        <v>5.6502999999999997</v>
      </c>
      <c r="J79" s="10">
        <f>CHOOSE(CONTROL!$C$42, 5.6532, 5.6532)* CHOOSE(CONTROL!$C$21, $C$9, 100%, $E$9)</f>
        <v>5.6532</v>
      </c>
      <c r="K79" s="54">
        <f>CHOOSE(CONTROL!$C$42, 5.6464, 5.6464) * CHOOSE(CONTROL!$C$21, $C$9, 100%, $E$9)</f>
        <v>5.6463999999999999</v>
      </c>
      <c r="L79" s="10">
        <f>CHOOSE(CONTROL!$C$42, 6.4667, 6.4667) * CHOOSE(CONTROL!$C$21, $C$9, 100%, $E$9)</f>
        <v>6.4667000000000003</v>
      </c>
      <c r="M79" s="10">
        <f>CHOOSE(CONTROL!$C$42, 5.6099, 5.6099) * CHOOSE(CONTROL!$C$21, $C$9, 100%, $E$9)</f>
        <v>5.6098999999999997</v>
      </c>
      <c r="N79" s="10">
        <f>CHOOSE(CONTROL!$C$42, 5.6281, 5.6281) * CHOOSE(CONTROL!$C$21, $C$9, 100%, $E$9)</f>
        <v>5.6280999999999999</v>
      </c>
      <c r="O79" s="10">
        <f>CHOOSE(CONTROL!$C$42, 5.8342, 5.8342) * CHOOSE(CONTROL!$C$21, $C$9, 100%, $E$9)</f>
        <v>5.8342000000000001</v>
      </c>
      <c r="P79" s="10">
        <f>CHOOSE(CONTROL!$C$42, 5.6072, 5.6072) * CHOOSE(CONTROL!$C$21, $C$9, 100%, $E$9)</f>
        <v>5.6071999999999997</v>
      </c>
      <c r="Q79" s="10">
        <f>CHOOSE(CONTROL!$C$42, 6.4295, 6.4295) * CHOOSE(CONTROL!$C$21, $C$9, 100%, $E$9)</f>
        <v>6.4295</v>
      </c>
      <c r="R79" s="10">
        <f>CHOOSE(CONTROL!$C$42, 7.0325, 7.0325) * CHOOSE(CONTROL!$C$21, $C$9, 100%, $E$9)</f>
        <v>7.0324999999999998</v>
      </c>
      <c r="S79" s="10">
        <f>CHOOSE(CONTROL!$C$42, 5.5052, 5.5052) * CHOOSE(CONTROL!$C$21, $C$9, 100%, $E$9)</f>
        <v>5.5052000000000003</v>
      </c>
      <c r="T79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9" s="58">
        <f>(1000*CHOOSE(CONTROL!$C$42, 695, 695)*CHOOSE(CONTROL!$C$42, 0.5599, 0.5599)*CHOOSE(CONTROL!$C$42, 31, 31))/1000000</f>
        <v>12.063045499999998</v>
      </c>
      <c r="V79" s="58">
        <f>(1000*CHOOSE(CONTROL!$C$42, 500, 500)*CHOOSE(CONTROL!$C$42, 0.275, 0.275)*CHOOSE(CONTROL!$C$42, 31, 31))/1000000</f>
        <v>4.2625000000000002</v>
      </c>
      <c r="W79" s="58">
        <f>(1000*CHOOSE(CONTROL!$C$42, 0.1146, 0.1146)*CHOOSE(CONTROL!$C$42, 121.5, 121.5)*CHOOSE(CONTROL!$C$42, 31, 31))/1000000</f>
        <v>0.43164089999999994</v>
      </c>
      <c r="X79" s="58">
        <f>(31*0.1790888*245000/1000000)+(31*0.2374*100000/1000000)</f>
        <v>2.0961194359999999</v>
      </c>
      <c r="Y79" s="58"/>
      <c r="Z79" s="10"/>
      <c r="AA79" s="57"/>
      <c r="AB79" s="51">
        <f>(B79*194.205+C79*267.466+D79*133.845+E79*53.484+F79*40+G79*185+H79*0+I79*100+J79*300)/(194.205+267.466+133.845+53.484+0+40+185+100+300)</f>
        <v>5.697579638461538</v>
      </c>
      <c r="AC79" s="27">
        <f>(M79*'RAP TEMPLATE-GAS AVAILABILITY'!O78+N79*'RAP TEMPLATE-GAS AVAILABILITY'!P78+O79*'RAP TEMPLATE-GAS AVAILABILITY'!Q78+P79*'RAP TEMPLATE-GAS AVAILABILITY'!R78)/('RAP TEMPLATE-GAS AVAILABILITY'!O78+'RAP TEMPLATE-GAS AVAILABILITY'!P78+'RAP TEMPLATE-GAS AVAILABILITY'!Q78+'RAP TEMPLATE-GAS AVAILABILITY'!R78)</f>
        <v>5.6766345323741012</v>
      </c>
    </row>
    <row r="80" spans="1:29" ht="15.75" x14ac:dyDescent="0.25">
      <c r="A80" s="16">
        <v>43678</v>
      </c>
      <c r="B80" s="10">
        <f>CHOOSE(CONTROL!$C$42, 5.3935, 5.3935) * CHOOSE(CONTROL!$C$21, $C$9, 100%, $E$9)</f>
        <v>5.3935000000000004</v>
      </c>
      <c r="C80" s="10">
        <f>CHOOSE(CONTROL!$C$42, 5.4014, 5.4014) * CHOOSE(CONTROL!$C$21, $C$9, 100%, $E$9)</f>
        <v>5.4013999999999998</v>
      </c>
      <c r="D80" s="10">
        <f>CHOOSE(CONTROL!$C$42, 5.5799, 5.5799) * CHOOSE(CONTROL!$C$21, $C$9, 100%, $E$9)</f>
        <v>5.5799000000000003</v>
      </c>
      <c r="E80" s="10">
        <f>CHOOSE(CONTROL!$C$42, 5.6111, 5.6111) * CHOOSE(CONTROL!$C$21, $C$9, 100%, $E$9)</f>
        <v>5.6111000000000004</v>
      </c>
      <c r="F80" s="10">
        <f>CHOOSE(CONTROL!$C$42, 5.3801, 5.3801)*CHOOSE(CONTROL!$C$21, $C$9, 100%, $E$9)</f>
        <v>5.3800999999999997</v>
      </c>
      <c r="G80" s="10">
        <f>CHOOSE(CONTROL!$C$42, 5.3984, 5.3984)*CHOOSE(CONTROL!$C$21, $C$9, 100%, $E$9)</f>
        <v>5.3983999999999996</v>
      </c>
      <c r="H80" s="10">
        <f>CHOOSE(CONTROL!$C$42, 5.5997, 5.5997) * CHOOSE(CONTROL!$C$21, $C$9, 100%, $E$9)</f>
        <v>5.5997000000000003</v>
      </c>
      <c r="I80" s="10">
        <f>CHOOSE(CONTROL!$C$42, 5.3704, 5.3704)* CHOOSE(CONTROL!$C$21, $C$9, 100%, $E$9)</f>
        <v>5.3704000000000001</v>
      </c>
      <c r="J80" s="10">
        <f>CHOOSE(CONTROL!$C$42, 5.3731, 5.3731)* CHOOSE(CONTROL!$C$21, $C$9, 100%, $E$9)</f>
        <v>5.3731</v>
      </c>
      <c r="K80" s="54">
        <f>CHOOSE(CONTROL!$C$42, 5.3665, 5.3665) * CHOOSE(CONTROL!$C$21, $C$9, 100%, $E$9)</f>
        <v>5.3665000000000003</v>
      </c>
      <c r="L80" s="10">
        <f>CHOOSE(CONTROL!$C$42, 6.1867, 6.1867) * CHOOSE(CONTROL!$C$21, $C$9, 100%, $E$9)</f>
        <v>6.1867000000000001</v>
      </c>
      <c r="M80" s="10">
        <f>CHOOSE(CONTROL!$C$42, 5.3327, 5.3327) * CHOOSE(CONTROL!$C$21, $C$9, 100%, $E$9)</f>
        <v>5.3327</v>
      </c>
      <c r="N80" s="10">
        <f>CHOOSE(CONTROL!$C$42, 5.3508, 5.3508) * CHOOSE(CONTROL!$C$21, $C$9, 100%, $E$9)</f>
        <v>5.3507999999999996</v>
      </c>
      <c r="O80" s="10">
        <f>CHOOSE(CONTROL!$C$42, 5.557, 5.557) * CHOOSE(CONTROL!$C$21, $C$9, 100%, $E$9)</f>
        <v>5.5570000000000004</v>
      </c>
      <c r="P80" s="10">
        <f>CHOOSE(CONTROL!$C$42, 5.33, 5.33) * CHOOSE(CONTROL!$C$21, $C$9, 100%, $E$9)</f>
        <v>5.33</v>
      </c>
      <c r="Q80" s="10">
        <f>CHOOSE(CONTROL!$C$42, 6.1523, 6.1523) * CHOOSE(CONTROL!$C$21, $C$9, 100%, $E$9)</f>
        <v>6.1523000000000003</v>
      </c>
      <c r="R80" s="10">
        <f>CHOOSE(CONTROL!$C$42, 6.7547, 6.7547) * CHOOSE(CONTROL!$C$21, $C$9, 100%, $E$9)</f>
        <v>6.7546999999999997</v>
      </c>
      <c r="S80" s="10">
        <f>CHOOSE(CONTROL!$C$42, 5.2334, 5.2334) * CHOOSE(CONTROL!$C$21, $C$9, 100%, $E$9)</f>
        <v>5.2333999999999996</v>
      </c>
      <c r="T80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0" s="58">
        <f>(1000*CHOOSE(CONTROL!$C$42, 695, 695)*CHOOSE(CONTROL!$C$42, 0.5599, 0.5599)*CHOOSE(CONTROL!$C$42, 31, 31))/1000000</f>
        <v>12.063045499999998</v>
      </c>
      <c r="V80" s="58">
        <f>(1000*CHOOSE(CONTROL!$C$42, 500, 500)*CHOOSE(CONTROL!$C$42, 0.275, 0.275)*CHOOSE(CONTROL!$C$42, 31, 31))/1000000</f>
        <v>4.2625000000000002</v>
      </c>
      <c r="W80" s="58">
        <f>(1000*CHOOSE(CONTROL!$C$42, 0.1146, 0.1146)*CHOOSE(CONTROL!$C$42, 121.5, 121.5)*CHOOSE(CONTROL!$C$42, 31, 31))/1000000</f>
        <v>0.43164089999999994</v>
      </c>
      <c r="X80" s="58">
        <f>(31*0.1790888*245000/1000000)+(31*0.2374*100000/1000000)</f>
        <v>2.0961194359999999</v>
      </c>
      <c r="Y80" s="58"/>
      <c r="Z80" s="10"/>
      <c r="AA80" s="57"/>
      <c r="AB80" s="51">
        <f>(B80*194.205+C80*267.466+D80*133.845+E80*53.484+F80*40+G80*185+H80*0+I80*100+J80*300)/(194.205+267.466+133.845+53.484+0+40+185+100+300)</f>
        <v>5.4175504770800638</v>
      </c>
      <c r="AC80" s="27">
        <f>(M80*'RAP TEMPLATE-GAS AVAILABILITY'!O79+N80*'RAP TEMPLATE-GAS AVAILABILITY'!P79+O80*'RAP TEMPLATE-GAS AVAILABILITY'!Q79+P80*'RAP TEMPLATE-GAS AVAILABILITY'!R79)/('RAP TEMPLATE-GAS AVAILABILITY'!O79+'RAP TEMPLATE-GAS AVAILABILITY'!P79+'RAP TEMPLATE-GAS AVAILABILITY'!Q79+'RAP TEMPLATE-GAS AVAILABILITY'!R79)</f>
        <v>5.3994115107913663</v>
      </c>
    </row>
    <row r="81" spans="1:29" ht="15.75" x14ac:dyDescent="0.25">
      <c r="A81" s="16">
        <v>43709</v>
      </c>
      <c r="B81" s="10">
        <f>CHOOSE(CONTROL!$C$42, 5.0514, 5.0514) * CHOOSE(CONTROL!$C$21, $C$9, 100%, $E$9)</f>
        <v>5.0514000000000001</v>
      </c>
      <c r="C81" s="10">
        <f>CHOOSE(CONTROL!$C$42, 5.0593, 5.0593) * CHOOSE(CONTROL!$C$21, $C$9, 100%, $E$9)</f>
        <v>5.0593000000000004</v>
      </c>
      <c r="D81" s="10">
        <f>CHOOSE(CONTROL!$C$42, 5.2379, 5.2379) * CHOOSE(CONTROL!$C$21, $C$9, 100%, $E$9)</f>
        <v>5.2378999999999998</v>
      </c>
      <c r="E81" s="10">
        <f>CHOOSE(CONTROL!$C$42, 5.269, 5.269) * CHOOSE(CONTROL!$C$21, $C$9, 100%, $E$9)</f>
        <v>5.2690000000000001</v>
      </c>
      <c r="F81" s="10">
        <f>CHOOSE(CONTROL!$C$42, 5.0378, 5.0378)*CHOOSE(CONTROL!$C$21, $C$9, 100%, $E$9)</f>
        <v>5.0377999999999998</v>
      </c>
      <c r="G81" s="10">
        <f>CHOOSE(CONTROL!$C$42, 5.056, 5.056)*CHOOSE(CONTROL!$C$21, $C$9, 100%, $E$9)</f>
        <v>5.056</v>
      </c>
      <c r="H81" s="10">
        <f>CHOOSE(CONTROL!$C$42, 5.2576, 5.2576) * CHOOSE(CONTROL!$C$21, $C$9, 100%, $E$9)</f>
        <v>5.2576000000000001</v>
      </c>
      <c r="I81" s="10">
        <f>CHOOSE(CONTROL!$C$42, 5.0283, 5.0283)* CHOOSE(CONTROL!$C$21, $C$9, 100%, $E$9)</f>
        <v>5.0282999999999998</v>
      </c>
      <c r="J81" s="10">
        <f>CHOOSE(CONTROL!$C$42, 5.0308, 5.0308)* CHOOSE(CONTROL!$C$21, $C$9, 100%, $E$9)</f>
        <v>5.0308000000000002</v>
      </c>
      <c r="K81" s="54">
        <f>CHOOSE(CONTROL!$C$42, 5.0244, 5.0244) * CHOOSE(CONTROL!$C$21, $C$9, 100%, $E$9)</f>
        <v>5.0244</v>
      </c>
      <c r="L81" s="10">
        <f>CHOOSE(CONTROL!$C$42, 5.8446, 5.8446) * CHOOSE(CONTROL!$C$21, $C$9, 100%, $E$9)</f>
        <v>5.8445999999999998</v>
      </c>
      <c r="M81" s="10">
        <f>CHOOSE(CONTROL!$C$42, 4.9938, 4.9938) * CHOOSE(CONTROL!$C$21, $C$9, 100%, $E$9)</f>
        <v>4.9938000000000002</v>
      </c>
      <c r="N81" s="10">
        <f>CHOOSE(CONTROL!$C$42, 5.0119, 5.0119) * CHOOSE(CONTROL!$C$21, $C$9, 100%, $E$9)</f>
        <v>5.0118999999999998</v>
      </c>
      <c r="O81" s="10">
        <f>CHOOSE(CONTROL!$C$42, 5.2184, 5.2184) * CHOOSE(CONTROL!$C$21, $C$9, 100%, $E$9)</f>
        <v>5.2183999999999999</v>
      </c>
      <c r="P81" s="10">
        <f>CHOOSE(CONTROL!$C$42, 4.9914, 4.9914) * CHOOSE(CONTROL!$C$21, $C$9, 100%, $E$9)</f>
        <v>4.9913999999999996</v>
      </c>
      <c r="Q81" s="10">
        <f>CHOOSE(CONTROL!$C$42, 5.8137, 5.8137) * CHOOSE(CONTROL!$C$21, $C$9, 100%, $E$9)</f>
        <v>5.8136999999999999</v>
      </c>
      <c r="R81" s="10">
        <f>CHOOSE(CONTROL!$C$42, 6.4152, 6.4152) * CHOOSE(CONTROL!$C$21, $C$9, 100%, $E$9)</f>
        <v>6.4151999999999996</v>
      </c>
      <c r="S81" s="10">
        <f>CHOOSE(CONTROL!$C$42, 4.9012, 4.9012) * CHOOSE(CONTROL!$C$21, $C$9, 100%, $E$9)</f>
        <v>4.9012000000000002</v>
      </c>
      <c r="T81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1" s="58">
        <f>(1000*CHOOSE(CONTROL!$C$42, 695, 695)*CHOOSE(CONTROL!$C$42, 0.5599, 0.5599)*CHOOSE(CONTROL!$C$42, 30, 30))/1000000</f>
        <v>11.673914999999997</v>
      </c>
      <c r="V81" s="58">
        <f>(1000*CHOOSE(CONTROL!$C$42, 500, 500)*CHOOSE(CONTROL!$C$42, 0.275, 0.275)*CHOOSE(CONTROL!$C$42, 30, 30))/1000000</f>
        <v>4.125</v>
      </c>
      <c r="W81" s="58">
        <f>(1000*CHOOSE(CONTROL!$C$42, 0.1146, 0.1146)*CHOOSE(CONTROL!$C$42, 121.5, 121.5)*CHOOSE(CONTROL!$C$42, 30, 30))/1000000</f>
        <v>0.417717</v>
      </c>
      <c r="X81" s="58">
        <f>(30*0.1790888*245000/1000000)+(30*0.2374*100000/1000000)</f>
        <v>2.0285026799999999</v>
      </c>
      <c r="Y81" s="58"/>
      <c r="Z81" s="10"/>
      <c r="AA81" s="57"/>
      <c r="AB81" s="51">
        <f>(B81*194.205+C81*267.466+D81*133.845+E81*53.484+F81*40+G81*185+H81*0+I81*100+J81*300)/(194.205+267.466+133.845+53.484+0+40+185+100+300)</f>
        <v>5.0753640441915229</v>
      </c>
      <c r="AC81" s="27">
        <f>(M81*'RAP TEMPLATE-GAS AVAILABILITY'!O80+N81*'RAP TEMPLATE-GAS AVAILABILITY'!P80+O81*'RAP TEMPLATE-GAS AVAILABILITY'!Q80+P81*'RAP TEMPLATE-GAS AVAILABILITY'!R80)/('RAP TEMPLATE-GAS AVAILABILITY'!O80+'RAP TEMPLATE-GAS AVAILABILITY'!P80+'RAP TEMPLATE-GAS AVAILABILITY'!Q80+'RAP TEMPLATE-GAS AVAILABILITY'!R80)</f>
        <v>5.0606388489208634</v>
      </c>
    </row>
    <row r="82" spans="1:29" ht="15.75" x14ac:dyDescent="0.25">
      <c r="A82" s="16">
        <v>43739</v>
      </c>
      <c r="B82" s="10">
        <f>CHOOSE(CONTROL!$C$42, 4.9468, 4.9468) * CHOOSE(CONTROL!$C$21, $C$9, 100%, $E$9)</f>
        <v>4.9467999999999996</v>
      </c>
      <c r="C82" s="10">
        <f>CHOOSE(CONTROL!$C$42, 4.952, 4.952) * CHOOSE(CONTROL!$C$21, $C$9, 100%, $E$9)</f>
        <v>4.952</v>
      </c>
      <c r="D82" s="10">
        <f>CHOOSE(CONTROL!$C$42, 5.1355, 5.1355) * CHOOSE(CONTROL!$C$21, $C$9, 100%, $E$9)</f>
        <v>5.1355000000000004</v>
      </c>
      <c r="E82" s="10">
        <f>CHOOSE(CONTROL!$C$42, 5.1643, 5.1643) * CHOOSE(CONTROL!$C$21, $C$9, 100%, $E$9)</f>
        <v>5.1642999999999999</v>
      </c>
      <c r="F82" s="10">
        <f>CHOOSE(CONTROL!$C$42, 4.9351, 4.9351)*CHOOSE(CONTROL!$C$21, $C$9, 100%, $E$9)</f>
        <v>4.9351000000000003</v>
      </c>
      <c r="G82" s="10">
        <f>CHOOSE(CONTROL!$C$42, 4.953, 4.953)*CHOOSE(CONTROL!$C$21, $C$9, 100%, $E$9)</f>
        <v>4.9530000000000003</v>
      </c>
      <c r="H82" s="10">
        <f>CHOOSE(CONTROL!$C$42, 5.1548, 5.1548) * CHOOSE(CONTROL!$C$21, $C$9, 100%, $E$9)</f>
        <v>5.1547999999999998</v>
      </c>
      <c r="I82" s="10">
        <f>CHOOSE(CONTROL!$C$42, 4.9254, 4.9254)* CHOOSE(CONTROL!$C$21, $C$9, 100%, $E$9)</f>
        <v>4.9253999999999998</v>
      </c>
      <c r="J82" s="10">
        <f>CHOOSE(CONTROL!$C$42, 4.9281, 4.9281)* CHOOSE(CONTROL!$C$21, $C$9, 100%, $E$9)</f>
        <v>4.9280999999999997</v>
      </c>
      <c r="K82" s="54">
        <f>CHOOSE(CONTROL!$C$42, 4.9216, 4.9216) * CHOOSE(CONTROL!$C$21, $C$9, 100%, $E$9)</f>
        <v>4.9215999999999998</v>
      </c>
      <c r="L82" s="10">
        <f>CHOOSE(CONTROL!$C$42, 5.7418, 5.7418) * CHOOSE(CONTROL!$C$21, $C$9, 100%, $E$9)</f>
        <v>5.7417999999999996</v>
      </c>
      <c r="M82" s="10">
        <f>CHOOSE(CONTROL!$C$42, 4.8922, 4.8922) * CHOOSE(CONTROL!$C$21, $C$9, 100%, $E$9)</f>
        <v>4.8921999999999999</v>
      </c>
      <c r="N82" s="10">
        <f>CHOOSE(CONTROL!$C$42, 4.9099, 4.9099) * CHOOSE(CONTROL!$C$21, $C$9, 100%, $E$9)</f>
        <v>4.9099000000000004</v>
      </c>
      <c r="O82" s="10">
        <f>CHOOSE(CONTROL!$C$42, 5.1166, 5.1166) * CHOOSE(CONTROL!$C$21, $C$9, 100%, $E$9)</f>
        <v>5.1166</v>
      </c>
      <c r="P82" s="10">
        <f>CHOOSE(CONTROL!$C$42, 4.8896, 4.8896) * CHOOSE(CONTROL!$C$21, $C$9, 100%, $E$9)</f>
        <v>4.8895999999999997</v>
      </c>
      <c r="Q82" s="10">
        <f>CHOOSE(CONTROL!$C$42, 5.7119, 5.7119) * CHOOSE(CONTROL!$C$21, $C$9, 100%, $E$9)</f>
        <v>5.7119</v>
      </c>
      <c r="R82" s="10">
        <f>CHOOSE(CONTROL!$C$42, 6.3132, 6.3132) * CHOOSE(CONTROL!$C$21, $C$9, 100%, $E$9)</f>
        <v>6.3132000000000001</v>
      </c>
      <c r="S82" s="10">
        <f>CHOOSE(CONTROL!$C$42, 4.8013, 4.8013) * CHOOSE(CONTROL!$C$21, $C$9, 100%, $E$9)</f>
        <v>4.8013000000000003</v>
      </c>
      <c r="T82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2" s="58">
        <f>(1000*CHOOSE(CONTROL!$C$42, 695, 695)*CHOOSE(CONTROL!$C$42, 0.5599, 0.5599)*CHOOSE(CONTROL!$C$42, 31, 31))/1000000</f>
        <v>12.063045499999998</v>
      </c>
      <c r="V82" s="58">
        <f>(1000*CHOOSE(CONTROL!$C$42, 500, 500)*CHOOSE(CONTROL!$C$42, 0.275, 0.275)*CHOOSE(CONTROL!$C$42, 31, 31))/1000000</f>
        <v>4.2625000000000002</v>
      </c>
      <c r="W82" s="58">
        <f>(1000*CHOOSE(CONTROL!$C$42, 0.1146, 0.1146)*CHOOSE(CONTROL!$C$42, 121.5, 121.5)*CHOOSE(CONTROL!$C$42, 31, 31))/1000000</f>
        <v>0.43164089999999994</v>
      </c>
      <c r="X82" s="58">
        <f>(31*0.1790888*245000/1000000)+(31*0.2374*100000/1000000)</f>
        <v>2.0961194359999999</v>
      </c>
      <c r="Y82" s="58"/>
      <c r="Z82" s="10"/>
      <c r="AA82" s="57"/>
      <c r="AB82" s="51">
        <f>(B82*131.881+C82*277.167+D82*79.08+E82*125.872+F82*40+G82*185+H82*0+I82*100+J82*300)/(131.881+277.167+79.08+125.872+0+40+185+100+300)</f>
        <v>4.9763963070217914</v>
      </c>
      <c r="AC82" s="27">
        <f>(M82*'RAP TEMPLATE-GAS AVAILABILITY'!O81+N82*'RAP TEMPLATE-GAS AVAILABILITY'!P81+O82*'RAP TEMPLATE-GAS AVAILABILITY'!Q81+P82*'RAP TEMPLATE-GAS AVAILABILITY'!R81)/('RAP TEMPLATE-GAS AVAILABILITY'!O81+'RAP TEMPLATE-GAS AVAILABILITY'!P81+'RAP TEMPLATE-GAS AVAILABILITY'!Q81+'RAP TEMPLATE-GAS AVAILABILITY'!R81)</f>
        <v>4.9588618705035969</v>
      </c>
    </row>
    <row r="83" spans="1:29" ht="15.75" x14ac:dyDescent="0.25">
      <c r="A83" s="16">
        <v>43770</v>
      </c>
      <c r="B83" s="10">
        <f>CHOOSE(CONTROL!$C$42, 5.0766, 5.0766) * CHOOSE(CONTROL!$C$21, $C$9, 100%, $E$9)</f>
        <v>5.0766</v>
      </c>
      <c r="C83" s="10">
        <f>CHOOSE(CONTROL!$C$42, 5.0816, 5.0816) * CHOOSE(CONTROL!$C$21, $C$9, 100%, $E$9)</f>
        <v>5.0815999999999999</v>
      </c>
      <c r="D83" s="10">
        <f>CHOOSE(CONTROL!$C$42, 5.1112, 5.1112) * CHOOSE(CONTROL!$C$21, $C$9, 100%, $E$9)</f>
        <v>5.1112000000000002</v>
      </c>
      <c r="E83" s="10">
        <f>CHOOSE(CONTROL!$C$42, 5.145, 5.145) * CHOOSE(CONTROL!$C$21, $C$9, 100%, $E$9)</f>
        <v>5.1449999999999996</v>
      </c>
      <c r="F83" s="10">
        <f>CHOOSE(CONTROL!$C$42, 5.0624, 5.0624)*CHOOSE(CONTROL!$C$21, $C$9, 100%, $E$9)</f>
        <v>5.0624000000000002</v>
      </c>
      <c r="G83" s="10">
        <f>CHOOSE(CONTROL!$C$42, 5.0804, 5.0804)*CHOOSE(CONTROL!$C$21, $C$9, 100%, $E$9)</f>
        <v>5.0804</v>
      </c>
      <c r="H83" s="10">
        <f>CHOOSE(CONTROL!$C$42, 5.1342, 5.1342) * CHOOSE(CONTROL!$C$21, $C$9, 100%, $E$9)</f>
        <v>5.1341999999999999</v>
      </c>
      <c r="I83" s="10">
        <f>CHOOSE(CONTROL!$C$42, 5.0428, 5.0428)* CHOOSE(CONTROL!$C$21, $C$9, 100%, $E$9)</f>
        <v>5.0427999999999997</v>
      </c>
      <c r="J83" s="10">
        <f>CHOOSE(CONTROL!$C$42, 5.0554, 5.0554)* CHOOSE(CONTROL!$C$21, $C$9, 100%, $E$9)</f>
        <v>5.0553999999999997</v>
      </c>
      <c r="K83" s="54">
        <f>CHOOSE(CONTROL!$C$42, 5.0389, 5.0389) * CHOOSE(CONTROL!$C$21, $C$9, 100%, $E$9)</f>
        <v>5.0388999999999999</v>
      </c>
      <c r="L83" s="10">
        <f>CHOOSE(CONTROL!$C$42, 5.7212, 5.7212) * CHOOSE(CONTROL!$C$21, $C$9, 100%, $E$9)</f>
        <v>5.7211999999999996</v>
      </c>
      <c r="M83" s="10">
        <f>CHOOSE(CONTROL!$C$42, 5.0182, 5.0182) * CHOOSE(CONTROL!$C$21, $C$9, 100%, $E$9)</f>
        <v>5.0182000000000002</v>
      </c>
      <c r="N83" s="10">
        <f>CHOOSE(CONTROL!$C$42, 5.0361, 5.0361) * CHOOSE(CONTROL!$C$21, $C$9, 100%, $E$9)</f>
        <v>5.0361000000000002</v>
      </c>
      <c r="O83" s="10">
        <f>CHOOSE(CONTROL!$C$42, 5.0962, 5.0962) * CHOOSE(CONTROL!$C$21, $C$9, 100%, $E$9)</f>
        <v>5.0961999999999996</v>
      </c>
      <c r="P83" s="10">
        <f>CHOOSE(CONTROL!$C$42, 5.0058, 5.0058) * CHOOSE(CONTROL!$C$21, $C$9, 100%, $E$9)</f>
        <v>5.0057999999999998</v>
      </c>
      <c r="Q83" s="10">
        <f>CHOOSE(CONTROL!$C$42, 5.6915, 5.6915) * CHOOSE(CONTROL!$C$21, $C$9, 100%, $E$9)</f>
        <v>5.6914999999999996</v>
      </c>
      <c r="R83" s="10">
        <f>CHOOSE(CONTROL!$C$42, 6.2927, 6.2927) * CHOOSE(CONTROL!$C$21, $C$9, 100%, $E$9)</f>
        <v>6.2927</v>
      </c>
      <c r="S83" s="10">
        <f>CHOOSE(CONTROL!$C$42, 4.9278, 4.9278) * CHOOSE(CONTROL!$C$21, $C$9, 100%, $E$9)</f>
        <v>4.9278000000000004</v>
      </c>
      <c r="T83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3" s="58">
        <f>(1000*CHOOSE(CONTROL!$C$42, 695, 695)*CHOOSE(CONTROL!$C$42, 0.5599, 0.5599)*CHOOSE(CONTROL!$C$42, 30, 30))/1000000</f>
        <v>11.673914999999997</v>
      </c>
      <c r="V83" s="58">
        <f>(1000*CHOOSE(CONTROL!$C$42, 500, 500)*CHOOSE(CONTROL!$C$42, 0.275, 0.275)*CHOOSE(CONTROL!$C$42, 30, 30))/1000000</f>
        <v>4.125</v>
      </c>
      <c r="W83" s="58">
        <f>(1000*CHOOSE(CONTROL!$C$42, 0.1146, 0.1146)*CHOOSE(CONTROL!$C$42, 121.5, 121.5)*CHOOSE(CONTROL!$C$42, 30, 30))/1000000</f>
        <v>0.417717</v>
      </c>
      <c r="X83" s="58">
        <f>(30*0.1790888*100000/1000000)+(30*0.2374*100000/1000000)</f>
        <v>1.2494664</v>
      </c>
      <c r="Y83" s="58"/>
      <c r="Z83" s="10"/>
      <c r="AA83" s="57"/>
      <c r="AB83" s="51">
        <f>(B83*122.58+C83*297.941+D83*89.177+E83*40.302+F83*40+G83*160+H83*0+I83*100+J83*300)/(122.58+297.941+89.177+40.302+0+40+160+100+300)</f>
        <v>5.0745407704347825</v>
      </c>
      <c r="AC83" s="27">
        <f>(M83*'RAP TEMPLATE-GAS AVAILABILITY'!O82+N83*'RAP TEMPLATE-GAS AVAILABILITY'!P82+O83*'RAP TEMPLATE-GAS AVAILABILITY'!Q82+P83*'RAP TEMPLATE-GAS AVAILABILITY'!R82)/('RAP TEMPLATE-GAS AVAILABILITY'!O82+'RAP TEMPLATE-GAS AVAILABILITY'!P82+'RAP TEMPLATE-GAS AVAILABILITY'!Q82+'RAP TEMPLATE-GAS AVAILABILITY'!R82)</f>
        <v>5.0527985611510786</v>
      </c>
    </row>
    <row r="84" spans="1:29" ht="15.75" x14ac:dyDescent="0.25">
      <c r="A84" s="16">
        <v>43800</v>
      </c>
      <c r="B84" s="10">
        <f>CHOOSE(CONTROL!$C$42, 5.4226, 5.4226) * CHOOSE(CONTROL!$C$21, $C$9, 100%, $E$9)</f>
        <v>5.4226000000000001</v>
      </c>
      <c r="C84" s="10">
        <f>CHOOSE(CONTROL!$C$42, 5.4275, 5.4275) * CHOOSE(CONTROL!$C$21, $C$9, 100%, $E$9)</f>
        <v>5.4275000000000002</v>
      </c>
      <c r="D84" s="10">
        <f>CHOOSE(CONTROL!$C$42, 5.4571, 5.4571) * CHOOSE(CONTROL!$C$21, $C$9, 100%, $E$9)</f>
        <v>5.4570999999999996</v>
      </c>
      <c r="E84" s="10">
        <f>CHOOSE(CONTROL!$C$42, 5.4909, 5.4909) * CHOOSE(CONTROL!$C$21, $C$9, 100%, $E$9)</f>
        <v>5.4908999999999999</v>
      </c>
      <c r="F84" s="10">
        <f>CHOOSE(CONTROL!$C$42, 5.4099, 5.4099)*CHOOSE(CONTROL!$C$21, $C$9, 100%, $E$9)</f>
        <v>5.4099000000000004</v>
      </c>
      <c r="G84" s="10">
        <f>CHOOSE(CONTROL!$C$42, 5.4283, 5.4283)*CHOOSE(CONTROL!$C$21, $C$9, 100%, $E$9)</f>
        <v>5.4283000000000001</v>
      </c>
      <c r="H84" s="10">
        <f>CHOOSE(CONTROL!$C$42, 5.4801, 5.4801) * CHOOSE(CONTROL!$C$21, $C$9, 100%, $E$9)</f>
        <v>5.4801000000000002</v>
      </c>
      <c r="I84" s="10">
        <f>CHOOSE(CONTROL!$C$42, 5.3887, 5.3887)* CHOOSE(CONTROL!$C$21, $C$9, 100%, $E$9)</f>
        <v>5.3887</v>
      </c>
      <c r="J84" s="10">
        <f>CHOOSE(CONTROL!$C$42, 5.4029, 5.4029)* CHOOSE(CONTROL!$C$21, $C$9, 100%, $E$9)</f>
        <v>5.4028999999999998</v>
      </c>
      <c r="K84" s="54">
        <f>CHOOSE(CONTROL!$C$42, 5.3848, 5.3848) * CHOOSE(CONTROL!$C$21, $C$9, 100%, $E$9)</f>
        <v>5.3848000000000003</v>
      </c>
      <c r="L84" s="10">
        <f>CHOOSE(CONTROL!$C$42, 6.0671, 6.0671) * CHOOSE(CONTROL!$C$21, $C$9, 100%, $E$9)</f>
        <v>6.0670999999999999</v>
      </c>
      <c r="M84" s="10">
        <f>CHOOSE(CONTROL!$C$42, 5.3622, 5.3622) * CHOOSE(CONTROL!$C$21, $C$9, 100%, $E$9)</f>
        <v>5.3621999999999996</v>
      </c>
      <c r="N84" s="10">
        <f>CHOOSE(CONTROL!$C$42, 5.3804, 5.3804) * CHOOSE(CONTROL!$C$21, $C$9, 100%, $E$9)</f>
        <v>5.3803999999999998</v>
      </c>
      <c r="O84" s="10">
        <f>CHOOSE(CONTROL!$C$42, 5.4386, 5.4386) * CHOOSE(CONTROL!$C$21, $C$9, 100%, $E$9)</f>
        <v>5.4386000000000001</v>
      </c>
      <c r="P84" s="10">
        <f>CHOOSE(CONTROL!$C$42, 5.3482, 5.3482) * CHOOSE(CONTROL!$C$21, $C$9, 100%, $E$9)</f>
        <v>5.3482000000000003</v>
      </c>
      <c r="Q84" s="10">
        <f>CHOOSE(CONTROL!$C$42, 6.0339, 6.0339) * CHOOSE(CONTROL!$C$21, $C$9, 100%, $E$9)</f>
        <v>6.0339</v>
      </c>
      <c r="R84" s="10">
        <f>CHOOSE(CONTROL!$C$42, 6.636, 6.636) * CHOOSE(CONTROL!$C$21, $C$9, 100%, $E$9)</f>
        <v>6.6360000000000001</v>
      </c>
      <c r="S84" s="10">
        <f>CHOOSE(CONTROL!$C$42, 5.2637, 5.2637) * CHOOSE(CONTROL!$C$21, $C$9, 100%, $E$9)</f>
        <v>5.2637</v>
      </c>
      <c r="T84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4" s="58">
        <f>(1000*CHOOSE(CONTROL!$C$42, 695, 695)*CHOOSE(CONTROL!$C$42, 0.5599, 0.5599)*CHOOSE(CONTROL!$C$42, 31, 31))/1000000</f>
        <v>12.063045499999998</v>
      </c>
      <c r="V84" s="58">
        <f>(1000*CHOOSE(CONTROL!$C$42, 500, 500)*CHOOSE(CONTROL!$C$42, 0.275, 0.275)*CHOOSE(CONTROL!$C$42, 31, 31))/1000000</f>
        <v>4.2625000000000002</v>
      </c>
      <c r="W84" s="58">
        <f>(1000*CHOOSE(CONTROL!$C$42, 0.1146, 0.1146)*CHOOSE(CONTROL!$C$42, 121.5, 121.5)*CHOOSE(CONTROL!$C$42, 31, 31))/1000000</f>
        <v>0.43164089999999994</v>
      </c>
      <c r="X84" s="58">
        <f>(31*0.1790888*100000/1000000)+(31*0.2374*100000/1000000)</f>
        <v>1.2911152800000001</v>
      </c>
      <c r="Y84" s="58"/>
      <c r="Z84" s="10"/>
      <c r="AA84" s="57"/>
      <c r="AB84" s="51">
        <f>(B84*122.58+C84*297.941+D84*89.177+E84*40.302+F84*40+G84*160+H84*0+I84*100+J84*300)/(122.58+297.941+89.177+40.302+0+40+160+100+300)</f>
        <v>5.4212027339130433</v>
      </c>
      <c r="AC84" s="27">
        <f>(M84*'RAP TEMPLATE-GAS AVAILABILITY'!O83+N84*'RAP TEMPLATE-GAS AVAILABILITY'!P83+O84*'RAP TEMPLATE-GAS AVAILABILITY'!Q83+P84*'RAP TEMPLATE-GAS AVAILABILITY'!R83)/('RAP TEMPLATE-GAS AVAILABILITY'!O83+'RAP TEMPLATE-GAS AVAILABILITY'!P83+'RAP TEMPLATE-GAS AVAILABILITY'!Q83+'RAP TEMPLATE-GAS AVAILABILITY'!R83)</f>
        <v>5.3958604316546763</v>
      </c>
    </row>
    <row r="85" spans="1:29" ht="15.75" x14ac:dyDescent="0.25">
      <c r="A85" s="16">
        <v>43831</v>
      </c>
      <c r="B85" s="10">
        <f>CHOOSE(CONTROL!$C$42, 5.8125, 5.8125) * CHOOSE(CONTROL!$C$21, $C$9, 100%, $E$9)</f>
        <v>5.8125</v>
      </c>
      <c r="C85" s="10">
        <f>CHOOSE(CONTROL!$C$42, 5.8174, 5.8174) * CHOOSE(CONTROL!$C$21, $C$9, 100%, $E$9)</f>
        <v>5.8174000000000001</v>
      </c>
      <c r="D85" s="10">
        <f>CHOOSE(CONTROL!$C$42, 5.8676, 5.8676) * CHOOSE(CONTROL!$C$21, $C$9, 100%, $E$9)</f>
        <v>5.8676000000000004</v>
      </c>
      <c r="E85" s="10">
        <f>CHOOSE(CONTROL!$C$42, 5.9014, 5.9014) * CHOOSE(CONTROL!$C$21, $C$9, 100%, $E$9)</f>
        <v>5.9013999999999998</v>
      </c>
      <c r="F85" s="10">
        <f>CHOOSE(CONTROL!$C$42, 5.7778, 5.7778)*CHOOSE(CONTROL!$C$21, $C$9, 100%, $E$9)</f>
        <v>5.7778</v>
      </c>
      <c r="G85" s="10">
        <f>CHOOSE(CONTROL!$C$42, 5.7954, 5.7954)*CHOOSE(CONTROL!$C$21, $C$9, 100%, $E$9)</f>
        <v>5.7953999999999999</v>
      </c>
      <c r="H85" s="10">
        <f>CHOOSE(CONTROL!$C$42, 5.8906, 5.8906) * CHOOSE(CONTROL!$C$21, $C$9, 100%, $E$9)</f>
        <v>5.8906000000000001</v>
      </c>
      <c r="I85" s="10">
        <f>CHOOSE(CONTROL!$C$42, 5.7864, 5.7864)* CHOOSE(CONTROL!$C$21, $C$9, 100%, $E$9)</f>
        <v>5.7864000000000004</v>
      </c>
      <c r="J85" s="10">
        <f>CHOOSE(CONTROL!$C$42, 5.7708, 5.7708)* CHOOSE(CONTROL!$C$21, $C$9, 100%, $E$9)</f>
        <v>5.7708000000000004</v>
      </c>
      <c r="K85" s="54">
        <f>CHOOSE(CONTROL!$C$42, 5.7825, 5.7825) * CHOOSE(CONTROL!$C$21, $C$9, 100%, $E$9)</f>
        <v>5.7824999999999998</v>
      </c>
      <c r="L85" s="10">
        <f>CHOOSE(CONTROL!$C$42, 6.4776, 6.4776) * CHOOSE(CONTROL!$C$21, $C$9, 100%, $E$9)</f>
        <v>6.4775999999999998</v>
      </c>
      <c r="M85" s="10">
        <f>CHOOSE(CONTROL!$C$42, 5.7264, 5.7264) * CHOOSE(CONTROL!$C$21, $C$9, 100%, $E$9)</f>
        <v>5.7263999999999999</v>
      </c>
      <c r="N85" s="10">
        <f>CHOOSE(CONTROL!$C$42, 5.7438, 5.7438) * CHOOSE(CONTROL!$C$21, $C$9, 100%, $E$9)</f>
        <v>5.7438000000000002</v>
      </c>
      <c r="O85" s="10">
        <f>CHOOSE(CONTROL!$C$42, 5.845, 5.845) * CHOOSE(CONTROL!$C$21, $C$9, 100%, $E$9)</f>
        <v>5.8449999999999998</v>
      </c>
      <c r="P85" s="10">
        <f>CHOOSE(CONTROL!$C$42, 5.7419, 5.7419) * CHOOSE(CONTROL!$C$21, $C$9, 100%, $E$9)</f>
        <v>5.7419000000000002</v>
      </c>
      <c r="Q85" s="10">
        <f>CHOOSE(CONTROL!$C$42, 6.4403, 6.4403) * CHOOSE(CONTROL!$C$21, $C$9, 100%, $E$9)</f>
        <v>6.4402999999999997</v>
      </c>
      <c r="R85" s="10">
        <f>CHOOSE(CONTROL!$C$42, 7.0434, 7.0434) * CHOOSE(CONTROL!$C$21, $C$9, 100%, $E$9)</f>
        <v>7.0434000000000001</v>
      </c>
      <c r="S85" s="10">
        <f>CHOOSE(CONTROL!$C$42, 5.6424, 5.6424) * CHOOSE(CONTROL!$C$21, $C$9, 100%, $E$9)</f>
        <v>5.6424000000000003</v>
      </c>
      <c r="T85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5" s="58">
        <f>(1000*CHOOSE(CONTROL!$C$42, 695, 695)*CHOOSE(CONTROL!$C$42, 0.5599, 0.5599)*CHOOSE(CONTROL!$C$42, 31, 31))/1000000</f>
        <v>12.063045499999998</v>
      </c>
      <c r="V85" s="58">
        <f>(1000*CHOOSE(CONTROL!$C$42, 500, 500)*CHOOSE(CONTROL!$C$42, 0.275, 0.275)*CHOOSE(CONTROL!$C$42, 31, 31))/1000000</f>
        <v>4.2625000000000002</v>
      </c>
      <c r="W85" s="58">
        <f>(1000*CHOOSE(CONTROL!$C$42, 0.1146, 0.1146)*CHOOSE(CONTROL!$C$42, 121.5, 121.5)*CHOOSE(CONTROL!$C$42, 31, 31))/1000000</f>
        <v>0.43164089999999994</v>
      </c>
      <c r="X85" s="58">
        <f>(31*0.1790888*100000/1000000)+(31*0.2374*100000/1000000)</f>
        <v>1.2911152800000001</v>
      </c>
      <c r="Y85" s="58"/>
      <c r="Z85" s="10"/>
      <c r="AA85" s="57"/>
      <c r="AB85" s="51">
        <f>(B85*122.58+C85*297.941+D85*89.177+E85*40.302+F85*40+G85*160+H85*0+I85*100+J85*300)/(122.58+297.941+89.177+40.302+0+40+160+100+300)</f>
        <v>5.8044238359999998</v>
      </c>
      <c r="AC85" s="27">
        <f>(M85*'RAP TEMPLATE-GAS AVAILABILITY'!O84+N85*'RAP TEMPLATE-GAS AVAILABILITY'!P84+O85*'RAP TEMPLATE-GAS AVAILABILITY'!Q84+P85*'RAP TEMPLATE-GAS AVAILABILITY'!R84)/('RAP TEMPLATE-GAS AVAILABILITY'!O84+'RAP TEMPLATE-GAS AVAILABILITY'!P84+'RAP TEMPLATE-GAS AVAILABILITY'!Q84+'RAP TEMPLATE-GAS AVAILABILITY'!R84)</f>
        <v>5.7833856115107913</v>
      </c>
    </row>
    <row r="86" spans="1:29" ht="15.75" x14ac:dyDescent="0.25">
      <c r="A86" s="16">
        <v>43862</v>
      </c>
      <c r="B86" s="10">
        <f>CHOOSE(CONTROL!$C$42, 5.9159, 5.9159) * CHOOSE(CONTROL!$C$21, $C$9, 100%, $E$9)</f>
        <v>5.9158999999999997</v>
      </c>
      <c r="C86" s="10">
        <f>CHOOSE(CONTROL!$C$42, 5.9209, 5.9209) * CHOOSE(CONTROL!$C$21, $C$9, 100%, $E$9)</f>
        <v>5.9208999999999996</v>
      </c>
      <c r="D86" s="10">
        <f>CHOOSE(CONTROL!$C$42, 6.038, 6.038) * CHOOSE(CONTROL!$C$21, $C$9, 100%, $E$9)</f>
        <v>6.0380000000000003</v>
      </c>
      <c r="E86" s="10">
        <f>CHOOSE(CONTROL!$C$42, 6.0718, 6.0718) * CHOOSE(CONTROL!$C$21, $C$9, 100%, $E$9)</f>
        <v>6.0717999999999996</v>
      </c>
      <c r="F86" s="10">
        <f>CHOOSE(CONTROL!$C$42, 5.9935, 5.9935)*CHOOSE(CONTROL!$C$21, $C$9, 100%, $E$9)</f>
        <v>5.9935</v>
      </c>
      <c r="G86" s="10">
        <f>CHOOSE(CONTROL!$C$42, 6.0154, 6.0154)*CHOOSE(CONTROL!$C$21, $C$9, 100%, $E$9)</f>
        <v>6.0153999999999996</v>
      </c>
      <c r="H86" s="10">
        <f>CHOOSE(CONTROL!$C$42, 6.061, 6.061) * CHOOSE(CONTROL!$C$21, $C$9, 100%, $E$9)</f>
        <v>6.0609999999999999</v>
      </c>
      <c r="I86" s="10">
        <f>CHOOSE(CONTROL!$C$42, 5.9516, 5.9516)* CHOOSE(CONTROL!$C$21, $C$9, 100%, $E$9)</f>
        <v>5.9516</v>
      </c>
      <c r="J86" s="10">
        <f>CHOOSE(CONTROL!$C$42, 5.9865, 5.9865)* CHOOSE(CONTROL!$C$21, $C$9, 100%, $E$9)</f>
        <v>5.9865000000000004</v>
      </c>
      <c r="K86" s="54">
        <f>CHOOSE(CONTROL!$C$42, 5.9477, 5.9477) * CHOOSE(CONTROL!$C$21, $C$9, 100%, $E$9)</f>
        <v>5.9477000000000002</v>
      </c>
      <c r="L86" s="10">
        <f>CHOOSE(CONTROL!$C$42, 6.648, 6.648) * CHOOSE(CONTROL!$C$21, $C$9, 100%, $E$9)</f>
        <v>6.6479999999999997</v>
      </c>
      <c r="M86" s="10">
        <f>CHOOSE(CONTROL!$C$42, 5.9399, 5.9399) * CHOOSE(CONTROL!$C$21, $C$9, 100%, $E$9)</f>
        <v>5.9398999999999997</v>
      </c>
      <c r="N86" s="10">
        <f>CHOOSE(CONTROL!$C$42, 5.9616, 5.9616) * CHOOSE(CONTROL!$C$21, $C$9, 100%, $E$9)</f>
        <v>5.9615999999999998</v>
      </c>
      <c r="O86" s="10">
        <f>CHOOSE(CONTROL!$C$42, 6.0136, 6.0136) * CHOOSE(CONTROL!$C$21, $C$9, 100%, $E$9)</f>
        <v>6.0136000000000003</v>
      </c>
      <c r="P86" s="10">
        <f>CHOOSE(CONTROL!$C$42, 5.9054, 5.9054) * CHOOSE(CONTROL!$C$21, $C$9, 100%, $E$9)</f>
        <v>5.9054000000000002</v>
      </c>
      <c r="Q86" s="10">
        <f>CHOOSE(CONTROL!$C$42, 6.6089, 6.6089) * CHOOSE(CONTROL!$C$21, $C$9, 100%, $E$9)</f>
        <v>6.6089000000000002</v>
      </c>
      <c r="R86" s="10">
        <f>CHOOSE(CONTROL!$C$42, 7.2125, 7.2125) * CHOOSE(CONTROL!$C$21, $C$9, 100%, $E$9)</f>
        <v>7.2125000000000004</v>
      </c>
      <c r="S86" s="10">
        <f>CHOOSE(CONTROL!$C$42, 5.7428, 5.7428) * CHOOSE(CONTROL!$C$21, $C$9, 100%, $E$9)</f>
        <v>5.7427999999999999</v>
      </c>
      <c r="T86" s="5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86" s="58">
        <f>(1000*CHOOSE(CONTROL!$C$42, 695, 695)*CHOOSE(CONTROL!$C$42, 0.5599, 0.5599)*CHOOSE(CONTROL!$C$42, 29, 29))/1000000</f>
        <v>11.284784499999999</v>
      </c>
      <c r="V86" s="58">
        <f>(1000*CHOOSE(CONTROL!$C$42, 500, 500)*CHOOSE(CONTROL!$C$42, 0.275, 0.275)*CHOOSE(CONTROL!$C$42, 29, 29))/1000000</f>
        <v>3.9874999999999998</v>
      </c>
      <c r="W86" s="58">
        <f>(1000*CHOOSE(CONTROL!$C$42, 0.1146, 0.1146)*CHOOSE(CONTROL!$C$42, 121.5, 121.5)*CHOOSE(CONTROL!$C$42, 29, 29))/1000000</f>
        <v>0.40379309999999996</v>
      </c>
      <c r="X86" s="58">
        <f>(29*0.1790888*100000/1000000)+(29*0.2374*100000/1000000)</f>
        <v>1.2078175199999999</v>
      </c>
      <c r="Y86" s="58"/>
      <c r="Z86" s="10"/>
      <c r="AA86" s="57"/>
      <c r="AB86" s="51">
        <f>(B86*122.58+C86*297.941+D86*89.177+E86*40.302+F86*40+G86*160+H86*0+I86*100+J86*300)/(122.58+297.941+89.177+40.302+0+40+160+100+300)</f>
        <v>5.9701915639130432</v>
      </c>
      <c r="AC86" s="27">
        <f>(M86*'RAP TEMPLATE-GAS AVAILABILITY'!O85+N86*'RAP TEMPLATE-GAS AVAILABILITY'!P85+O86*'RAP TEMPLATE-GAS AVAILABILITY'!Q85+P86*'RAP TEMPLATE-GAS AVAILABILITY'!R85)/('RAP TEMPLATE-GAS AVAILABILITY'!O85+'RAP TEMPLATE-GAS AVAILABILITY'!P85+'RAP TEMPLATE-GAS AVAILABILITY'!Q85+'RAP TEMPLATE-GAS AVAILABILITY'!R85)</f>
        <v>5.9695884892086326</v>
      </c>
    </row>
    <row r="87" spans="1:29" ht="15.75" x14ac:dyDescent="0.25">
      <c r="A87" s="16">
        <v>43891</v>
      </c>
      <c r="B87" s="10">
        <f>CHOOSE(CONTROL!$C$42, 5.748, 5.748) * CHOOSE(CONTROL!$C$21, $C$9, 100%, $E$9)</f>
        <v>5.7480000000000002</v>
      </c>
      <c r="C87" s="10">
        <f>CHOOSE(CONTROL!$C$42, 5.753, 5.753) * CHOOSE(CONTROL!$C$21, $C$9, 100%, $E$9)</f>
        <v>5.7530000000000001</v>
      </c>
      <c r="D87" s="10">
        <f>CHOOSE(CONTROL!$C$42, 5.8444, 5.8444) * CHOOSE(CONTROL!$C$21, $C$9, 100%, $E$9)</f>
        <v>5.8444000000000003</v>
      </c>
      <c r="E87" s="10">
        <f>CHOOSE(CONTROL!$C$42, 5.8782, 5.8782) * CHOOSE(CONTROL!$C$21, $C$9, 100%, $E$9)</f>
        <v>5.8781999999999996</v>
      </c>
      <c r="F87" s="10">
        <f>CHOOSE(CONTROL!$C$42, 5.7779, 5.7779)*CHOOSE(CONTROL!$C$21, $C$9, 100%, $E$9)</f>
        <v>5.7778999999999998</v>
      </c>
      <c r="G87" s="10">
        <f>CHOOSE(CONTROL!$C$42, 5.7974, 5.7974)*CHOOSE(CONTROL!$C$21, $C$9, 100%, $E$9)</f>
        <v>5.7973999999999997</v>
      </c>
      <c r="H87" s="10">
        <f>CHOOSE(CONTROL!$C$42, 5.8674, 5.8674) * CHOOSE(CONTROL!$C$21, $C$9, 100%, $E$9)</f>
        <v>5.8673999999999999</v>
      </c>
      <c r="I87" s="10">
        <f>CHOOSE(CONTROL!$C$42, 5.7708, 5.7708)* CHOOSE(CONTROL!$C$21, $C$9, 100%, $E$9)</f>
        <v>5.7708000000000004</v>
      </c>
      <c r="J87" s="10">
        <f>CHOOSE(CONTROL!$C$42, 5.7709, 5.7709)* CHOOSE(CONTROL!$C$21, $C$9, 100%, $E$9)</f>
        <v>5.7709000000000001</v>
      </c>
      <c r="K87" s="54">
        <f>CHOOSE(CONTROL!$C$42, 5.767, 5.767) * CHOOSE(CONTROL!$C$21, $C$9, 100%, $E$9)</f>
        <v>5.7670000000000003</v>
      </c>
      <c r="L87" s="10">
        <f>CHOOSE(CONTROL!$C$42, 6.4544, 6.4544) * CHOOSE(CONTROL!$C$21, $C$9, 100%, $E$9)</f>
        <v>6.4543999999999997</v>
      </c>
      <c r="M87" s="10">
        <f>CHOOSE(CONTROL!$C$42, 5.7265, 5.7265) * CHOOSE(CONTROL!$C$21, $C$9, 100%, $E$9)</f>
        <v>5.7264999999999997</v>
      </c>
      <c r="N87" s="10">
        <f>CHOOSE(CONTROL!$C$42, 5.7458, 5.7458) * CHOOSE(CONTROL!$C$21, $C$9, 100%, $E$9)</f>
        <v>5.7458</v>
      </c>
      <c r="O87" s="10">
        <f>CHOOSE(CONTROL!$C$42, 5.822, 5.822) * CHOOSE(CONTROL!$C$21, $C$9, 100%, $E$9)</f>
        <v>5.8220000000000001</v>
      </c>
      <c r="P87" s="10">
        <f>CHOOSE(CONTROL!$C$42, 5.7265, 5.7265) * CHOOSE(CONTROL!$C$21, $C$9, 100%, $E$9)</f>
        <v>5.7264999999999997</v>
      </c>
      <c r="Q87" s="10">
        <f>CHOOSE(CONTROL!$C$42, 6.4173, 6.4173) * CHOOSE(CONTROL!$C$21, $C$9, 100%, $E$9)</f>
        <v>6.4173</v>
      </c>
      <c r="R87" s="10">
        <f>CHOOSE(CONTROL!$C$42, 7.0203, 7.0203) * CHOOSE(CONTROL!$C$21, $C$9, 100%, $E$9)</f>
        <v>7.0202999999999998</v>
      </c>
      <c r="S87" s="10">
        <f>CHOOSE(CONTROL!$C$42, 5.5798, 5.5798) * CHOOSE(CONTROL!$C$21, $C$9, 100%, $E$9)</f>
        <v>5.5797999999999996</v>
      </c>
      <c r="T87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7" s="58">
        <f>(1000*CHOOSE(CONTROL!$C$42, 695, 695)*CHOOSE(CONTROL!$C$42, 0.5599, 0.5599)*CHOOSE(CONTROL!$C$42, 31, 31))/1000000</f>
        <v>12.063045499999998</v>
      </c>
      <c r="V87" s="58">
        <f>(1000*CHOOSE(CONTROL!$C$42, 500, 500)*CHOOSE(CONTROL!$C$42, 0.275, 0.275)*CHOOSE(CONTROL!$C$42, 31, 31))/1000000</f>
        <v>4.2625000000000002</v>
      </c>
      <c r="W87" s="58">
        <f>(1000*CHOOSE(CONTROL!$C$42, 0.1146, 0.1146)*CHOOSE(CONTROL!$C$42, 121.5, 121.5)*CHOOSE(CONTROL!$C$42, 31, 31))/1000000</f>
        <v>0.43164089999999994</v>
      </c>
      <c r="X87" s="58">
        <f>(31*0.1790888*100000/1000000)+(31*0.2374*100000/1000000)</f>
        <v>1.2911152800000001</v>
      </c>
      <c r="Y87" s="58"/>
      <c r="Z87" s="10"/>
      <c r="AA87" s="57"/>
      <c r="AB87" s="51">
        <f>(B87*122.58+C87*297.941+D87*89.177+E87*40.302+F87*40+G87*160+H87*0+I87*100+J87*300)/(122.58+297.941+89.177+40.302+0+40+160+100+300)</f>
        <v>5.7772032071304338</v>
      </c>
      <c r="AC87" s="27">
        <f>(M87*'RAP TEMPLATE-GAS AVAILABILITY'!O86+N87*'RAP TEMPLATE-GAS AVAILABILITY'!P86+O87*'RAP TEMPLATE-GAS AVAILABILITY'!Q86+P87*'RAP TEMPLATE-GAS AVAILABILITY'!R86)/('RAP TEMPLATE-GAS AVAILABILITY'!O86+'RAP TEMPLATE-GAS AVAILABILITY'!P86+'RAP TEMPLATE-GAS AVAILABILITY'!Q86+'RAP TEMPLATE-GAS AVAILABILITY'!R86)</f>
        <v>5.7708949640287779</v>
      </c>
    </row>
    <row r="88" spans="1:29" ht="15.75" x14ac:dyDescent="0.25">
      <c r="A88" s="16">
        <v>43922</v>
      </c>
      <c r="B88" s="10">
        <f>CHOOSE(CONTROL!$C$42, 5.7316, 5.7316) * CHOOSE(CONTROL!$C$21, $C$9, 100%, $E$9)</f>
        <v>5.7316000000000003</v>
      </c>
      <c r="C88" s="10">
        <f>CHOOSE(CONTROL!$C$42, 5.736, 5.736) * CHOOSE(CONTROL!$C$21, $C$9, 100%, $E$9)</f>
        <v>5.7359999999999998</v>
      </c>
      <c r="D88" s="10">
        <f>CHOOSE(CONTROL!$C$42, 5.9177, 5.9177) * CHOOSE(CONTROL!$C$21, $C$9, 100%, $E$9)</f>
        <v>5.9177</v>
      </c>
      <c r="E88" s="10">
        <f>CHOOSE(CONTROL!$C$42, 5.9494, 5.9494) * CHOOSE(CONTROL!$C$21, $C$9, 100%, $E$9)</f>
        <v>5.9493999999999998</v>
      </c>
      <c r="F88" s="10">
        <f>CHOOSE(CONTROL!$C$42, 5.7199, 5.7199)*CHOOSE(CONTROL!$C$21, $C$9, 100%, $E$9)</f>
        <v>5.7199</v>
      </c>
      <c r="G88" s="10">
        <f>CHOOSE(CONTROL!$C$42, 5.7379, 5.7379)*CHOOSE(CONTROL!$C$21, $C$9, 100%, $E$9)</f>
        <v>5.7378999999999998</v>
      </c>
      <c r="H88" s="10">
        <f>CHOOSE(CONTROL!$C$42, 5.9392, 5.9392) * CHOOSE(CONTROL!$C$21, $C$9, 100%, $E$9)</f>
        <v>5.9391999999999996</v>
      </c>
      <c r="I88" s="10">
        <f>CHOOSE(CONTROL!$C$42, 5.7099, 5.7099)* CHOOSE(CONTROL!$C$21, $C$9, 100%, $E$9)</f>
        <v>5.7099000000000002</v>
      </c>
      <c r="J88" s="10">
        <f>CHOOSE(CONTROL!$C$42, 5.7129, 5.7129)* CHOOSE(CONTROL!$C$21, $C$9, 100%, $E$9)</f>
        <v>5.7129000000000003</v>
      </c>
      <c r="K88" s="54">
        <f>CHOOSE(CONTROL!$C$42, 5.706, 5.706) * CHOOSE(CONTROL!$C$21, $C$9, 100%, $E$9)</f>
        <v>5.7060000000000004</v>
      </c>
      <c r="L88" s="10">
        <f>CHOOSE(CONTROL!$C$42, 6.5262, 6.5262) * CHOOSE(CONTROL!$C$21, $C$9, 100%, $E$9)</f>
        <v>6.5262000000000002</v>
      </c>
      <c r="M88" s="10">
        <f>CHOOSE(CONTROL!$C$42, 5.6691, 5.6691) * CHOOSE(CONTROL!$C$21, $C$9, 100%, $E$9)</f>
        <v>5.6691000000000003</v>
      </c>
      <c r="N88" s="10">
        <f>CHOOSE(CONTROL!$C$42, 5.6869, 5.6869) * CHOOSE(CONTROL!$C$21, $C$9, 100%, $E$9)</f>
        <v>5.6868999999999996</v>
      </c>
      <c r="O88" s="10">
        <f>CHOOSE(CONTROL!$C$42, 5.8931, 5.8931) * CHOOSE(CONTROL!$C$21, $C$9, 100%, $E$9)</f>
        <v>5.8930999999999996</v>
      </c>
      <c r="P88" s="10">
        <f>CHOOSE(CONTROL!$C$42, 5.6661, 5.6661) * CHOOSE(CONTROL!$C$21, $C$9, 100%, $E$9)</f>
        <v>5.6661000000000001</v>
      </c>
      <c r="Q88" s="10">
        <f>CHOOSE(CONTROL!$C$42, 6.4884, 6.4884) * CHOOSE(CONTROL!$C$21, $C$9, 100%, $E$9)</f>
        <v>6.4884000000000004</v>
      </c>
      <c r="R88" s="10">
        <f>CHOOSE(CONTROL!$C$42, 7.0916, 7.0916) * CHOOSE(CONTROL!$C$21, $C$9, 100%, $E$9)</f>
        <v>7.0915999999999997</v>
      </c>
      <c r="S88" s="10">
        <f>CHOOSE(CONTROL!$C$42, 5.5631, 5.5631) * CHOOSE(CONTROL!$C$21, $C$9, 100%, $E$9)</f>
        <v>5.5631000000000004</v>
      </c>
      <c r="T88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8" s="58">
        <f>(1000*CHOOSE(CONTROL!$C$42, 695, 695)*CHOOSE(CONTROL!$C$42, 0.5599, 0.5599)*CHOOSE(CONTROL!$C$42, 30, 30))/1000000</f>
        <v>11.673914999999997</v>
      </c>
      <c r="V88" s="58">
        <f>(1000*CHOOSE(CONTROL!$C$42, 500, 500)*CHOOSE(CONTROL!$C$42, 0.275, 0.275)*CHOOSE(CONTROL!$C$42, 30, 30))/1000000</f>
        <v>4.125</v>
      </c>
      <c r="W88" s="58">
        <f>(1000*CHOOSE(CONTROL!$C$42, 0.1146, 0.1146)*CHOOSE(CONTROL!$C$42, 121.5, 121.5)*CHOOSE(CONTROL!$C$42, 30, 30))/1000000</f>
        <v>0.417717</v>
      </c>
      <c r="X88" s="58">
        <f>(30*0.1790888*245000/1000000)+(30*0.2374*100000/1000000)</f>
        <v>2.0285026799999999</v>
      </c>
      <c r="Y88" s="58"/>
      <c r="Z88" s="10"/>
      <c r="AA88" s="57"/>
      <c r="AB88" s="51">
        <f>(B88*141.293+C88*267.993+D88*115.016+E88*89.698+F88*40+G88*185+H88*0+I88*100+J88*300)/(141.293+267.993+115.016+89.698+0+40+185+100+300)</f>
        <v>5.7598787499596442</v>
      </c>
      <c r="AC88" s="27">
        <f>(M88*'RAP TEMPLATE-GAS AVAILABILITY'!O87+N88*'RAP TEMPLATE-GAS AVAILABILITY'!P87+O88*'RAP TEMPLATE-GAS AVAILABILITY'!Q87+P88*'RAP TEMPLATE-GAS AVAILABILITY'!R87)/('RAP TEMPLATE-GAS AVAILABILITY'!O87+'RAP TEMPLATE-GAS AVAILABILITY'!P87+'RAP TEMPLATE-GAS AVAILABILITY'!Q87+'RAP TEMPLATE-GAS AVAILABILITY'!R87)</f>
        <v>5.7356151079136692</v>
      </c>
    </row>
    <row r="89" spans="1:29" ht="15.75" x14ac:dyDescent="0.25">
      <c r="A89" s="16">
        <v>43952</v>
      </c>
      <c r="B89" s="10">
        <f>CHOOSE(CONTROL!$C$42, 5.784, 5.784) * CHOOSE(CONTROL!$C$21, $C$9, 100%, $E$9)</f>
        <v>5.7839999999999998</v>
      </c>
      <c r="C89" s="10">
        <f>CHOOSE(CONTROL!$C$42, 5.7919, 5.7919) * CHOOSE(CONTROL!$C$21, $C$9, 100%, $E$9)</f>
        <v>5.7919</v>
      </c>
      <c r="D89" s="10">
        <f>CHOOSE(CONTROL!$C$42, 5.9704, 5.9704) * CHOOSE(CONTROL!$C$21, $C$9, 100%, $E$9)</f>
        <v>5.9703999999999997</v>
      </c>
      <c r="E89" s="10">
        <f>CHOOSE(CONTROL!$C$42, 6.0015, 6.0015) * CHOOSE(CONTROL!$C$21, $C$9, 100%, $E$9)</f>
        <v>6.0015000000000001</v>
      </c>
      <c r="F89" s="10">
        <f>CHOOSE(CONTROL!$C$42, 5.7701, 5.7701)*CHOOSE(CONTROL!$C$21, $C$9, 100%, $E$9)</f>
        <v>5.7701000000000002</v>
      </c>
      <c r="G89" s="10">
        <f>CHOOSE(CONTROL!$C$42, 5.7883, 5.7883)*CHOOSE(CONTROL!$C$21, $C$9, 100%, $E$9)</f>
        <v>5.7882999999999996</v>
      </c>
      <c r="H89" s="10">
        <f>CHOOSE(CONTROL!$C$42, 5.9902, 5.9902) * CHOOSE(CONTROL!$C$21, $C$9, 100%, $E$9)</f>
        <v>5.9901999999999997</v>
      </c>
      <c r="I89" s="10">
        <f>CHOOSE(CONTROL!$C$42, 5.7608, 5.7608)* CHOOSE(CONTROL!$C$21, $C$9, 100%, $E$9)</f>
        <v>5.7607999999999997</v>
      </c>
      <c r="J89" s="10">
        <f>CHOOSE(CONTROL!$C$42, 5.7631, 5.7631)* CHOOSE(CONTROL!$C$21, $C$9, 100%, $E$9)</f>
        <v>5.7630999999999997</v>
      </c>
      <c r="K89" s="54">
        <f>CHOOSE(CONTROL!$C$42, 5.7569, 5.7569) * CHOOSE(CONTROL!$C$21, $C$9, 100%, $E$9)</f>
        <v>5.7568999999999999</v>
      </c>
      <c r="L89" s="10">
        <f>CHOOSE(CONTROL!$C$42, 6.5772, 6.5772) * CHOOSE(CONTROL!$C$21, $C$9, 100%, $E$9)</f>
        <v>6.5772000000000004</v>
      </c>
      <c r="M89" s="10">
        <f>CHOOSE(CONTROL!$C$42, 5.7188, 5.7188) * CHOOSE(CONTROL!$C$21, $C$9, 100%, $E$9)</f>
        <v>5.7187999999999999</v>
      </c>
      <c r="N89" s="10">
        <f>CHOOSE(CONTROL!$C$42, 5.7368, 5.7368) * CHOOSE(CONTROL!$C$21, $C$9, 100%, $E$9)</f>
        <v>5.7367999999999997</v>
      </c>
      <c r="O89" s="10">
        <f>CHOOSE(CONTROL!$C$42, 5.9435, 5.9435) * CHOOSE(CONTROL!$C$21, $C$9, 100%, $E$9)</f>
        <v>5.9435000000000002</v>
      </c>
      <c r="P89" s="10">
        <f>CHOOSE(CONTROL!$C$42, 5.7166, 5.7166) * CHOOSE(CONTROL!$C$21, $C$9, 100%, $E$9)</f>
        <v>5.7165999999999997</v>
      </c>
      <c r="Q89" s="10">
        <f>CHOOSE(CONTROL!$C$42, 6.5388, 6.5388) * CHOOSE(CONTROL!$C$21, $C$9, 100%, $E$9)</f>
        <v>6.5388000000000002</v>
      </c>
      <c r="R89" s="10">
        <f>CHOOSE(CONTROL!$C$42, 7.1422, 7.1422) * CHOOSE(CONTROL!$C$21, $C$9, 100%, $E$9)</f>
        <v>7.1421999999999999</v>
      </c>
      <c r="S89" s="10">
        <f>CHOOSE(CONTROL!$C$42, 5.6125, 5.6125) * CHOOSE(CONTROL!$C$21, $C$9, 100%, $E$9)</f>
        <v>5.6124999999999998</v>
      </c>
      <c r="T89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9" s="58">
        <f>(1000*CHOOSE(CONTROL!$C$42, 695, 695)*CHOOSE(CONTROL!$C$42, 0.5599, 0.5599)*CHOOSE(CONTROL!$C$42, 31, 31))/1000000</f>
        <v>12.063045499999998</v>
      </c>
      <c r="V89" s="58">
        <f>(1000*CHOOSE(CONTROL!$C$42, 500, 500)*CHOOSE(CONTROL!$C$42, 0.275, 0.275)*CHOOSE(CONTROL!$C$42, 31, 31))/1000000</f>
        <v>4.2625000000000002</v>
      </c>
      <c r="W89" s="58">
        <f>(1000*CHOOSE(CONTROL!$C$42, 0.1146, 0.1146)*CHOOSE(CONTROL!$C$42, 121.5, 121.5)*CHOOSE(CONTROL!$C$42, 31, 31))/1000000</f>
        <v>0.43164089999999994</v>
      </c>
      <c r="X89" s="58">
        <f>(31*0.1790888*245000/1000000)+(31*0.2374*100000/1000000)</f>
        <v>2.0961194359999999</v>
      </c>
      <c r="Y89" s="58"/>
      <c r="Z89" s="10"/>
      <c r="AA89" s="57"/>
      <c r="AB89" s="51">
        <f>(B89*194.205+C89*267.466+D89*133.845+E89*53.484+F89*40+G89*185+H89*0+I89*100+J89*300)/(194.205+267.466+133.845+53.484+0+40+185+100+300)</f>
        <v>5.8078178645211933</v>
      </c>
      <c r="AC89" s="27">
        <f>(M89*'RAP TEMPLATE-GAS AVAILABILITY'!O88+N89*'RAP TEMPLATE-GAS AVAILABILITY'!P88+O89*'RAP TEMPLATE-GAS AVAILABILITY'!Q88+P89*'RAP TEMPLATE-GAS AVAILABILITY'!R88)/('RAP TEMPLATE-GAS AVAILABILITY'!O88+'RAP TEMPLATE-GAS AVAILABILITY'!P88+'RAP TEMPLATE-GAS AVAILABILITY'!Q88+'RAP TEMPLATE-GAS AVAILABILITY'!R88)</f>
        <v>5.7856726618705032</v>
      </c>
    </row>
    <row r="90" spans="1:29" ht="15.75" x14ac:dyDescent="0.25">
      <c r="A90" s="16">
        <v>43983</v>
      </c>
      <c r="B90" s="10">
        <f>CHOOSE(CONTROL!$C$42, 5.9479, 5.9479) * CHOOSE(CONTROL!$C$21, $C$9, 100%, $E$9)</f>
        <v>5.9478999999999997</v>
      </c>
      <c r="C90" s="10">
        <f>CHOOSE(CONTROL!$C$42, 5.9558, 5.9558) * CHOOSE(CONTROL!$C$21, $C$9, 100%, $E$9)</f>
        <v>5.9558</v>
      </c>
      <c r="D90" s="10">
        <f>CHOOSE(CONTROL!$C$42, 6.1343, 6.1343) * CHOOSE(CONTROL!$C$21, $C$9, 100%, $E$9)</f>
        <v>6.1342999999999996</v>
      </c>
      <c r="E90" s="10">
        <f>CHOOSE(CONTROL!$C$42, 6.1655, 6.1655) * CHOOSE(CONTROL!$C$21, $C$9, 100%, $E$9)</f>
        <v>6.1654999999999998</v>
      </c>
      <c r="F90" s="10">
        <f>CHOOSE(CONTROL!$C$42, 5.9343, 5.9343)*CHOOSE(CONTROL!$C$21, $C$9, 100%, $E$9)</f>
        <v>5.9343000000000004</v>
      </c>
      <c r="G90" s="10">
        <f>CHOOSE(CONTROL!$C$42, 5.9525, 5.9525)*CHOOSE(CONTROL!$C$21, $C$9, 100%, $E$9)</f>
        <v>5.9524999999999997</v>
      </c>
      <c r="H90" s="10">
        <f>CHOOSE(CONTROL!$C$42, 6.1541, 6.1541) * CHOOSE(CONTROL!$C$21, $C$9, 100%, $E$9)</f>
        <v>6.1540999999999997</v>
      </c>
      <c r="I90" s="10">
        <f>CHOOSE(CONTROL!$C$42, 5.9247, 5.9247)* CHOOSE(CONTROL!$C$21, $C$9, 100%, $E$9)</f>
        <v>5.9246999999999996</v>
      </c>
      <c r="J90" s="10">
        <f>CHOOSE(CONTROL!$C$42, 5.9273, 5.9273)* CHOOSE(CONTROL!$C$21, $C$9, 100%, $E$9)</f>
        <v>5.9272999999999998</v>
      </c>
      <c r="K90" s="54">
        <f>CHOOSE(CONTROL!$C$42, 5.9208, 5.9208) * CHOOSE(CONTROL!$C$21, $C$9, 100%, $E$9)</f>
        <v>5.9207999999999998</v>
      </c>
      <c r="L90" s="10">
        <f>CHOOSE(CONTROL!$C$42, 6.7411, 6.7411) * CHOOSE(CONTROL!$C$21, $C$9, 100%, $E$9)</f>
        <v>6.7411000000000003</v>
      </c>
      <c r="M90" s="10">
        <f>CHOOSE(CONTROL!$C$42, 5.8813, 5.8813) * CHOOSE(CONTROL!$C$21, $C$9, 100%, $E$9)</f>
        <v>5.8813000000000004</v>
      </c>
      <c r="N90" s="10">
        <f>CHOOSE(CONTROL!$C$42, 5.8994, 5.8994) * CHOOSE(CONTROL!$C$21, $C$9, 100%, $E$9)</f>
        <v>5.8994</v>
      </c>
      <c r="O90" s="10">
        <f>CHOOSE(CONTROL!$C$42, 6.1058, 6.1058) * CHOOSE(CONTROL!$C$21, $C$9, 100%, $E$9)</f>
        <v>6.1058000000000003</v>
      </c>
      <c r="P90" s="10">
        <f>CHOOSE(CONTROL!$C$42, 5.8788, 5.8788) * CHOOSE(CONTROL!$C$21, $C$9, 100%, $E$9)</f>
        <v>5.8788</v>
      </c>
      <c r="Q90" s="10">
        <f>CHOOSE(CONTROL!$C$42, 6.7011, 6.7011) * CHOOSE(CONTROL!$C$21, $C$9, 100%, $E$9)</f>
        <v>6.7011000000000003</v>
      </c>
      <c r="R90" s="10">
        <f>CHOOSE(CONTROL!$C$42, 7.3049, 7.3049) * CHOOSE(CONTROL!$C$21, $C$9, 100%, $E$9)</f>
        <v>7.3048999999999999</v>
      </c>
      <c r="S90" s="10">
        <f>CHOOSE(CONTROL!$C$42, 5.7717, 5.7717) * CHOOSE(CONTROL!$C$21, $C$9, 100%, $E$9)</f>
        <v>5.7717000000000001</v>
      </c>
      <c r="T90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0" s="58">
        <f>(1000*CHOOSE(CONTROL!$C$42, 695, 695)*CHOOSE(CONTROL!$C$42, 0.5599, 0.5599)*CHOOSE(CONTROL!$C$42, 30, 30))/1000000</f>
        <v>11.673914999999997</v>
      </c>
      <c r="V90" s="58">
        <f>(1000*CHOOSE(CONTROL!$C$42, 500, 500)*CHOOSE(CONTROL!$C$42, 0.275, 0.275)*CHOOSE(CONTROL!$C$42, 30, 30))/1000000</f>
        <v>4.125</v>
      </c>
      <c r="W90" s="58">
        <f>(1000*CHOOSE(CONTROL!$C$42, 0.1146, 0.1146)*CHOOSE(CONTROL!$C$42, 121.5, 121.5)*CHOOSE(CONTROL!$C$42, 30, 30))/1000000</f>
        <v>0.417717</v>
      </c>
      <c r="X90" s="58">
        <f>(30*0.1790888*245000/1000000)+(30*0.2374*100000/1000000)</f>
        <v>2.0285026799999999</v>
      </c>
      <c r="Y90" s="58"/>
      <c r="Z90" s="10"/>
      <c r="AA90" s="57"/>
      <c r="AB90" s="51">
        <f>(B90*194.205+C90*267.466+D90*133.845+E90*53.484+F90*40+G90*185+H90*0+I90*100+J90*300)/(194.205+267.466+133.845+53.484+0+40+185+100+300)</f>
        <v>5.9718456890109888</v>
      </c>
      <c r="AC90" s="27">
        <f>(M90*'RAP TEMPLATE-GAS AVAILABILITY'!O89+N90*'RAP TEMPLATE-GAS AVAILABILITY'!P89+O90*'RAP TEMPLATE-GAS AVAILABILITY'!Q89+P90*'RAP TEMPLATE-GAS AVAILABILITY'!R89)/('RAP TEMPLATE-GAS AVAILABILITY'!O89+'RAP TEMPLATE-GAS AVAILABILITY'!P89+'RAP TEMPLATE-GAS AVAILABILITY'!Q89+'RAP TEMPLATE-GAS AVAILABILITY'!R89)</f>
        <v>5.9480964028776988</v>
      </c>
    </row>
    <row r="91" spans="1:29" ht="15.75" x14ac:dyDescent="0.25">
      <c r="A91" s="16">
        <v>44013</v>
      </c>
      <c r="B91" s="10">
        <f>CHOOSE(CONTROL!$C$42, 5.8339, 5.8339) * CHOOSE(CONTROL!$C$21, $C$9, 100%, $E$9)</f>
        <v>5.8338999999999999</v>
      </c>
      <c r="C91" s="10">
        <f>CHOOSE(CONTROL!$C$42, 5.8418, 5.8418) * CHOOSE(CONTROL!$C$21, $C$9, 100%, $E$9)</f>
        <v>5.8418000000000001</v>
      </c>
      <c r="D91" s="10">
        <f>CHOOSE(CONTROL!$C$42, 6.0203, 6.0203) * CHOOSE(CONTROL!$C$21, $C$9, 100%, $E$9)</f>
        <v>6.0202999999999998</v>
      </c>
      <c r="E91" s="10">
        <f>CHOOSE(CONTROL!$C$42, 6.0515, 6.0515) * CHOOSE(CONTROL!$C$21, $C$9, 100%, $E$9)</f>
        <v>6.0514999999999999</v>
      </c>
      <c r="F91" s="10">
        <f>CHOOSE(CONTROL!$C$42, 5.8206, 5.8206)*CHOOSE(CONTROL!$C$21, $C$9, 100%, $E$9)</f>
        <v>5.8205999999999998</v>
      </c>
      <c r="G91" s="10">
        <f>CHOOSE(CONTROL!$C$42, 5.8389, 5.8389)*CHOOSE(CONTROL!$C$21, $C$9, 100%, $E$9)</f>
        <v>5.8388999999999998</v>
      </c>
      <c r="H91" s="10">
        <f>CHOOSE(CONTROL!$C$42, 6.0401, 6.0401) * CHOOSE(CONTROL!$C$21, $C$9, 100%, $E$9)</f>
        <v>6.0400999999999998</v>
      </c>
      <c r="I91" s="10">
        <f>CHOOSE(CONTROL!$C$42, 5.8107, 5.8107)* CHOOSE(CONTROL!$C$21, $C$9, 100%, $E$9)</f>
        <v>5.8106999999999998</v>
      </c>
      <c r="J91" s="10">
        <f>CHOOSE(CONTROL!$C$42, 5.8136, 5.8136)* CHOOSE(CONTROL!$C$21, $C$9, 100%, $E$9)</f>
        <v>5.8136000000000001</v>
      </c>
      <c r="K91" s="54">
        <f>CHOOSE(CONTROL!$C$42, 5.8068, 5.8068) * CHOOSE(CONTROL!$C$21, $C$9, 100%, $E$9)</f>
        <v>5.8068</v>
      </c>
      <c r="L91" s="10">
        <f>CHOOSE(CONTROL!$C$42, 6.6271, 6.6271) * CHOOSE(CONTROL!$C$21, $C$9, 100%, $E$9)</f>
        <v>6.6271000000000004</v>
      </c>
      <c r="M91" s="10">
        <f>CHOOSE(CONTROL!$C$42, 5.7687, 5.7687) * CHOOSE(CONTROL!$C$21, $C$9, 100%, $E$9)</f>
        <v>5.7686999999999999</v>
      </c>
      <c r="N91" s="10">
        <f>CHOOSE(CONTROL!$C$42, 5.7869, 5.7869) * CHOOSE(CONTROL!$C$21, $C$9, 100%, $E$9)</f>
        <v>5.7869000000000002</v>
      </c>
      <c r="O91" s="10">
        <f>CHOOSE(CONTROL!$C$42, 5.993, 5.993) * CHOOSE(CONTROL!$C$21, $C$9, 100%, $E$9)</f>
        <v>5.9930000000000003</v>
      </c>
      <c r="P91" s="10">
        <f>CHOOSE(CONTROL!$C$42, 5.766, 5.766) * CHOOSE(CONTROL!$C$21, $C$9, 100%, $E$9)</f>
        <v>5.766</v>
      </c>
      <c r="Q91" s="10">
        <f>CHOOSE(CONTROL!$C$42, 6.5883, 6.5883) * CHOOSE(CONTROL!$C$21, $C$9, 100%, $E$9)</f>
        <v>6.5883000000000003</v>
      </c>
      <c r="R91" s="10">
        <f>CHOOSE(CONTROL!$C$42, 7.1917, 7.1917) * CHOOSE(CONTROL!$C$21, $C$9, 100%, $E$9)</f>
        <v>7.1917</v>
      </c>
      <c r="S91" s="10">
        <f>CHOOSE(CONTROL!$C$42, 5.661, 5.661) * CHOOSE(CONTROL!$C$21, $C$9, 100%, $E$9)</f>
        <v>5.6609999999999996</v>
      </c>
      <c r="T91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1" s="58">
        <f>(1000*CHOOSE(CONTROL!$C$42, 695, 695)*CHOOSE(CONTROL!$C$42, 0.5599, 0.5599)*CHOOSE(CONTROL!$C$42, 31, 31))/1000000</f>
        <v>12.063045499999998</v>
      </c>
      <c r="V91" s="58">
        <f>(1000*CHOOSE(CONTROL!$C$42, 500, 500)*CHOOSE(CONTROL!$C$42, 0.275, 0.275)*CHOOSE(CONTROL!$C$42, 31, 31))/1000000</f>
        <v>4.2625000000000002</v>
      </c>
      <c r="W91" s="58">
        <f>(1000*CHOOSE(CONTROL!$C$42, 0.1146, 0.1146)*CHOOSE(CONTROL!$C$42, 121.5, 121.5)*CHOOSE(CONTROL!$C$42, 31, 31))/1000000</f>
        <v>0.43164089999999994</v>
      </c>
      <c r="X91" s="58">
        <f>(31*0.1790888*245000/1000000)+(31*0.2374*100000/1000000)</f>
        <v>2.0961194359999999</v>
      </c>
      <c r="Y91" s="58"/>
      <c r="Z91" s="10"/>
      <c r="AA91" s="57"/>
      <c r="AB91" s="51">
        <f>(B91*194.205+C91*267.466+D91*133.845+E91*53.484+F91*40+G91*185+H91*0+I91*100+J91*300)/(194.205+267.466+133.845+53.484+0+40+185+100+300)</f>
        <v>5.8579838365777084</v>
      </c>
      <c r="AC91" s="27">
        <f>(M91*'RAP TEMPLATE-GAS AVAILABILITY'!O90+N91*'RAP TEMPLATE-GAS AVAILABILITY'!P90+O91*'RAP TEMPLATE-GAS AVAILABILITY'!Q90+P91*'RAP TEMPLATE-GAS AVAILABILITY'!R90)/('RAP TEMPLATE-GAS AVAILABILITY'!O90+'RAP TEMPLATE-GAS AVAILABILITY'!P90+'RAP TEMPLATE-GAS AVAILABILITY'!Q90+'RAP TEMPLATE-GAS AVAILABILITY'!R90)</f>
        <v>5.8354345323741006</v>
      </c>
    </row>
    <row r="92" spans="1:29" ht="15.75" x14ac:dyDescent="0.25">
      <c r="A92" s="16">
        <v>44044</v>
      </c>
      <c r="B92" s="10">
        <f>CHOOSE(CONTROL!$C$42, 5.546, 5.546) * CHOOSE(CONTROL!$C$21, $C$9, 100%, $E$9)</f>
        <v>5.5460000000000003</v>
      </c>
      <c r="C92" s="10">
        <f>CHOOSE(CONTROL!$C$42, 5.5539, 5.5539) * CHOOSE(CONTROL!$C$21, $C$9, 100%, $E$9)</f>
        <v>5.5538999999999996</v>
      </c>
      <c r="D92" s="10">
        <f>CHOOSE(CONTROL!$C$42, 5.7324, 5.7324) * CHOOSE(CONTROL!$C$21, $C$9, 100%, $E$9)</f>
        <v>5.7324000000000002</v>
      </c>
      <c r="E92" s="10">
        <f>CHOOSE(CONTROL!$C$42, 5.7636, 5.7636) * CHOOSE(CONTROL!$C$21, $C$9, 100%, $E$9)</f>
        <v>5.7636000000000003</v>
      </c>
      <c r="F92" s="10">
        <f>CHOOSE(CONTROL!$C$42, 5.5326, 5.5326)*CHOOSE(CONTROL!$C$21, $C$9, 100%, $E$9)</f>
        <v>5.5326000000000004</v>
      </c>
      <c r="G92" s="10">
        <f>CHOOSE(CONTROL!$C$42, 5.5509, 5.5509)*CHOOSE(CONTROL!$C$21, $C$9, 100%, $E$9)</f>
        <v>5.5509000000000004</v>
      </c>
      <c r="H92" s="10">
        <f>CHOOSE(CONTROL!$C$42, 5.7522, 5.7522) * CHOOSE(CONTROL!$C$21, $C$9, 100%, $E$9)</f>
        <v>5.7522000000000002</v>
      </c>
      <c r="I92" s="10">
        <f>CHOOSE(CONTROL!$C$42, 5.5228, 5.5228)* CHOOSE(CONTROL!$C$21, $C$9, 100%, $E$9)</f>
        <v>5.5228000000000002</v>
      </c>
      <c r="J92" s="10">
        <f>CHOOSE(CONTROL!$C$42, 5.5256, 5.5256)* CHOOSE(CONTROL!$C$21, $C$9, 100%, $E$9)</f>
        <v>5.5255999999999998</v>
      </c>
      <c r="K92" s="54">
        <f>CHOOSE(CONTROL!$C$42, 5.519, 5.519) * CHOOSE(CONTROL!$C$21, $C$9, 100%, $E$9)</f>
        <v>5.5190000000000001</v>
      </c>
      <c r="L92" s="10">
        <f>CHOOSE(CONTROL!$C$42, 6.3392, 6.3392) * CHOOSE(CONTROL!$C$21, $C$9, 100%, $E$9)</f>
        <v>6.3391999999999999</v>
      </c>
      <c r="M92" s="10">
        <f>CHOOSE(CONTROL!$C$42, 5.4837, 5.4837) * CHOOSE(CONTROL!$C$21, $C$9, 100%, $E$9)</f>
        <v>5.4836999999999998</v>
      </c>
      <c r="N92" s="10">
        <f>CHOOSE(CONTROL!$C$42, 5.5018, 5.5018) * CHOOSE(CONTROL!$C$21, $C$9, 100%, $E$9)</f>
        <v>5.5018000000000002</v>
      </c>
      <c r="O92" s="10">
        <f>CHOOSE(CONTROL!$C$42, 5.708, 5.708) * CHOOSE(CONTROL!$C$21, $C$9, 100%, $E$9)</f>
        <v>5.7080000000000002</v>
      </c>
      <c r="P92" s="10">
        <f>CHOOSE(CONTROL!$C$42, 5.481, 5.481) * CHOOSE(CONTROL!$C$21, $C$9, 100%, $E$9)</f>
        <v>5.4809999999999999</v>
      </c>
      <c r="Q92" s="10">
        <f>CHOOSE(CONTROL!$C$42, 6.3033, 6.3033) * CHOOSE(CONTROL!$C$21, $C$9, 100%, $E$9)</f>
        <v>6.3033000000000001</v>
      </c>
      <c r="R92" s="10">
        <f>CHOOSE(CONTROL!$C$42, 6.906, 6.906) * CHOOSE(CONTROL!$C$21, $C$9, 100%, $E$9)</f>
        <v>6.9059999999999997</v>
      </c>
      <c r="S92" s="10">
        <f>CHOOSE(CONTROL!$C$42, 5.3814, 5.3814) * CHOOSE(CONTROL!$C$21, $C$9, 100%, $E$9)</f>
        <v>5.3814000000000002</v>
      </c>
      <c r="T92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2" s="58">
        <f>(1000*CHOOSE(CONTROL!$C$42, 695, 695)*CHOOSE(CONTROL!$C$42, 0.5599, 0.5599)*CHOOSE(CONTROL!$C$42, 31, 31))/1000000</f>
        <v>12.063045499999998</v>
      </c>
      <c r="V92" s="58">
        <f>(1000*CHOOSE(CONTROL!$C$42, 500, 500)*CHOOSE(CONTROL!$C$42, 0.275, 0.275)*CHOOSE(CONTROL!$C$42, 31, 31))/1000000</f>
        <v>4.2625000000000002</v>
      </c>
      <c r="W92" s="58">
        <f>(1000*CHOOSE(CONTROL!$C$42, 0.1146, 0.1146)*CHOOSE(CONTROL!$C$42, 121.5, 121.5)*CHOOSE(CONTROL!$C$42, 31, 31))/1000000</f>
        <v>0.43164089999999994</v>
      </c>
      <c r="X92" s="58">
        <f>(31*0.1790888*245000/1000000)+(31*0.2374*100000/1000000)</f>
        <v>2.0961194359999999</v>
      </c>
      <c r="Y92" s="58"/>
      <c r="Z92" s="10"/>
      <c r="AA92" s="57"/>
      <c r="AB92" s="51">
        <f>(B92*194.205+C92*267.466+D92*133.845+E92*53.484+F92*40+G92*185+H92*0+I92*100+J92*300)/(194.205+267.466+133.845+53.484+0+40+185+100+300)</f>
        <v>5.5700426277864992</v>
      </c>
      <c r="AC92" s="27">
        <f>(M92*'RAP TEMPLATE-GAS AVAILABILITY'!O91+N92*'RAP TEMPLATE-GAS AVAILABILITY'!P91+O92*'RAP TEMPLATE-GAS AVAILABILITY'!Q91+P92*'RAP TEMPLATE-GAS AVAILABILITY'!R91)/('RAP TEMPLATE-GAS AVAILABILITY'!O91+'RAP TEMPLATE-GAS AVAILABILITY'!P91+'RAP TEMPLATE-GAS AVAILABILITY'!Q91+'RAP TEMPLATE-GAS AVAILABILITY'!R91)</f>
        <v>5.550411510791367</v>
      </c>
    </row>
    <row r="93" spans="1:29" ht="15.75" x14ac:dyDescent="0.25">
      <c r="A93" s="16">
        <v>44075</v>
      </c>
      <c r="B93" s="10">
        <f>CHOOSE(CONTROL!$C$42, 5.1942, 5.1942) * CHOOSE(CONTROL!$C$21, $C$9, 100%, $E$9)</f>
        <v>5.1942000000000004</v>
      </c>
      <c r="C93" s="10">
        <f>CHOOSE(CONTROL!$C$42, 5.2021, 5.2021) * CHOOSE(CONTROL!$C$21, $C$9, 100%, $E$9)</f>
        <v>5.2020999999999997</v>
      </c>
      <c r="D93" s="10">
        <f>CHOOSE(CONTROL!$C$42, 5.3807, 5.3807) * CHOOSE(CONTROL!$C$21, $C$9, 100%, $E$9)</f>
        <v>5.3807</v>
      </c>
      <c r="E93" s="10">
        <f>CHOOSE(CONTROL!$C$42, 5.4118, 5.4118) * CHOOSE(CONTROL!$C$21, $C$9, 100%, $E$9)</f>
        <v>5.4118000000000004</v>
      </c>
      <c r="F93" s="10">
        <f>CHOOSE(CONTROL!$C$42, 5.1806, 5.1806)*CHOOSE(CONTROL!$C$21, $C$9, 100%, $E$9)</f>
        <v>5.1806000000000001</v>
      </c>
      <c r="G93" s="10">
        <f>CHOOSE(CONTROL!$C$42, 5.1988, 5.1988)*CHOOSE(CONTROL!$C$21, $C$9, 100%, $E$9)</f>
        <v>5.1988000000000003</v>
      </c>
      <c r="H93" s="10">
        <f>CHOOSE(CONTROL!$C$42, 5.4004, 5.4004) * CHOOSE(CONTROL!$C$21, $C$9, 100%, $E$9)</f>
        <v>5.4004000000000003</v>
      </c>
      <c r="I93" s="10">
        <f>CHOOSE(CONTROL!$C$42, 5.1711, 5.1711)* CHOOSE(CONTROL!$C$21, $C$9, 100%, $E$9)</f>
        <v>5.1711</v>
      </c>
      <c r="J93" s="10">
        <f>CHOOSE(CONTROL!$C$42, 5.1736, 5.1736)* CHOOSE(CONTROL!$C$21, $C$9, 100%, $E$9)</f>
        <v>5.1736000000000004</v>
      </c>
      <c r="K93" s="54">
        <f>CHOOSE(CONTROL!$C$42, 5.1672, 5.1672) * CHOOSE(CONTROL!$C$21, $C$9, 100%, $E$9)</f>
        <v>5.1672000000000002</v>
      </c>
      <c r="L93" s="10">
        <f>CHOOSE(CONTROL!$C$42, 5.9874, 5.9874) * CHOOSE(CONTROL!$C$21, $C$9, 100%, $E$9)</f>
        <v>5.9874000000000001</v>
      </c>
      <c r="M93" s="10">
        <f>CHOOSE(CONTROL!$C$42, 5.1352, 5.1352) * CHOOSE(CONTROL!$C$21, $C$9, 100%, $E$9)</f>
        <v>5.1352000000000002</v>
      </c>
      <c r="N93" s="10">
        <f>CHOOSE(CONTROL!$C$42, 5.1532, 5.1532) * CHOOSE(CONTROL!$C$21, $C$9, 100%, $E$9)</f>
        <v>5.1532</v>
      </c>
      <c r="O93" s="10">
        <f>CHOOSE(CONTROL!$C$42, 5.3598, 5.3598) * CHOOSE(CONTROL!$C$21, $C$9, 100%, $E$9)</f>
        <v>5.3597999999999999</v>
      </c>
      <c r="P93" s="10">
        <f>CHOOSE(CONTROL!$C$42, 5.1328, 5.1328) * CHOOSE(CONTROL!$C$21, $C$9, 100%, $E$9)</f>
        <v>5.1327999999999996</v>
      </c>
      <c r="Q93" s="10">
        <f>CHOOSE(CONTROL!$C$42, 5.9551, 5.9551) * CHOOSE(CONTROL!$C$21, $C$9, 100%, $E$9)</f>
        <v>5.9550999999999998</v>
      </c>
      <c r="R93" s="10">
        <f>CHOOSE(CONTROL!$C$42, 6.557, 6.557) * CHOOSE(CONTROL!$C$21, $C$9, 100%, $E$9)</f>
        <v>6.5570000000000004</v>
      </c>
      <c r="S93" s="10">
        <f>CHOOSE(CONTROL!$C$42, 5.0399, 5.0399) * CHOOSE(CONTROL!$C$21, $C$9, 100%, $E$9)</f>
        <v>5.0399000000000003</v>
      </c>
      <c r="T93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3" s="58">
        <f>(1000*CHOOSE(CONTROL!$C$42, 695, 695)*CHOOSE(CONTROL!$C$42, 0.5599, 0.5599)*CHOOSE(CONTROL!$C$42, 30, 30))/1000000</f>
        <v>11.673914999999997</v>
      </c>
      <c r="V93" s="58">
        <f>(1000*CHOOSE(CONTROL!$C$42, 500, 500)*CHOOSE(CONTROL!$C$42, 0.275, 0.275)*CHOOSE(CONTROL!$C$42, 30, 30))/1000000</f>
        <v>4.125</v>
      </c>
      <c r="W93" s="58">
        <f>(1000*CHOOSE(CONTROL!$C$42, 0.1146, 0.1146)*CHOOSE(CONTROL!$C$42, 121.5, 121.5)*CHOOSE(CONTROL!$C$42, 30, 30))/1000000</f>
        <v>0.417717</v>
      </c>
      <c r="X93" s="58">
        <f>(30*0.1790888*245000/1000000)+(30*0.2374*100000/1000000)</f>
        <v>2.0285026799999999</v>
      </c>
      <c r="Y93" s="58"/>
      <c r="Z93" s="10"/>
      <c r="AA93" s="57"/>
      <c r="AB93" s="51">
        <f>(B93*194.205+C93*267.466+D93*133.845+E93*53.484+F93*40+G93*185+H93*0+I93*100+J93*300)/(194.205+267.466+133.845+53.484+0+40+185+100+300)</f>
        <v>5.2181640441915222</v>
      </c>
      <c r="AC93" s="27">
        <f>(M93*'RAP TEMPLATE-GAS AVAILABILITY'!O92+N93*'RAP TEMPLATE-GAS AVAILABILITY'!P92+O93*'RAP TEMPLATE-GAS AVAILABILITY'!Q92+P93*'RAP TEMPLATE-GAS AVAILABILITY'!R92)/('RAP TEMPLATE-GAS AVAILABILITY'!O92+'RAP TEMPLATE-GAS AVAILABILITY'!P92+'RAP TEMPLATE-GAS AVAILABILITY'!Q92+'RAP TEMPLATE-GAS AVAILABILITY'!R92)</f>
        <v>5.202015827338129</v>
      </c>
    </row>
    <row r="94" spans="1:29" ht="15.75" x14ac:dyDescent="0.25">
      <c r="A94" s="16">
        <v>44105</v>
      </c>
      <c r="B94" s="10">
        <f>CHOOSE(CONTROL!$C$42, 5.0867, 5.0867) * CHOOSE(CONTROL!$C$21, $C$9, 100%, $E$9)</f>
        <v>5.0867000000000004</v>
      </c>
      <c r="C94" s="10">
        <f>CHOOSE(CONTROL!$C$42, 5.0919, 5.0919) * CHOOSE(CONTROL!$C$21, $C$9, 100%, $E$9)</f>
        <v>5.0918999999999999</v>
      </c>
      <c r="D94" s="10">
        <f>CHOOSE(CONTROL!$C$42, 5.2754, 5.2754) * CHOOSE(CONTROL!$C$21, $C$9, 100%, $E$9)</f>
        <v>5.2754000000000003</v>
      </c>
      <c r="E94" s="10">
        <f>CHOOSE(CONTROL!$C$42, 5.3042, 5.3042) * CHOOSE(CONTROL!$C$21, $C$9, 100%, $E$9)</f>
        <v>5.3041999999999998</v>
      </c>
      <c r="F94" s="10">
        <f>CHOOSE(CONTROL!$C$42, 5.075, 5.075)*CHOOSE(CONTROL!$C$21, $C$9, 100%, $E$9)</f>
        <v>5.0750000000000002</v>
      </c>
      <c r="G94" s="10">
        <f>CHOOSE(CONTROL!$C$42, 5.0929, 5.0929)*CHOOSE(CONTROL!$C$21, $C$9, 100%, $E$9)</f>
        <v>5.0929000000000002</v>
      </c>
      <c r="H94" s="10">
        <f>CHOOSE(CONTROL!$C$42, 5.2947, 5.2947) * CHOOSE(CONTROL!$C$21, $C$9, 100%, $E$9)</f>
        <v>5.2946999999999997</v>
      </c>
      <c r="I94" s="10">
        <f>CHOOSE(CONTROL!$C$42, 5.0654, 5.0654)* CHOOSE(CONTROL!$C$21, $C$9, 100%, $E$9)</f>
        <v>5.0654000000000003</v>
      </c>
      <c r="J94" s="10">
        <f>CHOOSE(CONTROL!$C$42, 5.068, 5.068)* CHOOSE(CONTROL!$C$21, $C$9, 100%, $E$9)</f>
        <v>5.0679999999999996</v>
      </c>
      <c r="K94" s="54">
        <f>CHOOSE(CONTROL!$C$42, 5.0615, 5.0615) * CHOOSE(CONTROL!$C$21, $C$9, 100%, $E$9)</f>
        <v>5.0614999999999997</v>
      </c>
      <c r="L94" s="10">
        <f>CHOOSE(CONTROL!$C$42, 5.8817, 5.8817) * CHOOSE(CONTROL!$C$21, $C$9, 100%, $E$9)</f>
        <v>5.8817000000000004</v>
      </c>
      <c r="M94" s="10">
        <f>CHOOSE(CONTROL!$C$42, 5.0307, 5.0307) * CHOOSE(CONTROL!$C$21, $C$9, 100%, $E$9)</f>
        <v>5.0307000000000004</v>
      </c>
      <c r="N94" s="10">
        <f>CHOOSE(CONTROL!$C$42, 5.0484, 5.0484) * CHOOSE(CONTROL!$C$21, $C$9, 100%, $E$9)</f>
        <v>5.0484</v>
      </c>
      <c r="O94" s="10">
        <f>CHOOSE(CONTROL!$C$42, 5.2551, 5.2551) * CHOOSE(CONTROL!$C$21, $C$9, 100%, $E$9)</f>
        <v>5.2550999999999997</v>
      </c>
      <c r="P94" s="10">
        <f>CHOOSE(CONTROL!$C$42, 5.0281, 5.0281) * CHOOSE(CONTROL!$C$21, $C$9, 100%, $E$9)</f>
        <v>5.0281000000000002</v>
      </c>
      <c r="Q94" s="10">
        <f>CHOOSE(CONTROL!$C$42, 5.8504, 5.8504) * CHOOSE(CONTROL!$C$21, $C$9, 100%, $E$9)</f>
        <v>5.8503999999999996</v>
      </c>
      <c r="R94" s="10">
        <f>CHOOSE(CONTROL!$C$42, 6.452, 6.452) * CHOOSE(CONTROL!$C$21, $C$9, 100%, $E$9)</f>
        <v>6.452</v>
      </c>
      <c r="S94" s="10">
        <f>CHOOSE(CONTROL!$C$42, 4.9372, 4.9372) * CHOOSE(CONTROL!$C$21, $C$9, 100%, $E$9)</f>
        <v>4.9371999999999998</v>
      </c>
      <c r="T94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4" s="58">
        <f>(1000*CHOOSE(CONTROL!$C$42, 695, 695)*CHOOSE(CONTROL!$C$42, 0.5599, 0.5599)*CHOOSE(CONTROL!$C$42, 31, 31))/1000000</f>
        <v>12.063045499999998</v>
      </c>
      <c r="V94" s="58">
        <f>(1000*CHOOSE(CONTROL!$C$42, 500, 500)*CHOOSE(CONTROL!$C$42, 0.275, 0.275)*CHOOSE(CONTROL!$C$42, 31, 31))/1000000</f>
        <v>4.2625000000000002</v>
      </c>
      <c r="W94" s="58">
        <f>(1000*CHOOSE(CONTROL!$C$42, 0.1146, 0.1146)*CHOOSE(CONTROL!$C$42, 121.5, 121.5)*CHOOSE(CONTROL!$C$42, 31, 31))/1000000</f>
        <v>0.43164089999999994</v>
      </c>
      <c r="X94" s="58">
        <f>(31*0.1790888*245000/1000000)+(31*0.2374*100000/1000000)</f>
        <v>2.0961194359999999</v>
      </c>
      <c r="Y94" s="58"/>
      <c r="Z94" s="10"/>
      <c r="AA94" s="57"/>
      <c r="AB94" s="51">
        <f>(B94*131.881+C94*277.167+D94*79.08+E94*125.872+F94*40+G94*185+H94*0+I94*100+J94*300)/(131.881+277.167+79.08+125.872+0+40+185+100+300)</f>
        <v>5.116304378046812</v>
      </c>
      <c r="AC94" s="27">
        <f>(M94*'RAP TEMPLATE-GAS AVAILABILITY'!O93+N94*'RAP TEMPLATE-GAS AVAILABILITY'!P93+O94*'RAP TEMPLATE-GAS AVAILABILITY'!Q93+P94*'RAP TEMPLATE-GAS AVAILABILITY'!R93)/('RAP TEMPLATE-GAS AVAILABILITY'!O93+'RAP TEMPLATE-GAS AVAILABILITY'!P93+'RAP TEMPLATE-GAS AVAILABILITY'!Q93+'RAP TEMPLATE-GAS AVAILABILITY'!R93)</f>
        <v>5.0973618705035966</v>
      </c>
    </row>
    <row r="95" spans="1:29" ht="15.75" x14ac:dyDescent="0.25">
      <c r="A95" s="16">
        <v>44136</v>
      </c>
      <c r="B95" s="10">
        <f>CHOOSE(CONTROL!$C$42, 5.2202, 5.2202) * CHOOSE(CONTROL!$C$21, $C$9, 100%, $E$9)</f>
        <v>5.2202000000000002</v>
      </c>
      <c r="C95" s="10">
        <f>CHOOSE(CONTROL!$C$42, 5.2252, 5.2252) * CHOOSE(CONTROL!$C$21, $C$9, 100%, $E$9)</f>
        <v>5.2252000000000001</v>
      </c>
      <c r="D95" s="10">
        <f>CHOOSE(CONTROL!$C$42, 5.2548, 5.2548) * CHOOSE(CONTROL!$C$21, $C$9, 100%, $E$9)</f>
        <v>5.2548000000000004</v>
      </c>
      <c r="E95" s="10">
        <f>CHOOSE(CONTROL!$C$42, 5.2886, 5.2886) * CHOOSE(CONTROL!$C$21, $C$9, 100%, $E$9)</f>
        <v>5.2885999999999997</v>
      </c>
      <c r="F95" s="10">
        <f>CHOOSE(CONTROL!$C$42, 5.206, 5.206)*CHOOSE(CONTROL!$C$21, $C$9, 100%, $E$9)</f>
        <v>5.2060000000000004</v>
      </c>
      <c r="G95" s="10">
        <f>CHOOSE(CONTROL!$C$42, 5.224, 5.224)*CHOOSE(CONTROL!$C$21, $C$9, 100%, $E$9)</f>
        <v>5.2240000000000002</v>
      </c>
      <c r="H95" s="10">
        <f>CHOOSE(CONTROL!$C$42, 5.2778, 5.2778) * CHOOSE(CONTROL!$C$21, $C$9, 100%, $E$9)</f>
        <v>5.2778</v>
      </c>
      <c r="I95" s="10">
        <f>CHOOSE(CONTROL!$C$42, 5.1864, 5.1864)* CHOOSE(CONTROL!$C$21, $C$9, 100%, $E$9)</f>
        <v>5.1863999999999999</v>
      </c>
      <c r="J95" s="10">
        <f>CHOOSE(CONTROL!$C$42, 5.199, 5.199)* CHOOSE(CONTROL!$C$21, $C$9, 100%, $E$9)</f>
        <v>5.1989999999999998</v>
      </c>
      <c r="K95" s="54">
        <f>CHOOSE(CONTROL!$C$42, 5.1825, 5.1825) * CHOOSE(CONTROL!$C$21, $C$9, 100%, $E$9)</f>
        <v>5.1825000000000001</v>
      </c>
      <c r="L95" s="10">
        <f>CHOOSE(CONTROL!$C$42, 5.8648, 5.8648) * CHOOSE(CONTROL!$C$21, $C$9, 100%, $E$9)</f>
        <v>5.8647999999999998</v>
      </c>
      <c r="M95" s="10">
        <f>CHOOSE(CONTROL!$C$42, 5.1603, 5.1603) * CHOOSE(CONTROL!$C$21, $C$9, 100%, $E$9)</f>
        <v>5.1603000000000003</v>
      </c>
      <c r="N95" s="10">
        <f>CHOOSE(CONTROL!$C$42, 5.1782, 5.1782) * CHOOSE(CONTROL!$C$21, $C$9, 100%, $E$9)</f>
        <v>5.1782000000000004</v>
      </c>
      <c r="O95" s="10">
        <f>CHOOSE(CONTROL!$C$42, 5.2383, 5.2383) * CHOOSE(CONTROL!$C$21, $C$9, 100%, $E$9)</f>
        <v>5.2382999999999997</v>
      </c>
      <c r="P95" s="10">
        <f>CHOOSE(CONTROL!$C$42, 5.1479, 5.1479) * CHOOSE(CONTROL!$C$21, $C$9, 100%, $E$9)</f>
        <v>5.1478999999999999</v>
      </c>
      <c r="Q95" s="10">
        <f>CHOOSE(CONTROL!$C$42, 5.8336, 5.8336) * CHOOSE(CONTROL!$C$21, $C$9, 100%, $E$9)</f>
        <v>5.8335999999999997</v>
      </c>
      <c r="R95" s="10">
        <f>CHOOSE(CONTROL!$C$42, 6.4352, 6.4352) * CHOOSE(CONTROL!$C$21, $C$9, 100%, $E$9)</f>
        <v>6.4352</v>
      </c>
      <c r="S95" s="10">
        <f>CHOOSE(CONTROL!$C$42, 5.0672, 5.0672) * CHOOSE(CONTROL!$C$21, $C$9, 100%, $E$9)</f>
        <v>5.0671999999999997</v>
      </c>
      <c r="T95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5" s="58">
        <f>(1000*CHOOSE(CONTROL!$C$42, 695, 695)*CHOOSE(CONTROL!$C$42, 0.5599, 0.5599)*CHOOSE(CONTROL!$C$42, 30, 30))/1000000</f>
        <v>11.673914999999997</v>
      </c>
      <c r="V95" s="58">
        <f>(1000*CHOOSE(CONTROL!$C$42, 500, 500)*CHOOSE(CONTROL!$C$42, 0.275, 0.275)*CHOOSE(CONTROL!$C$42, 30, 30))/1000000</f>
        <v>4.125</v>
      </c>
      <c r="W95" s="58">
        <f>(1000*CHOOSE(CONTROL!$C$42, 0.1146, 0.1146)*CHOOSE(CONTROL!$C$42, 121.5, 121.5)*CHOOSE(CONTROL!$C$42, 30, 30))/1000000</f>
        <v>0.417717</v>
      </c>
      <c r="X95" s="58">
        <f>(30*0.1790888*100000/1000000)+(30*0.2374*100000/1000000)</f>
        <v>1.2494664</v>
      </c>
      <c r="Y95" s="58"/>
      <c r="Z95" s="10"/>
      <c r="AA95" s="57"/>
      <c r="AB95" s="51">
        <f>(B95*122.58+C95*297.941+D95*89.177+E95*40.302+F95*40+G95*160+H95*0+I95*100+J95*300)/(122.58+297.941+89.177+40.302+0+40+160+100+300)</f>
        <v>5.2181407704347835</v>
      </c>
      <c r="AC95" s="27">
        <f>(M95*'RAP TEMPLATE-GAS AVAILABILITY'!O94+N95*'RAP TEMPLATE-GAS AVAILABILITY'!P94+O95*'RAP TEMPLATE-GAS AVAILABILITY'!Q94+P95*'RAP TEMPLATE-GAS AVAILABILITY'!R94)/('RAP TEMPLATE-GAS AVAILABILITY'!O94+'RAP TEMPLATE-GAS AVAILABILITY'!P94+'RAP TEMPLATE-GAS AVAILABILITY'!Q94+'RAP TEMPLATE-GAS AVAILABILITY'!R94)</f>
        <v>5.1948985611510787</v>
      </c>
    </row>
    <row r="96" spans="1:29" ht="15.75" x14ac:dyDescent="0.25">
      <c r="A96" s="16">
        <v>44166</v>
      </c>
      <c r="B96" s="10">
        <f>CHOOSE(CONTROL!$C$42, 5.5759, 5.5759) * CHOOSE(CONTROL!$C$21, $C$9, 100%, $E$9)</f>
        <v>5.5758999999999999</v>
      </c>
      <c r="C96" s="10">
        <f>CHOOSE(CONTROL!$C$42, 5.5809, 5.5809) * CHOOSE(CONTROL!$C$21, $C$9, 100%, $E$9)</f>
        <v>5.5808999999999997</v>
      </c>
      <c r="D96" s="10">
        <f>CHOOSE(CONTROL!$C$42, 5.6105, 5.6105) * CHOOSE(CONTROL!$C$21, $C$9, 100%, $E$9)</f>
        <v>5.6105</v>
      </c>
      <c r="E96" s="10">
        <f>CHOOSE(CONTROL!$C$42, 5.6443, 5.6443) * CHOOSE(CONTROL!$C$21, $C$9, 100%, $E$9)</f>
        <v>5.6443000000000003</v>
      </c>
      <c r="F96" s="10">
        <f>CHOOSE(CONTROL!$C$42, 5.5632, 5.5632)*CHOOSE(CONTROL!$C$21, $C$9, 100%, $E$9)</f>
        <v>5.5632000000000001</v>
      </c>
      <c r="G96" s="10">
        <f>CHOOSE(CONTROL!$C$42, 5.5817, 5.5817)*CHOOSE(CONTROL!$C$21, $C$9, 100%, $E$9)</f>
        <v>5.5816999999999997</v>
      </c>
      <c r="H96" s="10">
        <f>CHOOSE(CONTROL!$C$42, 5.6335, 5.6335) * CHOOSE(CONTROL!$C$21, $C$9, 100%, $E$9)</f>
        <v>5.6334999999999997</v>
      </c>
      <c r="I96" s="10">
        <f>CHOOSE(CONTROL!$C$42, 5.5421, 5.5421)* CHOOSE(CONTROL!$C$21, $C$9, 100%, $E$9)</f>
        <v>5.5420999999999996</v>
      </c>
      <c r="J96" s="10">
        <f>CHOOSE(CONTROL!$C$42, 5.5562, 5.5562)* CHOOSE(CONTROL!$C$21, $C$9, 100%, $E$9)</f>
        <v>5.5561999999999996</v>
      </c>
      <c r="K96" s="54">
        <f>CHOOSE(CONTROL!$C$42, 5.5382, 5.5382) * CHOOSE(CONTROL!$C$21, $C$9, 100%, $E$9)</f>
        <v>5.5381999999999998</v>
      </c>
      <c r="L96" s="10">
        <f>CHOOSE(CONTROL!$C$42, 6.2205, 6.2205) * CHOOSE(CONTROL!$C$21, $C$9, 100%, $E$9)</f>
        <v>6.2205000000000004</v>
      </c>
      <c r="M96" s="10">
        <f>CHOOSE(CONTROL!$C$42, 5.514, 5.514) * CHOOSE(CONTROL!$C$21, $C$9, 100%, $E$9)</f>
        <v>5.5140000000000002</v>
      </c>
      <c r="N96" s="10">
        <f>CHOOSE(CONTROL!$C$42, 5.5323, 5.5323) * CHOOSE(CONTROL!$C$21, $C$9, 100%, $E$9)</f>
        <v>5.5323000000000002</v>
      </c>
      <c r="O96" s="10">
        <f>CHOOSE(CONTROL!$C$42, 5.5904, 5.5904) * CHOOSE(CONTROL!$C$21, $C$9, 100%, $E$9)</f>
        <v>5.5903999999999998</v>
      </c>
      <c r="P96" s="10">
        <f>CHOOSE(CONTROL!$C$42, 5.5, 5.5) * CHOOSE(CONTROL!$C$21, $C$9, 100%, $E$9)</f>
        <v>5.5</v>
      </c>
      <c r="Q96" s="10">
        <f>CHOOSE(CONTROL!$C$42, 6.1857, 6.1857) * CHOOSE(CONTROL!$C$21, $C$9, 100%, $E$9)</f>
        <v>6.1856999999999998</v>
      </c>
      <c r="R96" s="10">
        <f>CHOOSE(CONTROL!$C$42, 6.7882, 6.7882) * CHOOSE(CONTROL!$C$21, $C$9, 100%, $E$9)</f>
        <v>6.7881999999999998</v>
      </c>
      <c r="S96" s="10">
        <f>CHOOSE(CONTROL!$C$42, 5.4127, 5.4127) * CHOOSE(CONTROL!$C$21, $C$9, 100%, $E$9)</f>
        <v>5.4127000000000001</v>
      </c>
      <c r="T96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6" s="58">
        <f>(1000*CHOOSE(CONTROL!$C$42, 695, 695)*CHOOSE(CONTROL!$C$42, 0.5599, 0.5599)*CHOOSE(CONTROL!$C$42, 31, 31))/1000000</f>
        <v>12.063045499999998</v>
      </c>
      <c r="V96" s="58">
        <f>(1000*CHOOSE(CONTROL!$C$42, 500, 500)*CHOOSE(CONTROL!$C$42, 0.275, 0.275)*CHOOSE(CONTROL!$C$42, 31, 31))/1000000</f>
        <v>4.2625000000000002</v>
      </c>
      <c r="W96" s="58">
        <f>(1000*CHOOSE(CONTROL!$C$42, 0.1146, 0.1146)*CHOOSE(CONTROL!$C$42, 121.5, 121.5)*CHOOSE(CONTROL!$C$42, 31, 31))/1000000</f>
        <v>0.43164089999999994</v>
      </c>
      <c r="X96" s="58">
        <f>(31*0.1790888*100000/1000000)+(31*0.2374*100000/1000000)</f>
        <v>1.2911152800000001</v>
      </c>
      <c r="Y96" s="58"/>
      <c r="Z96" s="10"/>
      <c r="AA96" s="57"/>
      <c r="AB96" s="51">
        <f>(B96*122.58+C96*297.941+D96*89.177+E96*40.302+F96*40+G96*160+H96*0+I96*100+J96*300)/(122.58+297.941+89.177+40.302+0+40+160+100+300)</f>
        <v>5.5745625095652169</v>
      </c>
      <c r="AC96" s="27">
        <f>(M96*'RAP TEMPLATE-GAS AVAILABILITY'!O95+N96*'RAP TEMPLATE-GAS AVAILABILITY'!P95+O96*'RAP TEMPLATE-GAS AVAILABILITY'!Q95+P96*'RAP TEMPLATE-GAS AVAILABILITY'!R95)/('RAP TEMPLATE-GAS AVAILABILITY'!O95+'RAP TEMPLATE-GAS AVAILABILITY'!P95+'RAP TEMPLATE-GAS AVAILABILITY'!Q95+'RAP TEMPLATE-GAS AVAILABILITY'!R95)</f>
        <v>5.5476661870503596</v>
      </c>
    </row>
    <row r="97" spans="1:29" ht="15.75" x14ac:dyDescent="0.25">
      <c r="A97" s="16">
        <v>44197</v>
      </c>
      <c r="B97" s="10">
        <f>CHOOSE(CONTROL!$C$42, 6.0257, 6.0257) * CHOOSE(CONTROL!$C$21, $C$9, 100%, $E$9)</f>
        <v>6.0256999999999996</v>
      </c>
      <c r="C97" s="10">
        <f>CHOOSE(CONTROL!$C$42, 6.0306, 6.0306) * CHOOSE(CONTROL!$C$21, $C$9, 100%, $E$9)</f>
        <v>6.0305999999999997</v>
      </c>
      <c r="D97" s="10">
        <f>CHOOSE(CONTROL!$C$42, 6.0808, 6.0808) * CHOOSE(CONTROL!$C$21, $C$9, 100%, $E$9)</f>
        <v>6.0808</v>
      </c>
      <c r="E97" s="10">
        <f>CHOOSE(CONTROL!$C$42, 6.1146, 6.1146) * CHOOSE(CONTROL!$C$21, $C$9, 100%, $E$9)</f>
        <v>6.1146000000000003</v>
      </c>
      <c r="F97" s="10">
        <f>CHOOSE(CONTROL!$C$42, 5.991, 5.991)*CHOOSE(CONTROL!$C$21, $C$9, 100%, $E$9)</f>
        <v>5.9909999999999997</v>
      </c>
      <c r="G97" s="10">
        <f>CHOOSE(CONTROL!$C$42, 6.0086, 6.0086)*CHOOSE(CONTROL!$C$21, $C$9, 100%, $E$9)</f>
        <v>6.0086000000000004</v>
      </c>
      <c r="H97" s="10">
        <f>CHOOSE(CONTROL!$C$42, 6.1038, 6.1038) * CHOOSE(CONTROL!$C$21, $C$9, 100%, $E$9)</f>
        <v>6.1037999999999997</v>
      </c>
      <c r="I97" s="10">
        <f>CHOOSE(CONTROL!$C$42, 5.9996, 5.9996)* CHOOSE(CONTROL!$C$21, $C$9, 100%, $E$9)</f>
        <v>5.9996</v>
      </c>
      <c r="J97" s="10">
        <f>CHOOSE(CONTROL!$C$42, 5.984, 5.984)* CHOOSE(CONTROL!$C$21, $C$9, 100%, $E$9)</f>
        <v>5.984</v>
      </c>
      <c r="K97" s="54">
        <f>CHOOSE(CONTROL!$C$42, 5.9957, 5.9957) * CHOOSE(CONTROL!$C$21, $C$9, 100%, $E$9)</f>
        <v>5.9957000000000003</v>
      </c>
      <c r="L97" s="10">
        <f>CHOOSE(CONTROL!$C$42, 6.6908, 6.6908) * CHOOSE(CONTROL!$C$21, $C$9, 100%, $E$9)</f>
        <v>6.6908000000000003</v>
      </c>
      <c r="M97" s="10">
        <f>CHOOSE(CONTROL!$C$42, 5.9375, 5.9375) * CHOOSE(CONTROL!$C$21, $C$9, 100%, $E$9)</f>
        <v>5.9375</v>
      </c>
      <c r="N97" s="10">
        <f>CHOOSE(CONTROL!$C$42, 5.9549, 5.9549) * CHOOSE(CONTROL!$C$21, $C$9, 100%, $E$9)</f>
        <v>5.9549000000000003</v>
      </c>
      <c r="O97" s="10">
        <f>CHOOSE(CONTROL!$C$42, 6.056, 6.056) * CHOOSE(CONTROL!$C$21, $C$9, 100%, $E$9)</f>
        <v>6.056</v>
      </c>
      <c r="P97" s="10">
        <f>CHOOSE(CONTROL!$C$42, 5.9529, 5.9529) * CHOOSE(CONTROL!$C$21, $C$9, 100%, $E$9)</f>
        <v>5.9528999999999996</v>
      </c>
      <c r="Q97" s="10">
        <f>CHOOSE(CONTROL!$C$42, 6.6513, 6.6513) * CHOOSE(CONTROL!$C$21, $C$9, 100%, $E$9)</f>
        <v>6.6513</v>
      </c>
      <c r="R97" s="10">
        <f>CHOOSE(CONTROL!$C$42, 7.255, 7.255) * CHOOSE(CONTROL!$C$21, $C$9, 100%, $E$9)</f>
        <v>7.2549999999999999</v>
      </c>
      <c r="S97" s="10">
        <f>CHOOSE(CONTROL!$C$42, 5.8494, 5.8494) * CHOOSE(CONTROL!$C$21, $C$9, 100%, $E$9)</f>
        <v>5.8494000000000002</v>
      </c>
      <c r="T97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7" s="58">
        <f>(1000*CHOOSE(CONTROL!$C$42, 695, 695)*CHOOSE(CONTROL!$C$42, 0.5599, 0.5599)*CHOOSE(CONTROL!$C$42, 31, 31))/1000000</f>
        <v>12.063045499999998</v>
      </c>
      <c r="V97" s="58">
        <f>(1000*CHOOSE(CONTROL!$C$42, 500, 500)*CHOOSE(CONTROL!$C$42, 0.275, 0.275)*CHOOSE(CONTROL!$C$42, 31, 31))/1000000</f>
        <v>4.2625000000000002</v>
      </c>
      <c r="W97" s="58">
        <f>(1000*CHOOSE(CONTROL!$C$42, 0.1146, 0.1146)*CHOOSE(CONTROL!$C$42, 121.5, 121.5)*CHOOSE(CONTROL!$C$42, 31, 31))/1000000</f>
        <v>0.43164089999999994</v>
      </c>
      <c r="X97" s="58">
        <f>(31*0.1790888*100000/1000000)+(31*0.2374*100000/1000000)</f>
        <v>1.2911152800000001</v>
      </c>
      <c r="Y97" s="58"/>
      <c r="Z97" s="10"/>
      <c r="AA97" s="57"/>
      <c r="AB97" s="51">
        <f>(B97*122.58+C97*297.941+D97*89.177+E97*40.302+F97*40+G97*160+H97*0+I97*100+J97*300)/(122.58+297.941+89.177+40.302+0+40+160+100+300)</f>
        <v>6.0176238360000003</v>
      </c>
      <c r="AC97" s="27">
        <f>(M97*'RAP TEMPLATE-GAS AVAILABILITY'!O96+N97*'RAP TEMPLATE-GAS AVAILABILITY'!P96+O97*'RAP TEMPLATE-GAS AVAILABILITY'!Q96+P97*'RAP TEMPLATE-GAS AVAILABILITY'!R96)/('RAP TEMPLATE-GAS AVAILABILITY'!O96+'RAP TEMPLATE-GAS AVAILABILITY'!P96+'RAP TEMPLATE-GAS AVAILABILITY'!Q96+'RAP TEMPLATE-GAS AVAILABILITY'!R96)</f>
        <v>5.9944258992805759</v>
      </c>
    </row>
    <row r="98" spans="1:29" ht="15.75" x14ac:dyDescent="0.25">
      <c r="A98" s="16">
        <v>44228</v>
      </c>
      <c r="B98" s="10">
        <f>CHOOSE(CONTROL!$C$42, 6.1329, 6.1329) * CHOOSE(CONTROL!$C$21, $C$9, 100%, $E$9)</f>
        <v>6.1329000000000002</v>
      </c>
      <c r="C98" s="10">
        <f>CHOOSE(CONTROL!$C$42, 6.1378, 6.1378) * CHOOSE(CONTROL!$C$21, $C$9, 100%, $E$9)</f>
        <v>6.1378000000000004</v>
      </c>
      <c r="D98" s="10">
        <f>CHOOSE(CONTROL!$C$42, 6.255, 6.255) * CHOOSE(CONTROL!$C$21, $C$9, 100%, $E$9)</f>
        <v>6.2549999999999999</v>
      </c>
      <c r="E98" s="10">
        <f>CHOOSE(CONTROL!$C$42, 6.2888, 6.2888) * CHOOSE(CONTROL!$C$21, $C$9, 100%, $E$9)</f>
        <v>6.2888000000000002</v>
      </c>
      <c r="F98" s="10">
        <f>CHOOSE(CONTROL!$C$42, 6.2105, 6.2105)*CHOOSE(CONTROL!$C$21, $C$9, 100%, $E$9)</f>
        <v>6.2104999999999997</v>
      </c>
      <c r="G98" s="10">
        <f>CHOOSE(CONTROL!$C$42, 6.2324, 6.2324)*CHOOSE(CONTROL!$C$21, $C$9, 100%, $E$9)</f>
        <v>6.2324000000000002</v>
      </c>
      <c r="H98" s="10">
        <f>CHOOSE(CONTROL!$C$42, 6.278, 6.278) * CHOOSE(CONTROL!$C$21, $C$9, 100%, $E$9)</f>
        <v>6.2779999999999996</v>
      </c>
      <c r="I98" s="10">
        <f>CHOOSE(CONTROL!$C$42, 6.1686, 6.1686)* CHOOSE(CONTROL!$C$21, $C$9, 100%, $E$9)</f>
        <v>6.1685999999999996</v>
      </c>
      <c r="J98" s="10">
        <f>CHOOSE(CONTROL!$C$42, 6.2035, 6.2035)* CHOOSE(CONTROL!$C$21, $C$9, 100%, $E$9)</f>
        <v>6.2035</v>
      </c>
      <c r="K98" s="54">
        <f>CHOOSE(CONTROL!$C$42, 6.1647, 6.1647) * CHOOSE(CONTROL!$C$21, $C$9, 100%, $E$9)</f>
        <v>6.1646999999999998</v>
      </c>
      <c r="L98" s="10">
        <f>CHOOSE(CONTROL!$C$42, 6.865, 6.865) * CHOOSE(CONTROL!$C$21, $C$9, 100%, $E$9)</f>
        <v>6.8650000000000002</v>
      </c>
      <c r="M98" s="10">
        <f>CHOOSE(CONTROL!$C$42, 6.1547, 6.1547) * CHOOSE(CONTROL!$C$21, $C$9, 100%, $E$9)</f>
        <v>6.1547000000000001</v>
      </c>
      <c r="N98" s="10">
        <f>CHOOSE(CONTROL!$C$42, 6.1764, 6.1764) * CHOOSE(CONTROL!$C$21, $C$9, 100%, $E$9)</f>
        <v>6.1764000000000001</v>
      </c>
      <c r="O98" s="10">
        <f>CHOOSE(CONTROL!$C$42, 6.2284, 6.2284) * CHOOSE(CONTROL!$C$21, $C$9, 100%, $E$9)</f>
        <v>6.2283999999999997</v>
      </c>
      <c r="P98" s="10">
        <f>CHOOSE(CONTROL!$C$42, 6.1202, 6.1202) * CHOOSE(CONTROL!$C$21, $C$9, 100%, $E$9)</f>
        <v>6.1201999999999996</v>
      </c>
      <c r="Q98" s="10">
        <f>CHOOSE(CONTROL!$C$42, 6.8237, 6.8237) * CHOOSE(CONTROL!$C$21, $C$9, 100%, $E$9)</f>
        <v>6.8236999999999997</v>
      </c>
      <c r="R98" s="10">
        <f>CHOOSE(CONTROL!$C$42, 7.4278, 7.4278) * CHOOSE(CONTROL!$C$21, $C$9, 100%, $E$9)</f>
        <v>7.4278000000000004</v>
      </c>
      <c r="S98" s="10">
        <f>CHOOSE(CONTROL!$C$42, 5.9535, 5.9535) * CHOOSE(CONTROL!$C$21, $C$9, 100%, $E$9)</f>
        <v>5.9535</v>
      </c>
      <c r="T98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98" s="58">
        <f>(1000*CHOOSE(CONTROL!$C$42, 695, 695)*CHOOSE(CONTROL!$C$42, 0.5599, 0.5599)*CHOOSE(CONTROL!$C$42, 28, 28))/1000000</f>
        <v>10.895653999999999</v>
      </c>
      <c r="V98" s="58">
        <f>(1000*CHOOSE(CONTROL!$C$42, 500, 500)*CHOOSE(CONTROL!$C$42, 0.275, 0.275)*CHOOSE(CONTROL!$C$42, 28, 28))/1000000</f>
        <v>3.85</v>
      </c>
      <c r="W98" s="58">
        <f>(1000*CHOOSE(CONTROL!$C$42, 0.1146, 0.1146)*CHOOSE(CONTROL!$C$42, 121.5, 121.5)*CHOOSE(CONTROL!$C$42, 28, 28))/1000000</f>
        <v>0.38986920000000003</v>
      </c>
      <c r="X98" s="58">
        <f>(28*0.1790888*100000/1000000)+(28*0.2374*100000/1000000)</f>
        <v>1.16616864</v>
      </c>
      <c r="Y98" s="58"/>
      <c r="Z98" s="10"/>
      <c r="AA98" s="57"/>
      <c r="AB98" s="51">
        <f>(B98*122.58+C98*297.941+D98*89.177+E98*40.302+F98*40+G98*160+H98*0+I98*100+J98*300)/(122.58+297.941+89.177+40.302+0+40+160+100+300)</f>
        <v>6.1871656559999995</v>
      </c>
      <c r="AC98" s="27">
        <f>(M98*'RAP TEMPLATE-GAS AVAILABILITY'!O97+N98*'RAP TEMPLATE-GAS AVAILABILITY'!P97+O98*'RAP TEMPLATE-GAS AVAILABILITY'!Q97+P98*'RAP TEMPLATE-GAS AVAILABILITY'!R97)/('RAP TEMPLATE-GAS AVAILABILITY'!O97+'RAP TEMPLATE-GAS AVAILABILITY'!P97+'RAP TEMPLATE-GAS AVAILABILITY'!Q97+'RAP TEMPLATE-GAS AVAILABILITY'!R97)</f>
        <v>6.1843884892086329</v>
      </c>
    </row>
    <row r="99" spans="1:29" ht="15.75" x14ac:dyDescent="0.25">
      <c r="A99" s="16">
        <v>44256</v>
      </c>
      <c r="B99" s="10">
        <f>CHOOSE(CONTROL!$C$42, 5.9589, 5.9589) * CHOOSE(CONTROL!$C$21, $C$9, 100%, $E$9)</f>
        <v>5.9588999999999999</v>
      </c>
      <c r="C99" s="10">
        <f>CHOOSE(CONTROL!$C$42, 5.9638, 5.9638) * CHOOSE(CONTROL!$C$21, $C$9, 100%, $E$9)</f>
        <v>5.9638</v>
      </c>
      <c r="D99" s="10">
        <f>CHOOSE(CONTROL!$C$42, 6.0552, 6.0552) * CHOOSE(CONTROL!$C$21, $C$9, 100%, $E$9)</f>
        <v>6.0552000000000001</v>
      </c>
      <c r="E99" s="10">
        <f>CHOOSE(CONTROL!$C$42, 6.089, 6.089) * CHOOSE(CONTROL!$C$21, $C$9, 100%, $E$9)</f>
        <v>6.0890000000000004</v>
      </c>
      <c r="F99" s="10">
        <f>CHOOSE(CONTROL!$C$42, 5.9887, 5.9887)*CHOOSE(CONTROL!$C$21, $C$9, 100%, $E$9)</f>
        <v>5.9886999999999997</v>
      </c>
      <c r="G99" s="10">
        <f>CHOOSE(CONTROL!$C$42, 6.0082, 6.0082)*CHOOSE(CONTROL!$C$21, $C$9, 100%, $E$9)</f>
        <v>6.0082000000000004</v>
      </c>
      <c r="H99" s="10">
        <f>CHOOSE(CONTROL!$C$42, 6.0782, 6.0782) * CHOOSE(CONTROL!$C$21, $C$9, 100%, $E$9)</f>
        <v>6.0781999999999998</v>
      </c>
      <c r="I99" s="10">
        <f>CHOOSE(CONTROL!$C$42, 5.9817, 5.9817)* CHOOSE(CONTROL!$C$21, $C$9, 100%, $E$9)</f>
        <v>5.9817</v>
      </c>
      <c r="J99" s="10">
        <f>CHOOSE(CONTROL!$C$42, 5.9817, 5.9817)* CHOOSE(CONTROL!$C$21, $C$9, 100%, $E$9)</f>
        <v>5.9817</v>
      </c>
      <c r="K99" s="54">
        <f>CHOOSE(CONTROL!$C$42, 5.9778, 5.9778) * CHOOSE(CONTROL!$C$21, $C$9, 100%, $E$9)</f>
        <v>5.9778000000000002</v>
      </c>
      <c r="L99" s="10">
        <f>CHOOSE(CONTROL!$C$42, 6.6652, 6.6652) * CHOOSE(CONTROL!$C$21, $C$9, 100%, $E$9)</f>
        <v>6.6651999999999996</v>
      </c>
      <c r="M99" s="10">
        <f>CHOOSE(CONTROL!$C$42, 5.9352, 5.9352) * CHOOSE(CONTROL!$C$21, $C$9, 100%, $E$9)</f>
        <v>5.9352</v>
      </c>
      <c r="N99" s="10">
        <f>CHOOSE(CONTROL!$C$42, 5.9545, 5.9545) * CHOOSE(CONTROL!$C$21, $C$9, 100%, $E$9)</f>
        <v>5.9545000000000003</v>
      </c>
      <c r="O99" s="10">
        <f>CHOOSE(CONTROL!$C$42, 6.0307, 6.0307) * CHOOSE(CONTROL!$C$21, $C$9, 100%, $E$9)</f>
        <v>6.0307000000000004</v>
      </c>
      <c r="P99" s="10">
        <f>CHOOSE(CONTROL!$C$42, 5.9352, 5.9352) * CHOOSE(CONTROL!$C$21, $C$9, 100%, $E$9)</f>
        <v>5.9352</v>
      </c>
      <c r="Q99" s="10">
        <f>CHOOSE(CONTROL!$C$42, 6.626, 6.626) * CHOOSE(CONTROL!$C$21, $C$9, 100%, $E$9)</f>
        <v>6.6260000000000003</v>
      </c>
      <c r="R99" s="10">
        <f>CHOOSE(CONTROL!$C$42, 7.2295, 7.2295) * CHOOSE(CONTROL!$C$21, $C$9, 100%, $E$9)</f>
        <v>7.2294999999999998</v>
      </c>
      <c r="S99" s="10">
        <f>CHOOSE(CONTROL!$C$42, 5.7845, 5.7845) * CHOOSE(CONTROL!$C$21, $C$9, 100%, $E$9)</f>
        <v>5.7845000000000004</v>
      </c>
      <c r="T99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9" s="58">
        <f>(1000*CHOOSE(CONTROL!$C$42, 695, 695)*CHOOSE(CONTROL!$C$42, 0.5599, 0.5599)*CHOOSE(CONTROL!$C$42, 31, 31))/1000000</f>
        <v>12.063045499999998</v>
      </c>
      <c r="V99" s="58">
        <f>(1000*CHOOSE(CONTROL!$C$42, 500, 500)*CHOOSE(CONTROL!$C$42, 0.275, 0.275)*CHOOSE(CONTROL!$C$42, 31, 31))/1000000</f>
        <v>4.2625000000000002</v>
      </c>
      <c r="W99" s="58">
        <f>(1000*CHOOSE(CONTROL!$C$42, 0.1146, 0.1146)*CHOOSE(CONTROL!$C$42, 121.5, 121.5)*CHOOSE(CONTROL!$C$42, 31, 31))/1000000</f>
        <v>0.43164089999999994</v>
      </c>
      <c r="X99" s="58">
        <f>(31*0.1790888*100000/1000000)+(31*0.2374*100000/1000000)</f>
        <v>1.2911152800000001</v>
      </c>
      <c r="Y99" s="58"/>
      <c r="Z99" s="10"/>
      <c r="AA99" s="57"/>
      <c r="AB99" s="51">
        <f>(B99*122.58+C99*297.941+D99*89.177+E99*40.302+F99*40+G99*160+H99*0+I99*100+J99*300)/(122.58+297.941+89.177+40.302+0+40+160+100+300)</f>
        <v>5.9880225619130441</v>
      </c>
      <c r="AC99" s="27">
        <f>(M99*'RAP TEMPLATE-GAS AVAILABILITY'!O98+N99*'RAP TEMPLATE-GAS AVAILABILITY'!P98+O99*'RAP TEMPLATE-GAS AVAILABILITY'!Q98+P99*'RAP TEMPLATE-GAS AVAILABILITY'!R98)/('RAP TEMPLATE-GAS AVAILABILITY'!O98+'RAP TEMPLATE-GAS AVAILABILITY'!P98+'RAP TEMPLATE-GAS AVAILABILITY'!Q98+'RAP TEMPLATE-GAS AVAILABILITY'!R98)</f>
        <v>5.9795949640287773</v>
      </c>
    </row>
    <row r="100" spans="1:29" ht="15.75" x14ac:dyDescent="0.25">
      <c r="A100" s="16">
        <v>44287</v>
      </c>
      <c r="B100" s="10">
        <f>CHOOSE(CONTROL!$C$42, 5.9418, 5.9418) * CHOOSE(CONTROL!$C$21, $C$9, 100%, $E$9)</f>
        <v>5.9417999999999997</v>
      </c>
      <c r="C100" s="10">
        <f>CHOOSE(CONTROL!$C$42, 5.9462, 5.9462) * CHOOSE(CONTROL!$C$21, $C$9, 100%, $E$9)</f>
        <v>5.9462000000000002</v>
      </c>
      <c r="D100" s="10">
        <f>CHOOSE(CONTROL!$C$42, 6.1279, 6.1279) * CHOOSE(CONTROL!$C$21, $C$9, 100%, $E$9)</f>
        <v>6.1279000000000003</v>
      </c>
      <c r="E100" s="10">
        <f>CHOOSE(CONTROL!$C$42, 6.1596, 6.1596) * CHOOSE(CONTROL!$C$21, $C$9, 100%, $E$9)</f>
        <v>6.1596000000000002</v>
      </c>
      <c r="F100" s="10">
        <f>CHOOSE(CONTROL!$C$42, 5.9301, 5.9301)*CHOOSE(CONTROL!$C$21, $C$9, 100%, $E$9)</f>
        <v>5.9301000000000004</v>
      </c>
      <c r="G100" s="10">
        <f>CHOOSE(CONTROL!$C$42, 5.9481, 5.9481)*CHOOSE(CONTROL!$C$21, $C$9, 100%, $E$9)</f>
        <v>5.9481000000000002</v>
      </c>
      <c r="H100" s="10">
        <f>CHOOSE(CONTROL!$C$42, 6.1494, 6.1494) * CHOOSE(CONTROL!$C$21, $C$9, 100%, $E$9)</f>
        <v>6.1494</v>
      </c>
      <c r="I100" s="10">
        <f>CHOOSE(CONTROL!$C$42, 5.9201, 5.9201)* CHOOSE(CONTROL!$C$21, $C$9, 100%, $E$9)</f>
        <v>5.9200999999999997</v>
      </c>
      <c r="J100" s="10">
        <f>CHOOSE(CONTROL!$C$42, 5.9231, 5.9231)* CHOOSE(CONTROL!$C$21, $C$9, 100%, $E$9)</f>
        <v>5.9230999999999998</v>
      </c>
      <c r="K100" s="54">
        <f>CHOOSE(CONTROL!$C$42, 5.9162, 5.9162) * CHOOSE(CONTROL!$C$21, $C$9, 100%, $E$9)</f>
        <v>5.9161999999999999</v>
      </c>
      <c r="L100" s="10">
        <f>CHOOSE(CONTROL!$C$42, 6.7364, 6.7364) * CHOOSE(CONTROL!$C$21, $C$9, 100%, $E$9)</f>
        <v>6.7363999999999997</v>
      </c>
      <c r="M100" s="10">
        <f>CHOOSE(CONTROL!$C$42, 5.8772, 5.8772) * CHOOSE(CONTROL!$C$21, $C$9, 100%, $E$9)</f>
        <v>5.8772000000000002</v>
      </c>
      <c r="N100" s="10">
        <f>CHOOSE(CONTROL!$C$42, 5.895, 5.895) * CHOOSE(CONTROL!$C$21, $C$9, 100%, $E$9)</f>
        <v>5.8949999999999996</v>
      </c>
      <c r="O100" s="10">
        <f>CHOOSE(CONTROL!$C$42, 6.1012, 6.1012) * CHOOSE(CONTROL!$C$21, $C$9, 100%, $E$9)</f>
        <v>6.1012000000000004</v>
      </c>
      <c r="P100" s="10">
        <f>CHOOSE(CONTROL!$C$42, 5.8742, 5.8742) * CHOOSE(CONTROL!$C$21, $C$9, 100%, $E$9)</f>
        <v>5.8742000000000001</v>
      </c>
      <c r="Q100" s="10">
        <f>CHOOSE(CONTROL!$C$42, 6.6965, 6.6965) * CHOOSE(CONTROL!$C$21, $C$9, 100%, $E$9)</f>
        <v>6.6965000000000003</v>
      </c>
      <c r="R100" s="10">
        <f>CHOOSE(CONTROL!$C$42, 7.3002, 7.3002) * CHOOSE(CONTROL!$C$21, $C$9, 100%, $E$9)</f>
        <v>7.3002000000000002</v>
      </c>
      <c r="S100" s="10">
        <f>CHOOSE(CONTROL!$C$42, 5.7672, 5.7672) * CHOOSE(CONTROL!$C$21, $C$9, 100%, $E$9)</f>
        <v>5.7671999999999999</v>
      </c>
      <c r="T100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00" s="58">
        <f>(1000*CHOOSE(CONTROL!$C$42, 695, 695)*CHOOSE(CONTROL!$C$42, 0.5599, 0.5599)*CHOOSE(CONTROL!$C$42, 30, 30))/1000000</f>
        <v>11.673914999999997</v>
      </c>
      <c r="V100" s="58">
        <f>(1000*CHOOSE(CONTROL!$C$42, 500, 500)*CHOOSE(CONTROL!$C$42, 0.275, 0.275)*CHOOSE(CONTROL!$C$42, 30, 30))/1000000</f>
        <v>4.125</v>
      </c>
      <c r="W100" s="58">
        <f>(1000*CHOOSE(CONTROL!$C$42, 0.1146, 0.1146)*CHOOSE(CONTROL!$C$42, 121.5, 121.5)*CHOOSE(CONTROL!$C$42, 30, 30))/1000000</f>
        <v>0.417717</v>
      </c>
      <c r="X100" s="58">
        <f>(30*0.1790888*245000/1000000)+(30*0.2374*100000/1000000)</f>
        <v>2.0285026799999999</v>
      </c>
      <c r="Y100" s="58"/>
      <c r="Z100" s="10"/>
      <c r="AA100" s="57"/>
      <c r="AB100" s="51">
        <f>(B100*141.293+C100*267.993+D100*115.016+E100*89.698+F100*40+G100*185+H100*0+I100*100+J100*300)/(141.293+267.993+115.016+89.698+0+40+185+100+300)</f>
        <v>5.9700787499596446</v>
      </c>
      <c r="AC100" s="27">
        <f>(M100*'RAP TEMPLATE-GAS AVAILABILITY'!O99+N100*'RAP TEMPLATE-GAS AVAILABILITY'!P99+O100*'RAP TEMPLATE-GAS AVAILABILITY'!Q99+P100*'RAP TEMPLATE-GAS AVAILABILITY'!R99)/('RAP TEMPLATE-GAS AVAILABILITY'!O99+'RAP TEMPLATE-GAS AVAILABILITY'!P99+'RAP TEMPLATE-GAS AVAILABILITY'!Q99+'RAP TEMPLATE-GAS AVAILABILITY'!R99)</f>
        <v>5.9437151079136701</v>
      </c>
    </row>
    <row r="101" spans="1:29" ht="15.75" x14ac:dyDescent="0.25">
      <c r="A101" s="16">
        <v>44317</v>
      </c>
      <c r="B101" s="10">
        <f>CHOOSE(CONTROL!$C$42, 5.996, 5.996) * CHOOSE(CONTROL!$C$21, $C$9, 100%, $E$9)</f>
        <v>5.9960000000000004</v>
      </c>
      <c r="C101" s="10">
        <f>CHOOSE(CONTROL!$C$42, 6.0039, 6.0039) * CHOOSE(CONTROL!$C$21, $C$9, 100%, $E$9)</f>
        <v>6.0038999999999998</v>
      </c>
      <c r="D101" s="10">
        <f>CHOOSE(CONTROL!$C$42, 6.1825, 6.1825) * CHOOSE(CONTROL!$C$21, $C$9, 100%, $E$9)</f>
        <v>6.1825000000000001</v>
      </c>
      <c r="E101" s="10">
        <f>CHOOSE(CONTROL!$C$42, 6.2136, 6.2136) * CHOOSE(CONTROL!$C$21, $C$9, 100%, $E$9)</f>
        <v>6.2135999999999996</v>
      </c>
      <c r="F101" s="10">
        <f>CHOOSE(CONTROL!$C$42, 5.9822, 5.9822)*CHOOSE(CONTROL!$C$21, $C$9, 100%, $E$9)</f>
        <v>5.9821999999999997</v>
      </c>
      <c r="G101" s="10">
        <f>CHOOSE(CONTROL!$C$42, 6.0004, 6.0004)*CHOOSE(CONTROL!$C$21, $C$9, 100%, $E$9)</f>
        <v>6.0004</v>
      </c>
      <c r="H101" s="10">
        <f>CHOOSE(CONTROL!$C$42, 6.2022, 6.2022) * CHOOSE(CONTROL!$C$21, $C$9, 100%, $E$9)</f>
        <v>6.2022000000000004</v>
      </c>
      <c r="I101" s="10">
        <f>CHOOSE(CONTROL!$C$42, 5.9729, 5.9729)* CHOOSE(CONTROL!$C$21, $C$9, 100%, $E$9)</f>
        <v>5.9729000000000001</v>
      </c>
      <c r="J101" s="10">
        <f>CHOOSE(CONTROL!$C$42, 5.9752, 5.9752)* CHOOSE(CONTROL!$C$21, $C$9, 100%, $E$9)</f>
        <v>5.9752000000000001</v>
      </c>
      <c r="K101" s="54">
        <f>CHOOSE(CONTROL!$C$42, 5.969, 5.969) * CHOOSE(CONTROL!$C$21, $C$9, 100%, $E$9)</f>
        <v>5.9690000000000003</v>
      </c>
      <c r="L101" s="10">
        <f>CHOOSE(CONTROL!$C$42, 6.7892, 6.7892) * CHOOSE(CONTROL!$C$21, $C$9, 100%, $E$9)</f>
        <v>6.7892000000000001</v>
      </c>
      <c r="M101" s="10">
        <f>CHOOSE(CONTROL!$C$42, 5.9287, 5.9287) * CHOOSE(CONTROL!$C$21, $C$9, 100%, $E$9)</f>
        <v>5.9287000000000001</v>
      </c>
      <c r="N101" s="10">
        <f>CHOOSE(CONTROL!$C$42, 5.9467, 5.9467) * CHOOSE(CONTROL!$C$21, $C$9, 100%, $E$9)</f>
        <v>5.9466999999999999</v>
      </c>
      <c r="O101" s="10">
        <f>CHOOSE(CONTROL!$C$42, 6.1535, 6.1535) * CHOOSE(CONTROL!$C$21, $C$9, 100%, $E$9)</f>
        <v>6.1535000000000002</v>
      </c>
      <c r="P101" s="10">
        <f>CHOOSE(CONTROL!$C$42, 5.9265, 5.9265) * CHOOSE(CONTROL!$C$21, $C$9, 100%, $E$9)</f>
        <v>5.9264999999999999</v>
      </c>
      <c r="Q101" s="10">
        <f>CHOOSE(CONTROL!$C$42, 6.7488, 6.7488) * CHOOSE(CONTROL!$C$21, $C$9, 100%, $E$9)</f>
        <v>6.7488000000000001</v>
      </c>
      <c r="R101" s="10">
        <f>CHOOSE(CONTROL!$C$42, 7.3526, 7.3526) * CHOOSE(CONTROL!$C$21, $C$9, 100%, $E$9)</f>
        <v>7.3525999999999998</v>
      </c>
      <c r="S101" s="10">
        <f>CHOOSE(CONTROL!$C$42, 5.8185, 5.8185) * CHOOSE(CONTROL!$C$21, $C$9, 100%, $E$9)</f>
        <v>5.8185000000000002</v>
      </c>
      <c r="T101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01" s="58">
        <f>(1000*CHOOSE(CONTROL!$C$42, 695, 695)*CHOOSE(CONTROL!$C$42, 0.5599, 0.5599)*CHOOSE(CONTROL!$C$42, 31, 31))/1000000</f>
        <v>12.063045499999998</v>
      </c>
      <c r="V101" s="58">
        <f>(1000*CHOOSE(CONTROL!$C$42, 500, 500)*CHOOSE(CONTROL!$C$42, 0.275, 0.275)*CHOOSE(CONTROL!$C$42, 31, 31))/1000000</f>
        <v>4.2625000000000002</v>
      </c>
      <c r="W101" s="58">
        <f>(1000*CHOOSE(CONTROL!$C$42, 0.1146, 0.1146)*CHOOSE(CONTROL!$C$42, 121.5, 121.5)*CHOOSE(CONTROL!$C$42, 31, 31))/1000000</f>
        <v>0.43164089999999994</v>
      </c>
      <c r="X101" s="58">
        <f>(31*0.1790888*245000/1000000)+(31*0.2374*100000/1000000)</f>
        <v>2.0961194359999999</v>
      </c>
      <c r="Y101" s="58"/>
      <c r="Z101" s="10"/>
      <c r="AA101" s="57"/>
      <c r="AB101" s="51">
        <f>(B101*194.205+C101*267.466+D101*133.845+E101*53.484+F101*40+G101*185+H101*0+I101*100+J101*300)/(194.205+267.466+133.845+53.484+0+40+185+100+300)</f>
        <v>6.0198816266091066</v>
      </c>
      <c r="AC101" s="27">
        <f>(M101*'RAP TEMPLATE-GAS AVAILABILITY'!O100+N101*'RAP TEMPLATE-GAS AVAILABILITY'!P100+O101*'RAP TEMPLATE-GAS AVAILABILITY'!Q100+P101*'RAP TEMPLATE-GAS AVAILABILITY'!R100)/('RAP TEMPLATE-GAS AVAILABILITY'!O100+'RAP TEMPLATE-GAS AVAILABILITY'!P100+'RAP TEMPLATE-GAS AVAILABILITY'!Q100+'RAP TEMPLATE-GAS AVAILABILITY'!R100)</f>
        <v>5.9956007194244592</v>
      </c>
    </row>
    <row r="102" spans="1:29" ht="15.75" x14ac:dyDescent="0.25">
      <c r="A102" s="16">
        <v>44348</v>
      </c>
      <c r="B102" s="10">
        <f>CHOOSE(CONTROL!$C$42, 6.1659, 6.1659) * CHOOSE(CONTROL!$C$21, $C$9, 100%, $E$9)</f>
        <v>6.1658999999999997</v>
      </c>
      <c r="C102" s="10">
        <f>CHOOSE(CONTROL!$C$42, 6.1738, 6.1738) * CHOOSE(CONTROL!$C$21, $C$9, 100%, $E$9)</f>
        <v>6.1738</v>
      </c>
      <c r="D102" s="10">
        <f>CHOOSE(CONTROL!$C$42, 6.3524, 6.3524) * CHOOSE(CONTROL!$C$21, $C$9, 100%, $E$9)</f>
        <v>6.3524000000000003</v>
      </c>
      <c r="E102" s="10">
        <f>CHOOSE(CONTROL!$C$42, 6.3835, 6.3835) * CHOOSE(CONTROL!$C$21, $C$9, 100%, $E$9)</f>
        <v>6.3834999999999997</v>
      </c>
      <c r="F102" s="10">
        <f>CHOOSE(CONTROL!$C$42, 6.1524, 6.1524)*CHOOSE(CONTROL!$C$21, $C$9, 100%, $E$9)</f>
        <v>6.1524000000000001</v>
      </c>
      <c r="G102" s="10">
        <f>CHOOSE(CONTROL!$C$42, 6.1706, 6.1706)*CHOOSE(CONTROL!$C$21, $C$9, 100%, $E$9)</f>
        <v>6.1706000000000003</v>
      </c>
      <c r="H102" s="10">
        <f>CHOOSE(CONTROL!$C$42, 6.3722, 6.3722) * CHOOSE(CONTROL!$C$21, $C$9, 100%, $E$9)</f>
        <v>6.3722000000000003</v>
      </c>
      <c r="I102" s="10">
        <f>CHOOSE(CONTROL!$C$42, 6.1428, 6.1428)* CHOOSE(CONTROL!$C$21, $C$9, 100%, $E$9)</f>
        <v>6.1428000000000003</v>
      </c>
      <c r="J102" s="10">
        <f>CHOOSE(CONTROL!$C$42, 6.1454, 6.1454)* CHOOSE(CONTROL!$C$21, $C$9, 100%, $E$9)</f>
        <v>6.1454000000000004</v>
      </c>
      <c r="K102" s="54">
        <f>CHOOSE(CONTROL!$C$42, 6.1389, 6.1389) * CHOOSE(CONTROL!$C$21, $C$9, 100%, $E$9)</f>
        <v>6.1388999999999996</v>
      </c>
      <c r="L102" s="10">
        <f>CHOOSE(CONTROL!$C$42, 6.9592, 6.9592) * CHOOSE(CONTROL!$C$21, $C$9, 100%, $E$9)</f>
        <v>6.9592000000000001</v>
      </c>
      <c r="M102" s="10">
        <f>CHOOSE(CONTROL!$C$42, 6.0972, 6.0972) * CHOOSE(CONTROL!$C$21, $C$9, 100%, $E$9)</f>
        <v>6.0972</v>
      </c>
      <c r="N102" s="10">
        <f>CHOOSE(CONTROL!$C$42, 6.1152, 6.1152) * CHOOSE(CONTROL!$C$21, $C$9, 100%, $E$9)</f>
        <v>6.1151999999999997</v>
      </c>
      <c r="O102" s="10">
        <f>CHOOSE(CONTROL!$C$42, 6.3217, 6.3217) * CHOOSE(CONTROL!$C$21, $C$9, 100%, $E$9)</f>
        <v>6.3216999999999999</v>
      </c>
      <c r="P102" s="10">
        <f>CHOOSE(CONTROL!$C$42, 6.0947, 6.0947) * CHOOSE(CONTROL!$C$21, $C$9, 100%, $E$9)</f>
        <v>6.0946999999999996</v>
      </c>
      <c r="Q102" s="10">
        <f>CHOOSE(CONTROL!$C$42, 6.917, 6.917) * CHOOSE(CONTROL!$C$21, $C$9, 100%, $E$9)</f>
        <v>6.9169999999999998</v>
      </c>
      <c r="R102" s="10">
        <f>CHOOSE(CONTROL!$C$42, 7.5213, 7.5213) * CHOOSE(CONTROL!$C$21, $C$9, 100%, $E$9)</f>
        <v>7.5213000000000001</v>
      </c>
      <c r="S102" s="10">
        <f>CHOOSE(CONTROL!$C$42, 5.9835, 5.9835) * CHOOSE(CONTROL!$C$21, $C$9, 100%, $E$9)</f>
        <v>5.9835000000000003</v>
      </c>
      <c r="T102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02" s="58">
        <f>(1000*CHOOSE(CONTROL!$C$42, 695, 695)*CHOOSE(CONTROL!$C$42, 0.5599, 0.5599)*CHOOSE(CONTROL!$C$42, 30, 30))/1000000</f>
        <v>11.673914999999997</v>
      </c>
      <c r="V102" s="58">
        <f>(1000*CHOOSE(CONTROL!$C$42, 500, 500)*CHOOSE(CONTROL!$C$42, 0.275, 0.275)*CHOOSE(CONTROL!$C$42, 30, 30))/1000000</f>
        <v>4.125</v>
      </c>
      <c r="W102" s="58">
        <f>(1000*CHOOSE(CONTROL!$C$42, 0.1146, 0.1146)*CHOOSE(CONTROL!$C$42, 121.5, 121.5)*CHOOSE(CONTROL!$C$42, 30, 30))/1000000</f>
        <v>0.417717</v>
      </c>
      <c r="X102" s="58">
        <f>(30*0.1790888*245000/1000000)+(30*0.2374*100000/1000000)</f>
        <v>2.0285026799999999</v>
      </c>
      <c r="Y102" s="58"/>
      <c r="Z102" s="10"/>
      <c r="AA102" s="57"/>
      <c r="AB102" s="51">
        <f>(B102*194.205+C102*267.466+D102*133.845+E102*53.484+F102*40+G102*185+H102*0+I102*100+J102*300)/(194.205+267.466+133.845+53.484+0+40+185+100+300)</f>
        <v>6.1899052529827312</v>
      </c>
      <c r="AC102" s="27">
        <f>(M102*'RAP TEMPLATE-GAS AVAILABILITY'!O101+N102*'RAP TEMPLATE-GAS AVAILABILITY'!P101+O102*'RAP TEMPLATE-GAS AVAILABILITY'!Q101+P102*'RAP TEMPLATE-GAS AVAILABILITY'!R101)/('RAP TEMPLATE-GAS AVAILABILITY'!O101+'RAP TEMPLATE-GAS AVAILABILITY'!P101+'RAP TEMPLATE-GAS AVAILABILITY'!Q101+'RAP TEMPLATE-GAS AVAILABILITY'!R101)</f>
        <v>6.1639733812949649</v>
      </c>
    </row>
    <row r="103" spans="1:29" ht="15.75" x14ac:dyDescent="0.25">
      <c r="A103" s="16">
        <v>44378</v>
      </c>
      <c r="B103" s="10">
        <f>CHOOSE(CONTROL!$C$42, 6.0477, 6.0477) * CHOOSE(CONTROL!$C$21, $C$9, 100%, $E$9)</f>
        <v>6.0476999999999999</v>
      </c>
      <c r="C103" s="10">
        <f>CHOOSE(CONTROL!$C$42, 6.0557, 6.0557) * CHOOSE(CONTROL!$C$21, $C$9, 100%, $E$9)</f>
        <v>6.0556999999999999</v>
      </c>
      <c r="D103" s="10">
        <f>CHOOSE(CONTROL!$C$42, 6.2342, 6.2342) * CHOOSE(CONTROL!$C$21, $C$9, 100%, $E$9)</f>
        <v>6.2342000000000004</v>
      </c>
      <c r="E103" s="10">
        <f>CHOOSE(CONTROL!$C$42, 6.2653, 6.2653) * CHOOSE(CONTROL!$C$21, $C$9, 100%, $E$9)</f>
        <v>6.2652999999999999</v>
      </c>
      <c r="F103" s="10">
        <f>CHOOSE(CONTROL!$C$42, 6.0345, 6.0345)*CHOOSE(CONTROL!$C$21, $C$9, 100%, $E$9)</f>
        <v>6.0345000000000004</v>
      </c>
      <c r="G103" s="10">
        <f>CHOOSE(CONTROL!$C$42, 6.0528, 6.0528)*CHOOSE(CONTROL!$C$21, $C$9, 100%, $E$9)</f>
        <v>6.0528000000000004</v>
      </c>
      <c r="H103" s="10">
        <f>CHOOSE(CONTROL!$C$42, 6.254, 6.254) * CHOOSE(CONTROL!$C$21, $C$9, 100%, $E$9)</f>
        <v>6.2539999999999996</v>
      </c>
      <c r="I103" s="10">
        <f>CHOOSE(CONTROL!$C$42, 6.0246, 6.0246)* CHOOSE(CONTROL!$C$21, $C$9, 100%, $E$9)</f>
        <v>6.0246000000000004</v>
      </c>
      <c r="J103" s="10">
        <f>CHOOSE(CONTROL!$C$42, 6.0275, 6.0275)* CHOOSE(CONTROL!$C$21, $C$9, 100%, $E$9)</f>
        <v>6.0274999999999999</v>
      </c>
      <c r="K103" s="54">
        <f>CHOOSE(CONTROL!$C$42, 6.0207, 6.0207) * CHOOSE(CONTROL!$C$21, $C$9, 100%, $E$9)</f>
        <v>6.0206999999999997</v>
      </c>
      <c r="L103" s="10">
        <f>CHOOSE(CONTROL!$C$42, 6.841, 6.841) * CHOOSE(CONTROL!$C$21, $C$9, 100%, $E$9)</f>
        <v>6.8410000000000002</v>
      </c>
      <c r="M103" s="10">
        <f>CHOOSE(CONTROL!$C$42, 5.9805, 5.9805) * CHOOSE(CONTROL!$C$21, $C$9, 100%, $E$9)</f>
        <v>5.9805000000000001</v>
      </c>
      <c r="N103" s="10">
        <f>CHOOSE(CONTROL!$C$42, 5.9986, 5.9986) * CHOOSE(CONTROL!$C$21, $C$9, 100%, $E$9)</f>
        <v>5.9985999999999997</v>
      </c>
      <c r="O103" s="10">
        <f>CHOOSE(CONTROL!$C$42, 6.2047, 6.2047) * CHOOSE(CONTROL!$C$21, $C$9, 100%, $E$9)</f>
        <v>6.2046999999999999</v>
      </c>
      <c r="P103" s="10">
        <f>CHOOSE(CONTROL!$C$42, 5.9777, 5.9777) * CHOOSE(CONTROL!$C$21, $C$9, 100%, $E$9)</f>
        <v>5.9776999999999996</v>
      </c>
      <c r="Q103" s="10">
        <f>CHOOSE(CONTROL!$C$42, 6.8, 6.8) * CHOOSE(CONTROL!$C$21, $C$9, 100%, $E$9)</f>
        <v>6.8</v>
      </c>
      <c r="R103" s="10">
        <f>CHOOSE(CONTROL!$C$42, 7.404, 7.404) * CHOOSE(CONTROL!$C$21, $C$9, 100%, $E$9)</f>
        <v>7.4039999999999999</v>
      </c>
      <c r="S103" s="10">
        <f>CHOOSE(CONTROL!$C$42, 5.8687, 5.8687) * CHOOSE(CONTROL!$C$21, $C$9, 100%, $E$9)</f>
        <v>5.8686999999999996</v>
      </c>
      <c r="T103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03" s="58">
        <f>(1000*CHOOSE(CONTROL!$C$42, 695, 695)*CHOOSE(CONTROL!$C$42, 0.5599, 0.5599)*CHOOSE(CONTROL!$C$42, 31, 31))/1000000</f>
        <v>12.063045499999998</v>
      </c>
      <c r="V103" s="58">
        <f>(1000*CHOOSE(CONTROL!$C$42, 500, 500)*CHOOSE(CONTROL!$C$42, 0.275, 0.275)*CHOOSE(CONTROL!$C$42, 31, 31))/1000000</f>
        <v>4.2625000000000002</v>
      </c>
      <c r="W103" s="58">
        <f>(1000*CHOOSE(CONTROL!$C$42, 0.1146, 0.1146)*CHOOSE(CONTROL!$C$42, 121.5, 121.5)*CHOOSE(CONTROL!$C$42, 31, 31))/1000000</f>
        <v>0.43164089999999994</v>
      </c>
      <c r="X103" s="58">
        <f>(31*0.1790888*245000/1000000)+(31*0.2374*100000/1000000)</f>
        <v>2.0961194359999999</v>
      </c>
      <c r="Y103" s="58"/>
      <c r="Z103" s="10"/>
      <c r="AA103" s="57"/>
      <c r="AB103" s="51">
        <f>(B103*194.205+C103*267.466+D103*133.845+E103*53.484+F103*40+G103*185+H103*0+I103*100+J103*300)/(194.205+267.466+133.845+53.484+0+40+185+100+300)</f>
        <v>6.0718643947409738</v>
      </c>
      <c r="AC103" s="27">
        <f>(M103*'RAP TEMPLATE-GAS AVAILABILITY'!O102+N103*'RAP TEMPLATE-GAS AVAILABILITY'!P102+O103*'RAP TEMPLATE-GAS AVAILABILITY'!Q102+P103*'RAP TEMPLATE-GAS AVAILABILITY'!R102)/('RAP TEMPLATE-GAS AVAILABILITY'!O102+'RAP TEMPLATE-GAS AVAILABILITY'!P102+'RAP TEMPLATE-GAS AVAILABILITY'!Q102+'RAP TEMPLATE-GAS AVAILABILITY'!R102)</f>
        <v>6.0471690647482008</v>
      </c>
    </row>
    <row r="104" spans="1:29" ht="15.75" x14ac:dyDescent="0.25">
      <c r="A104" s="16">
        <v>44409</v>
      </c>
      <c r="B104" s="10">
        <f>CHOOSE(CONTROL!$C$42, 5.7493, 5.7493) * CHOOSE(CONTROL!$C$21, $C$9, 100%, $E$9)</f>
        <v>5.7492999999999999</v>
      </c>
      <c r="C104" s="10">
        <f>CHOOSE(CONTROL!$C$42, 5.7572, 5.7572) * CHOOSE(CONTROL!$C$21, $C$9, 100%, $E$9)</f>
        <v>5.7572000000000001</v>
      </c>
      <c r="D104" s="10">
        <f>CHOOSE(CONTROL!$C$42, 5.9357, 5.9357) * CHOOSE(CONTROL!$C$21, $C$9, 100%, $E$9)</f>
        <v>5.9356999999999998</v>
      </c>
      <c r="E104" s="10">
        <f>CHOOSE(CONTROL!$C$42, 5.9669, 5.9669) * CHOOSE(CONTROL!$C$21, $C$9, 100%, $E$9)</f>
        <v>5.9668999999999999</v>
      </c>
      <c r="F104" s="10">
        <f>CHOOSE(CONTROL!$C$42, 5.7359, 5.7359)*CHOOSE(CONTROL!$C$21, $C$9, 100%, $E$9)</f>
        <v>5.7359</v>
      </c>
      <c r="G104" s="10">
        <f>CHOOSE(CONTROL!$C$42, 5.7542, 5.7542)*CHOOSE(CONTROL!$C$21, $C$9, 100%, $E$9)</f>
        <v>5.7542</v>
      </c>
      <c r="H104" s="10">
        <f>CHOOSE(CONTROL!$C$42, 5.9555, 5.9555) * CHOOSE(CONTROL!$C$21, $C$9, 100%, $E$9)</f>
        <v>5.9554999999999998</v>
      </c>
      <c r="I104" s="10">
        <f>CHOOSE(CONTROL!$C$42, 5.7262, 5.7262)* CHOOSE(CONTROL!$C$21, $C$9, 100%, $E$9)</f>
        <v>5.7262000000000004</v>
      </c>
      <c r="J104" s="10">
        <f>CHOOSE(CONTROL!$C$42, 5.7289, 5.7289)* CHOOSE(CONTROL!$C$21, $C$9, 100%, $E$9)</f>
        <v>5.7289000000000003</v>
      </c>
      <c r="K104" s="54">
        <f>CHOOSE(CONTROL!$C$42, 5.7223, 5.7223) * CHOOSE(CONTROL!$C$21, $C$9, 100%, $E$9)</f>
        <v>5.7222999999999997</v>
      </c>
      <c r="L104" s="10">
        <f>CHOOSE(CONTROL!$C$42, 6.5425, 6.5425) * CHOOSE(CONTROL!$C$21, $C$9, 100%, $E$9)</f>
        <v>6.5425000000000004</v>
      </c>
      <c r="M104" s="10">
        <f>CHOOSE(CONTROL!$C$42, 5.6849, 5.6849) * CHOOSE(CONTROL!$C$21, $C$9, 100%, $E$9)</f>
        <v>5.6848999999999998</v>
      </c>
      <c r="N104" s="10">
        <f>CHOOSE(CONTROL!$C$42, 5.7031, 5.7031) * CHOOSE(CONTROL!$C$21, $C$9, 100%, $E$9)</f>
        <v>5.7031000000000001</v>
      </c>
      <c r="O104" s="10">
        <f>CHOOSE(CONTROL!$C$42, 5.9092, 5.9092) * CHOOSE(CONTROL!$C$21, $C$9, 100%, $E$9)</f>
        <v>5.9092000000000002</v>
      </c>
      <c r="P104" s="10">
        <f>CHOOSE(CONTROL!$C$42, 5.6822, 5.6822) * CHOOSE(CONTROL!$C$21, $C$9, 100%, $E$9)</f>
        <v>5.6821999999999999</v>
      </c>
      <c r="Q104" s="10">
        <f>CHOOSE(CONTROL!$C$42, 6.5045, 6.5045) * CHOOSE(CONTROL!$C$21, $C$9, 100%, $E$9)</f>
        <v>6.5045000000000002</v>
      </c>
      <c r="R104" s="10">
        <f>CHOOSE(CONTROL!$C$42, 7.1078, 7.1078) * CHOOSE(CONTROL!$C$21, $C$9, 100%, $E$9)</f>
        <v>7.1078000000000001</v>
      </c>
      <c r="S104" s="10">
        <f>CHOOSE(CONTROL!$C$42, 5.5789, 5.5789) * CHOOSE(CONTROL!$C$21, $C$9, 100%, $E$9)</f>
        <v>5.5789</v>
      </c>
      <c r="T104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04" s="58">
        <f>(1000*CHOOSE(CONTROL!$C$42, 695, 695)*CHOOSE(CONTROL!$C$42, 0.5599, 0.5599)*CHOOSE(CONTROL!$C$42, 31, 31))/1000000</f>
        <v>12.063045499999998</v>
      </c>
      <c r="V104" s="58">
        <f>(1000*CHOOSE(CONTROL!$C$42, 500, 500)*CHOOSE(CONTROL!$C$42, 0.275, 0.275)*CHOOSE(CONTROL!$C$42, 31, 31))/1000000</f>
        <v>4.2625000000000002</v>
      </c>
      <c r="W104" s="58">
        <f>(1000*CHOOSE(CONTROL!$C$42, 0.1146, 0.1146)*CHOOSE(CONTROL!$C$42, 121.5, 121.5)*CHOOSE(CONTROL!$C$42, 31, 31))/1000000</f>
        <v>0.43164089999999994</v>
      </c>
      <c r="X104" s="58">
        <f>(31*0.1790888*245000/1000000)+(31*0.2374*100000/1000000)</f>
        <v>2.0961194359999999</v>
      </c>
      <c r="Y104" s="58"/>
      <c r="Z104" s="10"/>
      <c r="AA104" s="57"/>
      <c r="AB104" s="51">
        <f>(B104*194.205+C104*267.466+D104*133.845+E104*53.484+F104*40+G104*185+H104*0+I104*100+J104*300)/(194.205+267.466+133.845+53.484+0+40+185+100+300)</f>
        <v>5.7733504770800632</v>
      </c>
      <c r="AC104" s="27">
        <f>(M104*'RAP TEMPLATE-GAS AVAILABILITY'!O103+N104*'RAP TEMPLATE-GAS AVAILABILITY'!P103+O104*'RAP TEMPLATE-GAS AVAILABILITY'!Q103+P104*'RAP TEMPLATE-GAS AVAILABILITY'!R103)/('RAP TEMPLATE-GAS AVAILABILITY'!O103+'RAP TEMPLATE-GAS AVAILABILITY'!P103+'RAP TEMPLATE-GAS AVAILABILITY'!Q103+'RAP TEMPLATE-GAS AVAILABILITY'!R103)</f>
        <v>5.7516345323741014</v>
      </c>
    </row>
    <row r="105" spans="1:29" ht="15.75" x14ac:dyDescent="0.25">
      <c r="A105" s="16">
        <v>44440</v>
      </c>
      <c r="B105" s="10">
        <f>CHOOSE(CONTROL!$C$42, 5.3846, 5.3846) * CHOOSE(CONTROL!$C$21, $C$9, 100%, $E$9)</f>
        <v>5.3845999999999998</v>
      </c>
      <c r="C105" s="10">
        <f>CHOOSE(CONTROL!$C$42, 5.3926, 5.3926) * CHOOSE(CONTROL!$C$21, $C$9, 100%, $E$9)</f>
        <v>5.3925999999999998</v>
      </c>
      <c r="D105" s="10">
        <f>CHOOSE(CONTROL!$C$42, 5.5711, 5.5711) * CHOOSE(CONTROL!$C$21, $C$9, 100%, $E$9)</f>
        <v>5.5711000000000004</v>
      </c>
      <c r="E105" s="10">
        <f>CHOOSE(CONTROL!$C$42, 5.6022, 5.6022) * CHOOSE(CONTROL!$C$21, $C$9, 100%, $E$9)</f>
        <v>5.6021999999999998</v>
      </c>
      <c r="F105" s="10">
        <f>CHOOSE(CONTROL!$C$42, 5.371, 5.371)*CHOOSE(CONTROL!$C$21, $C$9, 100%, $E$9)</f>
        <v>5.3710000000000004</v>
      </c>
      <c r="G105" s="10">
        <f>CHOOSE(CONTROL!$C$42, 5.3892, 5.3892)*CHOOSE(CONTROL!$C$21, $C$9, 100%, $E$9)</f>
        <v>5.3891999999999998</v>
      </c>
      <c r="H105" s="10">
        <f>CHOOSE(CONTROL!$C$42, 5.5909, 5.5909) * CHOOSE(CONTROL!$C$21, $C$9, 100%, $E$9)</f>
        <v>5.5909000000000004</v>
      </c>
      <c r="I105" s="10">
        <f>CHOOSE(CONTROL!$C$42, 5.3615, 5.3615)* CHOOSE(CONTROL!$C$21, $C$9, 100%, $E$9)</f>
        <v>5.3615000000000004</v>
      </c>
      <c r="J105" s="10">
        <f>CHOOSE(CONTROL!$C$42, 5.364, 5.364)* CHOOSE(CONTROL!$C$21, $C$9, 100%, $E$9)</f>
        <v>5.3639999999999999</v>
      </c>
      <c r="K105" s="54">
        <f>CHOOSE(CONTROL!$C$42, 5.3576, 5.3576) * CHOOSE(CONTROL!$C$21, $C$9, 100%, $E$9)</f>
        <v>5.3575999999999997</v>
      </c>
      <c r="L105" s="10">
        <f>CHOOSE(CONTROL!$C$42, 6.1779, 6.1779) * CHOOSE(CONTROL!$C$21, $C$9, 100%, $E$9)</f>
        <v>6.1779000000000002</v>
      </c>
      <c r="M105" s="10">
        <f>CHOOSE(CONTROL!$C$42, 5.3237, 5.3237) * CHOOSE(CONTROL!$C$21, $C$9, 100%, $E$9)</f>
        <v>5.3236999999999997</v>
      </c>
      <c r="N105" s="10">
        <f>CHOOSE(CONTROL!$C$42, 5.3417, 5.3417) * CHOOSE(CONTROL!$C$21, $C$9, 100%, $E$9)</f>
        <v>5.3417000000000003</v>
      </c>
      <c r="O105" s="10">
        <f>CHOOSE(CONTROL!$C$42, 5.5483, 5.5483) * CHOOSE(CONTROL!$C$21, $C$9, 100%, $E$9)</f>
        <v>5.5483000000000002</v>
      </c>
      <c r="P105" s="10">
        <f>CHOOSE(CONTROL!$C$42, 5.3213, 5.3213) * CHOOSE(CONTROL!$C$21, $C$9, 100%, $E$9)</f>
        <v>5.3212999999999999</v>
      </c>
      <c r="Q105" s="10">
        <f>CHOOSE(CONTROL!$C$42, 6.1436, 6.1436) * CHOOSE(CONTROL!$C$21, $C$9, 100%, $E$9)</f>
        <v>6.1436000000000002</v>
      </c>
      <c r="R105" s="10">
        <f>CHOOSE(CONTROL!$C$42, 6.7459, 6.7459) * CHOOSE(CONTROL!$C$21, $C$9, 100%, $E$9)</f>
        <v>6.7458999999999998</v>
      </c>
      <c r="S105" s="10">
        <f>CHOOSE(CONTROL!$C$42, 5.2248, 5.2248) * CHOOSE(CONTROL!$C$21, $C$9, 100%, $E$9)</f>
        <v>5.2248000000000001</v>
      </c>
      <c r="T105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05" s="58">
        <f>(1000*CHOOSE(CONTROL!$C$42, 695, 695)*CHOOSE(CONTROL!$C$42, 0.5599, 0.5599)*CHOOSE(CONTROL!$C$42, 30, 30))/1000000</f>
        <v>11.673914999999997</v>
      </c>
      <c r="V105" s="58">
        <f>(1000*CHOOSE(CONTROL!$C$42, 500, 500)*CHOOSE(CONTROL!$C$42, 0.275, 0.275)*CHOOSE(CONTROL!$C$42, 30, 30))/1000000</f>
        <v>4.125</v>
      </c>
      <c r="W105" s="58">
        <f>(1000*CHOOSE(CONTROL!$C$42, 0.1146, 0.1146)*CHOOSE(CONTROL!$C$42, 121.5, 121.5)*CHOOSE(CONTROL!$C$42, 30, 30))/1000000</f>
        <v>0.417717</v>
      </c>
      <c r="X105" s="58">
        <f>(30*0.1790888*245000/1000000)+(30*0.2374*100000/1000000)</f>
        <v>2.0285026799999999</v>
      </c>
      <c r="Y105" s="58"/>
      <c r="Z105" s="10"/>
      <c r="AA105" s="57"/>
      <c r="AB105" s="51">
        <f>(B105*194.205+C105*267.466+D105*133.845+E105*53.484+F105*40+G105*185+H105*0+I105*100+J105*300)/(194.205+267.466+133.845+53.484+0+40+185+100+300)</f>
        <v>5.4085850383830456</v>
      </c>
      <c r="AC105" s="27">
        <f>(M105*'RAP TEMPLATE-GAS AVAILABILITY'!O104+N105*'RAP TEMPLATE-GAS AVAILABILITY'!P104+O105*'RAP TEMPLATE-GAS AVAILABILITY'!Q104+P105*'RAP TEMPLATE-GAS AVAILABILITY'!R104)/('RAP TEMPLATE-GAS AVAILABILITY'!O104+'RAP TEMPLATE-GAS AVAILABILITY'!P104+'RAP TEMPLATE-GAS AVAILABILITY'!Q104+'RAP TEMPLATE-GAS AVAILABILITY'!R104)</f>
        <v>5.3905158273381293</v>
      </c>
    </row>
    <row r="106" spans="1:29" ht="15.75" x14ac:dyDescent="0.25">
      <c r="A106" s="16">
        <v>44470</v>
      </c>
      <c r="B106" s="10">
        <f>CHOOSE(CONTROL!$C$42, 5.2733, 5.2733) * CHOOSE(CONTROL!$C$21, $C$9, 100%, $E$9)</f>
        <v>5.2732999999999999</v>
      </c>
      <c r="C106" s="10">
        <f>CHOOSE(CONTROL!$C$42, 5.2785, 5.2785) * CHOOSE(CONTROL!$C$21, $C$9, 100%, $E$9)</f>
        <v>5.2785000000000002</v>
      </c>
      <c r="D106" s="10">
        <f>CHOOSE(CONTROL!$C$42, 5.462, 5.462) * CHOOSE(CONTROL!$C$21, $C$9, 100%, $E$9)</f>
        <v>5.4619999999999997</v>
      </c>
      <c r="E106" s="10">
        <f>CHOOSE(CONTROL!$C$42, 5.4908, 5.4908) * CHOOSE(CONTROL!$C$21, $C$9, 100%, $E$9)</f>
        <v>5.4908000000000001</v>
      </c>
      <c r="F106" s="10">
        <f>CHOOSE(CONTROL!$C$42, 5.2616, 5.2616)*CHOOSE(CONTROL!$C$21, $C$9, 100%, $E$9)</f>
        <v>5.2615999999999996</v>
      </c>
      <c r="G106" s="10">
        <f>CHOOSE(CONTROL!$C$42, 5.2795, 5.2795)*CHOOSE(CONTROL!$C$21, $C$9, 100%, $E$9)</f>
        <v>5.2794999999999996</v>
      </c>
      <c r="H106" s="10">
        <f>CHOOSE(CONTROL!$C$42, 5.4812, 5.4812) * CHOOSE(CONTROL!$C$21, $C$9, 100%, $E$9)</f>
        <v>5.4812000000000003</v>
      </c>
      <c r="I106" s="10">
        <f>CHOOSE(CONTROL!$C$42, 5.2519, 5.2519)* CHOOSE(CONTROL!$C$21, $C$9, 100%, $E$9)</f>
        <v>5.2519</v>
      </c>
      <c r="J106" s="10">
        <f>CHOOSE(CONTROL!$C$42, 5.2546, 5.2546)* CHOOSE(CONTROL!$C$21, $C$9, 100%, $E$9)</f>
        <v>5.2545999999999999</v>
      </c>
      <c r="K106" s="54">
        <f>CHOOSE(CONTROL!$C$42, 5.248, 5.248) * CHOOSE(CONTROL!$C$21, $C$9, 100%, $E$9)</f>
        <v>5.2480000000000002</v>
      </c>
      <c r="L106" s="10">
        <f>CHOOSE(CONTROL!$C$42, 6.0682, 6.0682) * CHOOSE(CONTROL!$C$21, $C$9, 100%, $E$9)</f>
        <v>6.0682</v>
      </c>
      <c r="M106" s="10">
        <f>CHOOSE(CONTROL!$C$42, 5.2154, 5.2154) * CHOOSE(CONTROL!$C$21, $C$9, 100%, $E$9)</f>
        <v>5.2153999999999998</v>
      </c>
      <c r="N106" s="10">
        <f>CHOOSE(CONTROL!$C$42, 5.2331, 5.2331) * CHOOSE(CONTROL!$C$21, $C$9, 100%, $E$9)</f>
        <v>5.2331000000000003</v>
      </c>
      <c r="O106" s="10">
        <f>CHOOSE(CONTROL!$C$42, 5.4398, 5.4398) * CHOOSE(CONTROL!$C$21, $C$9, 100%, $E$9)</f>
        <v>5.4398</v>
      </c>
      <c r="P106" s="10">
        <f>CHOOSE(CONTROL!$C$42, 5.2128, 5.2128) * CHOOSE(CONTROL!$C$21, $C$9, 100%, $E$9)</f>
        <v>5.2127999999999997</v>
      </c>
      <c r="Q106" s="10">
        <f>CHOOSE(CONTROL!$C$42, 6.0351, 6.0351) * CHOOSE(CONTROL!$C$21, $C$9, 100%, $E$9)</f>
        <v>6.0350999999999999</v>
      </c>
      <c r="R106" s="10">
        <f>CHOOSE(CONTROL!$C$42, 6.6371, 6.6371) * CHOOSE(CONTROL!$C$21, $C$9, 100%, $E$9)</f>
        <v>6.6371000000000002</v>
      </c>
      <c r="S106" s="10">
        <f>CHOOSE(CONTROL!$C$42, 5.1183, 5.1183) * CHOOSE(CONTROL!$C$21, $C$9, 100%, $E$9)</f>
        <v>5.1182999999999996</v>
      </c>
      <c r="T106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06" s="58">
        <f>(1000*CHOOSE(CONTROL!$C$42, 695, 695)*CHOOSE(CONTROL!$C$42, 0.5599, 0.5599)*CHOOSE(CONTROL!$C$42, 31, 31))/1000000</f>
        <v>12.063045499999998</v>
      </c>
      <c r="V106" s="58">
        <f>(1000*CHOOSE(CONTROL!$C$42, 500, 500)*CHOOSE(CONTROL!$C$42, 0.275, 0.275)*CHOOSE(CONTROL!$C$42, 31, 31))/1000000</f>
        <v>4.2625000000000002</v>
      </c>
      <c r="W106" s="58">
        <f>(1000*CHOOSE(CONTROL!$C$42, 0.1146, 0.1146)*CHOOSE(CONTROL!$C$42, 121.5, 121.5)*CHOOSE(CONTROL!$C$42, 31, 31))/1000000</f>
        <v>0.43164089999999994</v>
      </c>
      <c r="X106" s="58">
        <f>(31*0.1790888*245000/1000000)+(31*0.2374*100000/1000000)</f>
        <v>2.0961194359999999</v>
      </c>
      <c r="Y106" s="58"/>
      <c r="Z106" s="10"/>
      <c r="AA106" s="57"/>
      <c r="AB106" s="51">
        <f>(B106*131.881+C106*277.167+D106*79.08+E106*125.872+F106*40+G106*185+H106*0+I106*100+J106*300)/(131.881+277.167+79.08+125.872+0+40+185+100+300)</f>
        <v>5.3028963070217916</v>
      </c>
      <c r="AC106" s="27">
        <f>(M106*'RAP TEMPLATE-GAS AVAILABILITY'!O105+N106*'RAP TEMPLATE-GAS AVAILABILITY'!P105+O106*'RAP TEMPLATE-GAS AVAILABILITY'!Q105+P106*'RAP TEMPLATE-GAS AVAILABILITY'!R105)/('RAP TEMPLATE-GAS AVAILABILITY'!O105+'RAP TEMPLATE-GAS AVAILABILITY'!P105+'RAP TEMPLATE-GAS AVAILABILITY'!Q105+'RAP TEMPLATE-GAS AVAILABILITY'!R105)</f>
        <v>5.2820618705035978</v>
      </c>
    </row>
    <row r="107" spans="1:29" ht="15.75" x14ac:dyDescent="0.25">
      <c r="A107" s="16">
        <v>44501</v>
      </c>
      <c r="B107" s="10">
        <f>CHOOSE(CONTROL!$C$42, 5.4117, 5.4117) * CHOOSE(CONTROL!$C$21, $C$9, 100%, $E$9)</f>
        <v>5.4116999999999997</v>
      </c>
      <c r="C107" s="10">
        <f>CHOOSE(CONTROL!$C$42, 5.4166, 5.4166) * CHOOSE(CONTROL!$C$21, $C$9, 100%, $E$9)</f>
        <v>5.4165999999999999</v>
      </c>
      <c r="D107" s="10">
        <f>CHOOSE(CONTROL!$C$42, 5.4462, 5.4462) * CHOOSE(CONTROL!$C$21, $C$9, 100%, $E$9)</f>
        <v>5.4462000000000002</v>
      </c>
      <c r="E107" s="10">
        <f>CHOOSE(CONTROL!$C$42, 5.48, 5.48) * CHOOSE(CONTROL!$C$21, $C$9, 100%, $E$9)</f>
        <v>5.48</v>
      </c>
      <c r="F107" s="10">
        <f>CHOOSE(CONTROL!$C$42, 5.3974, 5.3974)*CHOOSE(CONTROL!$C$21, $C$9, 100%, $E$9)</f>
        <v>5.3974000000000002</v>
      </c>
      <c r="G107" s="10">
        <f>CHOOSE(CONTROL!$C$42, 5.4155, 5.4155)*CHOOSE(CONTROL!$C$21, $C$9, 100%, $E$9)</f>
        <v>5.4154999999999998</v>
      </c>
      <c r="H107" s="10">
        <f>CHOOSE(CONTROL!$C$42, 5.4692, 5.4692) * CHOOSE(CONTROL!$C$21, $C$9, 100%, $E$9)</f>
        <v>5.4691999999999998</v>
      </c>
      <c r="I107" s="10">
        <f>CHOOSE(CONTROL!$C$42, 5.3779, 5.3779)* CHOOSE(CONTROL!$C$21, $C$9, 100%, $E$9)</f>
        <v>5.3779000000000003</v>
      </c>
      <c r="J107" s="10">
        <f>CHOOSE(CONTROL!$C$42, 5.3904, 5.3904)* CHOOSE(CONTROL!$C$21, $C$9, 100%, $E$9)</f>
        <v>5.3903999999999996</v>
      </c>
      <c r="K107" s="54">
        <f>CHOOSE(CONTROL!$C$42, 5.374, 5.374) * CHOOSE(CONTROL!$C$21, $C$9, 100%, $E$9)</f>
        <v>5.3739999999999997</v>
      </c>
      <c r="L107" s="10">
        <f>CHOOSE(CONTROL!$C$42, 6.0562, 6.0562) * CHOOSE(CONTROL!$C$21, $C$9, 100%, $E$9)</f>
        <v>6.0561999999999996</v>
      </c>
      <c r="M107" s="10">
        <f>CHOOSE(CONTROL!$C$42, 5.3499, 5.3499) * CHOOSE(CONTROL!$C$21, $C$9, 100%, $E$9)</f>
        <v>5.3498999999999999</v>
      </c>
      <c r="N107" s="10">
        <f>CHOOSE(CONTROL!$C$42, 5.3677, 5.3677) * CHOOSE(CONTROL!$C$21, $C$9, 100%, $E$9)</f>
        <v>5.3677000000000001</v>
      </c>
      <c r="O107" s="10">
        <f>CHOOSE(CONTROL!$C$42, 5.4279, 5.4279) * CHOOSE(CONTROL!$C$21, $C$9, 100%, $E$9)</f>
        <v>5.4279000000000002</v>
      </c>
      <c r="P107" s="10">
        <f>CHOOSE(CONTROL!$C$42, 5.3375, 5.3375) * CHOOSE(CONTROL!$C$21, $C$9, 100%, $E$9)</f>
        <v>5.3375000000000004</v>
      </c>
      <c r="Q107" s="10">
        <f>CHOOSE(CONTROL!$C$42, 6.0232, 6.0232) * CHOOSE(CONTROL!$C$21, $C$9, 100%, $E$9)</f>
        <v>6.0232000000000001</v>
      </c>
      <c r="R107" s="10">
        <f>CHOOSE(CONTROL!$C$42, 6.6252, 6.6252) * CHOOSE(CONTROL!$C$21, $C$9, 100%, $E$9)</f>
        <v>6.6252000000000004</v>
      </c>
      <c r="S107" s="10">
        <f>CHOOSE(CONTROL!$C$42, 5.2532, 5.2532) * CHOOSE(CONTROL!$C$21, $C$9, 100%, $E$9)</f>
        <v>5.2531999999999996</v>
      </c>
      <c r="T107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07" s="58">
        <f>(1000*CHOOSE(CONTROL!$C$42, 695, 695)*CHOOSE(CONTROL!$C$42, 0.5599, 0.5599)*CHOOSE(CONTROL!$C$42, 30, 30))/1000000</f>
        <v>11.673914999999997</v>
      </c>
      <c r="V107" s="58">
        <f>(1000*CHOOSE(CONTROL!$C$42, 500, 500)*CHOOSE(CONTROL!$C$42, 0.275, 0.275)*CHOOSE(CONTROL!$C$42, 30, 30))/1000000</f>
        <v>4.125</v>
      </c>
      <c r="W107" s="58">
        <f>(1000*CHOOSE(CONTROL!$C$42, 0.1146, 0.1146)*CHOOSE(CONTROL!$C$42, 121.5, 121.5)*CHOOSE(CONTROL!$C$42, 30, 30))/1000000</f>
        <v>0.417717</v>
      </c>
      <c r="X107" s="58">
        <f>(30*0.1790888*100000/1000000)+(30*0.2374*100000/1000000)</f>
        <v>1.2494664</v>
      </c>
      <c r="Y107" s="58"/>
      <c r="Z107" s="10"/>
      <c r="AA107" s="57"/>
      <c r="AB107" s="51">
        <f>(B107*122.58+C107*297.941+D107*89.177+E107*40.302+F107*40+G107*160+H107*0+I107*100+J107*300)/(122.58+297.941+89.177+40.302+0+40+160+100+300)</f>
        <v>5.4095740382608701</v>
      </c>
      <c r="AC107" s="27">
        <f>(M107*'RAP TEMPLATE-GAS AVAILABILITY'!O106+N107*'RAP TEMPLATE-GAS AVAILABILITY'!P106+O107*'RAP TEMPLATE-GAS AVAILABILITY'!Q106+P107*'RAP TEMPLATE-GAS AVAILABILITY'!R106)/('RAP TEMPLATE-GAS AVAILABILITY'!O106+'RAP TEMPLATE-GAS AVAILABILITY'!P106+'RAP TEMPLATE-GAS AVAILABILITY'!Q106+'RAP TEMPLATE-GAS AVAILABILITY'!R106)</f>
        <v>5.3844928057553956</v>
      </c>
    </row>
    <row r="108" spans="1:29" ht="15.75" x14ac:dyDescent="0.25">
      <c r="A108" s="16">
        <v>44531</v>
      </c>
      <c r="B108" s="10">
        <f>CHOOSE(CONTROL!$C$42, 5.7804, 5.7804) * CHOOSE(CONTROL!$C$21, $C$9, 100%, $E$9)</f>
        <v>5.7804000000000002</v>
      </c>
      <c r="C108" s="10">
        <f>CHOOSE(CONTROL!$C$42, 5.7854, 5.7854) * CHOOSE(CONTROL!$C$21, $C$9, 100%, $E$9)</f>
        <v>5.7854000000000001</v>
      </c>
      <c r="D108" s="10">
        <f>CHOOSE(CONTROL!$C$42, 5.815, 5.815) * CHOOSE(CONTROL!$C$21, $C$9, 100%, $E$9)</f>
        <v>5.8150000000000004</v>
      </c>
      <c r="E108" s="10">
        <f>CHOOSE(CONTROL!$C$42, 5.8488, 5.8488) * CHOOSE(CONTROL!$C$21, $C$9, 100%, $E$9)</f>
        <v>5.8487999999999998</v>
      </c>
      <c r="F108" s="10">
        <f>CHOOSE(CONTROL!$C$42, 5.7677, 5.7677)*CHOOSE(CONTROL!$C$21, $C$9, 100%, $E$9)</f>
        <v>5.7676999999999996</v>
      </c>
      <c r="G108" s="10">
        <f>CHOOSE(CONTROL!$C$42, 5.7862, 5.7862)*CHOOSE(CONTROL!$C$21, $C$9, 100%, $E$9)</f>
        <v>5.7862</v>
      </c>
      <c r="H108" s="10">
        <f>CHOOSE(CONTROL!$C$42, 5.838, 5.838) * CHOOSE(CONTROL!$C$21, $C$9, 100%, $E$9)</f>
        <v>5.8380000000000001</v>
      </c>
      <c r="I108" s="10">
        <f>CHOOSE(CONTROL!$C$42, 5.7466, 5.7466)* CHOOSE(CONTROL!$C$21, $C$9, 100%, $E$9)</f>
        <v>5.7465999999999999</v>
      </c>
      <c r="J108" s="10">
        <f>CHOOSE(CONTROL!$C$42, 5.7607, 5.7607)* CHOOSE(CONTROL!$C$21, $C$9, 100%, $E$9)</f>
        <v>5.7606999999999999</v>
      </c>
      <c r="K108" s="54">
        <f>CHOOSE(CONTROL!$C$42, 5.7427, 5.7427) * CHOOSE(CONTROL!$C$21, $C$9, 100%, $E$9)</f>
        <v>5.7427000000000001</v>
      </c>
      <c r="L108" s="10">
        <f>CHOOSE(CONTROL!$C$42, 6.425, 6.425) * CHOOSE(CONTROL!$C$21, $C$9, 100%, $E$9)</f>
        <v>6.4249999999999998</v>
      </c>
      <c r="M108" s="10">
        <f>CHOOSE(CONTROL!$C$42, 5.7164, 5.7164) * CHOOSE(CONTROL!$C$21, $C$9, 100%, $E$9)</f>
        <v>5.7164000000000001</v>
      </c>
      <c r="N108" s="10">
        <f>CHOOSE(CONTROL!$C$42, 5.7347, 5.7347) * CHOOSE(CONTROL!$C$21, $C$9, 100%, $E$9)</f>
        <v>5.7347000000000001</v>
      </c>
      <c r="O108" s="10">
        <f>CHOOSE(CONTROL!$C$42, 5.7929, 5.7929) * CHOOSE(CONTROL!$C$21, $C$9, 100%, $E$9)</f>
        <v>5.7929000000000004</v>
      </c>
      <c r="P108" s="10">
        <f>CHOOSE(CONTROL!$C$42, 5.7025, 5.7025) * CHOOSE(CONTROL!$C$21, $C$9, 100%, $E$9)</f>
        <v>5.7024999999999997</v>
      </c>
      <c r="Q108" s="10">
        <f>CHOOSE(CONTROL!$C$42, 6.3882, 6.3882) * CHOOSE(CONTROL!$C$21, $C$9, 100%, $E$9)</f>
        <v>6.3882000000000003</v>
      </c>
      <c r="R108" s="10">
        <f>CHOOSE(CONTROL!$C$42, 6.9912, 6.9912) * CHOOSE(CONTROL!$C$21, $C$9, 100%, $E$9)</f>
        <v>6.9912000000000001</v>
      </c>
      <c r="S108" s="10">
        <f>CHOOSE(CONTROL!$C$42, 5.6113, 5.6113) * CHOOSE(CONTROL!$C$21, $C$9, 100%, $E$9)</f>
        <v>5.6113</v>
      </c>
      <c r="T108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08" s="58">
        <f>(1000*CHOOSE(CONTROL!$C$42, 695, 695)*CHOOSE(CONTROL!$C$42, 0.5599, 0.5599)*CHOOSE(CONTROL!$C$42, 31, 31))/1000000</f>
        <v>12.063045499999998</v>
      </c>
      <c r="V108" s="58">
        <f>(1000*CHOOSE(CONTROL!$C$42, 500, 500)*CHOOSE(CONTROL!$C$42, 0.275, 0.275)*CHOOSE(CONTROL!$C$42, 31, 31))/1000000</f>
        <v>4.2625000000000002</v>
      </c>
      <c r="W108" s="58">
        <f>(1000*CHOOSE(CONTROL!$C$42, 0.1146, 0.1146)*CHOOSE(CONTROL!$C$42, 121.5, 121.5)*CHOOSE(CONTROL!$C$42, 31, 31))/1000000</f>
        <v>0.43164089999999994</v>
      </c>
      <c r="X108" s="58">
        <f>(31*0.1790888*100000/1000000)+(31*0.2374*100000/1000000)</f>
        <v>1.2911152800000001</v>
      </c>
      <c r="Y108" s="58"/>
      <c r="Z108" s="10"/>
      <c r="AA108" s="57"/>
      <c r="AB108" s="51">
        <f>(B108*122.58+C108*297.941+D108*89.177+E108*40.302+F108*40+G108*160+H108*0+I108*100+J108*300)/(122.58+297.941+89.177+40.302+0+40+160+100+300)</f>
        <v>5.7790625095652173</v>
      </c>
      <c r="AC108" s="27">
        <f>(M108*'RAP TEMPLATE-GAS AVAILABILITY'!O107+N108*'RAP TEMPLATE-GAS AVAILABILITY'!P107+O108*'RAP TEMPLATE-GAS AVAILABILITY'!Q107+P108*'RAP TEMPLATE-GAS AVAILABILITY'!R107)/('RAP TEMPLATE-GAS AVAILABILITY'!O107+'RAP TEMPLATE-GAS AVAILABILITY'!P107+'RAP TEMPLATE-GAS AVAILABILITY'!Q107+'RAP TEMPLATE-GAS AVAILABILITY'!R107)</f>
        <v>5.7501258992805759</v>
      </c>
    </row>
    <row r="109" spans="1:29" ht="15.75" x14ac:dyDescent="0.25">
      <c r="A109" s="16">
        <v>44562</v>
      </c>
      <c r="B109" s="10">
        <f>CHOOSE(CONTROL!$C$42, 6.2389, 6.2389) * CHOOSE(CONTROL!$C$21, $C$9, 100%, $E$9)</f>
        <v>6.2389000000000001</v>
      </c>
      <c r="C109" s="10">
        <f>CHOOSE(CONTROL!$C$42, 6.2438, 6.2438) * CHOOSE(CONTROL!$C$21, $C$9, 100%, $E$9)</f>
        <v>6.2438000000000002</v>
      </c>
      <c r="D109" s="10">
        <f>CHOOSE(CONTROL!$C$42, 6.294, 6.294) * CHOOSE(CONTROL!$C$21, $C$9, 100%, $E$9)</f>
        <v>6.2939999999999996</v>
      </c>
      <c r="E109" s="10">
        <f>CHOOSE(CONTROL!$C$42, 6.3278, 6.3278) * CHOOSE(CONTROL!$C$21, $C$9, 100%, $E$9)</f>
        <v>6.3277999999999999</v>
      </c>
      <c r="F109" s="10">
        <f>CHOOSE(CONTROL!$C$42, 6.2042, 6.2042)*CHOOSE(CONTROL!$C$21, $C$9, 100%, $E$9)</f>
        <v>6.2042000000000002</v>
      </c>
      <c r="G109" s="10">
        <f>CHOOSE(CONTROL!$C$42, 6.2218, 6.2218)*CHOOSE(CONTROL!$C$21, $C$9, 100%, $E$9)</f>
        <v>6.2218</v>
      </c>
      <c r="H109" s="10">
        <f>CHOOSE(CONTROL!$C$42, 6.317, 6.317) * CHOOSE(CONTROL!$C$21, $C$9, 100%, $E$9)</f>
        <v>6.3170000000000002</v>
      </c>
      <c r="I109" s="10">
        <f>CHOOSE(CONTROL!$C$42, 6.2128, 6.2128)* CHOOSE(CONTROL!$C$21, $C$9, 100%, $E$9)</f>
        <v>6.2127999999999997</v>
      </c>
      <c r="J109" s="10">
        <f>CHOOSE(CONTROL!$C$42, 6.1972, 6.1972)* CHOOSE(CONTROL!$C$21, $C$9, 100%, $E$9)</f>
        <v>6.1971999999999996</v>
      </c>
      <c r="K109" s="54">
        <f>CHOOSE(CONTROL!$C$42, 6.2089, 6.2089) * CHOOSE(CONTROL!$C$21, $C$9, 100%, $E$9)</f>
        <v>6.2088999999999999</v>
      </c>
      <c r="L109" s="10">
        <f>CHOOSE(CONTROL!$C$42, 6.904, 6.904) * CHOOSE(CONTROL!$C$21, $C$9, 100%, $E$9)</f>
        <v>6.9039999999999999</v>
      </c>
      <c r="M109" s="10">
        <f>CHOOSE(CONTROL!$C$42, 6.1485, 6.1485) * CHOOSE(CONTROL!$C$21, $C$9, 100%, $E$9)</f>
        <v>6.1485000000000003</v>
      </c>
      <c r="N109" s="10">
        <f>CHOOSE(CONTROL!$C$42, 6.1659, 6.1659) * CHOOSE(CONTROL!$C$21, $C$9, 100%, $E$9)</f>
        <v>6.1658999999999997</v>
      </c>
      <c r="O109" s="10">
        <f>CHOOSE(CONTROL!$C$42, 6.2671, 6.2671) * CHOOSE(CONTROL!$C$21, $C$9, 100%, $E$9)</f>
        <v>6.2671000000000001</v>
      </c>
      <c r="P109" s="10">
        <f>CHOOSE(CONTROL!$C$42, 6.1639, 6.1639) * CHOOSE(CONTROL!$C$21, $C$9, 100%, $E$9)</f>
        <v>6.1638999999999999</v>
      </c>
      <c r="Q109" s="10">
        <f>CHOOSE(CONTROL!$C$42, 6.8624, 6.8624) * CHOOSE(CONTROL!$C$21, $C$9, 100%, $E$9)</f>
        <v>6.8624000000000001</v>
      </c>
      <c r="R109" s="10">
        <f>CHOOSE(CONTROL!$C$42, 7.4665, 7.4665) * CHOOSE(CONTROL!$C$21, $C$9, 100%, $E$9)</f>
        <v>7.4664999999999999</v>
      </c>
      <c r="S109" s="10">
        <f>CHOOSE(CONTROL!$C$42, 6.0564, 6.0564) * CHOOSE(CONTROL!$C$21, $C$9, 100%, $E$9)</f>
        <v>6.0564</v>
      </c>
      <c r="T109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09" s="58">
        <f>(1000*CHOOSE(CONTROL!$C$42, 695, 695)*CHOOSE(CONTROL!$C$42, 0.5599, 0.5599)*CHOOSE(CONTROL!$C$42, 31, 31))/1000000</f>
        <v>12.063045499999998</v>
      </c>
      <c r="V109" s="58">
        <f>(1000*CHOOSE(CONTROL!$C$42, 500, 500)*CHOOSE(CONTROL!$C$42, 0.275, 0.275)*CHOOSE(CONTROL!$C$42, 31, 31))/1000000</f>
        <v>4.2625000000000002</v>
      </c>
      <c r="W109" s="58">
        <f>(1000*CHOOSE(CONTROL!$C$42, 0.1146, 0.1146)*CHOOSE(CONTROL!$C$42, 121.5, 121.5)*CHOOSE(CONTROL!$C$42, 31, 31))/1000000</f>
        <v>0.43164089999999994</v>
      </c>
      <c r="X109" s="58">
        <f>(31*0.1790888*100000/1000000)+(31*0.2374*100000/1000000)</f>
        <v>1.2911152800000001</v>
      </c>
      <c r="Y109" s="58"/>
      <c r="Z109" s="10"/>
      <c r="AA109" s="57"/>
      <c r="AB109" s="51">
        <f>(B109*122.58+C109*297.941+D109*89.177+E109*40.302+F109*40+G109*160+H109*0+I109*100+J109*300)/(122.58+297.941+89.177+40.302+0+40+160+100+300)</f>
        <v>6.2308238359999999</v>
      </c>
      <c r="AC109" s="27">
        <f>(M109*'RAP TEMPLATE-GAS AVAILABILITY'!O108+N109*'RAP TEMPLATE-GAS AVAILABILITY'!P108+O109*'RAP TEMPLATE-GAS AVAILABILITY'!Q108+P109*'RAP TEMPLATE-GAS AVAILABILITY'!R108)/('RAP TEMPLATE-GAS AVAILABILITY'!O108+'RAP TEMPLATE-GAS AVAILABILITY'!P108+'RAP TEMPLATE-GAS AVAILABILITY'!Q108+'RAP TEMPLATE-GAS AVAILABILITY'!R108)</f>
        <v>6.2054712230215836</v>
      </c>
    </row>
    <row r="110" spans="1:29" ht="15.75" x14ac:dyDescent="0.25">
      <c r="A110" s="16">
        <v>44593</v>
      </c>
      <c r="B110" s="10">
        <f>CHOOSE(CONTROL!$C$42, 6.3499, 6.3499) * CHOOSE(CONTROL!$C$21, $C$9, 100%, $E$9)</f>
        <v>6.3498999999999999</v>
      </c>
      <c r="C110" s="10">
        <f>CHOOSE(CONTROL!$C$42, 6.3548, 6.3548) * CHOOSE(CONTROL!$C$21, $C$9, 100%, $E$9)</f>
        <v>6.3548</v>
      </c>
      <c r="D110" s="10">
        <f>CHOOSE(CONTROL!$C$42, 6.472, 6.472) * CHOOSE(CONTROL!$C$21, $C$9, 100%, $E$9)</f>
        <v>6.4720000000000004</v>
      </c>
      <c r="E110" s="10">
        <f>CHOOSE(CONTROL!$C$42, 6.5057, 6.5057) * CHOOSE(CONTROL!$C$21, $C$9, 100%, $E$9)</f>
        <v>6.5057</v>
      </c>
      <c r="F110" s="10">
        <f>CHOOSE(CONTROL!$C$42, 6.4275, 6.4275)*CHOOSE(CONTROL!$C$21, $C$9, 100%, $E$9)</f>
        <v>6.4275000000000002</v>
      </c>
      <c r="G110" s="10">
        <f>CHOOSE(CONTROL!$C$42, 6.4494, 6.4494)*CHOOSE(CONTROL!$C$21, $C$9, 100%, $E$9)</f>
        <v>6.4493999999999998</v>
      </c>
      <c r="H110" s="10">
        <f>CHOOSE(CONTROL!$C$42, 6.4949, 6.4949) * CHOOSE(CONTROL!$C$21, $C$9, 100%, $E$9)</f>
        <v>6.4949000000000003</v>
      </c>
      <c r="I110" s="10">
        <f>CHOOSE(CONTROL!$C$42, 6.3856, 6.3856)* CHOOSE(CONTROL!$C$21, $C$9, 100%, $E$9)</f>
        <v>6.3856000000000002</v>
      </c>
      <c r="J110" s="10">
        <f>CHOOSE(CONTROL!$C$42, 6.4205, 6.4205)* CHOOSE(CONTROL!$C$21, $C$9, 100%, $E$9)</f>
        <v>6.4204999999999997</v>
      </c>
      <c r="K110" s="54">
        <f>CHOOSE(CONTROL!$C$42, 6.3817, 6.3817) * CHOOSE(CONTROL!$C$21, $C$9, 100%, $E$9)</f>
        <v>6.3817000000000004</v>
      </c>
      <c r="L110" s="10">
        <f>CHOOSE(CONTROL!$C$42, 7.0819, 7.0819) * CHOOSE(CONTROL!$C$21, $C$9, 100%, $E$9)</f>
        <v>7.0819000000000001</v>
      </c>
      <c r="M110" s="10">
        <f>CHOOSE(CONTROL!$C$42, 6.3695, 6.3695) * CHOOSE(CONTROL!$C$21, $C$9, 100%, $E$9)</f>
        <v>6.3695000000000004</v>
      </c>
      <c r="N110" s="10">
        <f>CHOOSE(CONTROL!$C$42, 6.3912, 6.3912) * CHOOSE(CONTROL!$C$21, $C$9, 100%, $E$9)</f>
        <v>6.3912000000000004</v>
      </c>
      <c r="O110" s="10">
        <f>CHOOSE(CONTROL!$C$42, 6.4432, 6.4432) * CHOOSE(CONTROL!$C$21, $C$9, 100%, $E$9)</f>
        <v>6.4432</v>
      </c>
      <c r="P110" s="10">
        <f>CHOOSE(CONTROL!$C$42, 6.335, 6.335) * CHOOSE(CONTROL!$C$21, $C$9, 100%, $E$9)</f>
        <v>6.335</v>
      </c>
      <c r="Q110" s="10">
        <f>CHOOSE(CONTROL!$C$42, 7.0385, 7.0385) * CHOOSE(CONTROL!$C$21, $C$9, 100%, $E$9)</f>
        <v>7.0385</v>
      </c>
      <c r="R110" s="10">
        <f>CHOOSE(CONTROL!$C$42, 7.6431, 7.6431) * CHOOSE(CONTROL!$C$21, $C$9, 100%, $E$9)</f>
        <v>7.6430999999999996</v>
      </c>
      <c r="S110" s="10">
        <f>CHOOSE(CONTROL!$C$42, 6.1642, 6.1642) * CHOOSE(CONTROL!$C$21, $C$9, 100%, $E$9)</f>
        <v>6.1642000000000001</v>
      </c>
      <c r="T110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10" s="58">
        <f>(1000*CHOOSE(CONTROL!$C$42, 695, 695)*CHOOSE(CONTROL!$C$42, 0.5599, 0.5599)*CHOOSE(CONTROL!$C$42, 28, 28))/1000000</f>
        <v>10.895653999999999</v>
      </c>
      <c r="V110" s="58">
        <f>(1000*CHOOSE(CONTROL!$C$42, 500, 500)*CHOOSE(CONTROL!$C$42, 0.275, 0.275)*CHOOSE(CONTROL!$C$42, 28, 28))/1000000</f>
        <v>3.85</v>
      </c>
      <c r="W110" s="58">
        <f>(1000*CHOOSE(CONTROL!$C$42, 0.1146, 0.1146)*CHOOSE(CONTROL!$C$42, 121.5, 121.5)*CHOOSE(CONTROL!$C$42, 28, 28))/1000000</f>
        <v>0.38986920000000003</v>
      </c>
      <c r="X110" s="58">
        <f>(28*0.1790888*100000/1000000)+(28*0.2374*100000/1000000)</f>
        <v>1.16616864</v>
      </c>
      <c r="Y110" s="58"/>
      <c r="Z110" s="10"/>
      <c r="AA110" s="57"/>
      <c r="AB110" s="51">
        <f>(B110*122.58+C110*297.941+D110*89.177+E110*40.302+F110*40+G110*160+H110*0+I110*100+J110*300)/(122.58+297.941+89.177+40.302+0+40+160+100+300)</f>
        <v>6.4041621514782614</v>
      </c>
      <c r="AC110" s="27">
        <f>(M110*'RAP TEMPLATE-GAS AVAILABILITY'!O109+N110*'RAP TEMPLATE-GAS AVAILABILITY'!P109+O110*'RAP TEMPLATE-GAS AVAILABILITY'!Q109+P110*'RAP TEMPLATE-GAS AVAILABILITY'!R109)/('RAP TEMPLATE-GAS AVAILABILITY'!O109+'RAP TEMPLATE-GAS AVAILABILITY'!P109+'RAP TEMPLATE-GAS AVAILABILITY'!Q109+'RAP TEMPLATE-GAS AVAILABILITY'!R109)</f>
        <v>6.3991884892086324</v>
      </c>
    </row>
    <row r="111" spans="1:29" ht="15.75" x14ac:dyDescent="0.25">
      <c r="A111" s="16">
        <v>44621</v>
      </c>
      <c r="B111" s="10">
        <f>CHOOSE(CONTROL!$C$42, 6.1697, 6.1697) * CHOOSE(CONTROL!$C$21, $C$9, 100%, $E$9)</f>
        <v>6.1696999999999997</v>
      </c>
      <c r="C111" s="10">
        <f>CHOOSE(CONTROL!$C$42, 6.1746, 6.1746) * CHOOSE(CONTROL!$C$21, $C$9, 100%, $E$9)</f>
        <v>6.1745999999999999</v>
      </c>
      <c r="D111" s="10">
        <f>CHOOSE(CONTROL!$C$42, 6.266, 6.266) * CHOOSE(CONTROL!$C$21, $C$9, 100%, $E$9)</f>
        <v>6.266</v>
      </c>
      <c r="E111" s="10">
        <f>CHOOSE(CONTROL!$C$42, 6.2998, 6.2998) * CHOOSE(CONTROL!$C$21, $C$9, 100%, $E$9)</f>
        <v>6.2998000000000003</v>
      </c>
      <c r="F111" s="10">
        <f>CHOOSE(CONTROL!$C$42, 6.1995, 6.1995)*CHOOSE(CONTROL!$C$21, $C$9, 100%, $E$9)</f>
        <v>6.1994999999999996</v>
      </c>
      <c r="G111" s="10">
        <f>CHOOSE(CONTROL!$C$42, 6.219, 6.219)*CHOOSE(CONTROL!$C$21, $C$9, 100%, $E$9)</f>
        <v>6.2190000000000003</v>
      </c>
      <c r="H111" s="10">
        <f>CHOOSE(CONTROL!$C$42, 6.289, 6.289) * CHOOSE(CONTROL!$C$21, $C$9, 100%, $E$9)</f>
        <v>6.2889999999999997</v>
      </c>
      <c r="I111" s="10">
        <f>CHOOSE(CONTROL!$C$42, 6.1925, 6.1925)* CHOOSE(CONTROL!$C$21, $C$9, 100%, $E$9)</f>
        <v>6.1924999999999999</v>
      </c>
      <c r="J111" s="10">
        <f>CHOOSE(CONTROL!$C$42, 6.1925, 6.1925)* CHOOSE(CONTROL!$C$21, $C$9, 100%, $E$9)</f>
        <v>6.1924999999999999</v>
      </c>
      <c r="K111" s="54">
        <f>CHOOSE(CONTROL!$C$42, 6.1886, 6.1886) * CHOOSE(CONTROL!$C$21, $C$9, 100%, $E$9)</f>
        <v>6.1886000000000001</v>
      </c>
      <c r="L111" s="10">
        <f>CHOOSE(CONTROL!$C$42, 6.876, 6.876) * CHOOSE(CONTROL!$C$21, $C$9, 100%, $E$9)</f>
        <v>6.8760000000000003</v>
      </c>
      <c r="M111" s="10">
        <f>CHOOSE(CONTROL!$C$42, 6.1439, 6.1439) * CHOOSE(CONTROL!$C$21, $C$9, 100%, $E$9)</f>
        <v>6.1439000000000004</v>
      </c>
      <c r="N111" s="10">
        <f>CHOOSE(CONTROL!$C$42, 6.1632, 6.1632) * CHOOSE(CONTROL!$C$21, $C$9, 100%, $E$9)</f>
        <v>6.1631999999999998</v>
      </c>
      <c r="O111" s="10">
        <f>CHOOSE(CONTROL!$C$42, 6.2394, 6.2394) * CHOOSE(CONTROL!$C$21, $C$9, 100%, $E$9)</f>
        <v>6.2393999999999998</v>
      </c>
      <c r="P111" s="10">
        <f>CHOOSE(CONTROL!$C$42, 6.1439, 6.1439) * CHOOSE(CONTROL!$C$21, $C$9, 100%, $E$9)</f>
        <v>6.1439000000000004</v>
      </c>
      <c r="Q111" s="10">
        <f>CHOOSE(CONTROL!$C$42, 6.8347, 6.8347) * CHOOSE(CONTROL!$C$21, $C$9, 100%, $E$9)</f>
        <v>6.8346999999999998</v>
      </c>
      <c r="R111" s="10">
        <f>CHOOSE(CONTROL!$C$42, 7.4388, 7.4388) * CHOOSE(CONTROL!$C$21, $C$9, 100%, $E$9)</f>
        <v>7.4387999999999996</v>
      </c>
      <c r="S111" s="10">
        <f>CHOOSE(CONTROL!$C$42, 5.9892, 5.9892) * CHOOSE(CONTROL!$C$21, $C$9, 100%, $E$9)</f>
        <v>5.9892000000000003</v>
      </c>
      <c r="T111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11" s="58">
        <f>(1000*CHOOSE(CONTROL!$C$42, 695, 695)*CHOOSE(CONTROL!$C$42, 0.5599, 0.5599)*CHOOSE(CONTROL!$C$42, 31, 31))/1000000</f>
        <v>12.063045499999998</v>
      </c>
      <c r="V111" s="58">
        <f>(1000*CHOOSE(CONTROL!$C$42, 500, 500)*CHOOSE(CONTROL!$C$42, 0.275, 0.275)*CHOOSE(CONTROL!$C$42, 31, 31))/1000000</f>
        <v>4.2625000000000002</v>
      </c>
      <c r="W111" s="58">
        <f>(1000*CHOOSE(CONTROL!$C$42, 0.1146, 0.1146)*CHOOSE(CONTROL!$C$42, 121.5, 121.5)*CHOOSE(CONTROL!$C$42, 31, 31))/1000000</f>
        <v>0.43164089999999994</v>
      </c>
      <c r="X111" s="58">
        <f>(31*0.1790888*100000/1000000)+(31*0.2374*100000/1000000)</f>
        <v>1.2911152800000001</v>
      </c>
      <c r="Y111" s="58"/>
      <c r="Z111" s="10"/>
      <c r="AA111" s="57"/>
      <c r="AB111" s="51">
        <f>(B111*122.58+C111*297.941+D111*89.177+E111*40.302+F111*40+G111*160+H111*0+I111*100+J111*300)/(122.58+297.941+89.177+40.302+0+40+160+100+300)</f>
        <v>6.1988225619130439</v>
      </c>
      <c r="AC111" s="27">
        <f>(M111*'RAP TEMPLATE-GAS AVAILABILITY'!O110+N111*'RAP TEMPLATE-GAS AVAILABILITY'!P110+O111*'RAP TEMPLATE-GAS AVAILABILITY'!Q110+P111*'RAP TEMPLATE-GAS AVAILABILITY'!R110)/('RAP TEMPLATE-GAS AVAILABILITY'!O110+'RAP TEMPLATE-GAS AVAILABILITY'!P110+'RAP TEMPLATE-GAS AVAILABILITY'!Q110+'RAP TEMPLATE-GAS AVAILABILITY'!R110)</f>
        <v>6.1882949640287777</v>
      </c>
    </row>
    <row r="112" spans="1:29" ht="15.75" x14ac:dyDescent="0.25">
      <c r="A112" s="16">
        <v>44652</v>
      </c>
      <c r="B112" s="10">
        <f>CHOOSE(CONTROL!$C$42, 6.152, 6.152) * CHOOSE(CONTROL!$C$21, $C$9, 100%, $E$9)</f>
        <v>6.1520000000000001</v>
      </c>
      <c r="C112" s="10">
        <f>CHOOSE(CONTROL!$C$42, 6.1564, 6.1564) * CHOOSE(CONTROL!$C$21, $C$9, 100%, $E$9)</f>
        <v>6.1563999999999997</v>
      </c>
      <c r="D112" s="10">
        <f>CHOOSE(CONTROL!$C$42, 6.3381, 6.3381) * CHOOSE(CONTROL!$C$21, $C$9, 100%, $E$9)</f>
        <v>6.3380999999999998</v>
      </c>
      <c r="E112" s="10">
        <f>CHOOSE(CONTROL!$C$42, 6.3698, 6.3698) * CHOOSE(CONTROL!$C$21, $C$9, 100%, $E$9)</f>
        <v>6.3697999999999997</v>
      </c>
      <c r="F112" s="10">
        <f>CHOOSE(CONTROL!$C$42, 6.1403, 6.1403)*CHOOSE(CONTROL!$C$21, $C$9, 100%, $E$9)</f>
        <v>6.1402999999999999</v>
      </c>
      <c r="G112" s="10">
        <f>CHOOSE(CONTROL!$C$42, 6.1583, 6.1583)*CHOOSE(CONTROL!$C$21, $C$9, 100%, $E$9)</f>
        <v>6.1582999999999997</v>
      </c>
      <c r="H112" s="10">
        <f>CHOOSE(CONTROL!$C$42, 6.3596, 6.3596) * CHOOSE(CONTROL!$C$21, $C$9, 100%, $E$9)</f>
        <v>6.3596000000000004</v>
      </c>
      <c r="I112" s="10">
        <f>CHOOSE(CONTROL!$C$42, 6.1303, 6.1303)* CHOOSE(CONTROL!$C$21, $C$9, 100%, $E$9)</f>
        <v>6.1303000000000001</v>
      </c>
      <c r="J112" s="10">
        <f>CHOOSE(CONTROL!$C$42, 6.1333, 6.1333)* CHOOSE(CONTROL!$C$21, $C$9, 100%, $E$9)</f>
        <v>6.1333000000000002</v>
      </c>
      <c r="K112" s="54">
        <f>CHOOSE(CONTROL!$C$42, 6.1264, 6.1264) * CHOOSE(CONTROL!$C$21, $C$9, 100%, $E$9)</f>
        <v>6.1264000000000003</v>
      </c>
      <c r="L112" s="10">
        <f>CHOOSE(CONTROL!$C$42, 6.9466, 6.9466) * CHOOSE(CONTROL!$C$21, $C$9, 100%, $E$9)</f>
        <v>6.9466000000000001</v>
      </c>
      <c r="M112" s="10">
        <f>CHOOSE(CONTROL!$C$42, 6.0853, 6.0853) * CHOOSE(CONTROL!$C$21, $C$9, 100%, $E$9)</f>
        <v>6.0853000000000002</v>
      </c>
      <c r="N112" s="10">
        <f>CHOOSE(CONTROL!$C$42, 6.1031, 6.1031) * CHOOSE(CONTROL!$C$21, $C$9, 100%, $E$9)</f>
        <v>6.1031000000000004</v>
      </c>
      <c r="O112" s="10">
        <f>CHOOSE(CONTROL!$C$42, 6.3093, 6.3093) * CHOOSE(CONTROL!$C$21, $C$9, 100%, $E$9)</f>
        <v>6.3093000000000004</v>
      </c>
      <c r="P112" s="10">
        <f>CHOOSE(CONTROL!$C$42, 6.0823, 6.0823) * CHOOSE(CONTROL!$C$21, $C$9, 100%, $E$9)</f>
        <v>6.0823</v>
      </c>
      <c r="Q112" s="10">
        <f>CHOOSE(CONTROL!$C$42, 6.9046, 6.9046) * CHOOSE(CONTROL!$C$21, $C$9, 100%, $E$9)</f>
        <v>6.9046000000000003</v>
      </c>
      <c r="R112" s="10">
        <f>CHOOSE(CONTROL!$C$42, 7.5088, 7.5088) * CHOOSE(CONTROL!$C$21, $C$9, 100%, $E$9)</f>
        <v>7.5087999999999999</v>
      </c>
      <c r="S112" s="10">
        <f>CHOOSE(CONTROL!$C$42, 5.9713, 5.9713) * CHOOSE(CONTROL!$C$21, $C$9, 100%, $E$9)</f>
        <v>5.9713000000000003</v>
      </c>
      <c r="T112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12" s="58">
        <f>(1000*CHOOSE(CONTROL!$C$42, 695, 695)*CHOOSE(CONTROL!$C$42, 0.5599, 0.5599)*CHOOSE(CONTROL!$C$42, 30, 30))/1000000</f>
        <v>11.673914999999997</v>
      </c>
      <c r="V112" s="58">
        <f>(1000*CHOOSE(CONTROL!$C$42, 500, 500)*CHOOSE(CONTROL!$C$42, 0.275, 0.275)*CHOOSE(CONTROL!$C$42, 30, 30))/1000000</f>
        <v>4.125</v>
      </c>
      <c r="W112" s="58">
        <f>(1000*CHOOSE(CONTROL!$C$42, 0.1146, 0.1146)*CHOOSE(CONTROL!$C$42, 121.5, 121.5)*CHOOSE(CONTROL!$C$42, 30, 30))/1000000</f>
        <v>0.417717</v>
      </c>
      <c r="X112" s="58">
        <f>(30*0.1790888*245000/1000000)+(30*0.2374*100000/1000000)</f>
        <v>2.0285026799999999</v>
      </c>
      <c r="Y112" s="58"/>
      <c r="Z112" s="10"/>
      <c r="AA112" s="57"/>
      <c r="AB112" s="51">
        <f>(B112*141.293+C112*267.993+D112*115.016+E112*89.698+F112*40+G112*185+H112*0+I112*100+J112*300)/(141.293+267.993+115.016+89.698+0+40+185+100+300)</f>
        <v>6.1802787499596441</v>
      </c>
      <c r="AC112" s="27">
        <f>(M112*'RAP TEMPLATE-GAS AVAILABILITY'!O111+N112*'RAP TEMPLATE-GAS AVAILABILITY'!P111+O112*'RAP TEMPLATE-GAS AVAILABILITY'!Q111+P112*'RAP TEMPLATE-GAS AVAILABILITY'!R111)/('RAP TEMPLATE-GAS AVAILABILITY'!O111+'RAP TEMPLATE-GAS AVAILABILITY'!P111+'RAP TEMPLATE-GAS AVAILABILITY'!Q111+'RAP TEMPLATE-GAS AVAILABILITY'!R111)</f>
        <v>6.15181510791367</v>
      </c>
    </row>
    <row r="113" spans="1:29" ht="15.75" x14ac:dyDescent="0.25">
      <c r="A113" s="16">
        <v>44682</v>
      </c>
      <c r="B113" s="10">
        <f>CHOOSE(CONTROL!$C$42, 6.2081, 6.2081) * CHOOSE(CONTROL!$C$21, $C$9, 100%, $E$9)</f>
        <v>6.2081</v>
      </c>
      <c r="C113" s="10">
        <f>CHOOSE(CONTROL!$C$42, 6.216, 6.216) * CHOOSE(CONTROL!$C$21, $C$9, 100%, $E$9)</f>
        <v>6.2160000000000002</v>
      </c>
      <c r="D113" s="10">
        <f>CHOOSE(CONTROL!$C$42, 6.3945, 6.3945) * CHOOSE(CONTROL!$C$21, $C$9, 100%, $E$9)</f>
        <v>6.3944999999999999</v>
      </c>
      <c r="E113" s="10">
        <f>CHOOSE(CONTROL!$C$42, 6.4256, 6.4256) * CHOOSE(CONTROL!$C$21, $C$9, 100%, $E$9)</f>
        <v>6.4256000000000002</v>
      </c>
      <c r="F113" s="10">
        <f>CHOOSE(CONTROL!$C$42, 6.1942, 6.1942)*CHOOSE(CONTROL!$C$21, $C$9, 100%, $E$9)</f>
        <v>6.1942000000000004</v>
      </c>
      <c r="G113" s="10">
        <f>CHOOSE(CONTROL!$C$42, 6.2124, 6.2124)*CHOOSE(CONTROL!$C$21, $C$9, 100%, $E$9)</f>
        <v>6.2123999999999997</v>
      </c>
      <c r="H113" s="10">
        <f>CHOOSE(CONTROL!$C$42, 6.4143, 6.4143) * CHOOSE(CONTROL!$C$21, $C$9, 100%, $E$9)</f>
        <v>6.4142999999999999</v>
      </c>
      <c r="I113" s="10">
        <f>CHOOSE(CONTROL!$C$42, 6.1849, 6.1849)* CHOOSE(CONTROL!$C$21, $C$9, 100%, $E$9)</f>
        <v>6.1848999999999998</v>
      </c>
      <c r="J113" s="10">
        <f>CHOOSE(CONTROL!$C$42, 6.1872, 6.1872)* CHOOSE(CONTROL!$C$21, $C$9, 100%, $E$9)</f>
        <v>6.1871999999999998</v>
      </c>
      <c r="K113" s="54">
        <f>CHOOSE(CONTROL!$C$42, 6.181, 6.181) * CHOOSE(CONTROL!$C$21, $C$9, 100%, $E$9)</f>
        <v>6.181</v>
      </c>
      <c r="L113" s="10">
        <f>CHOOSE(CONTROL!$C$42, 7.0013, 7.0013) * CHOOSE(CONTROL!$C$21, $C$9, 100%, $E$9)</f>
        <v>7.0012999999999996</v>
      </c>
      <c r="M113" s="10">
        <f>CHOOSE(CONTROL!$C$42, 6.1386, 6.1386) * CHOOSE(CONTROL!$C$21, $C$9, 100%, $E$9)</f>
        <v>6.1386000000000003</v>
      </c>
      <c r="N113" s="10">
        <f>CHOOSE(CONTROL!$C$42, 6.1566, 6.1566) * CHOOSE(CONTROL!$C$21, $C$9, 100%, $E$9)</f>
        <v>6.1566000000000001</v>
      </c>
      <c r="O113" s="10">
        <f>CHOOSE(CONTROL!$C$42, 6.3634, 6.3634) * CHOOSE(CONTROL!$C$21, $C$9, 100%, $E$9)</f>
        <v>6.3634000000000004</v>
      </c>
      <c r="P113" s="10">
        <f>CHOOSE(CONTROL!$C$42, 6.1364, 6.1364) * CHOOSE(CONTROL!$C$21, $C$9, 100%, $E$9)</f>
        <v>6.1364000000000001</v>
      </c>
      <c r="Q113" s="10">
        <f>CHOOSE(CONTROL!$C$42, 6.9587, 6.9587) * CHOOSE(CONTROL!$C$21, $C$9, 100%, $E$9)</f>
        <v>6.9587000000000003</v>
      </c>
      <c r="R113" s="10">
        <f>CHOOSE(CONTROL!$C$42, 7.5631, 7.5631) * CHOOSE(CONTROL!$C$21, $C$9, 100%, $E$9)</f>
        <v>7.5631000000000004</v>
      </c>
      <c r="S113" s="10">
        <f>CHOOSE(CONTROL!$C$42, 6.0244, 6.0244) * CHOOSE(CONTROL!$C$21, $C$9, 100%, $E$9)</f>
        <v>6.0244</v>
      </c>
      <c r="T113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13" s="58">
        <f>(1000*CHOOSE(CONTROL!$C$42, 695, 695)*CHOOSE(CONTROL!$C$42, 0.5599, 0.5599)*CHOOSE(CONTROL!$C$42, 31, 31))/1000000</f>
        <v>12.063045499999998</v>
      </c>
      <c r="V113" s="58">
        <f>(1000*CHOOSE(CONTROL!$C$42, 500, 500)*CHOOSE(CONTROL!$C$42, 0.275, 0.275)*CHOOSE(CONTROL!$C$42, 31, 31))/1000000</f>
        <v>4.2625000000000002</v>
      </c>
      <c r="W113" s="58">
        <f>(1000*CHOOSE(CONTROL!$C$42, 0.1146, 0.1146)*CHOOSE(CONTROL!$C$42, 121.5, 121.5)*CHOOSE(CONTROL!$C$42, 31, 31))/1000000</f>
        <v>0.43164089999999994</v>
      </c>
      <c r="X113" s="58">
        <f>(31*0.1790888*245000/1000000)+(31*0.2374*100000/1000000)</f>
        <v>2.0961194359999999</v>
      </c>
      <c r="Y113" s="58"/>
      <c r="Z113" s="10"/>
      <c r="AA113" s="57"/>
      <c r="AB113" s="51">
        <f>(B113*194.205+C113*267.466+D113*133.845+E113*53.484+F113*40+G113*185+H113*0+I113*100+J113*300)/(194.205+267.466+133.845+53.484+0+40+185+100+300)</f>
        <v>6.2319178645211926</v>
      </c>
      <c r="AC113" s="27">
        <f>(M113*'RAP TEMPLATE-GAS AVAILABILITY'!O112+N113*'RAP TEMPLATE-GAS AVAILABILITY'!P112+O113*'RAP TEMPLATE-GAS AVAILABILITY'!Q112+P113*'RAP TEMPLATE-GAS AVAILABILITY'!R112)/('RAP TEMPLATE-GAS AVAILABILITY'!O112+'RAP TEMPLATE-GAS AVAILABILITY'!P112+'RAP TEMPLATE-GAS AVAILABILITY'!Q112+'RAP TEMPLATE-GAS AVAILABILITY'!R112)</f>
        <v>6.2055007194244611</v>
      </c>
    </row>
    <row r="114" spans="1:29" ht="15.75" x14ac:dyDescent="0.25">
      <c r="A114" s="16">
        <v>44713</v>
      </c>
      <c r="B114" s="10">
        <f>CHOOSE(CONTROL!$C$42, 6.384, 6.384) * CHOOSE(CONTROL!$C$21, $C$9, 100%, $E$9)</f>
        <v>6.3840000000000003</v>
      </c>
      <c r="C114" s="10">
        <f>CHOOSE(CONTROL!$C$42, 6.3919, 6.3919) * CHOOSE(CONTROL!$C$21, $C$9, 100%, $E$9)</f>
        <v>6.3918999999999997</v>
      </c>
      <c r="D114" s="10">
        <f>CHOOSE(CONTROL!$C$42, 6.5704, 6.5704) * CHOOSE(CONTROL!$C$21, $C$9, 100%, $E$9)</f>
        <v>6.5704000000000002</v>
      </c>
      <c r="E114" s="10">
        <f>CHOOSE(CONTROL!$C$42, 6.6016, 6.6016) * CHOOSE(CONTROL!$C$21, $C$9, 100%, $E$9)</f>
        <v>6.6016000000000004</v>
      </c>
      <c r="F114" s="10">
        <f>CHOOSE(CONTROL!$C$42, 6.3704, 6.3704)*CHOOSE(CONTROL!$C$21, $C$9, 100%, $E$9)</f>
        <v>6.3704000000000001</v>
      </c>
      <c r="G114" s="10">
        <f>CHOOSE(CONTROL!$C$42, 6.3887, 6.3887)*CHOOSE(CONTROL!$C$21, $C$9, 100%, $E$9)</f>
        <v>6.3887</v>
      </c>
      <c r="H114" s="10">
        <f>CHOOSE(CONTROL!$C$42, 6.5902, 6.5902) * CHOOSE(CONTROL!$C$21, $C$9, 100%, $E$9)</f>
        <v>6.5902000000000003</v>
      </c>
      <c r="I114" s="10">
        <f>CHOOSE(CONTROL!$C$42, 6.3609, 6.3609)* CHOOSE(CONTROL!$C$21, $C$9, 100%, $E$9)</f>
        <v>6.3609</v>
      </c>
      <c r="J114" s="10">
        <f>CHOOSE(CONTROL!$C$42, 6.3634, 6.3634)* CHOOSE(CONTROL!$C$21, $C$9, 100%, $E$9)</f>
        <v>6.3634000000000004</v>
      </c>
      <c r="K114" s="54">
        <f>CHOOSE(CONTROL!$C$42, 6.357, 6.357) * CHOOSE(CONTROL!$C$21, $C$9, 100%, $E$9)</f>
        <v>6.3570000000000002</v>
      </c>
      <c r="L114" s="10">
        <f>CHOOSE(CONTROL!$C$42, 7.1772, 7.1772) * CHOOSE(CONTROL!$C$21, $C$9, 100%, $E$9)</f>
        <v>7.1772</v>
      </c>
      <c r="M114" s="10">
        <f>CHOOSE(CONTROL!$C$42, 6.313, 6.313) * CHOOSE(CONTROL!$C$21, $C$9, 100%, $E$9)</f>
        <v>6.3129999999999997</v>
      </c>
      <c r="N114" s="10">
        <f>CHOOSE(CONTROL!$C$42, 6.3311, 6.3311) * CHOOSE(CONTROL!$C$21, $C$9, 100%, $E$9)</f>
        <v>6.3311000000000002</v>
      </c>
      <c r="O114" s="10">
        <f>CHOOSE(CONTROL!$C$42, 6.5375, 6.5375) * CHOOSE(CONTROL!$C$21, $C$9, 100%, $E$9)</f>
        <v>6.5374999999999996</v>
      </c>
      <c r="P114" s="10">
        <f>CHOOSE(CONTROL!$C$42, 6.3105, 6.3105) * CHOOSE(CONTROL!$C$21, $C$9, 100%, $E$9)</f>
        <v>6.3105000000000002</v>
      </c>
      <c r="Q114" s="10">
        <f>CHOOSE(CONTROL!$C$42, 7.1328, 7.1328) * CHOOSE(CONTROL!$C$21, $C$9, 100%, $E$9)</f>
        <v>7.1327999999999996</v>
      </c>
      <c r="R114" s="10">
        <f>CHOOSE(CONTROL!$C$42, 7.7377, 7.7377) * CHOOSE(CONTROL!$C$21, $C$9, 100%, $E$9)</f>
        <v>7.7377000000000002</v>
      </c>
      <c r="S114" s="10">
        <f>CHOOSE(CONTROL!$C$42, 6.1953, 6.1953) * CHOOSE(CONTROL!$C$21, $C$9, 100%, $E$9)</f>
        <v>6.1952999999999996</v>
      </c>
      <c r="T114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14" s="58">
        <f>(1000*CHOOSE(CONTROL!$C$42, 695, 695)*CHOOSE(CONTROL!$C$42, 0.5599, 0.5599)*CHOOSE(CONTROL!$C$42, 30, 30))/1000000</f>
        <v>11.673914999999997</v>
      </c>
      <c r="V114" s="58">
        <f>(1000*CHOOSE(CONTROL!$C$42, 500, 500)*CHOOSE(CONTROL!$C$42, 0.275, 0.275)*CHOOSE(CONTROL!$C$42, 30, 30))/1000000</f>
        <v>4.125</v>
      </c>
      <c r="W114" s="58">
        <f>(1000*CHOOSE(CONTROL!$C$42, 0.1146, 0.1146)*CHOOSE(CONTROL!$C$42, 121.5, 121.5)*CHOOSE(CONTROL!$C$42, 30, 30))/1000000</f>
        <v>0.417717</v>
      </c>
      <c r="X114" s="58">
        <f>(30*0.1790888*245000/1000000)+(30*0.2374*100000/1000000)</f>
        <v>2.0285026799999999</v>
      </c>
      <c r="Y114" s="58"/>
      <c r="Z114" s="10"/>
      <c r="AA114" s="57"/>
      <c r="AB114" s="51">
        <f>(B114*194.205+C114*267.466+D114*133.845+E114*53.484+F114*40+G114*185+H114*0+I114*100+J114*300)/(194.205+267.466+133.845+53.484+0+40+185+100+300)</f>
        <v>6.4079680594976454</v>
      </c>
      <c r="AC114" s="27">
        <f>(M114*'RAP TEMPLATE-GAS AVAILABILITY'!O113+N114*'RAP TEMPLATE-GAS AVAILABILITY'!P113+O114*'RAP TEMPLATE-GAS AVAILABILITY'!Q113+P114*'RAP TEMPLATE-GAS AVAILABILITY'!R113)/('RAP TEMPLATE-GAS AVAILABILITY'!O113+'RAP TEMPLATE-GAS AVAILABILITY'!P113+'RAP TEMPLATE-GAS AVAILABILITY'!Q113+'RAP TEMPLATE-GAS AVAILABILITY'!R113)</f>
        <v>6.3797964028776972</v>
      </c>
    </row>
    <row r="115" spans="1:29" ht="15.75" x14ac:dyDescent="0.25">
      <c r="A115" s="16">
        <v>44743</v>
      </c>
      <c r="B115" s="10">
        <f>CHOOSE(CONTROL!$C$42, 6.2616, 6.2616) * CHOOSE(CONTROL!$C$21, $C$9, 100%, $E$9)</f>
        <v>6.2615999999999996</v>
      </c>
      <c r="C115" s="10">
        <f>CHOOSE(CONTROL!$C$42, 6.2695, 6.2695) * CHOOSE(CONTROL!$C$21, $C$9, 100%, $E$9)</f>
        <v>6.2694999999999999</v>
      </c>
      <c r="D115" s="10">
        <f>CHOOSE(CONTROL!$C$42, 6.4481, 6.4481) * CHOOSE(CONTROL!$C$21, $C$9, 100%, $E$9)</f>
        <v>6.4481000000000002</v>
      </c>
      <c r="E115" s="10">
        <f>CHOOSE(CONTROL!$C$42, 6.4792, 6.4792) * CHOOSE(CONTROL!$C$21, $C$9, 100%, $E$9)</f>
        <v>6.4791999999999996</v>
      </c>
      <c r="F115" s="10">
        <f>CHOOSE(CONTROL!$C$42, 6.2483, 6.2483)*CHOOSE(CONTROL!$C$21, $C$9, 100%, $E$9)</f>
        <v>6.2483000000000004</v>
      </c>
      <c r="G115" s="10">
        <f>CHOOSE(CONTROL!$C$42, 6.2667, 6.2667)*CHOOSE(CONTROL!$C$21, $C$9, 100%, $E$9)</f>
        <v>6.2667000000000002</v>
      </c>
      <c r="H115" s="10">
        <f>CHOOSE(CONTROL!$C$42, 6.4678, 6.4678) * CHOOSE(CONTROL!$C$21, $C$9, 100%, $E$9)</f>
        <v>6.4678000000000004</v>
      </c>
      <c r="I115" s="10">
        <f>CHOOSE(CONTROL!$C$42, 6.2385, 6.2385)* CHOOSE(CONTROL!$C$21, $C$9, 100%, $E$9)</f>
        <v>6.2385000000000002</v>
      </c>
      <c r="J115" s="10">
        <f>CHOOSE(CONTROL!$C$42, 6.2413, 6.2413)* CHOOSE(CONTROL!$C$21, $C$9, 100%, $E$9)</f>
        <v>6.2412999999999998</v>
      </c>
      <c r="K115" s="54">
        <f>CHOOSE(CONTROL!$C$42, 6.2346, 6.2346) * CHOOSE(CONTROL!$C$21, $C$9, 100%, $E$9)</f>
        <v>6.2346000000000004</v>
      </c>
      <c r="L115" s="10">
        <f>CHOOSE(CONTROL!$C$42, 7.0548, 7.0548) * CHOOSE(CONTROL!$C$21, $C$9, 100%, $E$9)</f>
        <v>7.0548000000000002</v>
      </c>
      <c r="M115" s="10">
        <f>CHOOSE(CONTROL!$C$42, 6.1922, 6.1922) * CHOOSE(CONTROL!$C$21, $C$9, 100%, $E$9)</f>
        <v>6.1921999999999997</v>
      </c>
      <c r="N115" s="10">
        <f>CHOOSE(CONTROL!$C$42, 6.2103, 6.2103) * CHOOSE(CONTROL!$C$21, $C$9, 100%, $E$9)</f>
        <v>6.2103000000000002</v>
      </c>
      <c r="O115" s="10">
        <f>CHOOSE(CONTROL!$C$42, 6.4164, 6.4164) * CHOOSE(CONTROL!$C$21, $C$9, 100%, $E$9)</f>
        <v>6.4164000000000003</v>
      </c>
      <c r="P115" s="10">
        <f>CHOOSE(CONTROL!$C$42, 6.1894, 6.1894) * CHOOSE(CONTROL!$C$21, $C$9, 100%, $E$9)</f>
        <v>6.1894</v>
      </c>
      <c r="Q115" s="10">
        <f>CHOOSE(CONTROL!$C$42, 7.0117, 7.0117) * CHOOSE(CONTROL!$C$21, $C$9, 100%, $E$9)</f>
        <v>7.0117000000000003</v>
      </c>
      <c r="R115" s="10">
        <f>CHOOSE(CONTROL!$C$42, 7.6162, 7.6162) * CHOOSE(CONTROL!$C$21, $C$9, 100%, $E$9)</f>
        <v>7.6162000000000001</v>
      </c>
      <c r="S115" s="10">
        <f>CHOOSE(CONTROL!$C$42, 6.0764, 6.0764) * CHOOSE(CONTROL!$C$21, $C$9, 100%, $E$9)</f>
        <v>6.0763999999999996</v>
      </c>
      <c r="T115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15" s="58">
        <f>(1000*CHOOSE(CONTROL!$C$42, 695, 695)*CHOOSE(CONTROL!$C$42, 0.5599, 0.5599)*CHOOSE(CONTROL!$C$42, 31, 31))/1000000</f>
        <v>12.063045499999998</v>
      </c>
      <c r="V115" s="58">
        <f>(1000*CHOOSE(CONTROL!$C$42, 500, 500)*CHOOSE(CONTROL!$C$42, 0.275, 0.275)*CHOOSE(CONTROL!$C$42, 31, 31))/1000000</f>
        <v>4.2625000000000002</v>
      </c>
      <c r="W115" s="58">
        <f>(1000*CHOOSE(CONTROL!$C$42, 0.1146, 0.1146)*CHOOSE(CONTROL!$C$42, 121.5, 121.5)*CHOOSE(CONTROL!$C$42, 31, 31))/1000000</f>
        <v>0.43164089999999994</v>
      </c>
      <c r="X115" s="58">
        <f>(31*0.1790888*245000/1000000)+(31*0.2374*100000/1000000)</f>
        <v>2.0961194359999999</v>
      </c>
      <c r="Y115" s="58"/>
      <c r="Z115" s="10"/>
      <c r="AA115" s="57"/>
      <c r="AB115" s="51">
        <f>(B115*194.205+C115*267.466+D115*133.845+E115*53.484+F115*40+G115*185+H115*0+I115*100+J115*300)/(194.205+267.466+133.845+53.484+0+40+185+100+300)</f>
        <v>6.2857167129513343</v>
      </c>
      <c r="AC115" s="27">
        <f>(M115*'RAP TEMPLATE-GAS AVAILABILITY'!O114+N115*'RAP TEMPLATE-GAS AVAILABILITY'!P114+O115*'RAP TEMPLATE-GAS AVAILABILITY'!Q114+P115*'RAP TEMPLATE-GAS AVAILABILITY'!R114)/('RAP TEMPLATE-GAS AVAILABILITY'!O114+'RAP TEMPLATE-GAS AVAILABILITY'!P114+'RAP TEMPLATE-GAS AVAILABILITY'!Q114+'RAP TEMPLATE-GAS AVAILABILITY'!R114)</f>
        <v>6.2588690647482021</v>
      </c>
    </row>
    <row r="116" spans="1:29" ht="15.75" x14ac:dyDescent="0.25">
      <c r="A116" s="16">
        <v>44774</v>
      </c>
      <c r="B116" s="10">
        <f>CHOOSE(CONTROL!$C$42, 5.9526, 5.9526) * CHOOSE(CONTROL!$C$21, $C$9, 100%, $E$9)</f>
        <v>5.9526000000000003</v>
      </c>
      <c r="C116" s="10">
        <f>CHOOSE(CONTROL!$C$42, 5.9605, 5.9605) * CHOOSE(CONTROL!$C$21, $C$9, 100%, $E$9)</f>
        <v>5.9604999999999997</v>
      </c>
      <c r="D116" s="10">
        <f>CHOOSE(CONTROL!$C$42, 6.1391, 6.1391) * CHOOSE(CONTROL!$C$21, $C$9, 100%, $E$9)</f>
        <v>6.1391</v>
      </c>
      <c r="E116" s="10">
        <f>CHOOSE(CONTROL!$C$42, 6.1702, 6.1702) * CHOOSE(CONTROL!$C$21, $C$9, 100%, $E$9)</f>
        <v>6.1702000000000004</v>
      </c>
      <c r="F116" s="10">
        <f>CHOOSE(CONTROL!$C$42, 5.9393, 5.9393)*CHOOSE(CONTROL!$C$21, $C$9, 100%, $E$9)</f>
        <v>5.9393000000000002</v>
      </c>
      <c r="G116" s="10">
        <f>CHOOSE(CONTROL!$C$42, 5.9575, 5.9575)*CHOOSE(CONTROL!$C$21, $C$9, 100%, $E$9)</f>
        <v>5.9574999999999996</v>
      </c>
      <c r="H116" s="10">
        <f>CHOOSE(CONTROL!$C$42, 6.1588, 6.1588) * CHOOSE(CONTROL!$C$21, $C$9, 100%, $E$9)</f>
        <v>6.1588000000000003</v>
      </c>
      <c r="I116" s="10">
        <f>CHOOSE(CONTROL!$C$42, 5.9295, 5.9295)* CHOOSE(CONTROL!$C$21, $C$9, 100%, $E$9)</f>
        <v>5.9295</v>
      </c>
      <c r="J116" s="10">
        <f>CHOOSE(CONTROL!$C$42, 5.9323, 5.9323)* CHOOSE(CONTROL!$C$21, $C$9, 100%, $E$9)</f>
        <v>5.9322999999999997</v>
      </c>
      <c r="K116" s="54">
        <f>CHOOSE(CONTROL!$C$42, 5.9256, 5.9256) * CHOOSE(CONTROL!$C$21, $C$9, 100%, $E$9)</f>
        <v>5.9256000000000002</v>
      </c>
      <c r="L116" s="10">
        <f>CHOOSE(CONTROL!$C$42, 6.7458, 6.7458) * CHOOSE(CONTROL!$C$21, $C$9, 100%, $E$9)</f>
        <v>6.7458</v>
      </c>
      <c r="M116" s="10">
        <f>CHOOSE(CONTROL!$C$42, 5.8862, 5.8862) * CHOOSE(CONTROL!$C$21, $C$9, 100%, $E$9)</f>
        <v>5.8861999999999997</v>
      </c>
      <c r="N116" s="10">
        <f>CHOOSE(CONTROL!$C$42, 5.9043, 5.9043) * CHOOSE(CONTROL!$C$21, $C$9, 100%, $E$9)</f>
        <v>5.9043000000000001</v>
      </c>
      <c r="O116" s="10">
        <f>CHOOSE(CONTROL!$C$42, 6.1105, 6.1105) * CHOOSE(CONTROL!$C$21, $C$9, 100%, $E$9)</f>
        <v>6.1105</v>
      </c>
      <c r="P116" s="10">
        <f>CHOOSE(CONTROL!$C$42, 5.8835, 5.8835) * CHOOSE(CONTROL!$C$21, $C$9, 100%, $E$9)</f>
        <v>5.8834999999999997</v>
      </c>
      <c r="Q116" s="10">
        <f>CHOOSE(CONTROL!$C$42, 6.7058, 6.7058) * CHOOSE(CONTROL!$C$21, $C$9, 100%, $E$9)</f>
        <v>6.7058</v>
      </c>
      <c r="R116" s="10">
        <f>CHOOSE(CONTROL!$C$42, 7.3096, 7.3096) * CHOOSE(CONTROL!$C$21, $C$9, 100%, $E$9)</f>
        <v>7.3095999999999997</v>
      </c>
      <c r="S116" s="10">
        <f>CHOOSE(CONTROL!$C$42, 5.7763, 5.7763) * CHOOSE(CONTROL!$C$21, $C$9, 100%, $E$9)</f>
        <v>5.7763</v>
      </c>
      <c r="T116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16" s="58">
        <f>(1000*CHOOSE(CONTROL!$C$42, 695, 695)*CHOOSE(CONTROL!$C$42, 0.5599, 0.5599)*CHOOSE(CONTROL!$C$42, 31, 31))/1000000</f>
        <v>12.063045499999998</v>
      </c>
      <c r="V116" s="58">
        <f>(1000*CHOOSE(CONTROL!$C$42, 500, 500)*CHOOSE(CONTROL!$C$42, 0.275, 0.275)*CHOOSE(CONTROL!$C$42, 31, 31))/1000000</f>
        <v>4.2625000000000002</v>
      </c>
      <c r="W116" s="58">
        <f>(1000*CHOOSE(CONTROL!$C$42, 0.1146, 0.1146)*CHOOSE(CONTROL!$C$42, 121.5, 121.5)*CHOOSE(CONTROL!$C$42, 31, 31))/1000000</f>
        <v>0.43164089999999994</v>
      </c>
      <c r="X116" s="58">
        <f>(31*0.1790888*245000/1000000)+(31*0.2374*100000/1000000)</f>
        <v>2.0961194359999999</v>
      </c>
      <c r="Y116" s="58"/>
      <c r="Z116" s="10"/>
      <c r="AA116" s="57"/>
      <c r="AB116" s="51">
        <f>(B116*194.205+C116*267.466+D116*133.845+E116*53.484+F116*40+G116*185+H116*0+I116*100+J116*300)/(194.205+267.466+133.845+53.484+0+40+185+100+300)</f>
        <v>5.9766876705651484</v>
      </c>
      <c r="AC116" s="27">
        <f>(M116*'RAP TEMPLATE-GAS AVAILABILITY'!O115+N116*'RAP TEMPLATE-GAS AVAILABILITY'!P115+O116*'RAP TEMPLATE-GAS AVAILABILITY'!Q115+P116*'RAP TEMPLATE-GAS AVAILABILITY'!R115)/('RAP TEMPLATE-GAS AVAILABILITY'!O115+'RAP TEMPLATE-GAS AVAILABILITY'!P115+'RAP TEMPLATE-GAS AVAILABILITY'!Q115+'RAP TEMPLATE-GAS AVAILABILITY'!R115)</f>
        <v>5.9529115107913668</v>
      </c>
    </row>
    <row r="117" spans="1:29" ht="15.75" x14ac:dyDescent="0.25">
      <c r="A117" s="16">
        <v>44805</v>
      </c>
      <c r="B117" s="10">
        <f>CHOOSE(CONTROL!$C$42, 5.575, 5.575) * CHOOSE(CONTROL!$C$21, $C$9, 100%, $E$9)</f>
        <v>5.5750000000000002</v>
      </c>
      <c r="C117" s="10">
        <f>CHOOSE(CONTROL!$C$42, 5.583, 5.583) * CHOOSE(CONTROL!$C$21, $C$9, 100%, $E$9)</f>
        <v>5.5830000000000002</v>
      </c>
      <c r="D117" s="10">
        <f>CHOOSE(CONTROL!$C$42, 5.7615, 5.7615) * CHOOSE(CONTROL!$C$21, $C$9, 100%, $E$9)</f>
        <v>5.7614999999999998</v>
      </c>
      <c r="E117" s="10">
        <f>CHOOSE(CONTROL!$C$42, 5.7926, 5.7926) * CHOOSE(CONTROL!$C$21, $C$9, 100%, $E$9)</f>
        <v>5.7926000000000002</v>
      </c>
      <c r="F117" s="10">
        <f>CHOOSE(CONTROL!$C$42, 5.5614, 5.5614)*CHOOSE(CONTROL!$C$21, $C$9, 100%, $E$9)</f>
        <v>5.5613999999999999</v>
      </c>
      <c r="G117" s="10">
        <f>CHOOSE(CONTROL!$C$42, 5.5796, 5.5796)*CHOOSE(CONTROL!$C$21, $C$9, 100%, $E$9)</f>
        <v>5.5796000000000001</v>
      </c>
      <c r="H117" s="10">
        <f>CHOOSE(CONTROL!$C$42, 5.7813, 5.7813) * CHOOSE(CONTROL!$C$21, $C$9, 100%, $E$9)</f>
        <v>5.7812999999999999</v>
      </c>
      <c r="I117" s="10">
        <f>CHOOSE(CONTROL!$C$42, 5.5519, 5.5519)* CHOOSE(CONTROL!$C$21, $C$9, 100%, $E$9)</f>
        <v>5.5518999999999998</v>
      </c>
      <c r="J117" s="10">
        <f>CHOOSE(CONTROL!$C$42, 5.5544, 5.5544)* CHOOSE(CONTROL!$C$21, $C$9, 100%, $E$9)</f>
        <v>5.5544000000000002</v>
      </c>
      <c r="K117" s="54">
        <f>CHOOSE(CONTROL!$C$42, 5.548, 5.548) * CHOOSE(CONTROL!$C$21, $C$9, 100%, $E$9)</f>
        <v>5.548</v>
      </c>
      <c r="L117" s="10">
        <f>CHOOSE(CONTROL!$C$42, 6.3683, 6.3683) * CHOOSE(CONTROL!$C$21, $C$9, 100%, $E$9)</f>
        <v>6.3682999999999996</v>
      </c>
      <c r="M117" s="10">
        <f>CHOOSE(CONTROL!$C$42, 5.5122, 5.5122) * CHOOSE(CONTROL!$C$21, $C$9, 100%, $E$9)</f>
        <v>5.5122</v>
      </c>
      <c r="N117" s="10">
        <f>CHOOSE(CONTROL!$C$42, 5.5302, 5.5302) * CHOOSE(CONTROL!$C$21, $C$9, 100%, $E$9)</f>
        <v>5.5301999999999998</v>
      </c>
      <c r="O117" s="10">
        <f>CHOOSE(CONTROL!$C$42, 5.7367, 5.7367) * CHOOSE(CONTROL!$C$21, $C$9, 100%, $E$9)</f>
        <v>5.7366999999999999</v>
      </c>
      <c r="P117" s="10">
        <f>CHOOSE(CONTROL!$C$42, 5.5098, 5.5098) * CHOOSE(CONTROL!$C$21, $C$9, 100%, $E$9)</f>
        <v>5.5098000000000003</v>
      </c>
      <c r="Q117" s="10">
        <f>CHOOSE(CONTROL!$C$42, 6.332, 6.332) * CHOOSE(CONTROL!$C$21, $C$9, 100%, $E$9)</f>
        <v>6.3319999999999999</v>
      </c>
      <c r="R117" s="10">
        <f>CHOOSE(CONTROL!$C$42, 6.9349, 6.9349) * CHOOSE(CONTROL!$C$21, $C$9, 100%, $E$9)</f>
        <v>6.9348999999999998</v>
      </c>
      <c r="S117" s="10">
        <f>CHOOSE(CONTROL!$C$42, 5.4097, 5.4097) * CHOOSE(CONTROL!$C$21, $C$9, 100%, $E$9)</f>
        <v>5.4097</v>
      </c>
      <c r="T117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17" s="58">
        <f>(1000*CHOOSE(CONTROL!$C$42, 695, 695)*CHOOSE(CONTROL!$C$42, 0.5599, 0.5599)*CHOOSE(CONTROL!$C$42, 30, 30))/1000000</f>
        <v>11.673914999999997</v>
      </c>
      <c r="V117" s="58">
        <f>(1000*CHOOSE(CONTROL!$C$42, 500, 500)*CHOOSE(CONTROL!$C$42, 0.275, 0.275)*CHOOSE(CONTROL!$C$42, 30, 30))/1000000</f>
        <v>4.125</v>
      </c>
      <c r="W117" s="58">
        <f>(1000*CHOOSE(CONTROL!$C$42, 0.1146, 0.1146)*CHOOSE(CONTROL!$C$42, 121.5, 121.5)*CHOOSE(CONTROL!$C$42, 30, 30))/1000000</f>
        <v>0.417717</v>
      </c>
      <c r="X117" s="58">
        <f>(30*0.1790888*245000/1000000)+(30*0.2374*100000/1000000)</f>
        <v>2.0285026799999999</v>
      </c>
      <c r="Y117" s="58"/>
      <c r="Z117" s="10"/>
      <c r="AA117" s="57"/>
      <c r="AB117" s="51">
        <f>(B117*194.205+C117*267.466+D117*133.845+E117*53.484+F117*40+G117*185+H117*0+I117*100+J117*300)/(194.205+267.466+133.845+53.484+0+40+185+100+300)</f>
        <v>5.598985038383046</v>
      </c>
      <c r="AC117" s="27">
        <f>(M117*'RAP TEMPLATE-GAS AVAILABILITY'!O116+N117*'RAP TEMPLATE-GAS AVAILABILITY'!P116+O117*'RAP TEMPLATE-GAS AVAILABILITY'!Q116+P117*'RAP TEMPLATE-GAS AVAILABILITY'!R116)/('RAP TEMPLATE-GAS AVAILABILITY'!O116+'RAP TEMPLATE-GAS AVAILABILITY'!P116+'RAP TEMPLATE-GAS AVAILABILITY'!Q116+'RAP TEMPLATE-GAS AVAILABILITY'!R116)</f>
        <v>5.5789877697841721</v>
      </c>
    </row>
    <row r="118" spans="1:29" ht="15.75" x14ac:dyDescent="0.25">
      <c r="A118" s="16">
        <v>44835</v>
      </c>
      <c r="B118" s="10">
        <f>CHOOSE(CONTROL!$C$42, 5.4598, 5.4598) * CHOOSE(CONTROL!$C$21, $C$9, 100%, $E$9)</f>
        <v>5.4598000000000004</v>
      </c>
      <c r="C118" s="10">
        <f>CHOOSE(CONTROL!$C$42, 5.465, 5.465) * CHOOSE(CONTROL!$C$21, $C$9, 100%, $E$9)</f>
        <v>5.4649999999999999</v>
      </c>
      <c r="D118" s="10">
        <f>CHOOSE(CONTROL!$C$42, 5.6485, 5.6485) * CHOOSE(CONTROL!$C$21, $C$9, 100%, $E$9)</f>
        <v>5.6485000000000003</v>
      </c>
      <c r="E118" s="10">
        <f>CHOOSE(CONTROL!$C$42, 5.6773, 5.6773) * CHOOSE(CONTROL!$C$21, $C$9, 100%, $E$9)</f>
        <v>5.6772999999999998</v>
      </c>
      <c r="F118" s="10">
        <f>CHOOSE(CONTROL!$C$42, 5.4481, 5.4481)*CHOOSE(CONTROL!$C$21, $C$9, 100%, $E$9)</f>
        <v>5.4481000000000002</v>
      </c>
      <c r="G118" s="10">
        <f>CHOOSE(CONTROL!$C$42, 5.466, 5.466)*CHOOSE(CONTROL!$C$21, $C$9, 100%, $E$9)</f>
        <v>5.4660000000000002</v>
      </c>
      <c r="H118" s="10">
        <f>CHOOSE(CONTROL!$C$42, 5.6678, 5.6678) * CHOOSE(CONTROL!$C$21, $C$9, 100%, $E$9)</f>
        <v>5.6677999999999997</v>
      </c>
      <c r="I118" s="10">
        <f>CHOOSE(CONTROL!$C$42, 5.4384, 5.4384)* CHOOSE(CONTROL!$C$21, $C$9, 100%, $E$9)</f>
        <v>5.4383999999999997</v>
      </c>
      <c r="J118" s="10">
        <f>CHOOSE(CONTROL!$C$42, 5.4411, 5.4411)* CHOOSE(CONTROL!$C$21, $C$9, 100%, $E$9)</f>
        <v>5.4410999999999996</v>
      </c>
      <c r="K118" s="54">
        <f>CHOOSE(CONTROL!$C$42, 5.4345, 5.4345) * CHOOSE(CONTROL!$C$21, $C$9, 100%, $E$9)</f>
        <v>5.4344999999999999</v>
      </c>
      <c r="L118" s="10">
        <f>CHOOSE(CONTROL!$C$42, 6.2548, 6.2548) * CHOOSE(CONTROL!$C$21, $C$9, 100%, $E$9)</f>
        <v>6.2548000000000004</v>
      </c>
      <c r="M118" s="10">
        <f>CHOOSE(CONTROL!$C$42, 5.4001, 5.4001) * CHOOSE(CONTROL!$C$21, $C$9, 100%, $E$9)</f>
        <v>5.4001000000000001</v>
      </c>
      <c r="N118" s="10">
        <f>CHOOSE(CONTROL!$C$42, 5.4178, 5.4178) * CHOOSE(CONTROL!$C$21, $C$9, 100%, $E$9)</f>
        <v>5.4177999999999997</v>
      </c>
      <c r="O118" s="10">
        <f>CHOOSE(CONTROL!$C$42, 5.6244, 5.6244) * CHOOSE(CONTROL!$C$21, $C$9, 100%, $E$9)</f>
        <v>5.6243999999999996</v>
      </c>
      <c r="P118" s="10">
        <f>CHOOSE(CONTROL!$C$42, 5.3974, 5.3974) * CHOOSE(CONTROL!$C$21, $C$9, 100%, $E$9)</f>
        <v>5.3974000000000002</v>
      </c>
      <c r="Q118" s="10">
        <f>CHOOSE(CONTROL!$C$42, 6.2197, 6.2197) * CHOOSE(CONTROL!$C$21, $C$9, 100%, $E$9)</f>
        <v>6.2196999999999996</v>
      </c>
      <c r="R118" s="10">
        <f>CHOOSE(CONTROL!$C$42, 6.8223, 6.8223) * CHOOSE(CONTROL!$C$21, $C$9, 100%, $E$9)</f>
        <v>6.8223000000000003</v>
      </c>
      <c r="S118" s="10">
        <f>CHOOSE(CONTROL!$C$42, 5.2995, 5.2995) * CHOOSE(CONTROL!$C$21, $C$9, 100%, $E$9)</f>
        <v>5.2995000000000001</v>
      </c>
      <c r="T118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18" s="58">
        <f>(1000*CHOOSE(CONTROL!$C$42, 695, 695)*CHOOSE(CONTROL!$C$42, 0.5599, 0.5599)*CHOOSE(CONTROL!$C$42, 31, 31))/1000000</f>
        <v>12.063045499999998</v>
      </c>
      <c r="V118" s="58">
        <f>(1000*CHOOSE(CONTROL!$C$42, 500, 500)*CHOOSE(CONTROL!$C$42, 0.275, 0.275)*CHOOSE(CONTROL!$C$42, 31, 31))/1000000</f>
        <v>4.2625000000000002</v>
      </c>
      <c r="W118" s="58">
        <f>(1000*CHOOSE(CONTROL!$C$42, 0.1146, 0.1146)*CHOOSE(CONTROL!$C$42, 121.5, 121.5)*CHOOSE(CONTROL!$C$42, 31, 31))/1000000</f>
        <v>0.43164089999999994</v>
      </c>
      <c r="X118" s="58">
        <f>(31*0.1790888*245000/1000000)+(31*0.2374*100000/1000000)</f>
        <v>2.0961194359999999</v>
      </c>
      <c r="Y118" s="58"/>
      <c r="Z118" s="10"/>
      <c r="AA118" s="57"/>
      <c r="AB118" s="51">
        <f>(B118*131.881+C118*277.167+D118*79.08+E118*125.872+F118*40+G118*185+H118*0+I118*100+J118*300)/(131.881+277.167+79.08+125.872+0+40+185+100+300)</f>
        <v>5.4893963070217913</v>
      </c>
      <c r="AC118" s="27">
        <f>(M118*'RAP TEMPLATE-GAS AVAILABILITY'!O117+N118*'RAP TEMPLATE-GAS AVAILABILITY'!P117+O118*'RAP TEMPLATE-GAS AVAILABILITY'!Q117+P118*'RAP TEMPLATE-GAS AVAILABILITY'!R117)/('RAP TEMPLATE-GAS AVAILABILITY'!O117+'RAP TEMPLATE-GAS AVAILABILITY'!P117+'RAP TEMPLATE-GAS AVAILABILITY'!Q117+'RAP TEMPLATE-GAS AVAILABILITY'!R117)</f>
        <v>5.4667194244604316</v>
      </c>
    </row>
    <row r="119" spans="1:29" ht="15.75" x14ac:dyDescent="0.25">
      <c r="A119" s="16">
        <v>44866</v>
      </c>
      <c r="B119" s="10">
        <f>CHOOSE(CONTROL!$C$42, 5.6031, 5.6031) * CHOOSE(CONTROL!$C$21, $C$9, 100%, $E$9)</f>
        <v>5.6031000000000004</v>
      </c>
      <c r="C119" s="10">
        <f>CHOOSE(CONTROL!$C$42, 5.6081, 5.6081) * CHOOSE(CONTROL!$C$21, $C$9, 100%, $E$9)</f>
        <v>5.6081000000000003</v>
      </c>
      <c r="D119" s="10">
        <f>CHOOSE(CONTROL!$C$42, 5.6377, 5.6377) * CHOOSE(CONTROL!$C$21, $C$9, 100%, $E$9)</f>
        <v>5.6376999999999997</v>
      </c>
      <c r="E119" s="10">
        <f>CHOOSE(CONTROL!$C$42, 5.6715, 5.6715) * CHOOSE(CONTROL!$C$21, $C$9, 100%, $E$9)</f>
        <v>5.6715</v>
      </c>
      <c r="F119" s="10">
        <f>CHOOSE(CONTROL!$C$42, 5.5889, 5.5889)*CHOOSE(CONTROL!$C$21, $C$9, 100%, $E$9)</f>
        <v>5.5888999999999998</v>
      </c>
      <c r="G119" s="10">
        <f>CHOOSE(CONTROL!$C$42, 5.6069, 5.6069)*CHOOSE(CONTROL!$C$21, $C$9, 100%, $E$9)</f>
        <v>5.6069000000000004</v>
      </c>
      <c r="H119" s="10">
        <f>CHOOSE(CONTROL!$C$42, 5.6607, 5.6607) * CHOOSE(CONTROL!$C$21, $C$9, 100%, $E$9)</f>
        <v>5.6607000000000003</v>
      </c>
      <c r="I119" s="10">
        <f>CHOOSE(CONTROL!$C$42, 5.5693, 5.5693)* CHOOSE(CONTROL!$C$21, $C$9, 100%, $E$9)</f>
        <v>5.5693000000000001</v>
      </c>
      <c r="J119" s="10">
        <f>CHOOSE(CONTROL!$C$42, 5.5819, 5.5819)* CHOOSE(CONTROL!$C$21, $C$9, 100%, $E$9)</f>
        <v>5.5819000000000001</v>
      </c>
      <c r="K119" s="54">
        <f>CHOOSE(CONTROL!$C$42, 5.5654, 5.5654) * CHOOSE(CONTROL!$C$21, $C$9, 100%, $E$9)</f>
        <v>5.5654000000000003</v>
      </c>
      <c r="L119" s="10">
        <f>CHOOSE(CONTROL!$C$42, 6.2477, 6.2477) * CHOOSE(CONTROL!$C$21, $C$9, 100%, $E$9)</f>
        <v>6.2477</v>
      </c>
      <c r="M119" s="10">
        <f>CHOOSE(CONTROL!$C$42, 5.5394, 5.5394) * CHOOSE(CONTROL!$C$21, $C$9, 100%, $E$9)</f>
        <v>5.5393999999999997</v>
      </c>
      <c r="N119" s="10">
        <f>CHOOSE(CONTROL!$C$42, 5.5573, 5.5573) * CHOOSE(CONTROL!$C$21, $C$9, 100%, $E$9)</f>
        <v>5.5572999999999997</v>
      </c>
      <c r="O119" s="10">
        <f>CHOOSE(CONTROL!$C$42, 5.6174, 5.6174) * CHOOSE(CONTROL!$C$21, $C$9, 100%, $E$9)</f>
        <v>5.6173999999999999</v>
      </c>
      <c r="P119" s="10">
        <f>CHOOSE(CONTROL!$C$42, 5.527, 5.527) * CHOOSE(CONTROL!$C$21, $C$9, 100%, $E$9)</f>
        <v>5.5270000000000001</v>
      </c>
      <c r="Q119" s="10">
        <f>CHOOSE(CONTROL!$C$42, 6.2127, 6.2127) * CHOOSE(CONTROL!$C$21, $C$9, 100%, $E$9)</f>
        <v>6.2126999999999999</v>
      </c>
      <c r="R119" s="10">
        <f>CHOOSE(CONTROL!$C$42, 6.8152, 6.8152) * CHOOSE(CONTROL!$C$21, $C$9, 100%, $E$9)</f>
        <v>6.8151999999999999</v>
      </c>
      <c r="S119" s="10">
        <f>CHOOSE(CONTROL!$C$42, 5.4391, 5.4391) * CHOOSE(CONTROL!$C$21, $C$9, 100%, $E$9)</f>
        <v>5.4390999999999998</v>
      </c>
      <c r="T119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19" s="58">
        <f>(1000*CHOOSE(CONTROL!$C$42, 695, 695)*CHOOSE(CONTROL!$C$42, 0.5599, 0.5599)*CHOOSE(CONTROL!$C$42, 30, 30))/1000000</f>
        <v>11.673914999999997</v>
      </c>
      <c r="V119" s="58">
        <f>(1000*CHOOSE(CONTROL!$C$42, 500, 500)*CHOOSE(CONTROL!$C$42, 0.275, 0.275)*CHOOSE(CONTROL!$C$42, 30, 30))/1000000</f>
        <v>4.125</v>
      </c>
      <c r="W119" s="58">
        <f>(1000*CHOOSE(CONTROL!$C$42, 0.1146, 0.1146)*CHOOSE(CONTROL!$C$42, 121.5, 121.5)*CHOOSE(CONTROL!$C$42, 30, 30))/1000000</f>
        <v>0.417717</v>
      </c>
      <c r="X119" s="58">
        <f>(30*0.1790888*100000/1000000)+(30*0.2374*100000/1000000)</f>
        <v>1.2494664</v>
      </c>
      <c r="Y119" s="58"/>
      <c r="Z119" s="10"/>
      <c r="AA119" s="57"/>
      <c r="AB119" s="51">
        <f>(B119*122.58+C119*297.941+D119*89.177+E119*40.302+F119*40+G119*160+H119*0+I119*100+J119*300)/(122.58+297.941+89.177+40.302+0+40+160+100+300)</f>
        <v>5.601040770434782</v>
      </c>
      <c r="AC119" s="27">
        <f>(M119*'RAP TEMPLATE-GAS AVAILABILITY'!O118+N119*'RAP TEMPLATE-GAS AVAILABILITY'!P118+O119*'RAP TEMPLATE-GAS AVAILABILITY'!Q118+P119*'RAP TEMPLATE-GAS AVAILABILITY'!R118)/('RAP TEMPLATE-GAS AVAILABILITY'!O118+'RAP TEMPLATE-GAS AVAILABILITY'!P118+'RAP TEMPLATE-GAS AVAILABILITY'!Q118+'RAP TEMPLATE-GAS AVAILABILITY'!R118)</f>
        <v>5.5739985611510789</v>
      </c>
    </row>
    <row r="120" spans="1:29" ht="15.75" x14ac:dyDescent="0.25">
      <c r="A120" s="16">
        <v>44896</v>
      </c>
      <c r="B120" s="10">
        <f>CHOOSE(CONTROL!$C$42, 5.985, 5.985) * CHOOSE(CONTROL!$C$21, $C$9, 100%, $E$9)</f>
        <v>5.9850000000000003</v>
      </c>
      <c r="C120" s="10">
        <f>CHOOSE(CONTROL!$C$42, 5.9899, 5.9899) * CHOOSE(CONTROL!$C$21, $C$9, 100%, $E$9)</f>
        <v>5.9898999999999996</v>
      </c>
      <c r="D120" s="10">
        <f>CHOOSE(CONTROL!$C$42, 6.0195, 6.0195) * CHOOSE(CONTROL!$C$21, $C$9, 100%, $E$9)</f>
        <v>6.0194999999999999</v>
      </c>
      <c r="E120" s="10">
        <f>CHOOSE(CONTROL!$C$42, 6.0533, 6.0533) * CHOOSE(CONTROL!$C$21, $C$9, 100%, $E$9)</f>
        <v>6.0533000000000001</v>
      </c>
      <c r="F120" s="10">
        <f>CHOOSE(CONTROL!$C$42, 5.9723, 5.9723)*CHOOSE(CONTROL!$C$21, $C$9, 100%, $E$9)</f>
        <v>5.9722999999999997</v>
      </c>
      <c r="G120" s="10">
        <f>CHOOSE(CONTROL!$C$42, 5.9907, 5.9907)*CHOOSE(CONTROL!$C$21, $C$9, 100%, $E$9)</f>
        <v>5.9907000000000004</v>
      </c>
      <c r="H120" s="10">
        <f>CHOOSE(CONTROL!$C$42, 6.0425, 6.0425) * CHOOSE(CONTROL!$C$21, $C$9, 100%, $E$9)</f>
        <v>6.0425000000000004</v>
      </c>
      <c r="I120" s="10">
        <f>CHOOSE(CONTROL!$C$42, 5.9511, 5.9511)* CHOOSE(CONTROL!$C$21, $C$9, 100%, $E$9)</f>
        <v>5.9511000000000003</v>
      </c>
      <c r="J120" s="10">
        <f>CHOOSE(CONTROL!$C$42, 5.9653, 5.9653)* CHOOSE(CONTROL!$C$21, $C$9, 100%, $E$9)</f>
        <v>5.9653</v>
      </c>
      <c r="K120" s="54">
        <f>CHOOSE(CONTROL!$C$42, 5.9472, 5.9472) * CHOOSE(CONTROL!$C$21, $C$9, 100%, $E$9)</f>
        <v>5.9471999999999996</v>
      </c>
      <c r="L120" s="10">
        <f>CHOOSE(CONTROL!$C$42, 6.6295, 6.6295) * CHOOSE(CONTROL!$C$21, $C$9, 100%, $E$9)</f>
        <v>6.6295000000000002</v>
      </c>
      <c r="M120" s="10">
        <f>CHOOSE(CONTROL!$C$42, 5.9189, 5.9189) * CHOOSE(CONTROL!$C$21, $C$9, 100%, $E$9)</f>
        <v>5.9188999999999998</v>
      </c>
      <c r="N120" s="10">
        <f>CHOOSE(CONTROL!$C$42, 5.9372, 5.9372) * CHOOSE(CONTROL!$C$21, $C$9, 100%, $E$9)</f>
        <v>5.9371999999999998</v>
      </c>
      <c r="O120" s="10">
        <f>CHOOSE(CONTROL!$C$42, 5.9953, 5.9953) * CHOOSE(CONTROL!$C$21, $C$9, 100%, $E$9)</f>
        <v>5.9953000000000003</v>
      </c>
      <c r="P120" s="10">
        <f>CHOOSE(CONTROL!$C$42, 5.9049, 5.9049) * CHOOSE(CONTROL!$C$21, $C$9, 100%, $E$9)</f>
        <v>5.9048999999999996</v>
      </c>
      <c r="Q120" s="10">
        <f>CHOOSE(CONTROL!$C$42, 6.5906, 6.5906) * CHOOSE(CONTROL!$C$21, $C$9, 100%, $E$9)</f>
        <v>6.5906000000000002</v>
      </c>
      <c r="R120" s="10">
        <f>CHOOSE(CONTROL!$C$42, 7.1941, 7.1941) * CHOOSE(CONTROL!$C$21, $C$9, 100%, $E$9)</f>
        <v>7.1940999999999997</v>
      </c>
      <c r="S120" s="10">
        <f>CHOOSE(CONTROL!$C$42, 5.8099, 5.8099) * CHOOSE(CONTROL!$C$21, $C$9, 100%, $E$9)</f>
        <v>5.8098999999999998</v>
      </c>
      <c r="T120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20" s="58">
        <f>(1000*CHOOSE(CONTROL!$C$42, 695, 695)*CHOOSE(CONTROL!$C$42, 0.5599, 0.5599)*CHOOSE(CONTROL!$C$42, 31, 31))/1000000</f>
        <v>12.063045499999998</v>
      </c>
      <c r="V120" s="58">
        <f>(1000*CHOOSE(CONTROL!$C$42, 500, 500)*CHOOSE(CONTROL!$C$42, 0.275, 0.275)*CHOOSE(CONTROL!$C$42, 31, 31))/1000000</f>
        <v>4.2625000000000002</v>
      </c>
      <c r="W120" s="58">
        <f>(1000*CHOOSE(CONTROL!$C$42, 0.1146, 0.1146)*CHOOSE(CONTROL!$C$42, 121.5, 121.5)*CHOOSE(CONTROL!$C$42, 31, 31))/1000000</f>
        <v>0.43164089999999994</v>
      </c>
      <c r="X120" s="58">
        <f>(31*0.1790888*100000/1000000)+(31*0.2374*100000/1000000)</f>
        <v>1.2911152800000001</v>
      </c>
      <c r="Y120" s="58"/>
      <c r="Z120" s="10"/>
      <c r="AA120" s="57"/>
      <c r="AB120" s="51">
        <f>(B120*122.58+C120*297.941+D120*89.177+E120*40.302+F120*40+G120*160+H120*0+I120*100+J120*300)/(122.58+297.941+89.177+40.302+0+40+160+100+300)</f>
        <v>5.9836027339130426</v>
      </c>
      <c r="AC120" s="27">
        <f>(M120*'RAP TEMPLATE-GAS AVAILABILITY'!O119+N120*'RAP TEMPLATE-GAS AVAILABILITY'!P119+O120*'RAP TEMPLATE-GAS AVAILABILITY'!Q119+P120*'RAP TEMPLATE-GAS AVAILABILITY'!R119)/('RAP TEMPLATE-GAS AVAILABILITY'!O119+'RAP TEMPLATE-GAS AVAILABILITY'!P119+'RAP TEMPLATE-GAS AVAILABILITY'!Q119+'RAP TEMPLATE-GAS AVAILABILITY'!R119)</f>
        <v>5.9525661870503601</v>
      </c>
    </row>
    <row r="121" spans="1:29" ht="15.75" x14ac:dyDescent="0.25">
      <c r="A121" s="16">
        <v>44927</v>
      </c>
      <c r="B121" s="10">
        <f>CHOOSE(CONTROL!$C$42, 6.4521, 6.4521) * CHOOSE(CONTROL!$C$21, $C$9, 100%, $E$9)</f>
        <v>6.4520999999999997</v>
      </c>
      <c r="C121" s="10">
        <f>CHOOSE(CONTROL!$C$42, 6.457, 6.457) * CHOOSE(CONTROL!$C$21, $C$9, 100%, $E$9)</f>
        <v>6.4569999999999999</v>
      </c>
      <c r="D121" s="10">
        <f>CHOOSE(CONTROL!$C$42, 6.5072, 6.5072) * CHOOSE(CONTROL!$C$21, $C$9, 100%, $E$9)</f>
        <v>6.5072000000000001</v>
      </c>
      <c r="E121" s="10">
        <f>CHOOSE(CONTROL!$C$42, 6.541, 6.541) * CHOOSE(CONTROL!$C$21, $C$9, 100%, $E$9)</f>
        <v>6.5410000000000004</v>
      </c>
      <c r="F121" s="10">
        <f>CHOOSE(CONTROL!$C$42, 6.4174, 6.4174)*CHOOSE(CONTROL!$C$21, $C$9, 100%, $E$9)</f>
        <v>6.4173999999999998</v>
      </c>
      <c r="G121" s="10">
        <f>CHOOSE(CONTROL!$C$42, 6.435, 6.435)*CHOOSE(CONTROL!$C$21, $C$9, 100%, $E$9)</f>
        <v>6.4349999999999996</v>
      </c>
      <c r="H121" s="10">
        <f>CHOOSE(CONTROL!$C$42, 6.5302, 6.5302) * CHOOSE(CONTROL!$C$21, $C$9, 100%, $E$9)</f>
        <v>6.5301999999999998</v>
      </c>
      <c r="I121" s="10">
        <f>CHOOSE(CONTROL!$C$42, 6.426, 6.426)* CHOOSE(CONTROL!$C$21, $C$9, 100%, $E$9)</f>
        <v>6.4260000000000002</v>
      </c>
      <c r="J121" s="10">
        <f>CHOOSE(CONTROL!$C$42, 6.4104, 6.4104)* CHOOSE(CONTROL!$C$21, $C$9, 100%, $E$9)</f>
        <v>6.4104000000000001</v>
      </c>
      <c r="K121" s="54">
        <f>CHOOSE(CONTROL!$C$42, 6.4221, 6.4221) * CHOOSE(CONTROL!$C$21, $C$9, 100%, $E$9)</f>
        <v>6.4221000000000004</v>
      </c>
      <c r="L121" s="10">
        <f>CHOOSE(CONTROL!$C$42, 7.1172, 7.1172) * CHOOSE(CONTROL!$C$21, $C$9, 100%, $E$9)</f>
        <v>7.1172000000000004</v>
      </c>
      <c r="M121" s="10">
        <f>CHOOSE(CONTROL!$C$42, 6.3596, 6.3596) * CHOOSE(CONTROL!$C$21, $C$9, 100%, $E$9)</f>
        <v>6.3596000000000004</v>
      </c>
      <c r="N121" s="10">
        <f>CHOOSE(CONTROL!$C$42, 6.3769, 6.3769) * CHOOSE(CONTROL!$C$21, $C$9, 100%, $E$9)</f>
        <v>6.3769</v>
      </c>
      <c r="O121" s="10">
        <f>CHOOSE(CONTROL!$C$42, 6.4781, 6.4781) * CHOOSE(CONTROL!$C$21, $C$9, 100%, $E$9)</f>
        <v>6.4781000000000004</v>
      </c>
      <c r="P121" s="10">
        <f>CHOOSE(CONTROL!$C$42, 6.375, 6.375) * CHOOSE(CONTROL!$C$21, $C$9, 100%, $E$9)</f>
        <v>6.375</v>
      </c>
      <c r="Q121" s="10">
        <f>CHOOSE(CONTROL!$C$42, 7.0734, 7.0734) * CHOOSE(CONTROL!$C$21, $C$9, 100%, $E$9)</f>
        <v>7.0734000000000004</v>
      </c>
      <c r="R121" s="10">
        <f>CHOOSE(CONTROL!$C$42, 7.6781, 7.6781) * CHOOSE(CONTROL!$C$21, $C$9, 100%, $E$9)</f>
        <v>7.6780999999999997</v>
      </c>
      <c r="S121" s="10">
        <f>CHOOSE(CONTROL!$C$42, 6.2635, 6.2635) * CHOOSE(CONTROL!$C$21, $C$9, 100%, $E$9)</f>
        <v>6.2634999999999996</v>
      </c>
      <c r="T121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21" s="58">
        <f>(1000*CHOOSE(CONTROL!$C$42, 695, 695)*CHOOSE(CONTROL!$C$42, 0.5599, 0.5599)*CHOOSE(CONTROL!$C$42, 31, 31))/1000000</f>
        <v>12.063045499999998</v>
      </c>
      <c r="V121" s="58">
        <f>(1000*CHOOSE(CONTROL!$C$42, 500, 500)*CHOOSE(CONTROL!$C$42, 0.275, 0.275)*CHOOSE(CONTROL!$C$42, 31, 31))/1000000</f>
        <v>4.2625000000000002</v>
      </c>
      <c r="W121" s="58">
        <f>(1000*CHOOSE(CONTROL!$C$42, 0.1146, 0.1146)*CHOOSE(CONTROL!$C$42, 121.5, 121.5)*CHOOSE(CONTROL!$C$42, 31, 31))/1000000</f>
        <v>0.43164089999999994</v>
      </c>
      <c r="X121" s="58">
        <f>(31*0.1790888*100000/1000000)+(31*0.2374*100000/1000000)</f>
        <v>1.2911152800000001</v>
      </c>
      <c r="Y121" s="58"/>
      <c r="Z121" s="10"/>
      <c r="AA121" s="57"/>
      <c r="AB121" s="51">
        <f>(B121*122.58+C121*297.941+D121*89.177+E121*40.302+F121*40+G121*160+H121*0+I121*100+J121*300)/(122.58+297.941+89.177+40.302+0+40+160+100+300)</f>
        <v>6.4440238359999995</v>
      </c>
      <c r="AC121" s="27">
        <f>(M121*'RAP TEMPLATE-GAS AVAILABILITY'!O120+N121*'RAP TEMPLATE-GAS AVAILABILITY'!P120+O121*'RAP TEMPLATE-GAS AVAILABILITY'!Q120+P121*'RAP TEMPLATE-GAS AVAILABILITY'!R120)/('RAP TEMPLATE-GAS AVAILABILITY'!O120+'RAP TEMPLATE-GAS AVAILABILITY'!P120+'RAP TEMPLATE-GAS AVAILABILITY'!Q120+'RAP TEMPLATE-GAS AVAILABILITY'!R120)</f>
        <v>6.4165201438848918</v>
      </c>
    </row>
    <row r="122" spans="1:29" ht="15.75" x14ac:dyDescent="0.25">
      <c r="A122" s="16">
        <v>44958</v>
      </c>
      <c r="B122" s="10">
        <f>CHOOSE(CONTROL!$C$42, 6.5669, 6.5669) * CHOOSE(CONTROL!$C$21, $C$9, 100%, $E$9)</f>
        <v>6.5669000000000004</v>
      </c>
      <c r="C122" s="10">
        <f>CHOOSE(CONTROL!$C$42, 6.5718, 6.5718) * CHOOSE(CONTROL!$C$21, $C$9, 100%, $E$9)</f>
        <v>6.5717999999999996</v>
      </c>
      <c r="D122" s="10">
        <f>CHOOSE(CONTROL!$C$42, 6.689, 6.689) * CHOOSE(CONTROL!$C$21, $C$9, 100%, $E$9)</f>
        <v>6.6890000000000001</v>
      </c>
      <c r="E122" s="10">
        <f>CHOOSE(CONTROL!$C$42, 6.7227, 6.7227) * CHOOSE(CONTROL!$C$21, $C$9, 100%, $E$9)</f>
        <v>6.7226999999999997</v>
      </c>
      <c r="F122" s="10">
        <f>CHOOSE(CONTROL!$C$42, 6.6445, 6.6445)*CHOOSE(CONTROL!$C$21, $C$9, 100%, $E$9)</f>
        <v>6.6444999999999999</v>
      </c>
      <c r="G122" s="10">
        <f>CHOOSE(CONTROL!$C$42, 6.6664, 6.6664)*CHOOSE(CONTROL!$C$21, $C$9, 100%, $E$9)</f>
        <v>6.6664000000000003</v>
      </c>
      <c r="H122" s="10">
        <f>CHOOSE(CONTROL!$C$42, 6.7119, 6.7119) * CHOOSE(CONTROL!$C$21, $C$9, 100%, $E$9)</f>
        <v>6.7119</v>
      </c>
      <c r="I122" s="10">
        <f>CHOOSE(CONTROL!$C$42, 6.6025, 6.6025)* CHOOSE(CONTROL!$C$21, $C$9, 100%, $E$9)</f>
        <v>6.6025</v>
      </c>
      <c r="J122" s="10">
        <f>CHOOSE(CONTROL!$C$42, 6.6375, 6.6375)* CHOOSE(CONTROL!$C$21, $C$9, 100%, $E$9)</f>
        <v>6.6375000000000002</v>
      </c>
      <c r="K122" s="54">
        <f>CHOOSE(CONTROL!$C$42, 6.5987, 6.5987) * CHOOSE(CONTROL!$C$21, $C$9, 100%, $E$9)</f>
        <v>6.5987</v>
      </c>
      <c r="L122" s="10">
        <f>CHOOSE(CONTROL!$C$42, 7.2989, 7.2989) * CHOOSE(CONTROL!$C$21, $C$9, 100%, $E$9)</f>
        <v>7.2988999999999997</v>
      </c>
      <c r="M122" s="10">
        <f>CHOOSE(CONTROL!$C$42, 6.5843, 6.5843) * CHOOSE(CONTROL!$C$21, $C$9, 100%, $E$9)</f>
        <v>6.5842999999999998</v>
      </c>
      <c r="N122" s="10">
        <f>CHOOSE(CONTROL!$C$42, 6.606, 6.606) * CHOOSE(CONTROL!$C$21, $C$9, 100%, $E$9)</f>
        <v>6.6059999999999999</v>
      </c>
      <c r="O122" s="10">
        <f>CHOOSE(CONTROL!$C$42, 6.658, 6.658) * CHOOSE(CONTROL!$C$21, $C$9, 100%, $E$9)</f>
        <v>6.6580000000000004</v>
      </c>
      <c r="P122" s="10">
        <f>CHOOSE(CONTROL!$C$42, 6.5498, 6.5498) * CHOOSE(CONTROL!$C$21, $C$9, 100%, $E$9)</f>
        <v>6.5498000000000003</v>
      </c>
      <c r="Q122" s="10">
        <f>CHOOSE(CONTROL!$C$42, 7.2533, 7.2533) * CHOOSE(CONTROL!$C$21, $C$9, 100%, $E$9)</f>
        <v>7.2533000000000003</v>
      </c>
      <c r="R122" s="10">
        <f>CHOOSE(CONTROL!$C$42, 7.8585, 7.8585) * CHOOSE(CONTROL!$C$21, $C$9, 100%, $E$9)</f>
        <v>7.8585000000000003</v>
      </c>
      <c r="S122" s="10">
        <f>CHOOSE(CONTROL!$C$42, 6.3749, 6.3749) * CHOOSE(CONTROL!$C$21, $C$9, 100%, $E$9)</f>
        <v>6.3749000000000002</v>
      </c>
      <c r="T122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22" s="58">
        <f>(1000*CHOOSE(CONTROL!$C$42, 695, 695)*CHOOSE(CONTROL!$C$42, 0.5599, 0.5599)*CHOOSE(CONTROL!$C$42, 28, 28))/1000000</f>
        <v>10.895653999999999</v>
      </c>
      <c r="V122" s="58">
        <f>(1000*CHOOSE(CONTROL!$C$42, 500, 500)*CHOOSE(CONTROL!$C$42, 0.275, 0.275)*CHOOSE(CONTROL!$C$42, 28, 28))/1000000</f>
        <v>3.85</v>
      </c>
      <c r="W122" s="58">
        <f>(1000*CHOOSE(CONTROL!$C$42, 0.1146, 0.1146)*CHOOSE(CONTROL!$C$42, 121.5, 121.5)*CHOOSE(CONTROL!$C$42, 28, 28))/1000000</f>
        <v>0.38986920000000003</v>
      </c>
      <c r="X122" s="58">
        <f>(28*0.1790888*100000/1000000)+(28*0.2374*100000/1000000)</f>
        <v>1.16616864</v>
      </c>
      <c r="Y122" s="58"/>
      <c r="Z122" s="10"/>
      <c r="AA122" s="57"/>
      <c r="AB122" s="51">
        <f>(B122*122.58+C122*297.941+D122*89.177+E122*40.302+F122*40+G122*160+H122*0+I122*100+J122*300)/(122.58+297.941+89.177+40.302+0+40+160+100+300)</f>
        <v>6.6211534558260858</v>
      </c>
      <c r="AC122" s="27">
        <f>(M122*'RAP TEMPLATE-GAS AVAILABILITY'!O121+N122*'RAP TEMPLATE-GAS AVAILABILITY'!P121+O122*'RAP TEMPLATE-GAS AVAILABILITY'!Q121+P122*'RAP TEMPLATE-GAS AVAILABILITY'!R121)/('RAP TEMPLATE-GAS AVAILABILITY'!O121+'RAP TEMPLATE-GAS AVAILABILITY'!P121+'RAP TEMPLATE-GAS AVAILABILITY'!Q121+'RAP TEMPLATE-GAS AVAILABILITY'!R121)</f>
        <v>6.6139884892086327</v>
      </c>
    </row>
    <row r="123" spans="1:29" ht="15.75" x14ac:dyDescent="0.25">
      <c r="A123" s="16">
        <v>44986</v>
      </c>
      <c r="B123" s="10">
        <f>CHOOSE(CONTROL!$C$42, 6.3805, 6.3805) * CHOOSE(CONTROL!$C$21, $C$9, 100%, $E$9)</f>
        <v>6.3804999999999996</v>
      </c>
      <c r="C123" s="10">
        <f>CHOOSE(CONTROL!$C$42, 6.3855, 6.3855) * CHOOSE(CONTROL!$C$21, $C$9, 100%, $E$9)</f>
        <v>6.3855000000000004</v>
      </c>
      <c r="D123" s="10">
        <f>CHOOSE(CONTROL!$C$42, 6.4769, 6.4769) * CHOOSE(CONTROL!$C$21, $C$9, 100%, $E$9)</f>
        <v>6.4768999999999997</v>
      </c>
      <c r="E123" s="10">
        <f>CHOOSE(CONTROL!$C$42, 6.5106, 6.5106) * CHOOSE(CONTROL!$C$21, $C$9, 100%, $E$9)</f>
        <v>6.5106000000000002</v>
      </c>
      <c r="F123" s="10">
        <f>CHOOSE(CONTROL!$C$42, 6.4104, 6.4104)*CHOOSE(CONTROL!$C$21, $C$9, 100%, $E$9)</f>
        <v>6.4104000000000001</v>
      </c>
      <c r="G123" s="10">
        <f>CHOOSE(CONTROL!$C$42, 6.4299, 6.4299)*CHOOSE(CONTROL!$C$21, $C$9, 100%, $E$9)</f>
        <v>6.4298999999999999</v>
      </c>
      <c r="H123" s="10">
        <f>CHOOSE(CONTROL!$C$42, 6.4998, 6.4998) * CHOOSE(CONTROL!$C$21, $C$9, 100%, $E$9)</f>
        <v>6.4997999999999996</v>
      </c>
      <c r="I123" s="10">
        <f>CHOOSE(CONTROL!$C$42, 6.4033, 6.4033)* CHOOSE(CONTROL!$C$21, $C$9, 100%, $E$9)</f>
        <v>6.4032999999999998</v>
      </c>
      <c r="J123" s="10">
        <f>CHOOSE(CONTROL!$C$42, 6.4034, 6.4034)* CHOOSE(CONTROL!$C$21, $C$9, 100%, $E$9)</f>
        <v>6.4034000000000004</v>
      </c>
      <c r="K123" s="54">
        <f>CHOOSE(CONTROL!$C$42, 6.3994, 6.3994) * CHOOSE(CONTROL!$C$21, $C$9, 100%, $E$9)</f>
        <v>6.3994</v>
      </c>
      <c r="L123" s="10">
        <f>CHOOSE(CONTROL!$C$42, 7.0868, 7.0868) * CHOOSE(CONTROL!$C$21, $C$9, 100%, $E$9)</f>
        <v>7.0868000000000002</v>
      </c>
      <c r="M123" s="10">
        <f>CHOOSE(CONTROL!$C$42, 6.3526, 6.3526) * CHOOSE(CONTROL!$C$21, $C$9, 100%, $E$9)</f>
        <v>6.3525999999999998</v>
      </c>
      <c r="N123" s="10">
        <f>CHOOSE(CONTROL!$C$42, 6.3719, 6.3719) * CHOOSE(CONTROL!$C$21, $C$9, 100%, $E$9)</f>
        <v>6.3719000000000001</v>
      </c>
      <c r="O123" s="10">
        <f>CHOOSE(CONTROL!$C$42, 6.4481, 6.4481) * CHOOSE(CONTROL!$C$21, $C$9, 100%, $E$9)</f>
        <v>6.4481000000000002</v>
      </c>
      <c r="P123" s="10">
        <f>CHOOSE(CONTROL!$C$42, 6.3526, 6.3526) * CHOOSE(CONTROL!$C$21, $C$9, 100%, $E$9)</f>
        <v>6.3525999999999998</v>
      </c>
      <c r="Q123" s="10">
        <f>CHOOSE(CONTROL!$C$42, 7.0434, 7.0434) * CHOOSE(CONTROL!$C$21, $C$9, 100%, $E$9)</f>
        <v>7.0434000000000001</v>
      </c>
      <c r="R123" s="10">
        <f>CHOOSE(CONTROL!$C$42, 7.648, 7.648) * CHOOSE(CONTROL!$C$21, $C$9, 100%, $E$9)</f>
        <v>7.6479999999999997</v>
      </c>
      <c r="S123" s="10">
        <f>CHOOSE(CONTROL!$C$42, 6.194, 6.194) * CHOOSE(CONTROL!$C$21, $C$9, 100%, $E$9)</f>
        <v>6.194</v>
      </c>
      <c r="T123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23" s="58">
        <f>(1000*CHOOSE(CONTROL!$C$42, 695, 695)*CHOOSE(CONTROL!$C$42, 0.5599, 0.5599)*CHOOSE(CONTROL!$C$42, 31, 31))/1000000</f>
        <v>12.063045499999998</v>
      </c>
      <c r="V123" s="58">
        <f>(1000*CHOOSE(CONTROL!$C$42, 500, 500)*CHOOSE(CONTROL!$C$42, 0.275, 0.275)*CHOOSE(CONTROL!$C$42, 31, 31))/1000000</f>
        <v>4.2625000000000002</v>
      </c>
      <c r="W123" s="58">
        <f>(1000*CHOOSE(CONTROL!$C$42, 0.1146, 0.1146)*CHOOSE(CONTROL!$C$42, 121.5, 121.5)*CHOOSE(CONTROL!$C$42, 31, 31))/1000000</f>
        <v>0.43164089999999994</v>
      </c>
      <c r="X123" s="58">
        <f>(31*0.1790888*100000/1000000)+(31*0.2374*100000/1000000)</f>
        <v>1.2911152800000001</v>
      </c>
      <c r="Y123" s="58"/>
      <c r="Z123" s="10"/>
      <c r="AA123" s="57"/>
      <c r="AB123" s="51">
        <f>(B123*122.58+C123*297.941+D123*89.177+E123*40.302+F123*40+G123*160+H123*0+I123*100+J123*300)/(122.58+297.941+89.177+40.302+0+40+160+100+300)</f>
        <v>6.4096997026086964</v>
      </c>
      <c r="AC123" s="27">
        <f>(M123*'RAP TEMPLATE-GAS AVAILABILITY'!O122+N123*'RAP TEMPLATE-GAS AVAILABILITY'!P122+O123*'RAP TEMPLATE-GAS AVAILABILITY'!Q122+P123*'RAP TEMPLATE-GAS AVAILABILITY'!R122)/('RAP TEMPLATE-GAS AVAILABILITY'!O122+'RAP TEMPLATE-GAS AVAILABILITY'!P122+'RAP TEMPLATE-GAS AVAILABILITY'!Q122+'RAP TEMPLATE-GAS AVAILABILITY'!R122)</f>
        <v>6.3969949640287771</v>
      </c>
    </row>
    <row r="124" spans="1:29" ht="15.75" x14ac:dyDescent="0.25">
      <c r="A124" s="16">
        <v>45017</v>
      </c>
      <c r="B124" s="10">
        <f>CHOOSE(CONTROL!$C$42, 6.3622, 6.3622) * CHOOSE(CONTROL!$C$21, $C$9, 100%, $E$9)</f>
        <v>6.3621999999999996</v>
      </c>
      <c r="C124" s="10">
        <f>CHOOSE(CONTROL!$C$42, 6.3666, 6.3666) * CHOOSE(CONTROL!$C$21, $C$9, 100%, $E$9)</f>
        <v>6.3666</v>
      </c>
      <c r="D124" s="10">
        <f>CHOOSE(CONTROL!$C$42, 6.5482, 6.5482) * CHOOSE(CONTROL!$C$21, $C$9, 100%, $E$9)</f>
        <v>6.5481999999999996</v>
      </c>
      <c r="E124" s="10">
        <f>CHOOSE(CONTROL!$C$42, 6.58, 6.58) * CHOOSE(CONTROL!$C$21, $C$9, 100%, $E$9)</f>
        <v>6.58</v>
      </c>
      <c r="F124" s="10">
        <f>CHOOSE(CONTROL!$C$42, 6.3505, 6.3505)*CHOOSE(CONTROL!$C$21, $C$9, 100%, $E$9)</f>
        <v>6.3505000000000003</v>
      </c>
      <c r="G124" s="10">
        <f>CHOOSE(CONTROL!$C$42, 6.3685, 6.3685)*CHOOSE(CONTROL!$C$21, $C$9, 100%, $E$9)</f>
        <v>6.3685</v>
      </c>
      <c r="H124" s="10">
        <f>CHOOSE(CONTROL!$C$42, 6.5698, 6.5698) * CHOOSE(CONTROL!$C$21, $C$9, 100%, $E$9)</f>
        <v>6.5697999999999999</v>
      </c>
      <c r="I124" s="10">
        <f>CHOOSE(CONTROL!$C$42, 6.3405, 6.3405)* CHOOSE(CONTROL!$C$21, $C$9, 100%, $E$9)</f>
        <v>6.3404999999999996</v>
      </c>
      <c r="J124" s="10">
        <f>CHOOSE(CONTROL!$C$42, 6.3435, 6.3435)* CHOOSE(CONTROL!$C$21, $C$9, 100%, $E$9)</f>
        <v>6.3434999999999997</v>
      </c>
      <c r="K124" s="54">
        <f>CHOOSE(CONTROL!$C$42, 6.3366, 6.3366) * CHOOSE(CONTROL!$C$21, $C$9, 100%, $E$9)</f>
        <v>6.3365999999999998</v>
      </c>
      <c r="L124" s="10">
        <f>CHOOSE(CONTROL!$C$42, 7.1568, 7.1568) * CHOOSE(CONTROL!$C$21, $C$9, 100%, $E$9)</f>
        <v>7.1567999999999996</v>
      </c>
      <c r="M124" s="10">
        <f>CHOOSE(CONTROL!$C$42, 6.2933, 6.2933) * CHOOSE(CONTROL!$C$21, $C$9, 100%, $E$9)</f>
        <v>6.2933000000000003</v>
      </c>
      <c r="N124" s="10">
        <f>CHOOSE(CONTROL!$C$42, 6.3111, 6.3111) * CHOOSE(CONTROL!$C$21, $C$9, 100%, $E$9)</f>
        <v>6.3110999999999997</v>
      </c>
      <c r="O124" s="10">
        <f>CHOOSE(CONTROL!$C$42, 6.5173, 6.5173) * CHOOSE(CONTROL!$C$21, $C$9, 100%, $E$9)</f>
        <v>6.5172999999999996</v>
      </c>
      <c r="P124" s="10">
        <f>CHOOSE(CONTROL!$C$42, 6.2903, 6.2903) * CHOOSE(CONTROL!$C$21, $C$9, 100%, $E$9)</f>
        <v>6.2903000000000002</v>
      </c>
      <c r="Q124" s="10">
        <f>CHOOSE(CONTROL!$C$42, 7.1126, 7.1126) * CHOOSE(CONTROL!$C$21, $C$9, 100%, $E$9)</f>
        <v>7.1125999999999996</v>
      </c>
      <c r="R124" s="10">
        <f>CHOOSE(CONTROL!$C$42, 7.7174, 7.7174) * CHOOSE(CONTROL!$C$21, $C$9, 100%, $E$9)</f>
        <v>7.7173999999999996</v>
      </c>
      <c r="S124" s="10">
        <f>CHOOSE(CONTROL!$C$42, 6.1754, 6.1754) * CHOOSE(CONTROL!$C$21, $C$9, 100%, $E$9)</f>
        <v>6.1753999999999998</v>
      </c>
      <c r="T124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24" s="58">
        <f>(1000*CHOOSE(CONTROL!$C$42, 695, 695)*CHOOSE(CONTROL!$C$42, 0.5599, 0.5599)*CHOOSE(CONTROL!$C$42, 30, 30))/1000000</f>
        <v>11.673914999999997</v>
      </c>
      <c r="V124" s="58">
        <f>(1000*CHOOSE(CONTROL!$C$42, 500, 500)*CHOOSE(CONTROL!$C$42, 0.275, 0.275)*CHOOSE(CONTROL!$C$42, 30, 30))/1000000</f>
        <v>4.125</v>
      </c>
      <c r="W124" s="58">
        <f>(1000*CHOOSE(CONTROL!$C$42, 0.1146, 0.1146)*CHOOSE(CONTROL!$C$42, 121.5, 121.5)*CHOOSE(CONTROL!$C$42, 30, 30))/1000000</f>
        <v>0.417717</v>
      </c>
      <c r="X124" s="58">
        <f>(30*0.1790888*245000/1000000)+(30*0.2374*100000/1000000)</f>
        <v>2.0285026799999999</v>
      </c>
      <c r="Y124" s="58"/>
      <c r="Z124" s="10"/>
      <c r="AA124" s="57"/>
      <c r="AB124" s="51">
        <f>(B124*141.293+C124*267.993+D124*115.016+E124*89.698+F124*40+G124*185+H124*0+I124*100+J124*300)/(141.293+267.993+115.016+89.698+0+40+185+100+300)</f>
        <v>6.3904694669895079</v>
      </c>
      <c r="AC124" s="27">
        <f>(M124*'RAP TEMPLATE-GAS AVAILABILITY'!O123+N124*'RAP TEMPLATE-GAS AVAILABILITY'!P123+O124*'RAP TEMPLATE-GAS AVAILABILITY'!Q123+P124*'RAP TEMPLATE-GAS AVAILABILITY'!R123)/('RAP TEMPLATE-GAS AVAILABILITY'!O123+'RAP TEMPLATE-GAS AVAILABILITY'!P123+'RAP TEMPLATE-GAS AVAILABILITY'!Q123+'RAP TEMPLATE-GAS AVAILABILITY'!R123)</f>
        <v>6.3598151079136693</v>
      </c>
    </row>
    <row r="125" spans="1:29" ht="15.75" x14ac:dyDescent="0.25">
      <c r="A125" s="16">
        <v>45047</v>
      </c>
      <c r="B125" s="10">
        <f>CHOOSE(CONTROL!$C$42, 6.4201, 6.4201) * CHOOSE(CONTROL!$C$21, $C$9, 100%, $E$9)</f>
        <v>6.4200999999999997</v>
      </c>
      <c r="C125" s="10">
        <f>CHOOSE(CONTROL!$C$42, 6.428, 6.428) * CHOOSE(CONTROL!$C$21, $C$9, 100%, $E$9)</f>
        <v>6.4279999999999999</v>
      </c>
      <c r="D125" s="10">
        <f>CHOOSE(CONTROL!$C$42, 6.6066, 6.6066) * CHOOSE(CONTROL!$C$21, $C$9, 100%, $E$9)</f>
        <v>6.6066000000000003</v>
      </c>
      <c r="E125" s="10">
        <f>CHOOSE(CONTROL!$C$42, 6.6377, 6.6377) * CHOOSE(CONTROL!$C$21, $C$9, 100%, $E$9)</f>
        <v>6.6376999999999997</v>
      </c>
      <c r="F125" s="10">
        <f>CHOOSE(CONTROL!$C$42, 6.4063, 6.4063)*CHOOSE(CONTROL!$C$21, $C$9, 100%, $E$9)</f>
        <v>6.4062999999999999</v>
      </c>
      <c r="G125" s="10">
        <f>CHOOSE(CONTROL!$C$42, 6.4245, 6.4245)*CHOOSE(CONTROL!$C$21, $C$9, 100%, $E$9)</f>
        <v>6.4245000000000001</v>
      </c>
      <c r="H125" s="10">
        <f>CHOOSE(CONTROL!$C$42, 6.6263, 6.6263) * CHOOSE(CONTROL!$C$21, $C$9, 100%, $E$9)</f>
        <v>6.6262999999999996</v>
      </c>
      <c r="I125" s="10">
        <f>CHOOSE(CONTROL!$C$42, 6.397, 6.397)* CHOOSE(CONTROL!$C$21, $C$9, 100%, $E$9)</f>
        <v>6.3970000000000002</v>
      </c>
      <c r="J125" s="10">
        <f>CHOOSE(CONTROL!$C$42, 6.3993, 6.3993)* CHOOSE(CONTROL!$C$21, $C$9, 100%, $E$9)</f>
        <v>6.3993000000000002</v>
      </c>
      <c r="K125" s="54">
        <f>CHOOSE(CONTROL!$C$42, 6.3931, 6.3931) * CHOOSE(CONTROL!$C$21, $C$9, 100%, $E$9)</f>
        <v>6.3930999999999996</v>
      </c>
      <c r="L125" s="10">
        <f>CHOOSE(CONTROL!$C$42, 7.2133, 7.2133) * CHOOSE(CONTROL!$C$21, $C$9, 100%, $E$9)</f>
        <v>7.2133000000000003</v>
      </c>
      <c r="M125" s="10">
        <f>CHOOSE(CONTROL!$C$42, 6.3485, 6.3485) * CHOOSE(CONTROL!$C$21, $C$9, 100%, $E$9)</f>
        <v>6.3484999999999996</v>
      </c>
      <c r="N125" s="10">
        <f>CHOOSE(CONTROL!$C$42, 6.3665, 6.3665) * CHOOSE(CONTROL!$C$21, $C$9, 100%, $E$9)</f>
        <v>6.3665000000000003</v>
      </c>
      <c r="O125" s="10">
        <f>CHOOSE(CONTROL!$C$42, 6.5733, 6.5733) * CHOOSE(CONTROL!$C$21, $C$9, 100%, $E$9)</f>
        <v>6.5732999999999997</v>
      </c>
      <c r="P125" s="10">
        <f>CHOOSE(CONTROL!$C$42, 6.3463, 6.3463) * CHOOSE(CONTROL!$C$21, $C$9, 100%, $E$9)</f>
        <v>6.3463000000000003</v>
      </c>
      <c r="Q125" s="10">
        <f>CHOOSE(CONTROL!$C$42, 7.1686, 7.1686) * CHOOSE(CONTROL!$C$21, $C$9, 100%, $E$9)</f>
        <v>7.1685999999999996</v>
      </c>
      <c r="R125" s="10">
        <f>CHOOSE(CONTROL!$C$42, 7.7735, 7.7735) * CHOOSE(CONTROL!$C$21, $C$9, 100%, $E$9)</f>
        <v>7.7735000000000003</v>
      </c>
      <c r="S125" s="10">
        <f>CHOOSE(CONTROL!$C$42, 6.2303, 6.2303) * CHOOSE(CONTROL!$C$21, $C$9, 100%, $E$9)</f>
        <v>6.2302999999999997</v>
      </c>
      <c r="T125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25" s="58">
        <f>(1000*CHOOSE(CONTROL!$C$42, 695, 695)*CHOOSE(CONTROL!$C$42, 0.5599, 0.5599)*CHOOSE(CONTROL!$C$42, 31, 31))/1000000</f>
        <v>12.063045499999998</v>
      </c>
      <c r="V125" s="58">
        <f>(1000*CHOOSE(CONTROL!$C$42, 500, 500)*CHOOSE(CONTROL!$C$42, 0.275, 0.275)*CHOOSE(CONTROL!$C$42, 31, 31))/1000000</f>
        <v>4.2625000000000002</v>
      </c>
      <c r="W125" s="58">
        <f>(1000*CHOOSE(CONTROL!$C$42, 0.1146, 0.1146)*CHOOSE(CONTROL!$C$42, 121.5, 121.5)*CHOOSE(CONTROL!$C$42, 31, 31))/1000000</f>
        <v>0.43164089999999994</v>
      </c>
      <c r="X125" s="58">
        <f>(31*0.1790888*245000/1000000)+(31*0.2374*100000/1000000)</f>
        <v>2.0961194359999999</v>
      </c>
      <c r="Y125" s="58"/>
      <c r="Z125" s="10"/>
      <c r="AA125" s="57"/>
      <c r="AB125" s="51">
        <f>(B125*194.205+C125*267.466+D125*133.845+E125*53.484+F125*40+G125*185+H125*0+I125*100+J125*300)/(194.205+267.466+133.845+53.484+0+40+185+100+300)</f>
        <v>6.4439816266091059</v>
      </c>
      <c r="AC125" s="27">
        <f>(M125*'RAP TEMPLATE-GAS AVAILABILITY'!O124+N125*'RAP TEMPLATE-GAS AVAILABILITY'!P124+O125*'RAP TEMPLATE-GAS AVAILABILITY'!Q124+P125*'RAP TEMPLATE-GAS AVAILABILITY'!R124)/('RAP TEMPLATE-GAS AVAILABILITY'!O124+'RAP TEMPLATE-GAS AVAILABILITY'!P124+'RAP TEMPLATE-GAS AVAILABILITY'!Q124+'RAP TEMPLATE-GAS AVAILABILITY'!R124)</f>
        <v>6.4154007194244596</v>
      </c>
    </row>
    <row r="126" spans="1:29" ht="15.75" x14ac:dyDescent="0.25">
      <c r="A126" s="16">
        <v>45078</v>
      </c>
      <c r="B126" s="10">
        <f>CHOOSE(CONTROL!$C$42, 6.6021, 6.6021) * CHOOSE(CONTROL!$C$21, $C$9, 100%, $E$9)</f>
        <v>6.6021000000000001</v>
      </c>
      <c r="C126" s="10">
        <f>CHOOSE(CONTROL!$C$42, 6.61, 6.61) * CHOOSE(CONTROL!$C$21, $C$9, 100%, $E$9)</f>
        <v>6.61</v>
      </c>
      <c r="D126" s="10">
        <f>CHOOSE(CONTROL!$C$42, 6.7885, 6.7885) * CHOOSE(CONTROL!$C$21, $C$9, 100%, $E$9)</f>
        <v>6.7885</v>
      </c>
      <c r="E126" s="10">
        <f>CHOOSE(CONTROL!$C$42, 6.8196, 6.8196) * CHOOSE(CONTROL!$C$21, $C$9, 100%, $E$9)</f>
        <v>6.8196000000000003</v>
      </c>
      <c r="F126" s="10">
        <f>CHOOSE(CONTROL!$C$42, 6.5885, 6.5885)*CHOOSE(CONTROL!$C$21, $C$9, 100%, $E$9)</f>
        <v>6.5884999999999998</v>
      </c>
      <c r="G126" s="10">
        <f>CHOOSE(CONTROL!$C$42, 6.6067, 6.6067)*CHOOSE(CONTROL!$C$21, $C$9, 100%, $E$9)</f>
        <v>6.6067</v>
      </c>
      <c r="H126" s="10">
        <f>CHOOSE(CONTROL!$C$42, 6.8083, 6.8083) * CHOOSE(CONTROL!$C$21, $C$9, 100%, $E$9)</f>
        <v>6.8083</v>
      </c>
      <c r="I126" s="10">
        <f>CHOOSE(CONTROL!$C$42, 6.5789, 6.5789)* CHOOSE(CONTROL!$C$21, $C$9, 100%, $E$9)</f>
        <v>6.5789</v>
      </c>
      <c r="J126" s="10">
        <f>CHOOSE(CONTROL!$C$42, 6.5815, 6.5815)* CHOOSE(CONTROL!$C$21, $C$9, 100%, $E$9)</f>
        <v>6.5815000000000001</v>
      </c>
      <c r="K126" s="54">
        <f>CHOOSE(CONTROL!$C$42, 6.575, 6.575) * CHOOSE(CONTROL!$C$21, $C$9, 100%, $E$9)</f>
        <v>6.5750000000000002</v>
      </c>
      <c r="L126" s="10">
        <f>CHOOSE(CONTROL!$C$42, 7.3953, 7.3953) * CHOOSE(CONTROL!$C$21, $C$9, 100%, $E$9)</f>
        <v>7.3952999999999998</v>
      </c>
      <c r="M126" s="10">
        <f>CHOOSE(CONTROL!$C$42, 6.5289, 6.5289) * CHOOSE(CONTROL!$C$21, $C$9, 100%, $E$9)</f>
        <v>6.5289000000000001</v>
      </c>
      <c r="N126" s="10">
        <f>CHOOSE(CONTROL!$C$42, 6.547, 6.547) * CHOOSE(CONTROL!$C$21, $C$9, 100%, $E$9)</f>
        <v>6.5469999999999997</v>
      </c>
      <c r="O126" s="10">
        <f>CHOOSE(CONTROL!$C$42, 6.7534, 6.7534) * CHOOSE(CONTROL!$C$21, $C$9, 100%, $E$9)</f>
        <v>6.7534000000000001</v>
      </c>
      <c r="P126" s="10">
        <f>CHOOSE(CONTROL!$C$42, 6.5264, 6.5264) * CHOOSE(CONTROL!$C$21, $C$9, 100%, $E$9)</f>
        <v>6.5263999999999998</v>
      </c>
      <c r="Q126" s="10">
        <f>CHOOSE(CONTROL!$C$42, 7.3487, 7.3487) * CHOOSE(CONTROL!$C$21, $C$9, 100%, $E$9)</f>
        <v>7.3487</v>
      </c>
      <c r="R126" s="10">
        <f>CHOOSE(CONTROL!$C$42, 7.9541, 7.9541) * CHOOSE(CONTROL!$C$21, $C$9, 100%, $E$9)</f>
        <v>7.9541000000000004</v>
      </c>
      <c r="S126" s="10">
        <f>CHOOSE(CONTROL!$C$42, 6.407, 6.407) * CHOOSE(CONTROL!$C$21, $C$9, 100%, $E$9)</f>
        <v>6.407</v>
      </c>
      <c r="T126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26" s="58">
        <f>(1000*CHOOSE(CONTROL!$C$42, 695, 695)*CHOOSE(CONTROL!$C$42, 0.5599, 0.5599)*CHOOSE(CONTROL!$C$42, 30, 30))/1000000</f>
        <v>11.673914999999997</v>
      </c>
      <c r="V126" s="58">
        <f>(1000*CHOOSE(CONTROL!$C$42, 500, 500)*CHOOSE(CONTROL!$C$42, 0.275, 0.275)*CHOOSE(CONTROL!$C$42, 30, 30))/1000000</f>
        <v>4.125</v>
      </c>
      <c r="W126" s="58">
        <f>(1000*CHOOSE(CONTROL!$C$42, 0.1146, 0.1146)*CHOOSE(CONTROL!$C$42, 121.5, 121.5)*CHOOSE(CONTROL!$C$42, 30, 30))/1000000</f>
        <v>0.417717</v>
      </c>
      <c r="X126" s="58">
        <f>(30*0.1790888*245000/1000000)+(30*0.2374*100000/1000000)</f>
        <v>2.0285026799999999</v>
      </c>
      <c r="Y126" s="58"/>
      <c r="Z126" s="10"/>
      <c r="AA126" s="57"/>
      <c r="AB126" s="51">
        <f>(B126*194.205+C126*267.466+D126*133.845+E126*53.484+F126*40+G126*185+H126*0+I126*100+J126*300)/(194.205+267.466+133.845+53.484+0+40+185+100+300)</f>
        <v>6.6260414908948198</v>
      </c>
      <c r="AC126" s="27">
        <f>(M126*'RAP TEMPLATE-GAS AVAILABILITY'!O125+N126*'RAP TEMPLATE-GAS AVAILABILITY'!P125+O126*'RAP TEMPLATE-GAS AVAILABILITY'!Q125+P126*'RAP TEMPLATE-GAS AVAILABILITY'!R125)/('RAP TEMPLATE-GAS AVAILABILITY'!O125+'RAP TEMPLATE-GAS AVAILABILITY'!P125+'RAP TEMPLATE-GAS AVAILABILITY'!Q125+'RAP TEMPLATE-GAS AVAILABILITY'!R125)</f>
        <v>6.5956964028776977</v>
      </c>
    </row>
    <row r="127" spans="1:29" ht="15.75" x14ac:dyDescent="0.25">
      <c r="A127" s="16">
        <v>45108</v>
      </c>
      <c r="B127" s="10">
        <f>CHOOSE(CONTROL!$C$42, 6.4755, 6.4755) * CHOOSE(CONTROL!$C$21, $C$9, 100%, $E$9)</f>
        <v>6.4755000000000003</v>
      </c>
      <c r="C127" s="10">
        <f>CHOOSE(CONTROL!$C$42, 6.4834, 6.4834) * CHOOSE(CONTROL!$C$21, $C$9, 100%, $E$9)</f>
        <v>6.4833999999999996</v>
      </c>
      <c r="D127" s="10">
        <f>CHOOSE(CONTROL!$C$42, 6.662, 6.662) * CHOOSE(CONTROL!$C$21, $C$9, 100%, $E$9)</f>
        <v>6.6619999999999999</v>
      </c>
      <c r="E127" s="10">
        <f>CHOOSE(CONTROL!$C$42, 6.6931, 6.6931) * CHOOSE(CONTROL!$C$21, $C$9, 100%, $E$9)</f>
        <v>6.6931000000000003</v>
      </c>
      <c r="F127" s="10">
        <f>CHOOSE(CONTROL!$C$42, 6.4622, 6.4622)*CHOOSE(CONTROL!$C$21, $C$9, 100%, $E$9)</f>
        <v>6.4622000000000002</v>
      </c>
      <c r="G127" s="10">
        <f>CHOOSE(CONTROL!$C$42, 6.4805, 6.4805)*CHOOSE(CONTROL!$C$21, $C$9, 100%, $E$9)</f>
        <v>6.4805000000000001</v>
      </c>
      <c r="H127" s="10">
        <f>CHOOSE(CONTROL!$C$42, 6.6817, 6.6817) * CHOOSE(CONTROL!$C$21, $C$9, 100%, $E$9)</f>
        <v>6.6817000000000002</v>
      </c>
      <c r="I127" s="10">
        <f>CHOOSE(CONTROL!$C$42, 6.4524, 6.4524)* CHOOSE(CONTROL!$C$21, $C$9, 100%, $E$9)</f>
        <v>6.4523999999999999</v>
      </c>
      <c r="J127" s="10">
        <f>CHOOSE(CONTROL!$C$42, 6.4552, 6.4552)* CHOOSE(CONTROL!$C$21, $C$9, 100%, $E$9)</f>
        <v>6.4551999999999996</v>
      </c>
      <c r="K127" s="54">
        <f>CHOOSE(CONTROL!$C$42, 6.4485, 6.4485) * CHOOSE(CONTROL!$C$21, $C$9, 100%, $E$9)</f>
        <v>6.4485000000000001</v>
      </c>
      <c r="L127" s="10">
        <f>CHOOSE(CONTROL!$C$42, 7.2687, 7.2687) * CHOOSE(CONTROL!$C$21, $C$9, 100%, $E$9)</f>
        <v>7.2686999999999999</v>
      </c>
      <c r="M127" s="10">
        <f>CHOOSE(CONTROL!$C$42, 6.4039, 6.4039) * CHOOSE(CONTROL!$C$21, $C$9, 100%, $E$9)</f>
        <v>6.4039000000000001</v>
      </c>
      <c r="N127" s="10">
        <f>CHOOSE(CONTROL!$C$42, 6.422, 6.422) * CHOOSE(CONTROL!$C$21, $C$9, 100%, $E$9)</f>
        <v>6.4219999999999997</v>
      </c>
      <c r="O127" s="10">
        <f>CHOOSE(CONTROL!$C$42, 6.6281, 6.6281) * CHOOSE(CONTROL!$C$21, $C$9, 100%, $E$9)</f>
        <v>6.6280999999999999</v>
      </c>
      <c r="P127" s="10">
        <f>CHOOSE(CONTROL!$C$42, 6.4011, 6.4011) * CHOOSE(CONTROL!$C$21, $C$9, 100%, $E$9)</f>
        <v>6.4010999999999996</v>
      </c>
      <c r="Q127" s="10">
        <f>CHOOSE(CONTROL!$C$42, 7.2234, 7.2234) * CHOOSE(CONTROL!$C$21, $C$9, 100%, $E$9)</f>
        <v>7.2233999999999998</v>
      </c>
      <c r="R127" s="10">
        <f>CHOOSE(CONTROL!$C$42, 7.8285, 7.8285) * CHOOSE(CONTROL!$C$21, $C$9, 100%, $E$9)</f>
        <v>7.8285</v>
      </c>
      <c r="S127" s="10">
        <f>CHOOSE(CONTROL!$C$42, 6.2841, 6.2841) * CHOOSE(CONTROL!$C$21, $C$9, 100%, $E$9)</f>
        <v>6.2840999999999996</v>
      </c>
      <c r="T127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27" s="58">
        <f>(1000*CHOOSE(CONTROL!$C$42, 695, 695)*CHOOSE(CONTROL!$C$42, 0.5599, 0.5599)*CHOOSE(CONTROL!$C$42, 31, 31))/1000000</f>
        <v>12.063045499999998</v>
      </c>
      <c r="V127" s="58">
        <f>(1000*CHOOSE(CONTROL!$C$42, 500, 500)*CHOOSE(CONTROL!$C$42, 0.275, 0.275)*CHOOSE(CONTROL!$C$42, 31, 31))/1000000</f>
        <v>4.2625000000000002</v>
      </c>
      <c r="W127" s="58">
        <f>(1000*CHOOSE(CONTROL!$C$42, 0.1146, 0.1146)*CHOOSE(CONTROL!$C$42, 121.5, 121.5)*CHOOSE(CONTROL!$C$42, 31, 31))/1000000</f>
        <v>0.43164089999999994</v>
      </c>
      <c r="X127" s="58">
        <f>(31*0.1790888*245000/1000000)+(31*0.2374*100000/1000000)</f>
        <v>2.0961194359999999</v>
      </c>
      <c r="Y127" s="58"/>
      <c r="Z127" s="10"/>
      <c r="AA127" s="57"/>
      <c r="AB127" s="51">
        <f>(B127*194.205+C127*267.466+D127*133.845+E127*53.484+F127*40+G127*185+H127*0+I127*100+J127*300)/(194.205+267.466+133.845+53.484+0+40+185+100+300)</f>
        <v>6.4996021917582416</v>
      </c>
      <c r="AC127" s="27">
        <f>(M127*'RAP TEMPLATE-GAS AVAILABILITY'!O126+N127*'RAP TEMPLATE-GAS AVAILABILITY'!P126+O127*'RAP TEMPLATE-GAS AVAILABILITY'!Q126+P127*'RAP TEMPLATE-GAS AVAILABILITY'!R126)/('RAP TEMPLATE-GAS AVAILABILITY'!O126+'RAP TEMPLATE-GAS AVAILABILITY'!P126+'RAP TEMPLATE-GAS AVAILABILITY'!Q126+'RAP TEMPLATE-GAS AVAILABILITY'!R126)</f>
        <v>6.4705690647482017</v>
      </c>
    </row>
    <row r="128" spans="1:29" ht="15.75" x14ac:dyDescent="0.25">
      <c r="A128" s="16">
        <v>45139</v>
      </c>
      <c r="B128" s="10">
        <f>CHOOSE(CONTROL!$C$42, 6.1559, 6.1559) * CHOOSE(CONTROL!$C$21, $C$9, 100%, $E$9)</f>
        <v>6.1558999999999999</v>
      </c>
      <c r="C128" s="10">
        <f>CHOOSE(CONTROL!$C$42, 6.1638, 6.1638) * CHOOSE(CONTROL!$C$21, $C$9, 100%, $E$9)</f>
        <v>6.1638000000000002</v>
      </c>
      <c r="D128" s="10">
        <f>CHOOSE(CONTROL!$C$42, 6.3424, 6.3424) * CHOOSE(CONTROL!$C$21, $C$9, 100%, $E$9)</f>
        <v>6.3423999999999996</v>
      </c>
      <c r="E128" s="10">
        <f>CHOOSE(CONTROL!$C$42, 6.3735, 6.3735) * CHOOSE(CONTROL!$C$21, $C$9, 100%, $E$9)</f>
        <v>6.3734999999999999</v>
      </c>
      <c r="F128" s="10">
        <f>CHOOSE(CONTROL!$C$42, 6.1426, 6.1426)*CHOOSE(CONTROL!$C$21, $C$9, 100%, $E$9)</f>
        <v>6.1425999999999998</v>
      </c>
      <c r="G128" s="10">
        <f>CHOOSE(CONTROL!$C$42, 6.1609, 6.1609)*CHOOSE(CONTROL!$C$21, $C$9, 100%, $E$9)</f>
        <v>6.1608999999999998</v>
      </c>
      <c r="H128" s="10">
        <f>CHOOSE(CONTROL!$C$42, 6.3621, 6.3621) * CHOOSE(CONTROL!$C$21, $C$9, 100%, $E$9)</f>
        <v>6.3620999999999999</v>
      </c>
      <c r="I128" s="10">
        <f>CHOOSE(CONTROL!$C$42, 6.1328, 6.1328)* CHOOSE(CONTROL!$C$21, $C$9, 100%, $E$9)</f>
        <v>6.1327999999999996</v>
      </c>
      <c r="J128" s="10">
        <f>CHOOSE(CONTROL!$C$42, 6.1356, 6.1356)* CHOOSE(CONTROL!$C$21, $C$9, 100%, $E$9)</f>
        <v>6.1356000000000002</v>
      </c>
      <c r="K128" s="54">
        <f>CHOOSE(CONTROL!$C$42, 6.1289, 6.1289) * CHOOSE(CONTROL!$C$21, $C$9, 100%, $E$9)</f>
        <v>6.1288999999999998</v>
      </c>
      <c r="L128" s="10">
        <f>CHOOSE(CONTROL!$C$42, 6.9491, 6.9491) * CHOOSE(CONTROL!$C$21, $C$9, 100%, $E$9)</f>
        <v>6.9490999999999996</v>
      </c>
      <c r="M128" s="10">
        <f>CHOOSE(CONTROL!$C$42, 6.0875, 6.0875) * CHOOSE(CONTROL!$C$21, $C$9, 100%, $E$9)</f>
        <v>6.0875000000000004</v>
      </c>
      <c r="N128" s="10">
        <f>CHOOSE(CONTROL!$C$42, 6.1056, 6.1056) * CHOOSE(CONTROL!$C$21, $C$9, 100%, $E$9)</f>
        <v>6.1055999999999999</v>
      </c>
      <c r="O128" s="10">
        <f>CHOOSE(CONTROL!$C$42, 6.3118, 6.3118) * CHOOSE(CONTROL!$C$21, $C$9, 100%, $E$9)</f>
        <v>6.3117999999999999</v>
      </c>
      <c r="P128" s="10">
        <f>CHOOSE(CONTROL!$C$42, 6.0848, 6.0848) * CHOOSE(CONTROL!$C$21, $C$9, 100%, $E$9)</f>
        <v>6.0848000000000004</v>
      </c>
      <c r="Q128" s="10">
        <f>CHOOSE(CONTROL!$C$42, 6.9071, 6.9071) * CHOOSE(CONTROL!$C$21, $C$9, 100%, $E$9)</f>
        <v>6.9070999999999998</v>
      </c>
      <c r="R128" s="10">
        <f>CHOOSE(CONTROL!$C$42, 7.5113, 7.5113) * CHOOSE(CONTROL!$C$21, $C$9, 100%, $E$9)</f>
        <v>7.5113000000000003</v>
      </c>
      <c r="S128" s="10">
        <f>CHOOSE(CONTROL!$C$42, 5.9738, 5.9738) * CHOOSE(CONTROL!$C$21, $C$9, 100%, $E$9)</f>
        <v>5.9737999999999998</v>
      </c>
      <c r="T128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28" s="58">
        <f>(1000*CHOOSE(CONTROL!$C$42, 695, 695)*CHOOSE(CONTROL!$C$42, 0.5599, 0.5599)*CHOOSE(CONTROL!$C$42, 31, 31))/1000000</f>
        <v>12.063045499999998</v>
      </c>
      <c r="V128" s="58">
        <f>(1000*CHOOSE(CONTROL!$C$42, 500, 500)*CHOOSE(CONTROL!$C$42, 0.275, 0.275)*CHOOSE(CONTROL!$C$42, 31, 31))/1000000</f>
        <v>4.2625000000000002</v>
      </c>
      <c r="W128" s="58">
        <f>(1000*CHOOSE(CONTROL!$C$42, 0.1146, 0.1146)*CHOOSE(CONTROL!$C$42, 121.5, 121.5)*CHOOSE(CONTROL!$C$42, 31, 31))/1000000</f>
        <v>0.43164089999999994</v>
      </c>
      <c r="X128" s="58">
        <f>(31*0.1790888*245000/1000000)+(31*0.2374*100000/1000000)</f>
        <v>2.0961194359999999</v>
      </c>
      <c r="Y128" s="58"/>
      <c r="Z128" s="10"/>
      <c r="AA128" s="57"/>
      <c r="AB128" s="51">
        <f>(B128*194.205+C128*267.466+D128*133.845+E128*53.484+F128*40+G128*185+H128*0+I128*100+J128*300)/(194.205+267.466+133.845+53.484+0+40+185+100+300)</f>
        <v>6.1800021917582413</v>
      </c>
      <c r="AC128" s="27">
        <f>(M128*'RAP TEMPLATE-GAS AVAILABILITY'!O127+N128*'RAP TEMPLATE-GAS AVAILABILITY'!P127+O128*'RAP TEMPLATE-GAS AVAILABILITY'!Q127+P128*'RAP TEMPLATE-GAS AVAILABILITY'!R127)/('RAP TEMPLATE-GAS AVAILABILITY'!O127+'RAP TEMPLATE-GAS AVAILABILITY'!P127+'RAP TEMPLATE-GAS AVAILABILITY'!Q127+'RAP TEMPLATE-GAS AVAILABILITY'!R127)</f>
        <v>6.1542115107913666</v>
      </c>
    </row>
    <row r="129" spans="1:29" ht="15.75" x14ac:dyDescent="0.25">
      <c r="A129" s="16">
        <v>45170</v>
      </c>
      <c r="B129" s="10">
        <f>CHOOSE(CONTROL!$C$42, 5.7655, 5.7655) * CHOOSE(CONTROL!$C$21, $C$9, 100%, $E$9)</f>
        <v>5.7655000000000003</v>
      </c>
      <c r="C129" s="10">
        <f>CHOOSE(CONTROL!$C$42, 5.7734, 5.7734) * CHOOSE(CONTROL!$C$21, $C$9, 100%, $E$9)</f>
        <v>5.7733999999999996</v>
      </c>
      <c r="D129" s="10">
        <f>CHOOSE(CONTROL!$C$42, 5.9519, 5.9519) * CHOOSE(CONTROL!$C$21, $C$9, 100%, $E$9)</f>
        <v>5.9519000000000002</v>
      </c>
      <c r="E129" s="10">
        <f>CHOOSE(CONTROL!$C$42, 5.983, 5.983) * CHOOSE(CONTROL!$C$21, $C$9, 100%, $E$9)</f>
        <v>5.9829999999999997</v>
      </c>
      <c r="F129" s="10">
        <f>CHOOSE(CONTROL!$C$42, 5.7518, 5.7518)*CHOOSE(CONTROL!$C$21, $C$9, 100%, $E$9)</f>
        <v>5.7518000000000002</v>
      </c>
      <c r="G129" s="10">
        <f>CHOOSE(CONTROL!$C$42, 5.77, 5.77)*CHOOSE(CONTROL!$C$21, $C$9, 100%, $E$9)</f>
        <v>5.77</v>
      </c>
      <c r="H129" s="10">
        <f>CHOOSE(CONTROL!$C$42, 5.9717, 5.9717) * CHOOSE(CONTROL!$C$21, $C$9, 100%, $E$9)</f>
        <v>5.9717000000000002</v>
      </c>
      <c r="I129" s="10">
        <f>CHOOSE(CONTROL!$C$42, 5.7423, 5.7423)* CHOOSE(CONTROL!$C$21, $C$9, 100%, $E$9)</f>
        <v>5.7423000000000002</v>
      </c>
      <c r="J129" s="10">
        <f>CHOOSE(CONTROL!$C$42, 5.7448, 5.7448)* CHOOSE(CONTROL!$C$21, $C$9, 100%, $E$9)</f>
        <v>5.7447999999999997</v>
      </c>
      <c r="K129" s="54">
        <f>CHOOSE(CONTROL!$C$42, 5.7384, 5.7384) * CHOOSE(CONTROL!$C$21, $C$9, 100%, $E$9)</f>
        <v>5.7384000000000004</v>
      </c>
      <c r="L129" s="10">
        <f>CHOOSE(CONTROL!$C$42, 6.5587, 6.5587) * CHOOSE(CONTROL!$C$21, $C$9, 100%, $E$9)</f>
        <v>6.5587</v>
      </c>
      <c r="M129" s="10">
        <f>CHOOSE(CONTROL!$C$42, 5.7007, 5.7007) * CHOOSE(CONTROL!$C$21, $C$9, 100%, $E$9)</f>
        <v>5.7007000000000003</v>
      </c>
      <c r="N129" s="10">
        <f>CHOOSE(CONTROL!$C$42, 5.7187, 5.7187) * CHOOSE(CONTROL!$C$21, $C$9, 100%, $E$9)</f>
        <v>5.7187000000000001</v>
      </c>
      <c r="O129" s="10">
        <f>CHOOSE(CONTROL!$C$42, 5.9252, 5.9252) * CHOOSE(CONTROL!$C$21, $C$9, 100%, $E$9)</f>
        <v>5.9252000000000002</v>
      </c>
      <c r="P129" s="10">
        <f>CHOOSE(CONTROL!$C$42, 5.6982, 5.6982) * CHOOSE(CONTROL!$C$21, $C$9, 100%, $E$9)</f>
        <v>5.6981999999999999</v>
      </c>
      <c r="Q129" s="10">
        <f>CHOOSE(CONTROL!$C$42, 6.5205, 6.5205) * CHOOSE(CONTROL!$C$21, $C$9, 100%, $E$9)</f>
        <v>6.5205000000000002</v>
      </c>
      <c r="R129" s="10">
        <f>CHOOSE(CONTROL!$C$42, 7.1238, 7.1238) * CHOOSE(CONTROL!$C$21, $C$9, 100%, $E$9)</f>
        <v>7.1238000000000001</v>
      </c>
      <c r="S129" s="10">
        <f>CHOOSE(CONTROL!$C$42, 5.5946, 5.5946) * CHOOSE(CONTROL!$C$21, $C$9, 100%, $E$9)</f>
        <v>5.5945999999999998</v>
      </c>
      <c r="T129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29" s="58">
        <f>(1000*CHOOSE(CONTROL!$C$42, 695, 695)*CHOOSE(CONTROL!$C$42, 0.5599, 0.5599)*CHOOSE(CONTROL!$C$42, 30, 30))/1000000</f>
        <v>11.673914999999997</v>
      </c>
      <c r="V129" s="58">
        <f>(1000*CHOOSE(CONTROL!$C$42, 500, 500)*CHOOSE(CONTROL!$C$42, 0.275, 0.275)*CHOOSE(CONTROL!$C$42, 30, 30))/1000000</f>
        <v>4.125</v>
      </c>
      <c r="W129" s="58">
        <f>(1000*CHOOSE(CONTROL!$C$42, 0.1146, 0.1146)*CHOOSE(CONTROL!$C$42, 121.5, 121.5)*CHOOSE(CONTROL!$C$42, 30, 30))/1000000</f>
        <v>0.417717</v>
      </c>
      <c r="X129" s="58">
        <f>(30*0.1790888*245000/1000000)+(30*0.2374*100000/1000000)</f>
        <v>2.0285026799999999</v>
      </c>
      <c r="Y129" s="58"/>
      <c r="Z129" s="10"/>
      <c r="AA129" s="57"/>
      <c r="AB129" s="51">
        <f>(B129*194.205+C129*267.466+D129*133.845+E129*53.484+F129*40+G129*185+H129*0+I129*100+J129*300)/(194.205+267.466+133.845+53.484+0+40+185+100+300)</f>
        <v>5.7894002821036104</v>
      </c>
      <c r="AC129" s="27">
        <f>(M129*'RAP TEMPLATE-GAS AVAILABILITY'!O128+N129*'RAP TEMPLATE-GAS AVAILABILITY'!P128+O129*'RAP TEMPLATE-GAS AVAILABILITY'!Q128+P129*'RAP TEMPLATE-GAS AVAILABILITY'!R128)/('RAP TEMPLATE-GAS AVAILABILITY'!O128+'RAP TEMPLATE-GAS AVAILABILITY'!P128+'RAP TEMPLATE-GAS AVAILABILITY'!Q128+'RAP TEMPLATE-GAS AVAILABILITY'!R128)</f>
        <v>5.7674733812949635</v>
      </c>
    </row>
    <row r="130" spans="1:29" ht="15.75" x14ac:dyDescent="0.25">
      <c r="A130" s="16">
        <v>45200</v>
      </c>
      <c r="B130" s="10">
        <f>CHOOSE(CONTROL!$C$42, 5.6464, 5.6464) * CHOOSE(CONTROL!$C$21, $C$9, 100%, $E$9)</f>
        <v>5.6463999999999999</v>
      </c>
      <c r="C130" s="10">
        <f>CHOOSE(CONTROL!$C$42, 5.6516, 5.6516) * CHOOSE(CONTROL!$C$21, $C$9, 100%, $E$9)</f>
        <v>5.6516000000000002</v>
      </c>
      <c r="D130" s="10">
        <f>CHOOSE(CONTROL!$C$42, 5.8351, 5.8351) * CHOOSE(CONTROL!$C$21, $C$9, 100%, $E$9)</f>
        <v>5.8350999999999997</v>
      </c>
      <c r="E130" s="10">
        <f>CHOOSE(CONTROL!$C$42, 5.8639, 5.8639) * CHOOSE(CONTROL!$C$21, $C$9, 100%, $E$9)</f>
        <v>5.8639000000000001</v>
      </c>
      <c r="F130" s="10">
        <f>CHOOSE(CONTROL!$C$42, 5.6347, 5.6347)*CHOOSE(CONTROL!$C$21, $C$9, 100%, $E$9)</f>
        <v>5.6346999999999996</v>
      </c>
      <c r="G130" s="10">
        <f>CHOOSE(CONTROL!$C$42, 5.6526, 5.6526)*CHOOSE(CONTROL!$C$21, $C$9, 100%, $E$9)</f>
        <v>5.6525999999999996</v>
      </c>
      <c r="H130" s="10">
        <f>CHOOSE(CONTROL!$C$42, 5.8543, 5.8543) * CHOOSE(CONTROL!$C$21, $C$9, 100%, $E$9)</f>
        <v>5.8543000000000003</v>
      </c>
      <c r="I130" s="10">
        <f>CHOOSE(CONTROL!$C$42, 5.625, 5.625)* CHOOSE(CONTROL!$C$21, $C$9, 100%, $E$9)</f>
        <v>5.625</v>
      </c>
      <c r="J130" s="10">
        <f>CHOOSE(CONTROL!$C$42, 5.6277, 5.6277)* CHOOSE(CONTROL!$C$21, $C$9, 100%, $E$9)</f>
        <v>5.6276999999999999</v>
      </c>
      <c r="K130" s="54">
        <f>CHOOSE(CONTROL!$C$42, 5.6211, 5.6211) * CHOOSE(CONTROL!$C$21, $C$9, 100%, $E$9)</f>
        <v>5.6211000000000002</v>
      </c>
      <c r="L130" s="10">
        <f>CHOOSE(CONTROL!$C$42, 6.4413, 6.4413) * CHOOSE(CONTROL!$C$21, $C$9, 100%, $E$9)</f>
        <v>6.4413</v>
      </c>
      <c r="M130" s="10">
        <f>CHOOSE(CONTROL!$C$42, 5.5847, 5.5847) * CHOOSE(CONTROL!$C$21, $C$9, 100%, $E$9)</f>
        <v>5.5846999999999998</v>
      </c>
      <c r="N130" s="10">
        <f>CHOOSE(CONTROL!$C$42, 5.6024, 5.6024) * CHOOSE(CONTROL!$C$21, $C$9, 100%, $E$9)</f>
        <v>5.6024000000000003</v>
      </c>
      <c r="O130" s="10">
        <f>CHOOSE(CONTROL!$C$42, 5.8091, 5.8091) * CHOOSE(CONTROL!$C$21, $C$9, 100%, $E$9)</f>
        <v>5.8090999999999999</v>
      </c>
      <c r="P130" s="10">
        <f>CHOOSE(CONTROL!$C$42, 5.5821, 5.5821) * CHOOSE(CONTROL!$C$21, $C$9, 100%, $E$9)</f>
        <v>5.5820999999999996</v>
      </c>
      <c r="Q130" s="10">
        <f>CHOOSE(CONTROL!$C$42, 6.4044, 6.4044) * CHOOSE(CONTROL!$C$21, $C$9, 100%, $E$9)</f>
        <v>6.4043999999999999</v>
      </c>
      <c r="R130" s="10">
        <f>CHOOSE(CONTROL!$C$42, 7.0074, 7.0074) * CHOOSE(CONTROL!$C$21, $C$9, 100%, $E$9)</f>
        <v>7.0073999999999996</v>
      </c>
      <c r="S130" s="10">
        <f>CHOOSE(CONTROL!$C$42, 5.4806, 5.4806) * CHOOSE(CONTROL!$C$21, $C$9, 100%, $E$9)</f>
        <v>5.4805999999999999</v>
      </c>
      <c r="T130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30" s="58">
        <f>(1000*CHOOSE(CONTROL!$C$42, 695, 695)*CHOOSE(CONTROL!$C$42, 0.5599, 0.5599)*CHOOSE(CONTROL!$C$42, 31, 31))/1000000</f>
        <v>12.063045499999998</v>
      </c>
      <c r="V130" s="58">
        <f>(1000*CHOOSE(CONTROL!$C$42, 500, 500)*CHOOSE(CONTROL!$C$42, 0.275, 0.275)*CHOOSE(CONTROL!$C$42, 31, 31))/1000000</f>
        <v>4.2625000000000002</v>
      </c>
      <c r="W130" s="58">
        <f>(1000*CHOOSE(CONTROL!$C$42, 0.1146, 0.1146)*CHOOSE(CONTROL!$C$42, 121.5, 121.5)*CHOOSE(CONTROL!$C$42, 31, 31))/1000000</f>
        <v>0.43164089999999994</v>
      </c>
      <c r="X130" s="58">
        <f>(31*0.1790888*245000/1000000)+(31*0.2374*100000/1000000)</f>
        <v>2.0961194359999999</v>
      </c>
      <c r="Y130" s="58"/>
      <c r="Z130" s="10"/>
      <c r="AA130" s="57"/>
      <c r="AB130" s="51">
        <f>(B130*131.881+C130*277.167+D130*79.08+E130*125.872+F130*40+G130*185+H130*0+I130*100+J130*300)/(131.881+277.167+79.08+125.872+0+40+185+100+300)</f>
        <v>5.6759963070217925</v>
      </c>
      <c r="AC130" s="27">
        <f>(M130*'RAP TEMPLATE-GAS AVAILABILITY'!O129+N130*'RAP TEMPLATE-GAS AVAILABILITY'!P129+O130*'RAP TEMPLATE-GAS AVAILABILITY'!Q129+P130*'RAP TEMPLATE-GAS AVAILABILITY'!R129)/('RAP TEMPLATE-GAS AVAILABILITY'!O129+'RAP TEMPLATE-GAS AVAILABILITY'!P129+'RAP TEMPLATE-GAS AVAILABILITY'!Q129+'RAP TEMPLATE-GAS AVAILABILITY'!R129)</f>
        <v>5.6513618705035968</v>
      </c>
    </row>
    <row r="131" spans="1:29" ht="15.75" x14ac:dyDescent="0.25">
      <c r="A131" s="16">
        <v>45231</v>
      </c>
      <c r="B131" s="10">
        <f>CHOOSE(CONTROL!$C$42, 5.7946, 5.7946) * CHOOSE(CONTROL!$C$21, $C$9, 100%, $E$9)</f>
        <v>5.7946</v>
      </c>
      <c r="C131" s="10">
        <f>CHOOSE(CONTROL!$C$42, 5.7996, 5.7996) * CHOOSE(CONTROL!$C$21, $C$9, 100%, $E$9)</f>
        <v>5.7995999999999999</v>
      </c>
      <c r="D131" s="10">
        <f>CHOOSE(CONTROL!$C$42, 5.8292, 5.8292) * CHOOSE(CONTROL!$C$21, $C$9, 100%, $E$9)</f>
        <v>5.8292000000000002</v>
      </c>
      <c r="E131" s="10">
        <f>CHOOSE(CONTROL!$C$42, 5.8629, 5.8629) * CHOOSE(CONTROL!$C$21, $C$9, 100%, $E$9)</f>
        <v>5.8628999999999998</v>
      </c>
      <c r="F131" s="10">
        <f>CHOOSE(CONTROL!$C$42, 5.7804, 5.7804)*CHOOSE(CONTROL!$C$21, $C$9, 100%, $E$9)</f>
        <v>5.7804000000000002</v>
      </c>
      <c r="G131" s="10">
        <f>CHOOSE(CONTROL!$C$42, 5.7984, 5.7984)*CHOOSE(CONTROL!$C$21, $C$9, 100%, $E$9)</f>
        <v>5.7984</v>
      </c>
      <c r="H131" s="10">
        <f>CHOOSE(CONTROL!$C$42, 5.8521, 5.8521) * CHOOSE(CONTROL!$C$21, $C$9, 100%, $E$9)</f>
        <v>5.8521000000000001</v>
      </c>
      <c r="I131" s="10">
        <f>CHOOSE(CONTROL!$C$42, 5.7608, 5.7608)* CHOOSE(CONTROL!$C$21, $C$9, 100%, $E$9)</f>
        <v>5.7607999999999997</v>
      </c>
      <c r="J131" s="10">
        <f>CHOOSE(CONTROL!$C$42, 5.7734, 5.7734)* CHOOSE(CONTROL!$C$21, $C$9, 100%, $E$9)</f>
        <v>5.7733999999999996</v>
      </c>
      <c r="K131" s="54">
        <f>CHOOSE(CONTROL!$C$42, 5.7569, 5.7569) * CHOOSE(CONTROL!$C$21, $C$9, 100%, $E$9)</f>
        <v>5.7568999999999999</v>
      </c>
      <c r="L131" s="10">
        <f>CHOOSE(CONTROL!$C$42, 6.4391, 6.4391) * CHOOSE(CONTROL!$C$21, $C$9, 100%, $E$9)</f>
        <v>6.4390999999999998</v>
      </c>
      <c r="M131" s="10">
        <f>CHOOSE(CONTROL!$C$42, 5.7289, 5.7289) * CHOOSE(CONTROL!$C$21, $C$9, 100%, $E$9)</f>
        <v>5.7289000000000003</v>
      </c>
      <c r="N131" s="10">
        <f>CHOOSE(CONTROL!$C$42, 5.7468, 5.7468) * CHOOSE(CONTROL!$C$21, $C$9, 100%, $E$9)</f>
        <v>5.7468000000000004</v>
      </c>
      <c r="O131" s="10">
        <f>CHOOSE(CONTROL!$C$42, 5.8069, 5.8069) * CHOOSE(CONTROL!$C$21, $C$9, 100%, $E$9)</f>
        <v>5.8068999999999997</v>
      </c>
      <c r="P131" s="10">
        <f>CHOOSE(CONTROL!$C$42, 5.7165, 5.7165) * CHOOSE(CONTROL!$C$21, $C$9, 100%, $E$9)</f>
        <v>5.7164999999999999</v>
      </c>
      <c r="Q131" s="10">
        <f>CHOOSE(CONTROL!$C$42, 6.4022, 6.4022) * CHOOSE(CONTROL!$C$21, $C$9, 100%, $E$9)</f>
        <v>6.4021999999999997</v>
      </c>
      <c r="R131" s="10">
        <f>CHOOSE(CONTROL!$C$42, 7.0052, 7.0052) * CHOOSE(CONTROL!$C$21, $C$9, 100%, $E$9)</f>
        <v>7.0052000000000003</v>
      </c>
      <c r="S131" s="10">
        <f>CHOOSE(CONTROL!$C$42, 5.625, 5.625) * CHOOSE(CONTROL!$C$21, $C$9, 100%, $E$9)</f>
        <v>5.625</v>
      </c>
      <c r="T131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31" s="58">
        <f>(1000*CHOOSE(CONTROL!$C$42, 695, 695)*CHOOSE(CONTROL!$C$42, 0.5599, 0.5599)*CHOOSE(CONTROL!$C$42, 30, 30))/1000000</f>
        <v>11.673914999999997</v>
      </c>
      <c r="V131" s="58">
        <f>(1000*CHOOSE(CONTROL!$C$42, 500, 500)*CHOOSE(CONTROL!$C$42, 0.275, 0.275)*CHOOSE(CONTROL!$C$42, 30, 30))/1000000</f>
        <v>4.125</v>
      </c>
      <c r="W131" s="58">
        <f>(1000*CHOOSE(CONTROL!$C$42, 0.1146, 0.1146)*CHOOSE(CONTROL!$C$42, 121.5, 121.5)*CHOOSE(CONTROL!$C$42, 30, 30))/1000000</f>
        <v>0.417717</v>
      </c>
      <c r="X131" s="58">
        <f>(30*0.1790888*100000/1000000)+(30*0.2374*100000/1000000)</f>
        <v>1.2494664</v>
      </c>
      <c r="Y131" s="58"/>
      <c r="Z131" s="10"/>
      <c r="AA131" s="57"/>
      <c r="AB131" s="51">
        <f>(B131*122.58+C131*297.941+D131*89.177+E131*40.302+F131*40+G131*160+H131*0+I131*100+J131*300)/(122.58+297.941+89.177+40.302+0+40+160+100+300)</f>
        <v>5.7925372659130439</v>
      </c>
      <c r="AC131" s="27">
        <f>(M131*'RAP TEMPLATE-GAS AVAILABILITY'!O130+N131*'RAP TEMPLATE-GAS AVAILABILITY'!P130+O131*'RAP TEMPLATE-GAS AVAILABILITY'!Q130+P131*'RAP TEMPLATE-GAS AVAILABILITY'!R130)/('RAP TEMPLATE-GAS AVAILABILITY'!O130+'RAP TEMPLATE-GAS AVAILABILITY'!P130+'RAP TEMPLATE-GAS AVAILABILITY'!Q130+'RAP TEMPLATE-GAS AVAILABILITY'!R130)</f>
        <v>5.7634985611510787</v>
      </c>
    </row>
    <row r="132" spans="1:29" ht="15.75" x14ac:dyDescent="0.25">
      <c r="A132" s="16">
        <v>45261</v>
      </c>
      <c r="B132" s="10">
        <f>CHOOSE(CONTROL!$C$42, 6.1895, 6.1895) * CHOOSE(CONTROL!$C$21, $C$9, 100%, $E$9)</f>
        <v>6.1894999999999998</v>
      </c>
      <c r="C132" s="10">
        <f>CHOOSE(CONTROL!$C$42, 6.1944, 6.1944) * CHOOSE(CONTROL!$C$21, $C$9, 100%, $E$9)</f>
        <v>6.1943999999999999</v>
      </c>
      <c r="D132" s="10">
        <f>CHOOSE(CONTROL!$C$42, 6.224, 6.224) * CHOOSE(CONTROL!$C$21, $C$9, 100%, $E$9)</f>
        <v>6.2240000000000002</v>
      </c>
      <c r="E132" s="10">
        <f>CHOOSE(CONTROL!$C$42, 6.2578, 6.2578) * CHOOSE(CONTROL!$C$21, $C$9, 100%, $E$9)</f>
        <v>6.2577999999999996</v>
      </c>
      <c r="F132" s="10">
        <f>CHOOSE(CONTROL!$C$42, 6.1768, 6.1768)*CHOOSE(CONTROL!$C$21, $C$9, 100%, $E$9)</f>
        <v>6.1768000000000001</v>
      </c>
      <c r="G132" s="10">
        <f>CHOOSE(CONTROL!$C$42, 6.1952, 6.1952)*CHOOSE(CONTROL!$C$21, $C$9, 100%, $E$9)</f>
        <v>6.1951999999999998</v>
      </c>
      <c r="H132" s="10">
        <f>CHOOSE(CONTROL!$C$42, 6.247, 6.247) * CHOOSE(CONTROL!$C$21, $C$9, 100%, $E$9)</f>
        <v>6.2469999999999999</v>
      </c>
      <c r="I132" s="10">
        <f>CHOOSE(CONTROL!$C$42, 6.1556, 6.1556)* CHOOSE(CONTROL!$C$21, $C$9, 100%, $E$9)</f>
        <v>6.1555999999999997</v>
      </c>
      <c r="J132" s="10">
        <f>CHOOSE(CONTROL!$C$42, 6.1698, 6.1698)* CHOOSE(CONTROL!$C$21, $C$9, 100%, $E$9)</f>
        <v>6.1698000000000004</v>
      </c>
      <c r="K132" s="54">
        <f>CHOOSE(CONTROL!$C$42, 6.1517, 6.1517) * CHOOSE(CONTROL!$C$21, $C$9, 100%, $E$9)</f>
        <v>6.1516999999999999</v>
      </c>
      <c r="L132" s="10">
        <f>CHOOSE(CONTROL!$C$42, 6.834, 6.834) * CHOOSE(CONTROL!$C$21, $C$9, 100%, $E$9)</f>
        <v>6.8339999999999996</v>
      </c>
      <c r="M132" s="10">
        <f>CHOOSE(CONTROL!$C$42, 6.1213, 6.1213) * CHOOSE(CONTROL!$C$21, $C$9, 100%, $E$9)</f>
        <v>6.1212999999999997</v>
      </c>
      <c r="N132" s="10">
        <f>CHOOSE(CONTROL!$C$42, 6.1396, 6.1396) * CHOOSE(CONTROL!$C$21, $C$9, 100%, $E$9)</f>
        <v>6.1395999999999997</v>
      </c>
      <c r="O132" s="10">
        <f>CHOOSE(CONTROL!$C$42, 6.1978, 6.1978) * CHOOSE(CONTROL!$C$21, $C$9, 100%, $E$9)</f>
        <v>6.1978</v>
      </c>
      <c r="P132" s="10">
        <f>CHOOSE(CONTROL!$C$42, 6.1074, 6.1074) * CHOOSE(CONTROL!$C$21, $C$9, 100%, $E$9)</f>
        <v>6.1074000000000002</v>
      </c>
      <c r="Q132" s="10">
        <f>CHOOSE(CONTROL!$C$42, 6.7931, 6.7931) * CHOOSE(CONTROL!$C$21, $C$9, 100%, $E$9)</f>
        <v>6.7930999999999999</v>
      </c>
      <c r="R132" s="10">
        <f>CHOOSE(CONTROL!$C$42, 7.3971, 7.3971) * CHOOSE(CONTROL!$C$21, $C$9, 100%, $E$9)</f>
        <v>7.3971</v>
      </c>
      <c r="S132" s="10">
        <f>CHOOSE(CONTROL!$C$42, 6.0085, 6.0085) * CHOOSE(CONTROL!$C$21, $C$9, 100%, $E$9)</f>
        <v>6.0084999999999997</v>
      </c>
      <c r="T132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32" s="58">
        <f>(1000*CHOOSE(CONTROL!$C$42, 695, 695)*CHOOSE(CONTROL!$C$42, 0.5599, 0.5599)*CHOOSE(CONTROL!$C$42, 31, 31))/1000000</f>
        <v>12.063045499999998</v>
      </c>
      <c r="V132" s="58">
        <f>(1000*CHOOSE(CONTROL!$C$42, 500, 500)*CHOOSE(CONTROL!$C$42, 0.275, 0.275)*CHOOSE(CONTROL!$C$42, 31, 31))/1000000</f>
        <v>4.2625000000000002</v>
      </c>
      <c r="W132" s="58">
        <f>(1000*CHOOSE(CONTROL!$C$42, 0.1146, 0.1146)*CHOOSE(CONTROL!$C$42, 121.5, 121.5)*CHOOSE(CONTROL!$C$42, 31, 31))/1000000</f>
        <v>0.43164089999999994</v>
      </c>
      <c r="X132" s="58">
        <f>(31*0.1790888*100000/1000000)+(31*0.2374*100000/1000000)</f>
        <v>1.2911152800000001</v>
      </c>
      <c r="Y132" s="58"/>
      <c r="Z132" s="10"/>
      <c r="AA132" s="57"/>
      <c r="AB132" s="51">
        <f>(B132*122.58+C132*297.941+D132*89.177+E132*40.302+F132*40+G132*160+H132*0+I132*100+J132*300)/(122.58+297.941+89.177+40.302+0+40+160+100+300)</f>
        <v>6.1881027339130439</v>
      </c>
      <c r="AC132" s="27">
        <f>(M132*'RAP TEMPLATE-GAS AVAILABILITY'!O131+N132*'RAP TEMPLATE-GAS AVAILABILITY'!P131+O132*'RAP TEMPLATE-GAS AVAILABILITY'!Q131+P132*'RAP TEMPLATE-GAS AVAILABILITY'!R131)/('RAP TEMPLATE-GAS AVAILABILITY'!O131+'RAP TEMPLATE-GAS AVAILABILITY'!P131+'RAP TEMPLATE-GAS AVAILABILITY'!Q131+'RAP TEMPLATE-GAS AVAILABILITY'!R131)</f>
        <v>6.1550258992805746</v>
      </c>
    </row>
    <row r="133" spans="1:29" ht="15.75" x14ac:dyDescent="0.25">
      <c r="A133" s="16">
        <v>45292</v>
      </c>
      <c r="B133" s="10">
        <f>CHOOSE(CONTROL!$C$42, 6.6653, 6.6653) * CHOOSE(CONTROL!$C$21, $C$9, 100%, $E$9)</f>
        <v>6.6653000000000002</v>
      </c>
      <c r="C133" s="10">
        <f>CHOOSE(CONTROL!$C$42, 6.6702, 6.6702) * CHOOSE(CONTROL!$C$21, $C$9, 100%, $E$9)</f>
        <v>6.6702000000000004</v>
      </c>
      <c r="D133" s="10">
        <f>CHOOSE(CONTROL!$C$42, 6.7204, 6.7204) * CHOOSE(CONTROL!$C$21, $C$9, 100%, $E$9)</f>
        <v>6.7203999999999997</v>
      </c>
      <c r="E133" s="10">
        <f>CHOOSE(CONTROL!$C$42, 6.7542, 6.7542) * CHOOSE(CONTROL!$C$21, $C$9, 100%, $E$9)</f>
        <v>6.7542</v>
      </c>
      <c r="F133" s="10">
        <f>CHOOSE(CONTROL!$C$42, 6.6306, 6.6306)*CHOOSE(CONTROL!$C$21, $C$9, 100%, $E$9)</f>
        <v>6.6306000000000003</v>
      </c>
      <c r="G133" s="10">
        <f>CHOOSE(CONTROL!$C$42, 6.6482, 6.6482)*CHOOSE(CONTROL!$C$21, $C$9, 100%, $E$9)</f>
        <v>6.6482000000000001</v>
      </c>
      <c r="H133" s="10">
        <f>CHOOSE(CONTROL!$C$42, 6.7434, 6.7434) * CHOOSE(CONTROL!$C$21, $C$9, 100%, $E$9)</f>
        <v>6.7434000000000003</v>
      </c>
      <c r="I133" s="10">
        <f>CHOOSE(CONTROL!$C$42, 6.6392, 6.6392)* CHOOSE(CONTROL!$C$21, $C$9, 100%, $E$9)</f>
        <v>6.6391999999999998</v>
      </c>
      <c r="J133" s="10">
        <f>CHOOSE(CONTROL!$C$42, 6.6236, 6.6236)* CHOOSE(CONTROL!$C$21, $C$9, 100%, $E$9)</f>
        <v>6.6235999999999997</v>
      </c>
      <c r="K133" s="54">
        <f>CHOOSE(CONTROL!$C$42, 6.6353, 6.6353) * CHOOSE(CONTROL!$C$21, $C$9, 100%, $E$9)</f>
        <v>6.6353</v>
      </c>
      <c r="L133" s="10">
        <f>CHOOSE(CONTROL!$C$42, 7.3304, 7.3304) * CHOOSE(CONTROL!$C$21, $C$9, 100%, $E$9)</f>
        <v>7.3304</v>
      </c>
      <c r="M133" s="10">
        <f>CHOOSE(CONTROL!$C$42, 6.5706, 6.5706) * CHOOSE(CONTROL!$C$21, $C$9, 100%, $E$9)</f>
        <v>6.5705999999999998</v>
      </c>
      <c r="N133" s="10">
        <f>CHOOSE(CONTROL!$C$42, 6.588, 6.588) * CHOOSE(CONTROL!$C$21, $C$9, 100%, $E$9)</f>
        <v>6.5880000000000001</v>
      </c>
      <c r="O133" s="10">
        <f>CHOOSE(CONTROL!$C$42, 6.6892, 6.6892) * CHOOSE(CONTROL!$C$21, $C$9, 100%, $E$9)</f>
        <v>6.6891999999999996</v>
      </c>
      <c r="P133" s="10">
        <f>CHOOSE(CONTROL!$C$42, 6.586, 6.586) * CHOOSE(CONTROL!$C$21, $C$9, 100%, $E$9)</f>
        <v>6.5860000000000003</v>
      </c>
      <c r="Q133" s="10">
        <f>CHOOSE(CONTROL!$C$42, 7.2845, 7.2845) * CHOOSE(CONTROL!$C$21, $C$9, 100%, $E$9)</f>
        <v>7.2845000000000004</v>
      </c>
      <c r="R133" s="10">
        <f>CHOOSE(CONTROL!$C$42, 7.8897, 7.8897) * CHOOSE(CONTROL!$C$21, $C$9, 100%, $E$9)</f>
        <v>7.8897000000000004</v>
      </c>
      <c r="S133" s="10">
        <f>CHOOSE(CONTROL!$C$42, 6.4705, 6.4705) * CHOOSE(CONTROL!$C$21, $C$9, 100%, $E$9)</f>
        <v>6.4705000000000004</v>
      </c>
      <c r="T133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33" s="58">
        <f>(1000*CHOOSE(CONTROL!$C$42, 695, 695)*CHOOSE(CONTROL!$C$42, 0.5599, 0.5599)*CHOOSE(CONTROL!$C$42, 31, 31))/1000000</f>
        <v>12.063045499999998</v>
      </c>
      <c r="V133" s="58">
        <f>(1000*CHOOSE(CONTROL!$C$42, 500, 500)*CHOOSE(CONTROL!$C$42, 0.275, 0.275)*CHOOSE(CONTROL!$C$42, 31, 31))/1000000</f>
        <v>4.2625000000000002</v>
      </c>
      <c r="W133" s="58">
        <f>(1000*CHOOSE(CONTROL!$C$42, 0.1146, 0.1146)*CHOOSE(CONTROL!$C$42, 121.5, 121.5)*CHOOSE(CONTROL!$C$42, 31, 31))/1000000</f>
        <v>0.43164089999999994</v>
      </c>
      <c r="X133" s="58">
        <f>(31*0.1790888*100000/1000000)+(31*0.2374*100000/1000000)</f>
        <v>1.2911152800000001</v>
      </c>
      <c r="Y133" s="58"/>
      <c r="Z133" s="10"/>
      <c r="AA133" s="57"/>
      <c r="AB133" s="51">
        <f>(B133*122.58+C133*297.941+D133*89.177+E133*40.302+F133*40+G133*160+H133*0+I133*100+J133*300)/(122.58+297.941+89.177+40.302+0+40+160+100+300)</f>
        <v>6.657223836</v>
      </c>
      <c r="AC133" s="27">
        <f>(M133*'RAP TEMPLATE-GAS AVAILABILITY'!O132+N133*'RAP TEMPLATE-GAS AVAILABILITY'!P132+O133*'RAP TEMPLATE-GAS AVAILABILITY'!Q132+P133*'RAP TEMPLATE-GAS AVAILABILITY'!R132)/('RAP TEMPLATE-GAS AVAILABILITY'!O132+'RAP TEMPLATE-GAS AVAILABILITY'!P132+'RAP TEMPLATE-GAS AVAILABILITY'!Q132+'RAP TEMPLATE-GAS AVAILABILITY'!R132)</f>
        <v>6.6275712230215831</v>
      </c>
    </row>
    <row r="134" spans="1:29" ht="15.75" x14ac:dyDescent="0.25">
      <c r="A134" s="16">
        <v>45323</v>
      </c>
      <c r="B134" s="10">
        <f>CHOOSE(CONTROL!$C$42, 6.7839, 6.7839) * CHOOSE(CONTROL!$C$21, $C$9, 100%, $E$9)</f>
        <v>6.7839</v>
      </c>
      <c r="C134" s="10">
        <f>CHOOSE(CONTROL!$C$42, 6.7888, 6.7888) * CHOOSE(CONTROL!$C$21, $C$9, 100%, $E$9)</f>
        <v>6.7888000000000002</v>
      </c>
      <c r="D134" s="10">
        <f>CHOOSE(CONTROL!$C$42, 6.9059, 6.9059) * CHOOSE(CONTROL!$C$21, $C$9, 100%, $E$9)</f>
        <v>6.9058999999999999</v>
      </c>
      <c r="E134" s="10">
        <f>CHOOSE(CONTROL!$C$42, 6.9397, 6.9397) * CHOOSE(CONTROL!$C$21, $C$9, 100%, $E$9)</f>
        <v>6.9397000000000002</v>
      </c>
      <c r="F134" s="10">
        <f>CHOOSE(CONTROL!$C$42, 6.8614, 6.8614)*CHOOSE(CONTROL!$C$21, $C$9, 100%, $E$9)</f>
        <v>6.8613999999999997</v>
      </c>
      <c r="G134" s="10">
        <f>CHOOSE(CONTROL!$C$42, 6.8834, 6.8834)*CHOOSE(CONTROL!$C$21, $C$9, 100%, $E$9)</f>
        <v>6.8834</v>
      </c>
      <c r="H134" s="10">
        <f>CHOOSE(CONTROL!$C$42, 6.9289, 6.9289) * CHOOSE(CONTROL!$C$21, $C$9, 100%, $E$9)</f>
        <v>6.9288999999999996</v>
      </c>
      <c r="I134" s="10">
        <f>CHOOSE(CONTROL!$C$42, 6.8195, 6.8195)* CHOOSE(CONTROL!$C$21, $C$9, 100%, $E$9)</f>
        <v>6.8194999999999997</v>
      </c>
      <c r="J134" s="10">
        <f>CHOOSE(CONTROL!$C$42, 6.8544, 6.8544)* CHOOSE(CONTROL!$C$21, $C$9, 100%, $E$9)</f>
        <v>6.8544</v>
      </c>
      <c r="K134" s="54">
        <f>CHOOSE(CONTROL!$C$42, 6.8156, 6.8156) * CHOOSE(CONTROL!$C$21, $C$9, 100%, $E$9)</f>
        <v>6.8155999999999999</v>
      </c>
      <c r="L134" s="10">
        <f>CHOOSE(CONTROL!$C$42, 7.5159, 7.5159) * CHOOSE(CONTROL!$C$21, $C$9, 100%, $E$9)</f>
        <v>7.5159000000000002</v>
      </c>
      <c r="M134" s="10">
        <f>CHOOSE(CONTROL!$C$42, 6.7991, 6.7991) * CHOOSE(CONTROL!$C$21, $C$9, 100%, $E$9)</f>
        <v>6.7991000000000001</v>
      </c>
      <c r="N134" s="10">
        <f>CHOOSE(CONTROL!$C$42, 6.8208, 6.8208) * CHOOSE(CONTROL!$C$21, $C$9, 100%, $E$9)</f>
        <v>6.8208000000000002</v>
      </c>
      <c r="O134" s="10">
        <f>CHOOSE(CONTROL!$C$42, 6.8728, 6.8728) * CHOOSE(CONTROL!$C$21, $C$9, 100%, $E$9)</f>
        <v>6.8727999999999998</v>
      </c>
      <c r="P134" s="10">
        <f>CHOOSE(CONTROL!$C$42, 6.7646, 6.7646) * CHOOSE(CONTROL!$C$21, $C$9, 100%, $E$9)</f>
        <v>6.7645999999999997</v>
      </c>
      <c r="Q134" s="10">
        <f>CHOOSE(CONTROL!$C$42, 7.4681, 7.4681) * CHOOSE(CONTROL!$C$21, $C$9, 100%, $E$9)</f>
        <v>7.4680999999999997</v>
      </c>
      <c r="R134" s="10">
        <f>CHOOSE(CONTROL!$C$42, 8.0738, 8.0738) * CHOOSE(CONTROL!$C$21, $C$9, 100%, $E$9)</f>
        <v>8.0738000000000003</v>
      </c>
      <c r="S134" s="10">
        <f>CHOOSE(CONTROL!$C$42, 6.5857, 6.5857) * CHOOSE(CONTROL!$C$21, $C$9, 100%, $E$9)</f>
        <v>6.5857000000000001</v>
      </c>
      <c r="T134" s="5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134" s="58">
        <f>(1000*CHOOSE(CONTROL!$C$42, 695, 695)*CHOOSE(CONTROL!$C$42, 0.5599, 0.5599)*CHOOSE(CONTROL!$C$42, 29, 29))/1000000</f>
        <v>11.284784499999999</v>
      </c>
      <c r="V134" s="58">
        <f>(1000*CHOOSE(CONTROL!$C$42, 500, 500)*CHOOSE(CONTROL!$C$42, 0.275, 0.275)*CHOOSE(CONTROL!$C$42, 29, 29))/1000000</f>
        <v>3.9874999999999998</v>
      </c>
      <c r="W134" s="58">
        <f>(1000*CHOOSE(CONTROL!$C$42, 0.1146, 0.1146)*CHOOSE(CONTROL!$C$42, 121.5, 121.5)*CHOOSE(CONTROL!$C$42, 29, 29))/1000000</f>
        <v>0.40379309999999996</v>
      </c>
      <c r="X134" s="58">
        <f>(29*0.1790888*100000/1000000)+(29*0.2374*100000/1000000)</f>
        <v>1.2078175199999999</v>
      </c>
      <c r="Y134" s="58"/>
      <c r="Z134" s="10"/>
      <c r="AA134" s="57"/>
      <c r="AB134" s="51">
        <f>(B134*122.58+C134*297.941+D134*89.177+E134*40.302+F134*40+G134*160+H134*0+I134*100+J134*300)/(122.58+297.941+89.177+40.302+0+40+160+100+300)</f>
        <v>6.8381161360869562</v>
      </c>
      <c r="AC134" s="27">
        <f>(M134*'RAP TEMPLATE-GAS AVAILABILITY'!O133+N134*'RAP TEMPLATE-GAS AVAILABILITY'!P133+O134*'RAP TEMPLATE-GAS AVAILABILITY'!Q133+P134*'RAP TEMPLATE-GAS AVAILABILITY'!R133)/('RAP TEMPLATE-GAS AVAILABILITY'!O133+'RAP TEMPLATE-GAS AVAILABILITY'!P133+'RAP TEMPLATE-GAS AVAILABILITY'!Q133+'RAP TEMPLATE-GAS AVAILABILITY'!R133)</f>
        <v>6.828788489208633</v>
      </c>
    </row>
    <row r="135" spans="1:29" ht="15.75" x14ac:dyDescent="0.25">
      <c r="A135" s="16">
        <v>45352</v>
      </c>
      <c r="B135" s="10">
        <f>CHOOSE(CONTROL!$C$42, 6.5913, 6.5913) * CHOOSE(CONTROL!$C$21, $C$9, 100%, $E$9)</f>
        <v>6.5913000000000004</v>
      </c>
      <c r="C135" s="10">
        <f>CHOOSE(CONTROL!$C$42, 6.5963, 6.5963) * CHOOSE(CONTROL!$C$21, $C$9, 100%, $E$9)</f>
        <v>6.5963000000000003</v>
      </c>
      <c r="D135" s="10">
        <f>CHOOSE(CONTROL!$C$42, 6.6877, 6.6877) * CHOOSE(CONTROL!$C$21, $C$9, 100%, $E$9)</f>
        <v>6.6877000000000004</v>
      </c>
      <c r="E135" s="10">
        <f>CHOOSE(CONTROL!$C$42, 6.7215, 6.7215) * CHOOSE(CONTROL!$C$21, $C$9, 100%, $E$9)</f>
        <v>6.7214999999999998</v>
      </c>
      <c r="F135" s="10">
        <f>CHOOSE(CONTROL!$C$42, 6.6212, 6.6212)*CHOOSE(CONTROL!$C$21, $C$9, 100%, $E$9)</f>
        <v>6.6212</v>
      </c>
      <c r="G135" s="10">
        <f>CHOOSE(CONTROL!$C$42, 6.6407, 6.6407)*CHOOSE(CONTROL!$C$21, $C$9, 100%, $E$9)</f>
        <v>6.6406999999999998</v>
      </c>
      <c r="H135" s="10">
        <f>CHOOSE(CONTROL!$C$42, 6.7107, 6.7107) * CHOOSE(CONTROL!$C$21, $C$9, 100%, $E$9)</f>
        <v>6.7107000000000001</v>
      </c>
      <c r="I135" s="10">
        <f>CHOOSE(CONTROL!$C$42, 6.6141, 6.6141)* CHOOSE(CONTROL!$C$21, $C$9, 100%, $E$9)</f>
        <v>6.6140999999999996</v>
      </c>
      <c r="J135" s="10">
        <f>CHOOSE(CONTROL!$C$42, 6.6142, 6.6142)* CHOOSE(CONTROL!$C$21, $C$9, 100%, $E$9)</f>
        <v>6.6142000000000003</v>
      </c>
      <c r="K135" s="54">
        <f>CHOOSE(CONTROL!$C$42, 6.6103, 6.6103) * CHOOSE(CONTROL!$C$21, $C$9, 100%, $E$9)</f>
        <v>6.6102999999999996</v>
      </c>
      <c r="L135" s="10">
        <f>CHOOSE(CONTROL!$C$42, 7.2977, 7.2977) * CHOOSE(CONTROL!$C$21, $C$9, 100%, $E$9)</f>
        <v>7.2976999999999999</v>
      </c>
      <c r="M135" s="10">
        <f>CHOOSE(CONTROL!$C$42, 6.5613, 6.5613) * CHOOSE(CONTROL!$C$21, $C$9, 100%, $E$9)</f>
        <v>6.5613000000000001</v>
      </c>
      <c r="N135" s="10">
        <f>CHOOSE(CONTROL!$C$42, 6.5806, 6.5806) * CHOOSE(CONTROL!$C$21, $C$9, 100%, $E$9)</f>
        <v>6.5805999999999996</v>
      </c>
      <c r="O135" s="10">
        <f>CHOOSE(CONTROL!$C$42, 6.6568, 6.6568) * CHOOSE(CONTROL!$C$21, $C$9, 100%, $E$9)</f>
        <v>6.6567999999999996</v>
      </c>
      <c r="P135" s="10">
        <f>CHOOSE(CONTROL!$C$42, 6.5613, 6.5613) * CHOOSE(CONTROL!$C$21, $C$9, 100%, $E$9)</f>
        <v>6.5613000000000001</v>
      </c>
      <c r="Q135" s="10">
        <f>CHOOSE(CONTROL!$C$42, 7.2521, 7.2521) * CHOOSE(CONTROL!$C$21, $C$9, 100%, $E$9)</f>
        <v>7.2521000000000004</v>
      </c>
      <c r="R135" s="10">
        <f>CHOOSE(CONTROL!$C$42, 7.8572, 7.8572) * CHOOSE(CONTROL!$C$21, $C$9, 100%, $E$9)</f>
        <v>7.8571999999999997</v>
      </c>
      <c r="S135" s="10">
        <f>CHOOSE(CONTROL!$C$42, 6.3987, 6.3987) * CHOOSE(CONTROL!$C$21, $C$9, 100%, $E$9)</f>
        <v>6.3986999999999998</v>
      </c>
      <c r="T135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35" s="58">
        <f>(1000*CHOOSE(CONTROL!$C$42, 695, 695)*CHOOSE(CONTROL!$C$42, 0.5599, 0.5599)*CHOOSE(CONTROL!$C$42, 31, 31))/1000000</f>
        <v>12.063045499999998</v>
      </c>
      <c r="V135" s="58">
        <f>(1000*CHOOSE(CONTROL!$C$42, 500, 500)*CHOOSE(CONTROL!$C$42, 0.275, 0.275)*CHOOSE(CONTROL!$C$42, 31, 31))/1000000</f>
        <v>4.2625000000000002</v>
      </c>
      <c r="W135" s="58">
        <f>(1000*CHOOSE(CONTROL!$C$42, 0.1146, 0.1146)*CHOOSE(CONTROL!$C$42, 121.5, 121.5)*CHOOSE(CONTROL!$C$42, 31, 31))/1000000</f>
        <v>0.43164089999999994</v>
      </c>
      <c r="X135" s="58">
        <f>(31*0.1790888*100000/1000000)+(31*0.2374*100000/1000000)</f>
        <v>1.2911152800000001</v>
      </c>
      <c r="Y135" s="58"/>
      <c r="Z135" s="10"/>
      <c r="AA135" s="57"/>
      <c r="AB135" s="51">
        <f>(B135*122.58+C135*297.941+D135*89.177+E135*40.302+F135*40+G135*160+H135*0+I135*100+J135*300)/(122.58+297.941+89.177+40.302+0+40+160+100+300)</f>
        <v>6.6205032071304348</v>
      </c>
      <c r="AC135" s="27">
        <f>(M135*'RAP TEMPLATE-GAS AVAILABILITY'!O134+N135*'RAP TEMPLATE-GAS AVAILABILITY'!P134+O135*'RAP TEMPLATE-GAS AVAILABILITY'!Q134+P135*'RAP TEMPLATE-GAS AVAILABILITY'!R134)/('RAP TEMPLATE-GAS AVAILABILITY'!O134+'RAP TEMPLATE-GAS AVAILABILITY'!P134+'RAP TEMPLATE-GAS AVAILABILITY'!Q134+'RAP TEMPLATE-GAS AVAILABILITY'!R134)</f>
        <v>6.6056949640287765</v>
      </c>
    </row>
    <row r="136" spans="1:29" ht="15.75" x14ac:dyDescent="0.25">
      <c r="A136" s="16">
        <v>45383</v>
      </c>
      <c r="B136" s="10">
        <f>CHOOSE(CONTROL!$C$42, 6.5724, 6.5724) * CHOOSE(CONTROL!$C$21, $C$9, 100%, $E$9)</f>
        <v>6.5724</v>
      </c>
      <c r="C136" s="10">
        <f>CHOOSE(CONTROL!$C$42, 6.5768, 6.5768) * CHOOSE(CONTROL!$C$21, $C$9, 100%, $E$9)</f>
        <v>6.5768000000000004</v>
      </c>
      <c r="D136" s="10">
        <f>CHOOSE(CONTROL!$C$42, 6.7584, 6.7584) * CHOOSE(CONTROL!$C$21, $C$9, 100%, $E$9)</f>
        <v>6.7584</v>
      </c>
      <c r="E136" s="10">
        <f>CHOOSE(CONTROL!$C$42, 6.7902, 6.7902) * CHOOSE(CONTROL!$C$21, $C$9, 100%, $E$9)</f>
        <v>6.7901999999999996</v>
      </c>
      <c r="F136" s="10">
        <f>CHOOSE(CONTROL!$C$42, 6.5607, 6.5607)*CHOOSE(CONTROL!$C$21, $C$9, 100%, $E$9)</f>
        <v>6.5606999999999998</v>
      </c>
      <c r="G136" s="10">
        <f>CHOOSE(CONTROL!$C$42, 6.5787, 6.5787)*CHOOSE(CONTROL!$C$21, $C$9, 100%, $E$9)</f>
        <v>6.5787000000000004</v>
      </c>
      <c r="H136" s="10">
        <f>CHOOSE(CONTROL!$C$42, 6.78, 6.78) * CHOOSE(CONTROL!$C$21, $C$9, 100%, $E$9)</f>
        <v>6.78</v>
      </c>
      <c r="I136" s="10">
        <f>CHOOSE(CONTROL!$C$42, 6.5507, 6.5507)* CHOOSE(CONTROL!$C$21, $C$9, 100%, $E$9)</f>
        <v>6.5507</v>
      </c>
      <c r="J136" s="10">
        <f>CHOOSE(CONTROL!$C$42, 6.5537, 6.5537)* CHOOSE(CONTROL!$C$21, $C$9, 100%, $E$9)</f>
        <v>6.5537000000000001</v>
      </c>
      <c r="K136" s="54">
        <f>CHOOSE(CONTROL!$C$42, 6.5468, 6.5468) * CHOOSE(CONTROL!$C$21, $C$9, 100%, $E$9)</f>
        <v>6.5468000000000002</v>
      </c>
      <c r="L136" s="10">
        <f>CHOOSE(CONTROL!$C$42, 7.367, 7.367) * CHOOSE(CONTROL!$C$21, $C$9, 100%, $E$9)</f>
        <v>7.367</v>
      </c>
      <c r="M136" s="10">
        <f>CHOOSE(CONTROL!$C$42, 6.5014, 6.5014) * CHOOSE(CONTROL!$C$21, $C$9, 100%, $E$9)</f>
        <v>6.5014000000000003</v>
      </c>
      <c r="N136" s="10">
        <f>CHOOSE(CONTROL!$C$42, 6.5192, 6.5192) * CHOOSE(CONTROL!$C$21, $C$9, 100%, $E$9)</f>
        <v>6.5191999999999997</v>
      </c>
      <c r="O136" s="10">
        <f>CHOOSE(CONTROL!$C$42, 6.7254, 6.7254) * CHOOSE(CONTROL!$C$21, $C$9, 100%, $E$9)</f>
        <v>6.7253999999999996</v>
      </c>
      <c r="P136" s="10">
        <f>CHOOSE(CONTROL!$C$42, 6.4984, 6.4984) * CHOOSE(CONTROL!$C$21, $C$9, 100%, $E$9)</f>
        <v>6.4984000000000002</v>
      </c>
      <c r="Q136" s="10">
        <f>CHOOSE(CONTROL!$C$42, 7.3207, 7.3207) * CHOOSE(CONTROL!$C$21, $C$9, 100%, $E$9)</f>
        <v>7.3207000000000004</v>
      </c>
      <c r="R136" s="10">
        <f>CHOOSE(CONTROL!$C$42, 7.926, 7.926) * CHOOSE(CONTROL!$C$21, $C$9, 100%, $E$9)</f>
        <v>7.9260000000000002</v>
      </c>
      <c r="S136" s="10">
        <f>CHOOSE(CONTROL!$C$42, 6.3796, 6.3796) * CHOOSE(CONTROL!$C$21, $C$9, 100%, $E$9)</f>
        <v>6.3795999999999999</v>
      </c>
      <c r="T136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36" s="58">
        <f>(1000*CHOOSE(CONTROL!$C$42, 695, 695)*CHOOSE(CONTROL!$C$42, 0.5599, 0.5599)*CHOOSE(CONTROL!$C$42, 30, 30))/1000000</f>
        <v>11.673914999999997</v>
      </c>
      <c r="V136" s="58">
        <f>(1000*CHOOSE(CONTROL!$C$42, 500, 500)*CHOOSE(CONTROL!$C$42, 0.275, 0.275)*CHOOSE(CONTROL!$C$42, 30, 30))/1000000</f>
        <v>4.125</v>
      </c>
      <c r="W136" s="58">
        <f>(1000*CHOOSE(CONTROL!$C$42, 0.1146, 0.1146)*CHOOSE(CONTROL!$C$42, 121.5, 121.5)*CHOOSE(CONTROL!$C$42, 30, 30))/1000000</f>
        <v>0.417717</v>
      </c>
      <c r="X136" s="58">
        <f>(30*0.1790888*245000/1000000)+(30*0.2374*100000/1000000)</f>
        <v>2.0285026799999999</v>
      </c>
      <c r="Y136" s="58"/>
      <c r="Z136" s="10"/>
      <c r="AA136" s="57"/>
      <c r="AB136" s="51">
        <f>(B136*141.293+C136*267.993+D136*115.016+E136*89.698+F136*40+G136*185+H136*0+I136*100+J136*300)/(141.293+267.993+115.016+89.698+0+40+185+100+300)</f>
        <v>6.6006694669895065</v>
      </c>
      <c r="AC136" s="27">
        <f>(M136*'RAP TEMPLATE-GAS AVAILABILITY'!O135+N136*'RAP TEMPLATE-GAS AVAILABILITY'!P135+O136*'RAP TEMPLATE-GAS AVAILABILITY'!Q135+P136*'RAP TEMPLATE-GAS AVAILABILITY'!R135)/('RAP TEMPLATE-GAS AVAILABILITY'!O135+'RAP TEMPLATE-GAS AVAILABILITY'!P135+'RAP TEMPLATE-GAS AVAILABILITY'!Q135+'RAP TEMPLATE-GAS AVAILABILITY'!R135)</f>
        <v>6.5679151079136693</v>
      </c>
    </row>
    <row r="137" spans="1:29" ht="15.75" x14ac:dyDescent="0.25">
      <c r="A137" s="16">
        <v>45413</v>
      </c>
      <c r="B137" s="10">
        <f>CHOOSE(CONTROL!$C$42, 6.6322, 6.6322) * CHOOSE(CONTROL!$C$21, $C$9, 100%, $E$9)</f>
        <v>6.6322000000000001</v>
      </c>
      <c r="C137" s="10">
        <f>CHOOSE(CONTROL!$C$42, 6.6401, 6.6401) * CHOOSE(CONTROL!$C$21, $C$9, 100%, $E$9)</f>
        <v>6.6401000000000003</v>
      </c>
      <c r="D137" s="10">
        <f>CHOOSE(CONTROL!$C$42, 6.8186, 6.8186) * CHOOSE(CONTROL!$C$21, $C$9, 100%, $E$9)</f>
        <v>6.8186</v>
      </c>
      <c r="E137" s="10">
        <f>CHOOSE(CONTROL!$C$42, 6.8497, 6.8497) * CHOOSE(CONTROL!$C$21, $C$9, 100%, $E$9)</f>
        <v>6.8497000000000003</v>
      </c>
      <c r="F137" s="10">
        <f>CHOOSE(CONTROL!$C$42, 6.6183, 6.6183)*CHOOSE(CONTROL!$C$21, $C$9, 100%, $E$9)</f>
        <v>6.6182999999999996</v>
      </c>
      <c r="G137" s="10">
        <f>CHOOSE(CONTROL!$C$42, 6.6365, 6.6365)*CHOOSE(CONTROL!$C$21, $C$9, 100%, $E$9)</f>
        <v>6.6364999999999998</v>
      </c>
      <c r="H137" s="10">
        <f>CHOOSE(CONTROL!$C$42, 6.8384, 6.8384) * CHOOSE(CONTROL!$C$21, $C$9, 100%, $E$9)</f>
        <v>6.8384</v>
      </c>
      <c r="I137" s="10">
        <f>CHOOSE(CONTROL!$C$42, 6.609, 6.609)* CHOOSE(CONTROL!$C$21, $C$9, 100%, $E$9)</f>
        <v>6.609</v>
      </c>
      <c r="J137" s="10">
        <f>CHOOSE(CONTROL!$C$42, 6.6113, 6.6113)* CHOOSE(CONTROL!$C$21, $C$9, 100%, $E$9)</f>
        <v>6.6113</v>
      </c>
      <c r="K137" s="54">
        <f>CHOOSE(CONTROL!$C$42, 6.6051, 6.6051) * CHOOSE(CONTROL!$C$21, $C$9, 100%, $E$9)</f>
        <v>6.6051000000000002</v>
      </c>
      <c r="L137" s="10">
        <f>CHOOSE(CONTROL!$C$42, 7.4254, 7.4254) * CHOOSE(CONTROL!$C$21, $C$9, 100%, $E$9)</f>
        <v>7.4253999999999998</v>
      </c>
      <c r="M137" s="10">
        <f>CHOOSE(CONTROL!$C$42, 6.5584, 6.5584) * CHOOSE(CONTROL!$C$21, $C$9, 100%, $E$9)</f>
        <v>6.5583999999999998</v>
      </c>
      <c r="N137" s="10">
        <f>CHOOSE(CONTROL!$C$42, 6.5764, 6.5764) * CHOOSE(CONTROL!$C$21, $C$9, 100%, $E$9)</f>
        <v>6.5763999999999996</v>
      </c>
      <c r="O137" s="10">
        <f>CHOOSE(CONTROL!$C$42, 6.7832, 6.7832) * CHOOSE(CONTROL!$C$21, $C$9, 100%, $E$9)</f>
        <v>6.7831999999999999</v>
      </c>
      <c r="P137" s="10">
        <f>CHOOSE(CONTROL!$C$42, 6.5562, 6.5562) * CHOOSE(CONTROL!$C$21, $C$9, 100%, $E$9)</f>
        <v>6.5561999999999996</v>
      </c>
      <c r="Q137" s="10">
        <f>CHOOSE(CONTROL!$C$42, 7.3785, 7.3785) * CHOOSE(CONTROL!$C$21, $C$9, 100%, $E$9)</f>
        <v>7.3784999999999998</v>
      </c>
      <c r="R137" s="10">
        <f>CHOOSE(CONTROL!$C$42, 7.9839, 7.9839) * CHOOSE(CONTROL!$C$21, $C$9, 100%, $E$9)</f>
        <v>7.9839000000000002</v>
      </c>
      <c r="S137" s="10">
        <f>CHOOSE(CONTROL!$C$42, 6.4362, 6.4362) * CHOOSE(CONTROL!$C$21, $C$9, 100%, $E$9)</f>
        <v>6.4362000000000004</v>
      </c>
      <c r="T137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37" s="58">
        <f>(1000*CHOOSE(CONTROL!$C$42, 695, 695)*CHOOSE(CONTROL!$C$42, 0.5599, 0.5599)*CHOOSE(CONTROL!$C$42, 31, 31))/1000000</f>
        <v>12.063045499999998</v>
      </c>
      <c r="V137" s="58">
        <f>(1000*CHOOSE(CONTROL!$C$42, 500, 500)*CHOOSE(CONTROL!$C$42, 0.275, 0.275)*CHOOSE(CONTROL!$C$42, 31, 31))/1000000</f>
        <v>4.2625000000000002</v>
      </c>
      <c r="W137" s="58">
        <f>(1000*CHOOSE(CONTROL!$C$42, 0.1146, 0.1146)*CHOOSE(CONTROL!$C$42, 121.5, 121.5)*CHOOSE(CONTROL!$C$42, 31, 31))/1000000</f>
        <v>0.43164089999999994</v>
      </c>
      <c r="X137" s="58">
        <f>(31*0.1790888*245000/1000000)+(31*0.2374*100000/1000000)</f>
        <v>2.0961194359999999</v>
      </c>
      <c r="Y137" s="58"/>
      <c r="Z137" s="10"/>
      <c r="AA137" s="57"/>
      <c r="AB137" s="51">
        <f>(B137*194.205+C137*267.466+D137*133.845+E137*53.484+F137*40+G137*185+H137*0+I137*100+J137*300)/(194.205+267.466+133.845+53.484+0+40+185+100+300)</f>
        <v>6.6560178645211927</v>
      </c>
      <c r="AC137" s="27">
        <f>(M137*'RAP TEMPLATE-GAS AVAILABILITY'!O136+N137*'RAP TEMPLATE-GAS AVAILABILITY'!P136+O137*'RAP TEMPLATE-GAS AVAILABILITY'!Q136+P137*'RAP TEMPLATE-GAS AVAILABILITY'!R136)/('RAP TEMPLATE-GAS AVAILABILITY'!O136+'RAP TEMPLATE-GAS AVAILABILITY'!P136+'RAP TEMPLATE-GAS AVAILABILITY'!Q136+'RAP TEMPLATE-GAS AVAILABILITY'!R136)</f>
        <v>6.6253007194244597</v>
      </c>
    </row>
    <row r="138" spans="1:29" ht="15.75" x14ac:dyDescent="0.25">
      <c r="A138" s="16">
        <v>45444</v>
      </c>
      <c r="B138" s="10">
        <f>CHOOSE(CONTROL!$C$42, 6.8201, 6.8201) * CHOOSE(CONTROL!$C$21, $C$9, 100%, $E$9)</f>
        <v>6.8201000000000001</v>
      </c>
      <c r="C138" s="10">
        <f>CHOOSE(CONTROL!$C$42, 6.828, 6.828) * CHOOSE(CONTROL!$C$21, $C$9, 100%, $E$9)</f>
        <v>6.8280000000000003</v>
      </c>
      <c r="D138" s="10">
        <f>CHOOSE(CONTROL!$C$42, 7.0066, 7.0066) * CHOOSE(CONTROL!$C$21, $C$9, 100%, $E$9)</f>
        <v>7.0065999999999997</v>
      </c>
      <c r="E138" s="10">
        <f>CHOOSE(CONTROL!$C$42, 7.0377, 7.0377) * CHOOSE(CONTROL!$C$21, $C$9, 100%, $E$9)</f>
        <v>7.0377000000000001</v>
      </c>
      <c r="F138" s="10">
        <f>CHOOSE(CONTROL!$C$42, 6.8066, 6.8066)*CHOOSE(CONTROL!$C$21, $C$9, 100%, $E$9)</f>
        <v>6.8066000000000004</v>
      </c>
      <c r="G138" s="10">
        <f>CHOOSE(CONTROL!$C$42, 6.8248, 6.8248)*CHOOSE(CONTROL!$C$21, $C$9, 100%, $E$9)</f>
        <v>6.8247999999999998</v>
      </c>
      <c r="H138" s="10">
        <f>CHOOSE(CONTROL!$C$42, 7.0263, 7.0263) * CHOOSE(CONTROL!$C$21, $C$9, 100%, $E$9)</f>
        <v>7.0263</v>
      </c>
      <c r="I138" s="10">
        <f>CHOOSE(CONTROL!$C$42, 6.797, 6.797)* CHOOSE(CONTROL!$C$21, $C$9, 100%, $E$9)</f>
        <v>6.7969999999999997</v>
      </c>
      <c r="J138" s="10">
        <f>CHOOSE(CONTROL!$C$42, 6.7996, 6.7996)* CHOOSE(CONTROL!$C$21, $C$9, 100%, $E$9)</f>
        <v>6.7995999999999999</v>
      </c>
      <c r="K138" s="54">
        <f>CHOOSE(CONTROL!$C$42, 6.7931, 6.7931) * CHOOSE(CONTROL!$C$21, $C$9, 100%, $E$9)</f>
        <v>6.7930999999999999</v>
      </c>
      <c r="L138" s="10">
        <f>CHOOSE(CONTROL!$C$42, 7.6133, 7.6133) * CHOOSE(CONTROL!$C$21, $C$9, 100%, $E$9)</f>
        <v>7.6132999999999997</v>
      </c>
      <c r="M138" s="10">
        <f>CHOOSE(CONTROL!$C$42, 6.7448, 6.7448) * CHOOSE(CONTROL!$C$21, $C$9, 100%, $E$9)</f>
        <v>6.7447999999999997</v>
      </c>
      <c r="N138" s="10">
        <f>CHOOSE(CONTROL!$C$42, 6.7628, 6.7628) * CHOOSE(CONTROL!$C$21, $C$9, 100%, $E$9)</f>
        <v>6.7628000000000004</v>
      </c>
      <c r="O138" s="10">
        <f>CHOOSE(CONTROL!$C$42, 6.9693, 6.9693) * CHOOSE(CONTROL!$C$21, $C$9, 100%, $E$9)</f>
        <v>6.9692999999999996</v>
      </c>
      <c r="P138" s="10">
        <f>CHOOSE(CONTROL!$C$42, 6.7423, 6.7423) * CHOOSE(CONTROL!$C$21, $C$9, 100%, $E$9)</f>
        <v>6.7423000000000002</v>
      </c>
      <c r="Q138" s="10">
        <f>CHOOSE(CONTROL!$C$42, 7.5646, 7.5646) * CHOOSE(CONTROL!$C$21, $C$9, 100%, $E$9)</f>
        <v>7.5646000000000004</v>
      </c>
      <c r="R138" s="10">
        <f>CHOOSE(CONTROL!$C$42, 8.1705, 8.1705) * CHOOSE(CONTROL!$C$21, $C$9, 100%, $E$9)</f>
        <v>8.1705000000000005</v>
      </c>
      <c r="S138" s="10">
        <f>CHOOSE(CONTROL!$C$42, 6.6188, 6.6188) * CHOOSE(CONTROL!$C$21, $C$9, 100%, $E$9)</f>
        <v>6.6188000000000002</v>
      </c>
      <c r="T138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38" s="58">
        <f>(1000*CHOOSE(CONTROL!$C$42, 695, 695)*CHOOSE(CONTROL!$C$42, 0.5599, 0.5599)*CHOOSE(CONTROL!$C$42, 30, 30))/1000000</f>
        <v>11.673914999999997</v>
      </c>
      <c r="V138" s="58">
        <f>(1000*CHOOSE(CONTROL!$C$42, 500, 500)*CHOOSE(CONTROL!$C$42, 0.275, 0.275)*CHOOSE(CONTROL!$C$42, 30, 30))/1000000</f>
        <v>4.125</v>
      </c>
      <c r="W138" s="58">
        <f>(1000*CHOOSE(CONTROL!$C$42, 0.1146, 0.1146)*CHOOSE(CONTROL!$C$42, 121.5, 121.5)*CHOOSE(CONTROL!$C$42, 30, 30))/1000000</f>
        <v>0.417717</v>
      </c>
      <c r="X138" s="58">
        <f>(30*0.1790888*245000/1000000)+(30*0.2374*100000/1000000)</f>
        <v>2.0285026799999999</v>
      </c>
      <c r="Y138" s="58"/>
      <c r="Z138" s="10"/>
      <c r="AA138" s="57"/>
      <c r="AB138" s="51">
        <f>(B138*194.205+C138*267.466+D138*133.845+E138*53.484+F138*40+G138*185+H138*0+I138*100+J138*300)/(194.205+267.466+133.845+53.484+0+40+185+100+300)</f>
        <v>6.8441052529827315</v>
      </c>
      <c r="AC138" s="27">
        <f>(M138*'RAP TEMPLATE-GAS AVAILABILITY'!O137+N138*'RAP TEMPLATE-GAS AVAILABILITY'!P137+O138*'RAP TEMPLATE-GAS AVAILABILITY'!Q137+P138*'RAP TEMPLATE-GAS AVAILABILITY'!R137)/('RAP TEMPLATE-GAS AVAILABILITY'!O137+'RAP TEMPLATE-GAS AVAILABILITY'!P137+'RAP TEMPLATE-GAS AVAILABILITY'!Q137+'RAP TEMPLATE-GAS AVAILABILITY'!R137)</f>
        <v>6.8115733812949637</v>
      </c>
    </row>
    <row r="139" spans="1:29" ht="15.75" x14ac:dyDescent="0.25">
      <c r="A139" s="16">
        <v>45474</v>
      </c>
      <c r="B139" s="10">
        <f>CHOOSE(CONTROL!$C$42, 6.6894, 6.6894) * CHOOSE(CONTROL!$C$21, $C$9, 100%, $E$9)</f>
        <v>6.6894</v>
      </c>
      <c r="C139" s="10">
        <f>CHOOSE(CONTROL!$C$42, 6.6973, 6.6973) * CHOOSE(CONTROL!$C$21, $C$9, 100%, $E$9)</f>
        <v>6.6973000000000003</v>
      </c>
      <c r="D139" s="10">
        <f>CHOOSE(CONTROL!$C$42, 6.8758, 6.8758) * CHOOSE(CONTROL!$C$21, $C$9, 100%, $E$9)</f>
        <v>6.8757999999999999</v>
      </c>
      <c r="E139" s="10">
        <f>CHOOSE(CONTROL!$C$42, 6.907, 6.907) * CHOOSE(CONTROL!$C$21, $C$9, 100%, $E$9)</f>
        <v>6.907</v>
      </c>
      <c r="F139" s="10">
        <f>CHOOSE(CONTROL!$C$42, 6.6761, 6.6761)*CHOOSE(CONTROL!$C$21, $C$9, 100%, $E$9)</f>
        <v>6.6760999999999999</v>
      </c>
      <c r="G139" s="10">
        <f>CHOOSE(CONTROL!$C$42, 6.6944, 6.6944)*CHOOSE(CONTROL!$C$21, $C$9, 100%, $E$9)</f>
        <v>6.6943999999999999</v>
      </c>
      <c r="H139" s="10">
        <f>CHOOSE(CONTROL!$C$42, 6.8956, 6.8956) * CHOOSE(CONTROL!$C$21, $C$9, 100%, $E$9)</f>
        <v>6.8956</v>
      </c>
      <c r="I139" s="10">
        <f>CHOOSE(CONTROL!$C$42, 6.6663, 6.6663)* CHOOSE(CONTROL!$C$21, $C$9, 100%, $E$9)</f>
        <v>6.6662999999999997</v>
      </c>
      <c r="J139" s="10">
        <f>CHOOSE(CONTROL!$C$42, 6.6691, 6.6691)* CHOOSE(CONTROL!$C$21, $C$9, 100%, $E$9)</f>
        <v>6.6691000000000003</v>
      </c>
      <c r="K139" s="54">
        <f>CHOOSE(CONTROL!$C$42, 6.6624, 6.6624) * CHOOSE(CONTROL!$C$21, $C$9, 100%, $E$9)</f>
        <v>6.6623999999999999</v>
      </c>
      <c r="L139" s="10">
        <f>CHOOSE(CONTROL!$C$42, 7.4826, 7.4826) * CHOOSE(CONTROL!$C$21, $C$9, 100%, $E$9)</f>
        <v>7.4825999999999997</v>
      </c>
      <c r="M139" s="10">
        <f>CHOOSE(CONTROL!$C$42, 6.6156, 6.6156) * CHOOSE(CONTROL!$C$21, $C$9, 100%, $E$9)</f>
        <v>6.6155999999999997</v>
      </c>
      <c r="N139" s="10">
        <f>CHOOSE(CONTROL!$C$42, 6.6338, 6.6338) * CHOOSE(CONTROL!$C$21, $C$9, 100%, $E$9)</f>
        <v>6.6337999999999999</v>
      </c>
      <c r="O139" s="10">
        <f>CHOOSE(CONTROL!$C$42, 6.8398, 6.8398) * CHOOSE(CONTROL!$C$21, $C$9, 100%, $E$9)</f>
        <v>6.8398000000000003</v>
      </c>
      <c r="P139" s="10">
        <f>CHOOSE(CONTROL!$C$42, 6.6129, 6.6129) * CHOOSE(CONTROL!$C$21, $C$9, 100%, $E$9)</f>
        <v>6.6128999999999998</v>
      </c>
      <c r="Q139" s="10">
        <f>CHOOSE(CONTROL!$C$42, 7.4351, 7.4351) * CHOOSE(CONTROL!$C$21, $C$9, 100%, $E$9)</f>
        <v>7.4351000000000003</v>
      </c>
      <c r="R139" s="10">
        <f>CHOOSE(CONTROL!$C$42, 8.0407, 8.0407) * CHOOSE(CONTROL!$C$21, $C$9, 100%, $E$9)</f>
        <v>8.0406999999999993</v>
      </c>
      <c r="S139" s="10">
        <f>CHOOSE(CONTROL!$C$42, 6.4918, 6.4918) * CHOOSE(CONTROL!$C$21, $C$9, 100%, $E$9)</f>
        <v>6.4917999999999996</v>
      </c>
      <c r="T139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39" s="58">
        <f>(1000*CHOOSE(CONTROL!$C$42, 695, 695)*CHOOSE(CONTROL!$C$42, 0.5599, 0.5599)*CHOOSE(CONTROL!$C$42, 31, 31))/1000000</f>
        <v>12.063045499999998</v>
      </c>
      <c r="V139" s="58">
        <f>(1000*CHOOSE(CONTROL!$C$42, 500, 500)*CHOOSE(CONTROL!$C$42, 0.275, 0.275)*CHOOSE(CONTROL!$C$42, 31, 31))/1000000</f>
        <v>4.2625000000000002</v>
      </c>
      <c r="W139" s="58">
        <f>(1000*CHOOSE(CONTROL!$C$42, 0.1146, 0.1146)*CHOOSE(CONTROL!$C$42, 121.5, 121.5)*CHOOSE(CONTROL!$C$42, 31, 31))/1000000</f>
        <v>0.43164089999999994</v>
      </c>
      <c r="X139" s="58">
        <f>(31*0.1790888*245000/1000000)+(31*0.2374*100000/1000000)</f>
        <v>2.0961194359999999</v>
      </c>
      <c r="Y139" s="58"/>
      <c r="Z139" s="10"/>
      <c r="AA139" s="57"/>
      <c r="AB139" s="51">
        <f>(B139*194.205+C139*267.466+D139*133.845+E139*53.484+F139*40+G139*185+H139*0+I139*100+J139*300)/(194.205+267.466+133.845+53.484+0+40+185+100+300)</f>
        <v>6.7134916858712712</v>
      </c>
      <c r="AC139" s="27">
        <f>(M139*'RAP TEMPLATE-GAS AVAILABILITY'!O138+N139*'RAP TEMPLATE-GAS AVAILABILITY'!P138+O139*'RAP TEMPLATE-GAS AVAILABILITY'!Q138+P139*'RAP TEMPLATE-GAS AVAILABILITY'!R138)/('RAP TEMPLATE-GAS AVAILABILITY'!O138+'RAP TEMPLATE-GAS AVAILABILITY'!P138+'RAP TEMPLATE-GAS AVAILABILITY'!Q138+'RAP TEMPLATE-GAS AVAILABILITY'!R138)</f>
        <v>6.6823064748201428</v>
      </c>
    </row>
    <row r="140" spans="1:29" ht="15.75" x14ac:dyDescent="0.25">
      <c r="A140" s="16">
        <v>45505</v>
      </c>
      <c r="B140" s="10">
        <f>CHOOSE(CONTROL!$C$42, 6.3592, 6.3592) * CHOOSE(CONTROL!$C$21, $C$9, 100%, $E$9)</f>
        <v>6.3592000000000004</v>
      </c>
      <c r="C140" s="10">
        <f>CHOOSE(CONTROL!$C$42, 6.3672, 6.3672) * CHOOSE(CONTROL!$C$21, $C$9, 100%, $E$9)</f>
        <v>6.3672000000000004</v>
      </c>
      <c r="D140" s="10">
        <f>CHOOSE(CONTROL!$C$42, 6.5457, 6.5457) * CHOOSE(CONTROL!$C$21, $C$9, 100%, $E$9)</f>
        <v>6.5457000000000001</v>
      </c>
      <c r="E140" s="10">
        <f>CHOOSE(CONTROL!$C$42, 6.5768, 6.5768) * CHOOSE(CONTROL!$C$21, $C$9, 100%, $E$9)</f>
        <v>6.5768000000000004</v>
      </c>
      <c r="F140" s="10">
        <f>CHOOSE(CONTROL!$C$42, 6.3459, 6.3459)*CHOOSE(CONTROL!$C$21, $C$9, 100%, $E$9)</f>
        <v>6.3459000000000003</v>
      </c>
      <c r="G140" s="10">
        <f>CHOOSE(CONTROL!$C$42, 6.3642, 6.3642)*CHOOSE(CONTROL!$C$21, $C$9, 100%, $E$9)</f>
        <v>6.3642000000000003</v>
      </c>
      <c r="H140" s="10">
        <f>CHOOSE(CONTROL!$C$42, 6.5655, 6.5655) * CHOOSE(CONTROL!$C$21, $C$9, 100%, $E$9)</f>
        <v>6.5655000000000001</v>
      </c>
      <c r="I140" s="10">
        <f>CHOOSE(CONTROL!$C$42, 6.3361, 6.3361)* CHOOSE(CONTROL!$C$21, $C$9, 100%, $E$9)</f>
        <v>6.3361000000000001</v>
      </c>
      <c r="J140" s="10">
        <f>CHOOSE(CONTROL!$C$42, 6.3389, 6.3389)* CHOOSE(CONTROL!$C$21, $C$9, 100%, $E$9)</f>
        <v>6.3388999999999998</v>
      </c>
      <c r="K140" s="54">
        <f>CHOOSE(CONTROL!$C$42, 6.3322, 6.3322) * CHOOSE(CONTROL!$C$21, $C$9, 100%, $E$9)</f>
        <v>6.3322000000000003</v>
      </c>
      <c r="L140" s="10">
        <f>CHOOSE(CONTROL!$C$42, 7.1525, 7.1525) * CHOOSE(CONTROL!$C$21, $C$9, 100%, $E$9)</f>
        <v>7.1524999999999999</v>
      </c>
      <c r="M140" s="10">
        <f>CHOOSE(CONTROL!$C$42, 6.2887, 6.2887) * CHOOSE(CONTROL!$C$21, $C$9, 100%, $E$9)</f>
        <v>6.2887000000000004</v>
      </c>
      <c r="N140" s="10">
        <f>CHOOSE(CONTROL!$C$42, 6.3069, 6.3069) * CHOOSE(CONTROL!$C$21, $C$9, 100%, $E$9)</f>
        <v>6.3068999999999997</v>
      </c>
      <c r="O140" s="10">
        <f>CHOOSE(CONTROL!$C$42, 6.513, 6.513) * CHOOSE(CONTROL!$C$21, $C$9, 100%, $E$9)</f>
        <v>6.5129999999999999</v>
      </c>
      <c r="P140" s="10">
        <f>CHOOSE(CONTROL!$C$42, 6.286, 6.286) * CHOOSE(CONTROL!$C$21, $C$9, 100%, $E$9)</f>
        <v>6.2859999999999996</v>
      </c>
      <c r="Q140" s="10">
        <f>CHOOSE(CONTROL!$C$42, 7.1083, 7.1083) * CHOOSE(CONTROL!$C$21, $C$9, 100%, $E$9)</f>
        <v>7.1082999999999998</v>
      </c>
      <c r="R140" s="10">
        <f>CHOOSE(CONTROL!$C$42, 7.7131, 7.7131) * CHOOSE(CONTROL!$C$21, $C$9, 100%, $E$9)</f>
        <v>7.7130999999999998</v>
      </c>
      <c r="S140" s="10">
        <f>CHOOSE(CONTROL!$C$42, 6.1712, 6.1712) * CHOOSE(CONTROL!$C$21, $C$9, 100%, $E$9)</f>
        <v>6.1711999999999998</v>
      </c>
      <c r="T140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40" s="58">
        <f>(1000*CHOOSE(CONTROL!$C$42, 695, 695)*CHOOSE(CONTROL!$C$42, 0.5599, 0.5599)*CHOOSE(CONTROL!$C$42, 31, 31))/1000000</f>
        <v>12.063045499999998</v>
      </c>
      <c r="V140" s="58">
        <f>(1000*CHOOSE(CONTROL!$C$42, 500, 500)*CHOOSE(CONTROL!$C$42, 0.275, 0.275)*CHOOSE(CONTROL!$C$42, 31, 31))/1000000</f>
        <v>4.2625000000000002</v>
      </c>
      <c r="W140" s="58">
        <f>(1000*CHOOSE(CONTROL!$C$42, 0.1146, 0.1146)*CHOOSE(CONTROL!$C$42, 121.5, 121.5)*CHOOSE(CONTROL!$C$42, 31, 31))/1000000</f>
        <v>0.43164089999999994</v>
      </c>
      <c r="X140" s="58">
        <f>(31*0.1790888*245000/1000000)+(31*0.2374*100000/1000000)</f>
        <v>2.0961194359999999</v>
      </c>
      <c r="Y140" s="58"/>
      <c r="Z140" s="10"/>
      <c r="AA140" s="57"/>
      <c r="AB140" s="51">
        <f>(B140*194.205+C140*267.466+D140*133.845+E140*53.484+F140*40+G140*185+H140*0+I140*100+J140*300)/(194.205+267.466+133.845+53.484+0+40+185+100+300)</f>
        <v>6.3833231859497648</v>
      </c>
      <c r="AC140" s="27">
        <f>(M140*'RAP TEMPLATE-GAS AVAILABILITY'!O139+N140*'RAP TEMPLATE-GAS AVAILABILITY'!P139+O140*'RAP TEMPLATE-GAS AVAILABILITY'!Q139+P140*'RAP TEMPLATE-GAS AVAILABILITY'!R139)/('RAP TEMPLATE-GAS AVAILABILITY'!O139+'RAP TEMPLATE-GAS AVAILABILITY'!P139+'RAP TEMPLATE-GAS AVAILABILITY'!Q139+'RAP TEMPLATE-GAS AVAILABILITY'!R139)</f>
        <v>6.3554345323741011</v>
      </c>
    </row>
    <row r="141" spans="1:29" ht="15.75" x14ac:dyDescent="0.25">
      <c r="A141" s="16">
        <v>45536</v>
      </c>
      <c r="B141" s="10">
        <f>CHOOSE(CONTROL!$C$42, 5.9559, 5.9559) * CHOOSE(CONTROL!$C$21, $C$9, 100%, $E$9)</f>
        <v>5.9558999999999997</v>
      </c>
      <c r="C141" s="10">
        <f>CHOOSE(CONTROL!$C$42, 5.9638, 5.9638) * CHOOSE(CONTROL!$C$21, $C$9, 100%, $E$9)</f>
        <v>5.9638</v>
      </c>
      <c r="D141" s="10">
        <f>CHOOSE(CONTROL!$C$42, 6.1423, 6.1423) * CHOOSE(CONTROL!$C$21, $C$9, 100%, $E$9)</f>
        <v>6.1422999999999996</v>
      </c>
      <c r="E141" s="10">
        <f>CHOOSE(CONTROL!$C$42, 6.1734, 6.1734) * CHOOSE(CONTROL!$C$21, $C$9, 100%, $E$9)</f>
        <v>6.1734</v>
      </c>
      <c r="F141" s="10">
        <f>CHOOSE(CONTROL!$C$42, 5.9422, 5.9422)*CHOOSE(CONTROL!$C$21, $C$9, 100%, $E$9)</f>
        <v>5.9421999999999997</v>
      </c>
      <c r="G141" s="10">
        <f>CHOOSE(CONTROL!$C$42, 5.9604, 5.9604)*CHOOSE(CONTROL!$C$21, $C$9, 100%, $E$9)</f>
        <v>5.9603999999999999</v>
      </c>
      <c r="H141" s="10">
        <f>CHOOSE(CONTROL!$C$42, 6.1621, 6.1621) * CHOOSE(CONTROL!$C$21, $C$9, 100%, $E$9)</f>
        <v>6.1620999999999997</v>
      </c>
      <c r="I141" s="10">
        <f>CHOOSE(CONTROL!$C$42, 5.9327, 5.9327)* CHOOSE(CONTROL!$C$21, $C$9, 100%, $E$9)</f>
        <v>5.9326999999999996</v>
      </c>
      <c r="J141" s="10">
        <f>CHOOSE(CONTROL!$C$42, 5.9352, 5.9352)* CHOOSE(CONTROL!$C$21, $C$9, 100%, $E$9)</f>
        <v>5.9352</v>
      </c>
      <c r="K141" s="54">
        <f>CHOOSE(CONTROL!$C$42, 5.9288, 5.9288) * CHOOSE(CONTROL!$C$21, $C$9, 100%, $E$9)</f>
        <v>5.9287999999999998</v>
      </c>
      <c r="L141" s="10">
        <f>CHOOSE(CONTROL!$C$42, 6.7491, 6.7491) * CHOOSE(CONTROL!$C$21, $C$9, 100%, $E$9)</f>
        <v>6.7491000000000003</v>
      </c>
      <c r="M141" s="10">
        <f>CHOOSE(CONTROL!$C$42, 5.8892, 5.8892) * CHOOSE(CONTROL!$C$21, $C$9, 100%, $E$9)</f>
        <v>5.8891999999999998</v>
      </c>
      <c r="N141" s="10">
        <f>CHOOSE(CONTROL!$C$42, 5.9072, 5.9072) * CHOOSE(CONTROL!$C$21, $C$9, 100%, $E$9)</f>
        <v>5.9071999999999996</v>
      </c>
      <c r="O141" s="10">
        <f>CHOOSE(CONTROL!$C$42, 6.1137, 6.1137) * CHOOSE(CONTROL!$C$21, $C$9, 100%, $E$9)</f>
        <v>6.1136999999999997</v>
      </c>
      <c r="P141" s="10">
        <f>CHOOSE(CONTROL!$C$42, 5.8867, 5.8867) * CHOOSE(CONTROL!$C$21, $C$9, 100%, $E$9)</f>
        <v>5.8867000000000003</v>
      </c>
      <c r="Q141" s="10">
        <f>CHOOSE(CONTROL!$C$42, 6.709, 6.709) * CHOOSE(CONTROL!$C$21, $C$9, 100%, $E$9)</f>
        <v>6.7089999999999996</v>
      </c>
      <c r="R141" s="10">
        <f>CHOOSE(CONTROL!$C$42, 7.3128, 7.3128) * CHOOSE(CONTROL!$C$21, $C$9, 100%, $E$9)</f>
        <v>7.3128000000000002</v>
      </c>
      <c r="S141" s="10">
        <f>CHOOSE(CONTROL!$C$42, 5.7795, 5.7795) * CHOOSE(CONTROL!$C$21, $C$9, 100%, $E$9)</f>
        <v>5.7794999999999996</v>
      </c>
      <c r="T141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41" s="58">
        <f>(1000*CHOOSE(CONTROL!$C$42, 695, 695)*CHOOSE(CONTROL!$C$42, 0.5599, 0.5599)*CHOOSE(CONTROL!$C$42, 30, 30))/1000000</f>
        <v>11.673914999999997</v>
      </c>
      <c r="V141" s="58">
        <f>(1000*CHOOSE(CONTROL!$C$42, 500, 500)*CHOOSE(CONTROL!$C$42, 0.275, 0.275)*CHOOSE(CONTROL!$C$42, 30, 30))/1000000</f>
        <v>4.125</v>
      </c>
      <c r="W141" s="58">
        <f>(1000*CHOOSE(CONTROL!$C$42, 0.1146, 0.1146)*CHOOSE(CONTROL!$C$42, 121.5, 121.5)*CHOOSE(CONTROL!$C$42, 30, 30))/1000000</f>
        <v>0.417717</v>
      </c>
      <c r="X141" s="58">
        <f>(30*0.1790888*245000/1000000)+(30*0.2374*100000/1000000)</f>
        <v>2.0285026799999999</v>
      </c>
      <c r="Y141" s="58"/>
      <c r="Z141" s="10"/>
      <c r="AA141" s="57"/>
      <c r="AB141" s="51">
        <f>(B141*194.205+C141*267.466+D141*133.845+E141*53.484+F141*40+G141*185+H141*0+I141*100+J141*300)/(194.205+267.466+133.845+53.484+0+40+185+100+300)</f>
        <v>5.9798002821036098</v>
      </c>
      <c r="AC141" s="27">
        <f>(M141*'RAP TEMPLATE-GAS AVAILABILITY'!O140+N141*'RAP TEMPLATE-GAS AVAILABILITY'!P140+O141*'RAP TEMPLATE-GAS AVAILABILITY'!Q140+P141*'RAP TEMPLATE-GAS AVAILABILITY'!R140)/('RAP TEMPLATE-GAS AVAILABILITY'!O140+'RAP TEMPLATE-GAS AVAILABILITY'!P140+'RAP TEMPLATE-GAS AVAILABILITY'!Q140+'RAP TEMPLATE-GAS AVAILABILITY'!R140)</f>
        <v>5.9559733812949638</v>
      </c>
    </row>
    <row r="142" spans="1:29" ht="15.75" x14ac:dyDescent="0.25">
      <c r="A142" s="16">
        <v>45566</v>
      </c>
      <c r="B142" s="10">
        <f>CHOOSE(CONTROL!$C$42, 5.8329, 5.8329) * CHOOSE(CONTROL!$C$21, $C$9, 100%, $E$9)</f>
        <v>5.8329000000000004</v>
      </c>
      <c r="C142" s="10">
        <f>CHOOSE(CONTROL!$C$42, 5.8381, 5.8381) * CHOOSE(CONTROL!$C$21, $C$9, 100%, $E$9)</f>
        <v>5.8380999999999998</v>
      </c>
      <c r="D142" s="10">
        <f>CHOOSE(CONTROL!$C$42, 6.0216, 6.0216) * CHOOSE(CONTROL!$C$21, $C$9, 100%, $E$9)</f>
        <v>6.0216000000000003</v>
      </c>
      <c r="E142" s="10">
        <f>CHOOSE(CONTROL!$C$42, 6.0504, 6.0504) * CHOOSE(CONTROL!$C$21, $C$9, 100%, $E$9)</f>
        <v>6.0503999999999998</v>
      </c>
      <c r="F142" s="10">
        <f>CHOOSE(CONTROL!$C$42, 5.8212, 5.8212)*CHOOSE(CONTROL!$C$21, $C$9, 100%, $E$9)</f>
        <v>5.8212000000000002</v>
      </c>
      <c r="G142" s="10">
        <f>CHOOSE(CONTROL!$C$42, 5.8391, 5.8391)*CHOOSE(CONTROL!$C$21, $C$9, 100%, $E$9)</f>
        <v>5.8391000000000002</v>
      </c>
      <c r="H142" s="10">
        <f>CHOOSE(CONTROL!$C$42, 6.0409, 6.0409) * CHOOSE(CONTROL!$C$21, $C$9, 100%, $E$9)</f>
        <v>6.0408999999999997</v>
      </c>
      <c r="I142" s="10">
        <f>CHOOSE(CONTROL!$C$42, 5.8115, 5.8115)* CHOOSE(CONTROL!$C$21, $C$9, 100%, $E$9)</f>
        <v>5.8114999999999997</v>
      </c>
      <c r="J142" s="10">
        <f>CHOOSE(CONTROL!$C$42, 5.8142, 5.8142)* CHOOSE(CONTROL!$C$21, $C$9, 100%, $E$9)</f>
        <v>5.8141999999999996</v>
      </c>
      <c r="K142" s="54">
        <f>CHOOSE(CONTROL!$C$42, 5.8076, 5.8076) * CHOOSE(CONTROL!$C$21, $C$9, 100%, $E$9)</f>
        <v>5.8075999999999999</v>
      </c>
      <c r="L142" s="10">
        <f>CHOOSE(CONTROL!$C$42, 6.6279, 6.6279) * CHOOSE(CONTROL!$C$21, $C$9, 100%, $E$9)</f>
        <v>6.6279000000000003</v>
      </c>
      <c r="M142" s="10">
        <f>CHOOSE(CONTROL!$C$42, 5.7694, 5.7694) * CHOOSE(CONTROL!$C$21, $C$9, 100%, $E$9)</f>
        <v>5.7694000000000001</v>
      </c>
      <c r="N142" s="10">
        <f>CHOOSE(CONTROL!$C$42, 5.7871, 5.7871) * CHOOSE(CONTROL!$C$21, $C$9, 100%, $E$9)</f>
        <v>5.7870999999999997</v>
      </c>
      <c r="O142" s="10">
        <f>CHOOSE(CONTROL!$C$42, 5.9937, 5.9937) * CHOOSE(CONTROL!$C$21, $C$9, 100%, $E$9)</f>
        <v>5.9936999999999996</v>
      </c>
      <c r="P142" s="10">
        <f>CHOOSE(CONTROL!$C$42, 5.7667, 5.7667) * CHOOSE(CONTROL!$C$21, $C$9, 100%, $E$9)</f>
        <v>5.7667000000000002</v>
      </c>
      <c r="Q142" s="10">
        <f>CHOOSE(CONTROL!$C$42, 6.589, 6.589) * CHOOSE(CONTROL!$C$21, $C$9, 100%, $E$9)</f>
        <v>6.5890000000000004</v>
      </c>
      <c r="R142" s="10">
        <f>CHOOSE(CONTROL!$C$42, 7.1925, 7.1925) * CHOOSE(CONTROL!$C$21, $C$9, 100%, $E$9)</f>
        <v>7.1924999999999999</v>
      </c>
      <c r="S142" s="10">
        <f>CHOOSE(CONTROL!$C$42, 5.6618, 5.6618) * CHOOSE(CONTROL!$C$21, $C$9, 100%, $E$9)</f>
        <v>5.6618000000000004</v>
      </c>
      <c r="T142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42" s="58">
        <f>(1000*CHOOSE(CONTROL!$C$42, 695, 695)*CHOOSE(CONTROL!$C$42, 0.5599, 0.5599)*CHOOSE(CONTROL!$C$42, 31, 31))/1000000</f>
        <v>12.063045499999998</v>
      </c>
      <c r="V142" s="58">
        <f>(1000*CHOOSE(CONTROL!$C$42, 500, 500)*CHOOSE(CONTROL!$C$42, 0.275, 0.275)*CHOOSE(CONTROL!$C$42, 31, 31))/1000000</f>
        <v>4.2625000000000002</v>
      </c>
      <c r="W142" s="58">
        <f>(1000*CHOOSE(CONTROL!$C$42, 0.1146, 0.1146)*CHOOSE(CONTROL!$C$42, 121.5, 121.5)*CHOOSE(CONTROL!$C$42, 31, 31))/1000000</f>
        <v>0.43164089999999994</v>
      </c>
      <c r="X142" s="58">
        <f>(31*0.1790888*245000/1000000)+(31*0.2374*100000/1000000)</f>
        <v>2.0961194359999999</v>
      </c>
      <c r="Y142" s="58"/>
      <c r="Z142" s="10"/>
      <c r="AA142" s="57"/>
      <c r="AB142" s="51">
        <f>(B142*131.881+C142*277.167+D142*79.08+E142*125.872+F142*40+G142*185+H142*0+I142*100+J142*300)/(131.881+277.167+79.08+125.872+0+40+185+100+300)</f>
        <v>5.8624963070217913</v>
      </c>
      <c r="AC142" s="27">
        <f>(M142*'RAP TEMPLATE-GAS AVAILABILITY'!O141+N142*'RAP TEMPLATE-GAS AVAILABILITY'!P141+O142*'RAP TEMPLATE-GAS AVAILABILITY'!Q141+P142*'RAP TEMPLATE-GAS AVAILABILITY'!R141)/('RAP TEMPLATE-GAS AVAILABILITY'!O141+'RAP TEMPLATE-GAS AVAILABILITY'!P141+'RAP TEMPLATE-GAS AVAILABILITY'!Q141+'RAP TEMPLATE-GAS AVAILABILITY'!R141)</f>
        <v>5.8360194244604306</v>
      </c>
    </row>
    <row r="143" spans="1:29" ht="15.75" x14ac:dyDescent="0.25">
      <c r="A143" s="16">
        <v>45597</v>
      </c>
      <c r="B143" s="10">
        <f>CHOOSE(CONTROL!$C$42, 5.9861, 5.9861) * CHOOSE(CONTROL!$C$21, $C$9, 100%, $E$9)</f>
        <v>5.9861000000000004</v>
      </c>
      <c r="C143" s="10">
        <f>CHOOSE(CONTROL!$C$42, 5.991, 5.991) * CHOOSE(CONTROL!$C$21, $C$9, 100%, $E$9)</f>
        <v>5.9909999999999997</v>
      </c>
      <c r="D143" s="10">
        <f>CHOOSE(CONTROL!$C$42, 6.0206, 6.0206) * CHOOSE(CONTROL!$C$21, $C$9, 100%, $E$9)</f>
        <v>6.0206</v>
      </c>
      <c r="E143" s="10">
        <f>CHOOSE(CONTROL!$C$42, 6.0544, 6.0544) * CHOOSE(CONTROL!$C$21, $C$9, 100%, $E$9)</f>
        <v>6.0544000000000002</v>
      </c>
      <c r="F143" s="10">
        <f>CHOOSE(CONTROL!$C$42, 5.9718, 5.9718)*CHOOSE(CONTROL!$C$21, $C$9, 100%, $E$9)</f>
        <v>5.9718</v>
      </c>
      <c r="G143" s="10">
        <f>CHOOSE(CONTROL!$C$42, 5.9899, 5.9899)*CHOOSE(CONTROL!$C$21, $C$9, 100%, $E$9)</f>
        <v>5.9898999999999996</v>
      </c>
      <c r="H143" s="10">
        <f>CHOOSE(CONTROL!$C$42, 6.0436, 6.0436) * CHOOSE(CONTROL!$C$21, $C$9, 100%, $E$9)</f>
        <v>6.0435999999999996</v>
      </c>
      <c r="I143" s="10">
        <f>CHOOSE(CONTROL!$C$42, 5.9522, 5.9522)* CHOOSE(CONTROL!$C$21, $C$9, 100%, $E$9)</f>
        <v>5.9522000000000004</v>
      </c>
      <c r="J143" s="10">
        <f>CHOOSE(CONTROL!$C$42, 5.9648, 5.9648)* CHOOSE(CONTROL!$C$21, $C$9, 100%, $E$9)</f>
        <v>5.9648000000000003</v>
      </c>
      <c r="K143" s="54">
        <f>CHOOSE(CONTROL!$C$42, 5.9483, 5.9483) * CHOOSE(CONTROL!$C$21, $C$9, 100%, $E$9)</f>
        <v>5.9482999999999997</v>
      </c>
      <c r="L143" s="10">
        <f>CHOOSE(CONTROL!$C$42, 6.6306, 6.6306) * CHOOSE(CONTROL!$C$21, $C$9, 100%, $E$9)</f>
        <v>6.6306000000000003</v>
      </c>
      <c r="M143" s="10">
        <f>CHOOSE(CONTROL!$C$42, 5.9184, 5.9184) * CHOOSE(CONTROL!$C$21, $C$9, 100%, $E$9)</f>
        <v>5.9184000000000001</v>
      </c>
      <c r="N143" s="10">
        <f>CHOOSE(CONTROL!$C$42, 5.9363, 5.9363) * CHOOSE(CONTROL!$C$21, $C$9, 100%, $E$9)</f>
        <v>5.9363000000000001</v>
      </c>
      <c r="O143" s="10">
        <f>CHOOSE(CONTROL!$C$42, 5.9964, 5.9964) * CHOOSE(CONTROL!$C$21, $C$9, 100%, $E$9)</f>
        <v>5.9964000000000004</v>
      </c>
      <c r="P143" s="10">
        <f>CHOOSE(CONTROL!$C$42, 5.906, 5.906) * CHOOSE(CONTROL!$C$21, $C$9, 100%, $E$9)</f>
        <v>5.9059999999999997</v>
      </c>
      <c r="Q143" s="10">
        <f>CHOOSE(CONTROL!$C$42, 6.5917, 6.5917) * CHOOSE(CONTROL!$C$21, $C$9, 100%, $E$9)</f>
        <v>6.5917000000000003</v>
      </c>
      <c r="R143" s="10">
        <f>CHOOSE(CONTROL!$C$42, 7.1952, 7.1952) * CHOOSE(CONTROL!$C$21, $C$9, 100%, $E$9)</f>
        <v>7.1951999999999998</v>
      </c>
      <c r="S143" s="10">
        <f>CHOOSE(CONTROL!$C$42, 5.8109, 5.8109) * CHOOSE(CONTROL!$C$21, $C$9, 100%, $E$9)</f>
        <v>5.8109000000000002</v>
      </c>
      <c r="T143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43" s="58">
        <f>(1000*CHOOSE(CONTROL!$C$42, 695, 695)*CHOOSE(CONTROL!$C$42, 0.5599, 0.5599)*CHOOSE(CONTROL!$C$42, 30, 30))/1000000</f>
        <v>11.673914999999997</v>
      </c>
      <c r="V143" s="58">
        <f>(1000*CHOOSE(CONTROL!$C$42, 500, 500)*CHOOSE(CONTROL!$C$42, 0.275, 0.275)*CHOOSE(CONTROL!$C$42, 30, 30))/1000000</f>
        <v>4.125</v>
      </c>
      <c r="W143" s="58">
        <f>(1000*CHOOSE(CONTROL!$C$42, 0.1146, 0.1146)*CHOOSE(CONTROL!$C$42, 121.5, 121.5)*CHOOSE(CONTROL!$C$42, 30, 30))/1000000</f>
        <v>0.417717</v>
      </c>
      <c r="X143" s="58">
        <f>(30*0.1790888*100000/1000000)+(30*0.2374*100000/1000000)</f>
        <v>1.2494664</v>
      </c>
      <c r="Y143" s="58"/>
      <c r="Z143" s="10"/>
      <c r="AA143" s="57"/>
      <c r="AB143" s="51">
        <f>(B143*122.58+C143*297.941+D143*89.177+E143*40.302+F143*40+G143*160+H143*0+I143*100+J143*300)/(122.58+297.941+89.177+40.302+0+40+160+100+300)</f>
        <v>5.9839653426086947</v>
      </c>
      <c r="AC143" s="27">
        <f>(M143*'RAP TEMPLATE-GAS AVAILABILITY'!O142+N143*'RAP TEMPLATE-GAS AVAILABILITY'!P142+O143*'RAP TEMPLATE-GAS AVAILABILITY'!Q142+P143*'RAP TEMPLATE-GAS AVAILABILITY'!R142)/('RAP TEMPLATE-GAS AVAILABILITY'!O142+'RAP TEMPLATE-GAS AVAILABILITY'!P142+'RAP TEMPLATE-GAS AVAILABILITY'!Q142+'RAP TEMPLATE-GAS AVAILABILITY'!R142)</f>
        <v>5.9529985611510803</v>
      </c>
    </row>
    <row r="144" spans="1:29" ht="15.75" x14ac:dyDescent="0.25">
      <c r="A144" s="16">
        <v>45627</v>
      </c>
      <c r="B144" s="10">
        <f>CHOOSE(CONTROL!$C$42, 6.394, 6.394) * CHOOSE(CONTROL!$C$21, $C$9, 100%, $E$9)</f>
        <v>6.3940000000000001</v>
      </c>
      <c r="C144" s="10">
        <f>CHOOSE(CONTROL!$C$42, 6.3989, 6.3989) * CHOOSE(CONTROL!$C$21, $C$9, 100%, $E$9)</f>
        <v>6.3989000000000003</v>
      </c>
      <c r="D144" s="10">
        <f>CHOOSE(CONTROL!$C$42, 6.4285, 6.4285) * CHOOSE(CONTROL!$C$21, $C$9, 100%, $E$9)</f>
        <v>6.4284999999999997</v>
      </c>
      <c r="E144" s="10">
        <f>CHOOSE(CONTROL!$C$42, 6.4623, 6.4623) * CHOOSE(CONTROL!$C$21, $C$9, 100%, $E$9)</f>
        <v>6.4622999999999999</v>
      </c>
      <c r="F144" s="10">
        <f>CHOOSE(CONTROL!$C$42, 6.3813, 6.3813)*CHOOSE(CONTROL!$C$21, $C$9, 100%, $E$9)</f>
        <v>6.3813000000000004</v>
      </c>
      <c r="G144" s="10">
        <f>CHOOSE(CONTROL!$C$42, 6.3997, 6.3997)*CHOOSE(CONTROL!$C$21, $C$9, 100%, $E$9)</f>
        <v>6.3997000000000002</v>
      </c>
      <c r="H144" s="10">
        <f>CHOOSE(CONTROL!$C$42, 6.4515, 6.4515) * CHOOSE(CONTROL!$C$21, $C$9, 100%, $E$9)</f>
        <v>6.4515000000000002</v>
      </c>
      <c r="I144" s="10">
        <f>CHOOSE(CONTROL!$C$42, 6.3601, 6.3601)* CHOOSE(CONTROL!$C$21, $C$9, 100%, $E$9)</f>
        <v>6.3601000000000001</v>
      </c>
      <c r="J144" s="10">
        <f>CHOOSE(CONTROL!$C$42, 6.3743, 6.3743)* CHOOSE(CONTROL!$C$21, $C$9, 100%, $E$9)</f>
        <v>6.3742999999999999</v>
      </c>
      <c r="K144" s="54">
        <f>CHOOSE(CONTROL!$C$42, 6.3563, 6.3563) * CHOOSE(CONTROL!$C$21, $C$9, 100%, $E$9)</f>
        <v>6.3563000000000001</v>
      </c>
      <c r="L144" s="10">
        <f>CHOOSE(CONTROL!$C$42, 7.0385, 7.0385) * CHOOSE(CONTROL!$C$21, $C$9, 100%, $E$9)</f>
        <v>7.0385</v>
      </c>
      <c r="M144" s="10">
        <f>CHOOSE(CONTROL!$C$42, 6.3238, 6.3238) * CHOOSE(CONTROL!$C$21, $C$9, 100%, $E$9)</f>
        <v>6.3238000000000003</v>
      </c>
      <c r="N144" s="10">
        <f>CHOOSE(CONTROL!$C$42, 6.342, 6.342) * CHOOSE(CONTROL!$C$21, $C$9, 100%, $E$9)</f>
        <v>6.3419999999999996</v>
      </c>
      <c r="O144" s="10">
        <f>CHOOSE(CONTROL!$C$42, 6.4002, 6.4002) * CHOOSE(CONTROL!$C$21, $C$9, 100%, $E$9)</f>
        <v>6.4001999999999999</v>
      </c>
      <c r="P144" s="10">
        <f>CHOOSE(CONTROL!$C$42, 6.3098, 6.3098) * CHOOSE(CONTROL!$C$21, $C$9, 100%, $E$9)</f>
        <v>6.3098000000000001</v>
      </c>
      <c r="Q144" s="10">
        <f>CHOOSE(CONTROL!$C$42, 6.9955, 6.9955) * CHOOSE(CONTROL!$C$21, $C$9, 100%, $E$9)</f>
        <v>6.9954999999999998</v>
      </c>
      <c r="R144" s="10">
        <f>CHOOSE(CONTROL!$C$42, 7.6, 7.6) * CHOOSE(CONTROL!$C$21, $C$9, 100%, $E$9)</f>
        <v>7.6</v>
      </c>
      <c r="S144" s="10">
        <f>CHOOSE(CONTROL!$C$42, 6.2071, 6.2071) * CHOOSE(CONTROL!$C$21, $C$9, 100%, $E$9)</f>
        <v>6.2070999999999996</v>
      </c>
      <c r="T144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44" s="58">
        <f>(1000*CHOOSE(CONTROL!$C$42, 695, 695)*CHOOSE(CONTROL!$C$42, 0.5599, 0.5599)*CHOOSE(CONTROL!$C$42, 31, 31))/1000000</f>
        <v>12.063045499999998</v>
      </c>
      <c r="V144" s="58">
        <f>(1000*CHOOSE(CONTROL!$C$42, 500, 500)*CHOOSE(CONTROL!$C$42, 0.275, 0.275)*CHOOSE(CONTROL!$C$42, 31, 31))/1000000</f>
        <v>4.2625000000000002</v>
      </c>
      <c r="W144" s="58">
        <f>(1000*CHOOSE(CONTROL!$C$42, 0.1146, 0.1146)*CHOOSE(CONTROL!$C$42, 121.5, 121.5)*CHOOSE(CONTROL!$C$42, 31, 31))/1000000</f>
        <v>0.43164089999999994</v>
      </c>
      <c r="X144" s="58">
        <f>(31*0.1790888*100000/1000000)+(31*0.2374*100000/1000000)</f>
        <v>1.2911152800000001</v>
      </c>
      <c r="Y144" s="58"/>
      <c r="Z144" s="10"/>
      <c r="AA144" s="57"/>
      <c r="AB144" s="51">
        <f>(B144*122.58+C144*297.941+D144*89.177+E144*40.302+F144*40+G144*160+H144*0+I144*100+J144*300)/(122.58+297.941+89.177+40.302+0+40+160+100+300)</f>
        <v>6.3926027339130433</v>
      </c>
      <c r="AC144" s="27">
        <f>(M144*'RAP TEMPLATE-GAS AVAILABILITY'!O143+N144*'RAP TEMPLATE-GAS AVAILABILITY'!P143+O144*'RAP TEMPLATE-GAS AVAILABILITY'!Q143+P144*'RAP TEMPLATE-GAS AVAILABILITY'!R143)/('RAP TEMPLATE-GAS AVAILABILITY'!O143+'RAP TEMPLATE-GAS AVAILABILITY'!P143+'RAP TEMPLATE-GAS AVAILABILITY'!Q143+'RAP TEMPLATE-GAS AVAILABILITY'!R143)</f>
        <v>6.3574604316546752</v>
      </c>
    </row>
    <row r="145" spans="1:29" ht="15.75" x14ac:dyDescent="0.25">
      <c r="A145" s="16">
        <v>45658</v>
      </c>
      <c r="B145" s="10">
        <f>CHOOSE(CONTROL!$C$42, 6.8251, 6.8251) * CHOOSE(CONTROL!$C$21, $C$9, 100%, $E$9)</f>
        <v>6.8250999999999999</v>
      </c>
      <c r="C145" s="10">
        <f>CHOOSE(CONTROL!$C$42, 6.8301, 6.8301) * CHOOSE(CONTROL!$C$21, $C$9, 100%, $E$9)</f>
        <v>6.8300999999999998</v>
      </c>
      <c r="D145" s="10">
        <f>CHOOSE(CONTROL!$C$42, 6.8803, 6.8803) * CHOOSE(CONTROL!$C$21, $C$9, 100%, $E$9)</f>
        <v>6.8803000000000001</v>
      </c>
      <c r="E145" s="10">
        <f>CHOOSE(CONTROL!$C$42, 6.9141, 6.9141) * CHOOSE(CONTROL!$C$21, $C$9, 100%, $E$9)</f>
        <v>6.9141000000000004</v>
      </c>
      <c r="F145" s="10">
        <f>CHOOSE(CONTROL!$C$42, 6.7905, 6.7905)*CHOOSE(CONTROL!$C$21, $C$9, 100%, $E$9)</f>
        <v>6.7904999999999998</v>
      </c>
      <c r="G145" s="10">
        <f>CHOOSE(CONTROL!$C$42, 6.8081, 6.8081)*CHOOSE(CONTROL!$C$21, $C$9, 100%, $E$9)</f>
        <v>6.8080999999999996</v>
      </c>
      <c r="H145" s="10">
        <f>CHOOSE(CONTROL!$C$42, 6.9033, 6.9033) * CHOOSE(CONTROL!$C$21, $C$9, 100%, $E$9)</f>
        <v>6.9032999999999998</v>
      </c>
      <c r="I145" s="10">
        <f>CHOOSE(CONTROL!$C$42, 6.799, 6.799)* CHOOSE(CONTROL!$C$21, $C$9, 100%, $E$9)</f>
        <v>6.7990000000000004</v>
      </c>
      <c r="J145" s="10">
        <f>CHOOSE(CONTROL!$C$42, 6.7835, 6.7835)* CHOOSE(CONTROL!$C$21, $C$9, 100%, $E$9)</f>
        <v>6.7835000000000001</v>
      </c>
      <c r="K145" s="54">
        <f>CHOOSE(CONTROL!$C$42, 6.7952, 6.7952) * CHOOSE(CONTROL!$C$21, $C$9, 100%, $E$9)</f>
        <v>6.7952000000000004</v>
      </c>
      <c r="L145" s="10">
        <f>CHOOSE(CONTROL!$C$42, 7.4903, 7.4903) * CHOOSE(CONTROL!$C$21, $C$9, 100%, $E$9)</f>
        <v>7.4903000000000004</v>
      </c>
      <c r="M145" s="10">
        <f>CHOOSE(CONTROL!$C$42, 6.7289, 6.7289) * CHOOSE(CONTROL!$C$21, $C$9, 100%, $E$9)</f>
        <v>6.7289000000000003</v>
      </c>
      <c r="N145" s="10">
        <f>CHOOSE(CONTROL!$C$42, 6.7463, 6.7463) * CHOOSE(CONTROL!$C$21, $C$9, 100%, $E$9)</f>
        <v>6.7462999999999997</v>
      </c>
      <c r="O145" s="10">
        <f>CHOOSE(CONTROL!$C$42, 6.8474, 6.8474) * CHOOSE(CONTROL!$C$21, $C$9, 100%, $E$9)</f>
        <v>6.8474000000000004</v>
      </c>
      <c r="P145" s="10">
        <f>CHOOSE(CONTROL!$C$42, 6.7443, 6.7443) * CHOOSE(CONTROL!$C$21, $C$9, 100%, $E$9)</f>
        <v>6.7443</v>
      </c>
      <c r="Q145" s="10">
        <f>CHOOSE(CONTROL!$C$42, 7.4427, 7.4427) * CHOOSE(CONTROL!$C$21, $C$9, 100%, $E$9)</f>
        <v>7.4427000000000003</v>
      </c>
      <c r="R145" s="10">
        <f>CHOOSE(CONTROL!$C$42, 8.0483, 8.0483) * CHOOSE(CONTROL!$C$21, $C$9, 100%, $E$9)</f>
        <v>8.0482999999999993</v>
      </c>
      <c r="S145" s="10">
        <f>CHOOSE(CONTROL!$C$42, 6.6258, 6.6258) * CHOOSE(CONTROL!$C$21, $C$9, 100%, $E$9)</f>
        <v>6.6257999999999999</v>
      </c>
      <c r="T145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45" s="58">
        <f>(1000*CHOOSE(CONTROL!$C$42, 695, 695)*CHOOSE(CONTROL!$C$42, 0.5599, 0.5599)*CHOOSE(CONTROL!$C$42, 31, 31))/1000000</f>
        <v>12.063045499999998</v>
      </c>
      <c r="V145" s="58">
        <f>(1000*CHOOSE(CONTROL!$C$42, 500, 500)*CHOOSE(CONTROL!$C$42, 0.275, 0.275)*CHOOSE(CONTROL!$C$42, 31, 31))/1000000</f>
        <v>4.2625000000000002</v>
      </c>
      <c r="W145" s="58">
        <f>(1000*CHOOSE(CONTROL!$C$42, 0.1146, 0.1146)*CHOOSE(CONTROL!$C$42, 121.5, 121.5)*CHOOSE(CONTROL!$C$42, 31, 31))/1000000</f>
        <v>0.43164089999999994</v>
      </c>
      <c r="X145" s="58">
        <f>(31*0.1790888*100000/1000000)+(31*0.2374*100000/1000000)</f>
        <v>1.2911152800000001</v>
      </c>
      <c r="Y145" s="58"/>
      <c r="Z145" s="10"/>
      <c r="AA145" s="57"/>
      <c r="AB145" s="51">
        <f>(B145*122.58+C145*297.941+D145*89.177+E145*40.302+F145*40+G145*160+H145*0+I145*100+J145*300)/(122.58+297.941+89.177+40.302+0+40+160+100+300)</f>
        <v>6.8171044812173909</v>
      </c>
      <c r="AC145" s="27">
        <f>(M145*'RAP TEMPLATE-GAS AVAILABILITY'!O144+N145*'RAP TEMPLATE-GAS AVAILABILITY'!P144+O145*'RAP TEMPLATE-GAS AVAILABILITY'!Q144+P145*'RAP TEMPLATE-GAS AVAILABILITY'!R144)/('RAP TEMPLATE-GAS AVAILABILITY'!O144+'RAP TEMPLATE-GAS AVAILABILITY'!P144+'RAP TEMPLATE-GAS AVAILABILITY'!Q144+'RAP TEMPLATE-GAS AVAILABILITY'!R144)</f>
        <v>6.7858258992805762</v>
      </c>
    </row>
    <row r="146" spans="1:29" ht="15.75" x14ac:dyDescent="0.25">
      <c r="A146" s="16">
        <v>45689</v>
      </c>
      <c r="B146" s="10">
        <f>CHOOSE(CONTROL!$C$42, 6.9466, 6.9466) * CHOOSE(CONTROL!$C$21, $C$9, 100%, $E$9)</f>
        <v>6.9466000000000001</v>
      </c>
      <c r="C146" s="10">
        <f>CHOOSE(CONTROL!$C$42, 6.9515, 6.9515) * CHOOSE(CONTROL!$C$21, $C$9, 100%, $E$9)</f>
        <v>6.9515000000000002</v>
      </c>
      <c r="D146" s="10">
        <f>CHOOSE(CONTROL!$C$42, 7.0687, 7.0687) * CHOOSE(CONTROL!$C$21, $C$9, 100%, $E$9)</f>
        <v>7.0686999999999998</v>
      </c>
      <c r="E146" s="10">
        <f>CHOOSE(CONTROL!$C$42, 7.1025, 7.1025) * CHOOSE(CONTROL!$C$21, $C$9, 100%, $E$9)</f>
        <v>7.1025</v>
      </c>
      <c r="F146" s="10">
        <f>CHOOSE(CONTROL!$C$42, 7.0242, 7.0242)*CHOOSE(CONTROL!$C$21, $C$9, 100%, $E$9)</f>
        <v>7.0242000000000004</v>
      </c>
      <c r="G146" s="10">
        <f>CHOOSE(CONTROL!$C$42, 7.0461, 7.0461)*CHOOSE(CONTROL!$C$21, $C$9, 100%, $E$9)</f>
        <v>7.0461</v>
      </c>
      <c r="H146" s="10">
        <f>CHOOSE(CONTROL!$C$42, 7.0917, 7.0917) * CHOOSE(CONTROL!$C$21, $C$9, 100%, $E$9)</f>
        <v>7.0917000000000003</v>
      </c>
      <c r="I146" s="10">
        <f>CHOOSE(CONTROL!$C$42, 6.9823, 6.9823)* CHOOSE(CONTROL!$C$21, $C$9, 100%, $E$9)</f>
        <v>6.9823000000000004</v>
      </c>
      <c r="J146" s="10">
        <f>CHOOSE(CONTROL!$C$42, 7.0172, 7.0172)* CHOOSE(CONTROL!$C$21, $C$9, 100%, $E$9)</f>
        <v>7.0171999999999999</v>
      </c>
      <c r="K146" s="54">
        <f>CHOOSE(CONTROL!$C$42, 6.9784, 6.9784) * CHOOSE(CONTROL!$C$21, $C$9, 100%, $E$9)</f>
        <v>6.9783999999999997</v>
      </c>
      <c r="L146" s="10">
        <f>CHOOSE(CONTROL!$C$42, 7.6787, 7.6787) * CHOOSE(CONTROL!$C$21, $C$9, 100%, $E$9)</f>
        <v>7.6787000000000001</v>
      </c>
      <c r="M146" s="10">
        <f>CHOOSE(CONTROL!$C$42, 6.9602, 6.9602) * CHOOSE(CONTROL!$C$21, $C$9, 100%, $E$9)</f>
        <v>6.9602000000000004</v>
      </c>
      <c r="N146" s="10">
        <f>CHOOSE(CONTROL!$C$42, 6.9819, 6.9819) * CHOOSE(CONTROL!$C$21, $C$9, 100%, $E$9)</f>
        <v>6.9819000000000004</v>
      </c>
      <c r="O146" s="10">
        <f>CHOOSE(CONTROL!$C$42, 7.0339, 7.0339) * CHOOSE(CONTROL!$C$21, $C$9, 100%, $E$9)</f>
        <v>7.0339</v>
      </c>
      <c r="P146" s="10">
        <f>CHOOSE(CONTROL!$C$42, 6.9257, 6.9257) * CHOOSE(CONTROL!$C$21, $C$9, 100%, $E$9)</f>
        <v>6.9257</v>
      </c>
      <c r="Q146" s="10">
        <f>CHOOSE(CONTROL!$C$42, 7.6292, 7.6292) * CHOOSE(CONTROL!$C$21, $C$9, 100%, $E$9)</f>
        <v>7.6292</v>
      </c>
      <c r="R146" s="10">
        <f>CHOOSE(CONTROL!$C$42, 8.2353, 8.2353) * CHOOSE(CONTROL!$C$21, $C$9, 100%, $E$9)</f>
        <v>8.2353000000000005</v>
      </c>
      <c r="S146" s="10">
        <f>CHOOSE(CONTROL!$C$42, 6.7437, 6.7437) * CHOOSE(CONTROL!$C$21, $C$9, 100%, $E$9)</f>
        <v>6.7436999999999996</v>
      </c>
      <c r="T146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46" s="58">
        <f>(1000*CHOOSE(CONTROL!$C$42, 695, 695)*CHOOSE(CONTROL!$C$42, 0.5599, 0.5599)*CHOOSE(CONTROL!$C$42, 28, 28))/1000000</f>
        <v>10.895653999999999</v>
      </c>
      <c r="V146" s="58">
        <f>(1000*CHOOSE(CONTROL!$C$42, 500, 500)*CHOOSE(CONTROL!$C$42, 0.275, 0.275)*CHOOSE(CONTROL!$C$42, 28, 28))/1000000</f>
        <v>3.85</v>
      </c>
      <c r="W146" s="58">
        <f>(1000*CHOOSE(CONTROL!$C$42, 0.1146, 0.1146)*CHOOSE(CONTROL!$C$42, 121.5, 121.5)*CHOOSE(CONTROL!$C$42, 28, 28))/1000000</f>
        <v>0.38986920000000003</v>
      </c>
      <c r="X146" s="58">
        <f>(28*0.1790888*100000/1000000)+(28*0.2374*100000/1000000)</f>
        <v>1.16616864</v>
      </c>
      <c r="Y146" s="58"/>
      <c r="Z146" s="10"/>
      <c r="AA146" s="57"/>
      <c r="AB146" s="51">
        <f>(B146*122.58+C146*297.941+D146*89.177+E146*40.302+F146*40+G146*160+H146*0+I146*100+J146*300)/(122.58+297.941+89.177+40.302+0+40+160+100+300)</f>
        <v>7.0008656560000002</v>
      </c>
      <c r="AC146" s="27">
        <f>(M146*'RAP TEMPLATE-GAS AVAILABILITY'!O145+N146*'RAP TEMPLATE-GAS AVAILABILITY'!P145+O146*'RAP TEMPLATE-GAS AVAILABILITY'!Q145+P146*'RAP TEMPLATE-GAS AVAILABILITY'!R145)/('RAP TEMPLATE-GAS AVAILABILITY'!O145+'RAP TEMPLATE-GAS AVAILABILITY'!P145+'RAP TEMPLATE-GAS AVAILABILITY'!Q145+'RAP TEMPLATE-GAS AVAILABILITY'!R145)</f>
        <v>6.9898884892086333</v>
      </c>
    </row>
    <row r="147" spans="1:29" ht="15.75" x14ac:dyDescent="0.25">
      <c r="A147" s="16">
        <v>45717</v>
      </c>
      <c r="B147" s="10">
        <f>CHOOSE(CONTROL!$C$42, 6.7495, 6.7495) * CHOOSE(CONTROL!$C$21, $C$9, 100%, $E$9)</f>
        <v>6.7495000000000003</v>
      </c>
      <c r="C147" s="10">
        <f>CHOOSE(CONTROL!$C$42, 6.7544, 6.7544) * CHOOSE(CONTROL!$C$21, $C$9, 100%, $E$9)</f>
        <v>6.7544000000000004</v>
      </c>
      <c r="D147" s="10">
        <f>CHOOSE(CONTROL!$C$42, 6.8458, 6.8458) * CHOOSE(CONTROL!$C$21, $C$9, 100%, $E$9)</f>
        <v>6.8457999999999997</v>
      </c>
      <c r="E147" s="10">
        <f>CHOOSE(CONTROL!$C$42, 6.8796, 6.8796) * CHOOSE(CONTROL!$C$21, $C$9, 100%, $E$9)</f>
        <v>6.8795999999999999</v>
      </c>
      <c r="F147" s="10">
        <f>CHOOSE(CONTROL!$C$42, 6.7793, 6.7793)*CHOOSE(CONTROL!$C$21, $C$9, 100%, $E$9)</f>
        <v>6.7793000000000001</v>
      </c>
      <c r="G147" s="10">
        <f>CHOOSE(CONTROL!$C$42, 6.7988, 6.7988)*CHOOSE(CONTROL!$C$21, $C$9, 100%, $E$9)</f>
        <v>6.7988</v>
      </c>
      <c r="H147" s="10">
        <f>CHOOSE(CONTROL!$C$42, 6.8688, 6.8688) * CHOOSE(CONTROL!$C$21, $C$9, 100%, $E$9)</f>
        <v>6.8688000000000002</v>
      </c>
      <c r="I147" s="10">
        <f>CHOOSE(CONTROL!$C$42, 6.7723, 6.7723)* CHOOSE(CONTROL!$C$21, $C$9, 100%, $E$9)</f>
        <v>6.7723000000000004</v>
      </c>
      <c r="J147" s="10">
        <f>CHOOSE(CONTROL!$C$42, 6.7723, 6.7723)* CHOOSE(CONTROL!$C$21, $C$9, 100%, $E$9)</f>
        <v>6.7723000000000004</v>
      </c>
      <c r="K147" s="54">
        <f>CHOOSE(CONTROL!$C$42, 6.7684, 6.7684) * CHOOSE(CONTROL!$C$21, $C$9, 100%, $E$9)</f>
        <v>6.7683999999999997</v>
      </c>
      <c r="L147" s="10">
        <f>CHOOSE(CONTROL!$C$42, 7.4558, 7.4558) * CHOOSE(CONTROL!$C$21, $C$9, 100%, $E$9)</f>
        <v>7.4558</v>
      </c>
      <c r="M147" s="10">
        <f>CHOOSE(CONTROL!$C$42, 6.7178, 6.7178) * CHOOSE(CONTROL!$C$21, $C$9, 100%, $E$9)</f>
        <v>6.7178000000000004</v>
      </c>
      <c r="N147" s="10">
        <f>CHOOSE(CONTROL!$C$42, 6.7371, 6.7371) * CHOOSE(CONTROL!$C$21, $C$9, 100%, $E$9)</f>
        <v>6.7370999999999999</v>
      </c>
      <c r="O147" s="10">
        <f>CHOOSE(CONTROL!$C$42, 6.8133, 6.8133) * CHOOSE(CONTROL!$C$21, $C$9, 100%, $E$9)</f>
        <v>6.8132999999999999</v>
      </c>
      <c r="P147" s="10">
        <f>CHOOSE(CONTROL!$C$42, 6.7178, 6.7178) * CHOOSE(CONTROL!$C$21, $C$9, 100%, $E$9)</f>
        <v>6.7178000000000004</v>
      </c>
      <c r="Q147" s="10">
        <f>CHOOSE(CONTROL!$C$42, 7.4086, 7.4086) * CHOOSE(CONTROL!$C$21, $C$9, 100%, $E$9)</f>
        <v>7.4085999999999999</v>
      </c>
      <c r="R147" s="10">
        <f>CHOOSE(CONTROL!$C$42, 8.0141, 8.0141) * CHOOSE(CONTROL!$C$21, $C$9, 100%, $E$9)</f>
        <v>8.0140999999999991</v>
      </c>
      <c r="S147" s="10">
        <f>CHOOSE(CONTROL!$C$42, 6.5523, 6.5523) * CHOOSE(CONTROL!$C$21, $C$9, 100%, $E$9)</f>
        <v>6.5522999999999998</v>
      </c>
      <c r="T147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47" s="58">
        <f>(1000*CHOOSE(CONTROL!$C$42, 695, 695)*CHOOSE(CONTROL!$C$42, 0.5599, 0.5599)*CHOOSE(CONTROL!$C$42, 31, 31))/1000000</f>
        <v>12.063045499999998</v>
      </c>
      <c r="V147" s="58">
        <f>(1000*CHOOSE(CONTROL!$C$42, 500, 500)*CHOOSE(CONTROL!$C$42, 0.275, 0.275)*CHOOSE(CONTROL!$C$42, 31, 31))/1000000</f>
        <v>4.2625000000000002</v>
      </c>
      <c r="W147" s="58">
        <f>(1000*CHOOSE(CONTROL!$C$42, 0.1146, 0.1146)*CHOOSE(CONTROL!$C$42, 121.5, 121.5)*CHOOSE(CONTROL!$C$42, 31, 31))/1000000</f>
        <v>0.43164089999999994</v>
      </c>
      <c r="X147" s="58">
        <f>(31*0.1790888*100000/1000000)+(31*0.2374*100000/1000000)</f>
        <v>1.2911152800000001</v>
      </c>
      <c r="Y147" s="58"/>
      <c r="Z147" s="10"/>
      <c r="AA147" s="57"/>
      <c r="AB147" s="51">
        <f>(B147*122.58+C147*297.941+D147*89.177+E147*40.302+F147*40+G147*160+H147*0+I147*100+J147*300)/(122.58+297.941+89.177+40.302+0+40+160+100+300)</f>
        <v>6.7786225619130445</v>
      </c>
      <c r="AC147" s="27">
        <f>(M147*'RAP TEMPLATE-GAS AVAILABILITY'!O146+N147*'RAP TEMPLATE-GAS AVAILABILITY'!P146+O147*'RAP TEMPLATE-GAS AVAILABILITY'!Q146+P147*'RAP TEMPLATE-GAS AVAILABILITY'!R146)/('RAP TEMPLATE-GAS AVAILABILITY'!O146+'RAP TEMPLATE-GAS AVAILABILITY'!P146+'RAP TEMPLATE-GAS AVAILABILITY'!Q146+'RAP TEMPLATE-GAS AVAILABILITY'!R146)</f>
        <v>6.762194964028776</v>
      </c>
    </row>
    <row r="148" spans="1:29" ht="15.75" x14ac:dyDescent="0.25">
      <c r="A148" s="16">
        <v>45748</v>
      </c>
      <c r="B148" s="10">
        <f>CHOOSE(CONTROL!$C$42, 6.73, 6.73) * CHOOSE(CONTROL!$C$21, $C$9, 100%, $E$9)</f>
        <v>6.73</v>
      </c>
      <c r="C148" s="10">
        <f>CHOOSE(CONTROL!$C$42, 6.7344, 6.7344) * CHOOSE(CONTROL!$C$21, $C$9, 100%, $E$9)</f>
        <v>6.7343999999999999</v>
      </c>
      <c r="D148" s="10">
        <f>CHOOSE(CONTROL!$C$42, 6.9161, 6.9161) * CHOOSE(CONTROL!$C$21, $C$9, 100%, $E$9)</f>
        <v>6.9161000000000001</v>
      </c>
      <c r="E148" s="10">
        <f>CHOOSE(CONTROL!$C$42, 6.9479, 6.9479) * CHOOSE(CONTROL!$C$21, $C$9, 100%, $E$9)</f>
        <v>6.9478999999999997</v>
      </c>
      <c r="F148" s="10">
        <f>CHOOSE(CONTROL!$C$42, 6.7184, 6.7184)*CHOOSE(CONTROL!$C$21, $C$9, 100%, $E$9)</f>
        <v>6.7183999999999999</v>
      </c>
      <c r="G148" s="10">
        <f>CHOOSE(CONTROL!$C$42, 6.7364, 6.7364)*CHOOSE(CONTROL!$C$21, $C$9, 100%, $E$9)</f>
        <v>6.7363999999999997</v>
      </c>
      <c r="H148" s="10">
        <f>CHOOSE(CONTROL!$C$42, 6.9377, 6.9377) * CHOOSE(CONTROL!$C$21, $C$9, 100%, $E$9)</f>
        <v>6.9377000000000004</v>
      </c>
      <c r="I148" s="10">
        <f>CHOOSE(CONTROL!$C$42, 6.7083, 6.7083)* CHOOSE(CONTROL!$C$21, $C$9, 100%, $E$9)</f>
        <v>6.7083000000000004</v>
      </c>
      <c r="J148" s="10">
        <f>CHOOSE(CONTROL!$C$42, 6.7114, 6.7114)* CHOOSE(CONTROL!$C$21, $C$9, 100%, $E$9)</f>
        <v>6.7114000000000003</v>
      </c>
      <c r="K148" s="54">
        <f>CHOOSE(CONTROL!$C$42, 6.7044, 6.7044) * CHOOSE(CONTROL!$C$21, $C$9, 100%, $E$9)</f>
        <v>6.7043999999999997</v>
      </c>
      <c r="L148" s="10">
        <f>CHOOSE(CONTROL!$C$42, 7.5247, 7.5247) * CHOOSE(CONTROL!$C$21, $C$9, 100%, $E$9)</f>
        <v>7.5247000000000002</v>
      </c>
      <c r="M148" s="10">
        <f>CHOOSE(CONTROL!$C$42, 6.6575, 6.6575) * CHOOSE(CONTROL!$C$21, $C$9, 100%, $E$9)</f>
        <v>6.6574999999999998</v>
      </c>
      <c r="N148" s="10">
        <f>CHOOSE(CONTROL!$C$42, 6.6753, 6.6753) * CHOOSE(CONTROL!$C$21, $C$9, 100%, $E$9)</f>
        <v>6.6753</v>
      </c>
      <c r="O148" s="10">
        <f>CHOOSE(CONTROL!$C$42, 6.8815, 6.8815) * CHOOSE(CONTROL!$C$21, $C$9, 100%, $E$9)</f>
        <v>6.8815</v>
      </c>
      <c r="P148" s="10">
        <f>CHOOSE(CONTROL!$C$42, 6.6545, 6.6545) * CHOOSE(CONTROL!$C$21, $C$9, 100%, $E$9)</f>
        <v>6.6544999999999996</v>
      </c>
      <c r="Q148" s="10">
        <f>CHOOSE(CONTROL!$C$42, 7.4768, 7.4768) * CHOOSE(CONTROL!$C$21, $C$9, 100%, $E$9)</f>
        <v>7.4767999999999999</v>
      </c>
      <c r="R148" s="10">
        <f>CHOOSE(CONTROL!$C$42, 8.0825, 8.0825) * CHOOSE(CONTROL!$C$21, $C$9, 100%, $E$9)</f>
        <v>8.0824999999999996</v>
      </c>
      <c r="S148" s="10">
        <f>CHOOSE(CONTROL!$C$42, 6.5326, 6.5326) * CHOOSE(CONTROL!$C$21, $C$9, 100%, $E$9)</f>
        <v>6.5326000000000004</v>
      </c>
      <c r="T148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48" s="58">
        <f>(1000*CHOOSE(CONTROL!$C$42, 695, 695)*CHOOSE(CONTROL!$C$42, 0.5599, 0.5599)*CHOOSE(CONTROL!$C$42, 30, 30))/1000000</f>
        <v>11.673914999999997</v>
      </c>
      <c r="V148" s="58">
        <f>(1000*CHOOSE(CONTROL!$C$42, 500, 500)*CHOOSE(CONTROL!$C$42, 0.275, 0.275)*CHOOSE(CONTROL!$C$42, 30, 30))/1000000</f>
        <v>4.125</v>
      </c>
      <c r="W148" s="58">
        <f>(1000*CHOOSE(CONTROL!$C$42, 0.1146, 0.1146)*CHOOSE(CONTROL!$C$42, 121.5, 121.5)*CHOOSE(CONTROL!$C$42, 30, 30))/1000000</f>
        <v>0.417717</v>
      </c>
      <c r="X148" s="58">
        <f>(30*0.1790888*245000/1000000)+(30*0.2374*100000/1000000)</f>
        <v>2.0285026799999999</v>
      </c>
      <c r="Y148" s="58"/>
      <c r="Z148" s="10"/>
      <c r="AA148" s="57"/>
      <c r="AB148" s="51">
        <f>(B148*141.293+C148*267.993+D148*115.016+E148*89.698+F148*40+G148*185+H148*0+I148*100+J148*300)/(141.293+267.993+115.016+89.698+0+40+185+100+300)</f>
        <v>6.7583283623890233</v>
      </c>
      <c r="AC148" s="27">
        <f>(M148*'RAP TEMPLATE-GAS AVAILABILITY'!O147+N148*'RAP TEMPLATE-GAS AVAILABILITY'!P147+O148*'RAP TEMPLATE-GAS AVAILABILITY'!Q147+P148*'RAP TEMPLATE-GAS AVAILABILITY'!R147)/('RAP TEMPLATE-GAS AVAILABILITY'!O147+'RAP TEMPLATE-GAS AVAILABILITY'!P147+'RAP TEMPLATE-GAS AVAILABILITY'!Q147+'RAP TEMPLATE-GAS AVAILABILITY'!R147)</f>
        <v>6.7240151079136687</v>
      </c>
    </row>
    <row r="149" spans="1:29" ht="15.75" x14ac:dyDescent="0.25">
      <c r="A149" s="16">
        <v>45778</v>
      </c>
      <c r="B149" s="10">
        <f>CHOOSE(CONTROL!$C$42, 6.7912, 6.7912) * CHOOSE(CONTROL!$C$21, $C$9, 100%, $E$9)</f>
        <v>6.7911999999999999</v>
      </c>
      <c r="C149" s="10">
        <f>CHOOSE(CONTROL!$C$42, 6.7991, 6.7991) * CHOOSE(CONTROL!$C$21, $C$9, 100%, $E$9)</f>
        <v>6.7991000000000001</v>
      </c>
      <c r="D149" s="10">
        <f>CHOOSE(CONTROL!$C$42, 6.9776, 6.9776) * CHOOSE(CONTROL!$C$21, $C$9, 100%, $E$9)</f>
        <v>6.9775999999999998</v>
      </c>
      <c r="E149" s="10">
        <f>CHOOSE(CONTROL!$C$42, 7.0088, 7.0088) * CHOOSE(CONTROL!$C$21, $C$9, 100%, $E$9)</f>
        <v>7.0087999999999999</v>
      </c>
      <c r="F149" s="10">
        <f>CHOOSE(CONTROL!$C$42, 6.7774, 6.7774)*CHOOSE(CONTROL!$C$21, $C$9, 100%, $E$9)</f>
        <v>6.7774000000000001</v>
      </c>
      <c r="G149" s="10">
        <f>CHOOSE(CONTROL!$C$42, 6.7955, 6.7955)*CHOOSE(CONTROL!$C$21, $C$9, 100%, $E$9)</f>
        <v>6.7954999999999997</v>
      </c>
      <c r="H149" s="10">
        <f>CHOOSE(CONTROL!$C$42, 6.9974, 6.9974) * CHOOSE(CONTROL!$C$21, $C$9, 100%, $E$9)</f>
        <v>6.9973999999999998</v>
      </c>
      <c r="I149" s="10">
        <f>CHOOSE(CONTROL!$C$42, 6.7681, 6.7681)* CHOOSE(CONTROL!$C$21, $C$9, 100%, $E$9)</f>
        <v>6.7680999999999996</v>
      </c>
      <c r="J149" s="10">
        <f>CHOOSE(CONTROL!$C$42, 6.7704, 6.7704)* CHOOSE(CONTROL!$C$21, $C$9, 100%, $E$9)</f>
        <v>6.7704000000000004</v>
      </c>
      <c r="K149" s="54">
        <f>CHOOSE(CONTROL!$C$42, 6.7642, 6.7642) * CHOOSE(CONTROL!$C$21, $C$9, 100%, $E$9)</f>
        <v>6.7641999999999998</v>
      </c>
      <c r="L149" s="10">
        <f>CHOOSE(CONTROL!$C$42, 7.5844, 7.5844) * CHOOSE(CONTROL!$C$21, $C$9, 100%, $E$9)</f>
        <v>7.5843999999999996</v>
      </c>
      <c r="M149" s="10">
        <f>CHOOSE(CONTROL!$C$42, 6.7159, 6.7159) * CHOOSE(CONTROL!$C$21, $C$9, 100%, $E$9)</f>
        <v>6.7159000000000004</v>
      </c>
      <c r="N149" s="10">
        <f>CHOOSE(CONTROL!$C$42, 6.7339, 6.7339) * CHOOSE(CONTROL!$C$21, $C$9, 100%, $E$9)</f>
        <v>6.7339000000000002</v>
      </c>
      <c r="O149" s="10">
        <f>CHOOSE(CONTROL!$C$42, 6.9406, 6.9406) * CHOOSE(CONTROL!$C$21, $C$9, 100%, $E$9)</f>
        <v>6.9405999999999999</v>
      </c>
      <c r="P149" s="10">
        <f>CHOOSE(CONTROL!$C$42, 6.7136, 6.7136) * CHOOSE(CONTROL!$C$21, $C$9, 100%, $E$9)</f>
        <v>6.7135999999999996</v>
      </c>
      <c r="Q149" s="10">
        <f>CHOOSE(CONTROL!$C$42, 7.5359, 7.5359) * CHOOSE(CONTROL!$C$21, $C$9, 100%, $E$9)</f>
        <v>7.5358999999999998</v>
      </c>
      <c r="R149" s="10">
        <f>CHOOSE(CONTROL!$C$42, 8.1418, 8.1418) * CHOOSE(CONTROL!$C$21, $C$9, 100%, $E$9)</f>
        <v>8.1417999999999999</v>
      </c>
      <c r="S149" s="10">
        <f>CHOOSE(CONTROL!$C$42, 6.5907, 6.5907) * CHOOSE(CONTROL!$C$21, $C$9, 100%, $E$9)</f>
        <v>6.5907</v>
      </c>
      <c r="T149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49" s="58">
        <f>(1000*CHOOSE(CONTROL!$C$42, 695, 695)*CHOOSE(CONTROL!$C$42, 0.5599, 0.5599)*CHOOSE(CONTROL!$C$42, 31, 31))/1000000</f>
        <v>12.063045499999998</v>
      </c>
      <c r="V149" s="58">
        <f>(1000*CHOOSE(CONTROL!$C$42, 500, 500)*CHOOSE(CONTROL!$C$42, 0.275, 0.275)*CHOOSE(CONTROL!$C$42, 31, 31))/1000000</f>
        <v>4.2625000000000002</v>
      </c>
      <c r="W149" s="58">
        <f>(1000*CHOOSE(CONTROL!$C$42, 0.1146, 0.1146)*CHOOSE(CONTROL!$C$42, 121.5, 121.5)*CHOOSE(CONTROL!$C$42, 31, 31))/1000000</f>
        <v>0.43164089999999994</v>
      </c>
      <c r="X149" s="58">
        <f>(31*0.1790888*245000/1000000)+(31*0.2374*100000/1000000)</f>
        <v>2.0961194359999999</v>
      </c>
      <c r="Y149" s="58"/>
      <c r="Z149" s="10"/>
      <c r="AA149" s="57"/>
      <c r="AB149" s="51">
        <f>(B149*194.205+C149*267.466+D149*133.845+E149*53.484+F149*40+G149*185+H149*0+I149*100+J149*300)/(194.205+267.466+133.845+53.484+0+40+185+100+300)</f>
        <v>6.8150565995290426</v>
      </c>
      <c r="AC149" s="27">
        <f>(M149*'RAP TEMPLATE-GAS AVAILABILITY'!O148+N149*'RAP TEMPLATE-GAS AVAILABILITY'!P148+O149*'RAP TEMPLATE-GAS AVAILABILITY'!Q148+P149*'RAP TEMPLATE-GAS AVAILABILITY'!R148)/('RAP TEMPLATE-GAS AVAILABILITY'!O148+'RAP TEMPLATE-GAS AVAILABILITY'!P148+'RAP TEMPLATE-GAS AVAILABILITY'!Q148+'RAP TEMPLATE-GAS AVAILABILITY'!R148)</f>
        <v>6.7827582733812948</v>
      </c>
    </row>
    <row r="150" spans="1:29" ht="15.75" x14ac:dyDescent="0.25">
      <c r="A150" s="16">
        <v>45809</v>
      </c>
      <c r="B150" s="10">
        <f>CHOOSE(CONTROL!$C$42, 6.9837, 6.9837) * CHOOSE(CONTROL!$C$21, $C$9, 100%, $E$9)</f>
        <v>6.9836999999999998</v>
      </c>
      <c r="C150" s="10">
        <f>CHOOSE(CONTROL!$C$42, 6.9916, 6.9916) * CHOOSE(CONTROL!$C$21, $C$9, 100%, $E$9)</f>
        <v>6.9916</v>
      </c>
      <c r="D150" s="10">
        <f>CHOOSE(CONTROL!$C$42, 7.1701, 7.1701) * CHOOSE(CONTROL!$C$21, $C$9, 100%, $E$9)</f>
        <v>7.1700999999999997</v>
      </c>
      <c r="E150" s="10">
        <f>CHOOSE(CONTROL!$C$42, 7.2013, 7.2013) * CHOOSE(CONTROL!$C$21, $C$9, 100%, $E$9)</f>
        <v>7.2012999999999998</v>
      </c>
      <c r="F150" s="10">
        <f>CHOOSE(CONTROL!$C$42, 6.9701, 6.9701)*CHOOSE(CONTROL!$C$21, $C$9, 100%, $E$9)</f>
        <v>6.9701000000000004</v>
      </c>
      <c r="G150" s="10">
        <f>CHOOSE(CONTROL!$C$42, 6.9883, 6.9883)*CHOOSE(CONTROL!$C$21, $C$9, 100%, $E$9)</f>
        <v>6.9882999999999997</v>
      </c>
      <c r="H150" s="10">
        <f>CHOOSE(CONTROL!$C$42, 7.1899, 7.1899) * CHOOSE(CONTROL!$C$21, $C$9, 100%, $E$9)</f>
        <v>7.1898999999999997</v>
      </c>
      <c r="I150" s="10">
        <f>CHOOSE(CONTROL!$C$42, 6.9605, 6.9605)* CHOOSE(CONTROL!$C$21, $C$9, 100%, $E$9)</f>
        <v>6.9604999999999997</v>
      </c>
      <c r="J150" s="10">
        <f>CHOOSE(CONTROL!$C$42, 6.9631, 6.9631)* CHOOSE(CONTROL!$C$21, $C$9, 100%, $E$9)</f>
        <v>6.9630999999999998</v>
      </c>
      <c r="K150" s="54">
        <f>CHOOSE(CONTROL!$C$42, 6.9567, 6.9567) * CHOOSE(CONTROL!$C$21, $C$9, 100%, $E$9)</f>
        <v>6.9566999999999997</v>
      </c>
      <c r="L150" s="10">
        <f>CHOOSE(CONTROL!$C$42, 7.7769, 7.7769) * CHOOSE(CONTROL!$C$21, $C$9, 100%, $E$9)</f>
        <v>7.7769000000000004</v>
      </c>
      <c r="M150" s="10">
        <f>CHOOSE(CONTROL!$C$42, 6.9067, 6.9067) * CHOOSE(CONTROL!$C$21, $C$9, 100%, $E$9)</f>
        <v>6.9066999999999998</v>
      </c>
      <c r="N150" s="10">
        <f>CHOOSE(CONTROL!$C$42, 6.9247, 6.9247) * CHOOSE(CONTROL!$C$21, $C$9, 100%, $E$9)</f>
        <v>6.9246999999999996</v>
      </c>
      <c r="O150" s="10">
        <f>CHOOSE(CONTROL!$C$42, 7.1312, 7.1312) * CHOOSE(CONTROL!$C$21, $C$9, 100%, $E$9)</f>
        <v>7.1311999999999998</v>
      </c>
      <c r="P150" s="10">
        <f>CHOOSE(CONTROL!$C$42, 6.9042, 6.9042) * CHOOSE(CONTROL!$C$21, $C$9, 100%, $E$9)</f>
        <v>6.9042000000000003</v>
      </c>
      <c r="Q150" s="10">
        <f>CHOOSE(CONTROL!$C$42, 7.7265, 7.7265) * CHOOSE(CONTROL!$C$21, $C$9, 100%, $E$9)</f>
        <v>7.7264999999999997</v>
      </c>
      <c r="R150" s="10">
        <f>CHOOSE(CONTROL!$C$42, 8.3328, 8.3328) * CHOOSE(CONTROL!$C$21, $C$9, 100%, $E$9)</f>
        <v>8.3328000000000007</v>
      </c>
      <c r="S150" s="10">
        <f>CHOOSE(CONTROL!$C$42, 6.7776, 6.7776) * CHOOSE(CONTROL!$C$21, $C$9, 100%, $E$9)</f>
        <v>6.7775999999999996</v>
      </c>
      <c r="T150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50" s="58">
        <f>(1000*CHOOSE(CONTROL!$C$42, 695, 695)*CHOOSE(CONTROL!$C$42, 0.5599, 0.5599)*CHOOSE(CONTROL!$C$42, 30, 30))/1000000</f>
        <v>11.673914999999997</v>
      </c>
      <c r="V150" s="58">
        <f>(1000*CHOOSE(CONTROL!$C$42, 500, 500)*CHOOSE(CONTROL!$C$42, 0.275, 0.275)*CHOOSE(CONTROL!$C$42, 30, 30))/1000000</f>
        <v>4.125</v>
      </c>
      <c r="W150" s="58">
        <f>(1000*CHOOSE(CONTROL!$C$42, 0.1146, 0.1146)*CHOOSE(CONTROL!$C$42, 121.5, 121.5)*CHOOSE(CONTROL!$C$42, 30, 30))/1000000</f>
        <v>0.417717</v>
      </c>
      <c r="X150" s="58">
        <f>(30*0.1790888*245000/1000000)+(30*0.2374*100000/1000000)</f>
        <v>2.0285026799999999</v>
      </c>
      <c r="Y150" s="58"/>
      <c r="Z150" s="10"/>
      <c r="AA150" s="57"/>
      <c r="AB150" s="51">
        <f>(B150*194.205+C150*267.466+D150*133.845+E150*53.484+F150*40+G150*185+H150*0+I150*100+J150*300)/(194.205+267.466+133.845+53.484+0+40+185+100+300)</f>
        <v>7.0076456890109897</v>
      </c>
      <c r="AC150" s="27">
        <f>(M150*'RAP TEMPLATE-GAS AVAILABILITY'!O149+N150*'RAP TEMPLATE-GAS AVAILABILITY'!P149+O150*'RAP TEMPLATE-GAS AVAILABILITY'!Q149+P150*'RAP TEMPLATE-GAS AVAILABILITY'!R149)/('RAP TEMPLATE-GAS AVAILABILITY'!O149+'RAP TEMPLATE-GAS AVAILABILITY'!P149+'RAP TEMPLATE-GAS AVAILABILITY'!Q149+'RAP TEMPLATE-GAS AVAILABILITY'!R149)</f>
        <v>6.9734733812949647</v>
      </c>
    </row>
    <row r="151" spans="1:29" ht="15.75" x14ac:dyDescent="0.25">
      <c r="A151" s="16">
        <v>45839</v>
      </c>
      <c r="B151" s="10">
        <f>CHOOSE(CONTROL!$C$42, 6.8498, 6.8498) * CHOOSE(CONTROL!$C$21, $C$9, 100%, $E$9)</f>
        <v>6.8498000000000001</v>
      </c>
      <c r="C151" s="10">
        <f>CHOOSE(CONTROL!$C$42, 6.8577, 6.8577) * CHOOSE(CONTROL!$C$21, $C$9, 100%, $E$9)</f>
        <v>6.8577000000000004</v>
      </c>
      <c r="D151" s="10">
        <f>CHOOSE(CONTROL!$C$42, 7.0363, 7.0363) * CHOOSE(CONTROL!$C$21, $C$9, 100%, $E$9)</f>
        <v>7.0362999999999998</v>
      </c>
      <c r="E151" s="10">
        <f>CHOOSE(CONTROL!$C$42, 7.0674, 7.0674) * CHOOSE(CONTROL!$C$21, $C$9, 100%, $E$9)</f>
        <v>7.0674000000000001</v>
      </c>
      <c r="F151" s="10">
        <f>CHOOSE(CONTROL!$C$42, 6.8365, 6.8365)*CHOOSE(CONTROL!$C$21, $C$9, 100%, $E$9)</f>
        <v>6.8365</v>
      </c>
      <c r="G151" s="10">
        <f>CHOOSE(CONTROL!$C$42, 6.8548, 6.8548)*CHOOSE(CONTROL!$C$21, $C$9, 100%, $E$9)</f>
        <v>6.8548</v>
      </c>
      <c r="H151" s="10">
        <f>CHOOSE(CONTROL!$C$42, 7.056, 7.056) * CHOOSE(CONTROL!$C$21, $C$9, 100%, $E$9)</f>
        <v>7.056</v>
      </c>
      <c r="I151" s="10">
        <f>CHOOSE(CONTROL!$C$42, 6.8267, 6.8267)* CHOOSE(CONTROL!$C$21, $C$9, 100%, $E$9)</f>
        <v>6.8266999999999998</v>
      </c>
      <c r="J151" s="10">
        <f>CHOOSE(CONTROL!$C$42, 6.8295, 6.8295)* CHOOSE(CONTROL!$C$21, $C$9, 100%, $E$9)</f>
        <v>6.8295000000000003</v>
      </c>
      <c r="K151" s="54">
        <f>CHOOSE(CONTROL!$C$42, 6.8228, 6.8228) * CHOOSE(CONTROL!$C$21, $C$9, 100%, $E$9)</f>
        <v>6.8228</v>
      </c>
      <c r="L151" s="10">
        <f>CHOOSE(CONTROL!$C$42, 7.643, 7.643) * CHOOSE(CONTROL!$C$21, $C$9, 100%, $E$9)</f>
        <v>7.6429999999999998</v>
      </c>
      <c r="M151" s="10">
        <f>CHOOSE(CONTROL!$C$42, 6.7744, 6.7744) * CHOOSE(CONTROL!$C$21, $C$9, 100%, $E$9)</f>
        <v>6.7744</v>
      </c>
      <c r="N151" s="10">
        <f>CHOOSE(CONTROL!$C$42, 6.7925, 6.7925) * CHOOSE(CONTROL!$C$21, $C$9, 100%, $E$9)</f>
        <v>6.7925000000000004</v>
      </c>
      <c r="O151" s="10">
        <f>CHOOSE(CONTROL!$C$42, 6.9986, 6.9986) * CHOOSE(CONTROL!$C$21, $C$9, 100%, $E$9)</f>
        <v>6.9985999999999997</v>
      </c>
      <c r="P151" s="10">
        <f>CHOOSE(CONTROL!$C$42, 6.7716, 6.7716) * CHOOSE(CONTROL!$C$21, $C$9, 100%, $E$9)</f>
        <v>6.7716000000000003</v>
      </c>
      <c r="Q151" s="10">
        <f>CHOOSE(CONTROL!$C$42, 7.5939, 7.5939) * CHOOSE(CONTROL!$C$21, $C$9, 100%, $E$9)</f>
        <v>7.5938999999999997</v>
      </c>
      <c r="R151" s="10">
        <f>CHOOSE(CONTROL!$C$42, 8.1999, 8.1999) * CHOOSE(CONTROL!$C$21, $C$9, 100%, $E$9)</f>
        <v>8.1998999999999995</v>
      </c>
      <c r="S151" s="10">
        <f>CHOOSE(CONTROL!$C$42, 6.6476, 6.6476) * CHOOSE(CONTROL!$C$21, $C$9, 100%, $E$9)</f>
        <v>6.6475999999999997</v>
      </c>
      <c r="T151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51" s="58">
        <f>(1000*CHOOSE(CONTROL!$C$42, 695, 695)*CHOOSE(CONTROL!$C$42, 0.5599, 0.5599)*CHOOSE(CONTROL!$C$42, 31, 31))/1000000</f>
        <v>12.063045499999998</v>
      </c>
      <c r="V151" s="58">
        <f>(1000*CHOOSE(CONTROL!$C$42, 500, 500)*CHOOSE(CONTROL!$C$42, 0.275, 0.275)*CHOOSE(CONTROL!$C$42, 31, 31))/1000000</f>
        <v>4.2625000000000002</v>
      </c>
      <c r="W151" s="58">
        <f>(1000*CHOOSE(CONTROL!$C$42, 0.1146, 0.1146)*CHOOSE(CONTROL!$C$42, 121.5, 121.5)*CHOOSE(CONTROL!$C$42, 31, 31))/1000000</f>
        <v>0.43164089999999994</v>
      </c>
      <c r="X151" s="58">
        <f>(31*0.1790888*245000/1000000)+(31*0.2374*100000/1000000)</f>
        <v>2.0961194359999999</v>
      </c>
      <c r="Y151" s="58"/>
      <c r="Z151" s="10"/>
      <c r="AA151" s="57"/>
      <c r="AB151" s="51">
        <f>(B151*194.205+C151*267.466+D151*133.845+E151*53.484+F151*40+G151*185+H151*0+I151*100+J151*300)/(194.205+267.466+133.845+53.484+0+40+185+100+300)</f>
        <v>6.8739021917582415</v>
      </c>
      <c r="AC151" s="27">
        <f>(M151*'RAP TEMPLATE-GAS AVAILABILITY'!O150+N151*'RAP TEMPLATE-GAS AVAILABILITY'!P150+O151*'RAP TEMPLATE-GAS AVAILABILITY'!Q150+P151*'RAP TEMPLATE-GAS AVAILABILITY'!R150)/('RAP TEMPLATE-GAS AVAILABILITY'!O150+'RAP TEMPLATE-GAS AVAILABILITY'!P150+'RAP TEMPLATE-GAS AVAILABILITY'!Q150+'RAP TEMPLATE-GAS AVAILABILITY'!R150)</f>
        <v>6.8410690647482006</v>
      </c>
    </row>
    <row r="152" spans="1:29" ht="15.75" x14ac:dyDescent="0.25">
      <c r="A152" s="16">
        <v>45870</v>
      </c>
      <c r="B152" s="10">
        <f>CHOOSE(CONTROL!$C$42, 6.5117, 6.5117) * CHOOSE(CONTROL!$C$21, $C$9, 100%, $E$9)</f>
        <v>6.5117000000000003</v>
      </c>
      <c r="C152" s="10">
        <f>CHOOSE(CONTROL!$C$42, 6.5196, 6.5196) * CHOOSE(CONTROL!$C$21, $C$9, 100%, $E$9)</f>
        <v>6.5195999999999996</v>
      </c>
      <c r="D152" s="10">
        <f>CHOOSE(CONTROL!$C$42, 6.6982, 6.6982) * CHOOSE(CONTROL!$C$21, $C$9, 100%, $E$9)</f>
        <v>6.6981999999999999</v>
      </c>
      <c r="E152" s="10">
        <f>CHOOSE(CONTROL!$C$42, 6.7293, 6.7293) * CHOOSE(CONTROL!$C$21, $C$9, 100%, $E$9)</f>
        <v>6.7293000000000003</v>
      </c>
      <c r="F152" s="10">
        <f>CHOOSE(CONTROL!$C$42, 6.4984, 6.4984)*CHOOSE(CONTROL!$C$21, $C$9, 100%, $E$9)</f>
        <v>6.4984000000000002</v>
      </c>
      <c r="G152" s="10">
        <f>CHOOSE(CONTROL!$C$42, 6.5167, 6.5167)*CHOOSE(CONTROL!$C$21, $C$9, 100%, $E$9)</f>
        <v>6.5167000000000002</v>
      </c>
      <c r="H152" s="10">
        <f>CHOOSE(CONTROL!$C$42, 6.7179, 6.7179) * CHOOSE(CONTROL!$C$21, $C$9, 100%, $E$9)</f>
        <v>6.7179000000000002</v>
      </c>
      <c r="I152" s="10">
        <f>CHOOSE(CONTROL!$C$42, 6.4886, 6.4886)* CHOOSE(CONTROL!$C$21, $C$9, 100%, $E$9)</f>
        <v>6.4885999999999999</v>
      </c>
      <c r="J152" s="10">
        <f>CHOOSE(CONTROL!$C$42, 6.4914, 6.4914)* CHOOSE(CONTROL!$C$21, $C$9, 100%, $E$9)</f>
        <v>6.4913999999999996</v>
      </c>
      <c r="K152" s="54">
        <f>CHOOSE(CONTROL!$C$42, 6.4847, 6.4847) * CHOOSE(CONTROL!$C$21, $C$9, 100%, $E$9)</f>
        <v>6.4847000000000001</v>
      </c>
      <c r="L152" s="10">
        <f>CHOOSE(CONTROL!$C$42, 7.3049, 7.3049) * CHOOSE(CONTROL!$C$21, $C$9, 100%, $E$9)</f>
        <v>7.3048999999999999</v>
      </c>
      <c r="M152" s="10">
        <f>CHOOSE(CONTROL!$C$42, 6.4397, 6.4397) * CHOOSE(CONTROL!$C$21, $C$9, 100%, $E$9)</f>
        <v>6.4397000000000002</v>
      </c>
      <c r="N152" s="10">
        <f>CHOOSE(CONTROL!$C$42, 6.4578, 6.4578) * CHOOSE(CONTROL!$C$21, $C$9, 100%, $E$9)</f>
        <v>6.4577999999999998</v>
      </c>
      <c r="O152" s="10">
        <f>CHOOSE(CONTROL!$C$42, 6.664, 6.664) * CHOOSE(CONTROL!$C$21, $C$9, 100%, $E$9)</f>
        <v>6.6639999999999997</v>
      </c>
      <c r="P152" s="10">
        <f>CHOOSE(CONTROL!$C$42, 6.437, 6.437) * CHOOSE(CONTROL!$C$21, $C$9, 100%, $E$9)</f>
        <v>6.4370000000000003</v>
      </c>
      <c r="Q152" s="10">
        <f>CHOOSE(CONTROL!$C$42, 7.2593, 7.2593) * CHOOSE(CONTROL!$C$21, $C$9, 100%, $E$9)</f>
        <v>7.2592999999999996</v>
      </c>
      <c r="R152" s="10">
        <f>CHOOSE(CONTROL!$C$42, 7.8644, 7.8644) * CHOOSE(CONTROL!$C$21, $C$9, 100%, $E$9)</f>
        <v>7.8643999999999998</v>
      </c>
      <c r="S152" s="10">
        <f>CHOOSE(CONTROL!$C$42, 6.3193, 6.3193) * CHOOSE(CONTROL!$C$21, $C$9, 100%, $E$9)</f>
        <v>6.3193000000000001</v>
      </c>
      <c r="T152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52" s="58">
        <f>(1000*CHOOSE(CONTROL!$C$42, 695, 695)*CHOOSE(CONTROL!$C$42, 0.5599, 0.5599)*CHOOSE(CONTROL!$C$42, 31, 31))/1000000</f>
        <v>12.063045499999998</v>
      </c>
      <c r="V152" s="58">
        <f>(1000*CHOOSE(CONTROL!$C$42, 500, 500)*CHOOSE(CONTROL!$C$42, 0.275, 0.275)*CHOOSE(CONTROL!$C$42, 31, 31))/1000000</f>
        <v>4.2625000000000002</v>
      </c>
      <c r="W152" s="58">
        <f>(1000*CHOOSE(CONTROL!$C$42, 0.1146, 0.1146)*CHOOSE(CONTROL!$C$42, 121.5, 121.5)*CHOOSE(CONTROL!$C$42, 31, 31))/1000000</f>
        <v>0.43164089999999994</v>
      </c>
      <c r="X152" s="58">
        <f>(31*0.1790888*245000/1000000)+(31*0.2374*100000/1000000)</f>
        <v>2.0961194359999999</v>
      </c>
      <c r="Y152" s="58"/>
      <c r="Z152" s="10"/>
      <c r="AA152" s="57"/>
      <c r="AB152" s="51">
        <f>(B152*194.205+C152*267.466+D152*133.845+E152*53.484+F152*40+G152*185+H152*0+I152*100+J152*300)/(194.205+267.466+133.845+53.484+0+40+185+100+300)</f>
        <v>6.5358021917582407</v>
      </c>
      <c r="AC152" s="27">
        <f>(M152*'RAP TEMPLATE-GAS AVAILABILITY'!O151+N152*'RAP TEMPLATE-GAS AVAILABILITY'!P151+O152*'RAP TEMPLATE-GAS AVAILABILITY'!Q151+P152*'RAP TEMPLATE-GAS AVAILABILITY'!R151)/('RAP TEMPLATE-GAS AVAILABILITY'!O151+'RAP TEMPLATE-GAS AVAILABILITY'!P151+'RAP TEMPLATE-GAS AVAILABILITY'!Q151+'RAP TEMPLATE-GAS AVAILABILITY'!R151)</f>
        <v>6.5064115107913674</v>
      </c>
    </row>
    <row r="153" spans="1:29" ht="15.75" x14ac:dyDescent="0.25">
      <c r="A153" s="16">
        <v>45901</v>
      </c>
      <c r="B153" s="10">
        <f>CHOOSE(CONTROL!$C$42, 6.0987, 6.0987) * CHOOSE(CONTROL!$C$21, $C$9, 100%, $E$9)</f>
        <v>6.0987</v>
      </c>
      <c r="C153" s="10">
        <f>CHOOSE(CONTROL!$C$42, 6.1066, 6.1066) * CHOOSE(CONTROL!$C$21, $C$9, 100%, $E$9)</f>
        <v>6.1066000000000003</v>
      </c>
      <c r="D153" s="10">
        <f>CHOOSE(CONTROL!$C$42, 6.2851, 6.2851) * CHOOSE(CONTROL!$C$21, $C$9, 100%, $E$9)</f>
        <v>6.2850999999999999</v>
      </c>
      <c r="E153" s="10">
        <f>CHOOSE(CONTROL!$C$42, 6.3163, 6.3163) * CHOOSE(CONTROL!$C$21, $C$9, 100%, $E$9)</f>
        <v>6.3163</v>
      </c>
      <c r="F153" s="10">
        <f>CHOOSE(CONTROL!$C$42, 6.085, 6.085)*CHOOSE(CONTROL!$C$21, $C$9, 100%, $E$9)</f>
        <v>6.085</v>
      </c>
      <c r="G153" s="10">
        <f>CHOOSE(CONTROL!$C$42, 6.1033, 6.1033)*CHOOSE(CONTROL!$C$21, $C$9, 100%, $E$9)</f>
        <v>6.1032999999999999</v>
      </c>
      <c r="H153" s="10">
        <f>CHOOSE(CONTROL!$C$42, 6.3049, 6.3049) * CHOOSE(CONTROL!$C$21, $C$9, 100%, $E$9)</f>
        <v>6.3048999999999999</v>
      </c>
      <c r="I153" s="10">
        <f>CHOOSE(CONTROL!$C$42, 6.0755, 6.0755)* CHOOSE(CONTROL!$C$21, $C$9, 100%, $E$9)</f>
        <v>6.0754999999999999</v>
      </c>
      <c r="J153" s="10">
        <f>CHOOSE(CONTROL!$C$42, 6.078, 6.078)* CHOOSE(CONTROL!$C$21, $C$9, 100%, $E$9)</f>
        <v>6.0780000000000003</v>
      </c>
      <c r="K153" s="54">
        <f>CHOOSE(CONTROL!$C$42, 6.0716, 6.0716) * CHOOSE(CONTROL!$C$21, $C$9, 100%, $E$9)</f>
        <v>6.0716000000000001</v>
      </c>
      <c r="L153" s="10">
        <f>CHOOSE(CONTROL!$C$42, 6.8919, 6.8919) * CHOOSE(CONTROL!$C$21, $C$9, 100%, $E$9)</f>
        <v>6.8918999999999997</v>
      </c>
      <c r="M153" s="10">
        <f>CHOOSE(CONTROL!$C$42, 6.0305, 6.0305) * CHOOSE(CONTROL!$C$21, $C$9, 100%, $E$9)</f>
        <v>6.0305</v>
      </c>
      <c r="N153" s="10">
        <f>CHOOSE(CONTROL!$C$42, 6.0486, 6.0486) * CHOOSE(CONTROL!$C$21, $C$9, 100%, $E$9)</f>
        <v>6.0486000000000004</v>
      </c>
      <c r="O153" s="10">
        <f>CHOOSE(CONTROL!$C$42, 6.2551, 6.2551) * CHOOSE(CONTROL!$C$21, $C$9, 100%, $E$9)</f>
        <v>6.2550999999999997</v>
      </c>
      <c r="P153" s="10">
        <f>CHOOSE(CONTROL!$C$42, 6.0281, 6.0281) * CHOOSE(CONTROL!$C$21, $C$9, 100%, $E$9)</f>
        <v>6.0281000000000002</v>
      </c>
      <c r="Q153" s="10">
        <f>CHOOSE(CONTROL!$C$42, 6.8504, 6.8504) * CHOOSE(CONTROL!$C$21, $C$9, 100%, $E$9)</f>
        <v>6.8503999999999996</v>
      </c>
      <c r="R153" s="10">
        <f>CHOOSE(CONTROL!$C$42, 7.4545, 7.4545) * CHOOSE(CONTROL!$C$21, $C$9, 100%, $E$9)</f>
        <v>7.4545000000000003</v>
      </c>
      <c r="S153" s="10">
        <f>CHOOSE(CONTROL!$C$42, 5.9182, 5.9182) * CHOOSE(CONTROL!$C$21, $C$9, 100%, $E$9)</f>
        <v>5.9181999999999997</v>
      </c>
      <c r="T153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53" s="58">
        <f>(1000*CHOOSE(CONTROL!$C$42, 695, 695)*CHOOSE(CONTROL!$C$42, 0.5599, 0.5599)*CHOOSE(CONTROL!$C$42, 30, 30))/1000000</f>
        <v>11.673914999999997</v>
      </c>
      <c r="V153" s="58">
        <f>(1000*CHOOSE(CONTROL!$C$42, 500, 500)*CHOOSE(CONTROL!$C$42, 0.275, 0.275)*CHOOSE(CONTROL!$C$42, 30, 30))/1000000</f>
        <v>4.125</v>
      </c>
      <c r="W153" s="58">
        <f>(1000*CHOOSE(CONTROL!$C$42, 0.1146, 0.1146)*CHOOSE(CONTROL!$C$42, 121.5, 121.5)*CHOOSE(CONTROL!$C$42, 30, 30))/1000000</f>
        <v>0.417717</v>
      </c>
      <c r="X153" s="58">
        <f>(30*0.1790888*245000/1000000)+(30*0.2374*100000/1000000)</f>
        <v>2.0285026799999999</v>
      </c>
      <c r="Y153" s="58"/>
      <c r="Z153" s="10"/>
      <c r="AA153" s="57"/>
      <c r="AB153" s="51">
        <f>(B153*194.205+C153*267.466+D153*133.845+E153*53.484+F153*40+G153*185+H153*0+I153*100+J153*300)/(194.205+267.466+133.845+53.484+0+40+185+100+300)</f>
        <v>6.1226190014128736</v>
      </c>
      <c r="AC153" s="27">
        <f>(M153*'RAP TEMPLATE-GAS AVAILABILITY'!O152+N153*'RAP TEMPLATE-GAS AVAILABILITY'!P152+O153*'RAP TEMPLATE-GAS AVAILABILITY'!Q152+P153*'RAP TEMPLATE-GAS AVAILABILITY'!R152)/('RAP TEMPLATE-GAS AVAILABILITY'!O152+'RAP TEMPLATE-GAS AVAILABILITY'!P152+'RAP TEMPLATE-GAS AVAILABILITY'!Q152+'RAP TEMPLATE-GAS AVAILABILITY'!R152)</f>
        <v>6.097338848920864</v>
      </c>
    </row>
    <row r="154" spans="1:29" ht="15.75" x14ac:dyDescent="0.25">
      <c r="A154" s="16">
        <v>45931</v>
      </c>
      <c r="B154" s="10">
        <f>CHOOSE(CONTROL!$C$42, 5.9728, 5.9728) * CHOOSE(CONTROL!$C$21, $C$9, 100%, $E$9)</f>
        <v>5.9728000000000003</v>
      </c>
      <c r="C154" s="10">
        <f>CHOOSE(CONTROL!$C$42, 5.978, 5.978) * CHOOSE(CONTROL!$C$21, $C$9, 100%, $E$9)</f>
        <v>5.9779999999999998</v>
      </c>
      <c r="D154" s="10">
        <f>CHOOSE(CONTROL!$C$42, 6.1615, 6.1615) * CHOOSE(CONTROL!$C$21, $C$9, 100%, $E$9)</f>
        <v>6.1615000000000002</v>
      </c>
      <c r="E154" s="10">
        <f>CHOOSE(CONTROL!$C$42, 6.1903, 6.1903) * CHOOSE(CONTROL!$C$21, $C$9, 100%, $E$9)</f>
        <v>6.1902999999999997</v>
      </c>
      <c r="F154" s="10">
        <f>CHOOSE(CONTROL!$C$42, 5.9611, 5.9611)*CHOOSE(CONTROL!$C$21, $C$9, 100%, $E$9)</f>
        <v>5.9611000000000001</v>
      </c>
      <c r="G154" s="10">
        <f>CHOOSE(CONTROL!$C$42, 5.979, 5.979)*CHOOSE(CONTROL!$C$21, $C$9, 100%, $E$9)</f>
        <v>5.9790000000000001</v>
      </c>
      <c r="H154" s="10">
        <f>CHOOSE(CONTROL!$C$42, 6.1808, 6.1808) * CHOOSE(CONTROL!$C$21, $C$9, 100%, $E$9)</f>
        <v>6.1807999999999996</v>
      </c>
      <c r="I154" s="10">
        <f>CHOOSE(CONTROL!$C$42, 5.9514, 5.9514)* CHOOSE(CONTROL!$C$21, $C$9, 100%, $E$9)</f>
        <v>5.9513999999999996</v>
      </c>
      <c r="J154" s="10">
        <f>CHOOSE(CONTROL!$C$42, 5.9541, 5.9541)* CHOOSE(CONTROL!$C$21, $C$9, 100%, $E$9)</f>
        <v>5.9541000000000004</v>
      </c>
      <c r="K154" s="54">
        <f>CHOOSE(CONTROL!$C$42, 5.9475, 5.9475) * CHOOSE(CONTROL!$C$21, $C$9, 100%, $E$9)</f>
        <v>5.9474999999999998</v>
      </c>
      <c r="L154" s="10">
        <f>CHOOSE(CONTROL!$C$42, 6.7678, 6.7678) * CHOOSE(CONTROL!$C$21, $C$9, 100%, $E$9)</f>
        <v>6.7678000000000003</v>
      </c>
      <c r="M154" s="10">
        <f>CHOOSE(CONTROL!$C$42, 5.9079, 5.9079) * CHOOSE(CONTROL!$C$21, $C$9, 100%, $E$9)</f>
        <v>5.9078999999999997</v>
      </c>
      <c r="N154" s="10">
        <f>CHOOSE(CONTROL!$C$42, 5.9256, 5.9256) * CHOOSE(CONTROL!$C$21, $C$9, 100%, $E$9)</f>
        <v>5.9256000000000002</v>
      </c>
      <c r="O154" s="10">
        <f>CHOOSE(CONTROL!$C$42, 6.1322, 6.1322) * CHOOSE(CONTROL!$C$21, $C$9, 100%, $E$9)</f>
        <v>6.1322000000000001</v>
      </c>
      <c r="P154" s="10">
        <f>CHOOSE(CONTROL!$C$42, 5.9052, 5.9052) * CHOOSE(CONTROL!$C$21, $C$9, 100%, $E$9)</f>
        <v>5.9051999999999998</v>
      </c>
      <c r="Q154" s="10">
        <f>CHOOSE(CONTROL!$C$42, 6.7275, 6.7275) * CHOOSE(CONTROL!$C$21, $C$9, 100%, $E$9)</f>
        <v>6.7275</v>
      </c>
      <c r="R154" s="10">
        <f>CHOOSE(CONTROL!$C$42, 7.3314, 7.3314) * CHOOSE(CONTROL!$C$21, $C$9, 100%, $E$9)</f>
        <v>7.3314000000000004</v>
      </c>
      <c r="S154" s="10">
        <f>CHOOSE(CONTROL!$C$42, 5.7976, 5.7976) * CHOOSE(CONTROL!$C$21, $C$9, 100%, $E$9)</f>
        <v>5.7976000000000001</v>
      </c>
      <c r="T154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54" s="58">
        <f>(1000*CHOOSE(CONTROL!$C$42, 695, 695)*CHOOSE(CONTROL!$C$42, 0.5599, 0.5599)*CHOOSE(CONTROL!$C$42, 31, 31))/1000000</f>
        <v>12.063045499999998</v>
      </c>
      <c r="V154" s="58">
        <f>(1000*CHOOSE(CONTROL!$C$42, 500, 500)*CHOOSE(CONTROL!$C$42, 0.275, 0.275)*CHOOSE(CONTROL!$C$42, 31, 31))/1000000</f>
        <v>4.2625000000000002</v>
      </c>
      <c r="W154" s="58">
        <f>(1000*CHOOSE(CONTROL!$C$42, 0.1146, 0.1146)*CHOOSE(CONTROL!$C$42, 121.5, 121.5)*CHOOSE(CONTROL!$C$42, 31, 31))/1000000</f>
        <v>0.43164089999999994</v>
      </c>
      <c r="X154" s="58">
        <f>(31*0.1790888*245000/1000000)+(31*0.2374*100000/1000000)</f>
        <v>2.0961194359999999</v>
      </c>
      <c r="Y154" s="58"/>
      <c r="Z154" s="10"/>
      <c r="AA154" s="57"/>
      <c r="AB154" s="51">
        <f>(B154*131.881+C154*277.167+D154*79.08+E154*125.872+F154*40+G154*185+H154*0+I154*100+J154*300)/(131.881+277.167+79.08+125.872+0+40+185+100+300)</f>
        <v>6.0023963070217929</v>
      </c>
      <c r="AC154" s="27">
        <f>(M154*'RAP TEMPLATE-GAS AVAILABILITY'!O153+N154*'RAP TEMPLATE-GAS AVAILABILITY'!P153+O154*'RAP TEMPLATE-GAS AVAILABILITY'!Q153+P154*'RAP TEMPLATE-GAS AVAILABILITY'!R153)/('RAP TEMPLATE-GAS AVAILABILITY'!O153+'RAP TEMPLATE-GAS AVAILABILITY'!P153+'RAP TEMPLATE-GAS AVAILABILITY'!Q153+'RAP TEMPLATE-GAS AVAILABILITY'!R153)</f>
        <v>5.974519424460432</v>
      </c>
    </row>
    <row r="155" spans="1:29" ht="15.75" x14ac:dyDescent="0.25">
      <c r="A155" s="16">
        <v>45962</v>
      </c>
      <c r="B155" s="10">
        <f>CHOOSE(CONTROL!$C$42, 6.1296, 6.1296) * CHOOSE(CONTROL!$C$21, $C$9, 100%, $E$9)</f>
        <v>6.1295999999999999</v>
      </c>
      <c r="C155" s="10">
        <f>CHOOSE(CONTROL!$C$42, 6.1346, 6.1346) * CHOOSE(CONTROL!$C$21, $C$9, 100%, $E$9)</f>
        <v>6.1345999999999998</v>
      </c>
      <c r="D155" s="10">
        <f>CHOOSE(CONTROL!$C$42, 6.1642, 6.1642) * CHOOSE(CONTROL!$C$21, $C$9, 100%, $E$9)</f>
        <v>6.1642000000000001</v>
      </c>
      <c r="E155" s="10">
        <f>CHOOSE(CONTROL!$C$42, 6.198, 6.198) * CHOOSE(CONTROL!$C$21, $C$9, 100%, $E$9)</f>
        <v>6.1980000000000004</v>
      </c>
      <c r="F155" s="10">
        <f>CHOOSE(CONTROL!$C$42, 6.1154, 6.1154)*CHOOSE(CONTROL!$C$21, $C$9, 100%, $E$9)</f>
        <v>6.1154000000000002</v>
      </c>
      <c r="G155" s="10">
        <f>CHOOSE(CONTROL!$C$42, 6.1334, 6.1334)*CHOOSE(CONTROL!$C$21, $C$9, 100%, $E$9)</f>
        <v>6.1334</v>
      </c>
      <c r="H155" s="10">
        <f>CHOOSE(CONTROL!$C$42, 6.1872, 6.1872) * CHOOSE(CONTROL!$C$21, $C$9, 100%, $E$9)</f>
        <v>6.1871999999999998</v>
      </c>
      <c r="I155" s="10">
        <f>CHOOSE(CONTROL!$C$42, 6.0958, 6.0958)* CHOOSE(CONTROL!$C$21, $C$9, 100%, $E$9)</f>
        <v>6.0957999999999997</v>
      </c>
      <c r="J155" s="10">
        <f>CHOOSE(CONTROL!$C$42, 6.1084, 6.1084)* CHOOSE(CONTROL!$C$21, $C$9, 100%, $E$9)</f>
        <v>6.1083999999999996</v>
      </c>
      <c r="K155" s="54">
        <f>CHOOSE(CONTROL!$C$42, 6.0919, 6.0919) * CHOOSE(CONTROL!$C$21, $C$9, 100%, $E$9)</f>
        <v>6.0918999999999999</v>
      </c>
      <c r="L155" s="10">
        <f>CHOOSE(CONTROL!$C$42, 6.7742, 6.7742) * CHOOSE(CONTROL!$C$21, $C$9, 100%, $E$9)</f>
        <v>6.7742000000000004</v>
      </c>
      <c r="M155" s="10">
        <f>CHOOSE(CONTROL!$C$42, 6.0606, 6.0606) * CHOOSE(CONTROL!$C$21, $C$9, 100%, $E$9)</f>
        <v>6.0606</v>
      </c>
      <c r="N155" s="10">
        <f>CHOOSE(CONTROL!$C$42, 6.0784, 6.0784) * CHOOSE(CONTROL!$C$21, $C$9, 100%, $E$9)</f>
        <v>6.0784000000000002</v>
      </c>
      <c r="O155" s="10">
        <f>CHOOSE(CONTROL!$C$42, 6.1386, 6.1386) * CHOOSE(CONTROL!$C$21, $C$9, 100%, $E$9)</f>
        <v>6.1386000000000003</v>
      </c>
      <c r="P155" s="10">
        <f>CHOOSE(CONTROL!$C$42, 6.0482, 6.0482) * CHOOSE(CONTROL!$C$21, $C$9, 100%, $E$9)</f>
        <v>6.0481999999999996</v>
      </c>
      <c r="Q155" s="10">
        <f>CHOOSE(CONTROL!$C$42, 6.7339, 6.7339) * CHOOSE(CONTROL!$C$21, $C$9, 100%, $E$9)</f>
        <v>6.7339000000000002</v>
      </c>
      <c r="R155" s="10">
        <f>CHOOSE(CONTROL!$C$42, 7.3377, 7.3377) * CHOOSE(CONTROL!$C$21, $C$9, 100%, $E$9)</f>
        <v>7.3376999999999999</v>
      </c>
      <c r="S155" s="10">
        <f>CHOOSE(CONTROL!$C$42, 5.9504, 5.9504) * CHOOSE(CONTROL!$C$21, $C$9, 100%, $E$9)</f>
        <v>5.9504000000000001</v>
      </c>
      <c r="T155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55" s="58">
        <f>(1000*CHOOSE(CONTROL!$C$42, 695, 695)*CHOOSE(CONTROL!$C$42, 0.5599, 0.5599)*CHOOSE(CONTROL!$C$42, 30, 30))/1000000</f>
        <v>11.673914999999997</v>
      </c>
      <c r="V155" s="58">
        <f>(1000*CHOOSE(CONTROL!$C$42, 500, 500)*CHOOSE(CONTROL!$C$42, 0.275, 0.275)*CHOOSE(CONTROL!$C$42, 30, 30))/1000000</f>
        <v>4.125</v>
      </c>
      <c r="W155" s="58">
        <f>(1000*CHOOSE(CONTROL!$C$42, 0.1146, 0.1146)*CHOOSE(CONTROL!$C$42, 121.5, 121.5)*CHOOSE(CONTROL!$C$42, 30, 30))/1000000</f>
        <v>0.417717</v>
      </c>
      <c r="X155" s="58">
        <f>(30*0.1790888*100000/1000000)+(30*0.2374*100000/1000000)</f>
        <v>1.2494664</v>
      </c>
      <c r="Y155" s="58"/>
      <c r="Z155" s="10"/>
      <c r="AA155" s="57"/>
      <c r="AB155" s="51">
        <f>(B155*122.58+C155*297.941+D155*89.177+E155*40.302+F155*40+G155*160+H155*0+I155*100+J155*300)/(122.58+297.941+89.177+40.302+0+40+160+100+300)</f>
        <v>6.1275407704347824</v>
      </c>
      <c r="AC155" s="27">
        <f>(M155*'RAP TEMPLATE-GAS AVAILABILITY'!O154+N155*'RAP TEMPLATE-GAS AVAILABILITY'!P154+O155*'RAP TEMPLATE-GAS AVAILABILITY'!Q154+P155*'RAP TEMPLATE-GAS AVAILABILITY'!R154)/('RAP TEMPLATE-GAS AVAILABILITY'!O154+'RAP TEMPLATE-GAS AVAILABILITY'!P154+'RAP TEMPLATE-GAS AVAILABILITY'!Q154+'RAP TEMPLATE-GAS AVAILABILITY'!R154)</f>
        <v>6.0951928057553948</v>
      </c>
    </row>
    <row r="156" spans="1:29" ht="15.75" x14ac:dyDescent="0.25">
      <c r="A156" s="16">
        <v>45992</v>
      </c>
      <c r="B156" s="10">
        <f>CHOOSE(CONTROL!$C$42, 6.5474, 6.5474) * CHOOSE(CONTROL!$C$21, $C$9, 100%, $E$9)</f>
        <v>6.5473999999999997</v>
      </c>
      <c r="C156" s="10">
        <f>CHOOSE(CONTROL!$C$42, 6.5523, 6.5523) * CHOOSE(CONTROL!$C$21, $C$9, 100%, $E$9)</f>
        <v>6.5522999999999998</v>
      </c>
      <c r="D156" s="10">
        <f>CHOOSE(CONTROL!$C$42, 6.5819, 6.5819) * CHOOSE(CONTROL!$C$21, $C$9, 100%, $E$9)</f>
        <v>6.5819000000000001</v>
      </c>
      <c r="E156" s="10">
        <f>CHOOSE(CONTROL!$C$42, 6.6157, 6.6157) * CHOOSE(CONTROL!$C$21, $C$9, 100%, $E$9)</f>
        <v>6.6157000000000004</v>
      </c>
      <c r="F156" s="10">
        <f>CHOOSE(CONTROL!$C$42, 6.5347, 6.5347)*CHOOSE(CONTROL!$C$21, $C$9, 100%, $E$9)</f>
        <v>6.5347</v>
      </c>
      <c r="G156" s="10">
        <f>CHOOSE(CONTROL!$C$42, 6.5531, 6.5531)*CHOOSE(CONTROL!$C$21, $C$9, 100%, $E$9)</f>
        <v>6.5530999999999997</v>
      </c>
      <c r="H156" s="10">
        <f>CHOOSE(CONTROL!$C$42, 6.6049, 6.6049) * CHOOSE(CONTROL!$C$21, $C$9, 100%, $E$9)</f>
        <v>6.6048999999999998</v>
      </c>
      <c r="I156" s="10">
        <f>CHOOSE(CONTROL!$C$42, 6.5135, 6.5135)* CHOOSE(CONTROL!$C$21, $C$9, 100%, $E$9)</f>
        <v>6.5134999999999996</v>
      </c>
      <c r="J156" s="10">
        <f>CHOOSE(CONTROL!$C$42, 6.5277, 6.5277)* CHOOSE(CONTROL!$C$21, $C$9, 100%, $E$9)</f>
        <v>6.5277000000000003</v>
      </c>
      <c r="K156" s="54">
        <f>CHOOSE(CONTROL!$C$42, 6.5096, 6.5096) * CHOOSE(CONTROL!$C$21, $C$9, 100%, $E$9)</f>
        <v>6.5095999999999998</v>
      </c>
      <c r="L156" s="10">
        <f>CHOOSE(CONTROL!$C$42, 7.1919, 7.1919) * CHOOSE(CONTROL!$C$21, $C$9, 100%, $E$9)</f>
        <v>7.1919000000000004</v>
      </c>
      <c r="M156" s="10">
        <f>CHOOSE(CONTROL!$C$42, 6.4756, 6.4756) * CHOOSE(CONTROL!$C$21, $C$9, 100%, $E$9)</f>
        <v>6.4756</v>
      </c>
      <c r="N156" s="10">
        <f>CHOOSE(CONTROL!$C$42, 6.4939, 6.4939) * CHOOSE(CONTROL!$C$21, $C$9, 100%, $E$9)</f>
        <v>6.4939</v>
      </c>
      <c r="O156" s="10">
        <f>CHOOSE(CONTROL!$C$42, 6.5521, 6.5521) * CHOOSE(CONTROL!$C$21, $C$9, 100%, $E$9)</f>
        <v>6.5521000000000003</v>
      </c>
      <c r="P156" s="10">
        <f>CHOOSE(CONTROL!$C$42, 6.4617, 6.4617) * CHOOSE(CONTROL!$C$21, $C$9, 100%, $E$9)</f>
        <v>6.4617000000000004</v>
      </c>
      <c r="Q156" s="10">
        <f>CHOOSE(CONTROL!$C$42, 7.1474, 7.1474) * CHOOSE(CONTROL!$C$21, $C$9, 100%, $E$9)</f>
        <v>7.1474000000000002</v>
      </c>
      <c r="R156" s="10">
        <f>CHOOSE(CONTROL!$C$42, 7.7522, 7.7522) * CHOOSE(CONTROL!$C$21, $C$9, 100%, $E$9)</f>
        <v>7.7522000000000002</v>
      </c>
      <c r="S156" s="10">
        <f>CHOOSE(CONTROL!$C$42, 6.356, 6.356) * CHOOSE(CONTROL!$C$21, $C$9, 100%, $E$9)</f>
        <v>6.3559999999999999</v>
      </c>
      <c r="T156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56" s="58">
        <f>(1000*CHOOSE(CONTROL!$C$42, 695, 695)*CHOOSE(CONTROL!$C$42, 0.5599, 0.5599)*CHOOSE(CONTROL!$C$42, 31, 31))/1000000</f>
        <v>12.063045499999998</v>
      </c>
      <c r="V156" s="58">
        <f>(1000*CHOOSE(CONTROL!$C$42, 500, 500)*CHOOSE(CONTROL!$C$42, 0.275, 0.275)*CHOOSE(CONTROL!$C$42, 31, 31))/1000000</f>
        <v>4.2625000000000002</v>
      </c>
      <c r="W156" s="58">
        <f>(1000*CHOOSE(CONTROL!$C$42, 0.1146, 0.1146)*CHOOSE(CONTROL!$C$42, 121.5, 121.5)*CHOOSE(CONTROL!$C$42, 31, 31))/1000000</f>
        <v>0.43164089999999994</v>
      </c>
      <c r="X156" s="58">
        <f>(31*0.1790888*100000/1000000)+(31*0.2374*100000/1000000)</f>
        <v>1.2911152800000001</v>
      </c>
      <c r="Y156" s="58"/>
      <c r="Z156" s="10"/>
      <c r="AA156" s="57"/>
      <c r="AB156" s="51">
        <f>(B156*122.58+C156*297.941+D156*89.177+E156*40.302+F156*40+G156*160+H156*0+I156*100+J156*300)/(122.58+297.941+89.177+40.302+0+40+160+100+300)</f>
        <v>6.5460027339130438</v>
      </c>
      <c r="AC156" s="27">
        <f>(M156*'RAP TEMPLATE-GAS AVAILABILITY'!O155+N156*'RAP TEMPLATE-GAS AVAILABILITY'!P155+O156*'RAP TEMPLATE-GAS AVAILABILITY'!Q155+P156*'RAP TEMPLATE-GAS AVAILABILITY'!R155)/('RAP TEMPLATE-GAS AVAILABILITY'!O155+'RAP TEMPLATE-GAS AVAILABILITY'!P155+'RAP TEMPLATE-GAS AVAILABILITY'!Q155+'RAP TEMPLATE-GAS AVAILABILITY'!R155)</f>
        <v>6.5093258992805749</v>
      </c>
    </row>
    <row r="157" spans="1:29" ht="15.75" x14ac:dyDescent="0.25">
      <c r="A157" s="16">
        <v>46023</v>
      </c>
      <c r="B157" s="10">
        <f>CHOOSE(CONTROL!$C$42, 7.0383, 7.0383) * CHOOSE(CONTROL!$C$21, $C$9, 100%, $E$9)</f>
        <v>7.0382999999999996</v>
      </c>
      <c r="C157" s="10">
        <f>CHOOSE(CONTROL!$C$42, 7.0433, 7.0433) * CHOOSE(CONTROL!$C$21, $C$9, 100%, $E$9)</f>
        <v>7.0433000000000003</v>
      </c>
      <c r="D157" s="10">
        <f>CHOOSE(CONTROL!$C$42, 7.0935, 7.0935) * CHOOSE(CONTROL!$C$21, $C$9, 100%, $E$9)</f>
        <v>7.0934999999999997</v>
      </c>
      <c r="E157" s="10">
        <f>CHOOSE(CONTROL!$C$42, 7.1273, 7.1273) * CHOOSE(CONTROL!$C$21, $C$9, 100%, $E$9)</f>
        <v>7.1273</v>
      </c>
      <c r="F157" s="10">
        <f>CHOOSE(CONTROL!$C$42, 7.0037, 7.0037)*CHOOSE(CONTROL!$C$21, $C$9, 100%, $E$9)</f>
        <v>7.0037000000000003</v>
      </c>
      <c r="G157" s="10">
        <f>CHOOSE(CONTROL!$C$42, 7.0213, 7.0213)*CHOOSE(CONTROL!$C$21, $C$9, 100%, $E$9)</f>
        <v>7.0213000000000001</v>
      </c>
      <c r="H157" s="10">
        <f>CHOOSE(CONTROL!$C$42, 7.1165, 7.1165) * CHOOSE(CONTROL!$C$21, $C$9, 100%, $E$9)</f>
        <v>7.1165000000000003</v>
      </c>
      <c r="I157" s="10">
        <f>CHOOSE(CONTROL!$C$42, 7.0122, 7.0122)* CHOOSE(CONTROL!$C$21, $C$9, 100%, $E$9)</f>
        <v>7.0122</v>
      </c>
      <c r="J157" s="10">
        <f>CHOOSE(CONTROL!$C$42, 6.9967, 6.9967)* CHOOSE(CONTROL!$C$21, $C$9, 100%, $E$9)</f>
        <v>6.9966999999999997</v>
      </c>
      <c r="K157" s="54">
        <f>CHOOSE(CONTROL!$C$42, 7.0083, 7.0083) * CHOOSE(CONTROL!$C$21, $C$9, 100%, $E$9)</f>
        <v>7.0083000000000002</v>
      </c>
      <c r="L157" s="10">
        <f>CHOOSE(CONTROL!$C$42, 7.7035, 7.7035) * CHOOSE(CONTROL!$C$21, $C$9, 100%, $E$9)</f>
        <v>7.7035</v>
      </c>
      <c r="M157" s="10">
        <f>CHOOSE(CONTROL!$C$42, 6.9399, 6.9399) * CHOOSE(CONTROL!$C$21, $C$9, 100%, $E$9)</f>
        <v>6.9398999999999997</v>
      </c>
      <c r="N157" s="10">
        <f>CHOOSE(CONTROL!$C$42, 6.9573, 6.9573) * CHOOSE(CONTROL!$C$21, $C$9, 100%, $E$9)</f>
        <v>6.9573</v>
      </c>
      <c r="O157" s="10">
        <f>CHOOSE(CONTROL!$C$42, 7.0585, 7.0585) * CHOOSE(CONTROL!$C$21, $C$9, 100%, $E$9)</f>
        <v>7.0585000000000004</v>
      </c>
      <c r="P157" s="10">
        <f>CHOOSE(CONTROL!$C$42, 6.9553, 6.9553) * CHOOSE(CONTROL!$C$21, $C$9, 100%, $E$9)</f>
        <v>6.9553000000000003</v>
      </c>
      <c r="Q157" s="10">
        <f>CHOOSE(CONTROL!$C$42, 7.6538, 7.6538) * CHOOSE(CONTROL!$C$21, $C$9, 100%, $E$9)</f>
        <v>7.6538000000000004</v>
      </c>
      <c r="R157" s="10">
        <f>CHOOSE(CONTROL!$C$42, 8.2599, 8.2599) * CHOOSE(CONTROL!$C$21, $C$9, 100%, $E$9)</f>
        <v>8.2599</v>
      </c>
      <c r="S157" s="10">
        <f>CHOOSE(CONTROL!$C$42, 6.8328, 6.8328) * CHOOSE(CONTROL!$C$21, $C$9, 100%, $E$9)</f>
        <v>6.8327999999999998</v>
      </c>
      <c r="T157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57" s="58">
        <f>(1000*CHOOSE(CONTROL!$C$42, 695, 695)*CHOOSE(CONTROL!$C$42, 0.5599, 0.5599)*CHOOSE(CONTROL!$C$42, 31, 31))/1000000</f>
        <v>12.063045499999998</v>
      </c>
      <c r="V157" s="58">
        <f>(1000*CHOOSE(CONTROL!$C$42, 500, 500)*CHOOSE(CONTROL!$C$42, 0.275, 0.275)*CHOOSE(CONTROL!$C$42, 31, 31))/1000000</f>
        <v>4.2625000000000002</v>
      </c>
      <c r="W157" s="58">
        <f>(1000*CHOOSE(CONTROL!$C$42, 0.1146, 0.1146)*CHOOSE(CONTROL!$C$42, 121.5, 121.5)*CHOOSE(CONTROL!$C$42, 31, 31))/1000000</f>
        <v>0.43164089999999994</v>
      </c>
      <c r="X157" s="58">
        <f>(31*0.1790888*100000/1000000)+(31*0.2374*100000/1000000)</f>
        <v>1.2911152800000001</v>
      </c>
      <c r="Y157" s="58"/>
      <c r="Z157" s="10"/>
      <c r="AA157" s="57"/>
      <c r="AB157" s="51">
        <f>(B157*122.58+C157*297.941+D157*89.177+E157*40.302+F157*40+G157*160+H157*0+I157*100+J157*300)/(122.58+297.941+89.177+40.302+0+40+160+100+300)</f>
        <v>7.0303044812173905</v>
      </c>
      <c r="AC157" s="27">
        <f>(M157*'RAP TEMPLATE-GAS AVAILABILITY'!O156+N157*'RAP TEMPLATE-GAS AVAILABILITY'!P156+O157*'RAP TEMPLATE-GAS AVAILABILITY'!Q156+P157*'RAP TEMPLATE-GAS AVAILABILITY'!R156)/('RAP TEMPLATE-GAS AVAILABILITY'!O156+'RAP TEMPLATE-GAS AVAILABILITY'!P156+'RAP TEMPLATE-GAS AVAILABILITY'!Q156+'RAP TEMPLATE-GAS AVAILABILITY'!R156)</f>
        <v>6.996871223021583</v>
      </c>
    </row>
    <row r="158" spans="1:29" ht="15.75" x14ac:dyDescent="0.25">
      <c r="A158" s="16">
        <v>46054</v>
      </c>
      <c r="B158" s="10">
        <f>CHOOSE(CONTROL!$C$42, 7.1636, 7.1636) * CHOOSE(CONTROL!$C$21, $C$9, 100%, $E$9)</f>
        <v>7.1635999999999997</v>
      </c>
      <c r="C158" s="10">
        <f>CHOOSE(CONTROL!$C$42, 7.1685, 7.1685) * CHOOSE(CONTROL!$C$21, $C$9, 100%, $E$9)</f>
        <v>7.1684999999999999</v>
      </c>
      <c r="D158" s="10">
        <f>CHOOSE(CONTROL!$C$42, 7.2857, 7.2857) * CHOOSE(CONTROL!$C$21, $C$9, 100%, $E$9)</f>
        <v>7.2857000000000003</v>
      </c>
      <c r="E158" s="10">
        <f>CHOOSE(CONTROL!$C$42, 7.3194, 7.3194) * CHOOSE(CONTROL!$C$21, $C$9, 100%, $E$9)</f>
        <v>7.3193999999999999</v>
      </c>
      <c r="F158" s="10">
        <f>CHOOSE(CONTROL!$C$42, 7.2412, 7.2412)*CHOOSE(CONTROL!$C$21, $C$9, 100%, $E$9)</f>
        <v>7.2412000000000001</v>
      </c>
      <c r="G158" s="10">
        <f>CHOOSE(CONTROL!$C$42, 7.2631, 7.2631)*CHOOSE(CONTROL!$C$21, $C$9, 100%, $E$9)</f>
        <v>7.2630999999999997</v>
      </c>
      <c r="H158" s="10">
        <f>CHOOSE(CONTROL!$C$42, 7.3086, 7.3086) * CHOOSE(CONTROL!$C$21, $C$9, 100%, $E$9)</f>
        <v>7.3086000000000002</v>
      </c>
      <c r="I158" s="10">
        <f>CHOOSE(CONTROL!$C$42, 7.1993, 7.1993)* CHOOSE(CONTROL!$C$21, $C$9, 100%, $E$9)</f>
        <v>7.1993</v>
      </c>
      <c r="J158" s="10">
        <f>CHOOSE(CONTROL!$C$42, 7.2342, 7.2342)* CHOOSE(CONTROL!$C$21, $C$9, 100%, $E$9)</f>
        <v>7.2342000000000004</v>
      </c>
      <c r="K158" s="54">
        <f>CHOOSE(CONTROL!$C$42, 7.1954, 7.1954) * CHOOSE(CONTROL!$C$21, $C$9, 100%, $E$9)</f>
        <v>7.1954000000000002</v>
      </c>
      <c r="L158" s="10">
        <f>CHOOSE(CONTROL!$C$42, 7.8956, 7.8956) * CHOOSE(CONTROL!$C$21, $C$9, 100%, $E$9)</f>
        <v>7.8956</v>
      </c>
      <c r="M158" s="10">
        <f>CHOOSE(CONTROL!$C$42, 7.175, 7.175) * CHOOSE(CONTROL!$C$21, $C$9, 100%, $E$9)</f>
        <v>7.1749999999999998</v>
      </c>
      <c r="N158" s="10">
        <f>CHOOSE(CONTROL!$C$42, 7.1967, 7.1967) * CHOOSE(CONTROL!$C$21, $C$9, 100%, $E$9)</f>
        <v>7.1966999999999999</v>
      </c>
      <c r="O158" s="10">
        <f>CHOOSE(CONTROL!$C$42, 7.2487, 7.2487) * CHOOSE(CONTROL!$C$21, $C$9, 100%, $E$9)</f>
        <v>7.2487000000000004</v>
      </c>
      <c r="P158" s="10">
        <f>CHOOSE(CONTROL!$C$42, 7.1405, 7.1405) * CHOOSE(CONTROL!$C$21, $C$9, 100%, $E$9)</f>
        <v>7.1405000000000003</v>
      </c>
      <c r="Q158" s="10">
        <f>CHOOSE(CONTROL!$C$42, 7.844, 7.844) * CHOOSE(CONTROL!$C$21, $C$9, 100%, $E$9)</f>
        <v>7.8440000000000003</v>
      </c>
      <c r="R158" s="10">
        <f>CHOOSE(CONTROL!$C$42, 8.4506, 8.4506) * CHOOSE(CONTROL!$C$21, $C$9, 100%, $E$9)</f>
        <v>8.4505999999999997</v>
      </c>
      <c r="S158" s="10">
        <f>CHOOSE(CONTROL!$C$42, 6.9544, 6.9544) * CHOOSE(CONTROL!$C$21, $C$9, 100%, $E$9)</f>
        <v>6.9543999999999997</v>
      </c>
      <c r="T158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58" s="58">
        <f>(1000*CHOOSE(CONTROL!$C$42, 695, 695)*CHOOSE(CONTROL!$C$42, 0.5599, 0.5599)*CHOOSE(CONTROL!$C$42, 28, 28))/1000000</f>
        <v>10.895653999999999</v>
      </c>
      <c r="V158" s="58">
        <f>(1000*CHOOSE(CONTROL!$C$42, 500, 500)*CHOOSE(CONTROL!$C$42, 0.275, 0.275)*CHOOSE(CONTROL!$C$42, 28, 28))/1000000</f>
        <v>3.85</v>
      </c>
      <c r="W158" s="58">
        <f>(1000*CHOOSE(CONTROL!$C$42, 0.1146, 0.1146)*CHOOSE(CONTROL!$C$42, 121.5, 121.5)*CHOOSE(CONTROL!$C$42, 28, 28))/1000000</f>
        <v>0.38986920000000003</v>
      </c>
      <c r="X158" s="58">
        <f>(28*0.1790888*100000/1000000)+(28*0.2374*100000/1000000)</f>
        <v>1.16616864</v>
      </c>
      <c r="Y158" s="58"/>
      <c r="Z158" s="10"/>
      <c r="AA158" s="57"/>
      <c r="AB158" s="51">
        <f>(B158*122.58+C158*297.941+D158*89.177+E158*40.302+F158*40+G158*160+H158*0+I158*100+J158*300)/(122.58+297.941+89.177+40.302+0+40+160+100+300)</f>
        <v>7.2178621514782604</v>
      </c>
      <c r="AC158" s="27">
        <f>(M158*'RAP TEMPLATE-GAS AVAILABILITY'!O157+N158*'RAP TEMPLATE-GAS AVAILABILITY'!P157+O158*'RAP TEMPLATE-GAS AVAILABILITY'!Q157+P158*'RAP TEMPLATE-GAS AVAILABILITY'!R157)/('RAP TEMPLATE-GAS AVAILABILITY'!O157+'RAP TEMPLATE-GAS AVAILABILITY'!P157+'RAP TEMPLATE-GAS AVAILABILITY'!Q157+'RAP TEMPLATE-GAS AVAILABILITY'!R157)</f>
        <v>7.2046884892086345</v>
      </c>
    </row>
    <row r="159" spans="1:29" ht="15.75" x14ac:dyDescent="0.25">
      <c r="A159" s="16">
        <v>46082</v>
      </c>
      <c r="B159" s="10">
        <f>CHOOSE(CONTROL!$C$42, 6.9603, 6.9603) * CHOOSE(CONTROL!$C$21, $C$9, 100%, $E$9)</f>
        <v>6.9603000000000002</v>
      </c>
      <c r="C159" s="10">
        <f>CHOOSE(CONTROL!$C$42, 6.9652, 6.9652) * CHOOSE(CONTROL!$C$21, $C$9, 100%, $E$9)</f>
        <v>6.9652000000000003</v>
      </c>
      <c r="D159" s="10">
        <f>CHOOSE(CONTROL!$C$42, 7.0566, 7.0566) * CHOOSE(CONTROL!$C$21, $C$9, 100%, $E$9)</f>
        <v>7.0566000000000004</v>
      </c>
      <c r="E159" s="10">
        <f>CHOOSE(CONTROL!$C$42, 7.0904, 7.0904) * CHOOSE(CONTROL!$C$21, $C$9, 100%, $E$9)</f>
        <v>7.0903999999999998</v>
      </c>
      <c r="F159" s="10">
        <f>CHOOSE(CONTROL!$C$42, 6.9901, 6.9901)*CHOOSE(CONTROL!$C$21, $C$9, 100%, $E$9)</f>
        <v>6.9901</v>
      </c>
      <c r="G159" s="10">
        <f>CHOOSE(CONTROL!$C$42, 7.0096, 7.0096)*CHOOSE(CONTROL!$C$21, $C$9, 100%, $E$9)</f>
        <v>7.0095999999999998</v>
      </c>
      <c r="H159" s="10">
        <f>CHOOSE(CONTROL!$C$42, 7.0796, 7.0796) * CHOOSE(CONTROL!$C$21, $C$9, 100%, $E$9)</f>
        <v>7.0796000000000001</v>
      </c>
      <c r="I159" s="10">
        <f>CHOOSE(CONTROL!$C$42, 6.9831, 6.9831)* CHOOSE(CONTROL!$C$21, $C$9, 100%, $E$9)</f>
        <v>6.9831000000000003</v>
      </c>
      <c r="J159" s="10">
        <f>CHOOSE(CONTROL!$C$42, 6.9831, 6.9831)* CHOOSE(CONTROL!$C$21, $C$9, 100%, $E$9)</f>
        <v>6.9831000000000003</v>
      </c>
      <c r="K159" s="54">
        <f>CHOOSE(CONTROL!$C$42, 6.9792, 6.9792) * CHOOSE(CONTROL!$C$21, $C$9, 100%, $E$9)</f>
        <v>6.9791999999999996</v>
      </c>
      <c r="L159" s="10">
        <f>CHOOSE(CONTROL!$C$42, 7.6666, 7.6666) * CHOOSE(CONTROL!$C$21, $C$9, 100%, $E$9)</f>
        <v>7.6665999999999999</v>
      </c>
      <c r="M159" s="10">
        <f>CHOOSE(CONTROL!$C$42, 6.9265, 6.9265) * CHOOSE(CONTROL!$C$21, $C$9, 100%, $E$9)</f>
        <v>6.9264999999999999</v>
      </c>
      <c r="N159" s="10">
        <f>CHOOSE(CONTROL!$C$42, 6.9458, 6.9458) * CHOOSE(CONTROL!$C$21, $C$9, 100%, $E$9)</f>
        <v>6.9458000000000002</v>
      </c>
      <c r="O159" s="10">
        <f>CHOOSE(CONTROL!$C$42, 7.022, 7.022) * CHOOSE(CONTROL!$C$21, $C$9, 100%, $E$9)</f>
        <v>7.0220000000000002</v>
      </c>
      <c r="P159" s="10">
        <f>CHOOSE(CONTROL!$C$42, 6.9265, 6.9265) * CHOOSE(CONTROL!$C$21, $C$9, 100%, $E$9)</f>
        <v>6.9264999999999999</v>
      </c>
      <c r="Q159" s="10">
        <f>CHOOSE(CONTROL!$C$42, 7.6173, 7.6173) * CHOOSE(CONTROL!$C$21, $C$9, 100%, $E$9)</f>
        <v>7.6173000000000002</v>
      </c>
      <c r="R159" s="10">
        <f>CHOOSE(CONTROL!$C$42, 8.2233, 8.2233) * CHOOSE(CONTROL!$C$21, $C$9, 100%, $E$9)</f>
        <v>8.2233000000000001</v>
      </c>
      <c r="S159" s="10">
        <f>CHOOSE(CONTROL!$C$42, 6.757, 6.757) * CHOOSE(CONTROL!$C$21, $C$9, 100%, $E$9)</f>
        <v>6.7569999999999997</v>
      </c>
      <c r="T159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59" s="58">
        <f>(1000*CHOOSE(CONTROL!$C$42, 695, 695)*CHOOSE(CONTROL!$C$42, 0.5599, 0.5599)*CHOOSE(CONTROL!$C$42, 31, 31))/1000000</f>
        <v>12.063045499999998</v>
      </c>
      <c r="V159" s="58">
        <f>(1000*CHOOSE(CONTROL!$C$42, 500, 500)*CHOOSE(CONTROL!$C$42, 0.275, 0.275)*CHOOSE(CONTROL!$C$42, 31, 31))/1000000</f>
        <v>4.2625000000000002</v>
      </c>
      <c r="W159" s="58">
        <f>(1000*CHOOSE(CONTROL!$C$42, 0.1146, 0.1146)*CHOOSE(CONTROL!$C$42, 121.5, 121.5)*CHOOSE(CONTROL!$C$42, 31, 31))/1000000</f>
        <v>0.43164089999999994</v>
      </c>
      <c r="X159" s="58">
        <f>(31*0.1790888*100000/1000000)+(31*0.2374*100000/1000000)</f>
        <v>1.2911152800000001</v>
      </c>
      <c r="Y159" s="58"/>
      <c r="Z159" s="10"/>
      <c r="AA159" s="57"/>
      <c r="AB159" s="51">
        <f>(B159*122.58+C159*297.941+D159*89.177+E159*40.302+F159*40+G159*160+H159*0+I159*100+J159*300)/(122.58+297.941+89.177+40.302+0+40+160+100+300)</f>
        <v>6.9894225619130443</v>
      </c>
      <c r="AC159" s="27">
        <f>(M159*'RAP TEMPLATE-GAS AVAILABILITY'!O158+N159*'RAP TEMPLATE-GAS AVAILABILITY'!P158+O159*'RAP TEMPLATE-GAS AVAILABILITY'!Q158+P159*'RAP TEMPLATE-GAS AVAILABILITY'!R158)/('RAP TEMPLATE-GAS AVAILABILITY'!O158+'RAP TEMPLATE-GAS AVAILABILITY'!P158+'RAP TEMPLATE-GAS AVAILABILITY'!Q158+'RAP TEMPLATE-GAS AVAILABILITY'!R158)</f>
        <v>6.9708949640287772</v>
      </c>
    </row>
    <row r="160" spans="1:29" ht="15.75" x14ac:dyDescent="0.25">
      <c r="A160" s="16">
        <v>46113</v>
      </c>
      <c r="B160" s="10">
        <f>CHOOSE(CONTROL!$C$42, 6.9402, 6.9402) * CHOOSE(CONTROL!$C$21, $C$9, 100%, $E$9)</f>
        <v>6.9401999999999999</v>
      </c>
      <c r="C160" s="10">
        <f>CHOOSE(CONTROL!$C$42, 6.9446, 6.9446) * CHOOSE(CONTROL!$C$21, $C$9, 100%, $E$9)</f>
        <v>6.9446000000000003</v>
      </c>
      <c r="D160" s="10">
        <f>CHOOSE(CONTROL!$C$42, 7.1263, 7.1263) * CHOOSE(CONTROL!$C$21, $C$9, 100%, $E$9)</f>
        <v>7.1262999999999996</v>
      </c>
      <c r="E160" s="10">
        <f>CHOOSE(CONTROL!$C$42, 7.1581, 7.1581) * CHOOSE(CONTROL!$C$21, $C$9, 100%, $E$9)</f>
        <v>7.1581000000000001</v>
      </c>
      <c r="F160" s="10">
        <f>CHOOSE(CONTROL!$C$42, 6.9286, 6.9286)*CHOOSE(CONTROL!$C$21, $C$9, 100%, $E$9)</f>
        <v>6.9286000000000003</v>
      </c>
      <c r="G160" s="10">
        <f>CHOOSE(CONTROL!$C$42, 6.9465, 6.9465)*CHOOSE(CONTROL!$C$21, $C$9, 100%, $E$9)</f>
        <v>6.9465000000000003</v>
      </c>
      <c r="H160" s="10">
        <f>CHOOSE(CONTROL!$C$42, 7.1478, 7.1478) * CHOOSE(CONTROL!$C$21, $C$9, 100%, $E$9)</f>
        <v>7.1478000000000002</v>
      </c>
      <c r="I160" s="10">
        <f>CHOOSE(CONTROL!$C$42, 6.9185, 6.9185)* CHOOSE(CONTROL!$C$21, $C$9, 100%, $E$9)</f>
        <v>6.9184999999999999</v>
      </c>
      <c r="J160" s="10">
        <f>CHOOSE(CONTROL!$C$42, 6.9216, 6.9216)* CHOOSE(CONTROL!$C$21, $C$9, 100%, $E$9)</f>
        <v>6.9215999999999998</v>
      </c>
      <c r="K160" s="54">
        <f>CHOOSE(CONTROL!$C$42, 6.9146, 6.9146) * CHOOSE(CONTROL!$C$21, $C$9, 100%, $E$9)</f>
        <v>6.9146000000000001</v>
      </c>
      <c r="L160" s="10">
        <f>CHOOSE(CONTROL!$C$42, 7.7348, 7.7348) * CHOOSE(CONTROL!$C$21, $C$9, 100%, $E$9)</f>
        <v>7.7347999999999999</v>
      </c>
      <c r="M160" s="10">
        <f>CHOOSE(CONTROL!$C$42, 6.8655, 6.8655) * CHOOSE(CONTROL!$C$21, $C$9, 100%, $E$9)</f>
        <v>6.8654999999999999</v>
      </c>
      <c r="N160" s="10">
        <f>CHOOSE(CONTROL!$C$42, 6.8833, 6.8833) * CHOOSE(CONTROL!$C$21, $C$9, 100%, $E$9)</f>
        <v>6.8833000000000002</v>
      </c>
      <c r="O160" s="10">
        <f>CHOOSE(CONTROL!$C$42, 7.0895, 7.0895) * CHOOSE(CONTROL!$C$21, $C$9, 100%, $E$9)</f>
        <v>7.0895000000000001</v>
      </c>
      <c r="P160" s="10">
        <f>CHOOSE(CONTROL!$C$42, 6.8625, 6.8625) * CHOOSE(CONTROL!$C$21, $C$9, 100%, $E$9)</f>
        <v>6.8624999999999998</v>
      </c>
      <c r="Q160" s="10">
        <f>CHOOSE(CONTROL!$C$42, 7.6848, 7.6848) * CHOOSE(CONTROL!$C$21, $C$9, 100%, $E$9)</f>
        <v>7.6848000000000001</v>
      </c>
      <c r="R160" s="10">
        <f>CHOOSE(CONTROL!$C$42, 8.2911, 8.2911) * CHOOSE(CONTROL!$C$21, $C$9, 100%, $E$9)</f>
        <v>8.2911000000000001</v>
      </c>
      <c r="S160" s="10">
        <f>CHOOSE(CONTROL!$C$42, 6.7368, 6.7368) * CHOOSE(CONTROL!$C$21, $C$9, 100%, $E$9)</f>
        <v>6.7367999999999997</v>
      </c>
      <c r="T160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60" s="58">
        <f>(1000*CHOOSE(CONTROL!$C$42, 695, 695)*CHOOSE(CONTROL!$C$42, 0.5599, 0.5599)*CHOOSE(CONTROL!$C$42, 30, 30))/1000000</f>
        <v>11.673914999999997</v>
      </c>
      <c r="V160" s="58">
        <f>(1000*CHOOSE(CONTROL!$C$42, 500, 500)*CHOOSE(CONTROL!$C$42, 0.275, 0.275)*CHOOSE(CONTROL!$C$42, 30, 30))/1000000</f>
        <v>4.125</v>
      </c>
      <c r="W160" s="58">
        <f>(1000*CHOOSE(CONTROL!$C$42, 0.1146, 0.1146)*CHOOSE(CONTROL!$C$42, 121.5, 121.5)*CHOOSE(CONTROL!$C$42, 30, 30))/1000000</f>
        <v>0.417717</v>
      </c>
      <c r="X160" s="58">
        <f>(30*0.1790888*245000/1000000)+(30*0.2374*100000/1000000)</f>
        <v>2.0285026799999999</v>
      </c>
      <c r="Y160" s="58"/>
      <c r="Z160" s="10"/>
      <c r="AA160" s="57"/>
      <c r="AB160" s="51">
        <f>(B160*141.293+C160*267.993+D160*115.016+E160*89.698+F160*40+G160*185+H160*0+I160*100+J160*300)/(141.293+267.993+115.016+89.698+0+40+185+100+300)</f>
        <v>6.9685134309927372</v>
      </c>
      <c r="AC160" s="27">
        <f>(M160*'RAP TEMPLATE-GAS AVAILABILITY'!O159+N160*'RAP TEMPLATE-GAS AVAILABILITY'!P159+O160*'RAP TEMPLATE-GAS AVAILABILITY'!Q159+P160*'RAP TEMPLATE-GAS AVAILABILITY'!R159)/('RAP TEMPLATE-GAS AVAILABILITY'!O159+'RAP TEMPLATE-GAS AVAILABILITY'!P159+'RAP TEMPLATE-GAS AVAILABILITY'!Q159+'RAP TEMPLATE-GAS AVAILABILITY'!R159)</f>
        <v>6.9320151079136689</v>
      </c>
    </row>
    <row r="161" spans="1:29" ht="15.75" x14ac:dyDescent="0.25">
      <c r="A161" s="16">
        <v>46143</v>
      </c>
      <c r="B161" s="10">
        <f>CHOOSE(CONTROL!$C$42, 7.0032, 7.0032) * CHOOSE(CONTROL!$C$21, $C$9, 100%, $E$9)</f>
        <v>7.0031999999999996</v>
      </c>
      <c r="C161" s="10">
        <f>CHOOSE(CONTROL!$C$42, 7.0112, 7.0112) * CHOOSE(CONTROL!$C$21, $C$9, 100%, $E$9)</f>
        <v>7.0111999999999997</v>
      </c>
      <c r="D161" s="10">
        <f>CHOOSE(CONTROL!$C$42, 7.1897, 7.1897) * CHOOSE(CONTROL!$C$21, $C$9, 100%, $E$9)</f>
        <v>7.1897000000000002</v>
      </c>
      <c r="E161" s="10">
        <f>CHOOSE(CONTROL!$C$42, 7.2208, 7.2208) * CHOOSE(CONTROL!$C$21, $C$9, 100%, $E$9)</f>
        <v>7.2207999999999997</v>
      </c>
      <c r="F161" s="10">
        <f>CHOOSE(CONTROL!$C$42, 6.9894, 6.9894)*CHOOSE(CONTROL!$C$21, $C$9, 100%, $E$9)</f>
        <v>6.9893999999999998</v>
      </c>
      <c r="G161" s="10">
        <f>CHOOSE(CONTROL!$C$42, 7.0076, 7.0076)*CHOOSE(CONTROL!$C$21, $C$9, 100%, $E$9)</f>
        <v>7.0076000000000001</v>
      </c>
      <c r="H161" s="10">
        <f>CHOOSE(CONTROL!$C$42, 7.2095, 7.2095) * CHOOSE(CONTROL!$C$21, $C$9, 100%, $E$9)</f>
        <v>7.2095000000000002</v>
      </c>
      <c r="I161" s="10">
        <f>CHOOSE(CONTROL!$C$42, 6.9801, 6.9801)* CHOOSE(CONTROL!$C$21, $C$9, 100%, $E$9)</f>
        <v>6.9801000000000002</v>
      </c>
      <c r="J161" s="10">
        <f>CHOOSE(CONTROL!$C$42, 6.9824, 6.9824)* CHOOSE(CONTROL!$C$21, $C$9, 100%, $E$9)</f>
        <v>6.9824000000000002</v>
      </c>
      <c r="K161" s="54">
        <f>CHOOSE(CONTROL!$C$42, 6.9762, 6.9762) * CHOOSE(CONTROL!$C$21, $C$9, 100%, $E$9)</f>
        <v>6.9762000000000004</v>
      </c>
      <c r="L161" s="10">
        <f>CHOOSE(CONTROL!$C$42, 7.7965, 7.7965) * CHOOSE(CONTROL!$C$21, $C$9, 100%, $E$9)</f>
        <v>7.7965</v>
      </c>
      <c r="M161" s="10">
        <f>CHOOSE(CONTROL!$C$42, 6.9258, 6.9258) * CHOOSE(CONTROL!$C$21, $C$9, 100%, $E$9)</f>
        <v>6.9257999999999997</v>
      </c>
      <c r="N161" s="10">
        <f>CHOOSE(CONTROL!$C$42, 6.9438, 6.9438) * CHOOSE(CONTROL!$C$21, $C$9, 100%, $E$9)</f>
        <v>6.9438000000000004</v>
      </c>
      <c r="O161" s="10">
        <f>CHOOSE(CONTROL!$C$42, 7.1505, 7.1505) * CHOOSE(CONTROL!$C$21, $C$9, 100%, $E$9)</f>
        <v>7.1505000000000001</v>
      </c>
      <c r="P161" s="10">
        <f>CHOOSE(CONTROL!$C$42, 6.9235, 6.9235) * CHOOSE(CONTROL!$C$21, $C$9, 100%, $E$9)</f>
        <v>6.9234999999999998</v>
      </c>
      <c r="Q161" s="10">
        <f>CHOOSE(CONTROL!$C$42, 7.7458, 7.7458) * CHOOSE(CONTROL!$C$21, $C$9, 100%, $E$9)</f>
        <v>7.7458</v>
      </c>
      <c r="R161" s="10">
        <f>CHOOSE(CONTROL!$C$42, 8.3522, 8.3522) * CHOOSE(CONTROL!$C$21, $C$9, 100%, $E$9)</f>
        <v>8.3521999999999998</v>
      </c>
      <c r="S161" s="10">
        <f>CHOOSE(CONTROL!$C$42, 6.7966, 6.7966) * CHOOSE(CONTROL!$C$21, $C$9, 100%, $E$9)</f>
        <v>6.7965999999999998</v>
      </c>
      <c r="T161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61" s="58">
        <f>(1000*CHOOSE(CONTROL!$C$42, 695, 695)*CHOOSE(CONTROL!$C$42, 0.5599, 0.5599)*CHOOSE(CONTROL!$C$42, 31, 31))/1000000</f>
        <v>12.063045499999998</v>
      </c>
      <c r="V161" s="58">
        <f>(1000*CHOOSE(CONTROL!$C$42, 500, 500)*CHOOSE(CONTROL!$C$42, 0.275, 0.275)*CHOOSE(CONTROL!$C$42, 31, 31))/1000000</f>
        <v>4.2625000000000002</v>
      </c>
      <c r="W161" s="58">
        <f>(1000*CHOOSE(CONTROL!$C$42, 0.1146, 0.1146)*CHOOSE(CONTROL!$C$42, 121.5, 121.5)*CHOOSE(CONTROL!$C$42, 31, 31))/1000000</f>
        <v>0.43164089999999994</v>
      </c>
      <c r="X161" s="58">
        <f>(31*0.1790888*245000/1000000)+(31*0.2374*100000/1000000)</f>
        <v>2.0961194359999999</v>
      </c>
      <c r="Y161" s="58"/>
      <c r="Z161" s="10"/>
      <c r="AA161" s="57"/>
      <c r="AB161" s="51">
        <f>(B161*194.205+C161*267.466+D161*133.845+E161*53.484+F161*40+G161*185+H161*0+I161*100+J161*300)/(194.205+267.466+133.845+53.484+0+40+185+100+300)</f>
        <v>7.027102620800628</v>
      </c>
      <c r="AC161" s="27">
        <f>(M161*'RAP TEMPLATE-GAS AVAILABILITY'!O160+N161*'RAP TEMPLATE-GAS AVAILABILITY'!P160+O161*'RAP TEMPLATE-GAS AVAILABILITY'!Q160+P161*'RAP TEMPLATE-GAS AVAILABILITY'!R160)/('RAP TEMPLATE-GAS AVAILABILITY'!O160+'RAP TEMPLATE-GAS AVAILABILITY'!P160+'RAP TEMPLATE-GAS AVAILABILITY'!Q160+'RAP TEMPLATE-GAS AVAILABILITY'!R160)</f>
        <v>6.992658273381295</v>
      </c>
    </row>
    <row r="162" spans="1:29" ht="15.75" x14ac:dyDescent="0.25">
      <c r="A162" s="16">
        <v>46174</v>
      </c>
      <c r="B162" s="10">
        <f>CHOOSE(CONTROL!$C$42, 7.2017, 7.2017) * CHOOSE(CONTROL!$C$21, $C$9, 100%, $E$9)</f>
        <v>7.2016999999999998</v>
      </c>
      <c r="C162" s="10">
        <f>CHOOSE(CONTROL!$C$42, 7.2097, 7.2097) * CHOOSE(CONTROL!$C$21, $C$9, 100%, $E$9)</f>
        <v>7.2096999999999998</v>
      </c>
      <c r="D162" s="10">
        <f>CHOOSE(CONTROL!$C$42, 7.3882, 7.3882) * CHOOSE(CONTROL!$C$21, $C$9, 100%, $E$9)</f>
        <v>7.3882000000000003</v>
      </c>
      <c r="E162" s="10">
        <f>CHOOSE(CONTROL!$C$42, 7.4193, 7.4193) * CHOOSE(CONTROL!$C$21, $C$9, 100%, $E$9)</f>
        <v>7.4192999999999998</v>
      </c>
      <c r="F162" s="10">
        <f>CHOOSE(CONTROL!$C$42, 7.1882, 7.1882)*CHOOSE(CONTROL!$C$21, $C$9, 100%, $E$9)</f>
        <v>7.1882000000000001</v>
      </c>
      <c r="G162" s="10">
        <f>CHOOSE(CONTROL!$C$42, 7.2064, 7.2064)*CHOOSE(CONTROL!$C$21, $C$9, 100%, $E$9)</f>
        <v>7.2064000000000004</v>
      </c>
      <c r="H162" s="10">
        <f>CHOOSE(CONTROL!$C$42, 7.408, 7.408) * CHOOSE(CONTROL!$C$21, $C$9, 100%, $E$9)</f>
        <v>7.4080000000000004</v>
      </c>
      <c r="I162" s="10">
        <f>CHOOSE(CONTROL!$C$42, 7.1786, 7.1786)* CHOOSE(CONTROL!$C$21, $C$9, 100%, $E$9)</f>
        <v>7.1786000000000003</v>
      </c>
      <c r="J162" s="10">
        <f>CHOOSE(CONTROL!$C$42, 7.1812, 7.1812)* CHOOSE(CONTROL!$C$21, $C$9, 100%, $E$9)</f>
        <v>7.1811999999999996</v>
      </c>
      <c r="K162" s="54">
        <f>CHOOSE(CONTROL!$C$42, 7.1747, 7.1747) * CHOOSE(CONTROL!$C$21, $C$9, 100%, $E$9)</f>
        <v>7.1746999999999996</v>
      </c>
      <c r="L162" s="10">
        <f>CHOOSE(CONTROL!$C$42, 7.995, 7.995) * CHOOSE(CONTROL!$C$21, $C$9, 100%, $E$9)</f>
        <v>7.9950000000000001</v>
      </c>
      <c r="M162" s="10">
        <f>CHOOSE(CONTROL!$C$42, 7.1225, 7.1225) * CHOOSE(CONTROL!$C$21, $C$9, 100%, $E$9)</f>
        <v>7.1224999999999996</v>
      </c>
      <c r="N162" s="10">
        <f>CHOOSE(CONTROL!$C$42, 7.1406, 7.1406) * CHOOSE(CONTROL!$C$21, $C$9, 100%, $E$9)</f>
        <v>7.1406000000000001</v>
      </c>
      <c r="O162" s="10">
        <f>CHOOSE(CONTROL!$C$42, 7.347, 7.347) * CHOOSE(CONTROL!$C$21, $C$9, 100%, $E$9)</f>
        <v>7.3470000000000004</v>
      </c>
      <c r="P162" s="10">
        <f>CHOOSE(CONTROL!$C$42, 7.12, 7.12) * CHOOSE(CONTROL!$C$21, $C$9, 100%, $E$9)</f>
        <v>7.12</v>
      </c>
      <c r="Q162" s="10">
        <f>CHOOSE(CONTROL!$C$42, 7.9423, 7.9423) * CHOOSE(CONTROL!$C$21, $C$9, 100%, $E$9)</f>
        <v>7.9423000000000004</v>
      </c>
      <c r="R162" s="10">
        <f>CHOOSE(CONTROL!$C$42, 8.5492, 8.5492) * CHOOSE(CONTROL!$C$21, $C$9, 100%, $E$9)</f>
        <v>8.5492000000000008</v>
      </c>
      <c r="S162" s="10">
        <f>CHOOSE(CONTROL!$C$42, 6.9894, 6.9894) * CHOOSE(CONTROL!$C$21, $C$9, 100%, $E$9)</f>
        <v>6.9893999999999998</v>
      </c>
      <c r="T162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62" s="58">
        <f>(1000*CHOOSE(CONTROL!$C$42, 695, 695)*CHOOSE(CONTROL!$C$42, 0.5599, 0.5599)*CHOOSE(CONTROL!$C$42, 30, 30))/1000000</f>
        <v>11.673914999999997</v>
      </c>
      <c r="V162" s="58">
        <f>(1000*CHOOSE(CONTROL!$C$42, 500, 500)*CHOOSE(CONTROL!$C$42, 0.275, 0.275)*CHOOSE(CONTROL!$C$42, 30, 30))/1000000</f>
        <v>4.125</v>
      </c>
      <c r="W162" s="58">
        <f>(1000*CHOOSE(CONTROL!$C$42, 0.1146, 0.1146)*CHOOSE(CONTROL!$C$42, 121.5, 121.5)*CHOOSE(CONTROL!$C$42, 30, 30))/1000000</f>
        <v>0.417717</v>
      </c>
      <c r="X162" s="58">
        <f>(30*0.1790888*245000/1000000)+(30*0.2374*100000/1000000)</f>
        <v>2.0285026799999999</v>
      </c>
      <c r="Y162" s="58"/>
      <c r="Z162" s="10"/>
      <c r="AA162" s="57"/>
      <c r="AB162" s="51">
        <f>(B162*194.205+C162*267.466+D162*133.845+E162*53.484+F162*40+G162*185+H162*0+I162*100+J162*300)/(194.205+267.466+133.845+53.484+0+40+185+100+300)</f>
        <v>7.2257262471742534</v>
      </c>
      <c r="AC162" s="27">
        <f>(M162*'RAP TEMPLATE-GAS AVAILABILITY'!O161+N162*'RAP TEMPLATE-GAS AVAILABILITY'!P161+O162*'RAP TEMPLATE-GAS AVAILABILITY'!Q161+P162*'RAP TEMPLATE-GAS AVAILABILITY'!R161)/('RAP TEMPLATE-GAS AVAILABILITY'!O161+'RAP TEMPLATE-GAS AVAILABILITY'!P161+'RAP TEMPLATE-GAS AVAILABILITY'!Q161+'RAP TEMPLATE-GAS AVAILABILITY'!R161)</f>
        <v>7.1892964028776971</v>
      </c>
    </row>
    <row r="163" spans="1:29" ht="15.75" x14ac:dyDescent="0.25">
      <c r="A163" s="16">
        <v>46204</v>
      </c>
      <c r="B163" s="10">
        <f>CHOOSE(CONTROL!$C$42, 7.0637, 7.0637) * CHOOSE(CONTROL!$C$21, $C$9, 100%, $E$9)</f>
        <v>7.0636999999999999</v>
      </c>
      <c r="C163" s="10">
        <f>CHOOSE(CONTROL!$C$42, 7.0716, 7.0716) * CHOOSE(CONTROL!$C$21, $C$9, 100%, $E$9)</f>
        <v>7.0716000000000001</v>
      </c>
      <c r="D163" s="10">
        <f>CHOOSE(CONTROL!$C$42, 7.2501, 7.2501) * CHOOSE(CONTROL!$C$21, $C$9, 100%, $E$9)</f>
        <v>7.2500999999999998</v>
      </c>
      <c r="E163" s="10">
        <f>CHOOSE(CONTROL!$C$42, 7.2813, 7.2813) * CHOOSE(CONTROL!$C$21, $C$9, 100%, $E$9)</f>
        <v>7.2812999999999999</v>
      </c>
      <c r="F163" s="10">
        <f>CHOOSE(CONTROL!$C$42, 7.0504, 7.0504)*CHOOSE(CONTROL!$C$21, $C$9, 100%, $E$9)</f>
        <v>7.0503999999999998</v>
      </c>
      <c r="G163" s="10">
        <f>CHOOSE(CONTROL!$C$42, 7.0687, 7.0687)*CHOOSE(CONTROL!$C$21, $C$9, 100%, $E$9)</f>
        <v>7.0686999999999998</v>
      </c>
      <c r="H163" s="10">
        <f>CHOOSE(CONTROL!$C$42, 7.2699, 7.2699) * CHOOSE(CONTROL!$C$21, $C$9, 100%, $E$9)</f>
        <v>7.2698999999999998</v>
      </c>
      <c r="I163" s="10">
        <f>CHOOSE(CONTROL!$C$42, 7.0406, 7.0406)* CHOOSE(CONTROL!$C$21, $C$9, 100%, $E$9)</f>
        <v>7.0406000000000004</v>
      </c>
      <c r="J163" s="10">
        <f>CHOOSE(CONTROL!$C$42, 7.0434, 7.0434)* CHOOSE(CONTROL!$C$21, $C$9, 100%, $E$9)</f>
        <v>7.0434000000000001</v>
      </c>
      <c r="K163" s="54">
        <f>CHOOSE(CONTROL!$C$42, 7.0367, 7.0367) * CHOOSE(CONTROL!$C$21, $C$9, 100%, $E$9)</f>
        <v>7.0366999999999997</v>
      </c>
      <c r="L163" s="10">
        <f>CHOOSE(CONTROL!$C$42, 7.8569, 7.8569) * CHOOSE(CONTROL!$C$21, $C$9, 100%, $E$9)</f>
        <v>7.8569000000000004</v>
      </c>
      <c r="M163" s="10">
        <f>CHOOSE(CONTROL!$C$42, 6.9861, 6.9861) * CHOOSE(CONTROL!$C$21, $C$9, 100%, $E$9)</f>
        <v>6.9861000000000004</v>
      </c>
      <c r="N163" s="10">
        <f>CHOOSE(CONTROL!$C$42, 7.0043, 7.0043) * CHOOSE(CONTROL!$C$21, $C$9, 100%, $E$9)</f>
        <v>7.0042999999999997</v>
      </c>
      <c r="O163" s="10">
        <f>CHOOSE(CONTROL!$C$42, 7.2104, 7.2104) * CHOOSE(CONTROL!$C$21, $C$9, 100%, $E$9)</f>
        <v>7.2103999999999999</v>
      </c>
      <c r="P163" s="10">
        <f>CHOOSE(CONTROL!$C$42, 6.9834, 6.9834) * CHOOSE(CONTROL!$C$21, $C$9, 100%, $E$9)</f>
        <v>6.9833999999999996</v>
      </c>
      <c r="Q163" s="10">
        <f>CHOOSE(CONTROL!$C$42, 7.8057, 7.8057) * CHOOSE(CONTROL!$C$21, $C$9, 100%, $E$9)</f>
        <v>7.8056999999999999</v>
      </c>
      <c r="R163" s="10">
        <f>CHOOSE(CONTROL!$C$42, 8.4122, 8.4122) * CHOOSE(CONTROL!$C$21, $C$9, 100%, $E$9)</f>
        <v>8.4122000000000003</v>
      </c>
      <c r="S163" s="10">
        <f>CHOOSE(CONTROL!$C$42, 6.8553, 6.8553) * CHOOSE(CONTROL!$C$21, $C$9, 100%, $E$9)</f>
        <v>6.8552999999999997</v>
      </c>
      <c r="T163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63" s="58">
        <f>(1000*CHOOSE(CONTROL!$C$42, 695, 695)*CHOOSE(CONTROL!$C$42, 0.5599, 0.5599)*CHOOSE(CONTROL!$C$42, 31, 31))/1000000</f>
        <v>12.063045499999998</v>
      </c>
      <c r="V163" s="58">
        <f>(1000*CHOOSE(CONTROL!$C$42, 500, 500)*CHOOSE(CONTROL!$C$42, 0.275, 0.275)*CHOOSE(CONTROL!$C$42, 31, 31))/1000000</f>
        <v>4.2625000000000002</v>
      </c>
      <c r="W163" s="58">
        <f>(1000*CHOOSE(CONTROL!$C$42, 0.1146, 0.1146)*CHOOSE(CONTROL!$C$42, 121.5, 121.5)*CHOOSE(CONTROL!$C$42, 31, 31))/1000000</f>
        <v>0.43164089999999994</v>
      </c>
      <c r="X163" s="58">
        <f>(31*0.1790888*245000/1000000)+(31*0.2374*100000/1000000)</f>
        <v>2.0961194359999999</v>
      </c>
      <c r="Y163" s="58"/>
      <c r="Z163" s="10"/>
      <c r="AA163" s="57"/>
      <c r="AB163" s="51">
        <f>(B163*194.205+C163*267.466+D163*133.845+E163*53.484+F163*40+G163*185+H163*0+I163*100+J163*300)/(194.205+267.466+133.845+53.484+0+40+185+100+300)</f>
        <v>7.087791685871272</v>
      </c>
      <c r="AC163" s="27">
        <f>(M163*'RAP TEMPLATE-GAS AVAILABILITY'!O162+N163*'RAP TEMPLATE-GAS AVAILABILITY'!P162+O163*'RAP TEMPLATE-GAS AVAILABILITY'!Q162+P163*'RAP TEMPLATE-GAS AVAILABILITY'!R162)/('RAP TEMPLATE-GAS AVAILABILITY'!O162+'RAP TEMPLATE-GAS AVAILABILITY'!P162+'RAP TEMPLATE-GAS AVAILABILITY'!Q162+'RAP TEMPLATE-GAS AVAILABILITY'!R162)</f>
        <v>7.0528345323741011</v>
      </c>
    </row>
    <row r="164" spans="1:29" ht="15.75" x14ac:dyDescent="0.25">
      <c r="A164" s="16">
        <v>46235</v>
      </c>
      <c r="B164" s="10">
        <f>CHOOSE(CONTROL!$C$42, 6.715, 6.715) * CHOOSE(CONTROL!$C$21, $C$9, 100%, $E$9)</f>
        <v>6.7149999999999999</v>
      </c>
      <c r="C164" s="10">
        <f>CHOOSE(CONTROL!$C$42, 6.723, 6.723) * CHOOSE(CONTROL!$C$21, $C$9, 100%, $E$9)</f>
        <v>6.7229999999999999</v>
      </c>
      <c r="D164" s="10">
        <f>CHOOSE(CONTROL!$C$42, 6.9015, 6.9015) * CHOOSE(CONTROL!$C$21, $C$9, 100%, $E$9)</f>
        <v>6.9015000000000004</v>
      </c>
      <c r="E164" s="10">
        <f>CHOOSE(CONTROL!$C$42, 6.9326, 6.9326) * CHOOSE(CONTROL!$C$21, $C$9, 100%, $E$9)</f>
        <v>6.9325999999999999</v>
      </c>
      <c r="F164" s="10">
        <f>CHOOSE(CONTROL!$C$42, 6.7017, 6.7017)*CHOOSE(CONTROL!$C$21, $C$9, 100%, $E$9)</f>
        <v>6.7016999999999998</v>
      </c>
      <c r="G164" s="10">
        <f>CHOOSE(CONTROL!$C$42, 6.72, 6.72)*CHOOSE(CONTROL!$C$21, $C$9, 100%, $E$9)</f>
        <v>6.72</v>
      </c>
      <c r="H164" s="10">
        <f>CHOOSE(CONTROL!$C$42, 6.9213, 6.9213) * CHOOSE(CONTROL!$C$21, $C$9, 100%, $E$9)</f>
        <v>6.9212999999999996</v>
      </c>
      <c r="I164" s="10">
        <f>CHOOSE(CONTROL!$C$42, 6.6919, 6.6919)* CHOOSE(CONTROL!$C$21, $C$9, 100%, $E$9)</f>
        <v>6.6919000000000004</v>
      </c>
      <c r="J164" s="10">
        <f>CHOOSE(CONTROL!$C$42, 6.6947, 6.6947)* CHOOSE(CONTROL!$C$21, $C$9, 100%, $E$9)</f>
        <v>6.6947000000000001</v>
      </c>
      <c r="K164" s="54">
        <f>CHOOSE(CONTROL!$C$42, 6.688, 6.688) * CHOOSE(CONTROL!$C$21, $C$9, 100%, $E$9)</f>
        <v>6.6879999999999997</v>
      </c>
      <c r="L164" s="10">
        <f>CHOOSE(CONTROL!$C$42, 7.5083, 7.5083) * CHOOSE(CONTROL!$C$21, $C$9, 100%, $E$9)</f>
        <v>7.5083000000000002</v>
      </c>
      <c r="M164" s="10">
        <f>CHOOSE(CONTROL!$C$42, 6.641, 6.641) * CHOOSE(CONTROL!$C$21, $C$9, 100%, $E$9)</f>
        <v>6.641</v>
      </c>
      <c r="N164" s="10">
        <f>CHOOSE(CONTROL!$C$42, 6.6591, 6.6591) * CHOOSE(CONTROL!$C$21, $C$9, 100%, $E$9)</f>
        <v>6.6590999999999996</v>
      </c>
      <c r="O164" s="10">
        <f>CHOOSE(CONTROL!$C$42, 6.8652, 6.8652) * CHOOSE(CONTROL!$C$21, $C$9, 100%, $E$9)</f>
        <v>6.8651999999999997</v>
      </c>
      <c r="P164" s="10">
        <f>CHOOSE(CONTROL!$C$42, 6.6382, 6.6382) * CHOOSE(CONTROL!$C$21, $C$9, 100%, $E$9)</f>
        <v>6.6382000000000003</v>
      </c>
      <c r="Q164" s="10">
        <f>CHOOSE(CONTROL!$C$42, 7.4605, 7.4605) * CHOOSE(CONTROL!$C$21, $C$9, 100%, $E$9)</f>
        <v>7.4604999999999997</v>
      </c>
      <c r="R164" s="10">
        <f>CHOOSE(CONTROL!$C$42, 8.0662, 8.0662) * CHOOSE(CONTROL!$C$21, $C$9, 100%, $E$9)</f>
        <v>8.0662000000000003</v>
      </c>
      <c r="S164" s="10">
        <f>CHOOSE(CONTROL!$C$42, 6.5167, 6.5167) * CHOOSE(CONTROL!$C$21, $C$9, 100%, $E$9)</f>
        <v>6.5167000000000002</v>
      </c>
      <c r="T164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64" s="58">
        <f>(1000*CHOOSE(CONTROL!$C$42, 695, 695)*CHOOSE(CONTROL!$C$42, 0.5599, 0.5599)*CHOOSE(CONTROL!$C$42, 31, 31))/1000000</f>
        <v>12.063045499999998</v>
      </c>
      <c r="V164" s="58">
        <f>(1000*CHOOSE(CONTROL!$C$42, 500, 500)*CHOOSE(CONTROL!$C$42, 0.275, 0.275)*CHOOSE(CONTROL!$C$42, 31, 31))/1000000</f>
        <v>4.2625000000000002</v>
      </c>
      <c r="W164" s="58">
        <f>(1000*CHOOSE(CONTROL!$C$42, 0.1146, 0.1146)*CHOOSE(CONTROL!$C$42, 121.5, 121.5)*CHOOSE(CONTROL!$C$42, 31, 31))/1000000</f>
        <v>0.43164089999999994</v>
      </c>
      <c r="X164" s="58">
        <f>(31*0.1790888*245000/1000000)+(31*0.2374*100000/1000000)</f>
        <v>2.0961194359999999</v>
      </c>
      <c r="Y164" s="58"/>
      <c r="Z164" s="10"/>
      <c r="AA164" s="57"/>
      <c r="AB164" s="51">
        <f>(B164*194.205+C164*267.466+D164*133.845+E164*53.484+F164*40+G164*185+H164*0+I164*100+J164*300)/(194.205+267.466+133.845+53.484+0+40+185+100+300)</f>
        <v>6.7391231859497651</v>
      </c>
      <c r="AC164" s="27">
        <f>(M164*'RAP TEMPLATE-GAS AVAILABILITY'!O163+N164*'RAP TEMPLATE-GAS AVAILABILITY'!P163+O164*'RAP TEMPLATE-GAS AVAILABILITY'!Q163+P164*'RAP TEMPLATE-GAS AVAILABILITY'!R163)/('RAP TEMPLATE-GAS AVAILABILITY'!O163+'RAP TEMPLATE-GAS AVAILABILITY'!P163+'RAP TEMPLATE-GAS AVAILABILITY'!Q163+'RAP TEMPLATE-GAS AVAILABILITY'!R163)</f>
        <v>6.7076690647482016</v>
      </c>
    </row>
    <row r="165" spans="1:29" ht="15.75" x14ac:dyDescent="0.25">
      <c r="A165" s="16">
        <v>46266</v>
      </c>
      <c r="B165" s="10">
        <f>CHOOSE(CONTROL!$C$42, 6.2891, 6.2891) * CHOOSE(CONTROL!$C$21, $C$9, 100%, $E$9)</f>
        <v>6.2891000000000004</v>
      </c>
      <c r="C165" s="10">
        <f>CHOOSE(CONTROL!$C$42, 6.297, 6.297) * CHOOSE(CONTROL!$C$21, $C$9, 100%, $E$9)</f>
        <v>6.2969999999999997</v>
      </c>
      <c r="D165" s="10">
        <f>CHOOSE(CONTROL!$C$42, 6.4755, 6.4755) * CHOOSE(CONTROL!$C$21, $C$9, 100%, $E$9)</f>
        <v>6.4755000000000003</v>
      </c>
      <c r="E165" s="10">
        <f>CHOOSE(CONTROL!$C$42, 6.5067, 6.5067) * CHOOSE(CONTROL!$C$21, $C$9, 100%, $E$9)</f>
        <v>6.5067000000000004</v>
      </c>
      <c r="F165" s="10">
        <f>CHOOSE(CONTROL!$C$42, 6.2754, 6.2754)*CHOOSE(CONTROL!$C$21, $C$9, 100%, $E$9)</f>
        <v>6.2754000000000003</v>
      </c>
      <c r="G165" s="10">
        <f>CHOOSE(CONTROL!$C$42, 6.2937, 6.2937)*CHOOSE(CONTROL!$C$21, $C$9, 100%, $E$9)</f>
        <v>6.2937000000000003</v>
      </c>
      <c r="H165" s="10">
        <f>CHOOSE(CONTROL!$C$42, 6.4953, 6.4953) * CHOOSE(CONTROL!$C$21, $C$9, 100%, $E$9)</f>
        <v>6.4953000000000003</v>
      </c>
      <c r="I165" s="10">
        <f>CHOOSE(CONTROL!$C$42, 6.2659, 6.2659)* CHOOSE(CONTROL!$C$21, $C$9, 100%, $E$9)</f>
        <v>6.2659000000000002</v>
      </c>
      <c r="J165" s="10">
        <f>CHOOSE(CONTROL!$C$42, 6.2684, 6.2684)* CHOOSE(CONTROL!$C$21, $C$9, 100%, $E$9)</f>
        <v>6.2683999999999997</v>
      </c>
      <c r="K165" s="54">
        <f>CHOOSE(CONTROL!$C$42, 6.2621, 6.2621) * CHOOSE(CONTROL!$C$21, $C$9, 100%, $E$9)</f>
        <v>6.2621000000000002</v>
      </c>
      <c r="L165" s="10">
        <f>CHOOSE(CONTROL!$C$42, 7.0823, 7.0823) * CHOOSE(CONTROL!$C$21, $C$9, 100%, $E$9)</f>
        <v>7.0823</v>
      </c>
      <c r="M165" s="10">
        <f>CHOOSE(CONTROL!$C$42, 6.219, 6.219) * CHOOSE(CONTROL!$C$21, $C$9, 100%, $E$9)</f>
        <v>6.2190000000000003</v>
      </c>
      <c r="N165" s="10">
        <f>CHOOSE(CONTROL!$C$42, 6.237, 6.237) * CHOOSE(CONTROL!$C$21, $C$9, 100%, $E$9)</f>
        <v>6.2370000000000001</v>
      </c>
      <c r="O165" s="10">
        <f>CHOOSE(CONTROL!$C$42, 6.4436, 6.4436) * CHOOSE(CONTROL!$C$21, $C$9, 100%, $E$9)</f>
        <v>6.4436</v>
      </c>
      <c r="P165" s="10">
        <f>CHOOSE(CONTROL!$C$42, 6.2166, 6.2166) * CHOOSE(CONTROL!$C$21, $C$9, 100%, $E$9)</f>
        <v>6.2165999999999997</v>
      </c>
      <c r="Q165" s="10">
        <f>CHOOSE(CONTROL!$C$42, 7.0389, 7.0389) * CHOOSE(CONTROL!$C$21, $C$9, 100%, $E$9)</f>
        <v>7.0388999999999999</v>
      </c>
      <c r="R165" s="10">
        <f>CHOOSE(CONTROL!$C$42, 7.6435, 7.6435) * CHOOSE(CONTROL!$C$21, $C$9, 100%, $E$9)</f>
        <v>7.6435000000000004</v>
      </c>
      <c r="S165" s="10">
        <f>CHOOSE(CONTROL!$C$42, 6.1031, 6.1031) * CHOOSE(CONTROL!$C$21, $C$9, 100%, $E$9)</f>
        <v>6.1031000000000004</v>
      </c>
      <c r="T165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65" s="58">
        <f>(1000*CHOOSE(CONTROL!$C$42, 695, 695)*CHOOSE(CONTROL!$C$42, 0.5599, 0.5599)*CHOOSE(CONTROL!$C$42, 30, 30))/1000000</f>
        <v>11.673914999999997</v>
      </c>
      <c r="V165" s="58">
        <f>(1000*CHOOSE(CONTROL!$C$42, 500, 500)*CHOOSE(CONTROL!$C$42, 0.275, 0.275)*CHOOSE(CONTROL!$C$42, 30, 30))/1000000</f>
        <v>4.125</v>
      </c>
      <c r="W165" s="58">
        <f>(1000*CHOOSE(CONTROL!$C$42, 0.1146, 0.1146)*CHOOSE(CONTROL!$C$42, 121.5, 121.5)*CHOOSE(CONTROL!$C$42, 30, 30))/1000000</f>
        <v>0.417717</v>
      </c>
      <c r="X165" s="58">
        <f>(30*0.1790888*245000/1000000)+(30*0.2374*100000/1000000)</f>
        <v>2.0285026799999999</v>
      </c>
      <c r="Y165" s="58"/>
      <c r="Z165" s="10"/>
      <c r="AA165" s="57"/>
      <c r="AB165" s="51">
        <f>(B165*194.205+C165*267.466+D165*133.845+E165*53.484+F165*40+G165*185+H165*0+I165*100+J165*300)/(194.205+267.466+133.845+53.484+0+40+185+100+300)</f>
        <v>6.3130190014128731</v>
      </c>
      <c r="AC165" s="27">
        <f>(M165*'RAP TEMPLATE-GAS AVAILABILITY'!O164+N165*'RAP TEMPLATE-GAS AVAILABILITY'!P164+O165*'RAP TEMPLATE-GAS AVAILABILITY'!Q164+P165*'RAP TEMPLATE-GAS AVAILABILITY'!R164)/('RAP TEMPLATE-GAS AVAILABILITY'!O164+'RAP TEMPLATE-GAS AVAILABILITY'!P164+'RAP TEMPLATE-GAS AVAILABILITY'!Q164+'RAP TEMPLATE-GAS AVAILABILITY'!R164)</f>
        <v>6.2858158273381308</v>
      </c>
    </row>
    <row r="166" spans="1:29" ht="15.75" x14ac:dyDescent="0.25">
      <c r="A166" s="16">
        <v>46296</v>
      </c>
      <c r="B166" s="10">
        <f>CHOOSE(CONTROL!$C$42, 6.1593, 6.1593) * CHOOSE(CONTROL!$C$21, $C$9, 100%, $E$9)</f>
        <v>6.1593</v>
      </c>
      <c r="C166" s="10">
        <f>CHOOSE(CONTROL!$C$42, 6.1646, 6.1646) * CHOOSE(CONTROL!$C$21, $C$9, 100%, $E$9)</f>
        <v>6.1646000000000001</v>
      </c>
      <c r="D166" s="10">
        <f>CHOOSE(CONTROL!$C$42, 6.3481, 6.3481) * CHOOSE(CONTROL!$C$21, $C$9, 100%, $E$9)</f>
        <v>6.3480999999999996</v>
      </c>
      <c r="E166" s="10">
        <f>CHOOSE(CONTROL!$C$42, 6.3769, 6.3769) * CHOOSE(CONTROL!$C$21, $C$9, 100%, $E$9)</f>
        <v>6.3769</v>
      </c>
      <c r="F166" s="10">
        <f>CHOOSE(CONTROL!$C$42, 6.1477, 6.1477)*CHOOSE(CONTROL!$C$21, $C$9, 100%, $E$9)</f>
        <v>6.1477000000000004</v>
      </c>
      <c r="G166" s="10">
        <f>CHOOSE(CONTROL!$C$42, 6.1656, 6.1656)*CHOOSE(CONTROL!$C$21, $C$9, 100%, $E$9)</f>
        <v>6.1656000000000004</v>
      </c>
      <c r="H166" s="10">
        <f>CHOOSE(CONTROL!$C$42, 6.3673, 6.3673) * CHOOSE(CONTROL!$C$21, $C$9, 100%, $E$9)</f>
        <v>6.3673000000000002</v>
      </c>
      <c r="I166" s="10">
        <f>CHOOSE(CONTROL!$C$42, 6.138, 6.138)* CHOOSE(CONTROL!$C$21, $C$9, 100%, $E$9)</f>
        <v>6.1379999999999999</v>
      </c>
      <c r="J166" s="10">
        <f>CHOOSE(CONTROL!$C$42, 6.1407, 6.1407)* CHOOSE(CONTROL!$C$21, $C$9, 100%, $E$9)</f>
        <v>6.1406999999999998</v>
      </c>
      <c r="K166" s="54">
        <f>CHOOSE(CONTROL!$C$42, 6.1341, 6.1341) * CHOOSE(CONTROL!$C$21, $C$9, 100%, $E$9)</f>
        <v>6.1341000000000001</v>
      </c>
      <c r="L166" s="10">
        <f>CHOOSE(CONTROL!$C$42, 6.9543, 6.9543) * CHOOSE(CONTROL!$C$21, $C$9, 100%, $E$9)</f>
        <v>6.9542999999999999</v>
      </c>
      <c r="M166" s="10">
        <f>CHOOSE(CONTROL!$C$42, 6.0925, 6.0925) * CHOOSE(CONTROL!$C$21, $C$9, 100%, $E$9)</f>
        <v>6.0925000000000002</v>
      </c>
      <c r="N166" s="10">
        <f>CHOOSE(CONTROL!$C$42, 6.1102, 6.1102) * CHOOSE(CONTROL!$C$21, $C$9, 100%, $E$9)</f>
        <v>6.1101999999999999</v>
      </c>
      <c r="O166" s="10">
        <f>CHOOSE(CONTROL!$C$42, 6.3169, 6.3169) * CHOOSE(CONTROL!$C$21, $C$9, 100%, $E$9)</f>
        <v>6.3169000000000004</v>
      </c>
      <c r="P166" s="10">
        <f>CHOOSE(CONTROL!$C$42, 6.0899, 6.0899) * CHOOSE(CONTROL!$C$21, $C$9, 100%, $E$9)</f>
        <v>6.0899000000000001</v>
      </c>
      <c r="Q166" s="10">
        <f>CHOOSE(CONTROL!$C$42, 6.9122, 6.9122) * CHOOSE(CONTROL!$C$21, $C$9, 100%, $E$9)</f>
        <v>6.9122000000000003</v>
      </c>
      <c r="R166" s="10">
        <f>CHOOSE(CONTROL!$C$42, 7.5165, 7.5165) * CHOOSE(CONTROL!$C$21, $C$9, 100%, $E$9)</f>
        <v>7.5164999999999997</v>
      </c>
      <c r="S166" s="10">
        <f>CHOOSE(CONTROL!$C$42, 5.9788, 5.9788) * CHOOSE(CONTROL!$C$21, $C$9, 100%, $E$9)</f>
        <v>5.9787999999999997</v>
      </c>
      <c r="T166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66" s="58">
        <f>(1000*CHOOSE(CONTROL!$C$42, 695, 695)*CHOOSE(CONTROL!$C$42, 0.5599, 0.5599)*CHOOSE(CONTROL!$C$42, 31, 31))/1000000</f>
        <v>12.063045499999998</v>
      </c>
      <c r="V166" s="58">
        <f>(1000*CHOOSE(CONTROL!$C$42, 500, 500)*CHOOSE(CONTROL!$C$42, 0.275, 0.275)*CHOOSE(CONTROL!$C$42, 31, 31))/1000000</f>
        <v>4.2625000000000002</v>
      </c>
      <c r="W166" s="58">
        <f>(1000*CHOOSE(CONTROL!$C$42, 0.1146, 0.1146)*CHOOSE(CONTROL!$C$42, 121.5, 121.5)*CHOOSE(CONTROL!$C$42, 31, 31))/1000000</f>
        <v>0.43164089999999994</v>
      </c>
      <c r="X166" s="58">
        <f>(31*0.1790888*245000/1000000)+(31*0.2374*100000/1000000)</f>
        <v>2.0961194359999999</v>
      </c>
      <c r="Y166" s="58"/>
      <c r="Z166" s="10"/>
      <c r="AA166" s="57"/>
      <c r="AB166" s="51">
        <f>(B166*131.881+C166*277.167+D166*79.08+E166*125.872+F166*40+G166*185+H166*0+I166*100+J166*300)/(131.881+277.167+79.08+125.872+0+40+185+100+300)</f>
        <v>6.1889856628732858</v>
      </c>
      <c r="AC166" s="27">
        <f>(M166*'RAP TEMPLATE-GAS AVAILABILITY'!O165+N166*'RAP TEMPLATE-GAS AVAILABILITY'!P165+O166*'RAP TEMPLATE-GAS AVAILABILITY'!Q165+P166*'RAP TEMPLATE-GAS AVAILABILITY'!R165)/('RAP TEMPLATE-GAS AVAILABILITY'!O165+'RAP TEMPLATE-GAS AVAILABILITY'!P165+'RAP TEMPLATE-GAS AVAILABILITY'!Q165+'RAP TEMPLATE-GAS AVAILABILITY'!R165)</f>
        <v>6.1591618705035973</v>
      </c>
    </row>
    <row r="167" spans="1:29" ht="15.75" x14ac:dyDescent="0.25">
      <c r="A167" s="16">
        <v>46327</v>
      </c>
      <c r="B167" s="10">
        <f>CHOOSE(CONTROL!$C$42, 6.3211, 6.3211) * CHOOSE(CONTROL!$C$21, $C$9, 100%, $E$9)</f>
        <v>6.3211000000000004</v>
      </c>
      <c r="C167" s="10">
        <f>CHOOSE(CONTROL!$C$42, 6.3261, 6.3261) * CHOOSE(CONTROL!$C$21, $C$9, 100%, $E$9)</f>
        <v>6.3261000000000003</v>
      </c>
      <c r="D167" s="10">
        <f>CHOOSE(CONTROL!$C$42, 6.3557, 6.3557) * CHOOSE(CONTROL!$C$21, $C$9, 100%, $E$9)</f>
        <v>6.3556999999999997</v>
      </c>
      <c r="E167" s="10">
        <f>CHOOSE(CONTROL!$C$42, 6.3894, 6.3894) * CHOOSE(CONTROL!$C$21, $C$9, 100%, $E$9)</f>
        <v>6.3894000000000002</v>
      </c>
      <c r="F167" s="10">
        <f>CHOOSE(CONTROL!$C$42, 6.3069, 6.3069)*CHOOSE(CONTROL!$C$21, $C$9, 100%, $E$9)</f>
        <v>6.3068999999999997</v>
      </c>
      <c r="G167" s="10">
        <f>CHOOSE(CONTROL!$C$42, 6.3249, 6.3249)*CHOOSE(CONTROL!$C$21, $C$9, 100%, $E$9)</f>
        <v>6.3249000000000004</v>
      </c>
      <c r="H167" s="10">
        <f>CHOOSE(CONTROL!$C$42, 6.3786, 6.3786) * CHOOSE(CONTROL!$C$21, $C$9, 100%, $E$9)</f>
        <v>6.3785999999999996</v>
      </c>
      <c r="I167" s="10">
        <f>CHOOSE(CONTROL!$C$42, 6.2873, 6.2873)* CHOOSE(CONTROL!$C$21, $C$9, 100%, $E$9)</f>
        <v>6.2873000000000001</v>
      </c>
      <c r="J167" s="10">
        <f>CHOOSE(CONTROL!$C$42, 6.2999, 6.2999)* CHOOSE(CONTROL!$C$21, $C$9, 100%, $E$9)</f>
        <v>6.2999000000000001</v>
      </c>
      <c r="K167" s="54">
        <f>CHOOSE(CONTROL!$C$42, 6.2834, 6.2834) * CHOOSE(CONTROL!$C$21, $C$9, 100%, $E$9)</f>
        <v>6.2834000000000003</v>
      </c>
      <c r="L167" s="10">
        <f>CHOOSE(CONTROL!$C$42, 6.9656, 6.9656) * CHOOSE(CONTROL!$C$21, $C$9, 100%, $E$9)</f>
        <v>6.9656000000000002</v>
      </c>
      <c r="M167" s="10">
        <f>CHOOSE(CONTROL!$C$42, 6.2501, 6.2501) * CHOOSE(CONTROL!$C$21, $C$9, 100%, $E$9)</f>
        <v>6.2500999999999998</v>
      </c>
      <c r="N167" s="10">
        <f>CHOOSE(CONTROL!$C$42, 6.268, 6.268) * CHOOSE(CONTROL!$C$21, $C$9, 100%, $E$9)</f>
        <v>6.2679999999999998</v>
      </c>
      <c r="O167" s="10">
        <f>CHOOSE(CONTROL!$C$42, 6.3281, 6.3281) * CHOOSE(CONTROL!$C$21, $C$9, 100%, $E$9)</f>
        <v>6.3281000000000001</v>
      </c>
      <c r="P167" s="10">
        <f>CHOOSE(CONTROL!$C$42, 6.2377, 6.2377) * CHOOSE(CONTROL!$C$21, $C$9, 100%, $E$9)</f>
        <v>6.2377000000000002</v>
      </c>
      <c r="Q167" s="10">
        <f>CHOOSE(CONTROL!$C$42, 6.9234, 6.9234) * CHOOSE(CONTROL!$C$21, $C$9, 100%, $E$9)</f>
        <v>6.9234</v>
      </c>
      <c r="R167" s="10">
        <f>CHOOSE(CONTROL!$C$42, 7.5277, 7.5277) * CHOOSE(CONTROL!$C$21, $C$9, 100%, $E$9)</f>
        <v>7.5277000000000003</v>
      </c>
      <c r="S167" s="10">
        <f>CHOOSE(CONTROL!$C$42, 6.1363, 6.1363) * CHOOSE(CONTROL!$C$21, $C$9, 100%, $E$9)</f>
        <v>6.1363000000000003</v>
      </c>
      <c r="T167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67" s="58">
        <f>(1000*CHOOSE(CONTROL!$C$42, 695, 695)*CHOOSE(CONTROL!$C$42, 0.5599, 0.5599)*CHOOSE(CONTROL!$C$42, 30, 30))/1000000</f>
        <v>11.673914999999997</v>
      </c>
      <c r="V167" s="58">
        <f>(1000*CHOOSE(CONTROL!$C$42, 500, 500)*CHOOSE(CONTROL!$C$42, 0.275, 0.275)*CHOOSE(CONTROL!$C$42, 30, 30))/1000000</f>
        <v>4.125</v>
      </c>
      <c r="W167" s="58">
        <f>(1000*CHOOSE(CONTROL!$C$42, 0.1146, 0.1146)*CHOOSE(CONTROL!$C$42, 121.5, 121.5)*CHOOSE(CONTROL!$C$42, 30, 30))/1000000</f>
        <v>0.417717</v>
      </c>
      <c r="X167" s="58">
        <f>(30*0.1790888*100000/1000000)+(30*0.2374*100000/1000000)</f>
        <v>1.2494664</v>
      </c>
      <c r="Y167" s="58"/>
      <c r="Z167" s="10"/>
      <c r="AA167" s="57"/>
      <c r="AB167" s="51">
        <f>(B167*122.58+C167*297.941+D167*89.177+E167*40.302+F167*40+G167*160+H167*0+I167*100+J167*300)/(122.58+297.941+89.177+40.302+0+40+160+100+300)</f>
        <v>6.3190372659130434</v>
      </c>
      <c r="AC167" s="27">
        <f>(M167*'RAP TEMPLATE-GAS AVAILABILITY'!O166+N167*'RAP TEMPLATE-GAS AVAILABILITY'!P166+O167*'RAP TEMPLATE-GAS AVAILABILITY'!Q166+P167*'RAP TEMPLATE-GAS AVAILABILITY'!R166)/('RAP TEMPLATE-GAS AVAILABILITY'!O166+'RAP TEMPLATE-GAS AVAILABILITY'!P166+'RAP TEMPLATE-GAS AVAILABILITY'!Q166+'RAP TEMPLATE-GAS AVAILABILITY'!R166)</f>
        <v>6.2846985611510791</v>
      </c>
    </row>
    <row r="168" spans="1:29" ht="15.75" x14ac:dyDescent="0.25">
      <c r="A168" s="16">
        <v>46357</v>
      </c>
      <c r="B168" s="10">
        <f>CHOOSE(CONTROL!$C$42, 6.7519, 6.7519) * CHOOSE(CONTROL!$C$21, $C$9, 100%, $E$9)</f>
        <v>6.7519</v>
      </c>
      <c r="C168" s="10">
        <f>CHOOSE(CONTROL!$C$42, 6.7568, 6.7568) * CHOOSE(CONTROL!$C$21, $C$9, 100%, $E$9)</f>
        <v>6.7568000000000001</v>
      </c>
      <c r="D168" s="10">
        <f>CHOOSE(CONTROL!$C$42, 6.7864, 6.7864) * CHOOSE(CONTROL!$C$21, $C$9, 100%, $E$9)</f>
        <v>6.7864000000000004</v>
      </c>
      <c r="E168" s="10">
        <f>CHOOSE(CONTROL!$C$42, 6.8202, 6.8202) * CHOOSE(CONTROL!$C$21, $C$9, 100%, $E$9)</f>
        <v>6.8201999999999998</v>
      </c>
      <c r="F168" s="10">
        <f>CHOOSE(CONTROL!$C$42, 6.7392, 6.7392)*CHOOSE(CONTROL!$C$21, $C$9, 100%, $E$9)</f>
        <v>6.7392000000000003</v>
      </c>
      <c r="G168" s="10">
        <f>CHOOSE(CONTROL!$C$42, 6.7576, 6.7576)*CHOOSE(CONTROL!$C$21, $C$9, 100%, $E$9)</f>
        <v>6.7576000000000001</v>
      </c>
      <c r="H168" s="10">
        <f>CHOOSE(CONTROL!$C$42, 6.8094, 6.8094) * CHOOSE(CONTROL!$C$21, $C$9, 100%, $E$9)</f>
        <v>6.8094000000000001</v>
      </c>
      <c r="I168" s="10">
        <f>CHOOSE(CONTROL!$C$42, 6.718, 6.718)* CHOOSE(CONTROL!$C$21, $C$9, 100%, $E$9)</f>
        <v>6.718</v>
      </c>
      <c r="J168" s="10">
        <f>CHOOSE(CONTROL!$C$42, 6.7322, 6.7322)* CHOOSE(CONTROL!$C$21, $C$9, 100%, $E$9)</f>
        <v>6.7321999999999997</v>
      </c>
      <c r="K168" s="54">
        <f>CHOOSE(CONTROL!$C$42, 6.7142, 6.7142) * CHOOSE(CONTROL!$C$21, $C$9, 100%, $E$9)</f>
        <v>6.7141999999999999</v>
      </c>
      <c r="L168" s="10">
        <f>CHOOSE(CONTROL!$C$42, 7.3964, 7.3964) * CHOOSE(CONTROL!$C$21, $C$9, 100%, $E$9)</f>
        <v>7.3963999999999999</v>
      </c>
      <c r="M168" s="10">
        <f>CHOOSE(CONTROL!$C$42, 6.6781, 6.6781) * CHOOSE(CONTROL!$C$21, $C$9, 100%, $E$9)</f>
        <v>6.6780999999999997</v>
      </c>
      <c r="N168" s="10">
        <f>CHOOSE(CONTROL!$C$42, 6.6963, 6.6963) * CHOOSE(CONTROL!$C$21, $C$9, 100%, $E$9)</f>
        <v>6.6962999999999999</v>
      </c>
      <c r="O168" s="10">
        <f>CHOOSE(CONTROL!$C$42, 6.7545, 6.7545) * CHOOSE(CONTROL!$C$21, $C$9, 100%, $E$9)</f>
        <v>6.7545000000000002</v>
      </c>
      <c r="P168" s="10">
        <f>CHOOSE(CONTROL!$C$42, 6.6641, 6.6641) * CHOOSE(CONTROL!$C$21, $C$9, 100%, $E$9)</f>
        <v>6.6641000000000004</v>
      </c>
      <c r="Q168" s="10">
        <f>CHOOSE(CONTROL!$C$42, 7.3498, 7.3498) * CHOOSE(CONTROL!$C$21, $C$9, 100%, $E$9)</f>
        <v>7.3498000000000001</v>
      </c>
      <c r="R168" s="10">
        <f>CHOOSE(CONTROL!$C$42, 7.9552, 7.9552) * CHOOSE(CONTROL!$C$21, $C$9, 100%, $E$9)</f>
        <v>7.9551999999999996</v>
      </c>
      <c r="S168" s="10">
        <f>CHOOSE(CONTROL!$C$42, 6.5546, 6.5546) * CHOOSE(CONTROL!$C$21, $C$9, 100%, $E$9)</f>
        <v>6.5545999999999998</v>
      </c>
      <c r="T168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68" s="58">
        <f>(1000*CHOOSE(CONTROL!$C$42, 695, 695)*CHOOSE(CONTROL!$C$42, 0.5599, 0.5599)*CHOOSE(CONTROL!$C$42, 31, 31))/1000000</f>
        <v>12.063045499999998</v>
      </c>
      <c r="V168" s="58">
        <f>(1000*CHOOSE(CONTROL!$C$42, 500, 500)*CHOOSE(CONTROL!$C$42, 0.275, 0.275)*CHOOSE(CONTROL!$C$42, 31, 31))/1000000</f>
        <v>4.2625000000000002</v>
      </c>
      <c r="W168" s="58">
        <f>(1000*CHOOSE(CONTROL!$C$42, 0.1146, 0.1146)*CHOOSE(CONTROL!$C$42, 121.5, 121.5)*CHOOSE(CONTROL!$C$42, 31, 31))/1000000</f>
        <v>0.43164089999999994</v>
      </c>
      <c r="X168" s="58">
        <f>(31*0.1790888*100000/1000000)+(31*0.2374*100000/1000000)</f>
        <v>1.2911152800000001</v>
      </c>
      <c r="Y168" s="58"/>
      <c r="Z168" s="10"/>
      <c r="AA168" s="57"/>
      <c r="AB168" s="51">
        <f>(B168*122.58+C168*297.941+D168*89.177+E168*40.302+F168*40+G168*160+H168*0+I168*100+J168*300)/(122.58+297.941+89.177+40.302+0+40+160+100+300)</f>
        <v>6.7505027339130432</v>
      </c>
      <c r="AC168" s="27">
        <f>(M168*'RAP TEMPLATE-GAS AVAILABILITY'!O167+N168*'RAP TEMPLATE-GAS AVAILABILITY'!P167+O168*'RAP TEMPLATE-GAS AVAILABILITY'!Q167+P168*'RAP TEMPLATE-GAS AVAILABILITY'!R167)/('RAP TEMPLATE-GAS AVAILABILITY'!O167+'RAP TEMPLATE-GAS AVAILABILITY'!P167+'RAP TEMPLATE-GAS AVAILABILITY'!Q167+'RAP TEMPLATE-GAS AVAILABILITY'!R167)</f>
        <v>6.7117604316546764</v>
      </c>
    </row>
    <row r="169" spans="1:29" ht="15.75" x14ac:dyDescent="0.25">
      <c r="A169" s="16">
        <v>46388</v>
      </c>
      <c r="B169" s="10">
        <f>CHOOSE(CONTROL!$C$42, 7.3048, 7.3048) * CHOOSE(CONTROL!$C$21, $C$9, 100%, $E$9)</f>
        <v>7.3048000000000002</v>
      </c>
      <c r="C169" s="10">
        <f>CHOOSE(CONTROL!$C$42, 7.3098, 7.3098) * CHOOSE(CONTROL!$C$21, $C$9, 100%, $E$9)</f>
        <v>7.3098000000000001</v>
      </c>
      <c r="D169" s="10">
        <f>CHOOSE(CONTROL!$C$42, 7.36, 7.36) * CHOOSE(CONTROL!$C$21, $C$9, 100%, $E$9)</f>
        <v>7.36</v>
      </c>
      <c r="E169" s="10">
        <f>CHOOSE(CONTROL!$C$42, 7.3938, 7.3938) * CHOOSE(CONTROL!$C$21, $C$9, 100%, $E$9)</f>
        <v>7.3937999999999997</v>
      </c>
      <c r="F169" s="10">
        <f>CHOOSE(CONTROL!$C$42, 7.2702, 7.2702)*CHOOSE(CONTROL!$C$21, $C$9, 100%, $E$9)</f>
        <v>7.2702</v>
      </c>
      <c r="G169" s="10">
        <f>CHOOSE(CONTROL!$C$42, 7.2877, 7.2877)*CHOOSE(CONTROL!$C$21, $C$9, 100%, $E$9)</f>
        <v>7.2877000000000001</v>
      </c>
      <c r="H169" s="10">
        <f>CHOOSE(CONTROL!$C$42, 7.383, 7.383) * CHOOSE(CONTROL!$C$21, $C$9, 100%, $E$9)</f>
        <v>7.383</v>
      </c>
      <c r="I169" s="10">
        <f>CHOOSE(CONTROL!$C$42, 7.2787, 7.2787)* CHOOSE(CONTROL!$C$21, $C$9, 100%, $E$9)</f>
        <v>7.2786999999999997</v>
      </c>
      <c r="J169" s="10">
        <f>CHOOSE(CONTROL!$C$42, 7.2632, 7.2632)* CHOOSE(CONTROL!$C$21, $C$9, 100%, $E$9)</f>
        <v>7.2632000000000003</v>
      </c>
      <c r="K169" s="54">
        <f>CHOOSE(CONTROL!$C$42, 7.2748, 7.2748) * CHOOSE(CONTROL!$C$21, $C$9, 100%, $E$9)</f>
        <v>7.2747999999999999</v>
      </c>
      <c r="L169" s="10">
        <f>CHOOSE(CONTROL!$C$42, 7.97, 7.97) * CHOOSE(CONTROL!$C$21, $C$9, 100%, $E$9)</f>
        <v>7.97</v>
      </c>
      <c r="M169" s="10">
        <f>CHOOSE(CONTROL!$C$42, 7.2037, 7.2037) * CHOOSE(CONTROL!$C$21, $C$9, 100%, $E$9)</f>
        <v>7.2037000000000004</v>
      </c>
      <c r="N169" s="10">
        <f>CHOOSE(CONTROL!$C$42, 7.2211, 7.2211) * CHOOSE(CONTROL!$C$21, $C$9, 100%, $E$9)</f>
        <v>7.2210999999999999</v>
      </c>
      <c r="O169" s="10">
        <f>CHOOSE(CONTROL!$C$42, 7.3223, 7.3223) * CHOOSE(CONTROL!$C$21, $C$9, 100%, $E$9)</f>
        <v>7.3223000000000003</v>
      </c>
      <c r="P169" s="10">
        <f>CHOOSE(CONTROL!$C$42, 7.2191, 7.2191) * CHOOSE(CONTROL!$C$21, $C$9, 100%, $E$9)</f>
        <v>7.2191000000000001</v>
      </c>
      <c r="Q169" s="10">
        <f>CHOOSE(CONTROL!$C$42, 7.9176, 7.9176) * CHOOSE(CONTROL!$C$21, $C$9, 100%, $E$9)</f>
        <v>7.9176000000000002</v>
      </c>
      <c r="R169" s="10">
        <f>CHOOSE(CONTROL!$C$42, 8.5244, 8.5244) * CHOOSE(CONTROL!$C$21, $C$9, 100%, $E$9)</f>
        <v>8.5244</v>
      </c>
      <c r="S169" s="10">
        <f>CHOOSE(CONTROL!$C$42, 7.0916, 7.0916) * CHOOSE(CONTROL!$C$21, $C$9, 100%, $E$9)</f>
        <v>7.0915999999999997</v>
      </c>
      <c r="T169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69" s="58">
        <f>(1000*CHOOSE(CONTROL!$C$42, 695, 695)*CHOOSE(CONTROL!$C$42, 0.5599, 0.5599)*CHOOSE(CONTROL!$C$42, 31, 31))/1000000</f>
        <v>12.063045499999998</v>
      </c>
      <c r="V169" s="58">
        <f>(1000*CHOOSE(CONTROL!$C$42, 500, 500)*CHOOSE(CONTROL!$C$42, 0.275, 0.275)*CHOOSE(CONTROL!$C$42, 31, 31))/1000000</f>
        <v>4.2625000000000002</v>
      </c>
      <c r="W169" s="58">
        <f>(1000*CHOOSE(CONTROL!$C$42, 0.1146, 0.1146)*CHOOSE(CONTROL!$C$42, 121.5, 121.5)*CHOOSE(CONTROL!$C$42, 31, 31))/1000000</f>
        <v>0.43164089999999994</v>
      </c>
      <c r="X169" s="58">
        <f>(31*0.1790888*100000/1000000)+(31*0.2374*100000/1000000)</f>
        <v>1.2911152800000001</v>
      </c>
      <c r="Y169" s="58"/>
      <c r="Z169" s="10"/>
      <c r="AA169" s="57"/>
      <c r="AB169" s="51">
        <f>(B169*122.58+C169*297.941+D169*89.177+E169*40.302+F169*40+G169*160+H169*0+I169*100+J169*300)/(122.58+297.941+89.177+40.302+0+40+160+100+300)</f>
        <v>7.2967905681739138</v>
      </c>
      <c r="AC169" s="27">
        <f>(M169*'RAP TEMPLATE-GAS AVAILABILITY'!O168+N169*'RAP TEMPLATE-GAS AVAILABILITY'!P168+O169*'RAP TEMPLATE-GAS AVAILABILITY'!Q168+P169*'RAP TEMPLATE-GAS AVAILABILITY'!R168)/('RAP TEMPLATE-GAS AVAILABILITY'!O168+'RAP TEMPLATE-GAS AVAILABILITY'!P168+'RAP TEMPLATE-GAS AVAILABILITY'!Q168+'RAP TEMPLATE-GAS AVAILABILITY'!R168)</f>
        <v>7.2606712230215829</v>
      </c>
    </row>
    <row r="170" spans="1:29" ht="15.75" x14ac:dyDescent="0.25">
      <c r="A170" s="16">
        <v>46419</v>
      </c>
      <c r="B170" s="10">
        <f>CHOOSE(CONTROL!$C$42, 7.4348, 7.4348) * CHOOSE(CONTROL!$C$21, $C$9, 100%, $E$9)</f>
        <v>7.4348000000000001</v>
      </c>
      <c r="C170" s="10">
        <f>CHOOSE(CONTROL!$C$42, 7.4398, 7.4398) * CHOOSE(CONTROL!$C$21, $C$9, 100%, $E$9)</f>
        <v>7.4398</v>
      </c>
      <c r="D170" s="10">
        <f>CHOOSE(CONTROL!$C$42, 7.5569, 7.5569) * CHOOSE(CONTROL!$C$21, $C$9, 100%, $E$9)</f>
        <v>7.5568999999999997</v>
      </c>
      <c r="E170" s="10">
        <f>CHOOSE(CONTROL!$C$42, 7.5907, 7.5907) * CHOOSE(CONTROL!$C$21, $C$9, 100%, $E$9)</f>
        <v>7.5907</v>
      </c>
      <c r="F170" s="10">
        <f>CHOOSE(CONTROL!$C$42, 7.5124, 7.5124)*CHOOSE(CONTROL!$C$21, $C$9, 100%, $E$9)</f>
        <v>7.5124000000000004</v>
      </c>
      <c r="G170" s="10">
        <f>CHOOSE(CONTROL!$C$42, 7.5343, 7.5343)*CHOOSE(CONTROL!$C$21, $C$9, 100%, $E$9)</f>
        <v>7.5343</v>
      </c>
      <c r="H170" s="10">
        <f>CHOOSE(CONTROL!$C$42, 7.5799, 7.5799) * CHOOSE(CONTROL!$C$21, $C$9, 100%, $E$9)</f>
        <v>7.5799000000000003</v>
      </c>
      <c r="I170" s="10">
        <f>CHOOSE(CONTROL!$C$42, 7.4705, 7.4705)* CHOOSE(CONTROL!$C$21, $C$9, 100%, $E$9)</f>
        <v>7.4705000000000004</v>
      </c>
      <c r="J170" s="10">
        <f>CHOOSE(CONTROL!$C$42, 7.5054, 7.5054)* CHOOSE(CONTROL!$C$21, $C$9, 100%, $E$9)</f>
        <v>7.5053999999999998</v>
      </c>
      <c r="K170" s="54">
        <f>CHOOSE(CONTROL!$C$42, 7.4666, 7.4666) * CHOOSE(CONTROL!$C$21, $C$9, 100%, $E$9)</f>
        <v>7.4665999999999997</v>
      </c>
      <c r="L170" s="10">
        <f>CHOOSE(CONTROL!$C$42, 8.1669, 8.1669) * CHOOSE(CONTROL!$C$21, $C$9, 100%, $E$9)</f>
        <v>8.1669</v>
      </c>
      <c r="M170" s="10">
        <f>CHOOSE(CONTROL!$C$42, 7.4435, 7.4435) * CHOOSE(CONTROL!$C$21, $C$9, 100%, $E$9)</f>
        <v>7.4435000000000002</v>
      </c>
      <c r="N170" s="10">
        <f>CHOOSE(CONTROL!$C$42, 7.4652, 7.4652) * CHOOSE(CONTROL!$C$21, $C$9, 100%, $E$9)</f>
        <v>7.4652000000000003</v>
      </c>
      <c r="O170" s="10">
        <f>CHOOSE(CONTROL!$C$42, 7.5172, 7.5172) * CHOOSE(CONTROL!$C$21, $C$9, 100%, $E$9)</f>
        <v>7.5171999999999999</v>
      </c>
      <c r="P170" s="10">
        <f>CHOOSE(CONTROL!$C$42, 7.409, 7.409) * CHOOSE(CONTROL!$C$21, $C$9, 100%, $E$9)</f>
        <v>7.4089999999999998</v>
      </c>
      <c r="Q170" s="10">
        <f>CHOOSE(CONTROL!$C$42, 8.1125, 8.1125) * CHOOSE(CONTROL!$C$21, $C$9, 100%, $E$9)</f>
        <v>8.1125000000000007</v>
      </c>
      <c r="R170" s="10">
        <f>CHOOSE(CONTROL!$C$42, 8.7198, 8.7198) * CHOOSE(CONTROL!$C$21, $C$9, 100%, $E$9)</f>
        <v>8.7197999999999993</v>
      </c>
      <c r="S170" s="10">
        <f>CHOOSE(CONTROL!$C$42, 7.2178, 7.2178) * CHOOSE(CONTROL!$C$21, $C$9, 100%, $E$9)</f>
        <v>7.2178000000000004</v>
      </c>
      <c r="T170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70" s="58">
        <f>(1000*CHOOSE(CONTROL!$C$42, 695, 695)*CHOOSE(CONTROL!$C$42, 0.5599, 0.5599)*CHOOSE(CONTROL!$C$42, 28, 28))/1000000</f>
        <v>10.895653999999999</v>
      </c>
      <c r="V170" s="58">
        <f>(1000*CHOOSE(CONTROL!$C$42, 500, 500)*CHOOSE(CONTROL!$C$42, 0.275, 0.275)*CHOOSE(CONTROL!$C$42, 28, 28))/1000000</f>
        <v>3.85</v>
      </c>
      <c r="W170" s="58">
        <f>(1000*CHOOSE(CONTROL!$C$42, 0.1146, 0.1146)*CHOOSE(CONTROL!$C$42, 121.5, 121.5)*CHOOSE(CONTROL!$C$42, 28, 28))/1000000</f>
        <v>0.38986920000000003</v>
      </c>
      <c r="X170" s="58">
        <f>(28*0.1790888*100000/1000000)+(28*0.2374*100000/1000000)</f>
        <v>1.16616864</v>
      </c>
      <c r="Y170" s="58"/>
      <c r="Z170" s="10"/>
      <c r="AA170" s="57"/>
      <c r="AB170" s="51">
        <f>(B170*122.58+C170*297.941+D170*89.177+E170*40.302+F170*40+G170*160+H170*0+I170*100+J170*300)/(122.58+297.941+89.177+40.302+0+40+160+100+300)</f>
        <v>7.4890915639130444</v>
      </c>
      <c r="AC170" s="27">
        <f>(M170*'RAP TEMPLATE-GAS AVAILABILITY'!O169+N170*'RAP TEMPLATE-GAS AVAILABILITY'!P169+O170*'RAP TEMPLATE-GAS AVAILABILITY'!Q169+P170*'RAP TEMPLATE-GAS AVAILABILITY'!R169)/('RAP TEMPLATE-GAS AVAILABILITY'!O169+'RAP TEMPLATE-GAS AVAILABILITY'!P169+'RAP TEMPLATE-GAS AVAILABILITY'!Q169+'RAP TEMPLATE-GAS AVAILABILITY'!R169)</f>
        <v>7.4731884892086331</v>
      </c>
    </row>
    <row r="171" spans="1:29" ht="15.75" x14ac:dyDescent="0.25">
      <c r="A171" s="16">
        <v>46447</v>
      </c>
      <c r="B171" s="10">
        <f>CHOOSE(CONTROL!$C$42, 7.2238, 7.2238) * CHOOSE(CONTROL!$C$21, $C$9, 100%, $E$9)</f>
        <v>7.2237999999999998</v>
      </c>
      <c r="C171" s="10">
        <f>CHOOSE(CONTROL!$C$42, 7.2288, 7.2288) * CHOOSE(CONTROL!$C$21, $C$9, 100%, $E$9)</f>
        <v>7.2287999999999997</v>
      </c>
      <c r="D171" s="10">
        <f>CHOOSE(CONTROL!$C$42, 7.3202, 7.3202) * CHOOSE(CONTROL!$C$21, $C$9, 100%, $E$9)</f>
        <v>7.3201999999999998</v>
      </c>
      <c r="E171" s="10">
        <f>CHOOSE(CONTROL!$C$42, 7.3539, 7.3539) * CHOOSE(CONTROL!$C$21, $C$9, 100%, $E$9)</f>
        <v>7.3539000000000003</v>
      </c>
      <c r="F171" s="10">
        <f>CHOOSE(CONTROL!$C$42, 7.2537, 7.2537)*CHOOSE(CONTROL!$C$21, $C$9, 100%, $E$9)</f>
        <v>7.2537000000000003</v>
      </c>
      <c r="G171" s="10">
        <f>CHOOSE(CONTROL!$C$42, 7.2732, 7.2732)*CHOOSE(CONTROL!$C$21, $C$9, 100%, $E$9)</f>
        <v>7.2732000000000001</v>
      </c>
      <c r="H171" s="10">
        <f>CHOOSE(CONTROL!$C$42, 7.3431, 7.3431) * CHOOSE(CONTROL!$C$21, $C$9, 100%, $E$9)</f>
        <v>7.3430999999999997</v>
      </c>
      <c r="I171" s="10">
        <f>CHOOSE(CONTROL!$C$42, 7.2466, 7.2466)* CHOOSE(CONTROL!$C$21, $C$9, 100%, $E$9)</f>
        <v>7.2465999999999999</v>
      </c>
      <c r="J171" s="10">
        <f>CHOOSE(CONTROL!$C$42, 7.2467, 7.2467)* CHOOSE(CONTROL!$C$21, $C$9, 100%, $E$9)</f>
        <v>7.2466999999999997</v>
      </c>
      <c r="K171" s="54">
        <f>CHOOSE(CONTROL!$C$42, 7.2427, 7.2427) * CHOOSE(CONTROL!$C$21, $C$9, 100%, $E$9)</f>
        <v>7.2427000000000001</v>
      </c>
      <c r="L171" s="10">
        <f>CHOOSE(CONTROL!$C$42, 7.9301, 7.9301) * CHOOSE(CONTROL!$C$21, $C$9, 100%, $E$9)</f>
        <v>7.9301000000000004</v>
      </c>
      <c r="M171" s="10">
        <f>CHOOSE(CONTROL!$C$42, 7.1874, 7.1874) * CHOOSE(CONTROL!$C$21, $C$9, 100%, $E$9)</f>
        <v>7.1874000000000002</v>
      </c>
      <c r="N171" s="10">
        <f>CHOOSE(CONTROL!$C$42, 7.2067, 7.2067) * CHOOSE(CONTROL!$C$21, $C$9, 100%, $E$9)</f>
        <v>7.2066999999999997</v>
      </c>
      <c r="O171" s="10">
        <f>CHOOSE(CONTROL!$C$42, 7.2829, 7.2829) * CHOOSE(CONTROL!$C$21, $C$9, 100%, $E$9)</f>
        <v>7.2828999999999997</v>
      </c>
      <c r="P171" s="10">
        <f>CHOOSE(CONTROL!$C$42, 7.1874, 7.1874) * CHOOSE(CONTROL!$C$21, $C$9, 100%, $E$9)</f>
        <v>7.1874000000000002</v>
      </c>
      <c r="Q171" s="10">
        <f>CHOOSE(CONTROL!$C$42, 7.8782, 7.8782) * CHOOSE(CONTROL!$C$21, $C$9, 100%, $E$9)</f>
        <v>7.8781999999999996</v>
      </c>
      <c r="R171" s="10">
        <f>CHOOSE(CONTROL!$C$42, 8.4849, 8.4849) * CHOOSE(CONTROL!$C$21, $C$9, 100%, $E$9)</f>
        <v>8.4848999999999997</v>
      </c>
      <c r="S171" s="10">
        <f>CHOOSE(CONTROL!$C$42, 7.0129, 7.0129) * CHOOSE(CONTROL!$C$21, $C$9, 100%, $E$9)</f>
        <v>7.0129000000000001</v>
      </c>
      <c r="T171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71" s="58">
        <f>(1000*CHOOSE(CONTROL!$C$42, 695, 695)*CHOOSE(CONTROL!$C$42, 0.5599, 0.5599)*CHOOSE(CONTROL!$C$42, 31, 31))/1000000</f>
        <v>12.063045499999998</v>
      </c>
      <c r="V171" s="58">
        <f>(1000*CHOOSE(CONTROL!$C$42, 500, 500)*CHOOSE(CONTROL!$C$42, 0.275, 0.275)*CHOOSE(CONTROL!$C$42, 31, 31))/1000000</f>
        <v>4.2625000000000002</v>
      </c>
      <c r="W171" s="58">
        <f>(1000*CHOOSE(CONTROL!$C$42, 0.1146, 0.1146)*CHOOSE(CONTROL!$C$42, 121.5, 121.5)*CHOOSE(CONTROL!$C$42, 31, 31))/1000000</f>
        <v>0.43164089999999994</v>
      </c>
      <c r="X171" s="58">
        <f>(31*0.1790888*100000/1000000)+(31*0.2374*100000/1000000)</f>
        <v>1.2911152800000001</v>
      </c>
      <c r="Y171" s="58"/>
      <c r="Z171" s="10"/>
      <c r="AA171" s="57"/>
      <c r="AB171" s="51">
        <f>(B171*122.58+C171*297.941+D171*89.177+E171*40.302+F171*40+G171*160+H171*0+I171*100+J171*300)/(122.58+297.941+89.177+40.302+0+40+160+100+300)</f>
        <v>7.2529997026086956</v>
      </c>
      <c r="AC171" s="27">
        <f>(M171*'RAP TEMPLATE-GAS AVAILABILITY'!O170+N171*'RAP TEMPLATE-GAS AVAILABILITY'!P170+O171*'RAP TEMPLATE-GAS AVAILABILITY'!Q170+P171*'RAP TEMPLATE-GAS AVAILABILITY'!R170)/('RAP TEMPLATE-GAS AVAILABILITY'!O170+'RAP TEMPLATE-GAS AVAILABILITY'!P170+'RAP TEMPLATE-GAS AVAILABILITY'!Q170+'RAP TEMPLATE-GAS AVAILABILITY'!R170)</f>
        <v>7.2317949640287766</v>
      </c>
    </row>
    <row r="172" spans="1:29" ht="15.75" x14ac:dyDescent="0.25">
      <c r="A172" s="16">
        <v>46478</v>
      </c>
      <c r="B172" s="10">
        <f>CHOOSE(CONTROL!$C$42, 7.203, 7.203) * CHOOSE(CONTROL!$C$21, $C$9, 100%, $E$9)</f>
        <v>7.2030000000000003</v>
      </c>
      <c r="C172" s="10">
        <f>CHOOSE(CONTROL!$C$42, 7.2074, 7.2074) * CHOOSE(CONTROL!$C$21, $C$9, 100%, $E$9)</f>
        <v>7.2073999999999998</v>
      </c>
      <c r="D172" s="10">
        <f>CHOOSE(CONTROL!$C$42, 7.389, 7.389) * CHOOSE(CONTROL!$C$21, $C$9, 100%, $E$9)</f>
        <v>7.3890000000000002</v>
      </c>
      <c r="E172" s="10">
        <f>CHOOSE(CONTROL!$C$42, 7.4208, 7.4208) * CHOOSE(CONTROL!$C$21, $C$9, 100%, $E$9)</f>
        <v>7.4207999999999998</v>
      </c>
      <c r="F172" s="10">
        <f>CHOOSE(CONTROL!$C$42, 7.1913, 7.1913)*CHOOSE(CONTROL!$C$21, $C$9, 100%, $E$9)</f>
        <v>7.1913</v>
      </c>
      <c r="G172" s="10">
        <f>CHOOSE(CONTROL!$C$42, 7.2093, 7.2093)*CHOOSE(CONTROL!$C$21, $C$9, 100%, $E$9)</f>
        <v>7.2092999999999998</v>
      </c>
      <c r="H172" s="10">
        <f>CHOOSE(CONTROL!$C$42, 7.4106, 7.4106) * CHOOSE(CONTROL!$C$21, $C$9, 100%, $E$9)</f>
        <v>7.4105999999999996</v>
      </c>
      <c r="I172" s="10">
        <f>CHOOSE(CONTROL!$C$42, 7.1812, 7.1812)* CHOOSE(CONTROL!$C$21, $C$9, 100%, $E$9)</f>
        <v>7.1811999999999996</v>
      </c>
      <c r="J172" s="10">
        <f>CHOOSE(CONTROL!$C$42, 7.1843, 7.1843)* CHOOSE(CONTROL!$C$21, $C$9, 100%, $E$9)</f>
        <v>7.1843000000000004</v>
      </c>
      <c r="K172" s="54">
        <f>CHOOSE(CONTROL!$C$42, 7.1774, 7.1774) * CHOOSE(CONTROL!$C$21, $C$9, 100%, $E$9)</f>
        <v>7.1773999999999996</v>
      </c>
      <c r="L172" s="10">
        <f>CHOOSE(CONTROL!$C$42, 7.9976, 7.9976) * CHOOSE(CONTROL!$C$21, $C$9, 100%, $E$9)</f>
        <v>7.9976000000000003</v>
      </c>
      <c r="M172" s="10">
        <f>CHOOSE(CONTROL!$C$42, 7.1256, 7.1256) * CHOOSE(CONTROL!$C$21, $C$9, 100%, $E$9)</f>
        <v>7.1256000000000004</v>
      </c>
      <c r="N172" s="10">
        <f>CHOOSE(CONTROL!$C$42, 7.1434, 7.1434) * CHOOSE(CONTROL!$C$21, $C$9, 100%, $E$9)</f>
        <v>7.1433999999999997</v>
      </c>
      <c r="O172" s="10">
        <f>CHOOSE(CONTROL!$C$42, 7.3496, 7.3496) * CHOOSE(CONTROL!$C$21, $C$9, 100%, $E$9)</f>
        <v>7.3495999999999997</v>
      </c>
      <c r="P172" s="10">
        <f>CHOOSE(CONTROL!$C$42, 7.1226, 7.1226) * CHOOSE(CONTROL!$C$21, $C$9, 100%, $E$9)</f>
        <v>7.1226000000000003</v>
      </c>
      <c r="Q172" s="10">
        <f>CHOOSE(CONTROL!$C$42, 7.9449, 7.9449) * CHOOSE(CONTROL!$C$21, $C$9, 100%, $E$9)</f>
        <v>7.9448999999999996</v>
      </c>
      <c r="R172" s="10">
        <f>CHOOSE(CONTROL!$C$42, 8.5518, 8.5518) * CHOOSE(CONTROL!$C$21, $C$9, 100%, $E$9)</f>
        <v>8.5518000000000001</v>
      </c>
      <c r="S172" s="10">
        <f>CHOOSE(CONTROL!$C$42, 6.9919, 6.9919) * CHOOSE(CONTROL!$C$21, $C$9, 100%, $E$9)</f>
        <v>6.9919000000000002</v>
      </c>
      <c r="T172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72" s="58">
        <f>(1000*CHOOSE(CONTROL!$C$42, 695, 695)*CHOOSE(CONTROL!$C$42, 0.5599, 0.5599)*CHOOSE(CONTROL!$C$42, 30, 30))/1000000</f>
        <v>11.673914999999997</v>
      </c>
      <c r="V172" s="58">
        <f>(1000*CHOOSE(CONTROL!$C$42, 500, 500)*CHOOSE(CONTROL!$C$42, 0.275, 0.275)*CHOOSE(CONTROL!$C$42, 30, 30))/1000000</f>
        <v>4.125</v>
      </c>
      <c r="W172" s="58">
        <f>(1000*CHOOSE(CONTROL!$C$42, 0.1146, 0.1146)*CHOOSE(CONTROL!$C$42, 121.5, 121.5)*CHOOSE(CONTROL!$C$42, 30, 30))/1000000</f>
        <v>0.417717</v>
      </c>
      <c r="X172" s="58">
        <f>(30*0.1790888*245000/1000000)+(30*0.2374*100000/1000000)</f>
        <v>2.0285026799999999</v>
      </c>
      <c r="Y172" s="58"/>
      <c r="Z172" s="10"/>
      <c r="AA172" s="57"/>
      <c r="AB172" s="51">
        <f>(B172*141.293+C172*267.993+D172*115.016+E172*89.698+F172*40+G172*185+H172*0+I172*100+J172*300)/(141.293+267.993+115.016+89.698+0+40+185+100+300)</f>
        <v>7.2312613959644869</v>
      </c>
      <c r="AC172" s="27">
        <f>(M172*'RAP TEMPLATE-GAS AVAILABILITY'!O171+N172*'RAP TEMPLATE-GAS AVAILABILITY'!P171+O172*'RAP TEMPLATE-GAS AVAILABILITY'!Q171+P172*'RAP TEMPLATE-GAS AVAILABILITY'!R171)/('RAP TEMPLATE-GAS AVAILABILITY'!O171+'RAP TEMPLATE-GAS AVAILABILITY'!P171+'RAP TEMPLATE-GAS AVAILABILITY'!Q171+'RAP TEMPLATE-GAS AVAILABILITY'!R171)</f>
        <v>7.1921151079136694</v>
      </c>
    </row>
    <row r="173" spans="1:29" ht="15.75" x14ac:dyDescent="0.25">
      <c r="A173" s="16">
        <v>46508</v>
      </c>
      <c r="B173" s="10">
        <f>CHOOSE(CONTROL!$C$42, 7.2683, 7.2683) * CHOOSE(CONTROL!$C$21, $C$9, 100%, $E$9)</f>
        <v>7.2683</v>
      </c>
      <c r="C173" s="10">
        <f>CHOOSE(CONTROL!$C$42, 7.2762, 7.2762) * CHOOSE(CONTROL!$C$21, $C$9, 100%, $E$9)</f>
        <v>7.2762000000000002</v>
      </c>
      <c r="D173" s="10">
        <f>CHOOSE(CONTROL!$C$42, 7.4548, 7.4548) * CHOOSE(CONTROL!$C$21, $C$9, 100%, $E$9)</f>
        <v>7.4547999999999996</v>
      </c>
      <c r="E173" s="10">
        <f>CHOOSE(CONTROL!$C$42, 7.4859, 7.4859) * CHOOSE(CONTROL!$C$21, $C$9, 100%, $E$9)</f>
        <v>7.4859</v>
      </c>
      <c r="F173" s="10">
        <f>CHOOSE(CONTROL!$C$42, 7.2545, 7.2545)*CHOOSE(CONTROL!$C$21, $C$9, 100%, $E$9)</f>
        <v>7.2545000000000002</v>
      </c>
      <c r="G173" s="10">
        <f>CHOOSE(CONTROL!$C$42, 7.2727, 7.2727)*CHOOSE(CONTROL!$C$21, $C$9, 100%, $E$9)</f>
        <v>7.2727000000000004</v>
      </c>
      <c r="H173" s="10">
        <f>CHOOSE(CONTROL!$C$42, 7.4745, 7.4745) * CHOOSE(CONTROL!$C$21, $C$9, 100%, $E$9)</f>
        <v>7.4744999999999999</v>
      </c>
      <c r="I173" s="10">
        <f>CHOOSE(CONTROL!$C$42, 7.2452, 7.2452)* CHOOSE(CONTROL!$C$21, $C$9, 100%, $E$9)</f>
        <v>7.2451999999999996</v>
      </c>
      <c r="J173" s="10">
        <f>CHOOSE(CONTROL!$C$42, 7.2475, 7.2475)* CHOOSE(CONTROL!$C$21, $C$9, 100%, $E$9)</f>
        <v>7.2474999999999996</v>
      </c>
      <c r="K173" s="54">
        <f>CHOOSE(CONTROL!$C$42, 7.2413, 7.2413) * CHOOSE(CONTROL!$C$21, $C$9, 100%, $E$9)</f>
        <v>7.2412999999999998</v>
      </c>
      <c r="L173" s="10">
        <f>CHOOSE(CONTROL!$C$42, 8.0615, 8.0615) * CHOOSE(CONTROL!$C$21, $C$9, 100%, $E$9)</f>
        <v>8.0615000000000006</v>
      </c>
      <c r="M173" s="10">
        <f>CHOOSE(CONTROL!$C$42, 7.1882, 7.1882) * CHOOSE(CONTROL!$C$21, $C$9, 100%, $E$9)</f>
        <v>7.1882000000000001</v>
      </c>
      <c r="N173" s="10">
        <f>CHOOSE(CONTROL!$C$42, 7.2062, 7.2062) * CHOOSE(CONTROL!$C$21, $C$9, 100%, $E$9)</f>
        <v>7.2061999999999999</v>
      </c>
      <c r="O173" s="10">
        <f>CHOOSE(CONTROL!$C$42, 7.4129, 7.4129) * CHOOSE(CONTROL!$C$21, $C$9, 100%, $E$9)</f>
        <v>7.4128999999999996</v>
      </c>
      <c r="P173" s="10">
        <f>CHOOSE(CONTROL!$C$42, 7.1859, 7.1859) * CHOOSE(CONTROL!$C$21, $C$9, 100%, $E$9)</f>
        <v>7.1859000000000002</v>
      </c>
      <c r="Q173" s="10">
        <f>CHOOSE(CONTROL!$C$42, 8.0082, 8.0082) * CHOOSE(CONTROL!$C$21, $C$9, 100%, $E$9)</f>
        <v>8.0082000000000004</v>
      </c>
      <c r="R173" s="10">
        <f>CHOOSE(CONTROL!$C$42, 8.6152, 8.6152) * CHOOSE(CONTROL!$C$21, $C$9, 100%, $E$9)</f>
        <v>8.6151999999999997</v>
      </c>
      <c r="S173" s="10">
        <f>CHOOSE(CONTROL!$C$42, 7.054, 7.054) * CHOOSE(CONTROL!$C$21, $C$9, 100%, $E$9)</f>
        <v>7.0540000000000003</v>
      </c>
      <c r="T173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73" s="58">
        <f>(1000*CHOOSE(CONTROL!$C$42, 695, 695)*CHOOSE(CONTROL!$C$42, 0.5599, 0.5599)*CHOOSE(CONTROL!$C$42, 31, 31))/1000000</f>
        <v>12.063045499999998</v>
      </c>
      <c r="V173" s="58">
        <f>(1000*CHOOSE(CONTROL!$C$42, 500, 500)*CHOOSE(CONTROL!$C$42, 0.275, 0.275)*CHOOSE(CONTROL!$C$42, 31, 31))/1000000</f>
        <v>4.2625000000000002</v>
      </c>
      <c r="W173" s="58">
        <f>(1000*CHOOSE(CONTROL!$C$42, 0.1146, 0.1146)*CHOOSE(CONTROL!$C$42, 121.5, 121.5)*CHOOSE(CONTROL!$C$42, 31, 31))/1000000</f>
        <v>0.43164089999999994</v>
      </c>
      <c r="X173" s="58">
        <f>(31*0.1790888*245000/1000000)+(31*0.2374*100000/1000000)</f>
        <v>2.0961194359999999</v>
      </c>
      <c r="Y173" s="58"/>
      <c r="Z173" s="10"/>
      <c r="AA173" s="57"/>
      <c r="AB173" s="51">
        <f>(B173*194.205+C173*267.466+D173*133.845+E173*53.484+F173*40+G173*185+H173*0+I173*100+J173*300)/(194.205+267.466+133.845+53.484+0+40+185+100+300)</f>
        <v>7.2921816266091062</v>
      </c>
      <c r="AC173" s="27">
        <f>(M173*'RAP TEMPLATE-GAS AVAILABILITY'!O172+N173*'RAP TEMPLATE-GAS AVAILABILITY'!P172+O173*'RAP TEMPLATE-GAS AVAILABILITY'!Q172+P173*'RAP TEMPLATE-GAS AVAILABILITY'!R172)/('RAP TEMPLATE-GAS AVAILABILITY'!O172+'RAP TEMPLATE-GAS AVAILABILITY'!P172+'RAP TEMPLATE-GAS AVAILABILITY'!Q172+'RAP TEMPLATE-GAS AVAILABILITY'!R172)</f>
        <v>7.2550582733812945</v>
      </c>
    </row>
    <row r="174" spans="1:29" ht="15.75" x14ac:dyDescent="0.25">
      <c r="A174" s="16">
        <v>46539</v>
      </c>
      <c r="B174" s="10">
        <f>CHOOSE(CONTROL!$C$42, 7.4743, 7.4743) * CHOOSE(CONTROL!$C$21, $C$9, 100%, $E$9)</f>
        <v>7.4743000000000004</v>
      </c>
      <c r="C174" s="10">
        <f>CHOOSE(CONTROL!$C$42, 7.4822, 7.4822) * CHOOSE(CONTROL!$C$21, $C$9, 100%, $E$9)</f>
        <v>7.4821999999999997</v>
      </c>
      <c r="D174" s="10">
        <f>CHOOSE(CONTROL!$C$42, 7.6608, 7.6608) * CHOOSE(CONTROL!$C$21, $C$9, 100%, $E$9)</f>
        <v>7.6608000000000001</v>
      </c>
      <c r="E174" s="10">
        <f>CHOOSE(CONTROL!$C$42, 7.6919, 7.6919) * CHOOSE(CONTROL!$C$21, $C$9, 100%, $E$9)</f>
        <v>7.6919000000000004</v>
      </c>
      <c r="F174" s="10">
        <f>CHOOSE(CONTROL!$C$42, 7.4608, 7.4608)*CHOOSE(CONTROL!$C$21, $C$9, 100%, $E$9)</f>
        <v>7.4607999999999999</v>
      </c>
      <c r="G174" s="10">
        <f>CHOOSE(CONTROL!$C$42, 7.479, 7.479)*CHOOSE(CONTROL!$C$21, $C$9, 100%, $E$9)</f>
        <v>7.4790000000000001</v>
      </c>
      <c r="H174" s="10">
        <f>CHOOSE(CONTROL!$C$42, 7.6805, 7.6805) * CHOOSE(CONTROL!$C$21, $C$9, 100%, $E$9)</f>
        <v>7.6805000000000003</v>
      </c>
      <c r="I174" s="10">
        <f>CHOOSE(CONTROL!$C$42, 7.4512, 7.4512)* CHOOSE(CONTROL!$C$21, $C$9, 100%, $E$9)</f>
        <v>7.4512</v>
      </c>
      <c r="J174" s="10">
        <f>CHOOSE(CONTROL!$C$42, 7.4538, 7.4538)* CHOOSE(CONTROL!$C$21, $C$9, 100%, $E$9)</f>
        <v>7.4538000000000002</v>
      </c>
      <c r="K174" s="54">
        <f>CHOOSE(CONTROL!$C$42, 7.4473, 7.4473) * CHOOSE(CONTROL!$C$21, $C$9, 100%, $E$9)</f>
        <v>7.4473000000000003</v>
      </c>
      <c r="L174" s="10">
        <f>CHOOSE(CONTROL!$C$42, 8.2675, 8.2675) * CHOOSE(CONTROL!$C$21, $C$9, 100%, $E$9)</f>
        <v>8.2675000000000001</v>
      </c>
      <c r="M174" s="10">
        <f>CHOOSE(CONTROL!$C$42, 7.3924, 7.3924) * CHOOSE(CONTROL!$C$21, $C$9, 100%, $E$9)</f>
        <v>7.3924000000000003</v>
      </c>
      <c r="N174" s="10">
        <f>CHOOSE(CONTROL!$C$42, 7.4104, 7.4104) * CHOOSE(CONTROL!$C$21, $C$9, 100%, $E$9)</f>
        <v>7.4104000000000001</v>
      </c>
      <c r="O174" s="10">
        <f>CHOOSE(CONTROL!$C$42, 7.6169, 7.6169) * CHOOSE(CONTROL!$C$21, $C$9, 100%, $E$9)</f>
        <v>7.6169000000000002</v>
      </c>
      <c r="P174" s="10">
        <f>CHOOSE(CONTROL!$C$42, 7.3899, 7.3899) * CHOOSE(CONTROL!$C$21, $C$9, 100%, $E$9)</f>
        <v>7.3898999999999999</v>
      </c>
      <c r="Q174" s="10">
        <f>CHOOSE(CONTROL!$C$42, 8.2122, 8.2122) * CHOOSE(CONTROL!$C$21, $C$9, 100%, $E$9)</f>
        <v>8.2121999999999993</v>
      </c>
      <c r="R174" s="10">
        <f>CHOOSE(CONTROL!$C$42, 8.8197, 8.8197) * CHOOSE(CONTROL!$C$21, $C$9, 100%, $E$9)</f>
        <v>8.8196999999999992</v>
      </c>
      <c r="S174" s="10">
        <f>CHOOSE(CONTROL!$C$42, 7.2541, 7.2541) * CHOOSE(CONTROL!$C$21, $C$9, 100%, $E$9)</f>
        <v>7.2541000000000002</v>
      </c>
      <c r="T174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74" s="58">
        <f>(1000*CHOOSE(CONTROL!$C$42, 695, 695)*CHOOSE(CONTROL!$C$42, 0.5599, 0.5599)*CHOOSE(CONTROL!$C$42, 30, 30))/1000000</f>
        <v>11.673914999999997</v>
      </c>
      <c r="V174" s="58">
        <f>(1000*CHOOSE(CONTROL!$C$42, 500, 500)*CHOOSE(CONTROL!$C$42, 0.275, 0.275)*CHOOSE(CONTROL!$C$42, 30, 30))/1000000</f>
        <v>4.125</v>
      </c>
      <c r="W174" s="58">
        <f>(1000*CHOOSE(CONTROL!$C$42, 0.1146, 0.1146)*CHOOSE(CONTROL!$C$42, 121.5, 121.5)*CHOOSE(CONTROL!$C$42, 30, 30))/1000000</f>
        <v>0.417717</v>
      </c>
      <c r="X174" s="58">
        <f>(30*0.1790888*245000/1000000)+(30*0.2374*100000/1000000)</f>
        <v>2.0285026799999999</v>
      </c>
      <c r="Y174" s="58"/>
      <c r="Z174" s="10"/>
      <c r="AA174" s="57"/>
      <c r="AB174" s="51">
        <f>(B174*194.205+C174*267.466+D174*133.845+E174*53.484+F174*40+G174*185+H174*0+I174*100+J174*300)/(194.205+267.466+133.845+53.484+0+40+185+100+300)</f>
        <v>7.498305252982731</v>
      </c>
      <c r="AC174" s="27">
        <f>(M174*'RAP TEMPLATE-GAS AVAILABILITY'!O173+N174*'RAP TEMPLATE-GAS AVAILABILITY'!P173+O174*'RAP TEMPLATE-GAS AVAILABILITY'!Q173+P174*'RAP TEMPLATE-GAS AVAILABILITY'!R173)/('RAP TEMPLATE-GAS AVAILABILITY'!O173+'RAP TEMPLATE-GAS AVAILABILITY'!P173+'RAP TEMPLATE-GAS AVAILABILITY'!Q173+'RAP TEMPLATE-GAS AVAILABILITY'!R173)</f>
        <v>7.4591733812949643</v>
      </c>
    </row>
    <row r="175" spans="1:29" ht="15.75" x14ac:dyDescent="0.25">
      <c r="A175" s="16">
        <v>46569</v>
      </c>
      <c r="B175" s="10">
        <f>CHOOSE(CONTROL!$C$42, 7.331, 7.331) * CHOOSE(CONTROL!$C$21, $C$9, 100%, $E$9)</f>
        <v>7.3310000000000004</v>
      </c>
      <c r="C175" s="10">
        <f>CHOOSE(CONTROL!$C$42, 7.339, 7.339) * CHOOSE(CONTROL!$C$21, $C$9, 100%, $E$9)</f>
        <v>7.3390000000000004</v>
      </c>
      <c r="D175" s="10">
        <f>CHOOSE(CONTROL!$C$42, 7.5175, 7.5175) * CHOOSE(CONTROL!$C$21, $C$9, 100%, $E$9)</f>
        <v>7.5175000000000001</v>
      </c>
      <c r="E175" s="10">
        <f>CHOOSE(CONTROL!$C$42, 7.5486, 7.5486) * CHOOSE(CONTROL!$C$21, $C$9, 100%, $E$9)</f>
        <v>7.5486000000000004</v>
      </c>
      <c r="F175" s="10">
        <f>CHOOSE(CONTROL!$C$42, 7.3177, 7.3177)*CHOOSE(CONTROL!$C$21, $C$9, 100%, $E$9)</f>
        <v>7.3177000000000003</v>
      </c>
      <c r="G175" s="10">
        <f>CHOOSE(CONTROL!$C$42, 7.3361, 7.3361)*CHOOSE(CONTROL!$C$21, $C$9, 100%, $E$9)</f>
        <v>7.3361000000000001</v>
      </c>
      <c r="H175" s="10">
        <f>CHOOSE(CONTROL!$C$42, 7.5373, 7.5373) * CHOOSE(CONTROL!$C$21, $C$9, 100%, $E$9)</f>
        <v>7.5373000000000001</v>
      </c>
      <c r="I175" s="10">
        <f>CHOOSE(CONTROL!$C$42, 7.3079, 7.3079)* CHOOSE(CONTROL!$C$21, $C$9, 100%, $E$9)</f>
        <v>7.3079000000000001</v>
      </c>
      <c r="J175" s="10">
        <f>CHOOSE(CONTROL!$C$42, 7.3107, 7.3107)* CHOOSE(CONTROL!$C$21, $C$9, 100%, $E$9)</f>
        <v>7.3106999999999998</v>
      </c>
      <c r="K175" s="54">
        <f>CHOOSE(CONTROL!$C$42, 7.304, 7.304) * CHOOSE(CONTROL!$C$21, $C$9, 100%, $E$9)</f>
        <v>7.3040000000000003</v>
      </c>
      <c r="L175" s="10">
        <f>CHOOSE(CONTROL!$C$42, 8.1243, 8.1243) * CHOOSE(CONTROL!$C$21, $C$9, 100%, $E$9)</f>
        <v>8.1242999999999999</v>
      </c>
      <c r="M175" s="10">
        <f>CHOOSE(CONTROL!$C$42, 7.2508, 7.2508) * CHOOSE(CONTROL!$C$21, $C$9, 100%, $E$9)</f>
        <v>7.2507999999999999</v>
      </c>
      <c r="N175" s="10">
        <f>CHOOSE(CONTROL!$C$42, 7.2689, 7.2689) * CHOOSE(CONTROL!$C$21, $C$9, 100%, $E$9)</f>
        <v>7.2689000000000004</v>
      </c>
      <c r="O175" s="10">
        <f>CHOOSE(CONTROL!$C$42, 7.475, 7.475) * CHOOSE(CONTROL!$C$21, $C$9, 100%, $E$9)</f>
        <v>7.4749999999999996</v>
      </c>
      <c r="P175" s="10">
        <f>CHOOSE(CONTROL!$C$42, 7.248, 7.248) * CHOOSE(CONTROL!$C$21, $C$9, 100%, $E$9)</f>
        <v>7.2480000000000002</v>
      </c>
      <c r="Q175" s="10">
        <f>CHOOSE(CONTROL!$C$42, 8.0703, 8.0703) * CHOOSE(CONTROL!$C$21, $C$9, 100%, $E$9)</f>
        <v>8.0702999999999996</v>
      </c>
      <c r="R175" s="10">
        <f>CHOOSE(CONTROL!$C$42, 8.6775, 8.6775) * CHOOSE(CONTROL!$C$21, $C$9, 100%, $E$9)</f>
        <v>8.6775000000000002</v>
      </c>
      <c r="S175" s="10">
        <f>CHOOSE(CONTROL!$C$42, 7.1149, 7.1149) * CHOOSE(CONTROL!$C$21, $C$9, 100%, $E$9)</f>
        <v>7.1148999999999996</v>
      </c>
      <c r="T175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75" s="58">
        <f>(1000*CHOOSE(CONTROL!$C$42, 695, 695)*CHOOSE(CONTROL!$C$42, 0.5599, 0.5599)*CHOOSE(CONTROL!$C$42, 31, 31))/1000000</f>
        <v>12.063045499999998</v>
      </c>
      <c r="V175" s="58">
        <f>(1000*CHOOSE(CONTROL!$C$42, 500, 500)*CHOOSE(CONTROL!$C$42, 0.275, 0.275)*CHOOSE(CONTROL!$C$42, 31, 31))/1000000</f>
        <v>4.2625000000000002</v>
      </c>
      <c r="W175" s="58">
        <f>(1000*CHOOSE(CONTROL!$C$42, 0.1146, 0.1146)*CHOOSE(CONTROL!$C$42, 121.5, 121.5)*CHOOSE(CONTROL!$C$42, 31, 31))/1000000</f>
        <v>0.43164089999999994</v>
      </c>
      <c r="X175" s="58">
        <f>(31*0.1790888*245000/1000000)+(31*0.2374*100000/1000000)</f>
        <v>2.0961194359999999</v>
      </c>
      <c r="Y175" s="58"/>
      <c r="Z175" s="10"/>
      <c r="AA175" s="57"/>
      <c r="AB175" s="51">
        <f>(B175*194.205+C175*267.466+D175*133.845+E175*53.484+F175*40+G175*185+H175*0+I175*100+J175*300)/(194.205+267.466+133.845+53.484+0+40+185+100+300)</f>
        <v>7.3551377071428572</v>
      </c>
      <c r="AC175" s="27">
        <f>(M175*'RAP TEMPLATE-GAS AVAILABILITY'!O174+N175*'RAP TEMPLATE-GAS AVAILABILITY'!P174+O175*'RAP TEMPLATE-GAS AVAILABILITY'!Q174+P175*'RAP TEMPLATE-GAS AVAILABILITY'!R174)/('RAP TEMPLATE-GAS AVAILABILITY'!O174+'RAP TEMPLATE-GAS AVAILABILITY'!P174+'RAP TEMPLATE-GAS AVAILABILITY'!Q174+'RAP TEMPLATE-GAS AVAILABILITY'!R174)</f>
        <v>7.3174690647482024</v>
      </c>
    </row>
    <row r="176" spans="1:29" ht="15.75" x14ac:dyDescent="0.25">
      <c r="A176" s="16">
        <v>46600</v>
      </c>
      <c r="B176" s="10">
        <f>CHOOSE(CONTROL!$C$42, 6.9692, 6.9692) * CHOOSE(CONTROL!$C$21, $C$9, 100%, $E$9)</f>
        <v>6.9691999999999998</v>
      </c>
      <c r="C176" s="10">
        <f>CHOOSE(CONTROL!$C$42, 6.9771, 6.9771) * CHOOSE(CONTROL!$C$21, $C$9, 100%, $E$9)</f>
        <v>6.9771000000000001</v>
      </c>
      <c r="D176" s="10">
        <f>CHOOSE(CONTROL!$C$42, 7.1556, 7.1556) * CHOOSE(CONTROL!$C$21, $C$9, 100%, $E$9)</f>
        <v>7.1555999999999997</v>
      </c>
      <c r="E176" s="10">
        <f>CHOOSE(CONTROL!$C$42, 7.1868, 7.1868) * CHOOSE(CONTROL!$C$21, $C$9, 100%, $E$9)</f>
        <v>7.1867999999999999</v>
      </c>
      <c r="F176" s="10">
        <f>CHOOSE(CONTROL!$C$42, 6.9558, 6.9558)*CHOOSE(CONTROL!$C$21, $C$9, 100%, $E$9)</f>
        <v>6.9558</v>
      </c>
      <c r="G176" s="10">
        <f>CHOOSE(CONTROL!$C$42, 6.9741, 6.9741)*CHOOSE(CONTROL!$C$21, $C$9, 100%, $E$9)</f>
        <v>6.9741</v>
      </c>
      <c r="H176" s="10">
        <f>CHOOSE(CONTROL!$C$42, 7.1754, 7.1754) * CHOOSE(CONTROL!$C$21, $C$9, 100%, $E$9)</f>
        <v>7.1753999999999998</v>
      </c>
      <c r="I176" s="10">
        <f>CHOOSE(CONTROL!$C$42, 6.9461, 6.9461)* CHOOSE(CONTROL!$C$21, $C$9, 100%, $E$9)</f>
        <v>6.9461000000000004</v>
      </c>
      <c r="J176" s="10">
        <f>CHOOSE(CONTROL!$C$42, 6.9488, 6.9488)* CHOOSE(CONTROL!$C$21, $C$9, 100%, $E$9)</f>
        <v>6.9488000000000003</v>
      </c>
      <c r="K176" s="54">
        <f>CHOOSE(CONTROL!$C$42, 6.9422, 6.9422) * CHOOSE(CONTROL!$C$21, $C$9, 100%, $E$9)</f>
        <v>6.9421999999999997</v>
      </c>
      <c r="L176" s="10">
        <f>CHOOSE(CONTROL!$C$42, 7.7624, 7.7624) * CHOOSE(CONTROL!$C$21, $C$9, 100%, $E$9)</f>
        <v>7.7624000000000004</v>
      </c>
      <c r="M176" s="10">
        <f>CHOOSE(CONTROL!$C$42, 6.8925, 6.8925) * CHOOSE(CONTROL!$C$21, $C$9, 100%, $E$9)</f>
        <v>6.8925000000000001</v>
      </c>
      <c r="N176" s="10">
        <f>CHOOSE(CONTROL!$C$42, 6.9106, 6.9106) * CHOOSE(CONTROL!$C$21, $C$9, 100%, $E$9)</f>
        <v>6.9105999999999996</v>
      </c>
      <c r="O176" s="10">
        <f>CHOOSE(CONTROL!$C$42, 7.1168, 7.1168) * CHOOSE(CONTROL!$C$21, $C$9, 100%, $E$9)</f>
        <v>7.1167999999999996</v>
      </c>
      <c r="P176" s="10">
        <f>CHOOSE(CONTROL!$C$42, 6.8898, 6.8898) * CHOOSE(CONTROL!$C$21, $C$9, 100%, $E$9)</f>
        <v>6.8898000000000001</v>
      </c>
      <c r="Q176" s="10">
        <f>CHOOSE(CONTROL!$C$42, 7.7121, 7.7121) * CHOOSE(CONTROL!$C$21, $C$9, 100%, $E$9)</f>
        <v>7.7121000000000004</v>
      </c>
      <c r="R176" s="10">
        <f>CHOOSE(CONTROL!$C$42, 8.3184, 8.3184) * CHOOSE(CONTROL!$C$21, $C$9, 100%, $E$9)</f>
        <v>8.3184000000000005</v>
      </c>
      <c r="S176" s="10">
        <f>CHOOSE(CONTROL!$C$42, 6.7635, 6.7635) * CHOOSE(CONTROL!$C$21, $C$9, 100%, $E$9)</f>
        <v>6.7634999999999996</v>
      </c>
      <c r="T176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76" s="58">
        <f>(1000*CHOOSE(CONTROL!$C$42, 695, 695)*CHOOSE(CONTROL!$C$42, 0.5599, 0.5599)*CHOOSE(CONTROL!$C$42, 31, 31))/1000000</f>
        <v>12.063045499999998</v>
      </c>
      <c r="V176" s="58">
        <f>(1000*CHOOSE(CONTROL!$C$42, 500, 500)*CHOOSE(CONTROL!$C$42, 0.275, 0.275)*CHOOSE(CONTROL!$C$42, 31, 31))/1000000</f>
        <v>4.2625000000000002</v>
      </c>
      <c r="W176" s="58">
        <f>(1000*CHOOSE(CONTROL!$C$42, 0.1146, 0.1146)*CHOOSE(CONTROL!$C$42, 121.5, 121.5)*CHOOSE(CONTROL!$C$42, 31, 31))/1000000</f>
        <v>0.43164089999999994</v>
      </c>
      <c r="X176" s="58">
        <f>(31*0.1790888*245000/1000000)+(31*0.2374*100000/1000000)</f>
        <v>2.0961194359999999</v>
      </c>
      <c r="Y176" s="58"/>
      <c r="Z176" s="10"/>
      <c r="AA176" s="57"/>
      <c r="AB176" s="51">
        <f>(B176*194.205+C176*267.466+D176*133.845+E176*53.484+F176*40+G176*185+H176*0+I176*100+J176*300)/(194.205+267.466+133.845+53.484+0+40+185+100+300)</f>
        <v>6.9932504770800632</v>
      </c>
      <c r="AC176" s="27">
        <f>(M176*'RAP TEMPLATE-GAS AVAILABILITY'!O175+N176*'RAP TEMPLATE-GAS AVAILABILITY'!P175+O176*'RAP TEMPLATE-GAS AVAILABILITY'!Q175+P176*'RAP TEMPLATE-GAS AVAILABILITY'!R175)/('RAP TEMPLATE-GAS AVAILABILITY'!O175+'RAP TEMPLATE-GAS AVAILABILITY'!P175+'RAP TEMPLATE-GAS AVAILABILITY'!Q175+'RAP TEMPLATE-GAS AVAILABILITY'!R175)</f>
        <v>6.9592115107913672</v>
      </c>
    </row>
    <row r="177" spans="1:29" ht="15.75" x14ac:dyDescent="0.25">
      <c r="A177" s="16">
        <v>46631</v>
      </c>
      <c r="B177" s="10">
        <f>CHOOSE(CONTROL!$C$42, 6.5271, 6.5271) * CHOOSE(CONTROL!$C$21, $C$9, 100%, $E$9)</f>
        <v>6.5270999999999999</v>
      </c>
      <c r="C177" s="10">
        <f>CHOOSE(CONTROL!$C$42, 6.535, 6.535) * CHOOSE(CONTROL!$C$21, $C$9, 100%, $E$9)</f>
        <v>6.5350000000000001</v>
      </c>
      <c r="D177" s="10">
        <f>CHOOSE(CONTROL!$C$42, 6.7135, 6.7135) * CHOOSE(CONTROL!$C$21, $C$9, 100%, $E$9)</f>
        <v>6.7134999999999998</v>
      </c>
      <c r="E177" s="10">
        <f>CHOOSE(CONTROL!$C$42, 6.7447, 6.7447) * CHOOSE(CONTROL!$C$21, $C$9, 100%, $E$9)</f>
        <v>6.7446999999999999</v>
      </c>
      <c r="F177" s="10">
        <f>CHOOSE(CONTROL!$C$42, 6.5135, 6.5135)*CHOOSE(CONTROL!$C$21, $C$9, 100%, $E$9)</f>
        <v>6.5134999999999996</v>
      </c>
      <c r="G177" s="10">
        <f>CHOOSE(CONTROL!$C$42, 6.5317, 6.5317)*CHOOSE(CONTROL!$C$21, $C$9, 100%, $E$9)</f>
        <v>6.5316999999999998</v>
      </c>
      <c r="H177" s="10">
        <f>CHOOSE(CONTROL!$C$42, 6.7333, 6.7333) * CHOOSE(CONTROL!$C$21, $C$9, 100%, $E$9)</f>
        <v>6.7332999999999998</v>
      </c>
      <c r="I177" s="10">
        <f>CHOOSE(CONTROL!$C$42, 6.504, 6.504)* CHOOSE(CONTROL!$C$21, $C$9, 100%, $E$9)</f>
        <v>6.5039999999999996</v>
      </c>
      <c r="J177" s="10">
        <f>CHOOSE(CONTROL!$C$42, 6.5065, 6.5065)* CHOOSE(CONTROL!$C$21, $C$9, 100%, $E$9)</f>
        <v>6.5065</v>
      </c>
      <c r="K177" s="54">
        <f>CHOOSE(CONTROL!$C$42, 6.5001, 6.5001) * CHOOSE(CONTROL!$C$21, $C$9, 100%, $E$9)</f>
        <v>6.5000999999999998</v>
      </c>
      <c r="L177" s="10">
        <f>CHOOSE(CONTROL!$C$42, 7.3203, 7.3203) * CHOOSE(CONTROL!$C$21, $C$9, 100%, $E$9)</f>
        <v>7.3202999999999996</v>
      </c>
      <c r="M177" s="10">
        <f>CHOOSE(CONTROL!$C$42, 6.4546, 6.4546) * CHOOSE(CONTROL!$C$21, $C$9, 100%, $E$9)</f>
        <v>6.4546000000000001</v>
      </c>
      <c r="N177" s="10">
        <f>CHOOSE(CONTROL!$C$42, 6.4727, 6.4727) * CHOOSE(CONTROL!$C$21, $C$9, 100%, $E$9)</f>
        <v>6.4726999999999997</v>
      </c>
      <c r="O177" s="10">
        <f>CHOOSE(CONTROL!$C$42, 6.6792, 6.6792) * CHOOSE(CONTROL!$C$21, $C$9, 100%, $E$9)</f>
        <v>6.6791999999999998</v>
      </c>
      <c r="P177" s="10">
        <f>CHOOSE(CONTROL!$C$42, 6.4522, 6.4522) * CHOOSE(CONTROL!$C$21, $C$9, 100%, $E$9)</f>
        <v>6.4522000000000004</v>
      </c>
      <c r="Q177" s="10">
        <f>CHOOSE(CONTROL!$C$42, 7.2745, 7.2745) * CHOOSE(CONTROL!$C$21, $C$9, 100%, $E$9)</f>
        <v>7.2744999999999997</v>
      </c>
      <c r="R177" s="10">
        <f>CHOOSE(CONTROL!$C$42, 7.8797, 7.8797) * CHOOSE(CONTROL!$C$21, $C$9, 100%, $E$9)</f>
        <v>7.8796999999999997</v>
      </c>
      <c r="S177" s="10">
        <f>CHOOSE(CONTROL!$C$42, 6.3342, 6.3342) * CHOOSE(CONTROL!$C$21, $C$9, 100%, $E$9)</f>
        <v>6.3342000000000001</v>
      </c>
      <c r="T177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77" s="58">
        <f>(1000*CHOOSE(CONTROL!$C$42, 695, 695)*CHOOSE(CONTROL!$C$42, 0.5599, 0.5599)*CHOOSE(CONTROL!$C$42, 30, 30))/1000000</f>
        <v>11.673914999999997</v>
      </c>
      <c r="V177" s="58">
        <f>(1000*CHOOSE(CONTROL!$C$42, 500, 500)*CHOOSE(CONTROL!$C$42, 0.275, 0.275)*CHOOSE(CONTROL!$C$42, 30, 30))/1000000</f>
        <v>4.125</v>
      </c>
      <c r="W177" s="58">
        <f>(1000*CHOOSE(CONTROL!$C$42, 0.1146, 0.1146)*CHOOSE(CONTROL!$C$42, 121.5, 121.5)*CHOOSE(CONTROL!$C$42, 30, 30))/1000000</f>
        <v>0.417717</v>
      </c>
      <c r="X177" s="58">
        <f>(30*0.1790888*245000/1000000)+(30*0.2374*100000/1000000)</f>
        <v>2.0285026799999999</v>
      </c>
      <c r="Y177" s="58"/>
      <c r="Z177" s="10"/>
      <c r="AA177" s="57"/>
      <c r="AB177" s="51">
        <f>(B177*194.205+C177*267.466+D177*133.845+E177*53.484+F177*40+G177*185+H177*0+I177*100+J177*300)/(194.205+267.466+133.845+53.484+0+40+185+100+300)</f>
        <v>6.5510535383045516</v>
      </c>
      <c r="AC177" s="27">
        <f>(M177*'RAP TEMPLATE-GAS AVAILABILITY'!O176+N177*'RAP TEMPLATE-GAS AVAILABILITY'!P176+O177*'RAP TEMPLATE-GAS AVAILABILITY'!Q176+P177*'RAP TEMPLATE-GAS AVAILABILITY'!R176)/('RAP TEMPLATE-GAS AVAILABILITY'!O176+'RAP TEMPLATE-GAS AVAILABILITY'!P176+'RAP TEMPLATE-GAS AVAILABILITY'!Q176+'RAP TEMPLATE-GAS AVAILABILITY'!R176)</f>
        <v>6.5214388489208632</v>
      </c>
    </row>
    <row r="178" spans="1:29" ht="15.75" x14ac:dyDescent="0.25">
      <c r="A178" s="16">
        <v>46661</v>
      </c>
      <c r="B178" s="10">
        <f>CHOOSE(CONTROL!$C$42, 6.3925, 6.3925) * CHOOSE(CONTROL!$C$21, $C$9, 100%, $E$9)</f>
        <v>6.3925000000000001</v>
      </c>
      <c r="C178" s="10">
        <f>CHOOSE(CONTROL!$C$42, 6.3977, 6.3977) * CHOOSE(CONTROL!$C$21, $C$9, 100%, $E$9)</f>
        <v>6.3977000000000004</v>
      </c>
      <c r="D178" s="10">
        <f>CHOOSE(CONTROL!$C$42, 6.5812, 6.5812) * CHOOSE(CONTROL!$C$21, $C$9, 100%, $E$9)</f>
        <v>6.5811999999999999</v>
      </c>
      <c r="E178" s="10">
        <f>CHOOSE(CONTROL!$C$42, 6.61, 6.61) * CHOOSE(CONTROL!$C$21, $C$9, 100%, $E$9)</f>
        <v>6.61</v>
      </c>
      <c r="F178" s="10">
        <f>CHOOSE(CONTROL!$C$42, 6.3808, 6.3808)*CHOOSE(CONTROL!$C$21, $C$9, 100%, $E$9)</f>
        <v>6.3807999999999998</v>
      </c>
      <c r="G178" s="10">
        <f>CHOOSE(CONTROL!$C$42, 6.3987, 6.3987)*CHOOSE(CONTROL!$C$21, $C$9, 100%, $E$9)</f>
        <v>6.3986999999999998</v>
      </c>
      <c r="H178" s="10">
        <f>CHOOSE(CONTROL!$C$42, 6.6005, 6.6005) * CHOOSE(CONTROL!$C$21, $C$9, 100%, $E$9)</f>
        <v>6.6005000000000003</v>
      </c>
      <c r="I178" s="10">
        <f>CHOOSE(CONTROL!$C$42, 6.3712, 6.3712)* CHOOSE(CONTROL!$C$21, $C$9, 100%, $E$9)</f>
        <v>6.3712</v>
      </c>
      <c r="J178" s="10">
        <f>CHOOSE(CONTROL!$C$42, 6.3738, 6.3738)* CHOOSE(CONTROL!$C$21, $C$9, 100%, $E$9)</f>
        <v>6.3738000000000001</v>
      </c>
      <c r="K178" s="54">
        <f>CHOOSE(CONTROL!$C$42, 6.3673, 6.3673) * CHOOSE(CONTROL!$C$21, $C$9, 100%, $E$9)</f>
        <v>6.3673000000000002</v>
      </c>
      <c r="L178" s="10">
        <f>CHOOSE(CONTROL!$C$42, 7.1875, 7.1875) * CHOOSE(CONTROL!$C$21, $C$9, 100%, $E$9)</f>
        <v>7.1875</v>
      </c>
      <c r="M178" s="10">
        <f>CHOOSE(CONTROL!$C$42, 6.3234, 6.3234) * CHOOSE(CONTROL!$C$21, $C$9, 100%, $E$9)</f>
        <v>6.3234000000000004</v>
      </c>
      <c r="N178" s="10">
        <f>CHOOSE(CONTROL!$C$42, 6.3411, 6.3411) * CHOOSE(CONTROL!$C$21, $C$9, 100%, $E$9)</f>
        <v>6.3411</v>
      </c>
      <c r="O178" s="10">
        <f>CHOOSE(CONTROL!$C$42, 6.5477, 6.5477) * CHOOSE(CONTROL!$C$21, $C$9, 100%, $E$9)</f>
        <v>6.5476999999999999</v>
      </c>
      <c r="P178" s="10">
        <f>CHOOSE(CONTROL!$C$42, 6.3207, 6.3207) * CHOOSE(CONTROL!$C$21, $C$9, 100%, $E$9)</f>
        <v>6.3207000000000004</v>
      </c>
      <c r="Q178" s="10">
        <f>CHOOSE(CONTROL!$C$42, 7.143, 7.143) * CHOOSE(CONTROL!$C$21, $C$9, 100%, $E$9)</f>
        <v>7.1429999999999998</v>
      </c>
      <c r="R178" s="10">
        <f>CHOOSE(CONTROL!$C$42, 7.7479, 7.7479) * CHOOSE(CONTROL!$C$21, $C$9, 100%, $E$9)</f>
        <v>7.7478999999999996</v>
      </c>
      <c r="S178" s="10">
        <f>CHOOSE(CONTROL!$C$42, 6.2052, 6.2052) * CHOOSE(CONTROL!$C$21, $C$9, 100%, $E$9)</f>
        <v>6.2051999999999996</v>
      </c>
      <c r="T178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78" s="58">
        <f>(1000*CHOOSE(CONTROL!$C$42, 695, 695)*CHOOSE(CONTROL!$C$42, 0.5599, 0.5599)*CHOOSE(CONTROL!$C$42, 31, 31))/1000000</f>
        <v>12.063045499999998</v>
      </c>
      <c r="V178" s="58">
        <f>(1000*CHOOSE(CONTROL!$C$42, 500, 500)*CHOOSE(CONTROL!$C$42, 0.275, 0.275)*CHOOSE(CONTROL!$C$42, 31, 31))/1000000</f>
        <v>4.2625000000000002</v>
      </c>
      <c r="W178" s="58">
        <f>(1000*CHOOSE(CONTROL!$C$42, 0.1146, 0.1146)*CHOOSE(CONTROL!$C$42, 121.5, 121.5)*CHOOSE(CONTROL!$C$42, 31, 31))/1000000</f>
        <v>0.43164089999999994</v>
      </c>
      <c r="X178" s="58">
        <f>(31*0.1790888*245000/1000000)+(31*0.2374*100000/1000000)</f>
        <v>2.0961194359999999</v>
      </c>
      <c r="Y178" s="58"/>
      <c r="Z178" s="10"/>
      <c r="AA178" s="57"/>
      <c r="AB178" s="51">
        <f>(B178*131.881+C178*277.167+D178*79.08+E178*125.872+F178*40+G178*185+H178*0+I178*100+J178*300)/(131.881+277.167+79.08+125.872+0+40+185+100+300)</f>
        <v>6.4221043780468117</v>
      </c>
      <c r="AC178" s="27">
        <f>(M178*'RAP TEMPLATE-GAS AVAILABILITY'!O177+N178*'RAP TEMPLATE-GAS AVAILABILITY'!P177+O178*'RAP TEMPLATE-GAS AVAILABILITY'!Q177+P178*'RAP TEMPLATE-GAS AVAILABILITY'!R177)/('RAP TEMPLATE-GAS AVAILABILITY'!O177+'RAP TEMPLATE-GAS AVAILABILITY'!P177+'RAP TEMPLATE-GAS AVAILABILITY'!Q177+'RAP TEMPLATE-GAS AVAILABILITY'!R177)</f>
        <v>6.3900194244604318</v>
      </c>
    </row>
    <row r="179" spans="1:29" ht="15.75" x14ac:dyDescent="0.25">
      <c r="A179" s="16">
        <v>46692</v>
      </c>
      <c r="B179" s="10">
        <f>CHOOSE(CONTROL!$C$42, 6.5604, 6.5604) * CHOOSE(CONTROL!$C$21, $C$9, 100%, $E$9)</f>
        <v>6.5603999999999996</v>
      </c>
      <c r="C179" s="10">
        <f>CHOOSE(CONTROL!$C$42, 6.5654, 6.5654) * CHOOSE(CONTROL!$C$21, $C$9, 100%, $E$9)</f>
        <v>6.5654000000000003</v>
      </c>
      <c r="D179" s="10">
        <f>CHOOSE(CONTROL!$C$42, 6.595, 6.595) * CHOOSE(CONTROL!$C$21, $C$9, 100%, $E$9)</f>
        <v>6.5949999999999998</v>
      </c>
      <c r="E179" s="10">
        <f>CHOOSE(CONTROL!$C$42, 6.6288, 6.6288) * CHOOSE(CONTROL!$C$21, $C$9, 100%, $E$9)</f>
        <v>6.6288</v>
      </c>
      <c r="F179" s="10">
        <f>CHOOSE(CONTROL!$C$42, 6.5462, 6.5462)*CHOOSE(CONTROL!$C$21, $C$9, 100%, $E$9)</f>
        <v>6.5461999999999998</v>
      </c>
      <c r="G179" s="10">
        <f>CHOOSE(CONTROL!$C$42, 6.5642, 6.5642)*CHOOSE(CONTROL!$C$21, $C$9, 100%, $E$9)</f>
        <v>6.5641999999999996</v>
      </c>
      <c r="H179" s="10">
        <f>CHOOSE(CONTROL!$C$42, 6.618, 6.618) * CHOOSE(CONTROL!$C$21, $C$9, 100%, $E$9)</f>
        <v>6.6180000000000003</v>
      </c>
      <c r="I179" s="10">
        <f>CHOOSE(CONTROL!$C$42, 6.5266, 6.5266)* CHOOSE(CONTROL!$C$21, $C$9, 100%, $E$9)</f>
        <v>6.5266000000000002</v>
      </c>
      <c r="J179" s="10">
        <f>CHOOSE(CONTROL!$C$42, 6.5392, 6.5392)* CHOOSE(CONTROL!$C$21, $C$9, 100%, $E$9)</f>
        <v>6.5392000000000001</v>
      </c>
      <c r="K179" s="54">
        <f>CHOOSE(CONTROL!$C$42, 6.5227, 6.5227) * CHOOSE(CONTROL!$C$21, $C$9, 100%, $E$9)</f>
        <v>6.5227000000000004</v>
      </c>
      <c r="L179" s="10">
        <f>CHOOSE(CONTROL!$C$42, 7.205, 7.205) * CHOOSE(CONTROL!$C$21, $C$9, 100%, $E$9)</f>
        <v>7.2050000000000001</v>
      </c>
      <c r="M179" s="10">
        <f>CHOOSE(CONTROL!$C$42, 6.487, 6.487) * CHOOSE(CONTROL!$C$21, $C$9, 100%, $E$9)</f>
        <v>6.4870000000000001</v>
      </c>
      <c r="N179" s="10">
        <f>CHOOSE(CONTROL!$C$42, 6.5049, 6.5049) * CHOOSE(CONTROL!$C$21, $C$9, 100%, $E$9)</f>
        <v>6.5049000000000001</v>
      </c>
      <c r="O179" s="10">
        <f>CHOOSE(CONTROL!$C$42, 6.565, 6.565) * CHOOSE(CONTROL!$C$21, $C$9, 100%, $E$9)</f>
        <v>6.5650000000000004</v>
      </c>
      <c r="P179" s="10">
        <f>CHOOSE(CONTROL!$C$42, 6.4746, 6.4746) * CHOOSE(CONTROL!$C$21, $C$9, 100%, $E$9)</f>
        <v>6.4745999999999997</v>
      </c>
      <c r="Q179" s="10">
        <f>CHOOSE(CONTROL!$C$42, 7.1603, 7.1603) * CHOOSE(CONTROL!$C$21, $C$9, 100%, $E$9)</f>
        <v>7.1603000000000003</v>
      </c>
      <c r="R179" s="10">
        <f>CHOOSE(CONTROL!$C$42, 7.7652, 7.7652) * CHOOSE(CONTROL!$C$21, $C$9, 100%, $E$9)</f>
        <v>7.7652000000000001</v>
      </c>
      <c r="S179" s="10">
        <f>CHOOSE(CONTROL!$C$42, 6.3687, 6.3687) * CHOOSE(CONTROL!$C$21, $C$9, 100%, $E$9)</f>
        <v>6.3686999999999996</v>
      </c>
      <c r="T179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79" s="58">
        <f>(1000*CHOOSE(CONTROL!$C$42, 695, 695)*CHOOSE(CONTROL!$C$42, 0.5599, 0.5599)*CHOOSE(CONTROL!$C$42, 30, 30))/1000000</f>
        <v>11.673914999999997</v>
      </c>
      <c r="V179" s="58">
        <f>(1000*CHOOSE(CONTROL!$C$42, 500, 500)*CHOOSE(CONTROL!$C$42, 0.275, 0.275)*CHOOSE(CONTROL!$C$42, 30, 30))/1000000</f>
        <v>4.125</v>
      </c>
      <c r="W179" s="58">
        <f>(1000*CHOOSE(CONTROL!$C$42, 0.1146, 0.1146)*CHOOSE(CONTROL!$C$42, 121.5, 121.5)*CHOOSE(CONTROL!$C$42, 30, 30))/1000000</f>
        <v>0.417717</v>
      </c>
      <c r="X179" s="58">
        <f>(30*0.1790888*100000/1000000)+(30*0.2374*100000/1000000)</f>
        <v>1.2494664</v>
      </c>
      <c r="Y179" s="58"/>
      <c r="Z179" s="10"/>
      <c r="AA179" s="57"/>
      <c r="AB179" s="51">
        <f>(B179*122.58+C179*297.941+D179*89.177+E179*40.302+F179*40+G179*160+H179*0+I179*100+J179*300)/(122.58+297.941+89.177+40.302+0+40+160+100+300)</f>
        <v>6.5583407704347829</v>
      </c>
      <c r="AC179" s="27">
        <f>(M179*'RAP TEMPLATE-GAS AVAILABILITY'!O178+N179*'RAP TEMPLATE-GAS AVAILABILITY'!P178+O179*'RAP TEMPLATE-GAS AVAILABILITY'!Q178+P179*'RAP TEMPLATE-GAS AVAILABILITY'!R178)/('RAP TEMPLATE-GAS AVAILABILITY'!O178+'RAP TEMPLATE-GAS AVAILABILITY'!P178+'RAP TEMPLATE-GAS AVAILABILITY'!Q178+'RAP TEMPLATE-GAS AVAILABILITY'!R178)</f>
        <v>6.5215985611510785</v>
      </c>
    </row>
    <row r="180" spans="1:29" ht="15.75" x14ac:dyDescent="0.25">
      <c r="A180" s="16">
        <v>46722</v>
      </c>
      <c r="B180" s="10">
        <f>CHOOSE(CONTROL!$C$42, 7.0075, 7.0075) * CHOOSE(CONTROL!$C$21, $C$9, 100%, $E$9)</f>
        <v>7.0075000000000003</v>
      </c>
      <c r="C180" s="10">
        <f>CHOOSE(CONTROL!$C$42, 7.0125, 7.0125) * CHOOSE(CONTROL!$C$21, $C$9, 100%, $E$9)</f>
        <v>7.0125000000000002</v>
      </c>
      <c r="D180" s="10">
        <f>CHOOSE(CONTROL!$C$42, 7.0421, 7.0421) * CHOOSE(CONTROL!$C$21, $C$9, 100%, $E$9)</f>
        <v>7.0420999999999996</v>
      </c>
      <c r="E180" s="10">
        <f>CHOOSE(CONTROL!$C$42, 7.0758, 7.0758) * CHOOSE(CONTROL!$C$21, $C$9, 100%, $E$9)</f>
        <v>7.0758000000000001</v>
      </c>
      <c r="F180" s="10">
        <f>CHOOSE(CONTROL!$C$42, 6.9948, 6.9948)*CHOOSE(CONTROL!$C$21, $C$9, 100%, $E$9)</f>
        <v>6.9947999999999997</v>
      </c>
      <c r="G180" s="10">
        <f>CHOOSE(CONTROL!$C$42, 7.0133, 7.0133)*CHOOSE(CONTROL!$C$21, $C$9, 100%, $E$9)</f>
        <v>7.0133000000000001</v>
      </c>
      <c r="H180" s="10">
        <f>CHOOSE(CONTROL!$C$42, 7.065, 7.065) * CHOOSE(CONTROL!$C$21, $C$9, 100%, $E$9)</f>
        <v>7.0650000000000004</v>
      </c>
      <c r="I180" s="10">
        <f>CHOOSE(CONTROL!$C$42, 6.9737, 6.9737)* CHOOSE(CONTROL!$C$21, $C$9, 100%, $E$9)</f>
        <v>6.9737</v>
      </c>
      <c r="J180" s="10">
        <f>CHOOSE(CONTROL!$C$42, 6.9878, 6.9878)* CHOOSE(CONTROL!$C$21, $C$9, 100%, $E$9)</f>
        <v>6.9878</v>
      </c>
      <c r="K180" s="54">
        <f>CHOOSE(CONTROL!$C$42, 6.9698, 6.9698) * CHOOSE(CONTROL!$C$21, $C$9, 100%, $E$9)</f>
        <v>6.9698000000000002</v>
      </c>
      <c r="L180" s="10">
        <f>CHOOSE(CONTROL!$C$42, 7.652, 7.652) * CHOOSE(CONTROL!$C$21, $C$9, 100%, $E$9)</f>
        <v>7.6520000000000001</v>
      </c>
      <c r="M180" s="10">
        <f>CHOOSE(CONTROL!$C$42, 6.9311, 6.9311) * CHOOSE(CONTROL!$C$21, $C$9, 100%, $E$9)</f>
        <v>6.9310999999999998</v>
      </c>
      <c r="N180" s="10">
        <f>CHOOSE(CONTROL!$C$42, 6.9494, 6.9494) * CHOOSE(CONTROL!$C$21, $C$9, 100%, $E$9)</f>
        <v>6.9493999999999998</v>
      </c>
      <c r="O180" s="10">
        <f>CHOOSE(CONTROL!$C$42, 7.0076, 7.0076) * CHOOSE(CONTROL!$C$21, $C$9, 100%, $E$9)</f>
        <v>7.0076000000000001</v>
      </c>
      <c r="P180" s="10">
        <f>CHOOSE(CONTROL!$C$42, 6.9172, 6.9172) * CHOOSE(CONTROL!$C$21, $C$9, 100%, $E$9)</f>
        <v>6.9172000000000002</v>
      </c>
      <c r="Q180" s="10">
        <f>CHOOSE(CONTROL!$C$42, 7.6029, 7.6029) * CHOOSE(CONTROL!$C$21, $C$9, 100%, $E$9)</f>
        <v>7.6029</v>
      </c>
      <c r="R180" s="10">
        <f>CHOOSE(CONTROL!$C$42, 8.2089, 8.2089) * CHOOSE(CONTROL!$C$21, $C$9, 100%, $E$9)</f>
        <v>8.2088999999999999</v>
      </c>
      <c r="S180" s="10">
        <f>CHOOSE(CONTROL!$C$42, 6.8029, 6.8029) * CHOOSE(CONTROL!$C$21, $C$9, 100%, $E$9)</f>
        <v>6.8029000000000002</v>
      </c>
      <c r="T180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80" s="58">
        <f>(1000*CHOOSE(CONTROL!$C$42, 695, 695)*CHOOSE(CONTROL!$C$42, 0.5599, 0.5599)*CHOOSE(CONTROL!$C$42, 31, 31))/1000000</f>
        <v>12.063045499999998</v>
      </c>
      <c r="V180" s="58">
        <f>(1000*CHOOSE(CONTROL!$C$42, 500, 500)*CHOOSE(CONTROL!$C$42, 0.275, 0.275)*CHOOSE(CONTROL!$C$42, 31, 31))/1000000</f>
        <v>4.2625000000000002</v>
      </c>
      <c r="W180" s="58">
        <f>(1000*CHOOSE(CONTROL!$C$42, 0.1146, 0.1146)*CHOOSE(CONTROL!$C$42, 121.5, 121.5)*CHOOSE(CONTROL!$C$42, 31, 31))/1000000</f>
        <v>0.43164089999999994</v>
      </c>
      <c r="X180" s="58">
        <f>(31*0.1790888*100000/1000000)+(31*0.2374*100000/1000000)</f>
        <v>1.2911152800000001</v>
      </c>
      <c r="Y180" s="58"/>
      <c r="Z180" s="10"/>
      <c r="AA180" s="57"/>
      <c r="AB180" s="51">
        <f>(B180*122.58+C180*297.941+D180*89.177+E180*40.302+F180*40+G180*160+H180*0+I180*100+J180*300)/(122.58+297.941+89.177+40.302+0+40+160+100+300)</f>
        <v>7.0061590050434779</v>
      </c>
      <c r="AC180" s="27">
        <f>(M180*'RAP TEMPLATE-GAS AVAILABILITY'!O179+N180*'RAP TEMPLATE-GAS AVAILABILITY'!P179+O180*'RAP TEMPLATE-GAS AVAILABILITY'!Q179+P180*'RAP TEMPLATE-GAS AVAILABILITY'!R179)/('RAP TEMPLATE-GAS AVAILABILITY'!O179+'RAP TEMPLATE-GAS AVAILABILITY'!P179+'RAP TEMPLATE-GAS AVAILABILITY'!Q179+'RAP TEMPLATE-GAS AVAILABILITY'!R179)</f>
        <v>6.9648258992805774</v>
      </c>
    </row>
    <row r="181" spans="1:29" ht="15.75" x14ac:dyDescent="0.25">
      <c r="A181" s="16">
        <v>46753</v>
      </c>
      <c r="B181" s="10">
        <f>CHOOSE(CONTROL!$C$42, 7.5713, 7.5713) * CHOOSE(CONTROL!$C$21, $C$9, 100%, $E$9)</f>
        <v>7.5712999999999999</v>
      </c>
      <c r="C181" s="10">
        <f>CHOOSE(CONTROL!$C$42, 7.5763, 7.5763) * CHOOSE(CONTROL!$C$21, $C$9, 100%, $E$9)</f>
        <v>7.5762999999999998</v>
      </c>
      <c r="D181" s="10">
        <f>CHOOSE(CONTROL!$C$42, 7.6265, 7.6265) * CHOOSE(CONTROL!$C$21, $C$9, 100%, $E$9)</f>
        <v>7.6265000000000001</v>
      </c>
      <c r="E181" s="10">
        <f>CHOOSE(CONTROL!$C$42, 7.6603, 7.6603) * CHOOSE(CONTROL!$C$21, $C$9, 100%, $E$9)</f>
        <v>7.6603000000000003</v>
      </c>
      <c r="F181" s="10">
        <f>CHOOSE(CONTROL!$C$42, 7.5367, 7.5367)*CHOOSE(CONTROL!$C$21, $C$9, 100%, $E$9)</f>
        <v>7.5366999999999997</v>
      </c>
      <c r="G181" s="10">
        <f>CHOOSE(CONTROL!$C$42, 7.5542, 7.5542)*CHOOSE(CONTROL!$C$21, $C$9, 100%, $E$9)</f>
        <v>7.5541999999999998</v>
      </c>
      <c r="H181" s="10">
        <f>CHOOSE(CONTROL!$C$42, 7.6494, 7.6494) * CHOOSE(CONTROL!$C$21, $C$9, 100%, $E$9)</f>
        <v>7.6494</v>
      </c>
      <c r="I181" s="10">
        <f>CHOOSE(CONTROL!$C$42, 7.5452, 7.5452)* CHOOSE(CONTROL!$C$21, $C$9, 100%, $E$9)</f>
        <v>7.5452000000000004</v>
      </c>
      <c r="J181" s="10">
        <f>CHOOSE(CONTROL!$C$42, 7.5297, 7.5297)* CHOOSE(CONTROL!$C$21, $C$9, 100%, $E$9)</f>
        <v>7.5297000000000001</v>
      </c>
      <c r="K181" s="54">
        <f>CHOOSE(CONTROL!$C$42, 7.5413, 7.5413) * CHOOSE(CONTROL!$C$21, $C$9, 100%, $E$9)</f>
        <v>7.5412999999999997</v>
      </c>
      <c r="L181" s="10">
        <f>CHOOSE(CONTROL!$C$42, 8.2364, 8.2364) * CHOOSE(CONTROL!$C$21, $C$9, 100%, $E$9)</f>
        <v>8.2363999999999997</v>
      </c>
      <c r="M181" s="10">
        <f>CHOOSE(CONTROL!$C$42, 7.4675, 7.4675) * CHOOSE(CONTROL!$C$21, $C$9, 100%, $E$9)</f>
        <v>7.4675000000000002</v>
      </c>
      <c r="N181" s="10">
        <f>CHOOSE(CONTROL!$C$42, 7.4849, 7.4849) * CHOOSE(CONTROL!$C$21, $C$9, 100%, $E$9)</f>
        <v>7.4848999999999997</v>
      </c>
      <c r="O181" s="10">
        <f>CHOOSE(CONTROL!$C$42, 7.5861, 7.5861) * CHOOSE(CONTROL!$C$21, $C$9, 100%, $E$9)</f>
        <v>7.5861000000000001</v>
      </c>
      <c r="P181" s="10">
        <f>CHOOSE(CONTROL!$C$42, 7.4829, 7.4829) * CHOOSE(CONTROL!$C$21, $C$9, 100%, $E$9)</f>
        <v>7.4828999999999999</v>
      </c>
      <c r="Q181" s="10">
        <f>CHOOSE(CONTROL!$C$42, 8.1814, 8.1814) * CHOOSE(CONTROL!$C$21, $C$9, 100%, $E$9)</f>
        <v>8.1814</v>
      </c>
      <c r="R181" s="10">
        <f>CHOOSE(CONTROL!$C$42, 8.7888, 8.7888) * CHOOSE(CONTROL!$C$21, $C$9, 100%, $E$9)</f>
        <v>8.7888000000000002</v>
      </c>
      <c r="S181" s="10">
        <f>CHOOSE(CONTROL!$C$42, 7.3504, 7.3504) * CHOOSE(CONTROL!$C$21, $C$9, 100%, $E$9)</f>
        <v>7.3503999999999996</v>
      </c>
      <c r="T181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81" s="58">
        <f>(1000*CHOOSE(CONTROL!$C$42, 695, 695)*CHOOSE(CONTROL!$C$42, 0.5599, 0.5599)*CHOOSE(CONTROL!$C$42, 31, 31))/1000000</f>
        <v>12.063045499999998</v>
      </c>
      <c r="V181" s="58">
        <f>(1000*CHOOSE(CONTROL!$C$42, 500, 500)*CHOOSE(CONTROL!$C$42, 0.275, 0.275)*CHOOSE(CONTROL!$C$42, 31, 31))/1000000</f>
        <v>4.2625000000000002</v>
      </c>
      <c r="W181" s="58">
        <f>(1000*CHOOSE(CONTROL!$C$42, 0.1146, 0.1146)*CHOOSE(CONTROL!$C$42, 121.5, 121.5)*CHOOSE(CONTROL!$C$42, 31, 31))/1000000</f>
        <v>0.43164089999999994</v>
      </c>
      <c r="X181" s="58">
        <f>(31*0.1790888*100000/1000000)+(31*0.2374*100000/1000000)</f>
        <v>1.2911152800000001</v>
      </c>
      <c r="Y181" s="58"/>
      <c r="Z181" s="10"/>
      <c r="AA181" s="57"/>
      <c r="AB181" s="51">
        <f>(B181*122.58+C181*297.941+D181*89.177+E181*40.302+F181*40+G181*160+H181*0+I181*100+J181*300)/(122.58+297.941+89.177+40.302+0+40+160+100+300)</f>
        <v>7.5632905681739127</v>
      </c>
      <c r="AC181" s="27">
        <f>(M181*'RAP TEMPLATE-GAS AVAILABILITY'!O180+N181*'RAP TEMPLATE-GAS AVAILABILITY'!P180+O181*'RAP TEMPLATE-GAS AVAILABILITY'!Q180+P181*'RAP TEMPLATE-GAS AVAILABILITY'!R180)/('RAP TEMPLATE-GAS AVAILABILITY'!O180+'RAP TEMPLATE-GAS AVAILABILITY'!P180+'RAP TEMPLATE-GAS AVAILABILITY'!Q180+'RAP TEMPLATE-GAS AVAILABILITY'!R180)</f>
        <v>7.5244712230215836</v>
      </c>
    </row>
    <row r="182" spans="1:29" ht="15.75" x14ac:dyDescent="0.25">
      <c r="A182" s="16">
        <v>46784</v>
      </c>
      <c r="B182" s="10">
        <f>CHOOSE(CONTROL!$C$42, 7.706, 7.706) * CHOOSE(CONTROL!$C$21, $C$9, 100%, $E$9)</f>
        <v>7.7060000000000004</v>
      </c>
      <c r="C182" s="10">
        <f>CHOOSE(CONTROL!$C$42, 7.711, 7.711) * CHOOSE(CONTROL!$C$21, $C$9, 100%, $E$9)</f>
        <v>7.7110000000000003</v>
      </c>
      <c r="D182" s="10">
        <f>CHOOSE(CONTROL!$C$42, 7.8281, 7.8281) * CHOOSE(CONTROL!$C$21, $C$9, 100%, $E$9)</f>
        <v>7.8281000000000001</v>
      </c>
      <c r="E182" s="10">
        <f>CHOOSE(CONTROL!$C$42, 7.8619, 7.8619) * CHOOSE(CONTROL!$C$21, $C$9, 100%, $E$9)</f>
        <v>7.8619000000000003</v>
      </c>
      <c r="F182" s="10">
        <f>CHOOSE(CONTROL!$C$42, 7.7836, 7.7836)*CHOOSE(CONTROL!$C$21, $C$9, 100%, $E$9)</f>
        <v>7.7835999999999999</v>
      </c>
      <c r="G182" s="10">
        <f>CHOOSE(CONTROL!$C$42, 7.8055, 7.8055)*CHOOSE(CONTROL!$C$21, $C$9, 100%, $E$9)</f>
        <v>7.8055000000000003</v>
      </c>
      <c r="H182" s="10">
        <f>CHOOSE(CONTROL!$C$42, 7.8511, 7.8511) * CHOOSE(CONTROL!$C$21, $C$9, 100%, $E$9)</f>
        <v>7.8510999999999997</v>
      </c>
      <c r="I182" s="10">
        <f>CHOOSE(CONTROL!$C$42, 7.7417, 7.7417)* CHOOSE(CONTROL!$C$21, $C$9, 100%, $E$9)</f>
        <v>7.7416999999999998</v>
      </c>
      <c r="J182" s="10">
        <f>CHOOSE(CONTROL!$C$42, 7.7766, 7.7766)* CHOOSE(CONTROL!$C$21, $C$9, 100%, $E$9)</f>
        <v>7.7766000000000002</v>
      </c>
      <c r="K182" s="54">
        <f>CHOOSE(CONTROL!$C$42, 7.7378, 7.7378) * CHOOSE(CONTROL!$C$21, $C$9, 100%, $E$9)</f>
        <v>7.7378</v>
      </c>
      <c r="L182" s="10">
        <f>CHOOSE(CONTROL!$C$42, 8.4381, 8.4381) * CHOOSE(CONTROL!$C$21, $C$9, 100%, $E$9)</f>
        <v>8.4381000000000004</v>
      </c>
      <c r="M182" s="10">
        <f>CHOOSE(CONTROL!$C$42, 7.712, 7.712) * CHOOSE(CONTROL!$C$21, $C$9, 100%, $E$9)</f>
        <v>7.7119999999999997</v>
      </c>
      <c r="N182" s="10">
        <f>CHOOSE(CONTROL!$C$42, 7.7337, 7.7337) * CHOOSE(CONTROL!$C$21, $C$9, 100%, $E$9)</f>
        <v>7.7336999999999998</v>
      </c>
      <c r="O182" s="10">
        <f>CHOOSE(CONTROL!$C$42, 7.7857, 7.7857) * CHOOSE(CONTROL!$C$21, $C$9, 100%, $E$9)</f>
        <v>7.7857000000000003</v>
      </c>
      <c r="P182" s="10">
        <f>CHOOSE(CONTROL!$C$42, 7.6775, 7.6775) * CHOOSE(CONTROL!$C$21, $C$9, 100%, $E$9)</f>
        <v>7.6775000000000002</v>
      </c>
      <c r="Q182" s="10">
        <f>CHOOSE(CONTROL!$C$42, 8.381, 8.381) * CHOOSE(CONTROL!$C$21, $C$9, 100%, $E$9)</f>
        <v>8.3810000000000002</v>
      </c>
      <c r="R182" s="10">
        <f>CHOOSE(CONTROL!$C$42, 8.989, 8.989) * CHOOSE(CONTROL!$C$21, $C$9, 100%, $E$9)</f>
        <v>8.9890000000000008</v>
      </c>
      <c r="S182" s="10">
        <f>CHOOSE(CONTROL!$C$42, 7.4812, 7.4812) * CHOOSE(CONTROL!$C$21, $C$9, 100%, $E$9)</f>
        <v>7.4812000000000003</v>
      </c>
      <c r="T182" s="5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182" s="58">
        <f>(1000*CHOOSE(CONTROL!$C$42, 695, 695)*CHOOSE(CONTROL!$C$42, 0.5599, 0.5599)*CHOOSE(CONTROL!$C$42, 29, 29))/1000000</f>
        <v>11.284784499999999</v>
      </c>
      <c r="V182" s="58">
        <f>(1000*CHOOSE(CONTROL!$C$42, 500, 500)*CHOOSE(CONTROL!$C$42, 0.275, 0.275)*CHOOSE(CONTROL!$C$42, 29, 29))/1000000</f>
        <v>3.9874999999999998</v>
      </c>
      <c r="W182" s="58">
        <f>(1000*CHOOSE(CONTROL!$C$42, 0.1146, 0.1146)*CHOOSE(CONTROL!$C$42, 121.5, 121.5)*CHOOSE(CONTROL!$C$42, 29, 29))/1000000</f>
        <v>0.40379309999999996</v>
      </c>
      <c r="X182" s="58">
        <f>(29*0.1790888*100000/1000000)+(29*0.2374*100000/1000000)</f>
        <v>1.2078175199999999</v>
      </c>
      <c r="Y182" s="58"/>
      <c r="Z182" s="10"/>
      <c r="AA182" s="57"/>
      <c r="AB182" s="51">
        <f>(B182*122.58+C182*297.941+D182*89.177+E182*40.302+F182*40+G182*160+H182*0+I182*100+J182*300)/(122.58+297.941+89.177+40.302+0+40+160+100+300)</f>
        <v>7.7602915639130439</v>
      </c>
      <c r="AC182" s="27">
        <f>(M182*'RAP TEMPLATE-GAS AVAILABILITY'!O181+N182*'RAP TEMPLATE-GAS AVAILABILITY'!P181+O182*'RAP TEMPLATE-GAS AVAILABILITY'!Q181+P182*'RAP TEMPLATE-GAS AVAILABILITY'!R181)/('RAP TEMPLATE-GAS AVAILABILITY'!O181+'RAP TEMPLATE-GAS AVAILABILITY'!P181+'RAP TEMPLATE-GAS AVAILABILITY'!Q181+'RAP TEMPLATE-GAS AVAILABILITY'!R181)</f>
        <v>7.7416884892086335</v>
      </c>
    </row>
    <row r="183" spans="1:29" ht="15.75" x14ac:dyDescent="0.25">
      <c r="A183" s="16">
        <v>46813</v>
      </c>
      <c r="B183" s="10">
        <f>CHOOSE(CONTROL!$C$42, 7.4874, 7.4874) * CHOOSE(CONTROL!$C$21, $C$9, 100%, $E$9)</f>
        <v>7.4874000000000001</v>
      </c>
      <c r="C183" s="10">
        <f>CHOOSE(CONTROL!$C$42, 7.4923, 7.4923) * CHOOSE(CONTROL!$C$21, $C$9, 100%, $E$9)</f>
        <v>7.4923000000000002</v>
      </c>
      <c r="D183" s="10">
        <f>CHOOSE(CONTROL!$C$42, 7.5837, 7.5837) * CHOOSE(CONTROL!$C$21, $C$9, 100%, $E$9)</f>
        <v>7.5837000000000003</v>
      </c>
      <c r="E183" s="10">
        <f>CHOOSE(CONTROL!$C$42, 7.6175, 7.6175) * CHOOSE(CONTROL!$C$21, $C$9, 100%, $E$9)</f>
        <v>7.6174999999999997</v>
      </c>
      <c r="F183" s="10">
        <f>CHOOSE(CONTROL!$C$42, 7.5172, 7.5172)*CHOOSE(CONTROL!$C$21, $C$9, 100%, $E$9)</f>
        <v>7.5171999999999999</v>
      </c>
      <c r="G183" s="10">
        <f>CHOOSE(CONTROL!$C$42, 7.5367, 7.5367)*CHOOSE(CONTROL!$C$21, $C$9, 100%, $E$9)</f>
        <v>7.5366999999999997</v>
      </c>
      <c r="H183" s="10">
        <f>CHOOSE(CONTROL!$C$42, 7.6067, 7.6067) * CHOOSE(CONTROL!$C$21, $C$9, 100%, $E$9)</f>
        <v>7.6067</v>
      </c>
      <c r="I183" s="10">
        <f>CHOOSE(CONTROL!$C$42, 7.5102, 7.5102)* CHOOSE(CONTROL!$C$21, $C$9, 100%, $E$9)</f>
        <v>7.5102000000000002</v>
      </c>
      <c r="J183" s="10">
        <f>CHOOSE(CONTROL!$C$42, 7.5102, 7.5102)* CHOOSE(CONTROL!$C$21, $C$9, 100%, $E$9)</f>
        <v>7.5102000000000002</v>
      </c>
      <c r="K183" s="54">
        <f>CHOOSE(CONTROL!$C$42, 7.5063, 7.5063) * CHOOSE(CONTROL!$C$21, $C$9, 100%, $E$9)</f>
        <v>7.5063000000000004</v>
      </c>
      <c r="L183" s="10">
        <f>CHOOSE(CONTROL!$C$42, 8.1937, 8.1937) * CHOOSE(CONTROL!$C$21, $C$9, 100%, $E$9)</f>
        <v>8.1936999999999998</v>
      </c>
      <c r="M183" s="10">
        <f>CHOOSE(CONTROL!$C$42, 7.4482, 7.4482) * CHOOSE(CONTROL!$C$21, $C$9, 100%, $E$9)</f>
        <v>7.4481999999999999</v>
      </c>
      <c r="N183" s="10">
        <f>CHOOSE(CONTROL!$C$42, 7.4675, 7.4675) * CHOOSE(CONTROL!$C$21, $C$9, 100%, $E$9)</f>
        <v>7.4675000000000002</v>
      </c>
      <c r="O183" s="10">
        <f>CHOOSE(CONTROL!$C$42, 7.5437, 7.5437) * CHOOSE(CONTROL!$C$21, $C$9, 100%, $E$9)</f>
        <v>7.5437000000000003</v>
      </c>
      <c r="P183" s="10">
        <f>CHOOSE(CONTROL!$C$42, 7.4482, 7.4482) * CHOOSE(CONTROL!$C$21, $C$9, 100%, $E$9)</f>
        <v>7.4481999999999999</v>
      </c>
      <c r="Q183" s="10">
        <f>CHOOSE(CONTROL!$C$42, 8.139, 8.139) * CHOOSE(CONTROL!$C$21, $C$9, 100%, $E$9)</f>
        <v>8.1389999999999993</v>
      </c>
      <c r="R183" s="10">
        <f>CHOOSE(CONTROL!$C$42, 8.7464, 8.7464) * CHOOSE(CONTROL!$C$21, $C$9, 100%, $E$9)</f>
        <v>8.7463999999999995</v>
      </c>
      <c r="S183" s="10">
        <f>CHOOSE(CONTROL!$C$42, 7.2688, 7.2688) * CHOOSE(CONTROL!$C$21, $C$9, 100%, $E$9)</f>
        <v>7.2687999999999997</v>
      </c>
      <c r="T183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83" s="58">
        <f>(1000*CHOOSE(CONTROL!$C$42, 695, 695)*CHOOSE(CONTROL!$C$42, 0.5599, 0.5599)*CHOOSE(CONTROL!$C$42, 31, 31))/1000000</f>
        <v>12.063045499999998</v>
      </c>
      <c r="V183" s="58">
        <f>(1000*CHOOSE(CONTROL!$C$42, 500, 500)*CHOOSE(CONTROL!$C$42, 0.275, 0.275)*CHOOSE(CONTROL!$C$42, 31, 31))/1000000</f>
        <v>4.2625000000000002</v>
      </c>
      <c r="W183" s="58">
        <f>(1000*CHOOSE(CONTROL!$C$42, 0.1146, 0.1146)*CHOOSE(CONTROL!$C$42, 121.5, 121.5)*CHOOSE(CONTROL!$C$42, 31, 31))/1000000</f>
        <v>0.43164089999999994</v>
      </c>
      <c r="X183" s="58">
        <f>(31*0.1790888*100000/1000000)+(31*0.2374*100000/1000000)</f>
        <v>1.2911152800000001</v>
      </c>
      <c r="Y183" s="58"/>
      <c r="Z183" s="10"/>
      <c r="AA183" s="57"/>
      <c r="AB183" s="51">
        <f>(B183*122.58+C183*297.941+D183*89.177+E183*40.302+F183*40+G183*160+H183*0+I183*100+J183*300)/(122.58+297.941+89.177+40.302+0+40+160+100+300)</f>
        <v>7.5165225619130434</v>
      </c>
      <c r="AC183" s="27">
        <f>(M183*'RAP TEMPLATE-GAS AVAILABILITY'!O182+N183*'RAP TEMPLATE-GAS AVAILABILITY'!P182+O183*'RAP TEMPLATE-GAS AVAILABILITY'!Q182+P183*'RAP TEMPLATE-GAS AVAILABILITY'!R182)/('RAP TEMPLATE-GAS AVAILABILITY'!O182+'RAP TEMPLATE-GAS AVAILABILITY'!P182+'RAP TEMPLATE-GAS AVAILABILITY'!Q182+'RAP TEMPLATE-GAS AVAILABILITY'!R182)</f>
        <v>7.4925949640287763</v>
      </c>
    </row>
    <row r="184" spans="1:29" ht="15.75" x14ac:dyDescent="0.25">
      <c r="A184" s="16">
        <v>46844</v>
      </c>
      <c r="B184" s="10">
        <f>CHOOSE(CONTROL!$C$42, 7.4657, 7.4657) * CHOOSE(CONTROL!$C$21, $C$9, 100%, $E$9)</f>
        <v>7.4657</v>
      </c>
      <c r="C184" s="10">
        <f>CHOOSE(CONTROL!$C$42, 7.4701, 7.4701) * CHOOSE(CONTROL!$C$21, $C$9, 100%, $E$9)</f>
        <v>7.4701000000000004</v>
      </c>
      <c r="D184" s="10">
        <f>CHOOSE(CONTROL!$C$42, 7.6518, 7.6518) * CHOOSE(CONTROL!$C$21, $C$9, 100%, $E$9)</f>
        <v>7.6517999999999997</v>
      </c>
      <c r="E184" s="10">
        <f>CHOOSE(CONTROL!$C$42, 7.6836, 7.6836) * CHOOSE(CONTROL!$C$21, $C$9, 100%, $E$9)</f>
        <v>7.6836000000000002</v>
      </c>
      <c r="F184" s="10">
        <f>CHOOSE(CONTROL!$C$42, 7.4541, 7.4541)*CHOOSE(CONTROL!$C$21, $C$9, 100%, $E$9)</f>
        <v>7.4541000000000004</v>
      </c>
      <c r="G184" s="10">
        <f>CHOOSE(CONTROL!$C$42, 7.472, 7.472)*CHOOSE(CONTROL!$C$21, $C$9, 100%, $E$9)</f>
        <v>7.4720000000000004</v>
      </c>
      <c r="H184" s="10">
        <f>CHOOSE(CONTROL!$C$42, 7.6733, 7.6733) * CHOOSE(CONTROL!$C$21, $C$9, 100%, $E$9)</f>
        <v>7.6733000000000002</v>
      </c>
      <c r="I184" s="10">
        <f>CHOOSE(CONTROL!$C$42, 7.444, 7.444)* CHOOSE(CONTROL!$C$21, $C$9, 100%, $E$9)</f>
        <v>7.444</v>
      </c>
      <c r="J184" s="10">
        <f>CHOOSE(CONTROL!$C$42, 7.4471, 7.4471)* CHOOSE(CONTROL!$C$21, $C$9, 100%, $E$9)</f>
        <v>7.4470999999999998</v>
      </c>
      <c r="K184" s="54">
        <f>CHOOSE(CONTROL!$C$42, 7.4401, 7.4401) * CHOOSE(CONTROL!$C$21, $C$9, 100%, $E$9)</f>
        <v>7.4401000000000002</v>
      </c>
      <c r="L184" s="10">
        <f>CHOOSE(CONTROL!$C$42, 8.2603, 8.2603) * CHOOSE(CONTROL!$C$21, $C$9, 100%, $E$9)</f>
        <v>8.2603000000000009</v>
      </c>
      <c r="M184" s="10">
        <f>CHOOSE(CONTROL!$C$42, 7.3857, 7.3857) * CHOOSE(CONTROL!$C$21, $C$9, 100%, $E$9)</f>
        <v>7.3856999999999999</v>
      </c>
      <c r="N184" s="10">
        <f>CHOOSE(CONTROL!$C$42, 7.4035, 7.4035) * CHOOSE(CONTROL!$C$21, $C$9, 100%, $E$9)</f>
        <v>7.4035000000000002</v>
      </c>
      <c r="O184" s="10">
        <f>CHOOSE(CONTROL!$C$42, 7.6097, 7.6097) * CHOOSE(CONTROL!$C$21, $C$9, 100%, $E$9)</f>
        <v>7.6097000000000001</v>
      </c>
      <c r="P184" s="10">
        <f>CHOOSE(CONTROL!$C$42, 7.3827, 7.3827) * CHOOSE(CONTROL!$C$21, $C$9, 100%, $E$9)</f>
        <v>7.3826999999999998</v>
      </c>
      <c r="Q184" s="10">
        <f>CHOOSE(CONTROL!$C$42, 8.205, 8.205) * CHOOSE(CONTROL!$C$21, $C$9, 100%, $E$9)</f>
        <v>8.2050000000000001</v>
      </c>
      <c r="R184" s="10">
        <f>CHOOSE(CONTROL!$C$42, 8.8125, 8.8125) * CHOOSE(CONTROL!$C$21, $C$9, 100%, $E$9)</f>
        <v>8.8125</v>
      </c>
      <c r="S184" s="10">
        <f>CHOOSE(CONTROL!$C$42, 7.2471, 7.2471) * CHOOSE(CONTROL!$C$21, $C$9, 100%, $E$9)</f>
        <v>7.2470999999999997</v>
      </c>
      <c r="T184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84" s="58">
        <f>(1000*CHOOSE(CONTROL!$C$42, 695, 695)*CHOOSE(CONTROL!$C$42, 0.5599, 0.5599)*CHOOSE(CONTROL!$C$42, 30, 30))/1000000</f>
        <v>11.673914999999997</v>
      </c>
      <c r="V184" s="58">
        <f>(1000*CHOOSE(CONTROL!$C$42, 500, 500)*CHOOSE(CONTROL!$C$42, 0.275, 0.275)*CHOOSE(CONTROL!$C$42, 30, 30))/1000000</f>
        <v>4.125</v>
      </c>
      <c r="W184" s="58">
        <f>(1000*CHOOSE(CONTROL!$C$42, 0.1146, 0.1146)*CHOOSE(CONTROL!$C$42, 121.5, 121.5)*CHOOSE(CONTROL!$C$42, 30, 30))/1000000</f>
        <v>0.417717</v>
      </c>
      <c r="X184" s="58">
        <f>(30*0.1790888*245000/1000000)+(30*0.2374*100000/1000000)</f>
        <v>2.0285026799999999</v>
      </c>
      <c r="Y184" s="58"/>
      <c r="Z184" s="10"/>
      <c r="AA184" s="57"/>
      <c r="AB184" s="51">
        <f>(B184*141.293+C184*267.993+D184*115.016+E184*89.698+F184*40+G184*185+H184*0+I184*100+J184*300)/(141.293+267.993+115.016+89.698+0+40+185+100+300)</f>
        <v>7.4940134309927364</v>
      </c>
      <c r="AC184" s="27">
        <f>(M184*'RAP TEMPLATE-GAS AVAILABILITY'!O183+N184*'RAP TEMPLATE-GAS AVAILABILITY'!P183+O184*'RAP TEMPLATE-GAS AVAILABILITY'!Q183+P184*'RAP TEMPLATE-GAS AVAILABILITY'!R183)/('RAP TEMPLATE-GAS AVAILABILITY'!O183+'RAP TEMPLATE-GAS AVAILABILITY'!P183+'RAP TEMPLATE-GAS AVAILABILITY'!Q183+'RAP TEMPLATE-GAS AVAILABILITY'!R183)</f>
        <v>7.4522151079136671</v>
      </c>
    </row>
    <row r="185" spans="1:29" ht="15.75" x14ac:dyDescent="0.25">
      <c r="A185" s="16">
        <v>46874</v>
      </c>
      <c r="B185" s="10">
        <f>CHOOSE(CONTROL!$C$42, 7.5334, 7.5334) * CHOOSE(CONTROL!$C$21, $C$9, 100%, $E$9)</f>
        <v>7.5334000000000003</v>
      </c>
      <c r="C185" s="10">
        <f>CHOOSE(CONTROL!$C$42, 7.5413, 7.5413) * CHOOSE(CONTROL!$C$21, $C$9, 100%, $E$9)</f>
        <v>7.5412999999999997</v>
      </c>
      <c r="D185" s="10">
        <f>CHOOSE(CONTROL!$C$42, 7.7198, 7.7198) * CHOOSE(CONTROL!$C$21, $C$9, 100%, $E$9)</f>
        <v>7.7198000000000002</v>
      </c>
      <c r="E185" s="10">
        <f>CHOOSE(CONTROL!$C$42, 7.751, 7.751) * CHOOSE(CONTROL!$C$21, $C$9, 100%, $E$9)</f>
        <v>7.7510000000000003</v>
      </c>
      <c r="F185" s="10">
        <f>CHOOSE(CONTROL!$C$42, 7.5195, 7.5195)*CHOOSE(CONTROL!$C$21, $C$9, 100%, $E$9)</f>
        <v>7.5194999999999999</v>
      </c>
      <c r="G185" s="10">
        <f>CHOOSE(CONTROL!$C$42, 7.5377, 7.5377)*CHOOSE(CONTROL!$C$21, $C$9, 100%, $E$9)</f>
        <v>7.5377000000000001</v>
      </c>
      <c r="H185" s="10">
        <f>CHOOSE(CONTROL!$C$42, 7.7396, 7.7396) * CHOOSE(CONTROL!$C$21, $C$9, 100%, $E$9)</f>
        <v>7.7396000000000003</v>
      </c>
      <c r="I185" s="10">
        <f>CHOOSE(CONTROL!$C$42, 7.5102, 7.5102)* CHOOSE(CONTROL!$C$21, $C$9, 100%, $E$9)</f>
        <v>7.5102000000000002</v>
      </c>
      <c r="J185" s="10">
        <f>CHOOSE(CONTROL!$C$42, 7.5125, 7.5125)* CHOOSE(CONTROL!$C$21, $C$9, 100%, $E$9)</f>
        <v>7.5125000000000002</v>
      </c>
      <c r="K185" s="54">
        <f>CHOOSE(CONTROL!$C$42, 7.5063, 7.5063) * CHOOSE(CONTROL!$C$21, $C$9, 100%, $E$9)</f>
        <v>7.5063000000000004</v>
      </c>
      <c r="L185" s="10">
        <f>CHOOSE(CONTROL!$C$42, 8.3266, 8.3266) * CHOOSE(CONTROL!$C$21, $C$9, 100%, $E$9)</f>
        <v>8.3265999999999991</v>
      </c>
      <c r="M185" s="10">
        <f>CHOOSE(CONTROL!$C$42, 7.4506, 7.4506) * CHOOSE(CONTROL!$C$21, $C$9, 100%, $E$9)</f>
        <v>7.4505999999999997</v>
      </c>
      <c r="N185" s="10">
        <f>CHOOSE(CONTROL!$C$42, 7.4686, 7.4686) * CHOOSE(CONTROL!$C$21, $C$9, 100%, $E$9)</f>
        <v>7.4686000000000003</v>
      </c>
      <c r="O185" s="10">
        <f>CHOOSE(CONTROL!$C$42, 7.6753, 7.6753) * CHOOSE(CONTROL!$C$21, $C$9, 100%, $E$9)</f>
        <v>7.6753</v>
      </c>
      <c r="P185" s="10">
        <f>CHOOSE(CONTROL!$C$42, 7.4483, 7.4483) * CHOOSE(CONTROL!$C$21, $C$9, 100%, $E$9)</f>
        <v>7.4482999999999997</v>
      </c>
      <c r="Q185" s="10">
        <f>CHOOSE(CONTROL!$C$42, 8.2706, 8.2706) * CHOOSE(CONTROL!$C$21, $C$9, 100%, $E$9)</f>
        <v>8.2706</v>
      </c>
      <c r="R185" s="10">
        <f>CHOOSE(CONTROL!$C$42, 8.8783, 8.8783) * CHOOSE(CONTROL!$C$21, $C$9, 100%, $E$9)</f>
        <v>8.8782999999999994</v>
      </c>
      <c r="S185" s="10">
        <f>CHOOSE(CONTROL!$C$42, 7.3114, 7.3114) * CHOOSE(CONTROL!$C$21, $C$9, 100%, $E$9)</f>
        <v>7.3113999999999999</v>
      </c>
      <c r="T185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85" s="58">
        <f>(1000*CHOOSE(CONTROL!$C$42, 695, 695)*CHOOSE(CONTROL!$C$42, 0.5599, 0.5599)*CHOOSE(CONTROL!$C$42, 31, 31))/1000000</f>
        <v>12.063045499999998</v>
      </c>
      <c r="V185" s="58">
        <f>(1000*CHOOSE(CONTROL!$C$42, 500, 500)*CHOOSE(CONTROL!$C$42, 0.275, 0.275)*CHOOSE(CONTROL!$C$42, 31, 31))/1000000</f>
        <v>4.2625000000000002</v>
      </c>
      <c r="W185" s="58">
        <f>(1000*CHOOSE(CONTROL!$C$42, 0.1146, 0.1146)*CHOOSE(CONTROL!$C$42, 121.5, 121.5)*CHOOSE(CONTROL!$C$42, 31, 31))/1000000</f>
        <v>0.43164089999999994</v>
      </c>
      <c r="X185" s="58">
        <f>(31*0.1790888*245000/1000000)+(31*0.2374*100000/1000000)</f>
        <v>2.0961194359999999</v>
      </c>
      <c r="Y185" s="58"/>
      <c r="Z185" s="10"/>
      <c r="AA185" s="57"/>
      <c r="AB185" s="51">
        <f>(B185*194.205+C185*267.466+D185*133.845+E185*53.484+F185*40+G185*185+H185*0+I185*100+J185*300)/(194.205+267.466+133.845+53.484+0+40+185+100+300)</f>
        <v>7.5572220626373623</v>
      </c>
      <c r="AC185" s="27">
        <f>(M185*'RAP TEMPLATE-GAS AVAILABILITY'!O184+N185*'RAP TEMPLATE-GAS AVAILABILITY'!P184+O185*'RAP TEMPLATE-GAS AVAILABILITY'!Q184+P185*'RAP TEMPLATE-GAS AVAILABILITY'!R184)/('RAP TEMPLATE-GAS AVAILABILITY'!O184+'RAP TEMPLATE-GAS AVAILABILITY'!P184+'RAP TEMPLATE-GAS AVAILABILITY'!Q184+'RAP TEMPLATE-GAS AVAILABILITY'!R184)</f>
        <v>7.5174582733812949</v>
      </c>
    </row>
    <row r="186" spans="1:29" ht="15.75" x14ac:dyDescent="0.25">
      <c r="A186" s="16">
        <v>46905</v>
      </c>
      <c r="B186" s="10">
        <f>CHOOSE(CONTROL!$C$42, 7.7469, 7.7469) * CHOOSE(CONTROL!$C$21, $C$9, 100%, $E$9)</f>
        <v>7.7469000000000001</v>
      </c>
      <c r="C186" s="10">
        <f>CHOOSE(CONTROL!$C$42, 7.7548, 7.7548) * CHOOSE(CONTROL!$C$21, $C$9, 100%, $E$9)</f>
        <v>7.7548000000000004</v>
      </c>
      <c r="D186" s="10">
        <f>CHOOSE(CONTROL!$C$42, 7.9334, 7.9334) * CHOOSE(CONTROL!$C$21, $C$9, 100%, $E$9)</f>
        <v>7.9333999999999998</v>
      </c>
      <c r="E186" s="10">
        <f>CHOOSE(CONTROL!$C$42, 7.9645, 7.9645) * CHOOSE(CONTROL!$C$21, $C$9, 100%, $E$9)</f>
        <v>7.9645000000000001</v>
      </c>
      <c r="F186" s="10">
        <f>CHOOSE(CONTROL!$C$42, 7.7333, 7.7333)*CHOOSE(CONTROL!$C$21, $C$9, 100%, $E$9)</f>
        <v>7.7332999999999998</v>
      </c>
      <c r="G186" s="10">
        <f>CHOOSE(CONTROL!$C$42, 7.7516, 7.7516)*CHOOSE(CONTROL!$C$21, $C$9, 100%, $E$9)</f>
        <v>7.7515999999999998</v>
      </c>
      <c r="H186" s="10">
        <f>CHOOSE(CONTROL!$C$42, 7.9531, 7.9531) * CHOOSE(CONTROL!$C$21, $C$9, 100%, $E$9)</f>
        <v>7.9531000000000001</v>
      </c>
      <c r="I186" s="10">
        <f>CHOOSE(CONTROL!$C$42, 7.7238, 7.7238)* CHOOSE(CONTROL!$C$21, $C$9, 100%, $E$9)</f>
        <v>7.7237999999999998</v>
      </c>
      <c r="J186" s="10">
        <f>CHOOSE(CONTROL!$C$42, 7.7263, 7.7263)* CHOOSE(CONTROL!$C$21, $C$9, 100%, $E$9)</f>
        <v>7.7263000000000002</v>
      </c>
      <c r="K186" s="54">
        <f>CHOOSE(CONTROL!$C$42, 7.7199, 7.7199) * CHOOSE(CONTROL!$C$21, $C$9, 100%, $E$9)</f>
        <v>7.7199</v>
      </c>
      <c r="L186" s="10">
        <f>CHOOSE(CONTROL!$C$42, 8.5401, 8.5401) * CHOOSE(CONTROL!$C$21, $C$9, 100%, $E$9)</f>
        <v>8.5401000000000007</v>
      </c>
      <c r="M186" s="10">
        <f>CHOOSE(CONTROL!$C$42, 7.6622, 7.6622) * CHOOSE(CONTROL!$C$21, $C$9, 100%, $E$9)</f>
        <v>7.6622000000000003</v>
      </c>
      <c r="N186" s="10">
        <f>CHOOSE(CONTROL!$C$42, 7.6802, 7.6802) * CHOOSE(CONTROL!$C$21, $C$9, 100%, $E$9)</f>
        <v>7.6802000000000001</v>
      </c>
      <c r="O186" s="10">
        <f>CHOOSE(CONTROL!$C$42, 7.8867, 7.8867) * CHOOSE(CONTROL!$C$21, $C$9, 100%, $E$9)</f>
        <v>7.8867000000000003</v>
      </c>
      <c r="P186" s="10">
        <f>CHOOSE(CONTROL!$C$42, 7.6597, 7.6597) * CHOOSE(CONTROL!$C$21, $C$9, 100%, $E$9)</f>
        <v>7.6597</v>
      </c>
      <c r="Q186" s="10">
        <f>CHOOSE(CONTROL!$C$42, 8.482, 8.482) * CHOOSE(CONTROL!$C$21, $C$9, 100%, $E$9)</f>
        <v>8.4819999999999993</v>
      </c>
      <c r="R186" s="10">
        <f>CHOOSE(CONTROL!$C$42, 9.0902, 9.0902) * CHOOSE(CONTROL!$C$21, $C$9, 100%, $E$9)</f>
        <v>9.0901999999999994</v>
      </c>
      <c r="S186" s="10">
        <f>CHOOSE(CONTROL!$C$42, 7.5188, 7.5188) * CHOOSE(CONTROL!$C$21, $C$9, 100%, $E$9)</f>
        <v>7.5187999999999997</v>
      </c>
      <c r="T186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86" s="58">
        <f>(1000*CHOOSE(CONTROL!$C$42, 695, 695)*CHOOSE(CONTROL!$C$42, 0.5599, 0.5599)*CHOOSE(CONTROL!$C$42, 30, 30))/1000000</f>
        <v>11.673914999999997</v>
      </c>
      <c r="V186" s="58">
        <f>(1000*CHOOSE(CONTROL!$C$42, 500, 500)*CHOOSE(CONTROL!$C$42, 0.275, 0.275)*CHOOSE(CONTROL!$C$42, 30, 30))/1000000</f>
        <v>4.125</v>
      </c>
      <c r="W186" s="58">
        <f>(1000*CHOOSE(CONTROL!$C$42, 0.1146, 0.1146)*CHOOSE(CONTROL!$C$42, 121.5, 121.5)*CHOOSE(CONTROL!$C$42, 30, 30))/1000000</f>
        <v>0.417717</v>
      </c>
      <c r="X186" s="58">
        <f>(30*0.1790888*245000/1000000)+(30*0.2374*100000/1000000)</f>
        <v>2.0285026799999999</v>
      </c>
      <c r="Y186" s="58"/>
      <c r="Z186" s="10"/>
      <c r="AA186" s="57"/>
      <c r="AB186" s="51">
        <f>(B186*194.205+C186*267.466+D186*133.845+E186*53.484+F186*40+G186*185+H186*0+I186*100+J186*300)/(194.205+267.466+133.845+53.484+0+40+185+100+300)</f>
        <v>7.7708785653846162</v>
      </c>
      <c r="AC186" s="27">
        <f>(M186*'RAP TEMPLATE-GAS AVAILABILITY'!O185+N186*'RAP TEMPLATE-GAS AVAILABILITY'!P185+O186*'RAP TEMPLATE-GAS AVAILABILITY'!Q185+P186*'RAP TEMPLATE-GAS AVAILABILITY'!R185)/('RAP TEMPLATE-GAS AVAILABILITY'!O185+'RAP TEMPLATE-GAS AVAILABILITY'!P185+'RAP TEMPLATE-GAS AVAILABILITY'!Q185+'RAP TEMPLATE-GAS AVAILABILITY'!R185)</f>
        <v>7.7289733812949644</v>
      </c>
    </row>
    <row r="187" spans="1:29" ht="15.75" x14ac:dyDescent="0.25">
      <c r="A187" s="16">
        <v>46935</v>
      </c>
      <c r="B187" s="10">
        <f>CHOOSE(CONTROL!$C$42, 7.5984, 7.5984) * CHOOSE(CONTROL!$C$21, $C$9, 100%, $E$9)</f>
        <v>7.5983999999999998</v>
      </c>
      <c r="C187" s="10">
        <f>CHOOSE(CONTROL!$C$42, 7.6063, 7.6063) * CHOOSE(CONTROL!$C$21, $C$9, 100%, $E$9)</f>
        <v>7.6063000000000001</v>
      </c>
      <c r="D187" s="10">
        <f>CHOOSE(CONTROL!$C$42, 7.7848, 7.7848) * CHOOSE(CONTROL!$C$21, $C$9, 100%, $E$9)</f>
        <v>7.7847999999999997</v>
      </c>
      <c r="E187" s="10">
        <f>CHOOSE(CONTROL!$C$42, 7.816, 7.816) * CHOOSE(CONTROL!$C$21, $C$9, 100%, $E$9)</f>
        <v>7.8159999999999998</v>
      </c>
      <c r="F187" s="10">
        <f>CHOOSE(CONTROL!$C$42, 7.5851, 7.5851)*CHOOSE(CONTROL!$C$21, $C$9, 100%, $E$9)</f>
        <v>7.5850999999999997</v>
      </c>
      <c r="G187" s="10">
        <f>CHOOSE(CONTROL!$C$42, 7.6034, 7.6034)*CHOOSE(CONTROL!$C$21, $C$9, 100%, $E$9)</f>
        <v>7.6033999999999997</v>
      </c>
      <c r="H187" s="10">
        <f>CHOOSE(CONTROL!$C$42, 7.8046, 7.8046) * CHOOSE(CONTROL!$C$21, $C$9, 100%, $E$9)</f>
        <v>7.8045999999999998</v>
      </c>
      <c r="I187" s="10">
        <f>CHOOSE(CONTROL!$C$42, 7.5753, 7.5753)* CHOOSE(CONTROL!$C$21, $C$9, 100%, $E$9)</f>
        <v>7.5753000000000004</v>
      </c>
      <c r="J187" s="10">
        <f>CHOOSE(CONTROL!$C$42, 7.5781, 7.5781)* CHOOSE(CONTROL!$C$21, $C$9, 100%, $E$9)</f>
        <v>7.5781000000000001</v>
      </c>
      <c r="K187" s="54">
        <f>CHOOSE(CONTROL!$C$42, 7.5714, 7.5714) * CHOOSE(CONTROL!$C$21, $C$9, 100%, $E$9)</f>
        <v>7.5713999999999997</v>
      </c>
      <c r="L187" s="10">
        <f>CHOOSE(CONTROL!$C$42, 8.3916, 8.3916) * CHOOSE(CONTROL!$C$21, $C$9, 100%, $E$9)</f>
        <v>8.3916000000000004</v>
      </c>
      <c r="M187" s="10">
        <f>CHOOSE(CONTROL!$C$42, 7.5155, 7.5155) * CHOOSE(CONTROL!$C$21, $C$9, 100%, $E$9)</f>
        <v>7.5155000000000003</v>
      </c>
      <c r="N187" s="10">
        <f>CHOOSE(CONTROL!$C$42, 7.5336, 7.5336) * CHOOSE(CONTROL!$C$21, $C$9, 100%, $E$9)</f>
        <v>7.5335999999999999</v>
      </c>
      <c r="O187" s="10">
        <f>CHOOSE(CONTROL!$C$42, 7.7397, 7.7397) * CHOOSE(CONTROL!$C$21, $C$9, 100%, $E$9)</f>
        <v>7.7397</v>
      </c>
      <c r="P187" s="10">
        <f>CHOOSE(CONTROL!$C$42, 7.5127, 7.5127) * CHOOSE(CONTROL!$C$21, $C$9, 100%, $E$9)</f>
        <v>7.5126999999999997</v>
      </c>
      <c r="Q187" s="10">
        <f>CHOOSE(CONTROL!$C$42, 8.335, 8.335) * CHOOSE(CONTROL!$C$21, $C$9, 100%, $E$9)</f>
        <v>8.3350000000000009</v>
      </c>
      <c r="R187" s="10">
        <f>CHOOSE(CONTROL!$C$42, 8.9428, 8.9428) * CHOOSE(CONTROL!$C$21, $C$9, 100%, $E$9)</f>
        <v>8.9428000000000001</v>
      </c>
      <c r="S187" s="10">
        <f>CHOOSE(CONTROL!$C$42, 7.3745, 7.3745) * CHOOSE(CONTROL!$C$21, $C$9, 100%, $E$9)</f>
        <v>7.3745000000000003</v>
      </c>
      <c r="T187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87" s="58">
        <f>(1000*CHOOSE(CONTROL!$C$42, 695, 695)*CHOOSE(CONTROL!$C$42, 0.5599, 0.5599)*CHOOSE(CONTROL!$C$42, 31, 31))/1000000</f>
        <v>12.063045499999998</v>
      </c>
      <c r="V187" s="58">
        <f>(1000*CHOOSE(CONTROL!$C$42, 500, 500)*CHOOSE(CONTROL!$C$42, 0.275, 0.275)*CHOOSE(CONTROL!$C$42, 31, 31))/1000000</f>
        <v>4.2625000000000002</v>
      </c>
      <c r="W187" s="58">
        <f>(1000*CHOOSE(CONTROL!$C$42, 0.1146, 0.1146)*CHOOSE(CONTROL!$C$42, 121.5, 121.5)*CHOOSE(CONTROL!$C$42, 31, 31))/1000000</f>
        <v>0.43164089999999994</v>
      </c>
      <c r="X187" s="58">
        <f>(31*0.1790888*245000/1000000)+(31*0.2374*100000/1000000)</f>
        <v>2.0961194359999999</v>
      </c>
      <c r="Y187" s="58"/>
      <c r="Z187" s="10"/>
      <c r="AA187" s="57"/>
      <c r="AB187" s="51">
        <f>(B187*194.205+C187*267.466+D187*133.845+E187*53.484+F187*40+G187*185+H187*0+I187*100+J187*300)/(194.205+267.466+133.845+53.484+0+40+185+100+300)</f>
        <v>7.6224916858712719</v>
      </c>
      <c r="AC187" s="27">
        <f>(M187*'RAP TEMPLATE-GAS AVAILABILITY'!O186+N187*'RAP TEMPLATE-GAS AVAILABILITY'!P186+O187*'RAP TEMPLATE-GAS AVAILABILITY'!Q186+P187*'RAP TEMPLATE-GAS AVAILABILITY'!R186)/('RAP TEMPLATE-GAS AVAILABILITY'!O186+'RAP TEMPLATE-GAS AVAILABILITY'!P186+'RAP TEMPLATE-GAS AVAILABILITY'!Q186+'RAP TEMPLATE-GAS AVAILABILITY'!R186)</f>
        <v>7.5821690647482018</v>
      </c>
    </row>
    <row r="188" spans="1:29" ht="15.75" x14ac:dyDescent="0.25">
      <c r="A188" s="16">
        <v>46966</v>
      </c>
      <c r="B188" s="10">
        <f>CHOOSE(CONTROL!$C$42, 7.2233, 7.2233) * CHOOSE(CONTROL!$C$21, $C$9, 100%, $E$9)</f>
        <v>7.2233000000000001</v>
      </c>
      <c r="C188" s="10">
        <f>CHOOSE(CONTROL!$C$42, 7.2313, 7.2313) * CHOOSE(CONTROL!$C$21, $C$9, 100%, $E$9)</f>
        <v>7.2313000000000001</v>
      </c>
      <c r="D188" s="10">
        <f>CHOOSE(CONTROL!$C$42, 7.4098, 7.4098) * CHOOSE(CONTROL!$C$21, $C$9, 100%, $E$9)</f>
        <v>7.4097999999999997</v>
      </c>
      <c r="E188" s="10">
        <f>CHOOSE(CONTROL!$C$42, 7.4409, 7.4409) * CHOOSE(CONTROL!$C$21, $C$9, 100%, $E$9)</f>
        <v>7.4409000000000001</v>
      </c>
      <c r="F188" s="10">
        <f>CHOOSE(CONTROL!$C$42, 7.21, 7.21)*CHOOSE(CONTROL!$C$21, $C$9, 100%, $E$9)</f>
        <v>7.21</v>
      </c>
      <c r="G188" s="10">
        <f>CHOOSE(CONTROL!$C$42, 7.2283, 7.2283)*CHOOSE(CONTROL!$C$21, $C$9, 100%, $E$9)</f>
        <v>7.2282999999999999</v>
      </c>
      <c r="H188" s="10">
        <f>CHOOSE(CONTROL!$C$42, 7.4296, 7.4296) * CHOOSE(CONTROL!$C$21, $C$9, 100%, $E$9)</f>
        <v>7.4295999999999998</v>
      </c>
      <c r="I188" s="10">
        <f>CHOOSE(CONTROL!$C$42, 7.2002, 7.2002)* CHOOSE(CONTROL!$C$21, $C$9, 100%, $E$9)</f>
        <v>7.2001999999999997</v>
      </c>
      <c r="J188" s="10">
        <f>CHOOSE(CONTROL!$C$42, 7.203, 7.203)* CHOOSE(CONTROL!$C$21, $C$9, 100%, $E$9)</f>
        <v>7.2030000000000003</v>
      </c>
      <c r="K188" s="54">
        <f>CHOOSE(CONTROL!$C$42, 7.1963, 7.1963) * CHOOSE(CONTROL!$C$21, $C$9, 100%, $E$9)</f>
        <v>7.1962999999999999</v>
      </c>
      <c r="L188" s="10">
        <f>CHOOSE(CONTROL!$C$42, 8.0166, 8.0166) * CHOOSE(CONTROL!$C$21, $C$9, 100%, $E$9)</f>
        <v>8.0166000000000004</v>
      </c>
      <c r="M188" s="10">
        <f>CHOOSE(CONTROL!$C$42, 7.1441, 7.1441) * CHOOSE(CONTROL!$C$21, $C$9, 100%, $E$9)</f>
        <v>7.1440999999999999</v>
      </c>
      <c r="N188" s="10">
        <f>CHOOSE(CONTROL!$C$42, 7.1622, 7.1622) * CHOOSE(CONTROL!$C$21, $C$9, 100%, $E$9)</f>
        <v>7.1622000000000003</v>
      </c>
      <c r="O188" s="10">
        <f>CHOOSE(CONTROL!$C$42, 7.3684, 7.3684) * CHOOSE(CONTROL!$C$21, $C$9, 100%, $E$9)</f>
        <v>7.3684000000000003</v>
      </c>
      <c r="P188" s="10">
        <f>CHOOSE(CONTROL!$C$42, 7.1414, 7.1414) * CHOOSE(CONTROL!$C$21, $C$9, 100%, $E$9)</f>
        <v>7.1414</v>
      </c>
      <c r="Q188" s="10">
        <f>CHOOSE(CONTROL!$C$42, 7.9637, 7.9637) * CHOOSE(CONTROL!$C$21, $C$9, 100%, $E$9)</f>
        <v>7.9637000000000002</v>
      </c>
      <c r="R188" s="10">
        <f>CHOOSE(CONTROL!$C$42, 8.5706, 8.5706) * CHOOSE(CONTROL!$C$21, $C$9, 100%, $E$9)</f>
        <v>8.5706000000000007</v>
      </c>
      <c r="S188" s="10">
        <f>CHOOSE(CONTROL!$C$42, 7.0103, 7.0103) * CHOOSE(CONTROL!$C$21, $C$9, 100%, $E$9)</f>
        <v>7.0103</v>
      </c>
      <c r="T188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88" s="58">
        <f>(1000*CHOOSE(CONTROL!$C$42, 695, 695)*CHOOSE(CONTROL!$C$42, 0.5599, 0.5599)*CHOOSE(CONTROL!$C$42, 31, 31))/1000000</f>
        <v>12.063045499999998</v>
      </c>
      <c r="V188" s="58">
        <f>(1000*CHOOSE(CONTROL!$C$42, 500, 500)*CHOOSE(CONTROL!$C$42, 0.275, 0.275)*CHOOSE(CONTROL!$C$42, 31, 31))/1000000</f>
        <v>4.2625000000000002</v>
      </c>
      <c r="W188" s="58">
        <f>(1000*CHOOSE(CONTROL!$C$42, 0.1146, 0.1146)*CHOOSE(CONTROL!$C$42, 121.5, 121.5)*CHOOSE(CONTROL!$C$42, 31, 31))/1000000</f>
        <v>0.43164089999999994</v>
      </c>
      <c r="X188" s="58">
        <f>(31*0.1790888*245000/1000000)+(31*0.2374*100000/1000000)</f>
        <v>2.0961194359999999</v>
      </c>
      <c r="Y188" s="58"/>
      <c r="Z188" s="10"/>
      <c r="AA188" s="57"/>
      <c r="AB188" s="51">
        <f>(B188*194.205+C188*267.466+D188*133.845+E188*53.484+F188*40+G188*185+H188*0+I188*100+J188*300)/(194.205+267.466+133.845+53.484+0+40+185+100+300)</f>
        <v>7.2474231859497644</v>
      </c>
      <c r="AC188" s="27">
        <f>(M188*'RAP TEMPLATE-GAS AVAILABILITY'!O187+N188*'RAP TEMPLATE-GAS AVAILABILITY'!P187+O188*'RAP TEMPLATE-GAS AVAILABILITY'!Q187+P188*'RAP TEMPLATE-GAS AVAILABILITY'!R187)/('RAP TEMPLATE-GAS AVAILABILITY'!O187+'RAP TEMPLATE-GAS AVAILABILITY'!P187+'RAP TEMPLATE-GAS AVAILABILITY'!Q187+'RAP TEMPLATE-GAS AVAILABILITY'!R187)</f>
        <v>7.2108115107913671</v>
      </c>
    </row>
    <row r="189" spans="1:29" ht="15.75" x14ac:dyDescent="0.25">
      <c r="A189" s="16">
        <v>46997</v>
      </c>
      <c r="B189" s="10">
        <f>CHOOSE(CONTROL!$C$42, 6.7651, 6.7651) * CHOOSE(CONTROL!$C$21, $C$9, 100%, $E$9)</f>
        <v>6.7651000000000003</v>
      </c>
      <c r="C189" s="10">
        <f>CHOOSE(CONTROL!$C$42, 6.773, 6.773) * CHOOSE(CONTROL!$C$21, $C$9, 100%, $E$9)</f>
        <v>6.7729999999999997</v>
      </c>
      <c r="D189" s="10">
        <f>CHOOSE(CONTROL!$C$42, 6.9515, 6.9515) * CHOOSE(CONTROL!$C$21, $C$9, 100%, $E$9)</f>
        <v>6.9515000000000002</v>
      </c>
      <c r="E189" s="10">
        <f>CHOOSE(CONTROL!$C$42, 6.9827, 6.9827) * CHOOSE(CONTROL!$C$21, $C$9, 100%, $E$9)</f>
        <v>6.9827000000000004</v>
      </c>
      <c r="F189" s="10">
        <f>CHOOSE(CONTROL!$C$42, 6.7515, 6.7515)*CHOOSE(CONTROL!$C$21, $C$9, 100%, $E$9)</f>
        <v>6.7515000000000001</v>
      </c>
      <c r="G189" s="10">
        <f>CHOOSE(CONTROL!$C$42, 6.7697, 6.7697)*CHOOSE(CONTROL!$C$21, $C$9, 100%, $E$9)</f>
        <v>6.7697000000000003</v>
      </c>
      <c r="H189" s="10">
        <f>CHOOSE(CONTROL!$C$42, 6.9713, 6.9713) * CHOOSE(CONTROL!$C$21, $C$9, 100%, $E$9)</f>
        <v>6.9713000000000003</v>
      </c>
      <c r="I189" s="10">
        <f>CHOOSE(CONTROL!$C$42, 6.742, 6.742)* CHOOSE(CONTROL!$C$21, $C$9, 100%, $E$9)</f>
        <v>6.742</v>
      </c>
      <c r="J189" s="10">
        <f>CHOOSE(CONTROL!$C$42, 6.7445, 6.7445)* CHOOSE(CONTROL!$C$21, $C$9, 100%, $E$9)</f>
        <v>6.7445000000000004</v>
      </c>
      <c r="K189" s="54">
        <f>CHOOSE(CONTROL!$C$42, 6.7381, 6.7381) * CHOOSE(CONTROL!$C$21, $C$9, 100%, $E$9)</f>
        <v>6.7381000000000002</v>
      </c>
      <c r="L189" s="10">
        <f>CHOOSE(CONTROL!$C$42, 7.5583, 7.5583) * CHOOSE(CONTROL!$C$21, $C$9, 100%, $E$9)</f>
        <v>7.5583</v>
      </c>
      <c r="M189" s="10">
        <f>CHOOSE(CONTROL!$C$42, 6.6902, 6.6902) * CHOOSE(CONTROL!$C$21, $C$9, 100%, $E$9)</f>
        <v>6.6901999999999999</v>
      </c>
      <c r="N189" s="10">
        <f>CHOOSE(CONTROL!$C$42, 6.7083, 6.7083) * CHOOSE(CONTROL!$C$21, $C$9, 100%, $E$9)</f>
        <v>6.7083000000000004</v>
      </c>
      <c r="O189" s="10">
        <f>CHOOSE(CONTROL!$C$42, 6.9148, 6.9148) * CHOOSE(CONTROL!$C$21, $C$9, 100%, $E$9)</f>
        <v>6.9147999999999996</v>
      </c>
      <c r="P189" s="10">
        <f>CHOOSE(CONTROL!$C$42, 6.6878, 6.6878) * CHOOSE(CONTROL!$C$21, $C$9, 100%, $E$9)</f>
        <v>6.6878000000000002</v>
      </c>
      <c r="Q189" s="10">
        <f>CHOOSE(CONTROL!$C$42, 7.5101, 7.5101) * CHOOSE(CONTROL!$C$21, $C$9, 100%, $E$9)</f>
        <v>7.5101000000000004</v>
      </c>
      <c r="R189" s="10">
        <f>CHOOSE(CONTROL!$C$42, 8.1159, 8.1159) * CHOOSE(CONTROL!$C$21, $C$9, 100%, $E$9)</f>
        <v>8.1158999999999999</v>
      </c>
      <c r="S189" s="10">
        <f>CHOOSE(CONTROL!$C$42, 6.5653, 6.5653) * CHOOSE(CONTROL!$C$21, $C$9, 100%, $E$9)</f>
        <v>6.5652999999999997</v>
      </c>
      <c r="T189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89" s="58">
        <f>(1000*CHOOSE(CONTROL!$C$42, 695, 695)*CHOOSE(CONTROL!$C$42, 0.5599, 0.5599)*CHOOSE(CONTROL!$C$42, 30, 30))/1000000</f>
        <v>11.673914999999997</v>
      </c>
      <c r="V189" s="58">
        <f>(1000*CHOOSE(CONTROL!$C$42, 500, 500)*CHOOSE(CONTROL!$C$42, 0.275, 0.275)*CHOOSE(CONTROL!$C$42, 30, 30))/1000000</f>
        <v>4.125</v>
      </c>
      <c r="W189" s="58">
        <f>(1000*CHOOSE(CONTROL!$C$42, 0.1146, 0.1146)*CHOOSE(CONTROL!$C$42, 121.5, 121.5)*CHOOSE(CONTROL!$C$42, 30, 30))/1000000</f>
        <v>0.417717</v>
      </c>
      <c r="X189" s="58">
        <f>(30*0.1790888*245000/1000000)+(30*0.2374*100000/1000000)</f>
        <v>2.0285026799999999</v>
      </c>
      <c r="Y189" s="58"/>
      <c r="Z189" s="10"/>
      <c r="AA189" s="57"/>
      <c r="AB189" s="51">
        <f>(B189*194.205+C189*267.466+D189*133.845+E189*53.484+F189*40+G189*185+H189*0+I189*100+J189*300)/(194.205+267.466+133.845+53.484+0+40+185+100+300)</f>
        <v>6.7890535383045529</v>
      </c>
      <c r="AC189" s="27">
        <f>(M189*'RAP TEMPLATE-GAS AVAILABILITY'!O188+N189*'RAP TEMPLATE-GAS AVAILABILITY'!P188+O189*'RAP TEMPLATE-GAS AVAILABILITY'!Q188+P189*'RAP TEMPLATE-GAS AVAILABILITY'!R188)/('RAP TEMPLATE-GAS AVAILABILITY'!O188+'RAP TEMPLATE-GAS AVAILABILITY'!P188+'RAP TEMPLATE-GAS AVAILABILITY'!Q188+'RAP TEMPLATE-GAS AVAILABILITY'!R188)</f>
        <v>6.757038848920863</v>
      </c>
    </row>
    <row r="190" spans="1:29" ht="15.75" x14ac:dyDescent="0.25">
      <c r="A190" s="16">
        <v>47027</v>
      </c>
      <c r="B190" s="10">
        <f>CHOOSE(CONTROL!$C$42, 6.6257, 6.6257) * CHOOSE(CONTROL!$C$21, $C$9, 100%, $E$9)</f>
        <v>6.6257000000000001</v>
      </c>
      <c r="C190" s="10">
        <f>CHOOSE(CONTROL!$C$42, 6.6309, 6.6309) * CHOOSE(CONTROL!$C$21, $C$9, 100%, $E$9)</f>
        <v>6.6308999999999996</v>
      </c>
      <c r="D190" s="10">
        <f>CHOOSE(CONTROL!$C$42, 6.8144, 6.8144) * CHOOSE(CONTROL!$C$21, $C$9, 100%, $E$9)</f>
        <v>6.8144</v>
      </c>
      <c r="E190" s="10">
        <f>CHOOSE(CONTROL!$C$42, 6.8432, 6.8432) * CHOOSE(CONTROL!$C$21, $C$9, 100%, $E$9)</f>
        <v>6.8432000000000004</v>
      </c>
      <c r="F190" s="10">
        <f>CHOOSE(CONTROL!$C$42, 6.614, 6.614)*CHOOSE(CONTROL!$C$21, $C$9, 100%, $E$9)</f>
        <v>6.6139999999999999</v>
      </c>
      <c r="G190" s="10">
        <f>CHOOSE(CONTROL!$C$42, 6.6319, 6.6319)*CHOOSE(CONTROL!$C$21, $C$9, 100%, $E$9)</f>
        <v>6.6318999999999999</v>
      </c>
      <c r="H190" s="10">
        <f>CHOOSE(CONTROL!$C$42, 6.8337, 6.8337) * CHOOSE(CONTROL!$C$21, $C$9, 100%, $E$9)</f>
        <v>6.8337000000000003</v>
      </c>
      <c r="I190" s="10">
        <f>CHOOSE(CONTROL!$C$42, 6.6043, 6.6043)* CHOOSE(CONTROL!$C$21, $C$9, 100%, $E$9)</f>
        <v>6.6043000000000003</v>
      </c>
      <c r="J190" s="10">
        <f>CHOOSE(CONTROL!$C$42, 6.607, 6.607)* CHOOSE(CONTROL!$C$21, $C$9, 100%, $E$9)</f>
        <v>6.6070000000000002</v>
      </c>
      <c r="K190" s="54">
        <f>CHOOSE(CONTROL!$C$42, 6.6004, 6.6004) * CHOOSE(CONTROL!$C$21, $C$9, 100%, $E$9)</f>
        <v>6.6003999999999996</v>
      </c>
      <c r="L190" s="10">
        <f>CHOOSE(CONTROL!$C$42, 7.4207, 7.4207) * CHOOSE(CONTROL!$C$21, $C$9, 100%, $E$9)</f>
        <v>7.4207000000000001</v>
      </c>
      <c r="M190" s="10">
        <f>CHOOSE(CONTROL!$C$42, 6.5542, 6.5542) * CHOOSE(CONTROL!$C$21, $C$9, 100%, $E$9)</f>
        <v>6.5541999999999998</v>
      </c>
      <c r="N190" s="10">
        <f>CHOOSE(CONTROL!$C$42, 6.5719, 6.5719) * CHOOSE(CONTROL!$C$21, $C$9, 100%, $E$9)</f>
        <v>6.5719000000000003</v>
      </c>
      <c r="O190" s="10">
        <f>CHOOSE(CONTROL!$C$42, 6.7785, 6.7785) * CHOOSE(CONTROL!$C$21, $C$9, 100%, $E$9)</f>
        <v>6.7785000000000002</v>
      </c>
      <c r="P190" s="10">
        <f>CHOOSE(CONTROL!$C$42, 6.5515, 6.5515) * CHOOSE(CONTROL!$C$21, $C$9, 100%, $E$9)</f>
        <v>6.5514999999999999</v>
      </c>
      <c r="Q190" s="10">
        <f>CHOOSE(CONTROL!$C$42, 7.3738, 7.3738) * CHOOSE(CONTROL!$C$21, $C$9, 100%, $E$9)</f>
        <v>7.3738000000000001</v>
      </c>
      <c r="R190" s="10">
        <f>CHOOSE(CONTROL!$C$42, 7.9793, 7.9793) * CHOOSE(CONTROL!$C$21, $C$9, 100%, $E$9)</f>
        <v>7.9793000000000003</v>
      </c>
      <c r="S190" s="10">
        <f>CHOOSE(CONTROL!$C$42, 6.4317, 6.4317) * CHOOSE(CONTROL!$C$21, $C$9, 100%, $E$9)</f>
        <v>6.4317000000000002</v>
      </c>
      <c r="T190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90" s="58">
        <f>(1000*CHOOSE(CONTROL!$C$42, 695, 695)*CHOOSE(CONTROL!$C$42, 0.5599, 0.5599)*CHOOSE(CONTROL!$C$42, 31, 31))/1000000</f>
        <v>12.063045499999998</v>
      </c>
      <c r="V190" s="58">
        <f>(1000*CHOOSE(CONTROL!$C$42, 500, 500)*CHOOSE(CONTROL!$C$42, 0.275, 0.275)*CHOOSE(CONTROL!$C$42, 31, 31))/1000000</f>
        <v>4.2625000000000002</v>
      </c>
      <c r="W190" s="58">
        <f>(1000*CHOOSE(CONTROL!$C$42, 0.1146, 0.1146)*CHOOSE(CONTROL!$C$42, 121.5, 121.5)*CHOOSE(CONTROL!$C$42, 31, 31))/1000000</f>
        <v>0.43164089999999994</v>
      </c>
      <c r="X190" s="58">
        <f>(31*0.1790888*245000/1000000)+(31*0.2374*100000/1000000)</f>
        <v>2.0961194359999999</v>
      </c>
      <c r="Y190" s="58"/>
      <c r="Z190" s="10"/>
      <c r="AA190" s="57"/>
      <c r="AB190" s="51">
        <f>(B190*131.881+C190*277.167+D190*79.08+E190*125.872+F190*40+G190*185+H190*0+I190*100+J190*300)/(131.881+277.167+79.08+125.872+0+40+185+100+300)</f>
        <v>6.6552963070217919</v>
      </c>
      <c r="AC190" s="27">
        <f>(M190*'RAP TEMPLATE-GAS AVAILABILITY'!O189+N190*'RAP TEMPLATE-GAS AVAILABILITY'!P189+O190*'RAP TEMPLATE-GAS AVAILABILITY'!Q189+P190*'RAP TEMPLATE-GAS AVAILABILITY'!R189)/('RAP TEMPLATE-GAS AVAILABILITY'!O189+'RAP TEMPLATE-GAS AVAILABILITY'!P189+'RAP TEMPLATE-GAS AVAILABILITY'!Q189+'RAP TEMPLATE-GAS AVAILABILITY'!R189)</f>
        <v>6.6208194244604321</v>
      </c>
    </row>
    <row r="191" spans="1:29" ht="15.75" x14ac:dyDescent="0.25">
      <c r="A191" s="16">
        <v>47058</v>
      </c>
      <c r="B191" s="10">
        <f>CHOOSE(CONTROL!$C$42, 6.7997, 6.7997) * CHOOSE(CONTROL!$C$21, $C$9, 100%, $E$9)</f>
        <v>6.7996999999999996</v>
      </c>
      <c r="C191" s="10">
        <f>CHOOSE(CONTROL!$C$42, 6.8047, 6.8047) * CHOOSE(CONTROL!$C$21, $C$9, 100%, $E$9)</f>
        <v>6.8047000000000004</v>
      </c>
      <c r="D191" s="10">
        <f>CHOOSE(CONTROL!$C$42, 6.8343, 6.8343) * CHOOSE(CONTROL!$C$21, $C$9, 100%, $E$9)</f>
        <v>6.8342999999999998</v>
      </c>
      <c r="E191" s="10">
        <f>CHOOSE(CONTROL!$C$42, 6.8681, 6.8681) * CHOOSE(CONTROL!$C$21, $C$9, 100%, $E$9)</f>
        <v>6.8681000000000001</v>
      </c>
      <c r="F191" s="10">
        <f>CHOOSE(CONTROL!$C$42, 6.7855, 6.7855)*CHOOSE(CONTROL!$C$21, $C$9, 100%, $E$9)</f>
        <v>6.7854999999999999</v>
      </c>
      <c r="G191" s="10">
        <f>CHOOSE(CONTROL!$C$42, 6.8035, 6.8035)*CHOOSE(CONTROL!$C$21, $C$9, 100%, $E$9)</f>
        <v>6.8034999999999997</v>
      </c>
      <c r="H191" s="10">
        <f>CHOOSE(CONTROL!$C$42, 6.8573, 6.8573) * CHOOSE(CONTROL!$C$21, $C$9, 100%, $E$9)</f>
        <v>6.8573000000000004</v>
      </c>
      <c r="I191" s="10">
        <f>CHOOSE(CONTROL!$C$42, 6.7659, 6.7659)* CHOOSE(CONTROL!$C$21, $C$9, 100%, $E$9)</f>
        <v>6.7659000000000002</v>
      </c>
      <c r="J191" s="10">
        <f>CHOOSE(CONTROL!$C$42, 6.7785, 6.7785)* CHOOSE(CONTROL!$C$21, $C$9, 100%, $E$9)</f>
        <v>6.7785000000000002</v>
      </c>
      <c r="K191" s="54">
        <f>CHOOSE(CONTROL!$C$42, 6.762, 6.762) * CHOOSE(CONTROL!$C$21, $C$9, 100%, $E$9)</f>
        <v>6.7619999999999996</v>
      </c>
      <c r="L191" s="10">
        <f>CHOOSE(CONTROL!$C$42, 7.4443, 7.4443) * CHOOSE(CONTROL!$C$21, $C$9, 100%, $E$9)</f>
        <v>7.4443000000000001</v>
      </c>
      <c r="M191" s="10">
        <f>CHOOSE(CONTROL!$C$42, 6.7239, 6.7239) * CHOOSE(CONTROL!$C$21, $C$9, 100%, $E$9)</f>
        <v>6.7239000000000004</v>
      </c>
      <c r="N191" s="10">
        <f>CHOOSE(CONTROL!$C$42, 6.7418, 6.7418) * CHOOSE(CONTROL!$C$21, $C$9, 100%, $E$9)</f>
        <v>6.7417999999999996</v>
      </c>
      <c r="O191" s="10">
        <f>CHOOSE(CONTROL!$C$42, 6.8019, 6.8019) * CHOOSE(CONTROL!$C$21, $C$9, 100%, $E$9)</f>
        <v>6.8018999999999998</v>
      </c>
      <c r="P191" s="10">
        <f>CHOOSE(CONTROL!$C$42, 6.7115, 6.7115) * CHOOSE(CONTROL!$C$21, $C$9, 100%, $E$9)</f>
        <v>6.7115</v>
      </c>
      <c r="Q191" s="10">
        <f>CHOOSE(CONTROL!$C$42, 7.3972, 7.3972) * CHOOSE(CONTROL!$C$21, $C$9, 100%, $E$9)</f>
        <v>7.3971999999999998</v>
      </c>
      <c r="R191" s="10">
        <f>CHOOSE(CONTROL!$C$42, 8.0027, 8.0027) * CHOOSE(CONTROL!$C$21, $C$9, 100%, $E$9)</f>
        <v>8.0027000000000008</v>
      </c>
      <c r="S191" s="10">
        <f>CHOOSE(CONTROL!$C$42, 6.6011, 6.6011) * CHOOSE(CONTROL!$C$21, $C$9, 100%, $E$9)</f>
        <v>6.6010999999999997</v>
      </c>
      <c r="T191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91" s="58">
        <f>(1000*CHOOSE(CONTROL!$C$42, 695, 695)*CHOOSE(CONTROL!$C$42, 0.5599, 0.5599)*CHOOSE(CONTROL!$C$42, 30, 30))/1000000</f>
        <v>11.673914999999997</v>
      </c>
      <c r="V191" s="58">
        <f>(1000*CHOOSE(CONTROL!$C$42, 500, 500)*CHOOSE(CONTROL!$C$42, 0.275, 0.275)*CHOOSE(CONTROL!$C$42, 30, 30))/1000000</f>
        <v>4.125</v>
      </c>
      <c r="W191" s="58">
        <f>(1000*CHOOSE(CONTROL!$C$42, 0.1146, 0.1146)*CHOOSE(CONTROL!$C$42, 121.5, 121.5)*CHOOSE(CONTROL!$C$42, 30, 30))/1000000</f>
        <v>0.417717</v>
      </c>
      <c r="X191" s="58">
        <f>(30*0.1790888*100000/1000000)+(30*0.2374*100000/1000000)</f>
        <v>1.2494664</v>
      </c>
      <c r="Y191" s="58"/>
      <c r="Z191" s="10"/>
      <c r="AA191" s="57"/>
      <c r="AB191" s="51">
        <f>(B191*122.58+C191*297.941+D191*89.177+E191*40.302+F191*40+G191*160+H191*0+I191*100+J191*300)/(122.58+297.941+89.177+40.302+0+40+160+100+300)</f>
        <v>6.797640770434783</v>
      </c>
      <c r="AC191" s="27">
        <f>(M191*'RAP TEMPLATE-GAS AVAILABILITY'!O190+N191*'RAP TEMPLATE-GAS AVAILABILITY'!P190+O191*'RAP TEMPLATE-GAS AVAILABILITY'!Q190+P191*'RAP TEMPLATE-GAS AVAILABILITY'!R190)/('RAP TEMPLATE-GAS AVAILABILITY'!O190+'RAP TEMPLATE-GAS AVAILABILITY'!P190+'RAP TEMPLATE-GAS AVAILABILITY'!Q190+'RAP TEMPLATE-GAS AVAILABILITY'!R190)</f>
        <v>6.7584985611510788</v>
      </c>
    </row>
    <row r="192" spans="1:29" ht="15.75" x14ac:dyDescent="0.25">
      <c r="A192" s="16">
        <v>47088</v>
      </c>
      <c r="B192" s="10">
        <f>CHOOSE(CONTROL!$C$42, 7.2631, 7.2631) * CHOOSE(CONTROL!$C$21, $C$9, 100%, $E$9)</f>
        <v>7.2630999999999997</v>
      </c>
      <c r="C192" s="10">
        <f>CHOOSE(CONTROL!$C$42, 7.2681, 7.2681) * CHOOSE(CONTROL!$C$21, $C$9, 100%, $E$9)</f>
        <v>7.2680999999999996</v>
      </c>
      <c r="D192" s="10">
        <f>CHOOSE(CONTROL!$C$42, 7.2977, 7.2977) * CHOOSE(CONTROL!$C$21, $C$9, 100%, $E$9)</f>
        <v>7.2976999999999999</v>
      </c>
      <c r="E192" s="10">
        <f>CHOOSE(CONTROL!$C$42, 7.3315, 7.3315) * CHOOSE(CONTROL!$C$21, $C$9, 100%, $E$9)</f>
        <v>7.3315000000000001</v>
      </c>
      <c r="F192" s="10">
        <f>CHOOSE(CONTROL!$C$42, 7.2504, 7.2504)*CHOOSE(CONTROL!$C$21, $C$9, 100%, $E$9)</f>
        <v>7.2504</v>
      </c>
      <c r="G192" s="10">
        <f>CHOOSE(CONTROL!$C$42, 7.2689, 7.2689)*CHOOSE(CONTROL!$C$21, $C$9, 100%, $E$9)</f>
        <v>7.2689000000000004</v>
      </c>
      <c r="H192" s="10">
        <f>CHOOSE(CONTROL!$C$42, 7.3207, 7.3207) * CHOOSE(CONTROL!$C$21, $C$9, 100%, $E$9)</f>
        <v>7.3207000000000004</v>
      </c>
      <c r="I192" s="10">
        <f>CHOOSE(CONTROL!$C$42, 7.2293, 7.2293)* CHOOSE(CONTROL!$C$21, $C$9, 100%, $E$9)</f>
        <v>7.2293000000000003</v>
      </c>
      <c r="J192" s="10">
        <f>CHOOSE(CONTROL!$C$42, 7.2434, 7.2434)* CHOOSE(CONTROL!$C$21, $C$9, 100%, $E$9)</f>
        <v>7.2434000000000003</v>
      </c>
      <c r="K192" s="54">
        <f>CHOOSE(CONTROL!$C$42, 7.2254, 7.2254) * CHOOSE(CONTROL!$C$21, $C$9, 100%, $E$9)</f>
        <v>7.2253999999999996</v>
      </c>
      <c r="L192" s="10">
        <f>CHOOSE(CONTROL!$C$42, 7.9077, 7.9077) * CHOOSE(CONTROL!$C$21, $C$9, 100%, $E$9)</f>
        <v>7.9077000000000002</v>
      </c>
      <c r="M192" s="10">
        <f>CHOOSE(CONTROL!$C$42, 7.1842, 7.1842) * CHOOSE(CONTROL!$C$21, $C$9, 100%, $E$9)</f>
        <v>7.1841999999999997</v>
      </c>
      <c r="N192" s="10">
        <f>CHOOSE(CONTROL!$C$42, 7.2024, 7.2024) * CHOOSE(CONTROL!$C$21, $C$9, 100%, $E$9)</f>
        <v>7.2023999999999999</v>
      </c>
      <c r="O192" s="10">
        <f>CHOOSE(CONTROL!$C$42, 7.2606, 7.2606) * CHOOSE(CONTROL!$C$21, $C$9, 100%, $E$9)</f>
        <v>7.2606000000000002</v>
      </c>
      <c r="P192" s="10">
        <f>CHOOSE(CONTROL!$C$42, 7.1702, 7.1702) * CHOOSE(CONTROL!$C$21, $C$9, 100%, $E$9)</f>
        <v>7.1702000000000004</v>
      </c>
      <c r="Q192" s="10">
        <f>CHOOSE(CONTROL!$C$42, 7.8559, 7.8559) * CHOOSE(CONTROL!$C$21, $C$9, 100%, $E$9)</f>
        <v>7.8559000000000001</v>
      </c>
      <c r="R192" s="10">
        <f>CHOOSE(CONTROL!$C$42, 8.4626, 8.4626) * CHOOSE(CONTROL!$C$21, $C$9, 100%, $E$9)</f>
        <v>8.4626000000000001</v>
      </c>
      <c r="S192" s="10">
        <f>CHOOSE(CONTROL!$C$42, 7.0511, 7.0511) * CHOOSE(CONTROL!$C$21, $C$9, 100%, $E$9)</f>
        <v>7.0510999999999999</v>
      </c>
      <c r="T192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92" s="58">
        <f>(1000*CHOOSE(CONTROL!$C$42, 695, 695)*CHOOSE(CONTROL!$C$42, 0.5599, 0.5599)*CHOOSE(CONTROL!$C$42, 31, 31))/1000000</f>
        <v>12.063045499999998</v>
      </c>
      <c r="V192" s="58">
        <f>(1000*CHOOSE(CONTROL!$C$42, 500, 500)*CHOOSE(CONTROL!$C$42, 0.275, 0.275)*CHOOSE(CONTROL!$C$42, 31, 31))/1000000</f>
        <v>4.2625000000000002</v>
      </c>
      <c r="W192" s="58">
        <f>(1000*CHOOSE(CONTROL!$C$42, 0.1146, 0.1146)*CHOOSE(CONTROL!$C$42, 121.5, 121.5)*CHOOSE(CONTROL!$C$42, 31, 31))/1000000</f>
        <v>0.43164089999999994</v>
      </c>
      <c r="X192" s="58">
        <f>(31*0.1790888*100000/1000000)+(31*0.2374*100000/1000000)</f>
        <v>1.2911152800000001</v>
      </c>
      <c r="Y192" s="58"/>
      <c r="Z192" s="10"/>
      <c r="AA192" s="57"/>
      <c r="AB192" s="51">
        <f>(B192*122.58+C192*297.941+D192*89.177+E192*40.302+F192*40+G192*160+H192*0+I192*100+J192*300)/(122.58+297.941+89.177+40.302+0+40+160+100+300)</f>
        <v>7.2617625095652167</v>
      </c>
      <c r="AC192" s="27">
        <f>(M192*'RAP TEMPLATE-GAS AVAILABILITY'!O191+N192*'RAP TEMPLATE-GAS AVAILABILITY'!P191+O192*'RAP TEMPLATE-GAS AVAILABILITY'!Q191+P192*'RAP TEMPLATE-GAS AVAILABILITY'!R191)/('RAP TEMPLATE-GAS AVAILABILITY'!O191+'RAP TEMPLATE-GAS AVAILABILITY'!P191+'RAP TEMPLATE-GAS AVAILABILITY'!Q191+'RAP TEMPLATE-GAS AVAILABILITY'!R191)</f>
        <v>7.2178604316546773</v>
      </c>
    </row>
    <row r="193" spans="1:29" ht="15.75" x14ac:dyDescent="0.25">
      <c r="A193" s="16">
        <v>47119</v>
      </c>
      <c r="B193" s="10">
        <f>CHOOSE(CONTROL!$C$42, 7.8911, 7.8911) * CHOOSE(CONTROL!$C$21, $C$9, 100%, $E$9)</f>
        <v>7.8910999999999998</v>
      </c>
      <c r="C193" s="10">
        <f>CHOOSE(CONTROL!$C$42, 7.8961, 7.8961) * CHOOSE(CONTROL!$C$21, $C$9, 100%, $E$9)</f>
        <v>7.8960999999999997</v>
      </c>
      <c r="D193" s="10">
        <f>CHOOSE(CONTROL!$C$42, 7.9463, 7.9463) * CHOOSE(CONTROL!$C$21, $C$9, 100%, $E$9)</f>
        <v>7.9462999999999999</v>
      </c>
      <c r="E193" s="10">
        <f>CHOOSE(CONTROL!$C$42, 7.98, 7.98) * CHOOSE(CONTROL!$C$21, $C$9, 100%, $E$9)</f>
        <v>7.98</v>
      </c>
      <c r="F193" s="10">
        <f>CHOOSE(CONTROL!$C$42, 7.8565, 7.8565)*CHOOSE(CONTROL!$C$21, $C$9, 100%, $E$9)</f>
        <v>7.8564999999999996</v>
      </c>
      <c r="G193" s="10">
        <f>CHOOSE(CONTROL!$C$42, 7.874, 7.874)*CHOOSE(CONTROL!$C$21, $C$9, 100%, $E$9)</f>
        <v>7.8739999999999997</v>
      </c>
      <c r="H193" s="10">
        <f>CHOOSE(CONTROL!$C$42, 7.9692, 7.9692) * CHOOSE(CONTROL!$C$21, $C$9, 100%, $E$9)</f>
        <v>7.9691999999999998</v>
      </c>
      <c r="I193" s="10">
        <f>CHOOSE(CONTROL!$C$42, 7.865, 7.865)* CHOOSE(CONTROL!$C$21, $C$9, 100%, $E$9)</f>
        <v>7.8650000000000002</v>
      </c>
      <c r="J193" s="10">
        <f>CHOOSE(CONTROL!$C$42, 7.8495, 7.8495)* CHOOSE(CONTROL!$C$21, $C$9, 100%, $E$9)</f>
        <v>7.8494999999999999</v>
      </c>
      <c r="K193" s="54">
        <f>CHOOSE(CONTROL!$C$42, 7.8611, 7.8611) * CHOOSE(CONTROL!$C$21, $C$9, 100%, $E$9)</f>
        <v>7.8611000000000004</v>
      </c>
      <c r="L193" s="10">
        <f>CHOOSE(CONTROL!$C$42, 8.5562, 8.5562) * CHOOSE(CONTROL!$C$21, $C$9, 100%, $E$9)</f>
        <v>8.5562000000000005</v>
      </c>
      <c r="M193" s="10">
        <f>CHOOSE(CONTROL!$C$42, 7.7841, 7.7841) * CHOOSE(CONTROL!$C$21, $C$9, 100%, $E$9)</f>
        <v>7.7840999999999996</v>
      </c>
      <c r="N193" s="10">
        <f>CHOOSE(CONTROL!$C$42, 7.8015, 7.8015) * CHOOSE(CONTROL!$C$21, $C$9, 100%, $E$9)</f>
        <v>7.8014999999999999</v>
      </c>
      <c r="O193" s="10">
        <f>CHOOSE(CONTROL!$C$42, 7.9026, 7.9026) * CHOOSE(CONTROL!$C$21, $C$9, 100%, $E$9)</f>
        <v>7.9025999999999996</v>
      </c>
      <c r="P193" s="10">
        <f>CHOOSE(CONTROL!$C$42, 7.7995, 7.7995) * CHOOSE(CONTROL!$C$21, $C$9, 100%, $E$9)</f>
        <v>7.7995000000000001</v>
      </c>
      <c r="Q193" s="10">
        <f>CHOOSE(CONTROL!$C$42, 8.4979, 8.4979) * CHOOSE(CONTROL!$C$21, $C$9, 100%, $E$9)</f>
        <v>8.4978999999999996</v>
      </c>
      <c r="R193" s="10">
        <f>CHOOSE(CONTROL!$C$42, 9.1062, 9.1062) * CHOOSE(CONTROL!$C$21, $C$9, 100%, $E$9)</f>
        <v>9.1061999999999994</v>
      </c>
      <c r="S193" s="10">
        <f>CHOOSE(CONTROL!$C$42, 7.6609, 7.6609) * CHOOSE(CONTROL!$C$21, $C$9, 100%, $E$9)</f>
        <v>7.6608999999999998</v>
      </c>
      <c r="T193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93" s="58">
        <f>(1000*CHOOSE(CONTROL!$C$42, 695, 695)*CHOOSE(CONTROL!$C$42, 0.5599, 0.5599)*CHOOSE(CONTROL!$C$42, 31, 31))/1000000</f>
        <v>12.063045499999998</v>
      </c>
      <c r="V193" s="58">
        <f>(1000*CHOOSE(CONTROL!$C$42, 500, 500)*CHOOSE(CONTROL!$C$42, 0.275, 0.275)*CHOOSE(CONTROL!$C$42, 31, 31))/1000000</f>
        <v>4.2625000000000002</v>
      </c>
      <c r="W193" s="58">
        <f>(1000*CHOOSE(CONTROL!$C$42, 0.1146, 0.1146)*CHOOSE(CONTROL!$C$42, 121.5, 121.5)*CHOOSE(CONTROL!$C$42, 31, 31))/1000000</f>
        <v>0.43164089999999994</v>
      </c>
      <c r="X193" s="58">
        <f>(31*0.1790888*100000/1000000)+(31*0.2374*100000/1000000)</f>
        <v>1.2911152800000001</v>
      </c>
      <c r="Y193" s="58"/>
      <c r="Z193" s="10"/>
      <c r="AA193" s="57"/>
      <c r="AB193" s="51">
        <f>(B193*122.58+C193*297.941+D193*89.177+E193*40.302+F193*40+G193*160+H193*0+I193*100+J193*300)/(122.58+297.941+89.177+40.302+0+40+160+100+300)</f>
        <v>7.8830870636521748</v>
      </c>
      <c r="AC193" s="27">
        <f>(M193*'RAP TEMPLATE-GAS AVAILABILITY'!O192+N193*'RAP TEMPLATE-GAS AVAILABILITY'!P192+O193*'RAP TEMPLATE-GAS AVAILABILITY'!Q192+P193*'RAP TEMPLATE-GAS AVAILABILITY'!R192)/('RAP TEMPLATE-GAS AVAILABILITY'!O192+'RAP TEMPLATE-GAS AVAILABILITY'!P192+'RAP TEMPLATE-GAS AVAILABILITY'!Q192+'RAP TEMPLATE-GAS AVAILABILITY'!R192)</f>
        <v>7.8410258992805755</v>
      </c>
    </row>
    <row r="194" spans="1:29" ht="15.75" x14ac:dyDescent="0.25">
      <c r="A194" s="16">
        <v>47150</v>
      </c>
      <c r="B194" s="10">
        <f>CHOOSE(CONTROL!$C$42, 8.0315, 8.0315) * CHOOSE(CONTROL!$C$21, $C$9, 100%, $E$9)</f>
        <v>8.0314999999999994</v>
      </c>
      <c r="C194" s="10">
        <f>CHOOSE(CONTROL!$C$42, 8.0365, 8.0365) * CHOOSE(CONTROL!$C$21, $C$9, 100%, $E$9)</f>
        <v>8.0365000000000002</v>
      </c>
      <c r="D194" s="10">
        <f>CHOOSE(CONTROL!$C$42, 8.1536, 8.1536) * CHOOSE(CONTROL!$C$21, $C$9, 100%, $E$9)</f>
        <v>8.1536000000000008</v>
      </c>
      <c r="E194" s="10">
        <f>CHOOSE(CONTROL!$C$42, 8.1874, 8.1874) * CHOOSE(CONTROL!$C$21, $C$9, 100%, $E$9)</f>
        <v>8.1874000000000002</v>
      </c>
      <c r="F194" s="10">
        <f>CHOOSE(CONTROL!$C$42, 8.1091, 8.1091)*CHOOSE(CONTROL!$C$21, $C$9, 100%, $E$9)</f>
        <v>8.1090999999999998</v>
      </c>
      <c r="G194" s="10">
        <f>CHOOSE(CONTROL!$C$42, 8.131, 8.131)*CHOOSE(CONTROL!$C$21, $C$9, 100%, $E$9)</f>
        <v>8.1310000000000002</v>
      </c>
      <c r="H194" s="10">
        <f>CHOOSE(CONTROL!$C$42, 8.1766, 8.1766) * CHOOSE(CONTROL!$C$21, $C$9, 100%, $E$9)</f>
        <v>8.1766000000000005</v>
      </c>
      <c r="I194" s="10">
        <f>CHOOSE(CONTROL!$C$42, 8.0672, 8.0672)* CHOOSE(CONTROL!$C$21, $C$9, 100%, $E$9)</f>
        <v>8.0671999999999997</v>
      </c>
      <c r="J194" s="10">
        <f>CHOOSE(CONTROL!$C$42, 8.1021, 8.1021)* CHOOSE(CONTROL!$C$21, $C$9, 100%, $E$9)</f>
        <v>8.1021000000000001</v>
      </c>
      <c r="K194" s="54">
        <f>CHOOSE(CONTROL!$C$42, 8.0633, 8.0633) * CHOOSE(CONTROL!$C$21, $C$9, 100%, $E$9)</f>
        <v>8.0632999999999999</v>
      </c>
      <c r="L194" s="10">
        <f>CHOOSE(CONTROL!$C$42, 8.7636, 8.7636) * CHOOSE(CONTROL!$C$21, $C$9, 100%, $E$9)</f>
        <v>8.7636000000000003</v>
      </c>
      <c r="M194" s="10">
        <f>CHOOSE(CONTROL!$C$42, 8.0342, 8.0342) * CHOOSE(CONTROL!$C$21, $C$9, 100%, $E$9)</f>
        <v>8.0342000000000002</v>
      </c>
      <c r="N194" s="10">
        <f>CHOOSE(CONTROL!$C$42, 8.0559, 8.0559) * CHOOSE(CONTROL!$C$21, $C$9, 100%, $E$9)</f>
        <v>8.0558999999999994</v>
      </c>
      <c r="O194" s="10">
        <f>CHOOSE(CONTROL!$C$42, 8.1079, 8.1079) * CHOOSE(CONTROL!$C$21, $C$9, 100%, $E$9)</f>
        <v>8.1079000000000008</v>
      </c>
      <c r="P194" s="10">
        <f>CHOOSE(CONTROL!$C$42, 7.9997, 7.9997) * CHOOSE(CONTROL!$C$21, $C$9, 100%, $E$9)</f>
        <v>7.9996999999999998</v>
      </c>
      <c r="Q194" s="10">
        <f>CHOOSE(CONTROL!$C$42, 8.7032, 8.7032) * CHOOSE(CONTROL!$C$21, $C$9, 100%, $E$9)</f>
        <v>8.7032000000000007</v>
      </c>
      <c r="R194" s="10">
        <f>CHOOSE(CONTROL!$C$42, 9.312, 9.312) * CHOOSE(CONTROL!$C$21, $C$9, 100%, $E$9)</f>
        <v>9.3119999999999994</v>
      </c>
      <c r="S194" s="10">
        <f>CHOOSE(CONTROL!$C$42, 7.7973, 7.7973) * CHOOSE(CONTROL!$C$21, $C$9, 100%, $E$9)</f>
        <v>7.7972999999999999</v>
      </c>
      <c r="T194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94" s="58">
        <f>(1000*CHOOSE(CONTROL!$C$42, 695, 695)*CHOOSE(CONTROL!$C$42, 0.5599, 0.5599)*CHOOSE(CONTROL!$C$42, 28, 28))/1000000</f>
        <v>10.895653999999999</v>
      </c>
      <c r="V194" s="58">
        <f>(1000*CHOOSE(CONTROL!$C$42, 500, 500)*CHOOSE(CONTROL!$C$42, 0.275, 0.275)*CHOOSE(CONTROL!$C$42, 28, 28))/1000000</f>
        <v>3.85</v>
      </c>
      <c r="W194" s="58">
        <f>(1000*CHOOSE(CONTROL!$C$42, 0.1146, 0.1146)*CHOOSE(CONTROL!$C$42, 121.5, 121.5)*CHOOSE(CONTROL!$C$42, 28, 28))/1000000</f>
        <v>0.38986920000000003</v>
      </c>
      <c r="X194" s="58">
        <f>(28*0.1790888*100000/1000000)+(28*0.2374*100000/1000000)</f>
        <v>1.16616864</v>
      </c>
      <c r="Y194" s="58"/>
      <c r="Z194" s="10"/>
      <c r="AA194" s="57"/>
      <c r="AB194" s="51">
        <f>(B194*122.58+C194*297.941+D194*89.177+E194*40.302+F194*40+G194*160+H194*0+I194*100+J194*300)/(122.58+297.941+89.177+40.302+0+40+160+100+300)</f>
        <v>8.0857915639130429</v>
      </c>
      <c r="AC194" s="27">
        <f>(M194*'RAP TEMPLATE-GAS AVAILABILITY'!O193+N194*'RAP TEMPLATE-GAS AVAILABILITY'!P193+O194*'RAP TEMPLATE-GAS AVAILABILITY'!Q193+P194*'RAP TEMPLATE-GAS AVAILABILITY'!R193)/('RAP TEMPLATE-GAS AVAILABILITY'!O193+'RAP TEMPLATE-GAS AVAILABILITY'!P193+'RAP TEMPLATE-GAS AVAILABILITY'!Q193+'RAP TEMPLATE-GAS AVAILABILITY'!R193)</f>
        <v>8.0638884892086349</v>
      </c>
    </row>
    <row r="195" spans="1:29" ht="15.75" x14ac:dyDescent="0.25">
      <c r="A195" s="16">
        <v>47178</v>
      </c>
      <c r="B195" s="10">
        <f>CHOOSE(CONTROL!$C$42, 7.8036, 7.8036) * CHOOSE(CONTROL!$C$21, $C$9, 100%, $E$9)</f>
        <v>7.8036000000000003</v>
      </c>
      <c r="C195" s="10">
        <f>CHOOSE(CONTROL!$C$42, 7.8085, 7.8085) * CHOOSE(CONTROL!$C$21, $C$9, 100%, $E$9)</f>
        <v>7.8085000000000004</v>
      </c>
      <c r="D195" s="10">
        <f>CHOOSE(CONTROL!$C$42, 7.8999, 7.8999) * CHOOSE(CONTROL!$C$21, $C$9, 100%, $E$9)</f>
        <v>7.8998999999999997</v>
      </c>
      <c r="E195" s="10">
        <f>CHOOSE(CONTROL!$C$42, 7.9337, 7.9337) * CHOOSE(CONTROL!$C$21, $C$9, 100%, $E$9)</f>
        <v>7.9337</v>
      </c>
      <c r="F195" s="10">
        <f>CHOOSE(CONTROL!$C$42, 7.8334, 7.8334)*CHOOSE(CONTROL!$C$21, $C$9, 100%, $E$9)</f>
        <v>7.8334000000000001</v>
      </c>
      <c r="G195" s="10">
        <f>CHOOSE(CONTROL!$C$42, 7.8529, 7.8529)*CHOOSE(CONTROL!$C$21, $C$9, 100%, $E$9)</f>
        <v>7.8529</v>
      </c>
      <c r="H195" s="10">
        <f>CHOOSE(CONTROL!$C$42, 7.9229, 7.9229) * CHOOSE(CONTROL!$C$21, $C$9, 100%, $E$9)</f>
        <v>7.9229000000000003</v>
      </c>
      <c r="I195" s="10">
        <f>CHOOSE(CONTROL!$C$42, 7.8264, 7.8264)* CHOOSE(CONTROL!$C$21, $C$9, 100%, $E$9)</f>
        <v>7.8263999999999996</v>
      </c>
      <c r="J195" s="10">
        <f>CHOOSE(CONTROL!$C$42, 7.8264, 7.8264)* CHOOSE(CONTROL!$C$21, $C$9, 100%, $E$9)</f>
        <v>7.8263999999999996</v>
      </c>
      <c r="K195" s="54">
        <f>CHOOSE(CONTROL!$C$42, 7.8225, 7.8225) * CHOOSE(CONTROL!$C$21, $C$9, 100%, $E$9)</f>
        <v>7.8224999999999998</v>
      </c>
      <c r="L195" s="10">
        <f>CHOOSE(CONTROL!$C$42, 8.5099, 8.5099) * CHOOSE(CONTROL!$C$21, $C$9, 100%, $E$9)</f>
        <v>8.5099</v>
      </c>
      <c r="M195" s="10">
        <f>CHOOSE(CONTROL!$C$42, 7.7613, 7.7613) * CHOOSE(CONTROL!$C$21, $C$9, 100%, $E$9)</f>
        <v>7.7613000000000003</v>
      </c>
      <c r="N195" s="10">
        <f>CHOOSE(CONTROL!$C$42, 7.7806, 7.7806) * CHOOSE(CONTROL!$C$21, $C$9, 100%, $E$9)</f>
        <v>7.7805999999999997</v>
      </c>
      <c r="O195" s="10">
        <f>CHOOSE(CONTROL!$C$42, 7.8568, 7.8568) * CHOOSE(CONTROL!$C$21, $C$9, 100%, $E$9)</f>
        <v>7.8567999999999998</v>
      </c>
      <c r="P195" s="10">
        <f>CHOOSE(CONTROL!$C$42, 7.7613, 7.7613) * CHOOSE(CONTROL!$C$21, $C$9, 100%, $E$9)</f>
        <v>7.7613000000000003</v>
      </c>
      <c r="Q195" s="10">
        <f>CHOOSE(CONTROL!$C$42, 8.4521, 8.4521) * CHOOSE(CONTROL!$C$21, $C$9, 100%, $E$9)</f>
        <v>8.4520999999999997</v>
      </c>
      <c r="R195" s="10">
        <f>CHOOSE(CONTROL!$C$42, 9.0602, 9.0602) * CHOOSE(CONTROL!$C$21, $C$9, 100%, $E$9)</f>
        <v>9.0602</v>
      </c>
      <c r="S195" s="10">
        <f>CHOOSE(CONTROL!$C$42, 7.5759, 7.5759) * CHOOSE(CONTROL!$C$21, $C$9, 100%, $E$9)</f>
        <v>7.5758999999999999</v>
      </c>
      <c r="T195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95" s="58">
        <f>(1000*CHOOSE(CONTROL!$C$42, 695, 695)*CHOOSE(CONTROL!$C$42, 0.5599, 0.5599)*CHOOSE(CONTROL!$C$42, 31, 31))/1000000</f>
        <v>12.063045499999998</v>
      </c>
      <c r="V195" s="58">
        <f>(1000*CHOOSE(CONTROL!$C$42, 500, 500)*CHOOSE(CONTROL!$C$42, 0.275, 0.275)*CHOOSE(CONTROL!$C$42, 31, 31))/1000000</f>
        <v>4.2625000000000002</v>
      </c>
      <c r="W195" s="58">
        <f>(1000*CHOOSE(CONTROL!$C$42, 0.1146, 0.1146)*CHOOSE(CONTROL!$C$42, 121.5, 121.5)*CHOOSE(CONTROL!$C$42, 31, 31))/1000000</f>
        <v>0.43164089999999994</v>
      </c>
      <c r="X195" s="58">
        <f>(31*0.1790888*100000/1000000)+(31*0.2374*100000/1000000)</f>
        <v>1.2911152800000001</v>
      </c>
      <c r="Y195" s="58"/>
      <c r="Z195" s="10"/>
      <c r="AA195" s="57"/>
      <c r="AB195" s="51">
        <f>(B195*122.58+C195*297.941+D195*89.177+E195*40.302+F195*40+G195*160+H195*0+I195*100+J195*300)/(122.58+297.941+89.177+40.302+0+40+160+100+300)</f>
        <v>7.8327225619130445</v>
      </c>
      <c r="AC195" s="27">
        <f>(M195*'RAP TEMPLATE-GAS AVAILABILITY'!O194+N195*'RAP TEMPLATE-GAS AVAILABILITY'!P194+O195*'RAP TEMPLATE-GAS AVAILABILITY'!Q194+P195*'RAP TEMPLATE-GAS AVAILABILITY'!R194)/('RAP TEMPLATE-GAS AVAILABILITY'!O194+'RAP TEMPLATE-GAS AVAILABILITY'!P194+'RAP TEMPLATE-GAS AVAILABILITY'!Q194+'RAP TEMPLATE-GAS AVAILABILITY'!R194)</f>
        <v>7.8056949640287767</v>
      </c>
    </row>
    <row r="196" spans="1:29" ht="15.75" x14ac:dyDescent="0.25">
      <c r="A196" s="16">
        <v>47209</v>
      </c>
      <c r="B196" s="10">
        <f>CHOOSE(CONTROL!$C$42, 7.781, 7.781) * CHOOSE(CONTROL!$C$21, $C$9, 100%, $E$9)</f>
        <v>7.7809999999999997</v>
      </c>
      <c r="C196" s="10">
        <f>CHOOSE(CONTROL!$C$42, 7.7854, 7.7854) * CHOOSE(CONTROL!$C$21, $C$9, 100%, $E$9)</f>
        <v>7.7854000000000001</v>
      </c>
      <c r="D196" s="10">
        <f>CHOOSE(CONTROL!$C$42, 7.9671, 7.9671) * CHOOSE(CONTROL!$C$21, $C$9, 100%, $E$9)</f>
        <v>7.9671000000000003</v>
      </c>
      <c r="E196" s="10">
        <f>CHOOSE(CONTROL!$C$42, 7.9988, 7.9988) * CHOOSE(CONTROL!$C$21, $C$9, 100%, $E$9)</f>
        <v>7.9988000000000001</v>
      </c>
      <c r="F196" s="10">
        <f>CHOOSE(CONTROL!$C$42, 7.7693, 7.7693)*CHOOSE(CONTROL!$C$21, $C$9, 100%, $E$9)</f>
        <v>7.7693000000000003</v>
      </c>
      <c r="G196" s="10">
        <f>CHOOSE(CONTROL!$C$42, 7.7873, 7.7873)*CHOOSE(CONTROL!$C$21, $C$9, 100%, $E$9)</f>
        <v>7.7873000000000001</v>
      </c>
      <c r="H196" s="10">
        <f>CHOOSE(CONTROL!$C$42, 7.9886, 7.9886) * CHOOSE(CONTROL!$C$21, $C$9, 100%, $E$9)</f>
        <v>7.9885999999999999</v>
      </c>
      <c r="I196" s="10">
        <f>CHOOSE(CONTROL!$C$42, 7.7593, 7.7593)* CHOOSE(CONTROL!$C$21, $C$9, 100%, $E$9)</f>
        <v>7.7592999999999996</v>
      </c>
      <c r="J196" s="10">
        <f>CHOOSE(CONTROL!$C$42, 7.7623, 7.7623)* CHOOSE(CONTROL!$C$21, $C$9, 100%, $E$9)</f>
        <v>7.7622999999999998</v>
      </c>
      <c r="K196" s="54">
        <f>CHOOSE(CONTROL!$C$42, 7.7554, 7.7554) * CHOOSE(CONTROL!$C$21, $C$9, 100%, $E$9)</f>
        <v>7.7553999999999998</v>
      </c>
      <c r="L196" s="10">
        <f>CHOOSE(CONTROL!$C$42, 8.5756, 8.5756) * CHOOSE(CONTROL!$C$21, $C$9, 100%, $E$9)</f>
        <v>8.5755999999999997</v>
      </c>
      <c r="M196" s="10">
        <f>CHOOSE(CONTROL!$C$42, 7.6978, 7.6978) * CHOOSE(CONTROL!$C$21, $C$9, 100%, $E$9)</f>
        <v>7.6978</v>
      </c>
      <c r="N196" s="10">
        <f>CHOOSE(CONTROL!$C$42, 7.7156, 7.7156) * CHOOSE(CONTROL!$C$21, $C$9, 100%, $E$9)</f>
        <v>7.7156000000000002</v>
      </c>
      <c r="O196" s="10">
        <f>CHOOSE(CONTROL!$C$42, 7.9218, 7.9218) * CHOOSE(CONTROL!$C$21, $C$9, 100%, $E$9)</f>
        <v>7.9218000000000002</v>
      </c>
      <c r="P196" s="10">
        <f>CHOOSE(CONTROL!$C$42, 7.6948, 7.6948) * CHOOSE(CONTROL!$C$21, $C$9, 100%, $E$9)</f>
        <v>7.6947999999999999</v>
      </c>
      <c r="Q196" s="10">
        <f>CHOOSE(CONTROL!$C$42, 8.5171, 8.5171) * CHOOSE(CONTROL!$C$21, $C$9, 100%, $E$9)</f>
        <v>8.5170999999999992</v>
      </c>
      <c r="R196" s="10">
        <f>CHOOSE(CONTROL!$C$42, 9.1254, 9.1254) * CHOOSE(CONTROL!$C$21, $C$9, 100%, $E$9)</f>
        <v>9.1254000000000008</v>
      </c>
      <c r="S196" s="10">
        <f>CHOOSE(CONTROL!$C$42, 7.5532, 7.5532) * CHOOSE(CONTROL!$C$21, $C$9, 100%, $E$9)</f>
        <v>7.5532000000000004</v>
      </c>
      <c r="T196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96" s="58">
        <f>(1000*CHOOSE(CONTROL!$C$42, 695, 695)*CHOOSE(CONTROL!$C$42, 0.5599, 0.5599)*CHOOSE(CONTROL!$C$42, 30, 30))/1000000</f>
        <v>11.673914999999997</v>
      </c>
      <c r="V196" s="58">
        <f>(1000*CHOOSE(CONTROL!$C$42, 500, 500)*CHOOSE(CONTROL!$C$42, 0.275, 0.275)*CHOOSE(CONTROL!$C$42, 30, 30))/1000000</f>
        <v>4.125</v>
      </c>
      <c r="W196" s="58">
        <f>(1000*CHOOSE(CONTROL!$C$42, 0.1146, 0.1146)*CHOOSE(CONTROL!$C$42, 121.5, 121.5)*CHOOSE(CONTROL!$C$42, 30, 30))/1000000</f>
        <v>0.417717</v>
      </c>
      <c r="X196" s="58">
        <f>(30*0.1790888*245000/1000000)+(30*0.2374*100000/1000000)</f>
        <v>2.0285026799999999</v>
      </c>
      <c r="Y196" s="58"/>
      <c r="Z196" s="10"/>
      <c r="AA196" s="57"/>
      <c r="AB196" s="51">
        <f>(B196*141.293+C196*267.993+D196*115.016+E196*89.698+F196*40+G196*185+H196*0+I196*100+J196*300)/(141.293+267.993+115.016+89.698+0+40+185+100+300)</f>
        <v>7.8092787499596445</v>
      </c>
      <c r="AC196" s="27">
        <f>(M196*'RAP TEMPLATE-GAS AVAILABILITY'!O195+N196*'RAP TEMPLATE-GAS AVAILABILITY'!P195+O196*'RAP TEMPLATE-GAS AVAILABILITY'!Q195+P196*'RAP TEMPLATE-GAS AVAILABILITY'!R195)/('RAP TEMPLATE-GAS AVAILABILITY'!O195+'RAP TEMPLATE-GAS AVAILABILITY'!P195+'RAP TEMPLATE-GAS AVAILABILITY'!Q195+'RAP TEMPLATE-GAS AVAILABILITY'!R195)</f>
        <v>7.7643151079136699</v>
      </c>
    </row>
    <row r="197" spans="1:29" ht="15.75" x14ac:dyDescent="0.25">
      <c r="A197" s="16">
        <v>47239</v>
      </c>
      <c r="B197" s="10">
        <f>CHOOSE(CONTROL!$C$42, 7.8514, 7.8514) * CHOOSE(CONTROL!$C$21, $C$9, 100%, $E$9)</f>
        <v>7.8513999999999999</v>
      </c>
      <c r="C197" s="10">
        <f>CHOOSE(CONTROL!$C$42, 7.8594, 7.8594) * CHOOSE(CONTROL!$C$21, $C$9, 100%, $E$9)</f>
        <v>7.8593999999999999</v>
      </c>
      <c r="D197" s="10">
        <f>CHOOSE(CONTROL!$C$42, 8.0379, 8.0379) * CHOOSE(CONTROL!$C$21, $C$9, 100%, $E$9)</f>
        <v>8.0379000000000005</v>
      </c>
      <c r="E197" s="10">
        <f>CHOOSE(CONTROL!$C$42, 8.069, 8.069) * CHOOSE(CONTROL!$C$21, $C$9, 100%, $E$9)</f>
        <v>8.0690000000000008</v>
      </c>
      <c r="F197" s="10">
        <f>CHOOSE(CONTROL!$C$42, 7.8376, 7.8376)*CHOOSE(CONTROL!$C$21, $C$9, 100%, $E$9)</f>
        <v>7.8376000000000001</v>
      </c>
      <c r="G197" s="10">
        <f>CHOOSE(CONTROL!$C$42, 7.8558, 7.8558)*CHOOSE(CONTROL!$C$21, $C$9, 100%, $E$9)</f>
        <v>7.8558000000000003</v>
      </c>
      <c r="H197" s="10">
        <f>CHOOSE(CONTROL!$C$42, 8.0577, 8.0577) * CHOOSE(CONTROL!$C$21, $C$9, 100%, $E$9)</f>
        <v>8.0577000000000005</v>
      </c>
      <c r="I197" s="10">
        <f>CHOOSE(CONTROL!$C$42, 7.8283, 7.8283)* CHOOSE(CONTROL!$C$21, $C$9, 100%, $E$9)</f>
        <v>7.8282999999999996</v>
      </c>
      <c r="J197" s="10">
        <f>CHOOSE(CONTROL!$C$42, 7.8306, 7.8306)* CHOOSE(CONTROL!$C$21, $C$9, 100%, $E$9)</f>
        <v>7.8305999999999996</v>
      </c>
      <c r="K197" s="54">
        <f>CHOOSE(CONTROL!$C$42, 7.8244, 7.8244) * CHOOSE(CONTROL!$C$21, $C$9, 100%, $E$9)</f>
        <v>7.8243999999999998</v>
      </c>
      <c r="L197" s="10">
        <f>CHOOSE(CONTROL!$C$42, 8.6447, 8.6447) * CHOOSE(CONTROL!$C$21, $C$9, 100%, $E$9)</f>
        <v>8.6447000000000003</v>
      </c>
      <c r="M197" s="10">
        <f>CHOOSE(CONTROL!$C$42, 7.7654, 7.7654) * CHOOSE(CONTROL!$C$21, $C$9, 100%, $E$9)</f>
        <v>7.7653999999999996</v>
      </c>
      <c r="N197" s="10">
        <f>CHOOSE(CONTROL!$C$42, 7.7834, 7.7834) * CHOOSE(CONTROL!$C$21, $C$9, 100%, $E$9)</f>
        <v>7.7834000000000003</v>
      </c>
      <c r="O197" s="10">
        <f>CHOOSE(CONTROL!$C$42, 7.9902, 7.9902) * CHOOSE(CONTROL!$C$21, $C$9, 100%, $E$9)</f>
        <v>7.9901999999999997</v>
      </c>
      <c r="P197" s="10">
        <f>CHOOSE(CONTROL!$C$42, 7.7632, 7.7632) * CHOOSE(CONTROL!$C$21, $C$9, 100%, $E$9)</f>
        <v>7.7632000000000003</v>
      </c>
      <c r="Q197" s="10">
        <f>CHOOSE(CONTROL!$C$42, 8.5855, 8.5855) * CHOOSE(CONTROL!$C$21, $C$9, 100%, $E$9)</f>
        <v>8.5854999999999997</v>
      </c>
      <c r="R197" s="10">
        <f>CHOOSE(CONTROL!$C$42, 9.1939, 9.1939) * CHOOSE(CONTROL!$C$21, $C$9, 100%, $E$9)</f>
        <v>9.1938999999999993</v>
      </c>
      <c r="S197" s="10">
        <f>CHOOSE(CONTROL!$C$42, 7.6203, 7.6203) * CHOOSE(CONTROL!$C$21, $C$9, 100%, $E$9)</f>
        <v>7.6203000000000003</v>
      </c>
      <c r="T197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97" s="58">
        <f>(1000*CHOOSE(CONTROL!$C$42, 695, 695)*CHOOSE(CONTROL!$C$42, 0.5599, 0.5599)*CHOOSE(CONTROL!$C$42, 31, 31))/1000000</f>
        <v>12.063045499999998</v>
      </c>
      <c r="V197" s="58">
        <f>(1000*CHOOSE(CONTROL!$C$42, 500, 500)*CHOOSE(CONTROL!$C$42, 0.275, 0.275)*CHOOSE(CONTROL!$C$42, 31, 31))/1000000</f>
        <v>4.2625000000000002</v>
      </c>
      <c r="W197" s="58">
        <f>(1000*CHOOSE(CONTROL!$C$42, 0.1146, 0.1146)*CHOOSE(CONTROL!$C$42, 121.5, 121.5)*CHOOSE(CONTROL!$C$42, 31, 31))/1000000</f>
        <v>0.43164089999999994</v>
      </c>
      <c r="X197" s="58">
        <f>(31*0.1790888*245000/1000000)+(31*0.2374*100000/1000000)</f>
        <v>2.0961194359999999</v>
      </c>
      <c r="Y197" s="58"/>
      <c r="Z197" s="10"/>
      <c r="AA197" s="57"/>
      <c r="AB197" s="51">
        <f>(B197*194.205+C197*267.466+D197*133.845+E197*53.484+F197*40+G197*185+H197*0+I197*100+J197*300)/(194.205+267.466+133.845+53.484+0+40+185+100+300)</f>
        <v>7.8753026208006283</v>
      </c>
      <c r="AC197" s="27">
        <f>(M197*'RAP TEMPLATE-GAS AVAILABILITY'!O196+N197*'RAP TEMPLATE-GAS AVAILABILITY'!P196+O197*'RAP TEMPLATE-GAS AVAILABILITY'!Q196+P197*'RAP TEMPLATE-GAS AVAILABILITY'!R196)/('RAP TEMPLATE-GAS AVAILABILITY'!O196+'RAP TEMPLATE-GAS AVAILABILITY'!P196+'RAP TEMPLATE-GAS AVAILABILITY'!Q196+'RAP TEMPLATE-GAS AVAILABILITY'!R196)</f>
        <v>7.8323007194244596</v>
      </c>
    </row>
    <row r="198" spans="1:29" ht="15.75" x14ac:dyDescent="0.25">
      <c r="A198" s="16">
        <v>47270</v>
      </c>
      <c r="B198" s="10">
        <f>CHOOSE(CONTROL!$C$42, 8.074, 8.074) * CHOOSE(CONTROL!$C$21, $C$9, 100%, $E$9)</f>
        <v>8.0739999999999998</v>
      </c>
      <c r="C198" s="10">
        <f>CHOOSE(CONTROL!$C$42, 8.0819, 8.0819) * CHOOSE(CONTROL!$C$21, $C$9, 100%, $E$9)</f>
        <v>8.0818999999999992</v>
      </c>
      <c r="D198" s="10">
        <f>CHOOSE(CONTROL!$C$42, 8.2605, 8.2605) * CHOOSE(CONTROL!$C$21, $C$9, 100%, $E$9)</f>
        <v>8.2605000000000004</v>
      </c>
      <c r="E198" s="10">
        <f>CHOOSE(CONTROL!$C$42, 8.2916, 8.2916) * CHOOSE(CONTROL!$C$21, $C$9, 100%, $E$9)</f>
        <v>8.2916000000000007</v>
      </c>
      <c r="F198" s="10">
        <f>CHOOSE(CONTROL!$C$42, 8.0604, 8.0604)*CHOOSE(CONTROL!$C$21, $C$9, 100%, $E$9)</f>
        <v>8.0603999999999996</v>
      </c>
      <c r="G198" s="10">
        <f>CHOOSE(CONTROL!$C$42, 8.0787, 8.0787)*CHOOSE(CONTROL!$C$21, $C$9, 100%, $E$9)</f>
        <v>8.0786999999999995</v>
      </c>
      <c r="H198" s="10">
        <f>CHOOSE(CONTROL!$C$42, 8.2802, 8.2802) * CHOOSE(CONTROL!$C$21, $C$9, 100%, $E$9)</f>
        <v>8.2802000000000007</v>
      </c>
      <c r="I198" s="10">
        <f>CHOOSE(CONTROL!$C$42, 8.0509, 8.0509)* CHOOSE(CONTROL!$C$21, $C$9, 100%, $E$9)</f>
        <v>8.0509000000000004</v>
      </c>
      <c r="J198" s="10">
        <f>CHOOSE(CONTROL!$C$42, 8.0534, 8.0534)* CHOOSE(CONTROL!$C$21, $C$9, 100%, $E$9)</f>
        <v>8.0533999999999999</v>
      </c>
      <c r="K198" s="54">
        <f>CHOOSE(CONTROL!$C$42, 8.047, 8.047) * CHOOSE(CONTROL!$C$21, $C$9, 100%, $E$9)</f>
        <v>8.0470000000000006</v>
      </c>
      <c r="L198" s="10">
        <f>CHOOSE(CONTROL!$C$42, 8.8672, 8.8672) * CHOOSE(CONTROL!$C$21, $C$9, 100%, $E$9)</f>
        <v>8.8672000000000004</v>
      </c>
      <c r="M198" s="10">
        <f>CHOOSE(CONTROL!$C$42, 7.986, 7.986) * CHOOSE(CONTROL!$C$21, $C$9, 100%, $E$9)</f>
        <v>7.9859999999999998</v>
      </c>
      <c r="N198" s="10">
        <f>CHOOSE(CONTROL!$C$42, 8.004, 8.004) * CHOOSE(CONTROL!$C$21, $C$9, 100%, $E$9)</f>
        <v>8.0039999999999996</v>
      </c>
      <c r="O198" s="10">
        <f>CHOOSE(CONTROL!$C$42, 8.2105, 8.2105) * CHOOSE(CONTROL!$C$21, $C$9, 100%, $E$9)</f>
        <v>8.2104999999999997</v>
      </c>
      <c r="P198" s="10">
        <f>CHOOSE(CONTROL!$C$42, 7.9835, 7.9835) * CHOOSE(CONTROL!$C$21, $C$9, 100%, $E$9)</f>
        <v>7.9835000000000003</v>
      </c>
      <c r="Q198" s="10">
        <f>CHOOSE(CONTROL!$C$42, 8.8058, 8.8058) * CHOOSE(CONTROL!$C$21, $C$9, 100%, $E$9)</f>
        <v>8.8057999999999996</v>
      </c>
      <c r="R198" s="10">
        <f>CHOOSE(CONTROL!$C$42, 9.4148, 9.4148) * CHOOSE(CONTROL!$C$21, $C$9, 100%, $E$9)</f>
        <v>9.4147999999999996</v>
      </c>
      <c r="S198" s="10">
        <f>CHOOSE(CONTROL!$C$42, 7.8364, 7.8364) * CHOOSE(CONTROL!$C$21, $C$9, 100%, $E$9)</f>
        <v>7.8364000000000003</v>
      </c>
      <c r="T198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98" s="58">
        <f>(1000*CHOOSE(CONTROL!$C$42, 695, 695)*CHOOSE(CONTROL!$C$42, 0.5599, 0.5599)*CHOOSE(CONTROL!$C$42, 30, 30))/1000000</f>
        <v>11.673914999999997</v>
      </c>
      <c r="V198" s="58">
        <f>(1000*CHOOSE(CONTROL!$C$42, 500, 500)*CHOOSE(CONTROL!$C$42, 0.275, 0.275)*CHOOSE(CONTROL!$C$42, 30, 30))/1000000</f>
        <v>4.125</v>
      </c>
      <c r="W198" s="58">
        <f>(1000*CHOOSE(CONTROL!$C$42, 0.1146, 0.1146)*CHOOSE(CONTROL!$C$42, 121.5, 121.5)*CHOOSE(CONTROL!$C$42, 30, 30))/1000000</f>
        <v>0.417717</v>
      </c>
      <c r="X198" s="58">
        <f>(30*0.1790888*245000/1000000)+(30*0.2374*100000/1000000)</f>
        <v>2.0285026799999999</v>
      </c>
      <c r="Y198" s="58"/>
      <c r="Z198" s="10"/>
      <c r="AA198" s="57"/>
      <c r="AB198" s="51">
        <f>(B198*194.205+C198*267.466+D198*133.845+E198*53.484+F198*40+G198*185+H198*0+I198*100+J198*300)/(194.205+267.466+133.845+53.484+0+40+185+100+300)</f>
        <v>8.097978565384615</v>
      </c>
      <c r="AC198" s="27">
        <f>(M198*'RAP TEMPLATE-GAS AVAILABILITY'!O197+N198*'RAP TEMPLATE-GAS AVAILABILITY'!P197+O198*'RAP TEMPLATE-GAS AVAILABILITY'!Q197+P198*'RAP TEMPLATE-GAS AVAILABILITY'!R197)/('RAP TEMPLATE-GAS AVAILABILITY'!O197+'RAP TEMPLATE-GAS AVAILABILITY'!P197+'RAP TEMPLATE-GAS AVAILABILITY'!Q197+'RAP TEMPLATE-GAS AVAILABILITY'!R197)</f>
        <v>8.0527733812949638</v>
      </c>
    </row>
    <row r="199" spans="1:29" ht="15.75" x14ac:dyDescent="0.25">
      <c r="A199" s="16">
        <v>47300</v>
      </c>
      <c r="B199" s="10">
        <f>CHOOSE(CONTROL!$C$42, 7.9192, 7.9192) * CHOOSE(CONTROL!$C$21, $C$9, 100%, $E$9)</f>
        <v>7.9192</v>
      </c>
      <c r="C199" s="10">
        <f>CHOOSE(CONTROL!$C$42, 7.9271, 7.9271) * CHOOSE(CONTROL!$C$21, $C$9, 100%, $E$9)</f>
        <v>7.9271000000000003</v>
      </c>
      <c r="D199" s="10">
        <f>CHOOSE(CONTROL!$C$42, 8.1057, 8.1057) * CHOOSE(CONTROL!$C$21, $C$9, 100%, $E$9)</f>
        <v>8.1057000000000006</v>
      </c>
      <c r="E199" s="10">
        <f>CHOOSE(CONTROL!$C$42, 8.1368, 8.1368) * CHOOSE(CONTROL!$C$21, $C$9, 100%, $E$9)</f>
        <v>8.1367999999999991</v>
      </c>
      <c r="F199" s="10">
        <f>CHOOSE(CONTROL!$C$42, 7.9059, 7.9059)*CHOOSE(CONTROL!$C$21, $C$9, 100%, $E$9)</f>
        <v>7.9058999999999999</v>
      </c>
      <c r="G199" s="10">
        <f>CHOOSE(CONTROL!$C$42, 7.9242, 7.9242)*CHOOSE(CONTROL!$C$21, $C$9, 100%, $E$9)</f>
        <v>7.9241999999999999</v>
      </c>
      <c r="H199" s="10">
        <f>CHOOSE(CONTROL!$C$42, 8.1254, 8.1254) * CHOOSE(CONTROL!$C$21, $C$9, 100%, $E$9)</f>
        <v>8.1254000000000008</v>
      </c>
      <c r="I199" s="10">
        <f>CHOOSE(CONTROL!$C$42, 7.8961, 7.8961)* CHOOSE(CONTROL!$C$21, $C$9, 100%, $E$9)</f>
        <v>7.8960999999999997</v>
      </c>
      <c r="J199" s="10">
        <f>CHOOSE(CONTROL!$C$42, 7.8989, 7.8989)* CHOOSE(CONTROL!$C$21, $C$9, 100%, $E$9)</f>
        <v>7.8989000000000003</v>
      </c>
      <c r="K199" s="54">
        <f>CHOOSE(CONTROL!$C$42, 7.8922, 7.8922) * CHOOSE(CONTROL!$C$21, $C$9, 100%, $E$9)</f>
        <v>7.8921999999999999</v>
      </c>
      <c r="L199" s="10">
        <f>CHOOSE(CONTROL!$C$42, 8.7124, 8.7124) * CHOOSE(CONTROL!$C$21, $C$9, 100%, $E$9)</f>
        <v>8.7124000000000006</v>
      </c>
      <c r="M199" s="10">
        <f>CHOOSE(CONTROL!$C$42, 7.833, 7.833) * CHOOSE(CONTROL!$C$21, $C$9, 100%, $E$9)</f>
        <v>7.8330000000000002</v>
      </c>
      <c r="N199" s="10">
        <f>CHOOSE(CONTROL!$C$42, 7.8512, 7.8512) * CHOOSE(CONTROL!$C$21, $C$9, 100%, $E$9)</f>
        <v>7.8512000000000004</v>
      </c>
      <c r="O199" s="10">
        <f>CHOOSE(CONTROL!$C$42, 8.0573, 8.0573) * CHOOSE(CONTROL!$C$21, $C$9, 100%, $E$9)</f>
        <v>8.0572999999999997</v>
      </c>
      <c r="P199" s="10">
        <f>CHOOSE(CONTROL!$C$42, 7.8303, 7.8303) * CHOOSE(CONTROL!$C$21, $C$9, 100%, $E$9)</f>
        <v>7.8303000000000003</v>
      </c>
      <c r="Q199" s="10">
        <f>CHOOSE(CONTROL!$C$42, 8.6526, 8.6526) * CHOOSE(CONTROL!$C$21, $C$9, 100%, $E$9)</f>
        <v>8.6525999999999996</v>
      </c>
      <c r="R199" s="10">
        <f>CHOOSE(CONTROL!$C$42, 9.2612, 9.2612) * CHOOSE(CONTROL!$C$21, $C$9, 100%, $E$9)</f>
        <v>9.2612000000000005</v>
      </c>
      <c r="S199" s="10">
        <f>CHOOSE(CONTROL!$C$42, 7.6861, 7.6861) * CHOOSE(CONTROL!$C$21, $C$9, 100%, $E$9)</f>
        <v>7.6860999999999997</v>
      </c>
      <c r="T199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99" s="58">
        <f>(1000*CHOOSE(CONTROL!$C$42, 695, 695)*CHOOSE(CONTROL!$C$42, 0.5599, 0.5599)*CHOOSE(CONTROL!$C$42, 31, 31))/1000000</f>
        <v>12.063045499999998</v>
      </c>
      <c r="V199" s="58">
        <f>(1000*CHOOSE(CONTROL!$C$42, 500, 500)*CHOOSE(CONTROL!$C$42, 0.275, 0.275)*CHOOSE(CONTROL!$C$42, 31, 31))/1000000</f>
        <v>4.2625000000000002</v>
      </c>
      <c r="W199" s="58">
        <f>(1000*CHOOSE(CONTROL!$C$42, 0.1146, 0.1146)*CHOOSE(CONTROL!$C$42, 121.5, 121.5)*CHOOSE(CONTROL!$C$42, 31, 31))/1000000</f>
        <v>0.43164089999999994</v>
      </c>
      <c r="X199" s="58">
        <f>(31*0.1790888*245000/1000000)+(31*0.2374*100000/1000000)</f>
        <v>2.0961194359999999</v>
      </c>
      <c r="Y199" s="58"/>
      <c r="Z199" s="10"/>
      <c r="AA199" s="57"/>
      <c r="AB199" s="51">
        <f>(B199*194.205+C199*267.466+D199*133.845+E199*53.484+F199*40+G199*185+H199*0+I199*100+J199*300)/(194.205+267.466+133.845+53.484+0+40+185+100+300)</f>
        <v>7.9433021917582414</v>
      </c>
      <c r="AC199" s="27">
        <f>(M199*'RAP TEMPLATE-GAS AVAILABILITY'!O198+N199*'RAP TEMPLATE-GAS AVAILABILITY'!P198+O199*'RAP TEMPLATE-GAS AVAILABILITY'!Q198+P199*'RAP TEMPLATE-GAS AVAILABILITY'!R198)/('RAP TEMPLATE-GAS AVAILABILITY'!O198+'RAP TEMPLATE-GAS AVAILABILITY'!P198+'RAP TEMPLATE-GAS AVAILABILITY'!Q198+'RAP TEMPLATE-GAS AVAILABILITY'!R198)</f>
        <v>7.8997345323740999</v>
      </c>
    </row>
    <row r="200" spans="1:29" ht="15.75" x14ac:dyDescent="0.25">
      <c r="A200" s="16">
        <v>47331</v>
      </c>
      <c r="B200" s="10">
        <f>CHOOSE(CONTROL!$C$42, 7.5283, 7.5283) * CHOOSE(CONTROL!$C$21, $C$9, 100%, $E$9)</f>
        <v>7.5282999999999998</v>
      </c>
      <c r="C200" s="10">
        <f>CHOOSE(CONTROL!$C$42, 7.5362, 7.5362) * CHOOSE(CONTROL!$C$21, $C$9, 100%, $E$9)</f>
        <v>7.5362</v>
      </c>
      <c r="D200" s="10">
        <f>CHOOSE(CONTROL!$C$42, 7.7148, 7.7148) * CHOOSE(CONTROL!$C$21, $C$9, 100%, $E$9)</f>
        <v>7.7148000000000003</v>
      </c>
      <c r="E200" s="10">
        <f>CHOOSE(CONTROL!$C$42, 7.7459, 7.7459) * CHOOSE(CONTROL!$C$21, $C$9, 100%, $E$9)</f>
        <v>7.7458999999999998</v>
      </c>
      <c r="F200" s="10">
        <f>CHOOSE(CONTROL!$C$42, 7.515, 7.515)*CHOOSE(CONTROL!$C$21, $C$9, 100%, $E$9)</f>
        <v>7.5149999999999997</v>
      </c>
      <c r="G200" s="10">
        <f>CHOOSE(CONTROL!$C$42, 7.5333, 7.5333)*CHOOSE(CONTROL!$C$21, $C$9, 100%, $E$9)</f>
        <v>7.5332999999999997</v>
      </c>
      <c r="H200" s="10">
        <f>CHOOSE(CONTROL!$C$42, 7.7345, 7.7345) * CHOOSE(CONTROL!$C$21, $C$9, 100%, $E$9)</f>
        <v>7.7344999999999997</v>
      </c>
      <c r="I200" s="10">
        <f>CHOOSE(CONTROL!$C$42, 7.5052, 7.5052)* CHOOSE(CONTROL!$C$21, $C$9, 100%, $E$9)</f>
        <v>7.5052000000000003</v>
      </c>
      <c r="J200" s="10">
        <f>CHOOSE(CONTROL!$C$42, 7.508, 7.508)* CHOOSE(CONTROL!$C$21, $C$9, 100%, $E$9)</f>
        <v>7.508</v>
      </c>
      <c r="K200" s="54">
        <f>CHOOSE(CONTROL!$C$42, 7.5013, 7.5013) * CHOOSE(CONTROL!$C$21, $C$9, 100%, $E$9)</f>
        <v>7.5012999999999996</v>
      </c>
      <c r="L200" s="10">
        <f>CHOOSE(CONTROL!$C$42, 8.3215, 8.3215) * CHOOSE(CONTROL!$C$21, $C$9, 100%, $E$9)</f>
        <v>8.3215000000000003</v>
      </c>
      <c r="M200" s="10">
        <f>CHOOSE(CONTROL!$C$42, 7.446, 7.446) * CHOOSE(CONTROL!$C$21, $C$9, 100%, $E$9)</f>
        <v>7.4459999999999997</v>
      </c>
      <c r="N200" s="10">
        <f>CHOOSE(CONTROL!$C$42, 7.4641, 7.4641) * CHOOSE(CONTROL!$C$21, $C$9, 100%, $E$9)</f>
        <v>7.4641000000000002</v>
      </c>
      <c r="O200" s="10">
        <f>CHOOSE(CONTROL!$C$42, 7.6703, 7.6703) * CHOOSE(CONTROL!$C$21, $C$9, 100%, $E$9)</f>
        <v>7.6703000000000001</v>
      </c>
      <c r="P200" s="10">
        <f>CHOOSE(CONTROL!$C$42, 7.4433, 7.4433) * CHOOSE(CONTROL!$C$21, $C$9, 100%, $E$9)</f>
        <v>7.4432999999999998</v>
      </c>
      <c r="Q200" s="10">
        <f>CHOOSE(CONTROL!$C$42, 8.2656, 8.2656) * CHOOSE(CONTROL!$C$21, $C$9, 100%, $E$9)</f>
        <v>8.2655999999999992</v>
      </c>
      <c r="R200" s="10">
        <f>CHOOSE(CONTROL!$C$42, 8.8733, 8.8733) * CHOOSE(CONTROL!$C$21, $C$9, 100%, $E$9)</f>
        <v>8.8733000000000004</v>
      </c>
      <c r="S200" s="10">
        <f>CHOOSE(CONTROL!$C$42, 7.3065, 7.3065) * CHOOSE(CONTROL!$C$21, $C$9, 100%, $E$9)</f>
        <v>7.3064999999999998</v>
      </c>
      <c r="T200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00" s="58">
        <f>(1000*CHOOSE(CONTROL!$C$42, 695, 695)*CHOOSE(CONTROL!$C$42, 0.5599, 0.5599)*CHOOSE(CONTROL!$C$42, 31, 31))/1000000</f>
        <v>12.063045499999998</v>
      </c>
      <c r="V200" s="58">
        <f>(1000*CHOOSE(CONTROL!$C$42, 500, 500)*CHOOSE(CONTROL!$C$42, 0.275, 0.275)*CHOOSE(CONTROL!$C$42, 31, 31))/1000000</f>
        <v>4.2625000000000002</v>
      </c>
      <c r="W200" s="58">
        <f>(1000*CHOOSE(CONTROL!$C$42, 0.1146, 0.1146)*CHOOSE(CONTROL!$C$42, 121.5, 121.5)*CHOOSE(CONTROL!$C$42, 31, 31))/1000000</f>
        <v>0.43164089999999994</v>
      </c>
      <c r="X200" s="58">
        <f>(31*0.1790888*245000/1000000)+(31*0.2374*100000/1000000)</f>
        <v>2.0961194359999999</v>
      </c>
      <c r="Y200" s="58"/>
      <c r="Z200" s="10"/>
      <c r="AA200" s="57"/>
      <c r="AB200" s="51">
        <f>(B200*194.205+C200*267.466+D200*133.845+E200*53.484+F200*40+G200*185+H200*0+I200*100+J200*300)/(194.205+267.466+133.845+53.484+0+40+185+100+300)</f>
        <v>7.552402191758242</v>
      </c>
      <c r="AC200" s="27">
        <f>(M200*'RAP TEMPLATE-GAS AVAILABILITY'!O199+N200*'RAP TEMPLATE-GAS AVAILABILITY'!P199+O200*'RAP TEMPLATE-GAS AVAILABILITY'!Q199+P200*'RAP TEMPLATE-GAS AVAILABILITY'!R199)/('RAP TEMPLATE-GAS AVAILABILITY'!O199+'RAP TEMPLATE-GAS AVAILABILITY'!P199+'RAP TEMPLATE-GAS AVAILABILITY'!Q199+'RAP TEMPLATE-GAS AVAILABILITY'!R199)</f>
        <v>7.5127115107913669</v>
      </c>
    </row>
    <row r="201" spans="1:29" ht="15.75" x14ac:dyDescent="0.25">
      <c r="A201" s="16">
        <v>47362</v>
      </c>
      <c r="B201" s="10">
        <f>CHOOSE(CONTROL!$C$42, 7.0507, 7.0507) * CHOOSE(CONTROL!$C$21, $C$9, 100%, $E$9)</f>
        <v>7.0507</v>
      </c>
      <c r="C201" s="10">
        <f>CHOOSE(CONTROL!$C$42, 7.0586, 7.0586) * CHOOSE(CONTROL!$C$21, $C$9, 100%, $E$9)</f>
        <v>7.0586000000000002</v>
      </c>
      <c r="D201" s="10">
        <f>CHOOSE(CONTROL!$C$42, 7.2372, 7.2372) * CHOOSE(CONTROL!$C$21, $C$9, 100%, $E$9)</f>
        <v>7.2371999999999996</v>
      </c>
      <c r="E201" s="10">
        <f>CHOOSE(CONTROL!$C$42, 7.2683, 7.2683) * CHOOSE(CONTROL!$C$21, $C$9, 100%, $E$9)</f>
        <v>7.2683</v>
      </c>
      <c r="F201" s="10">
        <f>CHOOSE(CONTROL!$C$42, 7.0371, 7.0371)*CHOOSE(CONTROL!$C$21, $C$9, 100%, $E$9)</f>
        <v>7.0370999999999997</v>
      </c>
      <c r="G201" s="10">
        <f>CHOOSE(CONTROL!$C$42, 7.0553, 7.0553)*CHOOSE(CONTROL!$C$21, $C$9, 100%, $E$9)</f>
        <v>7.0552999999999999</v>
      </c>
      <c r="H201" s="10">
        <f>CHOOSE(CONTROL!$C$42, 7.2569, 7.2569) * CHOOSE(CONTROL!$C$21, $C$9, 100%, $E$9)</f>
        <v>7.2568999999999999</v>
      </c>
      <c r="I201" s="10">
        <f>CHOOSE(CONTROL!$C$42, 7.0276, 7.0276)* CHOOSE(CONTROL!$C$21, $C$9, 100%, $E$9)</f>
        <v>7.0275999999999996</v>
      </c>
      <c r="J201" s="10">
        <f>CHOOSE(CONTROL!$C$42, 7.0301, 7.0301)* CHOOSE(CONTROL!$C$21, $C$9, 100%, $E$9)</f>
        <v>7.0301</v>
      </c>
      <c r="K201" s="54">
        <f>CHOOSE(CONTROL!$C$42, 7.0237, 7.0237) * CHOOSE(CONTROL!$C$21, $C$9, 100%, $E$9)</f>
        <v>7.0236999999999998</v>
      </c>
      <c r="L201" s="10">
        <f>CHOOSE(CONTROL!$C$42, 7.8439, 7.8439) * CHOOSE(CONTROL!$C$21, $C$9, 100%, $E$9)</f>
        <v>7.8438999999999997</v>
      </c>
      <c r="M201" s="10">
        <f>CHOOSE(CONTROL!$C$42, 6.973, 6.973) * CHOOSE(CONTROL!$C$21, $C$9, 100%, $E$9)</f>
        <v>6.9729999999999999</v>
      </c>
      <c r="N201" s="10">
        <f>CHOOSE(CONTROL!$C$42, 6.991, 6.991) * CHOOSE(CONTROL!$C$21, $C$9, 100%, $E$9)</f>
        <v>6.9909999999999997</v>
      </c>
      <c r="O201" s="10">
        <f>CHOOSE(CONTROL!$C$42, 7.1975, 7.1975) * CHOOSE(CONTROL!$C$21, $C$9, 100%, $E$9)</f>
        <v>7.1974999999999998</v>
      </c>
      <c r="P201" s="10">
        <f>CHOOSE(CONTROL!$C$42, 6.9705, 6.9705) * CHOOSE(CONTROL!$C$21, $C$9, 100%, $E$9)</f>
        <v>6.9705000000000004</v>
      </c>
      <c r="Q201" s="10">
        <f>CHOOSE(CONTROL!$C$42, 7.7928, 7.7928) * CHOOSE(CONTROL!$C$21, $C$9, 100%, $E$9)</f>
        <v>7.7927999999999997</v>
      </c>
      <c r="R201" s="10">
        <f>CHOOSE(CONTROL!$C$42, 8.3993, 8.3993) * CHOOSE(CONTROL!$C$21, $C$9, 100%, $E$9)</f>
        <v>8.3993000000000002</v>
      </c>
      <c r="S201" s="10">
        <f>CHOOSE(CONTROL!$C$42, 6.8427, 6.8427) * CHOOSE(CONTROL!$C$21, $C$9, 100%, $E$9)</f>
        <v>6.8426999999999998</v>
      </c>
      <c r="T201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01" s="58">
        <f>(1000*CHOOSE(CONTROL!$C$42, 695, 695)*CHOOSE(CONTROL!$C$42, 0.5599, 0.5599)*CHOOSE(CONTROL!$C$42, 30, 30))/1000000</f>
        <v>11.673914999999997</v>
      </c>
      <c r="V201" s="58">
        <f>(1000*CHOOSE(CONTROL!$C$42, 500, 500)*CHOOSE(CONTROL!$C$42, 0.275, 0.275)*CHOOSE(CONTROL!$C$42, 30, 30))/1000000</f>
        <v>4.125</v>
      </c>
      <c r="W201" s="58">
        <f>(1000*CHOOSE(CONTROL!$C$42, 0.1146, 0.1146)*CHOOSE(CONTROL!$C$42, 121.5, 121.5)*CHOOSE(CONTROL!$C$42, 30, 30))/1000000</f>
        <v>0.417717</v>
      </c>
      <c r="X201" s="58">
        <f>(30*0.1790888*245000/1000000)+(30*0.2374*100000/1000000)</f>
        <v>2.0285026799999999</v>
      </c>
      <c r="Y201" s="58"/>
      <c r="Z201" s="10"/>
      <c r="AA201" s="57"/>
      <c r="AB201" s="51">
        <f>(B201*194.205+C201*267.466+D201*133.845+E201*53.484+F201*40+G201*185+H201*0+I201*100+J201*300)/(194.205+267.466+133.845+53.484+0+40+185+100+300)</f>
        <v>7.0746640441915236</v>
      </c>
      <c r="AC201" s="27">
        <f>(M201*'RAP TEMPLATE-GAS AVAILABILITY'!O200+N201*'RAP TEMPLATE-GAS AVAILABILITY'!P200+O201*'RAP TEMPLATE-GAS AVAILABILITY'!Q200+P201*'RAP TEMPLATE-GAS AVAILABILITY'!R200)/('RAP TEMPLATE-GAS AVAILABILITY'!O200+'RAP TEMPLATE-GAS AVAILABILITY'!P200+'RAP TEMPLATE-GAS AVAILABILITY'!Q200+'RAP TEMPLATE-GAS AVAILABILITY'!R200)</f>
        <v>7.0397733812949639</v>
      </c>
    </row>
    <row r="202" spans="1:29" ht="15.75" x14ac:dyDescent="0.25">
      <c r="A202" s="16">
        <v>47392</v>
      </c>
      <c r="B202" s="10">
        <f>CHOOSE(CONTROL!$C$42, 6.9055, 6.9055) * CHOOSE(CONTROL!$C$21, $C$9, 100%, $E$9)</f>
        <v>6.9055</v>
      </c>
      <c r="C202" s="10">
        <f>CHOOSE(CONTROL!$C$42, 6.9107, 6.9107) * CHOOSE(CONTROL!$C$21, $C$9, 100%, $E$9)</f>
        <v>6.9107000000000003</v>
      </c>
      <c r="D202" s="10">
        <f>CHOOSE(CONTROL!$C$42, 7.0942, 7.0942) * CHOOSE(CONTROL!$C$21, $C$9, 100%, $E$9)</f>
        <v>7.0941999999999998</v>
      </c>
      <c r="E202" s="10">
        <f>CHOOSE(CONTROL!$C$42, 7.123, 7.123) * CHOOSE(CONTROL!$C$21, $C$9, 100%, $E$9)</f>
        <v>7.1230000000000002</v>
      </c>
      <c r="F202" s="10">
        <f>CHOOSE(CONTROL!$C$42, 6.8938, 6.8938)*CHOOSE(CONTROL!$C$21, $C$9, 100%, $E$9)</f>
        <v>6.8937999999999997</v>
      </c>
      <c r="G202" s="10">
        <f>CHOOSE(CONTROL!$C$42, 6.9117, 6.9117)*CHOOSE(CONTROL!$C$21, $C$9, 100%, $E$9)</f>
        <v>6.9116999999999997</v>
      </c>
      <c r="H202" s="10">
        <f>CHOOSE(CONTROL!$C$42, 7.1135, 7.1135) * CHOOSE(CONTROL!$C$21, $C$9, 100%, $E$9)</f>
        <v>7.1135000000000002</v>
      </c>
      <c r="I202" s="10">
        <f>CHOOSE(CONTROL!$C$42, 6.8841, 6.8841)* CHOOSE(CONTROL!$C$21, $C$9, 100%, $E$9)</f>
        <v>6.8841000000000001</v>
      </c>
      <c r="J202" s="10">
        <f>CHOOSE(CONTROL!$C$42, 6.8868, 6.8868)* CHOOSE(CONTROL!$C$21, $C$9, 100%, $E$9)</f>
        <v>6.8868</v>
      </c>
      <c r="K202" s="54">
        <f>CHOOSE(CONTROL!$C$42, 6.8803, 6.8803) * CHOOSE(CONTROL!$C$21, $C$9, 100%, $E$9)</f>
        <v>6.8803000000000001</v>
      </c>
      <c r="L202" s="10">
        <f>CHOOSE(CONTROL!$C$42, 7.7005, 7.7005) * CHOOSE(CONTROL!$C$21, $C$9, 100%, $E$9)</f>
        <v>7.7004999999999999</v>
      </c>
      <c r="M202" s="10">
        <f>CHOOSE(CONTROL!$C$42, 6.8312, 6.8312) * CHOOSE(CONTROL!$C$21, $C$9, 100%, $E$9)</f>
        <v>6.8311999999999999</v>
      </c>
      <c r="N202" s="10">
        <f>CHOOSE(CONTROL!$C$42, 6.8489, 6.8489) * CHOOSE(CONTROL!$C$21, $C$9, 100%, $E$9)</f>
        <v>6.8489000000000004</v>
      </c>
      <c r="O202" s="10">
        <f>CHOOSE(CONTROL!$C$42, 7.0555, 7.0555) * CHOOSE(CONTROL!$C$21, $C$9, 100%, $E$9)</f>
        <v>7.0555000000000003</v>
      </c>
      <c r="P202" s="10">
        <f>CHOOSE(CONTROL!$C$42, 6.8285, 6.8285) * CHOOSE(CONTROL!$C$21, $C$9, 100%, $E$9)</f>
        <v>6.8285</v>
      </c>
      <c r="Q202" s="10">
        <f>CHOOSE(CONTROL!$C$42, 7.6508, 7.6508) * CHOOSE(CONTROL!$C$21, $C$9, 100%, $E$9)</f>
        <v>7.6508000000000003</v>
      </c>
      <c r="R202" s="10">
        <f>CHOOSE(CONTROL!$C$42, 8.257, 8.257) * CHOOSE(CONTROL!$C$21, $C$9, 100%, $E$9)</f>
        <v>8.2569999999999997</v>
      </c>
      <c r="S202" s="10">
        <f>CHOOSE(CONTROL!$C$42, 6.7034, 6.7034) * CHOOSE(CONTROL!$C$21, $C$9, 100%, $E$9)</f>
        <v>6.7034000000000002</v>
      </c>
      <c r="T202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02" s="58">
        <f>(1000*CHOOSE(CONTROL!$C$42, 695, 695)*CHOOSE(CONTROL!$C$42, 0.5599, 0.5599)*CHOOSE(CONTROL!$C$42, 31, 31))/1000000</f>
        <v>12.063045499999998</v>
      </c>
      <c r="V202" s="58">
        <f>(1000*CHOOSE(CONTROL!$C$42, 500, 500)*CHOOSE(CONTROL!$C$42, 0.275, 0.275)*CHOOSE(CONTROL!$C$42, 31, 31))/1000000</f>
        <v>4.2625000000000002</v>
      </c>
      <c r="W202" s="58">
        <f>(1000*CHOOSE(CONTROL!$C$42, 0.1146, 0.1146)*CHOOSE(CONTROL!$C$42, 121.5, 121.5)*CHOOSE(CONTROL!$C$42, 31, 31))/1000000</f>
        <v>0.43164089999999994</v>
      </c>
      <c r="X202" s="58">
        <f>(31*0.1790888*245000/1000000)+(31*0.2374*100000/1000000)</f>
        <v>2.0961194359999999</v>
      </c>
      <c r="Y202" s="58"/>
      <c r="Z202" s="10"/>
      <c r="AA202" s="57"/>
      <c r="AB202" s="51">
        <f>(B202*131.881+C202*277.167+D202*79.08+E202*125.872+F202*40+G202*185+H202*0+I202*100+J202*300)/(131.881+277.167+79.08+125.872+0+40+185+100+300)</f>
        <v>6.9350963070217926</v>
      </c>
      <c r="AC202" s="27">
        <f>(M202*'RAP TEMPLATE-GAS AVAILABILITY'!O201+N202*'RAP TEMPLATE-GAS AVAILABILITY'!P201+O202*'RAP TEMPLATE-GAS AVAILABILITY'!Q201+P202*'RAP TEMPLATE-GAS AVAILABILITY'!R201)/('RAP TEMPLATE-GAS AVAILABILITY'!O201+'RAP TEMPLATE-GAS AVAILABILITY'!P201+'RAP TEMPLATE-GAS AVAILABILITY'!Q201+'RAP TEMPLATE-GAS AVAILABILITY'!R201)</f>
        <v>6.8978194244604323</v>
      </c>
    </row>
    <row r="203" spans="1:29" ht="15.75" x14ac:dyDescent="0.25">
      <c r="A203" s="16">
        <v>47423</v>
      </c>
      <c r="B203" s="10">
        <f>CHOOSE(CONTROL!$C$42, 7.0869, 7.0869) * CHOOSE(CONTROL!$C$21, $C$9, 100%, $E$9)</f>
        <v>7.0869</v>
      </c>
      <c r="C203" s="10">
        <f>CHOOSE(CONTROL!$C$42, 7.0919, 7.0919) * CHOOSE(CONTROL!$C$21, $C$9, 100%, $E$9)</f>
        <v>7.0918999999999999</v>
      </c>
      <c r="D203" s="10">
        <f>CHOOSE(CONTROL!$C$42, 7.1215, 7.1215) * CHOOSE(CONTROL!$C$21, $C$9, 100%, $E$9)</f>
        <v>7.1215000000000002</v>
      </c>
      <c r="E203" s="10">
        <f>CHOOSE(CONTROL!$C$42, 7.1553, 7.1553) * CHOOSE(CONTROL!$C$21, $C$9, 100%, $E$9)</f>
        <v>7.1553000000000004</v>
      </c>
      <c r="F203" s="10">
        <f>CHOOSE(CONTROL!$C$42, 7.0727, 7.0727)*CHOOSE(CONTROL!$C$21, $C$9, 100%, $E$9)</f>
        <v>7.0727000000000002</v>
      </c>
      <c r="G203" s="10">
        <f>CHOOSE(CONTROL!$C$42, 7.0907, 7.0907)*CHOOSE(CONTROL!$C$21, $C$9, 100%, $E$9)</f>
        <v>7.0907</v>
      </c>
      <c r="H203" s="10">
        <f>CHOOSE(CONTROL!$C$42, 7.1445, 7.1445) * CHOOSE(CONTROL!$C$21, $C$9, 100%, $E$9)</f>
        <v>7.1444999999999999</v>
      </c>
      <c r="I203" s="10">
        <f>CHOOSE(CONTROL!$C$42, 7.0531, 7.0531)* CHOOSE(CONTROL!$C$21, $C$9, 100%, $E$9)</f>
        <v>7.0530999999999997</v>
      </c>
      <c r="J203" s="10">
        <f>CHOOSE(CONTROL!$C$42, 7.0657, 7.0657)* CHOOSE(CONTROL!$C$21, $C$9, 100%, $E$9)</f>
        <v>7.0656999999999996</v>
      </c>
      <c r="K203" s="54">
        <f>CHOOSE(CONTROL!$C$42, 7.0492, 7.0492) * CHOOSE(CONTROL!$C$21, $C$9, 100%, $E$9)</f>
        <v>7.0491999999999999</v>
      </c>
      <c r="L203" s="10">
        <f>CHOOSE(CONTROL!$C$42, 7.7315, 7.7315) * CHOOSE(CONTROL!$C$21, $C$9, 100%, $E$9)</f>
        <v>7.7314999999999996</v>
      </c>
      <c r="M203" s="10">
        <f>CHOOSE(CONTROL!$C$42, 7.0082, 7.0082) * CHOOSE(CONTROL!$C$21, $C$9, 100%, $E$9)</f>
        <v>7.0082000000000004</v>
      </c>
      <c r="N203" s="10">
        <f>CHOOSE(CONTROL!$C$42, 7.0261, 7.0261) * CHOOSE(CONTROL!$C$21, $C$9, 100%, $E$9)</f>
        <v>7.0260999999999996</v>
      </c>
      <c r="O203" s="10">
        <f>CHOOSE(CONTROL!$C$42, 7.0862, 7.0862) * CHOOSE(CONTROL!$C$21, $C$9, 100%, $E$9)</f>
        <v>7.0861999999999998</v>
      </c>
      <c r="P203" s="10">
        <f>CHOOSE(CONTROL!$C$42, 6.9958, 6.9958) * CHOOSE(CONTROL!$C$21, $C$9, 100%, $E$9)</f>
        <v>6.9958</v>
      </c>
      <c r="Q203" s="10">
        <f>CHOOSE(CONTROL!$C$42, 7.6815, 7.6815) * CHOOSE(CONTROL!$C$21, $C$9, 100%, $E$9)</f>
        <v>7.6814999999999998</v>
      </c>
      <c r="R203" s="10">
        <f>CHOOSE(CONTROL!$C$42, 8.2877, 8.2877) * CHOOSE(CONTROL!$C$21, $C$9, 100%, $E$9)</f>
        <v>8.2876999999999992</v>
      </c>
      <c r="S203" s="10">
        <f>CHOOSE(CONTROL!$C$42, 6.88, 6.88) * CHOOSE(CONTROL!$C$21, $C$9, 100%, $E$9)</f>
        <v>6.88</v>
      </c>
      <c r="T203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03" s="58">
        <f>(1000*CHOOSE(CONTROL!$C$42, 695, 695)*CHOOSE(CONTROL!$C$42, 0.5599, 0.5599)*CHOOSE(CONTROL!$C$42, 30, 30))/1000000</f>
        <v>11.673914999999997</v>
      </c>
      <c r="V203" s="58">
        <f>(1000*CHOOSE(CONTROL!$C$42, 500, 500)*CHOOSE(CONTROL!$C$42, 0.275, 0.275)*CHOOSE(CONTROL!$C$42, 30, 30))/1000000</f>
        <v>4.125</v>
      </c>
      <c r="W203" s="58">
        <f>(1000*CHOOSE(CONTROL!$C$42, 0.1146, 0.1146)*CHOOSE(CONTROL!$C$42, 121.5, 121.5)*CHOOSE(CONTROL!$C$42, 30, 30))/1000000</f>
        <v>0.417717</v>
      </c>
      <c r="X203" s="58">
        <f>(30*0.1790888*100000/1000000)+(30*0.2374*100000/1000000)</f>
        <v>1.2494664</v>
      </c>
      <c r="Y203" s="58"/>
      <c r="Z203" s="10"/>
      <c r="AA203" s="57"/>
      <c r="AB203" s="51">
        <f>(B203*122.58+C203*297.941+D203*89.177+E203*40.302+F203*40+G203*160+H203*0+I203*100+J203*300)/(122.58+297.941+89.177+40.302+0+40+160+100+300)</f>
        <v>7.0848407704347824</v>
      </c>
      <c r="AC203" s="27">
        <f>(M203*'RAP TEMPLATE-GAS AVAILABILITY'!O202+N203*'RAP TEMPLATE-GAS AVAILABILITY'!P202+O203*'RAP TEMPLATE-GAS AVAILABILITY'!Q202+P203*'RAP TEMPLATE-GAS AVAILABILITY'!R202)/('RAP TEMPLATE-GAS AVAILABILITY'!O202+'RAP TEMPLATE-GAS AVAILABILITY'!P202+'RAP TEMPLATE-GAS AVAILABILITY'!Q202+'RAP TEMPLATE-GAS AVAILABILITY'!R202)</f>
        <v>7.0427985611510788</v>
      </c>
    </row>
    <row r="204" spans="1:29" ht="15.75" x14ac:dyDescent="0.25">
      <c r="A204" s="16">
        <v>47453</v>
      </c>
      <c r="B204" s="10">
        <f>CHOOSE(CONTROL!$C$42, 7.5699, 7.5699) * CHOOSE(CONTROL!$C$21, $C$9, 100%, $E$9)</f>
        <v>7.5698999999999996</v>
      </c>
      <c r="C204" s="10">
        <f>CHOOSE(CONTROL!$C$42, 7.5749, 7.5749) * CHOOSE(CONTROL!$C$21, $C$9, 100%, $E$9)</f>
        <v>7.5749000000000004</v>
      </c>
      <c r="D204" s="10">
        <f>CHOOSE(CONTROL!$C$42, 7.6045, 7.6045) * CHOOSE(CONTROL!$C$21, $C$9, 100%, $E$9)</f>
        <v>7.6044999999999998</v>
      </c>
      <c r="E204" s="10">
        <f>CHOOSE(CONTROL!$C$42, 7.6383, 7.6383) * CHOOSE(CONTROL!$C$21, $C$9, 100%, $E$9)</f>
        <v>7.6383000000000001</v>
      </c>
      <c r="F204" s="10">
        <f>CHOOSE(CONTROL!$C$42, 7.5572, 7.5572)*CHOOSE(CONTROL!$C$21, $C$9, 100%, $E$9)</f>
        <v>7.5571999999999999</v>
      </c>
      <c r="G204" s="10">
        <f>CHOOSE(CONTROL!$C$42, 7.5757, 7.5757)*CHOOSE(CONTROL!$C$21, $C$9, 100%, $E$9)</f>
        <v>7.5757000000000003</v>
      </c>
      <c r="H204" s="10">
        <f>CHOOSE(CONTROL!$C$42, 7.6274, 7.6274) * CHOOSE(CONTROL!$C$21, $C$9, 100%, $E$9)</f>
        <v>7.6273999999999997</v>
      </c>
      <c r="I204" s="10">
        <f>CHOOSE(CONTROL!$C$42, 7.5361, 7.5361)* CHOOSE(CONTROL!$C$21, $C$9, 100%, $E$9)</f>
        <v>7.5361000000000002</v>
      </c>
      <c r="J204" s="10">
        <f>CHOOSE(CONTROL!$C$42, 7.5502, 7.5502)* CHOOSE(CONTROL!$C$21, $C$9, 100%, $E$9)</f>
        <v>7.5502000000000002</v>
      </c>
      <c r="K204" s="54">
        <f>CHOOSE(CONTROL!$C$42, 7.5322, 7.5322) * CHOOSE(CONTROL!$C$21, $C$9, 100%, $E$9)</f>
        <v>7.5321999999999996</v>
      </c>
      <c r="L204" s="10">
        <f>CHOOSE(CONTROL!$C$42, 8.2144, 8.2144) * CHOOSE(CONTROL!$C$21, $C$9, 100%, $E$9)</f>
        <v>8.2143999999999995</v>
      </c>
      <c r="M204" s="10">
        <f>CHOOSE(CONTROL!$C$42, 7.4878, 7.4878) * CHOOSE(CONTROL!$C$21, $C$9, 100%, $E$9)</f>
        <v>7.4878</v>
      </c>
      <c r="N204" s="10">
        <f>CHOOSE(CONTROL!$C$42, 7.5061, 7.5061) * CHOOSE(CONTROL!$C$21, $C$9, 100%, $E$9)</f>
        <v>7.5061</v>
      </c>
      <c r="O204" s="10">
        <f>CHOOSE(CONTROL!$C$42, 7.5643, 7.5643) * CHOOSE(CONTROL!$C$21, $C$9, 100%, $E$9)</f>
        <v>7.5643000000000002</v>
      </c>
      <c r="P204" s="10">
        <f>CHOOSE(CONTROL!$C$42, 7.4739, 7.4739) * CHOOSE(CONTROL!$C$21, $C$9, 100%, $E$9)</f>
        <v>7.4739000000000004</v>
      </c>
      <c r="Q204" s="10">
        <f>CHOOSE(CONTROL!$C$42, 8.1596, 8.1596) * CHOOSE(CONTROL!$C$21, $C$9, 100%, $E$9)</f>
        <v>8.1595999999999993</v>
      </c>
      <c r="R204" s="10">
        <f>CHOOSE(CONTROL!$C$42, 8.767, 8.767) * CHOOSE(CONTROL!$C$21, $C$9, 100%, $E$9)</f>
        <v>8.7669999999999995</v>
      </c>
      <c r="S204" s="10">
        <f>CHOOSE(CONTROL!$C$42, 7.349, 7.349) * CHOOSE(CONTROL!$C$21, $C$9, 100%, $E$9)</f>
        <v>7.3490000000000002</v>
      </c>
      <c r="T204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204" s="58">
        <f>(1000*CHOOSE(CONTROL!$C$42, 695, 695)*CHOOSE(CONTROL!$C$42, 0.5599, 0.5599)*CHOOSE(CONTROL!$C$42, 31, 31))/1000000</f>
        <v>12.063045499999998</v>
      </c>
      <c r="V204" s="58">
        <f>(1000*CHOOSE(CONTROL!$C$42, 500, 500)*CHOOSE(CONTROL!$C$42, 0.275, 0.275)*CHOOSE(CONTROL!$C$42, 31, 31))/1000000</f>
        <v>4.2625000000000002</v>
      </c>
      <c r="W204" s="58">
        <f>(1000*CHOOSE(CONTROL!$C$42, 0.1146, 0.1146)*CHOOSE(CONTROL!$C$42, 121.5, 121.5)*CHOOSE(CONTROL!$C$42, 31, 31))/1000000</f>
        <v>0.43164089999999994</v>
      </c>
      <c r="X204" s="58">
        <f>(31*0.1790888*100000/1000000)+(31*0.2374*100000/1000000)</f>
        <v>1.2911152800000001</v>
      </c>
      <c r="Y204" s="58"/>
      <c r="Z204" s="10"/>
      <c r="AA204" s="57"/>
      <c r="AB204" s="51">
        <f>(B204*122.58+C204*297.941+D204*89.177+E204*40.302+F204*40+G204*160+H204*0+I204*100+J204*300)/(122.58+297.941+89.177+40.302+0+40+160+100+300)</f>
        <v>7.5685625095652167</v>
      </c>
      <c r="AC204" s="27">
        <f>(M204*'RAP TEMPLATE-GAS AVAILABILITY'!O203+N204*'RAP TEMPLATE-GAS AVAILABILITY'!P203+O204*'RAP TEMPLATE-GAS AVAILABILITY'!Q203+P204*'RAP TEMPLATE-GAS AVAILABILITY'!R203)/('RAP TEMPLATE-GAS AVAILABILITY'!O203+'RAP TEMPLATE-GAS AVAILABILITY'!P203+'RAP TEMPLATE-GAS AVAILABILITY'!Q203+'RAP TEMPLATE-GAS AVAILABILITY'!R203)</f>
        <v>7.5215258992805758</v>
      </c>
    </row>
    <row r="205" spans="1:29" ht="15.75" x14ac:dyDescent="0.25">
      <c r="A205" s="16">
        <v>47484</v>
      </c>
      <c r="B205" s="10">
        <f>CHOOSE(CONTROL!$C$42, 8.2109, 8.2109) * CHOOSE(CONTROL!$C$21, $C$9, 100%, $E$9)</f>
        <v>8.2109000000000005</v>
      </c>
      <c r="C205" s="10">
        <f>CHOOSE(CONTROL!$C$42, 8.2158, 8.2158) * CHOOSE(CONTROL!$C$21, $C$9, 100%, $E$9)</f>
        <v>8.2157999999999998</v>
      </c>
      <c r="D205" s="10">
        <f>CHOOSE(CONTROL!$C$42, 8.2661, 8.2661) * CHOOSE(CONTROL!$C$21, $C$9, 100%, $E$9)</f>
        <v>8.2660999999999998</v>
      </c>
      <c r="E205" s="10">
        <f>CHOOSE(CONTROL!$C$42, 8.2998, 8.2998) * CHOOSE(CONTROL!$C$21, $C$9, 100%, $E$9)</f>
        <v>8.2997999999999994</v>
      </c>
      <c r="F205" s="10">
        <f>CHOOSE(CONTROL!$C$42, 8.1763, 8.1763)*CHOOSE(CONTROL!$C$21, $C$9, 100%, $E$9)</f>
        <v>8.1762999999999995</v>
      </c>
      <c r="G205" s="10">
        <f>CHOOSE(CONTROL!$C$42, 8.1938, 8.1938)*CHOOSE(CONTROL!$C$21, $C$9, 100%, $E$9)</f>
        <v>8.1937999999999995</v>
      </c>
      <c r="H205" s="10">
        <f>CHOOSE(CONTROL!$C$42, 8.289, 8.289) * CHOOSE(CONTROL!$C$21, $C$9, 100%, $E$9)</f>
        <v>8.2889999999999997</v>
      </c>
      <c r="I205" s="10">
        <f>CHOOSE(CONTROL!$C$42, 8.1848, 8.1848)* CHOOSE(CONTROL!$C$21, $C$9, 100%, $E$9)</f>
        <v>8.1847999999999992</v>
      </c>
      <c r="J205" s="10">
        <f>CHOOSE(CONTROL!$C$42, 8.1693, 8.1693)* CHOOSE(CONTROL!$C$21, $C$9, 100%, $E$9)</f>
        <v>8.1692999999999998</v>
      </c>
      <c r="K205" s="54">
        <f>CHOOSE(CONTROL!$C$42, 8.1809, 8.1809) * CHOOSE(CONTROL!$C$21, $C$9, 100%, $E$9)</f>
        <v>8.1808999999999994</v>
      </c>
      <c r="L205" s="10">
        <f>CHOOSE(CONTROL!$C$42, 8.876, 8.876) * CHOOSE(CONTROL!$C$21, $C$9, 100%, $E$9)</f>
        <v>8.8759999999999994</v>
      </c>
      <c r="M205" s="10">
        <f>CHOOSE(CONTROL!$C$42, 8.1006, 8.1006) * CHOOSE(CONTROL!$C$21, $C$9, 100%, $E$9)</f>
        <v>8.1006</v>
      </c>
      <c r="N205" s="10">
        <f>CHOOSE(CONTROL!$C$42, 8.118, 8.118) * CHOOSE(CONTROL!$C$21, $C$9, 100%, $E$9)</f>
        <v>8.1180000000000003</v>
      </c>
      <c r="O205" s="10">
        <f>CHOOSE(CONTROL!$C$42, 8.2192, 8.2192) * CHOOSE(CONTROL!$C$21, $C$9, 100%, $E$9)</f>
        <v>8.2192000000000007</v>
      </c>
      <c r="P205" s="10">
        <f>CHOOSE(CONTROL!$C$42, 8.1161, 8.1161) * CHOOSE(CONTROL!$C$21, $C$9, 100%, $E$9)</f>
        <v>8.1160999999999994</v>
      </c>
      <c r="Q205" s="10">
        <f>CHOOSE(CONTROL!$C$42, 8.8145, 8.8145) * CHOOSE(CONTROL!$C$21, $C$9, 100%, $E$9)</f>
        <v>8.8145000000000007</v>
      </c>
      <c r="R205" s="10">
        <f>CHOOSE(CONTROL!$C$42, 9.4235, 9.4235) * CHOOSE(CONTROL!$C$21, $C$9, 100%, $E$9)</f>
        <v>9.4235000000000007</v>
      </c>
      <c r="S205" s="10">
        <f>CHOOSE(CONTROL!$C$42, 7.9715, 7.9715) * CHOOSE(CONTROL!$C$21, $C$9, 100%, $E$9)</f>
        <v>7.9714999999999998</v>
      </c>
      <c r="T205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05" s="58">
        <f>(1000*CHOOSE(CONTROL!$C$42, 695, 695)*CHOOSE(CONTROL!$C$42, 0.5599, 0.5599)*CHOOSE(CONTROL!$C$42, 31, 31))/1000000</f>
        <v>12.063045499999998</v>
      </c>
      <c r="V205" s="58">
        <f>(1000*CHOOSE(CONTROL!$C$42, 500, 500)*CHOOSE(CONTROL!$C$42, 0.275, 0.275)*CHOOSE(CONTROL!$C$42, 31, 31))/1000000</f>
        <v>4.2625000000000002</v>
      </c>
      <c r="W205" s="58">
        <f>(1000*CHOOSE(CONTROL!$C$42, 0.1146, 0.1146)*CHOOSE(CONTROL!$C$42, 121.5, 121.5)*CHOOSE(CONTROL!$C$42, 31, 31))/1000000</f>
        <v>0.43164089999999994</v>
      </c>
      <c r="X205" s="58">
        <f>(31*0.1790888*100000/1000000)+(31*0.2374*100000/1000000)</f>
        <v>1.2911152800000001</v>
      </c>
      <c r="Y205" s="58"/>
      <c r="Z205" s="10"/>
      <c r="AA205" s="57"/>
      <c r="AB205" s="51">
        <f>(B205*122.58+C205*297.941+D205*89.177+E205*40.302+F205*40+G205*160+H205*0+I205*100+J205*300)/(122.58+297.941+89.177+40.302+0+40+160+100+300)</f>
        <v>8.2028611557391304</v>
      </c>
      <c r="AC205" s="27">
        <f>(M205*'RAP TEMPLATE-GAS AVAILABILITY'!O204+N205*'RAP TEMPLATE-GAS AVAILABILITY'!P204+O205*'RAP TEMPLATE-GAS AVAILABILITY'!Q204+P205*'RAP TEMPLATE-GAS AVAILABILITY'!R204)/('RAP TEMPLATE-GAS AVAILABILITY'!O204+'RAP TEMPLATE-GAS AVAILABILITY'!P204+'RAP TEMPLATE-GAS AVAILABILITY'!Q204+'RAP TEMPLATE-GAS AVAILABILITY'!R204)</f>
        <v>8.1575856115107914</v>
      </c>
    </row>
    <row r="206" spans="1:29" ht="15.75" x14ac:dyDescent="0.25">
      <c r="A206" s="16">
        <v>47515</v>
      </c>
      <c r="B206" s="10">
        <f>CHOOSE(CONTROL!$C$42, 8.357, 8.357) * CHOOSE(CONTROL!$C$21, $C$9, 100%, $E$9)</f>
        <v>8.3569999999999993</v>
      </c>
      <c r="C206" s="10">
        <f>CHOOSE(CONTROL!$C$42, 8.362, 8.362) * CHOOSE(CONTROL!$C$21, $C$9, 100%, $E$9)</f>
        <v>8.3620000000000001</v>
      </c>
      <c r="D206" s="10">
        <f>CHOOSE(CONTROL!$C$42, 8.4791, 8.4791) * CHOOSE(CONTROL!$C$21, $C$9, 100%, $E$9)</f>
        <v>8.4791000000000007</v>
      </c>
      <c r="E206" s="10">
        <f>CHOOSE(CONTROL!$C$42, 8.5129, 8.5129) * CHOOSE(CONTROL!$C$21, $C$9, 100%, $E$9)</f>
        <v>8.5129000000000001</v>
      </c>
      <c r="F206" s="10">
        <f>CHOOSE(CONTROL!$C$42, 8.4346, 8.4346)*CHOOSE(CONTROL!$C$21, $C$9, 100%, $E$9)</f>
        <v>8.4345999999999997</v>
      </c>
      <c r="G206" s="10">
        <f>CHOOSE(CONTROL!$C$42, 8.4565, 8.4565)*CHOOSE(CONTROL!$C$21, $C$9, 100%, $E$9)</f>
        <v>8.4565000000000001</v>
      </c>
      <c r="H206" s="10">
        <f>CHOOSE(CONTROL!$C$42, 8.5021, 8.5021) * CHOOSE(CONTROL!$C$21, $C$9, 100%, $E$9)</f>
        <v>8.5021000000000004</v>
      </c>
      <c r="I206" s="10">
        <f>CHOOSE(CONTROL!$C$42, 8.3927, 8.3927)* CHOOSE(CONTROL!$C$21, $C$9, 100%, $E$9)</f>
        <v>8.3926999999999996</v>
      </c>
      <c r="J206" s="10">
        <f>CHOOSE(CONTROL!$C$42, 8.4276, 8.4276)* CHOOSE(CONTROL!$C$21, $C$9, 100%, $E$9)</f>
        <v>8.4276</v>
      </c>
      <c r="K206" s="54">
        <f>CHOOSE(CONTROL!$C$42, 8.3888, 8.3888) * CHOOSE(CONTROL!$C$21, $C$9, 100%, $E$9)</f>
        <v>8.3887999999999998</v>
      </c>
      <c r="L206" s="10">
        <f>CHOOSE(CONTROL!$C$42, 9.0891, 9.0891) * CHOOSE(CONTROL!$C$21, $C$9, 100%, $E$9)</f>
        <v>9.0891000000000002</v>
      </c>
      <c r="M206" s="10">
        <f>CHOOSE(CONTROL!$C$42, 8.3564, 8.3564) * CHOOSE(CONTROL!$C$21, $C$9, 100%, $E$9)</f>
        <v>8.3564000000000007</v>
      </c>
      <c r="N206" s="10">
        <f>CHOOSE(CONTROL!$C$42, 8.3781, 8.3781) * CHOOSE(CONTROL!$C$21, $C$9, 100%, $E$9)</f>
        <v>8.3780999999999999</v>
      </c>
      <c r="O206" s="10">
        <f>CHOOSE(CONTROL!$C$42, 8.4301, 8.4301) * CHOOSE(CONTROL!$C$21, $C$9, 100%, $E$9)</f>
        <v>8.4300999999999995</v>
      </c>
      <c r="P206" s="10">
        <f>CHOOSE(CONTROL!$C$42, 8.3219, 8.3219) * CHOOSE(CONTROL!$C$21, $C$9, 100%, $E$9)</f>
        <v>8.3218999999999994</v>
      </c>
      <c r="Q206" s="10">
        <f>CHOOSE(CONTROL!$C$42, 9.0254, 9.0254) * CHOOSE(CONTROL!$C$21, $C$9, 100%, $E$9)</f>
        <v>9.0253999999999994</v>
      </c>
      <c r="R206" s="10">
        <f>CHOOSE(CONTROL!$C$42, 9.635, 9.635) * CHOOSE(CONTROL!$C$21, $C$9, 100%, $E$9)</f>
        <v>9.6349999999999998</v>
      </c>
      <c r="S206" s="10">
        <f>CHOOSE(CONTROL!$C$42, 8.1134, 8.1134) * CHOOSE(CONTROL!$C$21, $C$9, 100%, $E$9)</f>
        <v>8.1134000000000004</v>
      </c>
      <c r="T206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206" s="58">
        <f>(1000*CHOOSE(CONTROL!$C$42, 695, 695)*CHOOSE(CONTROL!$C$42, 0.5599, 0.5599)*CHOOSE(CONTROL!$C$42, 28, 28))/1000000</f>
        <v>10.895653999999999</v>
      </c>
      <c r="V206" s="58">
        <f>(1000*CHOOSE(CONTROL!$C$42, 500, 500)*CHOOSE(CONTROL!$C$42, 0.275, 0.275)*CHOOSE(CONTROL!$C$42, 28, 28))/1000000</f>
        <v>3.85</v>
      </c>
      <c r="W206" s="58">
        <f>(1000*CHOOSE(CONTROL!$C$42, 0.1146, 0.1146)*CHOOSE(CONTROL!$C$42, 121.5, 121.5)*CHOOSE(CONTROL!$C$42, 28, 28))/1000000</f>
        <v>0.38986920000000003</v>
      </c>
      <c r="X206" s="58">
        <f>(28*0.1790888*100000/1000000)+(28*0.2374*100000/1000000)</f>
        <v>1.16616864</v>
      </c>
      <c r="Y206" s="58"/>
      <c r="Z206" s="10"/>
      <c r="AA206" s="57"/>
      <c r="AB206" s="51">
        <f>(B206*122.58+C206*297.941+D206*89.177+E206*40.302+F206*40+G206*160+H206*0+I206*100+J206*300)/(122.58+297.941+89.177+40.302+0+40+160+100+300)</f>
        <v>8.4112915639130428</v>
      </c>
      <c r="AC206" s="27">
        <f>(M206*'RAP TEMPLATE-GAS AVAILABILITY'!O205+N206*'RAP TEMPLATE-GAS AVAILABILITY'!P205+O206*'RAP TEMPLATE-GAS AVAILABILITY'!Q205+P206*'RAP TEMPLATE-GAS AVAILABILITY'!R205)/('RAP TEMPLATE-GAS AVAILABILITY'!O205+'RAP TEMPLATE-GAS AVAILABILITY'!P205+'RAP TEMPLATE-GAS AVAILABILITY'!Q205+'RAP TEMPLATE-GAS AVAILABILITY'!R205)</f>
        <v>8.3860884892086318</v>
      </c>
    </row>
    <row r="207" spans="1:29" ht="15.75" x14ac:dyDescent="0.25">
      <c r="A207" s="16">
        <v>47543</v>
      </c>
      <c r="B207" s="10">
        <f>CHOOSE(CONTROL!$C$42, 8.1198, 8.1198) * CHOOSE(CONTROL!$C$21, $C$9, 100%, $E$9)</f>
        <v>8.1197999999999997</v>
      </c>
      <c r="C207" s="10">
        <f>CHOOSE(CONTROL!$C$42, 8.1248, 8.1248) * CHOOSE(CONTROL!$C$21, $C$9, 100%, $E$9)</f>
        <v>8.1248000000000005</v>
      </c>
      <c r="D207" s="10">
        <f>CHOOSE(CONTROL!$C$42, 8.2162, 8.2162) * CHOOSE(CONTROL!$C$21, $C$9, 100%, $E$9)</f>
        <v>8.2162000000000006</v>
      </c>
      <c r="E207" s="10">
        <f>CHOOSE(CONTROL!$C$42, 8.25, 8.25) * CHOOSE(CONTROL!$C$21, $C$9, 100%, $E$9)</f>
        <v>8.25</v>
      </c>
      <c r="F207" s="10">
        <f>CHOOSE(CONTROL!$C$42, 8.1497, 8.1497)*CHOOSE(CONTROL!$C$21, $C$9, 100%, $E$9)</f>
        <v>8.1496999999999993</v>
      </c>
      <c r="G207" s="10">
        <f>CHOOSE(CONTROL!$C$42, 8.1692, 8.1692)*CHOOSE(CONTROL!$C$21, $C$9, 100%, $E$9)</f>
        <v>8.1692</v>
      </c>
      <c r="H207" s="10">
        <f>CHOOSE(CONTROL!$C$42, 8.2392, 8.2392) * CHOOSE(CONTROL!$C$21, $C$9, 100%, $E$9)</f>
        <v>8.2392000000000003</v>
      </c>
      <c r="I207" s="10">
        <f>CHOOSE(CONTROL!$C$42, 8.1426, 8.1426)* CHOOSE(CONTROL!$C$21, $C$9, 100%, $E$9)</f>
        <v>8.1425999999999998</v>
      </c>
      <c r="J207" s="10">
        <f>CHOOSE(CONTROL!$C$42, 8.1427, 8.1427)* CHOOSE(CONTROL!$C$21, $C$9, 100%, $E$9)</f>
        <v>8.1426999999999996</v>
      </c>
      <c r="K207" s="54">
        <f>CHOOSE(CONTROL!$C$42, 8.1387, 8.1387) * CHOOSE(CONTROL!$C$21, $C$9, 100%, $E$9)</f>
        <v>8.1387</v>
      </c>
      <c r="L207" s="10">
        <f>CHOOSE(CONTROL!$C$42, 8.8262, 8.8262) * CHOOSE(CONTROL!$C$21, $C$9, 100%, $E$9)</f>
        <v>8.8262</v>
      </c>
      <c r="M207" s="10">
        <f>CHOOSE(CONTROL!$C$42, 8.0743, 8.0743) * CHOOSE(CONTROL!$C$21, $C$9, 100%, $E$9)</f>
        <v>8.0742999999999991</v>
      </c>
      <c r="N207" s="10">
        <f>CHOOSE(CONTROL!$C$42, 8.0936, 8.0936) * CHOOSE(CONTROL!$C$21, $C$9, 100%, $E$9)</f>
        <v>8.0936000000000003</v>
      </c>
      <c r="O207" s="10">
        <f>CHOOSE(CONTROL!$C$42, 8.1698, 8.1698) * CHOOSE(CONTROL!$C$21, $C$9, 100%, $E$9)</f>
        <v>8.1698000000000004</v>
      </c>
      <c r="P207" s="10">
        <f>CHOOSE(CONTROL!$C$42, 8.0743, 8.0743) * CHOOSE(CONTROL!$C$21, $C$9, 100%, $E$9)</f>
        <v>8.0742999999999991</v>
      </c>
      <c r="Q207" s="10">
        <f>CHOOSE(CONTROL!$C$42, 8.7651, 8.7651) * CHOOSE(CONTROL!$C$21, $C$9, 100%, $E$9)</f>
        <v>8.7651000000000003</v>
      </c>
      <c r="R207" s="10">
        <f>CHOOSE(CONTROL!$C$42, 9.374, 9.374) * CHOOSE(CONTROL!$C$21, $C$9, 100%, $E$9)</f>
        <v>9.3740000000000006</v>
      </c>
      <c r="S207" s="10">
        <f>CHOOSE(CONTROL!$C$42, 7.883, 7.883) * CHOOSE(CONTROL!$C$21, $C$9, 100%, $E$9)</f>
        <v>7.883</v>
      </c>
      <c r="T207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07" s="58">
        <f>(1000*CHOOSE(CONTROL!$C$42, 695, 695)*CHOOSE(CONTROL!$C$42, 0.5599, 0.5599)*CHOOSE(CONTROL!$C$42, 31, 31))/1000000</f>
        <v>12.063045499999998</v>
      </c>
      <c r="V207" s="58">
        <f>(1000*CHOOSE(CONTROL!$C$42, 500, 500)*CHOOSE(CONTROL!$C$42, 0.275, 0.275)*CHOOSE(CONTROL!$C$42, 31, 31))/1000000</f>
        <v>4.2625000000000002</v>
      </c>
      <c r="W207" s="58">
        <f>(1000*CHOOSE(CONTROL!$C$42, 0.1146, 0.1146)*CHOOSE(CONTROL!$C$42, 121.5, 121.5)*CHOOSE(CONTROL!$C$42, 31, 31))/1000000</f>
        <v>0.43164089999999994</v>
      </c>
      <c r="X207" s="58">
        <f>(31*0.1790888*100000/1000000)+(31*0.2374*100000/1000000)</f>
        <v>1.2911152800000001</v>
      </c>
      <c r="Y207" s="58"/>
      <c r="Z207" s="10"/>
      <c r="AA207" s="57"/>
      <c r="AB207" s="51">
        <f>(B207*122.58+C207*297.941+D207*89.177+E207*40.302+F207*40+G207*160+H207*0+I207*100+J207*300)/(122.58+297.941+89.177+40.302+0+40+160+100+300)</f>
        <v>8.1490032071304359</v>
      </c>
      <c r="AC207" s="27">
        <f>(M207*'RAP TEMPLATE-GAS AVAILABILITY'!O206+N207*'RAP TEMPLATE-GAS AVAILABILITY'!P206+O207*'RAP TEMPLATE-GAS AVAILABILITY'!Q206+P207*'RAP TEMPLATE-GAS AVAILABILITY'!R206)/('RAP TEMPLATE-GAS AVAILABILITY'!O206+'RAP TEMPLATE-GAS AVAILABILITY'!P206+'RAP TEMPLATE-GAS AVAILABILITY'!Q206+'RAP TEMPLATE-GAS AVAILABILITY'!R206)</f>
        <v>8.1186949640287782</v>
      </c>
    </row>
    <row r="208" spans="1:29" ht="15.75" x14ac:dyDescent="0.25">
      <c r="A208" s="16">
        <v>47574</v>
      </c>
      <c r="B208" s="10">
        <f>CHOOSE(CONTROL!$C$42, 8.0963, 8.0963) * CHOOSE(CONTROL!$C$21, $C$9, 100%, $E$9)</f>
        <v>8.0962999999999994</v>
      </c>
      <c r="C208" s="10">
        <f>CHOOSE(CONTROL!$C$42, 8.1007, 8.1007) * CHOOSE(CONTROL!$C$21, $C$9, 100%, $E$9)</f>
        <v>8.1006999999999998</v>
      </c>
      <c r="D208" s="10">
        <f>CHOOSE(CONTROL!$C$42, 8.2824, 8.2824) * CHOOSE(CONTROL!$C$21, $C$9, 100%, $E$9)</f>
        <v>8.2824000000000009</v>
      </c>
      <c r="E208" s="10">
        <f>CHOOSE(CONTROL!$C$42, 8.3141, 8.3141) * CHOOSE(CONTROL!$C$21, $C$9, 100%, $E$9)</f>
        <v>8.3140999999999998</v>
      </c>
      <c r="F208" s="10">
        <f>CHOOSE(CONTROL!$C$42, 8.0846, 8.0846)*CHOOSE(CONTROL!$C$21, $C$9, 100%, $E$9)</f>
        <v>8.0846</v>
      </c>
      <c r="G208" s="10">
        <f>CHOOSE(CONTROL!$C$42, 8.1026, 8.1026)*CHOOSE(CONTROL!$C$21, $C$9, 100%, $E$9)</f>
        <v>8.1026000000000007</v>
      </c>
      <c r="H208" s="10">
        <f>CHOOSE(CONTROL!$C$42, 8.3039, 8.3039) * CHOOSE(CONTROL!$C$21, $C$9, 100%, $E$9)</f>
        <v>8.3039000000000005</v>
      </c>
      <c r="I208" s="10">
        <f>CHOOSE(CONTROL!$C$42, 8.0746, 8.0746)* CHOOSE(CONTROL!$C$21, $C$9, 100%, $E$9)</f>
        <v>8.0746000000000002</v>
      </c>
      <c r="J208" s="10">
        <f>CHOOSE(CONTROL!$C$42, 8.0776, 8.0776)* CHOOSE(CONTROL!$C$21, $C$9, 100%, $E$9)</f>
        <v>8.0776000000000003</v>
      </c>
      <c r="K208" s="54">
        <f>CHOOSE(CONTROL!$C$42, 8.0707, 8.0707) * CHOOSE(CONTROL!$C$21, $C$9, 100%, $E$9)</f>
        <v>8.0707000000000004</v>
      </c>
      <c r="L208" s="10">
        <f>CHOOSE(CONTROL!$C$42, 8.8909, 8.8909) * CHOOSE(CONTROL!$C$21, $C$9, 100%, $E$9)</f>
        <v>8.8909000000000002</v>
      </c>
      <c r="M208" s="10">
        <f>CHOOSE(CONTROL!$C$42, 8.0099, 8.0099) * CHOOSE(CONTROL!$C$21, $C$9, 100%, $E$9)</f>
        <v>8.0099</v>
      </c>
      <c r="N208" s="10">
        <f>CHOOSE(CONTROL!$C$42, 8.0277, 8.0277) * CHOOSE(CONTROL!$C$21, $C$9, 100%, $E$9)</f>
        <v>8.0276999999999994</v>
      </c>
      <c r="O208" s="10">
        <f>CHOOSE(CONTROL!$C$42, 8.2339, 8.2339) * CHOOSE(CONTROL!$C$21, $C$9, 100%, $E$9)</f>
        <v>8.2339000000000002</v>
      </c>
      <c r="P208" s="10">
        <f>CHOOSE(CONTROL!$C$42, 8.007, 8.007) * CHOOSE(CONTROL!$C$21, $C$9, 100%, $E$9)</f>
        <v>8.0069999999999997</v>
      </c>
      <c r="Q208" s="10">
        <f>CHOOSE(CONTROL!$C$42, 8.8292, 8.8292) * CHOOSE(CONTROL!$C$21, $C$9, 100%, $E$9)</f>
        <v>8.8292000000000002</v>
      </c>
      <c r="R208" s="10">
        <f>CHOOSE(CONTROL!$C$42, 9.4383, 9.4383) * CHOOSE(CONTROL!$C$21, $C$9, 100%, $E$9)</f>
        <v>9.4382999999999999</v>
      </c>
      <c r="S208" s="10">
        <f>CHOOSE(CONTROL!$C$42, 7.8594, 7.8594) * CHOOSE(CONTROL!$C$21, $C$9, 100%, $E$9)</f>
        <v>7.8593999999999999</v>
      </c>
      <c r="T208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08" s="58">
        <f>(1000*CHOOSE(CONTROL!$C$42, 695, 695)*CHOOSE(CONTROL!$C$42, 0.5599, 0.5599)*CHOOSE(CONTROL!$C$42, 30, 30))/1000000</f>
        <v>11.673914999999997</v>
      </c>
      <c r="V208" s="58">
        <f>(1000*CHOOSE(CONTROL!$C$42, 500, 500)*CHOOSE(CONTROL!$C$42, 0.275, 0.275)*CHOOSE(CONTROL!$C$42, 30, 30))/1000000</f>
        <v>4.125</v>
      </c>
      <c r="W208" s="58">
        <f>(1000*CHOOSE(CONTROL!$C$42, 0.1146, 0.1146)*CHOOSE(CONTROL!$C$42, 121.5, 121.5)*CHOOSE(CONTROL!$C$42, 30, 30))/1000000</f>
        <v>0.417717</v>
      </c>
      <c r="X208" s="58">
        <f>(30*0.1790888*245000/1000000)+(30*0.2374*100000/1000000)</f>
        <v>2.0285026799999999</v>
      </c>
      <c r="Y208" s="58"/>
      <c r="Z208" s="10"/>
      <c r="AA208" s="57"/>
      <c r="AB208" s="51">
        <f>(B208*141.293+C208*267.993+D208*115.016+E208*89.698+F208*40+G208*185+H208*0+I208*100+J208*300)/(141.293+267.993+115.016+89.698+0+40+185+100+300)</f>
        <v>8.1245787499596442</v>
      </c>
      <c r="AC208" s="27">
        <f>(M208*'RAP TEMPLATE-GAS AVAILABILITY'!O207+N208*'RAP TEMPLATE-GAS AVAILABILITY'!P207+O208*'RAP TEMPLATE-GAS AVAILABILITY'!Q207+P208*'RAP TEMPLATE-GAS AVAILABILITY'!R207)/('RAP TEMPLATE-GAS AVAILABILITY'!O207+'RAP TEMPLATE-GAS AVAILABILITY'!P207+'RAP TEMPLATE-GAS AVAILABILITY'!Q207+'RAP TEMPLATE-GAS AVAILABILITY'!R207)</f>
        <v>8.0764294964028771</v>
      </c>
    </row>
    <row r="209" spans="1:29" ht="15.75" x14ac:dyDescent="0.25">
      <c r="A209" s="16">
        <v>47604</v>
      </c>
      <c r="B209" s="10">
        <f>CHOOSE(CONTROL!$C$42, 8.1695, 8.1695) * CHOOSE(CONTROL!$C$21, $C$9, 100%, $E$9)</f>
        <v>8.1694999999999993</v>
      </c>
      <c r="C209" s="10">
        <f>CHOOSE(CONTROL!$C$42, 8.1774, 8.1774) * CHOOSE(CONTROL!$C$21, $C$9, 100%, $E$9)</f>
        <v>8.1774000000000004</v>
      </c>
      <c r="D209" s="10">
        <f>CHOOSE(CONTROL!$C$42, 8.356, 8.356) * CHOOSE(CONTROL!$C$21, $C$9, 100%, $E$9)</f>
        <v>8.3559999999999999</v>
      </c>
      <c r="E209" s="10">
        <f>CHOOSE(CONTROL!$C$42, 8.3871, 8.3871) * CHOOSE(CONTROL!$C$21, $C$9, 100%, $E$9)</f>
        <v>8.3871000000000002</v>
      </c>
      <c r="F209" s="10">
        <f>CHOOSE(CONTROL!$C$42, 8.1557, 8.1557)*CHOOSE(CONTROL!$C$21, $C$9, 100%, $E$9)</f>
        <v>8.1556999999999995</v>
      </c>
      <c r="G209" s="10">
        <f>CHOOSE(CONTROL!$C$42, 8.1739, 8.1739)*CHOOSE(CONTROL!$C$21, $C$9, 100%, $E$9)</f>
        <v>8.1738999999999997</v>
      </c>
      <c r="H209" s="10">
        <f>CHOOSE(CONTROL!$C$42, 8.3757, 8.3757) * CHOOSE(CONTROL!$C$21, $C$9, 100%, $E$9)</f>
        <v>8.3757000000000001</v>
      </c>
      <c r="I209" s="10">
        <f>CHOOSE(CONTROL!$C$42, 8.1464, 8.1464)* CHOOSE(CONTROL!$C$21, $C$9, 100%, $E$9)</f>
        <v>8.1463999999999999</v>
      </c>
      <c r="J209" s="10">
        <f>CHOOSE(CONTROL!$C$42, 8.1487, 8.1487)* CHOOSE(CONTROL!$C$21, $C$9, 100%, $E$9)</f>
        <v>8.1486999999999998</v>
      </c>
      <c r="K209" s="54">
        <f>CHOOSE(CONTROL!$C$42, 8.1425, 8.1425) * CHOOSE(CONTROL!$C$21, $C$9, 100%, $E$9)</f>
        <v>8.1425000000000001</v>
      </c>
      <c r="L209" s="10">
        <f>CHOOSE(CONTROL!$C$42, 8.9627, 8.9627) * CHOOSE(CONTROL!$C$21, $C$9, 100%, $E$9)</f>
        <v>8.9626999999999999</v>
      </c>
      <c r="M209" s="10">
        <f>CHOOSE(CONTROL!$C$42, 8.0803, 8.0803) * CHOOSE(CONTROL!$C$21, $C$9, 100%, $E$9)</f>
        <v>8.0802999999999994</v>
      </c>
      <c r="N209" s="10">
        <f>CHOOSE(CONTROL!$C$42, 8.0983, 8.0983) * CHOOSE(CONTROL!$C$21, $C$9, 100%, $E$9)</f>
        <v>8.0983000000000001</v>
      </c>
      <c r="O209" s="10">
        <f>CHOOSE(CONTROL!$C$42, 8.305, 8.305) * CHOOSE(CONTROL!$C$21, $C$9, 100%, $E$9)</f>
        <v>8.3049999999999997</v>
      </c>
      <c r="P209" s="10">
        <f>CHOOSE(CONTROL!$C$42, 8.078, 8.078) * CHOOSE(CONTROL!$C$21, $C$9, 100%, $E$9)</f>
        <v>8.0779999999999994</v>
      </c>
      <c r="Q209" s="10">
        <f>CHOOSE(CONTROL!$C$42, 8.9003, 8.9003) * CHOOSE(CONTROL!$C$21, $C$9, 100%, $E$9)</f>
        <v>8.9002999999999997</v>
      </c>
      <c r="R209" s="10">
        <f>CHOOSE(CONTROL!$C$42, 9.5096, 9.5096) * CHOOSE(CONTROL!$C$21, $C$9, 100%, $E$9)</f>
        <v>9.5096000000000007</v>
      </c>
      <c r="S209" s="10">
        <f>CHOOSE(CONTROL!$C$42, 7.9292, 7.9292) * CHOOSE(CONTROL!$C$21, $C$9, 100%, $E$9)</f>
        <v>7.9291999999999998</v>
      </c>
      <c r="T209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209" s="58">
        <f>(1000*CHOOSE(CONTROL!$C$42, 695, 695)*CHOOSE(CONTROL!$C$42, 0.5599, 0.5599)*CHOOSE(CONTROL!$C$42, 31, 31))/1000000</f>
        <v>12.063045499999998</v>
      </c>
      <c r="V209" s="58">
        <f>(1000*CHOOSE(CONTROL!$C$42, 500, 500)*CHOOSE(CONTROL!$C$42, 0.275, 0.275)*CHOOSE(CONTROL!$C$42, 31, 31))/1000000</f>
        <v>4.2625000000000002</v>
      </c>
      <c r="W209" s="58">
        <f>(1000*CHOOSE(CONTROL!$C$42, 0.1146, 0.1146)*CHOOSE(CONTROL!$C$42, 121.5, 121.5)*CHOOSE(CONTROL!$C$42, 31, 31))/1000000</f>
        <v>0.43164089999999994</v>
      </c>
      <c r="X209" s="58">
        <f>(31*0.1790888*245000/1000000)+(31*0.2374*100000/1000000)</f>
        <v>2.0961194359999999</v>
      </c>
      <c r="Y209" s="58"/>
      <c r="Z209" s="10"/>
      <c r="AA209" s="57"/>
      <c r="AB209" s="51">
        <f>(B209*194.205+C209*267.466+D209*133.845+E209*53.484+F209*40+G209*185+H209*0+I209*100+J209*300)/(194.205+267.466+133.845+53.484+0+40+185+100+300)</f>
        <v>8.1933816266091046</v>
      </c>
      <c r="AC209" s="27">
        <f>(M209*'RAP TEMPLATE-GAS AVAILABILITY'!O208+N209*'RAP TEMPLATE-GAS AVAILABILITY'!P208+O209*'RAP TEMPLATE-GAS AVAILABILITY'!Q208+P209*'RAP TEMPLATE-GAS AVAILABILITY'!R208)/('RAP TEMPLATE-GAS AVAILABILITY'!O208+'RAP TEMPLATE-GAS AVAILABILITY'!P208+'RAP TEMPLATE-GAS AVAILABILITY'!Q208+'RAP TEMPLATE-GAS AVAILABILITY'!R208)</f>
        <v>8.1471582733812955</v>
      </c>
    </row>
    <row r="210" spans="1:29" ht="15.75" x14ac:dyDescent="0.25">
      <c r="A210" s="16">
        <v>47635</v>
      </c>
      <c r="B210" s="10">
        <f>CHOOSE(CONTROL!$C$42, 8.4011, 8.4011) * CHOOSE(CONTROL!$C$21, $C$9, 100%, $E$9)</f>
        <v>8.4010999999999996</v>
      </c>
      <c r="C210" s="10">
        <f>CHOOSE(CONTROL!$C$42, 8.409, 8.409) * CHOOSE(CONTROL!$C$21, $C$9, 100%, $E$9)</f>
        <v>8.4090000000000007</v>
      </c>
      <c r="D210" s="10">
        <f>CHOOSE(CONTROL!$C$42, 8.5876, 8.5876) * CHOOSE(CONTROL!$C$21, $C$9, 100%, $E$9)</f>
        <v>8.5876000000000001</v>
      </c>
      <c r="E210" s="10">
        <f>CHOOSE(CONTROL!$C$42, 8.6187, 8.6187) * CHOOSE(CONTROL!$C$21, $C$9, 100%, $E$9)</f>
        <v>8.6187000000000005</v>
      </c>
      <c r="F210" s="10">
        <f>CHOOSE(CONTROL!$C$42, 8.3875, 8.3875)*CHOOSE(CONTROL!$C$21, $C$9, 100%, $E$9)</f>
        <v>8.3874999999999993</v>
      </c>
      <c r="G210" s="10">
        <f>CHOOSE(CONTROL!$C$42, 8.4058, 8.4058)*CHOOSE(CONTROL!$C$21, $C$9, 100%, $E$9)</f>
        <v>8.4057999999999993</v>
      </c>
      <c r="H210" s="10">
        <f>CHOOSE(CONTROL!$C$42, 8.6073, 8.6073) * CHOOSE(CONTROL!$C$21, $C$9, 100%, $E$9)</f>
        <v>8.6073000000000004</v>
      </c>
      <c r="I210" s="10">
        <f>CHOOSE(CONTROL!$C$42, 8.378, 8.378)* CHOOSE(CONTROL!$C$21, $C$9, 100%, $E$9)</f>
        <v>8.3780000000000001</v>
      </c>
      <c r="J210" s="10">
        <f>CHOOSE(CONTROL!$C$42, 8.3805, 8.3805)* CHOOSE(CONTROL!$C$21, $C$9, 100%, $E$9)</f>
        <v>8.3804999999999996</v>
      </c>
      <c r="K210" s="54">
        <f>CHOOSE(CONTROL!$C$42, 8.3741, 8.3741) * CHOOSE(CONTROL!$C$21, $C$9, 100%, $E$9)</f>
        <v>8.3741000000000003</v>
      </c>
      <c r="L210" s="10">
        <f>CHOOSE(CONTROL!$C$42, 9.1943, 9.1943) * CHOOSE(CONTROL!$C$21, $C$9, 100%, $E$9)</f>
        <v>9.1943000000000001</v>
      </c>
      <c r="M210" s="10">
        <f>CHOOSE(CONTROL!$C$42, 8.3098, 8.3098) * CHOOSE(CONTROL!$C$21, $C$9, 100%, $E$9)</f>
        <v>8.3097999999999992</v>
      </c>
      <c r="N210" s="10">
        <f>CHOOSE(CONTROL!$C$42, 8.3278, 8.3278) * CHOOSE(CONTROL!$C$21, $C$9, 100%, $E$9)</f>
        <v>8.3277999999999999</v>
      </c>
      <c r="O210" s="10">
        <f>CHOOSE(CONTROL!$C$42, 8.5343, 8.5343) * CHOOSE(CONTROL!$C$21, $C$9, 100%, $E$9)</f>
        <v>8.5343</v>
      </c>
      <c r="P210" s="10">
        <f>CHOOSE(CONTROL!$C$42, 8.3073, 8.3073) * CHOOSE(CONTROL!$C$21, $C$9, 100%, $E$9)</f>
        <v>8.3072999999999997</v>
      </c>
      <c r="Q210" s="10">
        <f>CHOOSE(CONTROL!$C$42, 9.1296, 9.1296) * CHOOSE(CONTROL!$C$21, $C$9, 100%, $E$9)</f>
        <v>9.1295999999999999</v>
      </c>
      <c r="R210" s="10">
        <f>CHOOSE(CONTROL!$C$42, 9.7394, 9.7394) * CHOOSE(CONTROL!$C$21, $C$9, 100%, $E$9)</f>
        <v>9.7393999999999998</v>
      </c>
      <c r="S210" s="10">
        <f>CHOOSE(CONTROL!$C$42, 8.1541, 8.1541) * CHOOSE(CONTROL!$C$21, $C$9, 100%, $E$9)</f>
        <v>8.1540999999999997</v>
      </c>
      <c r="T210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210" s="58">
        <f>(1000*CHOOSE(CONTROL!$C$42, 695, 695)*CHOOSE(CONTROL!$C$42, 0.5599, 0.5599)*CHOOSE(CONTROL!$C$42, 30, 30))/1000000</f>
        <v>11.673914999999997</v>
      </c>
      <c r="V210" s="58">
        <f>(1000*CHOOSE(CONTROL!$C$42, 500, 500)*CHOOSE(CONTROL!$C$42, 0.275, 0.275)*CHOOSE(CONTROL!$C$42, 30, 30))/1000000</f>
        <v>4.125</v>
      </c>
      <c r="W210" s="58">
        <f>(1000*CHOOSE(CONTROL!$C$42, 0.1146, 0.1146)*CHOOSE(CONTROL!$C$42, 121.5, 121.5)*CHOOSE(CONTROL!$C$42, 30, 30))/1000000</f>
        <v>0.417717</v>
      </c>
      <c r="X210" s="58">
        <f>(30*0.1790888*245000/1000000)+(30*0.2374*100000/1000000)</f>
        <v>2.0285026799999999</v>
      </c>
      <c r="Y210" s="58"/>
      <c r="Z210" s="10"/>
      <c r="AA210" s="57"/>
      <c r="AB210" s="51">
        <f>(B210*194.205+C210*267.466+D210*133.845+E210*53.484+F210*40+G210*185+H210*0+I210*100+J210*300)/(194.205+267.466+133.845+53.484+0+40+185+100+300)</f>
        <v>8.4250785653846147</v>
      </c>
      <c r="AC210" s="27">
        <f>(M210*'RAP TEMPLATE-GAS AVAILABILITY'!O209+N210*'RAP TEMPLATE-GAS AVAILABILITY'!P209+O210*'RAP TEMPLATE-GAS AVAILABILITY'!Q209+P210*'RAP TEMPLATE-GAS AVAILABILITY'!R209)/('RAP TEMPLATE-GAS AVAILABILITY'!O209+'RAP TEMPLATE-GAS AVAILABILITY'!P209+'RAP TEMPLATE-GAS AVAILABILITY'!Q209+'RAP TEMPLATE-GAS AVAILABILITY'!R209)</f>
        <v>8.3765733812949623</v>
      </c>
    </row>
    <row r="211" spans="1:29" ht="15.75" x14ac:dyDescent="0.25">
      <c r="A211" s="16">
        <v>47665</v>
      </c>
      <c r="B211" s="10">
        <f>CHOOSE(CONTROL!$C$42, 8.24, 8.24) * CHOOSE(CONTROL!$C$21, $C$9, 100%, $E$9)</f>
        <v>8.24</v>
      </c>
      <c r="C211" s="10">
        <f>CHOOSE(CONTROL!$C$42, 8.248, 8.248) * CHOOSE(CONTROL!$C$21, $C$9, 100%, $E$9)</f>
        <v>8.2479999999999993</v>
      </c>
      <c r="D211" s="10">
        <f>CHOOSE(CONTROL!$C$42, 8.4265, 8.4265) * CHOOSE(CONTROL!$C$21, $C$9, 100%, $E$9)</f>
        <v>8.4265000000000008</v>
      </c>
      <c r="E211" s="10">
        <f>CHOOSE(CONTROL!$C$42, 8.4576, 8.4576) * CHOOSE(CONTROL!$C$21, $C$9, 100%, $E$9)</f>
        <v>8.4575999999999993</v>
      </c>
      <c r="F211" s="10">
        <f>CHOOSE(CONTROL!$C$42, 8.2267, 8.2267)*CHOOSE(CONTROL!$C$21, $C$9, 100%, $E$9)</f>
        <v>8.2266999999999992</v>
      </c>
      <c r="G211" s="10">
        <f>CHOOSE(CONTROL!$C$42, 8.2451, 8.2451)*CHOOSE(CONTROL!$C$21, $C$9, 100%, $E$9)</f>
        <v>8.2451000000000008</v>
      </c>
      <c r="H211" s="10">
        <f>CHOOSE(CONTROL!$C$42, 8.4463, 8.4463) * CHOOSE(CONTROL!$C$21, $C$9, 100%, $E$9)</f>
        <v>8.4463000000000008</v>
      </c>
      <c r="I211" s="10">
        <f>CHOOSE(CONTROL!$C$42, 8.2169, 8.2169)* CHOOSE(CONTROL!$C$21, $C$9, 100%, $E$9)</f>
        <v>8.2169000000000008</v>
      </c>
      <c r="J211" s="10">
        <f>CHOOSE(CONTROL!$C$42, 8.2197, 8.2197)* CHOOSE(CONTROL!$C$21, $C$9, 100%, $E$9)</f>
        <v>8.2196999999999996</v>
      </c>
      <c r="K211" s="54">
        <f>CHOOSE(CONTROL!$C$42, 8.213, 8.213) * CHOOSE(CONTROL!$C$21, $C$9, 100%, $E$9)</f>
        <v>8.2129999999999992</v>
      </c>
      <c r="L211" s="10">
        <f>CHOOSE(CONTROL!$C$42, 9.0333, 9.0333) * CHOOSE(CONTROL!$C$21, $C$9, 100%, $E$9)</f>
        <v>9.0333000000000006</v>
      </c>
      <c r="M211" s="10">
        <f>CHOOSE(CONTROL!$C$42, 8.1506, 8.1506) * CHOOSE(CONTROL!$C$21, $C$9, 100%, $E$9)</f>
        <v>8.1506000000000007</v>
      </c>
      <c r="N211" s="10">
        <f>CHOOSE(CONTROL!$C$42, 8.1687, 8.1687) * CHOOSE(CONTROL!$C$21, $C$9, 100%, $E$9)</f>
        <v>8.1686999999999994</v>
      </c>
      <c r="O211" s="10">
        <f>CHOOSE(CONTROL!$C$42, 8.3748, 8.3748) * CHOOSE(CONTROL!$C$21, $C$9, 100%, $E$9)</f>
        <v>8.3748000000000005</v>
      </c>
      <c r="P211" s="10">
        <f>CHOOSE(CONTROL!$C$42, 8.1478, 8.1478) * CHOOSE(CONTROL!$C$21, $C$9, 100%, $E$9)</f>
        <v>8.1478000000000002</v>
      </c>
      <c r="Q211" s="10">
        <f>CHOOSE(CONTROL!$C$42, 8.9701, 8.9701) * CHOOSE(CONTROL!$C$21, $C$9, 100%, $E$9)</f>
        <v>8.9701000000000004</v>
      </c>
      <c r="R211" s="10">
        <f>CHOOSE(CONTROL!$C$42, 9.5796, 9.5796) * CHOOSE(CONTROL!$C$21, $C$9, 100%, $E$9)</f>
        <v>9.5795999999999992</v>
      </c>
      <c r="S211" s="10">
        <f>CHOOSE(CONTROL!$C$42, 7.9976, 7.9976) * CHOOSE(CONTROL!$C$21, $C$9, 100%, $E$9)</f>
        <v>7.9976000000000003</v>
      </c>
      <c r="T211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211" s="58">
        <f>(1000*CHOOSE(CONTROL!$C$42, 695, 695)*CHOOSE(CONTROL!$C$42, 0.5599, 0.5599)*CHOOSE(CONTROL!$C$42, 31, 31))/1000000</f>
        <v>12.063045499999998</v>
      </c>
      <c r="V211" s="58">
        <f>(1000*CHOOSE(CONTROL!$C$42, 500, 500)*CHOOSE(CONTROL!$C$42, 0.275, 0.275)*CHOOSE(CONTROL!$C$42, 31, 31))/1000000</f>
        <v>4.2625000000000002</v>
      </c>
      <c r="W211" s="58">
        <f>(1000*CHOOSE(CONTROL!$C$42, 0.1146, 0.1146)*CHOOSE(CONTROL!$C$42, 121.5, 121.5)*CHOOSE(CONTROL!$C$42, 31, 31))/1000000</f>
        <v>0.43164089999999994</v>
      </c>
      <c r="X211" s="58">
        <f>(31*0.1790888*245000/1000000)+(31*0.2374*100000/1000000)</f>
        <v>2.0961194359999999</v>
      </c>
      <c r="Y211" s="58"/>
      <c r="Z211" s="10"/>
      <c r="AA211" s="57"/>
      <c r="AB211" s="51">
        <f>(B211*194.205+C211*267.466+D211*133.845+E211*53.484+F211*40+G211*185+H211*0+I211*100+J211*300)/(194.205+267.466+133.845+53.484+0+40+185+100+300)</f>
        <v>8.2641377071428579</v>
      </c>
      <c r="AC211" s="27">
        <f>(M211*'RAP TEMPLATE-GAS AVAILABILITY'!O210+N211*'RAP TEMPLATE-GAS AVAILABILITY'!P210+O211*'RAP TEMPLATE-GAS AVAILABILITY'!Q210+P211*'RAP TEMPLATE-GAS AVAILABILITY'!R210)/('RAP TEMPLATE-GAS AVAILABILITY'!O210+'RAP TEMPLATE-GAS AVAILABILITY'!P210+'RAP TEMPLATE-GAS AVAILABILITY'!Q210+'RAP TEMPLATE-GAS AVAILABILITY'!R210)</f>
        <v>8.2172690647482014</v>
      </c>
    </row>
    <row r="212" spans="1:29" ht="15.75" x14ac:dyDescent="0.25">
      <c r="A212" s="16">
        <v>47696</v>
      </c>
      <c r="B212" s="10">
        <f>CHOOSE(CONTROL!$C$42, 7.8333, 7.8333) * CHOOSE(CONTROL!$C$21, $C$9, 100%, $E$9)</f>
        <v>7.8333000000000004</v>
      </c>
      <c r="C212" s="10">
        <f>CHOOSE(CONTROL!$C$42, 7.8412, 7.8412) * CHOOSE(CONTROL!$C$21, $C$9, 100%, $E$9)</f>
        <v>7.8411999999999997</v>
      </c>
      <c r="D212" s="10">
        <f>CHOOSE(CONTROL!$C$42, 8.0197, 8.0197) * CHOOSE(CONTROL!$C$21, $C$9, 100%, $E$9)</f>
        <v>8.0197000000000003</v>
      </c>
      <c r="E212" s="10">
        <f>CHOOSE(CONTROL!$C$42, 8.0509, 8.0509) * CHOOSE(CONTROL!$C$21, $C$9, 100%, $E$9)</f>
        <v>8.0509000000000004</v>
      </c>
      <c r="F212" s="10">
        <f>CHOOSE(CONTROL!$C$42, 7.8199, 7.8199)*CHOOSE(CONTROL!$C$21, $C$9, 100%, $E$9)</f>
        <v>7.8198999999999996</v>
      </c>
      <c r="G212" s="10">
        <f>CHOOSE(CONTROL!$C$42, 7.8382, 7.8382)*CHOOSE(CONTROL!$C$21, $C$9, 100%, $E$9)</f>
        <v>7.8381999999999996</v>
      </c>
      <c r="H212" s="10">
        <f>CHOOSE(CONTROL!$C$42, 8.0395, 8.0395) * CHOOSE(CONTROL!$C$21, $C$9, 100%, $E$9)</f>
        <v>8.0395000000000003</v>
      </c>
      <c r="I212" s="10">
        <f>CHOOSE(CONTROL!$C$42, 7.8102, 7.8102)* CHOOSE(CONTROL!$C$21, $C$9, 100%, $E$9)</f>
        <v>7.8102</v>
      </c>
      <c r="J212" s="10">
        <f>CHOOSE(CONTROL!$C$42, 7.8129, 7.8129)* CHOOSE(CONTROL!$C$21, $C$9, 100%, $E$9)</f>
        <v>7.8129</v>
      </c>
      <c r="K212" s="54">
        <f>CHOOSE(CONTROL!$C$42, 7.8063, 7.8063) * CHOOSE(CONTROL!$C$21, $C$9, 100%, $E$9)</f>
        <v>7.8063000000000002</v>
      </c>
      <c r="L212" s="10">
        <f>CHOOSE(CONTROL!$C$42, 8.6265, 8.6265) * CHOOSE(CONTROL!$C$21, $C$9, 100%, $E$9)</f>
        <v>8.6265000000000001</v>
      </c>
      <c r="M212" s="10">
        <f>CHOOSE(CONTROL!$C$42, 7.7479, 7.7479) * CHOOSE(CONTROL!$C$21, $C$9, 100%, $E$9)</f>
        <v>7.7478999999999996</v>
      </c>
      <c r="N212" s="10">
        <f>CHOOSE(CONTROL!$C$42, 7.766, 7.766) * CHOOSE(CONTROL!$C$21, $C$9, 100%, $E$9)</f>
        <v>7.766</v>
      </c>
      <c r="O212" s="10">
        <f>CHOOSE(CONTROL!$C$42, 7.9722, 7.9722) * CHOOSE(CONTROL!$C$21, $C$9, 100%, $E$9)</f>
        <v>7.9722</v>
      </c>
      <c r="P212" s="10">
        <f>CHOOSE(CONTROL!$C$42, 7.7452, 7.7452) * CHOOSE(CONTROL!$C$21, $C$9, 100%, $E$9)</f>
        <v>7.7451999999999996</v>
      </c>
      <c r="Q212" s="10">
        <f>CHOOSE(CONTROL!$C$42, 8.5675, 8.5675) * CHOOSE(CONTROL!$C$21, $C$9, 100%, $E$9)</f>
        <v>8.5675000000000008</v>
      </c>
      <c r="R212" s="10">
        <f>CHOOSE(CONTROL!$C$42, 9.1759, 9.1759) * CHOOSE(CONTROL!$C$21, $C$9, 100%, $E$9)</f>
        <v>9.1759000000000004</v>
      </c>
      <c r="S212" s="10">
        <f>CHOOSE(CONTROL!$C$42, 7.6027, 7.6027) * CHOOSE(CONTROL!$C$21, $C$9, 100%, $E$9)</f>
        <v>7.6026999999999996</v>
      </c>
      <c r="T212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12" s="58">
        <f>(1000*CHOOSE(CONTROL!$C$42, 695, 695)*CHOOSE(CONTROL!$C$42, 0.5599, 0.5599)*CHOOSE(CONTROL!$C$42, 31, 31))/1000000</f>
        <v>12.063045499999998</v>
      </c>
      <c r="V212" s="58">
        <f>(1000*CHOOSE(CONTROL!$C$42, 500, 500)*CHOOSE(CONTROL!$C$42, 0.275, 0.275)*CHOOSE(CONTROL!$C$42, 31, 31))/1000000</f>
        <v>4.2625000000000002</v>
      </c>
      <c r="W212" s="58">
        <f>(1000*CHOOSE(CONTROL!$C$42, 0.1146, 0.1146)*CHOOSE(CONTROL!$C$42, 121.5, 121.5)*CHOOSE(CONTROL!$C$42, 31, 31))/1000000</f>
        <v>0.43164089999999994</v>
      </c>
      <c r="X212" s="58">
        <f>(31*0.1790888*245000/1000000)+(31*0.2374*100000/1000000)</f>
        <v>2.0961194359999999</v>
      </c>
      <c r="Y212" s="58"/>
      <c r="Z212" s="10"/>
      <c r="AA212" s="57"/>
      <c r="AB212" s="51">
        <f>(B212*194.205+C212*267.466+D212*133.845+E212*53.484+F212*40+G212*185+H212*0+I212*100+J212*300)/(194.205+267.466+133.845+53.484+0+40+185+100+300)</f>
        <v>7.8573504770800646</v>
      </c>
      <c r="AC212" s="27">
        <f>(M212*'RAP TEMPLATE-GAS AVAILABILITY'!O211+N212*'RAP TEMPLATE-GAS AVAILABILITY'!P211+O212*'RAP TEMPLATE-GAS AVAILABILITY'!Q211+P212*'RAP TEMPLATE-GAS AVAILABILITY'!R211)/('RAP TEMPLATE-GAS AVAILABILITY'!O211+'RAP TEMPLATE-GAS AVAILABILITY'!P211+'RAP TEMPLATE-GAS AVAILABILITY'!Q211+'RAP TEMPLATE-GAS AVAILABILITY'!R211)</f>
        <v>7.814611510791365</v>
      </c>
    </row>
    <row r="213" spans="1:29" ht="15.75" x14ac:dyDescent="0.25">
      <c r="A213" s="16">
        <v>47727</v>
      </c>
      <c r="B213" s="10">
        <f>CHOOSE(CONTROL!$C$42, 7.3363, 7.3363) * CHOOSE(CONTROL!$C$21, $C$9, 100%, $E$9)</f>
        <v>7.3362999999999996</v>
      </c>
      <c r="C213" s="10">
        <f>CHOOSE(CONTROL!$C$42, 7.3442, 7.3442) * CHOOSE(CONTROL!$C$21, $C$9, 100%, $E$9)</f>
        <v>7.3441999999999998</v>
      </c>
      <c r="D213" s="10">
        <f>CHOOSE(CONTROL!$C$42, 7.5228, 7.5228) * CHOOSE(CONTROL!$C$21, $C$9, 100%, $E$9)</f>
        <v>7.5228000000000002</v>
      </c>
      <c r="E213" s="10">
        <f>CHOOSE(CONTROL!$C$42, 7.5539, 7.5539) * CHOOSE(CONTROL!$C$21, $C$9, 100%, $E$9)</f>
        <v>7.5538999999999996</v>
      </c>
      <c r="F213" s="10">
        <f>CHOOSE(CONTROL!$C$42, 7.3227, 7.3227)*CHOOSE(CONTROL!$C$21, $C$9, 100%, $E$9)</f>
        <v>7.3227000000000002</v>
      </c>
      <c r="G213" s="10">
        <f>CHOOSE(CONTROL!$C$42, 7.3409, 7.3409)*CHOOSE(CONTROL!$C$21, $C$9, 100%, $E$9)</f>
        <v>7.3409000000000004</v>
      </c>
      <c r="H213" s="10">
        <f>CHOOSE(CONTROL!$C$42, 7.5425, 7.5425) * CHOOSE(CONTROL!$C$21, $C$9, 100%, $E$9)</f>
        <v>7.5425000000000004</v>
      </c>
      <c r="I213" s="10">
        <f>CHOOSE(CONTROL!$C$42, 7.3132, 7.3132)* CHOOSE(CONTROL!$C$21, $C$9, 100%, $E$9)</f>
        <v>7.3132000000000001</v>
      </c>
      <c r="J213" s="10">
        <f>CHOOSE(CONTROL!$C$42, 7.3157, 7.3157)* CHOOSE(CONTROL!$C$21, $C$9, 100%, $E$9)</f>
        <v>7.3156999999999996</v>
      </c>
      <c r="K213" s="54">
        <f>CHOOSE(CONTROL!$C$42, 7.3093, 7.3093) * CHOOSE(CONTROL!$C$21, $C$9, 100%, $E$9)</f>
        <v>7.3093000000000004</v>
      </c>
      <c r="L213" s="10">
        <f>CHOOSE(CONTROL!$C$42, 8.1295, 8.1295) * CHOOSE(CONTROL!$C$21, $C$9, 100%, $E$9)</f>
        <v>8.1295000000000002</v>
      </c>
      <c r="M213" s="10">
        <f>CHOOSE(CONTROL!$C$42, 7.2557, 7.2557) * CHOOSE(CONTROL!$C$21, $C$9, 100%, $E$9)</f>
        <v>7.2557</v>
      </c>
      <c r="N213" s="10">
        <f>CHOOSE(CONTROL!$C$42, 7.2737, 7.2737) * CHOOSE(CONTROL!$C$21, $C$9, 100%, $E$9)</f>
        <v>7.2736999999999998</v>
      </c>
      <c r="O213" s="10">
        <f>CHOOSE(CONTROL!$C$42, 7.4803, 7.4803) * CHOOSE(CONTROL!$C$21, $C$9, 100%, $E$9)</f>
        <v>7.4802999999999997</v>
      </c>
      <c r="P213" s="10">
        <f>CHOOSE(CONTROL!$C$42, 7.2533, 7.2533) * CHOOSE(CONTROL!$C$21, $C$9, 100%, $E$9)</f>
        <v>7.2533000000000003</v>
      </c>
      <c r="Q213" s="10">
        <f>CHOOSE(CONTROL!$C$42, 8.0756, 8.0756) * CHOOSE(CONTROL!$C$21, $C$9, 100%, $E$9)</f>
        <v>8.0755999999999997</v>
      </c>
      <c r="R213" s="10">
        <f>CHOOSE(CONTROL!$C$42, 8.6827, 8.6827) * CHOOSE(CONTROL!$C$21, $C$9, 100%, $E$9)</f>
        <v>8.6827000000000005</v>
      </c>
      <c r="S213" s="10">
        <f>CHOOSE(CONTROL!$C$42, 7.1201, 7.1201) * CHOOSE(CONTROL!$C$21, $C$9, 100%, $E$9)</f>
        <v>7.1200999999999999</v>
      </c>
      <c r="T213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13" s="58">
        <f>(1000*CHOOSE(CONTROL!$C$42, 695, 695)*CHOOSE(CONTROL!$C$42, 0.5599, 0.5599)*CHOOSE(CONTROL!$C$42, 30, 30))/1000000</f>
        <v>11.673914999999997</v>
      </c>
      <c r="V213" s="58">
        <f>(1000*CHOOSE(CONTROL!$C$42, 500, 500)*CHOOSE(CONTROL!$C$42, 0.275, 0.275)*CHOOSE(CONTROL!$C$42, 30, 30))/1000000</f>
        <v>4.125</v>
      </c>
      <c r="W213" s="58">
        <f>(1000*CHOOSE(CONTROL!$C$42, 0.1146, 0.1146)*CHOOSE(CONTROL!$C$42, 121.5, 121.5)*CHOOSE(CONTROL!$C$42, 30, 30))/1000000</f>
        <v>0.417717</v>
      </c>
      <c r="X213" s="58">
        <f>(30*0.1790888*245000/1000000)+(30*0.2374*100000/1000000)</f>
        <v>2.0285026799999999</v>
      </c>
      <c r="Y213" s="58"/>
      <c r="Z213" s="10"/>
      <c r="AA213" s="57"/>
      <c r="AB213" s="51">
        <f>(B213*194.205+C213*267.466+D213*133.845+E213*53.484+F213*40+G213*185+H213*0+I213*100+J213*300)/(194.205+267.466+133.845+53.484+0+40+185+100+300)</f>
        <v>7.3602640441915224</v>
      </c>
      <c r="AC213" s="27">
        <f>(M213*'RAP TEMPLATE-GAS AVAILABILITY'!O212+N213*'RAP TEMPLATE-GAS AVAILABILITY'!P212+O213*'RAP TEMPLATE-GAS AVAILABILITY'!Q212+P213*'RAP TEMPLATE-GAS AVAILABILITY'!R212)/('RAP TEMPLATE-GAS AVAILABILITY'!O212+'RAP TEMPLATE-GAS AVAILABILITY'!P212+'RAP TEMPLATE-GAS AVAILABILITY'!Q212+'RAP TEMPLATE-GAS AVAILABILITY'!R212)</f>
        <v>7.3225158273381288</v>
      </c>
    </row>
    <row r="214" spans="1:29" ht="15.75" x14ac:dyDescent="0.25">
      <c r="A214" s="16">
        <v>47757</v>
      </c>
      <c r="B214" s="10">
        <f>CHOOSE(CONTROL!$C$42, 7.1853, 7.1853) * CHOOSE(CONTROL!$C$21, $C$9, 100%, $E$9)</f>
        <v>7.1852999999999998</v>
      </c>
      <c r="C214" s="10">
        <f>CHOOSE(CONTROL!$C$42, 7.1905, 7.1905) * CHOOSE(CONTROL!$C$21, $C$9, 100%, $E$9)</f>
        <v>7.1905000000000001</v>
      </c>
      <c r="D214" s="10">
        <f>CHOOSE(CONTROL!$C$42, 7.374, 7.374) * CHOOSE(CONTROL!$C$21, $C$9, 100%, $E$9)</f>
        <v>7.3739999999999997</v>
      </c>
      <c r="E214" s="10">
        <f>CHOOSE(CONTROL!$C$42, 7.4028, 7.4028) * CHOOSE(CONTROL!$C$21, $C$9, 100%, $E$9)</f>
        <v>7.4028</v>
      </c>
      <c r="F214" s="10">
        <f>CHOOSE(CONTROL!$C$42, 7.1737, 7.1737)*CHOOSE(CONTROL!$C$21, $C$9, 100%, $E$9)</f>
        <v>7.1737000000000002</v>
      </c>
      <c r="G214" s="10">
        <f>CHOOSE(CONTROL!$C$42, 7.1915, 7.1915)*CHOOSE(CONTROL!$C$21, $C$9, 100%, $E$9)</f>
        <v>7.1914999999999996</v>
      </c>
      <c r="H214" s="10">
        <f>CHOOSE(CONTROL!$C$42, 7.3933, 7.3933) * CHOOSE(CONTROL!$C$21, $C$9, 100%, $E$9)</f>
        <v>7.3933</v>
      </c>
      <c r="I214" s="10">
        <f>CHOOSE(CONTROL!$C$42, 7.164, 7.164)* CHOOSE(CONTROL!$C$21, $C$9, 100%, $E$9)</f>
        <v>7.1639999999999997</v>
      </c>
      <c r="J214" s="10">
        <f>CHOOSE(CONTROL!$C$42, 7.1667, 7.1667)* CHOOSE(CONTROL!$C$21, $C$9, 100%, $E$9)</f>
        <v>7.1666999999999996</v>
      </c>
      <c r="K214" s="54">
        <f>CHOOSE(CONTROL!$C$42, 7.1601, 7.1601) * CHOOSE(CONTROL!$C$21, $C$9, 100%, $E$9)</f>
        <v>7.1600999999999999</v>
      </c>
      <c r="L214" s="10">
        <f>CHOOSE(CONTROL!$C$42, 7.9803, 7.9803) * CHOOSE(CONTROL!$C$21, $C$9, 100%, $E$9)</f>
        <v>7.9802999999999997</v>
      </c>
      <c r="M214" s="10">
        <f>CHOOSE(CONTROL!$C$42, 7.1082, 7.1082) * CHOOSE(CONTROL!$C$21, $C$9, 100%, $E$9)</f>
        <v>7.1082000000000001</v>
      </c>
      <c r="N214" s="10">
        <f>CHOOSE(CONTROL!$C$42, 7.1259, 7.1259) * CHOOSE(CONTROL!$C$21, $C$9, 100%, $E$9)</f>
        <v>7.1258999999999997</v>
      </c>
      <c r="O214" s="10">
        <f>CHOOSE(CONTROL!$C$42, 7.3325, 7.3325) * CHOOSE(CONTROL!$C$21, $C$9, 100%, $E$9)</f>
        <v>7.3324999999999996</v>
      </c>
      <c r="P214" s="10">
        <f>CHOOSE(CONTROL!$C$42, 7.1055, 7.1055) * CHOOSE(CONTROL!$C$21, $C$9, 100%, $E$9)</f>
        <v>7.1055000000000001</v>
      </c>
      <c r="Q214" s="10">
        <f>CHOOSE(CONTROL!$C$42, 7.9278, 7.9278) * CHOOSE(CONTROL!$C$21, $C$9, 100%, $E$9)</f>
        <v>7.9278000000000004</v>
      </c>
      <c r="R214" s="10">
        <f>CHOOSE(CONTROL!$C$42, 8.5346, 8.5346) * CHOOSE(CONTROL!$C$21, $C$9, 100%, $E$9)</f>
        <v>8.5345999999999993</v>
      </c>
      <c r="S214" s="10">
        <f>CHOOSE(CONTROL!$C$42, 6.9751, 6.9751) * CHOOSE(CONTROL!$C$21, $C$9, 100%, $E$9)</f>
        <v>6.9751000000000003</v>
      </c>
      <c r="T214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14" s="58">
        <f>(1000*CHOOSE(CONTROL!$C$42, 695, 695)*CHOOSE(CONTROL!$C$42, 0.5599, 0.5599)*CHOOSE(CONTROL!$C$42, 31, 31))/1000000</f>
        <v>12.063045499999998</v>
      </c>
      <c r="V214" s="58">
        <f>(1000*CHOOSE(CONTROL!$C$42, 500, 500)*CHOOSE(CONTROL!$C$42, 0.275, 0.275)*CHOOSE(CONTROL!$C$42, 31, 31))/1000000</f>
        <v>4.2625000000000002</v>
      </c>
      <c r="W214" s="58">
        <f>(1000*CHOOSE(CONTROL!$C$42, 0.1146, 0.1146)*CHOOSE(CONTROL!$C$42, 121.5, 121.5)*CHOOSE(CONTROL!$C$42, 31, 31))/1000000</f>
        <v>0.43164089999999994</v>
      </c>
      <c r="X214" s="58">
        <f>(31*0.1790888*245000/1000000)+(31*0.2374*100000/1000000)</f>
        <v>2.0961194359999999</v>
      </c>
      <c r="Y214" s="58"/>
      <c r="Z214" s="10"/>
      <c r="AA214" s="57"/>
      <c r="AB214" s="51">
        <f>(B214*131.881+C214*277.167+D214*79.08+E214*125.872+F214*40+G214*185+H214*0+I214*100+J214*300)/(131.881+277.167+79.08+125.872+0+40+185+100+300)</f>
        <v>7.2149318195318806</v>
      </c>
      <c r="AC214" s="27">
        <f>(M214*'RAP TEMPLATE-GAS AVAILABILITY'!O213+N214*'RAP TEMPLATE-GAS AVAILABILITY'!P213+O214*'RAP TEMPLATE-GAS AVAILABILITY'!Q213+P214*'RAP TEMPLATE-GAS AVAILABILITY'!R213)/('RAP TEMPLATE-GAS AVAILABILITY'!O213+'RAP TEMPLATE-GAS AVAILABILITY'!P213+'RAP TEMPLATE-GAS AVAILABILITY'!Q213+'RAP TEMPLATE-GAS AVAILABILITY'!R213)</f>
        <v>7.1748194244604315</v>
      </c>
    </row>
    <row r="215" spans="1:29" ht="15.75" x14ac:dyDescent="0.25">
      <c r="A215" s="16">
        <v>47788</v>
      </c>
      <c r="B215" s="10">
        <f>CHOOSE(CONTROL!$C$42, 7.3741, 7.3741) * CHOOSE(CONTROL!$C$21, $C$9, 100%, $E$9)</f>
        <v>7.3741000000000003</v>
      </c>
      <c r="C215" s="10">
        <f>CHOOSE(CONTROL!$C$42, 7.3791, 7.3791) * CHOOSE(CONTROL!$C$21, $C$9, 100%, $E$9)</f>
        <v>7.3791000000000002</v>
      </c>
      <c r="D215" s="10">
        <f>CHOOSE(CONTROL!$C$42, 7.4087, 7.4087) * CHOOSE(CONTROL!$C$21, $C$9, 100%, $E$9)</f>
        <v>7.4086999999999996</v>
      </c>
      <c r="E215" s="10">
        <f>CHOOSE(CONTROL!$C$42, 7.4425, 7.4425) * CHOOSE(CONTROL!$C$21, $C$9, 100%, $E$9)</f>
        <v>7.4424999999999999</v>
      </c>
      <c r="F215" s="10">
        <f>CHOOSE(CONTROL!$C$42, 7.3599, 7.3599)*CHOOSE(CONTROL!$C$21, $C$9, 100%, $E$9)</f>
        <v>7.3598999999999997</v>
      </c>
      <c r="G215" s="10">
        <f>CHOOSE(CONTROL!$C$42, 7.3779, 7.3779)*CHOOSE(CONTROL!$C$21, $C$9, 100%, $E$9)</f>
        <v>7.3779000000000003</v>
      </c>
      <c r="H215" s="10">
        <f>CHOOSE(CONTROL!$C$42, 7.4317, 7.4317) * CHOOSE(CONTROL!$C$21, $C$9, 100%, $E$9)</f>
        <v>7.4317000000000002</v>
      </c>
      <c r="I215" s="10">
        <f>CHOOSE(CONTROL!$C$42, 7.3403, 7.3403)* CHOOSE(CONTROL!$C$21, $C$9, 100%, $E$9)</f>
        <v>7.3403</v>
      </c>
      <c r="J215" s="10">
        <f>CHOOSE(CONTROL!$C$42, 7.3529, 7.3529)* CHOOSE(CONTROL!$C$21, $C$9, 100%, $E$9)</f>
        <v>7.3529</v>
      </c>
      <c r="K215" s="54">
        <f>CHOOSE(CONTROL!$C$42, 7.3364, 7.3364) * CHOOSE(CONTROL!$C$21, $C$9, 100%, $E$9)</f>
        <v>7.3364000000000003</v>
      </c>
      <c r="L215" s="10">
        <f>CHOOSE(CONTROL!$C$42, 8.0187, 8.0187) * CHOOSE(CONTROL!$C$21, $C$9, 100%, $E$9)</f>
        <v>8.0187000000000008</v>
      </c>
      <c r="M215" s="10">
        <f>CHOOSE(CONTROL!$C$42, 7.2925, 7.2925) * CHOOSE(CONTROL!$C$21, $C$9, 100%, $E$9)</f>
        <v>7.2925000000000004</v>
      </c>
      <c r="N215" s="10">
        <f>CHOOSE(CONTROL!$C$42, 7.3104, 7.3104) * CHOOSE(CONTROL!$C$21, $C$9, 100%, $E$9)</f>
        <v>7.3103999999999996</v>
      </c>
      <c r="O215" s="10">
        <f>CHOOSE(CONTROL!$C$42, 7.3705, 7.3705) * CHOOSE(CONTROL!$C$21, $C$9, 100%, $E$9)</f>
        <v>7.3704999999999998</v>
      </c>
      <c r="P215" s="10">
        <f>CHOOSE(CONTROL!$C$42, 7.2801, 7.2801) * CHOOSE(CONTROL!$C$21, $C$9, 100%, $E$9)</f>
        <v>7.2801</v>
      </c>
      <c r="Q215" s="10">
        <f>CHOOSE(CONTROL!$C$42, 7.9658, 7.9658) * CHOOSE(CONTROL!$C$21, $C$9, 100%, $E$9)</f>
        <v>7.9657999999999998</v>
      </c>
      <c r="R215" s="10">
        <f>CHOOSE(CONTROL!$C$42, 8.5727, 8.5727) * CHOOSE(CONTROL!$C$21, $C$9, 100%, $E$9)</f>
        <v>8.5726999999999993</v>
      </c>
      <c r="S215" s="10">
        <f>CHOOSE(CONTROL!$C$42, 7.1589, 7.1589) * CHOOSE(CONTROL!$C$21, $C$9, 100%, $E$9)</f>
        <v>7.1589</v>
      </c>
      <c r="T215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15" s="58">
        <f>(1000*CHOOSE(CONTROL!$C$42, 695, 695)*CHOOSE(CONTROL!$C$42, 0.5599, 0.5599)*CHOOSE(CONTROL!$C$42, 30, 30))/1000000</f>
        <v>11.673914999999997</v>
      </c>
      <c r="V215" s="58">
        <f>(1000*CHOOSE(CONTROL!$C$42, 500, 500)*CHOOSE(CONTROL!$C$42, 0.275, 0.275)*CHOOSE(CONTROL!$C$42, 30, 30))/1000000</f>
        <v>4.125</v>
      </c>
      <c r="W215" s="58">
        <f>(1000*CHOOSE(CONTROL!$C$42, 0.1146, 0.1146)*CHOOSE(CONTROL!$C$42, 121.5, 121.5)*CHOOSE(CONTROL!$C$42, 30, 30))/1000000</f>
        <v>0.417717</v>
      </c>
      <c r="X215" s="58">
        <f>(30*0.1790888*100000/1000000)+(30*0.2374*100000/1000000)</f>
        <v>1.2494664</v>
      </c>
      <c r="Y215" s="58"/>
      <c r="Z215" s="10"/>
      <c r="AA215" s="57"/>
      <c r="AB215" s="51">
        <f>(B215*122.58+C215*297.941+D215*89.177+E215*40.302+F215*40+G215*160+H215*0+I215*100+J215*300)/(122.58+297.941+89.177+40.302+0+40+160+100+300)</f>
        <v>7.3720407704347819</v>
      </c>
      <c r="AC215" s="27">
        <f>(M215*'RAP TEMPLATE-GAS AVAILABILITY'!O214+N215*'RAP TEMPLATE-GAS AVAILABILITY'!P214+O215*'RAP TEMPLATE-GAS AVAILABILITY'!Q214+P215*'RAP TEMPLATE-GAS AVAILABILITY'!R214)/('RAP TEMPLATE-GAS AVAILABILITY'!O214+'RAP TEMPLATE-GAS AVAILABILITY'!P214+'RAP TEMPLATE-GAS AVAILABILITY'!Q214+'RAP TEMPLATE-GAS AVAILABILITY'!R214)</f>
        <v>7.3270985611510797</v>
      </c>
    </row>
    <row r="216" spans="1:29" ht="15.75" x14ac:dyDescent="0.25">
      <c r="A216" s="16">
        <v>47818</v>
      </c>
      <c r="B216" s="10">
        <f>CHOOSE(CONTROL!$C$42, 7.8767, 7.8767) * CHOOSE(CONTROL!$C$21, $C$9, 100%, $E$9)</f>
        <v>7.8766999999999996</v>
      </c>
      <c r="C216" s="10">
        <f>CHOOSE(CONTROL!$C$42, 7.8816, 7.8816) * CHOOSE(CONTROL!$C$21, $C$9, 100%, $E$9)</f>
        <v>7.8815999999999997</v>
      </c>
      <c r="D216" s="10">
        <f>CHOOSE(CONTROL!$C$42, 7.9112, 7.9112) * CHOOSE(CONTROL!$C$21, $C$9, 100%, $E$9)</f>
        <v>7.9112</v>
      </c>
      <c r="E216" s="10">
        <f>CHOOSE(CONTROL!$C$42, 7.945, 7.945) * CHOOSE(CONTROL!$C$21, $C$9, 100%, $E$9)</f>
        <v>7.9450000000000003</v>
      </c>
      <c r="F216" s="10">
        <f>CHOOSE(CONTROL!$C$42, 7.864, 7.864)*CHOOSE(CONTROL!$C$21, $C$9, 100%, $E$9)</f>
        <v>7.8639999999999999</v>
      </c>
      <c r="G216" s="10">
        <f>CHOOSE(CONTROL!$C$42, 7.8824, 7.8824)*CHOOSE(CONTROL!$C$21, $C$9, 100%, $E$9)</f>
        <v>7.8823999999999996</v>
      </c>
      <c r="H216" s="10">
        <f>CHOOSE(CONTROL!$C$42, 7.9342, 7.9342) * CHOOSE(CONTROL!$C$21, $C$9, 100%, $E$9)</f>
        <v>7.9341999999999997</v>
      </c>
      <c r="I216" s="10">
        <f>CHOOSE(CONTROL!$C$42, 7.8429, 7.8429)* CHOOSE(CONTROL!$C$21, $C$9, 100%, $E$9)</f>
        <v>7.8429000000000002</v>
      </c>
      <c r="J216" s="10">
        <f>CHOOSE(CONTROL!$C$42, 7.857, 7.857)* CHOOSE(CONTROL!$C$21, $C$9, 100%, $E$9)</f>
        <v>7.8570000000000002</v>
      </c>
      <c r="K216" s="54">
        <f>CHOOSE(CONTROL!$C$42, 7.839, 7.839) * CHOOSE(CONTROL!$C$21, $C$9, 100%, $E$9)</f>
        <v>7.8390000000000004</v>
      </c>
      <c r="L216" s="10">
        <f>CHOOSE(CONTROL!$C$42, 8.5212, 8.5212) * CHOOSE(CONTROL!$C$21, $C$9, 100%, $E$9)</f>
        <v>8.5212000000000003</v>
      </c>
      <c r="M216" s="10">
        <f>CHOOSE(CONTROL!$C$42, 7.7915, 7.7915) * CHOOSE(CONTROL!$C$21, $C$9, 100%, $E$9)</f>
        <v>7.7915000000000001</v>
      </c>
      <c r="N216" s="10">
        <f>CHOOSE(CONTROL!$C$42, 7.8098, 7.8098) * CHOOSE(CONTROL!$C$21, $C$9, 100%, $E$9)</f>
        <v>7.8098000000000001</v>
      </c>
      <c r="O216" s="10">
        <f>CHOOSE(CONTROL!$C$42, 7.868, 7.868) * CHOOSE(CONTROL!$C$21, $C$9, 100%, $E$9)</f>
        <v>7.8680000000000003</v>
      </c>
      <c r="P216" s="10">
        <f>CHOOSE(CONTROL!$C$42, 7.7776, 7.7776) * CHOOSE(CONTROL!$C$21, $C$9, 100%, $E$9)</f>
        <v>7.7775999999999996</v>
      </c>
      <c r="Q216" s="10">
        <f>CHOOSE(CONTROL!$C$42, 8.4633, 8.4633) * CHOOSE(CONTROL!$C$21, $C$9, 100%, $E$9)</f>
        <v>8.4633000000000003</v>
      </c>
      <c r="R216" s="10">
        <f>CHOOSE(CONTROL!$C$42, 9.0714, 9.0714) * CHOOSE(CONTROL!$C$21, $C$9, 100%, $E$9)</f>
        <v>9.0714000000000006</v>
      </c>
      <c r="S216" s="10">
        <f>CHOOSE(CONTROL!$C$42, 7.6469, 7.6469) * CHOOSE(CONTROL!$C$21, $C$9, 100%, $E$9)</f>
        <v>7.6468999999999996</v>
      </c>
      <c r="T216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216" s="58">
        <f>(1000*CHOOSE(CONTROL!$C$42, 695, 695)*CHOOSE(CONTROL!$C$42, 0.5599, 0.5599)*CHOOSE(CONTROL!$C$42, 31, 31))/1000000</f>
        <v>12.063045499999998</v>
      </c>
      <c r="V216" s="58">
        <f>(1000*CHOOSE(CONTROL!$C$42, 500, 500)*CHOOSE(CONTROL!$C$42, 0.275, 0.275)*CHOOSE(CONTROL!$C$42, 31, 31))/1000000</f>
        <v>4.2625000000000002</v>
      </c>
      <c r="W216" s="58">
        <f>(1000*CHOOSE(CONTROL!$C$42, 0.1146, 0.1146)*CHOOSE(CONTROL!$C$42, 121.5, 121.5)*CHOOSE(CONTROL!$C$42, 31, 31))/1000000</f>
        <v>0.43164089999999994</v>
      </c>
      <c r="X216" s="58">
        <f>(31*0.1790888*100000/1000000)+(31*0.2374*100000/1000000)</f>
        <v>1.2911152800000001</v>
      </c>
      <c r="Y216" s="58"/>
      <c r="Z216" s="10"/>
      <c r="AA216" s="57"/>
      <c r="AB216" s="51">
        <f>(B216*122.58+C216*297.941+D216*89.177+E216*40.302+F216*40+G216*160+H216*0+I216*100+J216*300)/(122.58+297.941+89.177+40.302+0+40+160+100+300)</f>
        <v>7.8753114295652171</v>
      </c>
      <c r="AC216" s="27">
        <f>(M216*'RAP TEMPLATE-GAS AVAILABILITY'!O215+N216*'RAP TEMPLATE-GAS AVAILABILITY'!P215+O216*'RAP TEMPLATE-GAS AVAILABILITY'!Q215+P216*'RAP TEMPLATE-GAS AVAILABILITY'!R215)/('RAP TEMPLATE-GAS AVAILABILITY'!O215+'RAP TEMPLATE-GAS AVAILABILITY'!P215+'RAP TEMPLATE-GAS AVAILABILITY'!Q215+'RAP TEMPLATE-GAS AVAILABILITY'!R215)</f>
        <v>7.8252258992805759</v>
      </c>
    </row>
    <row r="217" spans="1:29" ht="15.75" x14ac:dyDescent="0.25">
      <c r="A217" s="16">
        <v>47849</v>
      </c>
      <c r="B217" s="10">
        <f>CHOOSE(CONTROL!$C$42, 8.4081, 8.4081) * CHOOSE(CONTROL!$C$21, $C$9, 100%, $E$9)</f>
        <v>8.4080999999999992</v>
      </c>
      <c r="C217" s="10">
        <f>CHOOSE(CONTROL!$C$42, 8.4131, 8.4131) * CHOOSE(CONTROL!$C$21, $C$9, 100%, $E$9)</f>
        <v>8.4131</v>
      </c>
      <c r="D217" s="10">
        <f>CHOOSE(CONTROL!$C$42, 8.4633, 8.4633) * CHOOSE(CONTROL!$C$21, $C$9, 100%, $E$9)</f>
        <v>8.4633000000000003</v>
      </c>
      <c r="E217" s="10">
        <f>CHOOSE(CONTROL!$C$42, 8.497, 8.497) * CHOOSE(CONTROL!$C$21, $C$9, 100%, $E$9)</f>
        <v>8.4969999999999999</v>
      </c>
      <c r="F217" s="10">
        <f>CHOOSE(CONTROL!$C$42, 8.3735, 8.3735)*CHOOSE(CONTROL!$C$21, $C$9, 100%, $E$9)</f>
        <v>8.3734999999999999</v>
      </c>
      <c r="G217" s="10">
        <f>CHOOSE(CONTROL!$C$42, 8.391, 8.391)*CHOOSE(CONTROL!$C$21, $C$9, 100%, $E$9)</f>
        <v>8.391</v>
      </c>
      <c r="H217" s="10">
        <f>CHOOSE(CONTROL!$C$42, 8.4862, 8.4862) * CHOOSE(CONTROL!$C$21, $C$9, 100%, $E$9)</f>
        <v>8.4862000000000002</v>
      </c>
      <c r="I217" s="10">
        <f>CHOOSE(CONTROL!$C$42, 8.382, 8.382)* CHOOSE(CONTROL!$C$21, $C$9, 100%, $E$9)</f>
        <v>8.3819999999999997</v>
      </c>
      <c r="J217" s="10">
        <f>CHOOSE(CONTROL!$C$42, 8.3665, 8.3665)* CHOOSE(CONTROL!$C$21, $C$9, 100%, $E$9)</f>
        <v>8.3665000000000003</v>
      </c>
      <c r="K217" s="54">
        <f>CHOOSE(CONTROL!$C$42, 8.3781, 8.3781) * CHOOSE(CONTROL!$C$21, $C$9, 100%, $E$9)</f>
        <v>8.3780999999999999</v>
      </c>
      <c r="L217" s="10">
        <f>CHOOSE(CONTROL!$C$42, 9.0732, 9.0732) * CHOOSE(CONTROL!$C$21, $C$9, 100%, $E$9)</f>
        <v>9.0731999999999999</v>
      </c>
      <c r="M217" s="10">
        <f>CHOOSE(CONTROL!$C$42, 8.2959, 8.2959) * CHOOSE(CONTROL!$C$21, $C$9, 100%, $E$9)</f>
        <v>8.2958999999999996</v>
      </c>
      <c r="N217" s="10">
        <f>CHOOSE(CONTROL!$C$42, 8.3132, 8.3132) * CHOOSE(CONTROL!$C$21, $C$9, 100%, $E$9)</f>
        <v>8.3132000000000001</v>
      </c>
      <c r="O217" s="10">
        <f>CHOOSE(CONTROL!$C$42, 8.4144, 8.4144) * CHOOSE(CONTROL!$C$21, $C$9, 100%, $E$9)</f>
        <v>8.4144000000000005</v>
      </c>
      <c r="P217" s="10">
        <f>CHOOSE(CONTROL!$C$42, 8.3113, 8.3113) * CHOOSE(CONTROL!$C$21, $C$9, 100%, $E$9)</f>
        <v>8.3112999999999992</v>
      </c>
      <c r="Q217" s="10">
        <f>CHOOSE(CONTROL!$C$42, 9.0097, 9.0097) * CHOOSE(CONTROL!$C$21, $C$9, 100%, $E$9)</f>
        <v>9.0097000000000005</v>
      </c>
      <c r="R217" s="10">
        <f>CHOOSE(CONTROL!$C$42, 9.6192, 9.6192) * CHOOSE(CONTROL!$C$21, $C$9, 100%, $E$9)</f>
        <v>9.6191999999999993</v>
      </c>
      <c r="S217" s="10">
        <f>CHOOSE(CONTROL!$C$42, 8.163, 8.163) * CHOOSE(CONTROL!$C$21, $C$9, 100%, $E$9)</f>
        <v>8.1630000000000003</v>
      </c>
      <c r="T217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17" s="58">
        <f>(1000*CHOOSE(CONTROL!$C$42, 695, 695)*CHOOSE(CONTROL!$C$42, 0.5599, 0.5599)*CHOOSE(CONTROL!$C$42, 31, 31))/1000000</f>
        <v>12.063045499999998</v>
      </c>
      <c r="V217" s="58">
        <f>(1000*CHOOSE(CONTROL!$C$42, 500, 500)*CHOOSE(CONTROL!$C$42, 0.275, 0.275)*CHOOSE(CONTROL!$C$42, 31, 31))/1000000</f>
        <v>4.2625000000000002</v>
      </c>
      <c r="W217" s="58">
        <f>(1000*CHOOSE(CONTROL!$C$42, 0.1146, 0.1146)*CHOOSE(CONTROL!$C$42, 121.5, 121.5)*CHOOSE(CONTROL!$C$42, 31, 31))/1000000</f>
        <v>0.43164089999999994</v>
      </c>
      <c r="X217" s="58">
        <f>(31*0.1790888*100000/1000000)+(31*0.2374*100000/1000000)</f>
        <v>1.2911152800000001</v>
      </c>
      <c r="Y217" s="58"/>
      <c r="Z217" s="10"/>
      <c r="AA217" s="57"/>
      <c r="AB217" s="51">
        <f>(B217*122.58+C217*297.941+D217*89.177+E217*40.302+F217*40+G217*160+H217*0+I217*100+J217*300)/(122.58+297.941+89.177+40.302+0+40+160+100+300)</f>
        <v>8.4000870636521725</v>
      </c>
      <c r="AC217" s="27">
        <f>(M217*'RAP TEMPLATE-GAS AVAILABILITY'!O216+N217*'RAP TEMPLATE-GAS AVAILABILITY'!P216+O217*'RAP TEMPLATE-GAS AVAILABILITY'!Q216+P217*'RAP TEMPLATE-GAS AVAILABILITY'!R216)/('RAP TEMPLATE-GAS AVAILABILITY'!O216+'RAP TEMPLATE-GAS AVAILABILITY'!P216+'RAP TEMPLATE-GAS AVAILABILITY'!Q216+'RAP TEMPLATE-GAS AVAILABILITY'!R216)</f>
        <v>8.3528201438848928</v>
      </c>
    </row>
    <row r="218" spans="1:29" ht="15.75" x14ac:dyDescent="0.25">
      <c r="A218" s="16">
        <v>47880</v>
      </c>
      <c r="B218" s="10">
        <f>CHOOSE(CONTROL!$C$42, 8.5577, 8.5577) * CHOOSE(CONTROL!$C$21, $C$9, 100%, $E$9)</f>
        <v>8.5577000000000005</v>
      </c>
      <c r="C218" s="10">
        <f>CHOOSE(CONTROL!$C$42, 8.5627, 8.5627) * CHOOSE(CONTROL!$C$21, $C$9, 100%, $E$9)</f>
        <v>8.5626999999999995</v>
      </c>
      <c r="D218" s="10">
        <f>CHOOSE(CONTROL!$C$42, 8.6798, 8.6798) * CHOOSE(CONTROL!$C$21, $C$9, 100%, $E$9)</f>
        <v>8.6798000000000002</v>
      </c>
      <c r="E218" s="10">
        <f>CHOOSE(CONTROL!$C$42, 8.7136, 8.7136) * CHOOSE(CONTROL!$C$21, $C$9, 100%, $E$9)</f>
        <v>8.7135999999999996</v>
      </c>
      <c r="F218" s="10">
        <f>CHOOSE(CONTROL!$C$42, 8.6353, 8.6353)*CHOOSE(CONTROL!$C$21, $C$9, 100%, $E$9)</f>
        <v>8.6353000000000009</v>
      </c>
      <c r="G218" s="10">
        <f>CHOOSE(CONTROL!$C$42, 8.6572, 8.6572)*CHOOSE(CONTROL!$C$21, $C$9, 100%, $E$9)</f>
        <v>8.6571999999999996</v>
      </c>
      <c r="H218" s="10">
        <f>CHOOSE(CONTROL!$C$42, 8.7028, 8.7028) * CHOOSE(CONTROL!$C$21, $C$9, 100%, $E$9)</f>
        <v>8.7027999999999999</v>
      </c>
      <c r="I218" s="10">
        <f>CHOOSE(CONTROL!$C$42, 8.5934, 8.5934)* CHOOSE(CONTROL!$C$21, $C$9, 100%, $E$9)</f>
        <v>8.5934000000000008</v>
      </c>
      <c r="J218" s="10">
        <f>CHOOSE(CONTROL!$C$42, 8.6283, 8.6283)* CHOOSE(CONTROL!$C$21, $C$9, 100%, $E$9)</f>
        <v>8.6282999999999994</v>
      </c>
      <c r="K218" s="54">
        <f>CHOOSE(CONTROL!$C$42, 8.5895, 8.5895) * CHOOSE(CONTROL!$C$21, $C$9, 100%, $E$9)</f>
        <v>8.5894999999999992</v>
      </c>
      <c r="L218" s="10">
        <f>CHOOSE(CONTROL!$C$42, 9.2898, 9.2898) * CHOOSE(CONTROL!$C$21, $C$9, 100%, $E$9)</f>
        <v>9.2897999999999996</v>
      </c>
      <c r="M218" s="10">
        <f>CHOOSE(CONTROL!$C$42, 8.5551, 8.5551) * CHOOSE(CONTROL!$C$21, $C$9, 100%, $E$9)</f>
        <v>8.5550999999999995</v>
      </c>
      <c r="N218" s="10">
        <f>CHOOSE(CONTROL!$C$42, 8.5768, 8.5768) * CHOOSE(CONTROL!$C$21, $C$9, 100%, $E$9)</f>
        <v>8.5768000000000004</v>
      </c>
      <c r="O218" s="10">
        <f>CHOOSE(CONTROL!$C$42, 8.6288, 8.6288) * CHOOSE(CONTROL!$C$21, $C$9, 100%, $E$9)</f>
        <v>8.6288</v>
      </c>
      <c r="P218" s="10">
        <f>CHOOSE(CONTROL!$C$42, 8.5206, 8.5206) * CHOOSE(CONTROL!$C$21, $C$9, 100%, $E$9)</f>
        <v>8.5206</v>
      </c>
      <c r="Q218" s="10">
        <f>CHOOSE(CONTROL!$C$42, 9.2241, 9.2241) * CHOOSE(CONTROL!$C$21, $C$9, 100%, $E$9)</f>
        <v>9.2241</v>
      </c>
      <c r="R218" s="10">
        <f>CHOOSE(CONTROL!$C$42, 9.8342, 9.8342) * CHOOSE(CONTROL!$C$21, $C$9, 100%, $E$9)</f>
        <v>9.8341999999999992</v>
      </c>
      <c r="S218" s="10">
        <f>CHOOSE(CONTROL!$C$42, 8.3083, 8.3083) * CHOOSE(CONTROL!$C$21, $C$9, 100%, $E$9)</f>
        <v>8.3082999999999991</v>
      </c>
      <c r="T218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218" s="58">
        <f>(1000*CHOOSE(CONTROL!$C$42, 695, 695)*CHOOSE(CONTROL!$C$42, 0.5599, 0.5599)*CHOOSE(CONTROL!$C$42, 28, 28))/1000000</f>
        <v>10.895653999999999</v>
      </c>
      <c r="V218" s="58">
        <f>(1000*CHOOSE(CONTROL!$C$42, 500, 500)*CHOOSE(CONTROL!$C$42, 0.275, 0.275)*CHOOSE(CONTROL!$C$42, 28, 28))/1000000</f>
        <v>3.85</v>
      </c>
      <c r="W218" s="58">
        <f>(1000*CHOOSE(CONTROL!$C$42, 0.1146, 0.1146)*CHOOSE(CONTROL!$C$42, 121.5, 121.5)*CHOOSE(CONTROL!$C$42, 28, 28))/1000000</f>
        <v>0.38986920000000003</v>
      </c>
      <c r="X218" s="58">
        <f>(28*0.1790888*100000/1000000)+(28*0.2374*100000/1000000)</f>
        <v>1.16616864</v>
      </c>
      <c r="Y218" s="58"/>
      <c r="Z218" s="10"/>
      <c r="AA218" s="57"/>
      <c r="AB218" s="51">
        <f>(B218*122.58+C218*297.941+D218*89.177+E218*40.302+F218*40+G218*160+H218*0+I218*100+J218*300)/(122.58+297.941+89.177+40.302+0+40+160+100+300)</f>
        <v>8.611991563913044</v>
      </c>
      <c r="AC218" s="27">
        <f>(M218*'RAP TEMPLATE-GAS AVAILABILITY'!O217+N218*'RAP TEMPLATE-GAS AVAILABILITY'!P217+O218*'RAP TEMPLATE-GAS AVAILABILITY'!Q217+P218*'RAP TEMPLATE-GAS AVAILABILITY'!R217)/('RAP TEMPLATE-GAS AVAILABILITY'!O217+'RAP TEMPLATE-GAS AVAILABILITY'!P217+'RAP TEMPLATE-GAS AVAILABILITY'!Q217+'RAP TEMPLATE-GAS AVAILABILITY'!R217)</f>
        <v>8.5847884892086324</v>
      </c>
    </row>
    <row r="219" spans="1:29" ht="15.75" x14ac:dyDescent="0.25">
      <c r="A219" s="16">
        <v>47908</v>
      </c>
      <c r="B219" s="10">
        <f>CHOOSE(CONTROL!$C$42, 8.3149, 8.3149) * CHOOSE(CONTROL!$C$21, $C$9, 100%, $E$9)</f>
        <v>8.3148999999999997</v>
      </c>
      <c r="C219" s="10">
        <f>CHOOSE(CONTROL!$C$42, 8.3198, 8.3198) * CHOOSE(CONTROL!$C$21, $C$9, 100%, $E$9)</f>
        <v>8.3198000000000008</v>
      </c>
      <c r="D219" s="10">
        <f>CHOOSE(CONTROL!$C$42, 8.4112, 8.4112) * CHOOSE(CONTROL!$C$21, $C$9, 100%, $E$9)</f>
        <v>8.4111999999999991</v>
      </c>
      <c r="E219" s="10">
        <f>CHOOSE(CONTROL!$C$42, 8.445, 8.445) * CHOOSE(CONTROL!$C$21, $C$9, 100%, $E$9)</f>
        <v>8.4450000000000003</v>
      </c>
      <c r="F219" s="10">
        <f>CHOOSE(CONTROL!$C$42, 8.3447, 8.3447)*CHOOSE(CONTROL!$C$21, $C$9, 100%, $E$9)</f>
        <v>8.3446999999999996</v>
      </c>
      <c r="G219" s="10">
        <f>CHOOSE(CONTROL!$C$42, 8.3642, 8.3642)*CHOOSE(CONTROL!$C$21, $C$9, 100%, $E$9)</f>
        <v>8.3642000000000003</v>
      </c>
      <c r="H219" s="10">
        <f>CHOOSE(CONTROL!$C$42, 8.4342, 8.4342) * CHOOSE(CONTROL!$C$21, $C$9, 100%, $E$9)</f>
        <v>8.4342000000000006</v>
      </c>
      <c r="I219" s="10">
        <f>CHOOSE(CONTROL!$C$42, 8.3377, 8.3377)* CHOOSE(CONTROL!$C$21, $C$9, 100%, $E$9)</f>
        <v>8.3376999999999999</v>
      </c>
      <c r="J219" s="10">
        <f>CHOOSE(CONTROL!$C$42, 8.3377, 8.3377)* CHOOSE(CONTROL!$C$21, $C$9, 100%, $E$9)</f>
        <v>8.3376999999999999</v>
      </c>
      <c r="K219" s="54">
        <f>CHOOSE(CONTROL!$C$42, 8.3338, 8.3338) * CHOOSE(CONTROL!$C$21, $C$9, 100%, $E$9)</f>
        <v>8.3338000000000001</v>
      </c>
      <c r="L219" s="10">
        <f>CHOOSE(CONTROL!$C$42, 9.0212, 9.0212) * CHOOSE(CONTROL!$C$21, $C$9, 100%, $E$9)</f>
        <v>9.0212000000000003</v>
      </c>
      <c r="M219" s="10">
        <f>CHOOSE(CONTROL!$C$42, 8.2674, 8.2674) * CHOOSE(CONTROL!$C$21, $C$9, 100%, $E$9)</f>
        <v>8.2674000000000003</v>
      </c>
      <c r="N219" s="10">
        <f>CHOOSE(CONTROL!$C$42, 8.2867, 8.2867) * CHOOSE(CONTROL!$C$21, $C$9, 100%, $E$9)</f>
        <v>8.2866999999999997</v>
      </c>
      <c r="O219" s="10">
        <f>CHOOSE(CONTROL!$C$42, 8.3629, 8.3629) * CHOOSE(CONTROL!$C$21, $C$9, 100%, $E$9)</f>
        <v>8.3628999999999998</v>
      </c>
      <c r="P219" s="10">
        <f>CHOOSE(CONTROL!$C$42, 8.2674, 8.2674) * CHOOSE(CONTROL!$C$21, $C$9, 100%, $E$9)</f>
        <v>8.2674000000000003</v>
      </c>
      <c r="Q219" s="10">
        <f>CHOOSE(CONTROL!$C$42, 8.9582, 8.9582) * CHOOSE(CONTROL!$C$21, $C$9, 100%, $E$9)</f>
        <v>8.9581999999999997</v>
      </c>
      <c r="R219" s="10">
        <f>CHOOSE(CONTROL!$C$42, 9.5676, 9.5676) * CHOOSE(CONTROL!$C$21, $C$9, 100%, $E$9)</f>
        <v>9.5676000000000005</v>
      </c>
      <c r="S219" s="10">
        <f>CHOOSE(CONTROL!$C$42, 8.0724, 8.0724) * CHOOSE(CONTROL!$C$21, $C$9, 100%, $E$9)</f>
        <v>8.0724</v>
      </c>
      <c r="T219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19" s="58">
        <f>(1000*CHOOSE(CONTROL!$C$42, 695, 695)*CHOOSE(CONTROL!$C$42, 0.5599, 0.5599)*CHOOSE(CONTROL!$C$42, 31, 31))/1000000</f>
        <v>12.063045499999998</v>
      </c>
      <c r="V219" s="58">
        <f>(1000*CHOOSE(CONTROL!$C$42, 500, 500)*CHOOSE(CONTROL!$C$42, 0.275, 0.275)*CHOOSE(CONTROL!$C$42, 31, 31))/1000000</f>
        <v>4.2625000000000002</v>
      </c>
      <c r="W219" s="58">
        <f>(1000*CHOOSE(CONTROL!$C$42, 0.1146, 0.1146)*CHOOSE(CONTROL!$C$42, 121.5, 121.5)*CHOOSE(CONTROL!$C$42, 31, 31))/1000000</f>
        <v>0.43164089999999994</v>
      </c>
      <c r="X219" s="58">
        <f>(31*0.1790888*100000/1000000)+(31*0.2374*100000/1000000)</f>
        <v>1.2911152800000001</v>
      </c>
      <c r="Y219" s="58"/>
      <c r="Z219" s="10"/>
      <c r="AA219" s="57"/>
      <c r="AB219" s="51">
        <f>(B219*122.58+C219*297.941+D219*89.177+E219*40.302+F219*40+G219*160+H219*0+I219*100+J219*300)/(122.58+297.941+89.177+40.302+0+40+160+100+300)</f>
        <v>8.3440225619130413</v>
      </c>
      <c r="AC219" s="27">
        <f>(M219*'RAP TEMPLATE-GAS AVAILABILITY'!O218+N219*'RAP TEMPLATE-GAS AVAILABILITY'!P218+O219*'RAP TEMPLATE-GAS AVAILABILITY'!Q218+P219*'RAP TEMPLATE-GAS AVAILABILITY'!R218)/('RAP TEMPLATE-GAS AVAILABILITY'!O218+'RAP TEMPLATE-GAS AVAILABILITY'!P218+'RAP TEMPLATE-GAS AVAILABILITY'!Q218+'RAP TEMPLATE-GAS AVAILABILITY'!R218)</f>
        <v>8.3117949640287776</v>
      </c>
    </row>
    <row r="220" spans="1:29" ht="15.75" x14ac:dyDescent="0.25">
      <c r="A220" s="16">
        <v>47939</v>
      </c>
      <c r="B220" s="10">
        <f>CHOOSE(CONTROL!$C$42, 8.2907, 8.2907) * CHOOSE(CONTROL!$C$21, $C$9, 100%, $E$9)</f>
        <v>8.2906999999999993</v>
      </c>
      <c r="C220" s="10">
        <f>CHOOSE(CONTROL!$C$42, 8.2951, 8.2951) * CHOOSE(CONTROL!$C$21, $C$9, 100%, $E$9)</f>
        <v>8.2950999999999997</v>
      </c>
      <c r="D220" s="10">
        <f>CHOOSE(CONTROL!$C$42, 8.4768, 8.4768) * CHOOSE(CONTROL!$C$21, $C$9, 100%, $E$9)</f>
        <v>8.4768000000000008</v>
      </c>
      <c r="E220" s="10">
        <f>CHOOSE(CONTROL!$C$42, 8.5086, 8.5086) * CHOOSE(CONTROL!$C$21, $C$9, 100%, $E$9)</f>
        <v>8.5085999999999995</v>
      </c>
      <c r="F220" s="10">
        <f>CHOOSE(CONTROL!$C$42, 8.2791, 8.2791)*CHOOSE(CONTROL!$C$21, $C$9, 100%, $E$9)</f>
        <v>8.2790999999999997</v>
      </c>
      <c r="G220" s="10">
        <f>CHOOSE(CONTROL!$C$42, 8.2971, 8.2971)*CHOOSE(CONTROL!$C$21, $C$9, 100%, $E$9)</f>
        <v>8.2971000000000004</v>
      </c>
      <c r="H220" s="10">
        <f>CHOOSE(CONTROL!$C$42, 8.4984, 8.4984) * CHOOSE(CONTROL!$C$21, $C$9, 100%, $E$9)</f>
        <v>8.4984000000000002</v>
      </c>
      <c r="I220" s="10">
        <f>CHOOSE(CONTROL!$C$42, 8.269, 8.269)* CHOOSE(CONTROL!$C$21, $C$9, 100%, $E$9)</f>
        <v>8.2690000000000001</v>
      </c>
      <c r="J220" s="10">
        <f>CHOOSE(CONTROL!$C$42, 8.2721, 8.2721)* CHOOSE(CONTROL!$C$21, $C$9, 100%, $E$9)</f>
        <v>8.2721</v>
      </c>
      <c r="K220" s="54">
        <f>CHOOSE(CONTROL!$C$42, 8.2651, 8.2651) * CHOOSE(CONTROL!$C$21, $C$9, 100%, $E$9)</f>
        <v>8.2651000000000003</v>
      </c>
      <c r="L220" s="10">
        <f>CHOOSE(CONTROL!$C$42, 9.0854, 9.0854) * CHOOSE(CONTROL!$C$21, $C$9, 100%, $E$9)</f>
        <v>9.0853999999999999</v>
      </c>
      <c r="M220" s="10">
        <f>CHOOSE(CONTROL!$C$42, 8.2024, 8.2024) * CHOOSE(CONTROL!$C$21, $C$9, 100%, $E$9)</f>
        <v>8.2024000000000008</v>
      </c>
      <c r="N220" s="10">
        <f>CHOOSE(CONTROL!$C$42, 8.2202, 8.2202) * CHOOSE(CONTROL!$C$21, $C$9, 100%, $E$9)</f>
        <v>8.2202000000000002</v>
      </c>
      <c r="O220" s="10">
        <f>CHOOSE(CONTROL!$C$42, 8.4264, 8.4264) * CHOOSE(CONTROL!$C$21, $C$9, 100%, $E$9)</f>
        <v>8.4263999999999992</v>
      </c>
      <c r="P220" s="10">
        <f>CHOOSE(CONTROL!$C$42, 8.1994, 8.1994) * CHOOSE(CONTROL!$C$21, $C$9, 100%, $E$9)</f>
        <v>8.1994000000000007</v>
      </c>
      <c r="Q220" s="10">
        <f>CHOOSE(CONTROL!$C$42, 9.0217, 9.0217) * CHOOSE(CONTROL!$C$21, $C$9, 100%, $E$9)</f>
        <v>9.0216999999999992</v>
      </c>
      <c r="R220" s="10">
        <f>CHOOSE(CONTROL!$C$42, 9.6313, 9.6313) * CHOOSE(CONTROL!$C$21, $C$9, 100%, $E$9)</f>
        <v>9.6312999999999995</v>
      </c>
      <c r="S220" s="10">
        <f>CHOOSE(CONTROL!$C$42, 8.0483, 8.0483) * CHOOSE(CONTROL!$C$21, $C$9, 100%, $E$9)</f>
        <v>8.0482999999999993</v>
      </c>
      <c r="T220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20" s="58">
        <f>(1000*CHOOSE(CONTROL!$C$42, 695, 695)*CHOOSE(CONTROL!$C$42, 0.5599, 0.5599)*CHOOSE(CONTROL!$C$42, 30, 30))/1000000</f>
        <v>11.673914999999997</v>
      </c>
      <c r="V220" s="58">
        <f>(1000*CHOOSE(CONTROL!$C$42, 500, 500)*CHOOSE(CONTROL!$C$42, 0.275, 0.275)*CHOOSE(CONTROL!$C$42, 30, 30))/1000000</f>
        <v>4.125</v>
      </c>
      <c r="W220" s="58">
        <f>(1000*CHOOSE(CONTROL!$C$42, 0.1146, 0.1146)*CHOOSE(CONTROL!$C$42, 121.5, 121.5)*CHOOSE(CONTROL!$C$42, 30, 30))/1000000</f>
        <v>0.417717</v>
      </c>
      <c r="X220" s="58">
        <f>(30*0.1790888*245000/1000000)+(30*0.2374*100000/1000000)</f>
        <v>2.0285026799999999</v>
      </c>
      <c r="Y220" s="58"/>
      <c r="Z220" s="10"/>
      <c r="AA220" s="57"/>
      <c r="AB220" s="51">
        <f>(B220*141.293+C220*267.993+D220*115.016+E220*89.698+F220*40+G220*185+H220*0+I220*100+J220*300)/(141.293+267.993+115.016+89.698+0+40+185+100+300)</f>
        <v>8.3190283623890213</v>
      </c>
      <c r="AC220" s="27">
        <f>(M220*'RAP TEMPLATE-GAS AVAILABILITY'!O219+N220*'RAP TEMPLATE-GAS AVAILABILITY'!P219+O220*'RAP TEMPLATE-GAS AVAILABILITY'!Q219+P220*'RAP TEMPLATE-GAS AVAILABILITY'!R219)/('RAP TEMPLATE-GAS AVAILABILITY'!O219+'RAP TEMPLATE-GAS AVAILABILITY'!P219+'RAP TEMPLATE-GAS AVAILABILITY'!Q219+'RAP TEMPLATE-GAS AVAILABILITY'!R219)</f>
        <v>8.2689151079136707</v>
      </c>
    </row>
    <row r="221" spans="1:29" ht="15.75" x14ac:dyDescent="0.25">
      <c r="A221" s="16">
        <v>47969</v>
      </c>
      <c r="B221" s="10">
        <f>CHOOSE(CONTROL!$C$42, 8.3657, 8.3657) * CHOOSE(CONTROL!$C$21, $C$9, 100%, $E$9)</f>
        <v>8.3657000000000004</v>
      </c>
      <c r="C221" s="10">
        <f>CHOOSE(CONTROL!$C$42, 8.3736, 8.3736) * CHOOSE(CONTROL!$C$21, $C$9, 100%, $E$9)</f>
        <v>8.3735999999999997</v>
      </c>
      <c r="D221" s="10">
        <f>CHOOSE(CONTROL!$C$42, 8.5521, 8.5521) * CHOOSE(CONTROL!$C$21, $C$9, 100%, $E$9)</f>
        <v>8.5520999999999994</v>
      </c>
      <c r="E221" s="10">
        <f>CHOOSE(CONTROL!$C$42, 8.5833, 8.5833) * CHOOSE(CONTROL!$C$21, $C$9, 100%, $E$9)</f>
        <v>8.5832999999999995</v>
      </c>
      <c r="F221" s="10">
        <f>CHOOSE(CONTROL!$C$42, 8.3519, 8.3519)*CHOOSE(CONTROL!$C$21, $C$9, 100%, $E$9)</f>
        <v>8.3519000000000005</v>
      </c>
      <c r="G221" s="10">
        <f>CHOOSE(CONTROL!$C$42, 8.37, 8.37)*CHOOSE(CONTROL!$C$21, $C$9, 100%, $E$9)</f>
        <v>8.3699999999999992</v>
      </c>
      <c r="H221" s="10">
        <f>CHOOSE(CONTROL!$C$42, 8.5719, 8.5719) * CHOOSE(CONTROL!$C$21, $C$9, 100%, $E$9)</f>
        <v>8.5718999999999994</v>
      </c>
      <c r="I221" s="10">
        <f>CHOOSE(CONTROL!$C$42, 8.3425, 8.3425)* CHOOSE(CONTROL!$C$21, $C$9, 100%, $E$9)</f>
        <v>8.3424999999999994</v>
      </c>
      <c r="J221" s="10">
        <f>CHOOSE(CONTROL!$C$42, 8.3449, 8.3449)* CHOOSE(CONTROL!$C$21, $C$9, 100%, $E$9)</f>
        <v>8.3449000000000009</v>
      </c>
      <c r="K221" s="54">
        <f>CHOOSE(CONTROL!$C$42, 8.3387, 8.3387) * CHOOSE(CONTROL!$C$21, $C$9, 100%, $E$9)</f>
        <v>8.3386999999999993</v>
      </c>
      <c r="L221" s="10">
        <f>CHOOSE(CONTROL!$C$42, 9.1589, 9.1589) * CHOOSE(CONTROL!$C$21, $C$9, 100%, $E$9)</f>
        <v>9.1588999999999992</v>
      </c>
      <c r="M221" s="10">
        <f>CHOOSE(CONTROL!$C$42, 8.2745, 8.2745) * CHOOSE(CONTROL!$C$21, $C$9, 100%, $E$9)</f>
        <v>8.2744999999999997</v>
      </c>
      <c r="N221" s="10">
        <f>CHOOSE(CONTROL!$C$42, 8.2925, 8.2925) * CHOOSE(CONTROL!$C$21, $C$9, 100%, $E$9)</f>
        <v>8.2925000000000004</v>
      </c>
      <c r="O221" s="10">
        <f>CHOOSE(CONTROL!$C$42, 8.4992, 8.4992) * CHOOSE(CONTROL!$C$21, $C$9, 100%, $E$9)</f>
        <v>8.4992000000000001</v>
      </c>
      <c r="P221" s="10">
        <f>CHOOSE(CONTROL!$C$42, 8.2722, 8.2722) * CHOOSE(CONTROL!$C$21, $C$9, 100%, $E$9)</f>
        <v>8.2721999999999998</v>
      </c>
      <c r="Q221" s="10">
        <f>CHOOSE(CONTROL!$C$42, 9.0945, 9.0945) * CHOOSE(CONTROL!$C$21, $C$9, 100%, $E$9)</f>
        <v>9.0945</v>
      </c>
      <c r="R221" s="10">
        <f>CHOOSE(CONTROL!$C$42, 9.7043, 9.7043) * CHOOSE(CONTROL!$C$21, $C$9, 100%, $E$9)</f>
        <v>9.7042999999999999</v>
      </c>
      <c r="S221" s="10">
        <f>CHOOSE(CONTROL!$C$42, 8.1197, 8.1197) * CHOOSE(CONTROL!$C$21, $C$9, 100%, $E$9)</f>
        <v>8.1196999999999999</v>
      </c>
      <c r="T221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221" s="58">
        <f>(1000*CHOOSE(CONTROL!$C$42, 695, 695)*CHOOSE(CONTROL!$C$42, 0.5599, 0.5599)*CHOOSE(CONTROL!$C$42, 31, 31))/1000000</f>
        <v>12.063045499999998</v>
      </c>
      <c r="V221" s="58">
        <f>(1000*CHOOSE(CONTROL!$C$42, 500, 500)*CHOOSE(CONTROL!$C$42, 0.275, 0.275)*CHOOSE(CONTROL!$C$42, 31, 31))/1000000</f>
        <v>4.2625000000000002</v>
      </c>
      <c r="W221" s="58">
        <f>(1000*CHOOSE(CONTROL!$C$42, 0.1146, 0.1146)*CHOOSE(CONTROL!$C$42, 121.5, 121.5)*CHOOSE(CONTROL!$C$42, 31, 31))/1000000</f>
        <v>0.43164089999999994</v>
      </c>
      <c r="X221" s="58">
        <f>(31*0.1790888*245000/1000000)+(31*0.2374*100000/1000000)</f>
        <v>2.0961194359999999</v>
      </c>
      <c r="Y221" s="58"/>
      <c r="Z221" s="10"/>
      <c r="AA221" s="57"/>
      <c r="AB221" s="51">
        <f>(B221*194.205+C221*267.466+D221*133.845+E221*53.484+F221*40+G221*185+H221*0+I221*100+J221*300)/(194.205+267.466+133.845+53.484+0+40+185+100+300)</f>
        <v>8.3895487502354769</v>
      </c>
      <c r="AC221" s="27">
        <f>(M221*'RAP TEMPLATE-GAS AVAILABILITY'!O220+N221*'RAP TEMPLATE-GAS AVAILABILITY'!P220+O221*'RAP TEMPLATE-GAS AVAILABILITY'!Q220+P221*'RAP TEMPLATE-GAS AVAILABILITY'!R220)/('RAP TEMPLATE-GAS AVAILABILITY'!O220+'RAP TEMPLATE-GAS AVAILABILITY'!P220+'RAP TEMPLATE-GAS AVAILABILITY'!Q220+'RAP TEMPLATE-GAS AVAILABILITY'!R220)</f>
        <v>8.3413582733812959</v>
      </c>
    </row>
    <row r="222" spans="1:29" ht="15.75" x14ac:dyDescent="0.25">
      <c r="A222" s="16">
        <v>48000</v>
      </c>
      <c r="B222" s="10">
        <f>CHOOSE(CONTROL!$C$42, 8.6028, 8.6028) * CHOOSE(CONTROL!$C$21, $C$9, 100%, $E$9)</f>
        <v>8.6028000000000002</v>
      </c>
      <c r="C222" s="10">
        <f>CHOOSE(CONTROL!$C$42, 8.6107, 8.6107) * CHOOSE(CONTROL!$C$21, $C$9, 100%, $E$9)</f>
        <v>8.6106999999999996</v>
      </c>
      <c r="D222" s="10">
        <f>CHOOSE(CONTROL!$C$42, 8.7893, 8.7893) * CHOOSE(CONTROL!$C$21, $C$9, 100%, $E$9)</f>
        <v>8.7893000000000008</v>
      </c>
      <c r="E222" s="10">
        <f>CHOOSE(CONTROL!$C$42, 8.8204, 8.8204) * CHOOSE(CONTROL!$C$21, $C$9, 100%, $E$9)</f>
        <v>8.8203999999999994</v>
      </c>
      <c r="F222" s="10">
        <f>CHOOSE(CONTROL!$C$42, 8.5893, 8.5893)*CHOOSE(CONTROL!$C$21, $C$9, 100%, $E$9)</f>
        <v>8.5892999999999997</v>
      </c>
      <c r="G222" s="10">
        <f>CHOOSE(CONTROL!$C$42, 8.6075, 8.6075)*CHOOSE(CONTROL!$C$21, $C$9, 100%, $E$9)</f>
        <v>8.6074999999999999</v>
      </c>
      <c r="H222" s="10">
        <f>CHOOSE(CONTROL!$C$42, 8.809, 8.809) * CHOOSE(CONTROL!$C$21, $C$9, 100%, $E$9)</f>
        <v>8.8089999999999993</v>
      </c>
      <c r="I222" s="10">
        <f>CHOOSE(CONTROL!$C$42, 8.5797, 8.5797)* CHOOSE(CONTROL!$C$21, $C$9, 100%, $E$9)</f>
        <v>8.5797000000000008</v>
      </c>
      <c r="J222" s="10">
        <f>CHOOSE(CONTROL!$C$42, 8.5823, 8.5823)* CHOOSE(CONTROL!$C$21, $C$9, 100%, $E$9)</f>
        <v>8.5823</v>
      </c>
      <c r="K222" s="54">
        <f>CHOOSE(CONTROL!$C$42, 8.5758, 8.5758) * CHOOSE(CONTROL!$C$21, $C$9, 100%, $E$9)</f>
        <v>8.5757999999999992</v>
      </c>
      <c r="L222" s="10">
        <f>CHOOSE(CONTROL!$C$42, 9.396, 9.396) * CHOOSE(CONTROL!$C$21, $C$9, 100%, $E$9)</f>
        <v>9.3960000000000008</v>
      </c>
      <c r="M222" s="10">
        <f>CHOOSE(CONTROL!$C$42, 8.5095, 8.5095) * CHOOSE(CONTROL!$C$21, $C$9, 100%, $E$9)</f>
        <v>8.5094999999999992</v>
      </c>
      <c r="N222" s="10">
        <f>CHOOSE(CONTROL!$C$42, 8.5275, 8.5275) * CHOOSE(CONTROL!$C$21, $C$9, 100%, $E$9)</f>
        <v>8.5274999999999999</v>
      </c>
      <c r="O222" s="10">
        <f>CHOOSE(CONTROL!$C$42, 8.734, 8.734) * CHOOSE(CONTROL!$C$21, $C$9, 100%, $E$9)</f>
        <v>8.734</v>
      </c>
      <c r="P222" s="10">
        <f>CHOOSE(CONTROL!$C$42, 8.507, 8.507) * CHOOSE(CONTROL!$C$21, $C$9, 100%, $E$9)</f>
        <v>8.5069999999999997</v>
      </c>
      <c r="Q222" s="10">
        <f>CHOOSE(CONTROL!$C$42, 9.3293, 9.3293) * CHOOSE(CONTROL!$C$21, $C$9, 100%, $E$9)</f>
        <v>9.3292999999999999</v>
      </c>
      <c r="R222" s="10">
        <f>CHOOSE(CONTROL!$C$42, 9.9396, 9.9396) * CHOOSE(CONTROL!$C$21, $C$9, 100%, $E$9)</f>
        <v>9.9396000000000004</v>
      </c>
      <c r="S222" s="10">
        <f>CHOOSE(CONTROL!$C$42, 8.35, 8.35) * CHOOSE(CONTROL!$C$21, $C$9, 100%, $E$9)</f>
        <v>8.35</v>
      </c>
      <c r="T222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222" s="58">
        <f>(1000*CHOOSE(CONTROL!$C$42, 695, 695)*CHOOSE(CONTROL!$C$42, 0.5599, 0.5599)*CHOOSE(CONTROL!$C$42, 30, 30))/1000000</f>
        <v>11.673914999999997</v>
      </c>
      <c r="V222" s="58">
        <f>(1000*CHOOSE(CONTROL!$C$42, 500, 500)*CHOOSE(CONTROL!$C$42, 0.275, 0.275)*CHOOSE(CONTROL!$C$42, 30, 30))/1000000</f>
        <v>4.125</v>
      </c>
      <c r="W222" s="58">
        <f>(1000*CHOOSE(CONTROL!$C$42, 0.1146, 0.1146)*CHOOSE(CONTROL!$C$42, 121.5, 121.5)*CHOOSE(CONTROL!$C$42, 30, 30))/1000000</f>
        <v>0.417717</v>
      </c>
      <c r="X222" s="58">
        <f>(30*0.1790888*245000/1000000)+(30*0.2374*100000/1000000)</f>
        <v>2.0285026799999999</v>
      </c>
      <c r="Y222" s="58"/>
      <c r="Z222" s="10"/>
      <c r="AA222" s="57"/>
      <c r="AB222" s="51">
        <f>(B222*194.205+C222*267.466+D222*133.845+E222*53.484+F222*40+G222*185+H222*0+I222*100+J222*300)/(194.205+267.466+133.845+53.484+0+40+185+100+300)</f>
        <v>8.6268052529827308</v>
      </c>
      <c r="AC222" s="27">
        <f>(M222*'RAP TEMPLATE-GAS AVAILABILITY'!O221+N222*'RAP TEMPLATE-GAS AVAILABILITY'!P221+O222*'RAP TEMPLATE-GAS AVAILABILITY'!Q221+P222*'RAP TEMPLATE-GAS AVAILABILITY'!R221)/('RAP TEMPLATE-GAS AVAILABILITY'!O221+'RAP TEMPLATE-GAS AVAILABILITY'!P221+'RAP TEMPLATE-GAS AVAILABILITY'!Q221+'RAP TEMPLATE-GAS AVAILABILITY'!R221)</f>
        <v>8.5762733812949623</v>
      </c>
    </row>
    <row r="223" spans="1:29" ht="15.75" x14ac:dyDescent="0.25">
      <c r="A223" s="16">
        <v>48030</v>
      </c>
      <c r="B223" s="10">
        <f>CHOOSE(CONTROL!$C$42, 8.4379, 8.4379) * CHOOSE(CONTROL!$C$21, $C$9, 100%, $E$9)</f>
        <v>8.4379000000000008</v>
      </c>
      <c r="C223" s="10">
        <f>CHOOSE(CONTROL!$C$42, 8.4458, 8.4458) * CHOOSE(CONTROL!$C$21, $C$9, 100%, $E$9)</f>
        <v>8.4458000000000002</v>
      </c>
      <c r="D223" s="10">
        <f>CHOOSE(CONTROL!$C$42, 8.6243, 8.6243) * CHOOSE(CONTROL!$C$21, $C$9, 100%, $E$9)</f>
        <v>8.6242999999999999</v>
      </c>
      <c r="E223" s="10">
        <f>CHOOSE(CONTROL!$C$42, 8.6555, 8.6555) * CHOOSE(CONTROL!$C$21, $C$9, 100%, $E$9)</f>
        <v>8.6555</v>
      </c>
      <c r="F223" s="10">
        <f>CHOOSE(CONTROL!$C$42, 8.4246, 8.4246)*CHOOSE(CONTROL!$C$21, $C$9, 100%, $E$9)</f>
        <v>8.4245999999999999</v>
      </c>
      <c r="G223" s="10">
        <f>CHOOSE(CONTROL!$C$42, 8.4429, 8.4429)*CHOOSE(CONTROL!$C$21, $C$9, 100%, $E$9)</f>
        <v>8.4428999999999998</v>
      </c>
      <c r="H223" s="10">
        <f>CHOOSE(CONTROL!$C$42, 8.6441, 8.6441) * CHOOSE(CONTROL!$C$21, $C$9, 100%, $E$9)</f>
        <v>8.6440999999999999</v>
      </c>
      <c r="I223" s="10">
        <f>CHOOSE(CONTROL!$C$42, 8.4148, 8.4148)* CHOOSE(CONTROL!$C$21, $C$9, 100%, $E$9)</f>
        <v>8.4147999999999996</v>
      </c>
      <c r="J223" s="10">
        <f>CHOOSE(CONTROL!$C$42, 8.4176, 8.4176)* CHOOSE(CONTROL!$C$21, $C$9, 100%, $E$9)</f>
        <v>8.4176000000000002</v>
      </c>
      <c r="K223" s="54">
        <f>CHOOSE(CONTROL!$C$42, 8.4109, 8.4109) * CHOOSE(CONTROL!$C$21, $C$9, 100%, $E$9)</f>
        <v>8.4108999999999998</v>
      </c>
      <c r="L223" s="10">
        <f>CHOOSE(CONTROL!$C$42, 9.2311, 9.2311) * CHOOSE(CONTROL!$C$21, $C$9, 100%, $E$9)</f>
        <v>9.2310999999999996</v>
      </c>
      <c r="M223" s="10">
        <f>CHOOSE(CONTROL!$C$42, 8.3465, 8.3465) * CHOOSE(CONTROL!$C$21, $C$9, 100%, $E$9)</f>
        <v>8.3465000000000007</v>
      </c>
      <c r="N223" s="10">
        <f>CHOOSE(CONTROL!$C$42, 8.3646, 8.3646) * CHOOSE(CONTROL!$C$21, $C$9, 100%, $E$9)</f>
        <v>8.3645999999999994</v>
      </c>
      <c r="O223" s="10">
        <f>CHOOSE(CONTROL!$C$42, 8.5707, 8.5707) * CHOOSE(CONTROL!$C$21, $C$9, 100%, $E$9)</f>
        <v>8.5707000000000004</v>
      </c>
      <c r="P223" s="10">
        <f>CHOOSE(CONTROL!$C$42, 8.3437, 8.3437) * CHOOSE(CONTROL!$C$21, $C$9, 100%, $E$9)</f>
        <v>8.3437000000000001</v>
      </c>
      <c r="Q223" s="10">
        <f>CHOOSE(CONTROL!$C$42, 9.166, 9.166) * CHOOSE(CONTROL!$C$21, $C$9, 100%, $E$9)</f>
        <v>9.1660000000000004</v>
      </c>
      <c r="R223" s="10">
        <f>CHOOSE(CONTROL!$C$42, 9.7759, 9.7759) * CHOOSE(CONTROL!$C$21, $C$9, 100%, $E$9)</f>
        <v>9.7759</v>
      </c>
      <c r="S223" s="10">
        <f>CHOOSE(CONTROL!$C$42, 8.1898, 8.1898) * CHOOSE(CONTROL!$C$21, $C$9, 100%, $E$9)</f>
        <v>8.1898</v>
      </c>
      <c r="T223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223" s="58">
        <f>(1000*CHOOSE(CONTROL!$C$42, 695, 695)*CHOOSE(CONTROL!$C$42, 0.5599, 0.5599)*CHOOSE(CONTROL!$C$42, 31, 31))/1000000</f>
        <v>12.063045499999998</v>
      </c>
      <c r="V223" s="58">
        <f>(1000*CHOOSE(CONTROL!$C$42, 500, 500)*CHOOSE(CONTROL!$C$42, 0.275, 0.275)*CHOOSE(CONTROL!$C$42, 31, 31))/1000000</f>
        <v>4.2625000000000002</v>
      </c>
      <c r="W223" s="58">
        <f>(1000*CHOOSE(CONTROL!$C$42, 0.1146, 0.1146)*CHOOSE(CONTROL!$C$42, 121.5, 121.5)*CHOOSE(CONTROL!$C$42, 31, 31))/1000000</f>
        <v>0.43164089999999994</v>
      </c>
      <c r="X223" s="58">
        <f>(31*0.1790888*245000/1000000)+(31*0.2374*100000/1000000)</f>
        <v>2.0961194359999999</v>
      </c>
      <c r="Y223" s="58"/>
      <c r="Z223" s="10"/>
      <c r="AA223" s="57"/>
      <c r="AB223" s="51">
        <f>(B223*194.205+C223*267.466+D223*133.845+E223*53.484+F223*40+G223*185+H223*0+I223*100+J223*300)/(194.205+267.466+133.845+53.484+0+40+185+100+300)</f>
        <v>8.461991685871272</v>
      </c>
      <c r="AC223" s="27">
        <f>(M223*'RAP TEMPLATE-GAS AVAILABILITY'!O222+N223*'RAP TEMPLATE-GAS AVAILABILITY'!P222+O223*'RAP TEMPLATE-GAS AVAILABILITY'!Q222+P223*'RAP TEMPLATE-GAS AVAILABILITY'!R222)/('RAP TEMPLATE-GAS AVAILABILITY'!O222+'RAP TEMPLATE-GAS AVAILABILITY'!P222+'RAP TEMPLATE-GAS AVAILABILITY'!Q222+'RAP TEMPLATE-GAS AVAILABILITY'!R222)</f>
        <v>8.4131690647482014</v>
      </c>
    </row>
    <row r="224" spans="1:29" ht="15.75" x14ac:dyDescent="0.25">
      <c r="A224" s="16">
        <v>48061</v>
      </c>
      <c r="B224" s="10">
        <f>CHOOSE(CONTROL!$C$42, 8.0214, 8.0214) * CHOOSE(CONTROL!$C$21, $C$9, 100%, $E$9)</f>
        <v>8.0213999999999999</v>
      </c>
      <c r="C224" s="10">
        <f>CHOOSE(CONTROL!$C$42, 8.0293, 8.0293) * CHOOSE(CONTROL!$C$21, $C$9, 100%, $E$9)</f>
        <v>8.0292999999999992</v>
      </c>
      <c r="D224" s="10">
        <f>CHOOSE(CONTROL!$C$42, 8.2078, 8.2078) * CHOOSE(CONTROL!$C$21, $C$9, 100%, $E$9)</f>
        <v>8.2078000000000007</v>
      </c>
      <c r="E224" s="10">
        <f>CHOOSE(CONTROL!$C$42, 8.239, 8.239) * CHOOSE(CONTROL!$C$21, $C$9, 100%, $E$9)</f>
        <v>8.2390000000000008</v>
      </c>
      <c r="F224" s="10">
        <f>CHOOSE(CONTROL!$C$42, 8.008, 8.008)*CHOOSE(CONTROL!$C$21, $C$9, 100%, $E$9)</f>
        <v>8.0079999999999991</v>
      </c>
      <c r="G224" s="10">
        <f>CHOOSE(CONTROL!$C$42, 8.0263, 8.0263)*CHOOSE(CONTROL!$C$21, $C$9, 100%, $E$9)</f>
        <v>8.0263000000000009</v>
      </c>
      <c r="H224" s="10">
        <f>CHOOSE(CONTROL!$C$42, 8.2276, 8.2276) * CHOOSE(CONTROL!$C$21, $C$9, 100%, $E$9)</f>
        <v>8.2276000000000007</v>
      </c>
      <c r="I224" s="10">
        <f>CHOOSE(CONTROL!$C$42, 7.9982, 7.9982)* CHOOSE(CONTROL!$C$21, $C$9, 100%, $E$9)</f>
        <v>7.9981999999999998</v>
      </c>
      <c r="J224" s="10">
        <f>CHOOSE(CONTROL!$C$42, 8.001, 8.001)* CHOOSE(CONTROL!$C$21, $C$9, 100%, $E$9)</f>
        <v>8.0009999999999994</v>
      </c>
      <c r="K224" s="54">
        <f>CHOOSE(CONTROL!$C$42, 7.9943, 7.9943) * CHOOSE(CONTROL!$C$21, $C$9, 100%, $E$9)</f>
        <v>7.9943</v>
      </c>
      <c r="L224" s="10">
        <f>CHOOSE(CONTROL!$C$42, 8.8146, 8.8146) * CHOOSE(CONTROL!$C$21, $C$9, 100%, $E$9)</f>
        <v>8.8146000000000004</v>
      </c>
      <c r="M224" s="10">
        <f>CHOOSE(CONTROL!$C$42, 7.9341, 7.9341) * CHOOSE(CONTROL!$C$21, $C$9, 100%, $E$9)</f>
        <v>7.9340999999999999</v>
      </c>
      <c r="N224" s="10">
        <f>CHOOSE(CONTROL!$C$42, 7.9522, 7.9522) * CHOOSE(CONTROL!$C$21, $C$9, 100%, $E$9)</f>
        <v>7.9522000000000004</v>
      </c>
      <c r="O224" s="10">
        <f>CHOOSE(CONTROL!$C$42, 8.1584, 8.1584) * CHOOSE(CONTROL!$C$21, $C$9, 100%, $E$9)</f>
        <v>8.1584000000000003</v>
      </c>
      <c r="P224" s="10">
        <f>CHOOSE(CONTROL!$C$42, 7.9314, 7.9314) * CHOOSE(CONTROL!$C$21, $C$9, 100%, $E$9)</f>
        <v>7.9314</v>
      </c>
      <c r="Q224" s="10">
        <f>CHOOSE(CONTROL!$C$42, 8.7537, 8.7537) * CHOOSE(CONTROL!$C$21, $C$9, 100%, $E$9)</f>
        <v>8.7537000000000003</v>
      </c>
      <c r="R224" s="10">
        <f>CHOOSE(CONTROL!$C$42, 9.3626, 9.3626) * CHOOSE(CONTROL!$C$21, $C$9, 100%, $E$9)</f>
        <v>9.3626000000000005</v>
      </c>
      <c r="S224" s="10">
        <f>CHOOSE(CONTROL!$C$42, 7.7853, 7.7853) * CHOOSE(CONTROL!$C$21, $C$9, 100%, $E$9)</f>
        <v>7.7853000000000003</v>
      </c>
      <c r="T224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24" s="58">
        <f>(1000*CHOOSE(CONTROL!$C$42, 695, 695)*CHOOSE(CONTROL!$C$42, 0.5599, 0.5599)*CHOOSE(CONTROL!$C$42, 31, 31))/1000000</f>
        <v>12.063045499999998</v>
      </c>
      <c r="V224" s="58">
        <f>(1000*CHOOSE(CONTROL!$C$42, 500, 500)*CHOOSE(CONTROL!$C$42, 0.275, 0.275)*CHOOSE(CONTROL!$C$42, 31, 31))/1000000</f>
        <v>4.2625000000000002</v>
      </c>
      <c r="W224" s="58">
        <f>(1000*CHOOSE(CONTROL!$C$42, 0.1146, 0.1146)*CHOOSE(CONTROL!$C$42, 121.5, 121.5)*CHOOSE(CONTROL!$C$42, 31, 31))/1000000</f>
        <v>0.43164089999999994</v>
      </c>
      <c r="X224" s="58">
        <f>(31*0.1790888*245000/1000000)+(31*0.2374*100000/1000000)</f>
        <v>2.0961194359999999</v>
      </c>
      <c r="Y224" s="58"/>
      <c r="Z224" s="10"/>
      <c r="AA224" s="57"/>
      <c r="AB224" s="51">
        <f>(B224*194.205+C224*267.466+D224*133.845+E224*53.484+F224*40+G224*185+H224*0+I224*100+J224*300)/(194.205+267.466+133.845+53.484+0+40+185+100+300)</f>
        <v>8.0454426277864979</v>
      </c>
      <c r="AC224" s="27">
        <f>(M224*'RAP TEMPLATE-GAS AVAILABILITY'!O223+N224*'RAP TEMPLATE-GAS AVAILABILITY'!P223+O224*'RAP TEMPLATE-GAS AVAILABILITY'!Q223+P224*'RAP TEMPLATE-GAS AVAILABILITY'!R223)/('RAP TEMPLATE-GAS AVAILABILITY'!O223+'RAP TEMPLATE-GAS AVAILABILITY'!P223+'RAP TEMPLATE-GAS AVAILABILITY'!Q223+'RAP TEMPLATE-GAS AVAILABILITY'!R223)</f>
        <v>8.0008115107913671</v>
      </c>
    </row>
    <row r="225" spans="1:29" ht="15.75" x14ac:dyDescent="0.25">
      <c r="A225" s="16">
        <v>48092</v>
      </c>
      <c r="B225" s="10">
        <f>CHOOSE(CONTROL!$C$42, 7.5125, 7.5125) * CHOOSE(CONTROL!$C$21, $C$9, 100%, $E$9)</f>
        <v>7.5125000000000002</v>
      </c>
      <c r="C225" s="10">
        <f>CHOOSE(CONTROL!$C$42, 7.5204, 7.5204) * CHOOSE(CONTROL!$C$21, $C$9, 100%, $E$9)</f>
        <v>7.5204000000000004</v>
      </c>
      <c r="D225" s="10">
        <f>CHOOSE(CONTROL!$C$42, 7.6989, 7.6989) * CHOOSE(CONTROL!$C$21, $C$9, 100%, $E$9)</f>
        <v>7.6989000000000001</v>
      </c>
      <c r="E225" s="10">
        <f>CHOOSE(CONTROL!$C$42, 7.7301, 7.7301) * CHOOSE(CONTROL!$C$21, $C$9, 100%, $E$9)</f>
        <v>7.7301000000000002</v>
      </c>
      <c r="F225" s="10">
        <f>CHOOSE(CONTROL!$C$42, 7.4988, 7.4988)*CHOOSE(CONTROL!$C$21, $C$9, 100%, $E$9)</f>
        <v>7.4988000000000001</v>
      </c>
      <c r="G225" s="10">
        <f>CHOOSE(CONTROL!$C$42, 7.5171, 7.5171)*CHOOSE(CONTROL!$C$21, $C$9, 100%, $E$9)</f>
        <v>7.5171000000000001</v>
      </c>
      <c r="H225" s="10">
        <f>CHOOSE(CONTROL!$C$42, 7.7187, 7.7187) * CHOOSE(CONTROL!$C$21, $C$9, 100%, $E$9)</f>
        <v>7.7187000000000001</v>
      </c>
      <c r="I225" s="10">
        <f>CHOOSE(CONTROL!$C$42, 7.4893, 7.4893)* CHOOSE(CONTROL!$C$21, $C$9, 100%, $E$9)</f>
        <v>7.4893000000000001</v>
      </c>
      <c r="J225" s="10">
        <f>CHOOSE(CONTROL!$C$42, 7.4918, 7.4918)* CHOOSE(CONTROL!$C$21, $C$9, 100%, $E$9)</f>
        <v>7.4917999999999996</v>
      </c>
      <c r="K225" s="54">
        <f>CHOOSE(CONTROL!$C$42, 7.4854, 7.4854) * CHOOSE(CONTROL!$C$21, $C$9, 100%, $E$9)</f>
        <v>7.4854000000000003</v>
      </c>
      <c r="L225" s="10">
        <f>CHOOSE(CONTROL!$C$42, 8.3057, 8.3057) * CHOOSE(CONTROL!$C$21, $C$9, 100%, $E$9)</f>
        <v>8.3056999999999999</v>
      </c>
      <c r="M225" s="10">
        <f>CHOOSE(CONTROL!$C$42, 7.4301, 7.4301) * CHOOSE(CONTROL!$C$21, $C$9, 100%, $E$9)</f>
        <v>7.4301000000000004</v>
      </c>
      <c r="N225" s="10">
        <f>CHOOSE(CONTROL!$C$42, 7.4481, 7.4481) * CHOOSE(CONTROL!$C$21, $C$9, 100%, $E$9)</f>
        <v>7.4481000000000002</v>
      </c>
      <c r="O225" s="10">
        <f>CHOOSE(CONTROL!$C$42, 7.6546, 7.6546) * CHOOSE(CONTROL!$C$21, $C$9, 100%, $E$9)</f>
        <v>7.6546000000000003</v>
      </c>
      <c r="P225" s="10">
        <f>CHOOSE(CONTROL!$C$42, 7.4276, 7.4276) * CHOOSE(CONTROL!$C$21, $C$9, 100%, $E$9)</f>
        <v>7.4276</v>
      </c>
      <c r="Q225" s="10">
        <f>CHOOSE(CONTROL!$C$42, 8.2499, 8.2499) * CHOOSE(CONTROL!$C$21, $C$9, 100%, $E$9)</f>
        <v>8.2499000000000002</v>
      </c>
      <c r="R225" s="10">
        <f>CHOOSE(CONTROL!$C$42, 8.8575, 8.8575) * CHOOSE(CONTROL!$C$21, $C$9, 100%, $E$9)</f>
        <v>8.8574999999999999</v>
      </c>
      <c r="S225" s="10">
        <f>CHOOSE(CONTROL!$C$42, 7.2911, 7.2911) * CHOOSE(CONTROL!$C$21, $C$9, 100%, $E$9)</f>
        <v>7.2911000000000001</v>
      </c>
      <c r="T225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25" s="58">
        <f>(1000*CHOOSE(CONTROL!$C$42, 695, 695)*CHOOSE(CONTROL!$C$42, 0.5599, 0.5599)*CHOOSE(CONTROL!$C$42, 30, 30))/1000000</f>
        <v>11.673914999999997</v>
      </c>
      <c r="V225" s="58">
        <f>(1000*CHOOSE(CONTROL!$C$42, 500, 500)*CHOOSE(CONTROL!$C$42, 0.275, 0.275)*CHOOSE(CONTROL!$C$42, 30, 30))/1000000</f>
        <v>4.125</v>
      </c>
      <c r="W225" s="58">
        <f>(1000*CHOOSE(CONTROL!$C$42, 0.1146, 0.1146)*CHOOSE(CONTROL!$C$42, 121.5, 121.5)*CHOOSE(CONTROL!$C$42, 30, 30))/1000000</f>
        <v>0.417717</v>
      </c>
      <c r="X225" s="58">
        <f>(30*0.1790888*245000/1000000)+(30*0.2374*100000/1000000)</f>
        <v>2.0285026799999999</v>
      </c>
      <c r="Y225" s="58"/>
      <c r="Z225" s="10"/>
      <c r="AA225" s="57"/>
      <c r="AB225" s="51">
        <f>(B225*194.205+C225*267.466+D225*133.845+E225*53.484+F225*40+G225*185+H225*0+I225*100+J225*300)/(194.205+267.466+133.845+53.484+0+40+185+100+300)</f>
        <v>7.5364190014128729</v>
      </c>
      <c r="AC225" s="27">
        <f>(M225*'RAP TEMPLATE-GAS AVAILABILITY'!O224+N225*'RAP TEMPLATE-GAS AVAILABILITY'!P224+O225*'RAP TEMPLATE-GAS AVAILABILITY'!Q224+P225*'RAP TEMPLATE-GAS AVAILABILITY'!R224)/('RAP TEMPLATE-GAS AVAILABILITY'!O224+'RAP TEMPLATE-GAS AVAILABILITY'!P224+'RAP TEMPLATE-GAS AVAILABILITY'!Q224+'RAP TEMPLATE-GAS AVAILABILITY'!R224)</f>
        <v>7.4968733812949644</v>
      </c>
    </row>
    <row r="226" spans="1:29" ht="15.75" x14ac:dyDescent="0.25">
      <c r="A226" s="16">
        <v>48122</v>
      </c>
      <c r="B226" s="10">
        <f>CHOOSE(CONTROL!$C$42, 7.3579, 7.3579) * CHOOSE(CONTROL!$C$21, $C$9, 100%, $E$9)</f>
        <v>7.3578999999999999</v>
      </c>
      <c r="C226" s="10">
        <f>CHOOSE(CONTROL!$C$42, 7.3631, 7.3631) * CHOOSE(CONTROL!$C$21, $C$9, 100%, $E$9)</f>
        <v>7.3631000000000002</v>
      </c>
      <c r="D226" s="10">
        <f>CHOOSE(CONTROL!$C$42, 7.5466, 7.5466) * CHOOSE(CONTROL!$C$21, $C$9, 100%, $E$9)</f>
        <v>7.5465999999999998</v>
      </c>
      <c r="E226" s="10">
        <f>CHOOSE(CONTROL!$C$42, 7.5754, 7.5754) * CHOOSE(CONTROL!$C$21, $C$9, 100%, $E$9)</f>
        <v>7.5754000000000001</v>
      </c>
      <c r="F226" s="10">
        <f>CHOOSE(CONTROL!$C$42, 7.3462, 7.3462)*CHOOSE(CONTROL!$C$21, $C$9, 100%, $E$9)</f>
        <v>7.3461999999999996</v>
      </c>
      <c r="G226" s="10">
        <f>CHOOSE(CONTROL!$C$42, 7.3641, 7.3641)*CHOOSE(CONTROL!$C$21, $C$9, 100%, $E$9)</f>
        <v>7.3640999999999996</v>
      </c>
      <c r="H226" s="10">
        <f>CHOOSE(CONTROL!$C$42, 7.5659, 7.5659) * CHOOSE(CONTROL!$C$21, $C$9, 100%, $E$9)</f>
        <v>7.5659000000000001</v>
      </c>
      <c r="I226" s="10">
        <f>CHOOSE(CONTROL!$C$42, 7.3365, 7.3365)* CHOOSE(CONTROL!$C$21, $C$9, 100%, $E$9)</f>
        <v>7.3365</v>
      </c>
      <c r="J226" s="10">
        <f>CHOOSE(CONTROL!$C$42, 7.3392, 7.3392)* CHOOSE(CONTROL!$C$21, $C$9, 100%, $E$9)</f>
        <v>7.3391999999999999</v>
      </c>
      <c r="K226" s="54">
        <f>CHOOSE(CONTROL!$C$42, 7.3326, 7.3326) * CHOOSE(CONTROL!$C$21, $C$9, 100%, $E$9)</f>
        <v>7.3326000000000002</v>
      </c>
      <c r="L226" s="10">
        <f>CHOOSE(CONTROL!$C$42, 8.1529, 8.1529) * CHOOSE(CONTROL!$C$21, $C$9, 100%, $E$9)</f>
        <v>8.1529000000000007</v>
      </c>
      <c r="M226" s="10">
        <f>CHOOSE(CONTROL!$C$42, 7.279, 7.279) * CHOOSE(CONTROL!$C$21, $C$9, 100%, $E$9)</f>
        <v>7.2789999999999999</v>
      </c>
      <c r="N226" s="10">
        <f>CHOOSE(CONTROL!$C$42, 7.2967, 7.2967) * CHOOSE(CONTROL!$C$21, $C$9, 100%, $E$9)</f>
        <v>7.2967000000000004</v>
      </c>
      <c r="O226" s="10">
        <f>CHOOSE(CONTROL!$C$42, 7.5033, 7.5033) * CHOOSE(CONTROL!$C$21, $C$9, 100%, $E$9)</f>
        <v>7.5033000000000003</v>
      </c>
      <c r="P226" s="10">
        <f>CHOOSE(CONTROL!$C$42, 7.2764, 7.2764) * CHOOSE(CONTROL!$C$21, $C$9, 100%, $E$9)</f>
        <v>7.2763999999999998</v>
      </c>
      <c r="Q226" s="10">
        <f>CHOOSE(CONTROL!$C$42, 8.0986, 8.0986) * CHOOSE(CONTROL!$C$21, $C$9, 100%, $E$9)</f>
        <v>8.0985999999999994</v>
      </c>
      <c r="R226" s="10">
        <f>CHOOSE(CONTROL!$C$42, 8.7059, 8.7059) * CHOOSE(CONTROL!$C$21, $C$9, 100%, $E$9)</f>
        <v>8.7058999999999997</v>
      </c>
      <c r="S226" s="10">
        <f>CHOOSE(CONTROL!$C$42, 7.1427, 7.1427) * CHOOSE(CONTROL!$C$21, $C$9, 100%, $E$9)</f>
        <v>7.1426999999999996</v>
      </c>
      <c r="T226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26" s="58">
        <f>(1000*CHOOSE(CONTROL!$C$42, 695, 695)*CHOOSE(CONTROL!$C$42, 0.5599, 0.5599)*CHOOSE(CONTROL!$C$42, 31, 31))/1000000</f>
        <v>12.063045499999998</v>
      </c>
      <c r="V226" s="58">
        <f>(1000*CHOOSE(CONTROL!$C$42, 500, 500)*CHOOSE(CONTROL!$C$42, 0.275, 0.275)*CHOOSE(CONTROL!$C$42, 31, 31))/1000000</f>
        <v>4.2625000000000002</v>
      </c>
      <c r="W226" s="58">
        <f>(1000*CHOOSE(CONTROL!$C$42, 0.1146, 0.1146)*CHOOSE(CONTROL!$C$42, 121.5, 121.5)*CHOOSE(CONTROL!$C$42, 31, 31))/1000000</f>
        <v>0.43164089999999994</v>
      </c>
      <c r="X226" s="58">
        <f>(31*0.1790888*245000/1000000)+(31*0.2374*100000/1000000)</f>
        <v>2.0961194359999999</v>
      </c>
      <c r="Y226" s="58"/>
      <c r="Z226" s="10"/>
      <c r="AA226" s="57"/>
      <c r="AB226" s="51">
        <f>(B226*131.881+C226*277.167+D226*79.08+E226*125.872+F226*40+G226*185+H226*0+I226*100+J226*300)/(131.881+277.167+79.08+125.872+0+40+185+100+300)</f>
        <v>7.3874963070217916</v>
      </c>
      <c r="AC226" s="27">
        <f>(M226*'RAP TEMPLATE-GAS AVAILABILITY'!O225+N226*'RAP TEMPLATE-GAS AVAILABILITY'!P225+O226*'RAP TEMPLATE-GAS AVAILABILITY'!Q225+P226*'RAP TEMPLATE-GAS AVAILABILITY'!R225)/('RAP TEMPLATE-GAS AVAILABILITY'!O225+'RAP TEMPLATE-GAS AVAILABILITY'!P225+'RAP TEMPLATE-GAS AVAILABILITY'!Q225+'RAP TEMPLATE-GAS AVAILABILITY'!R225)</f>
        <v>7.3456338129496404</v>
      </c>
    </row>
    <row r="227" spans="1:29" ht="15.75" x14ac:dyDescent="0.25">
      <c r="A227" s="16">
        <v>48153</v>
      </c>
      <c r="B227" s="10">
        <f>CHOOSE(CONTROL!$C$42, 7.5512, 7.5512) * CHOOSE(CONTROL!$C$21, $C$9, 100%, $E$9)</f>
        <v>7.5511999999999997</v>
      </c>
      <c r="C227" s="10">
        <f>CHOOSE(CONTROL!$C$42, 7.5562, 7.5562) * CHOOSE(CONTROL!$C$21, $C$9, 100%, $E$9)</f>
        <v>7.5561999999999996</v>
      </c>
      <c r="D227" s="10">
        <f>CHOOSE(CONTROL!$C$42, 7.5858, 7.5858) * CHOOSE(CONTROL!$C$21, $C$9, 100%, $E$9)</f>
        <v>7.5857999999999999</v>
      </c>
      <c r="E227" s="10">
        <f>CHOOSE(CONTROL!$C$42, 7.6196, 7.6196) * CHOOSE(CONTROL!$C$21, $C$9, 100%, $E$9)</f>
        <v>7.6196000000000002</v>
      </c>
      <c r="F227" s="10">
        <f>CHOOSE(CONTROL!$C$42, 7.537, 7.537)*CHOOSE(CONTROL!$C$21, $C$9, 100%, $E$9)</f>
        <v>7.5369999999999999</v>
      </c>
      <c r="G227" s="10">
        <f>CHOOSE(CONTROL!$C$42, 7.555, 7.555)*CHOOSE(CONTROL!$C$21, $C$9, 100%, $E$9)</f>
        <v>7.5549999999999997</v>
      </c>
      <c r="H227" s="10">
        <f>CHOOSE(CONTROL!$C$42, 7.6088, 7.6088) * CHOOSE(CONTROL!$C$21, $C$9, 100%, $E$9)</f>
        <v>7.6087999999999996</v>
      </c>
      <c r="I227" s="10">
        <f>CHOOSE(CONTROL!$C$42, 7.5174, 7.5174)* CHOOSE(CONTROL!$C$21, $C$9, 100%, $E$9)</f>
        <v>7.5174000000000003</v>
      </c>
      <c r="J227" s="10">
        <f>CHOOSE(CONTROL!$C$42, 7.53, 7.53)* CHOOSE(CONTROL!$C$21, $C$9, 100%, $E$9)</f>
        <v>7.53</v>
      </c>
      <c r="K227" s="54">
        <f>CHOOSE(CONTROL!$C$42, 7.5135, 7.5135) * CHOOSE(CONTROL!$C$21, $C$9, 100%, $E$9)</f>
        <v>7.5134999999999996</v>
      </c>
      <c r="L227" s="10">
        <f>CHOOSE(CONTROL!$C$42, 8.1958, 8.1958) * CHOOSE(CONTROL!$C$21, $C$9, 100%, $E$9)</f>
        <v>8.1958000000000002</v>
      </c>
      <c r="M227" s="10">
        <f>CHOOSE(CONTROL!$C$42, 7.4678, 7.4678) * CHOOSE(CONTROL!$C$21, $C$9, 100%, $E$9)</f>
        <v>7.4678000000000004</v>
      </c>
      <c r="N227" s="10">
        <f>CHOOSE(CONTROL!$C$42, 7.4857, 7.4857) * CHOOSE(CONTROL!$C$21, $C$9, 100%, $E$9)</f>
        <v>7.4856999999999996</v>
      </c>
      <c r="O227" s="10">
        <f>CHOOSE(CONTROL!$C$42, 7.5458, 7.5458) * CHOOSE(CONTROL!$C$21, $C$9, 100%, $E$9)</f>
        <v>7.5457999999999998</v>
      </c>
      <c r="P227" s="10">
        <f>CHOOSE(CONTROL!$C$42, 7.4554, 7.4554) * CHOOSE(CONTROL!$C$21, $C$9, 100%, $E$9)</f>
        <v>7.4554</v>
      </c>
      <c r="Q227" s="10">
        <f>CHOOSE(CONTROL!$C$42, 8.1411, 8.1411) * CHOOSE(CONTROL!$C$21, $C$9, 100%, $E$9)</f>
        <v>8.1410999999999998</v>
      </c>
      <c r="R227" s="10">
        <f>CHOOSE(CONTROL!$C$42, 8.7485, 8.7485) * CHOOSE(CONTROL!$C$21, $C$9, 100%, $E$9)</f>
        <v>8.7484999999999999</v>
      </c>
      <c r="S227" s="10">
        <f>CHOOSE(CONTROL!$C$42, 7.3309, 7.3309) * CHOOSE(CONTROL!$C$21, $C$9, 100%, $E$9)</f>
        <v>7.3308999999999997</v>
      </c>
      <c r="T227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27" s="58">
        <f>(1000*CHOOSE(CONTROL!$C$42, 695, 695)*CHOOSE(CONTROL!$C$42, 0.5599, 0.5599)*CHOOSE(CONTROL!$C$42, 30, 30))/1000000</f>
        <v>11.673914999999997</v>
      </c>
      <c r="V227" s="58">
        <f>(1000*CHOOSE(CONTROL!$C$42, 500, 500)*CHOOSE(CONTROL!$C$42, 0.275, 0.275)*CHOOSE(CONTROL!$C$42, 30, 30))/1000000</f>
        <v>4.125</v>
      </c>
      <c r="W227" s="58">
        <f>(1000*CHOOSE(CONTROL!$C$42, 0.1146, 0.1146)*CHOOSE(CONTROL!$C$42, 121.5, 121.5)*CHOOSE(CONTROL!$C$42, 30, 30))/1000000</f>
        <v>0.417717</v>
      </c>
      <c r="X227" s="58">
        <f>(30*0.1790888*100000/1000000)+(30*0.2374*100000/1000000)</f>
        <v>1.2494664</v>
      </c>
      <c r="Y227" s="58"/>
      <c r="Z227" s="10"/>
      <c r="AA227" s="57"/>
      <c r="AB227" s="51">
        <f>(B227*122.58+C227*297.941+D227*89.177+E227*40.302+F227*40+G227*160+H227*0+I227*100+J227*300)/(122.58+297.941+89.177+40.302+0+40+160+100+300)</f>
        <v>7.549140770434783</v>
      </c>
      <c r="AC227" s="27">
        <f>(M227*'RAP TEMPLATE-GAS AVAILABILITY'!O226+N227*'RAP TEMPLATE-GAS AVAILABILITY'!P226+O227*'RAP TEMPLATE-GAS AVAILABILITY'!Q226+P227*'RAP TEMPLATE-GAS AVAILABILITY'!R226)/('RAP TEMPLATE-GAS AVAILABILITY'!O226+'RAP TEMPLATE-GAS AVAILABILITY'!P226+'RAP TEMPLATE-GAS AVAILABILITY'!Q226+'RAP TEMPLATE-GAS AVAILABILITY'!R226)</f>
        <v>7.5023985611510797</v>
      </c>
    </row>
    <row r="228" spans="1:29" ht="15.75" x14ac:dyDescent="0.25">
      <c r="A228" s="16">
        <v>48183</v>
      </c>
      <c r="B228" s="10">
        <f>CHOOSE(CONTROL!$C$42, 8.0659, 8.0659) * CHOOSE(CONTROL!$C$21, $C$9, 100%, $E$9)</f>
        <v>8.0658999999999992</v>
      </c>
      <c r="C228" s="10">
        <f>CHOOSE(CONTROL!$C$42, 8.0708, 8.0708) * CHOOSE(CONTROL!$C$21, $C$9, 100%, $E$9)</f>
        <v>8.0708000000000002</v>
      </c>
      <c r="D228" s="10">
        <f>CHOOSE(CONTROL!$C$42, 8.1004, 8.1004) * CHOOSE(CONTROL!$C$21, $C$9, 100%, $E$9)</f>
        <v>8.1004000000000005</v>
      </c>
      <c r="E228" s="10">
        <f>CHOOSE(CONTROL!$C$42, 8.1342, 8.1342) * CHOOSE(CONTROL!$C$21, $C$9, 100%, $E$9)</f>
        <v>8.1341999999999999</v>
      </c>
      <c r="F228" s="10">
        <f>CHOOSE(CONTROL!$C$42, 8.0532, 8.0532)*CHOOSE(CONTROL!$C$21, $C$9, 100%, $E$9)</f>
        <v>8.0532000000000004</v>
      </c>
      <c r="G228" s="10">
        <f>CHOOSE(CONTROL!$C$42, 8.0716, 8.0716)*CHOOSE(CONTROL!$C$21, $C$9, 100%, $E$9)</f>
        <v>8.0716000000000001</v>
      </c>
      <c r="H228" s="10">
        <f>CHOOSE(CONTROL!$C$42, 8.1234, 8.1234) * CHOOSE(CONTROL!$C$21, $C$9, 100%, $E$9)</f>
        <v>8.1234000000000002</v>
      </c>
      <c r="I228" s="10">
        <f>CHOOSE(CONTROL!$C$42, 8.032, 8.032)* CHOOSE(CONTROL!$C$21, $C$9, 100%, $E$9)</f>
        <v>8.032</v>
      </c>
      <c r="J228" s="10">
        <f>CHOOSE(CONTROL!$C$42, 8.0462, 8.0462)* CHOOSE(CONTROL!$C$21, $C$9, 100%, $E$9)</f>
        <v>8.0462000000000007</v>
      </c>
      <c r="K228" s="54">
        <f>CHOOSE(CONTROL!$C$42, 8.0281, 8.0281) * CHOOSE(CONTROL!$C$21, $C$9, 100%, $E$9)</f>
        <v>8.0281000000000002</v>
      </c>
      <c r="L228" s="10">
        <f>CHOOSE(CONTROL!$C$42, 8.7104, 8.7104) * CHOOSE(CONTROL!$C$21, $C$9, 100%, $E$9)</f>
        <v>8.7103999999999999</v>
      </c>
      <c r="M228" s="10">
        <f>CHOOSE(CONTROL!$C$42, 7.9788, 7.9788) * CHOOSE(CONTROL!$C$21, $C$9, 100%, $E$9)</f>
        <v>7.9787999999999997</v>
      </c>
      <c r="N228" s="10">
        <f>CHOOSE(CONTROL!$C$42, 7.9971, 7.9971) * CHOOSE(CONTROL!$C$21, $C$9, 100%, $E$9)</f>
        <v>7.9970999999999997</v>
      </c>
      <c r="O228" s="10">
        <f>CHOOSE(CONTROL!$C$42, 8.0552, 8.0552) * CHOOSE(CONTROL!$C$21, $C$9, 100%, $E$9)</f>
        <v>8.0551999999999992</v>
      </c>
      <c r="P228" s="10">
        <f>CHOOSE(CONTROL!$C$42, 7.9648, 7.9648) * CHOOSE(CONTROL!$C$21, $C$9, 100%, $E$9)</f>
        <v>7.9648000000000003</v>
      </c>
      <c r="Q228" s="10">
        <f>CHOOSE(CONTROL!$C$42, 8.6505, 8.6505) * CHOOSE(CONTROL!$C$21, $C$9, 100%, $E$9)</f>
        <v>8.6504999999999992</v>
      </c>
      <c r="R228" s="10">
        <f>CHOOSE(CONTROL!$C$42, 9.2592, 9.2592) * CHOOSE(CONTROL!$C$21, $C$9, 100%, $E$9)</f>
        <v>9.2591999999999999</v>
      </c>
      <c r="S228" s="10">
        <f>CHOOSE(CONTROL!$C$42, 7.8306, 7.8306) * CHOOSE(CONTROL!$C$21, $C$9, 100%, $E$9)</f>
        <v>7.8305999999999996</v>
      </c>
      <c r="T228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228" s="58">
        <f>(1000*CHOOSE(CONTROL!$C$42, 695, 695)*CHOOSE(CONTROL!$C$42, 0.5599, 0.5599)*CHOOSE(CONTROL!$C$42, 31, 31))/1000000</f>
        <v>12.063045499999998</v>
      </c>
      <c r="V228" s="58">
        <f>(1000*CHOOSE(CONTROL!$C$42, 500, 500)*CHOOSE(CONTROL!$C$42, 0.275, 0.275)*CHOOSE(CONTROL!$C$42, 31, 31))/1000000</f>
        <v>4.2625000000000002</v>
      </c>
      <c r="W228" s="58">
        <f>(1000*CHOOSE(CONTROL!$C$42, 0.1146, 0.1146)*CHOOSE(CONTROL!$C$42, 121.5, 121.5)*CHOOSE(CONTROL!$C$42, 31, 31))/1000000</f>
        <v>0.43164089999999994</v>
      </c>
      <c r="X228" s="58">
        <f>(31*0.1790888*100000/1000000)+(31*0.2374*100000/1000000)</f>
        <v>1.2911152800000001</v>
      </c>
      <c r="Y228" s="58"/>
      <c r="Z228" s="10"/>
      <c r="AA228" s="57"/>
      <c r="AB228" s="51">
        <f>(B228*122.58+C228*297.941+D228*89.177+E228*40.302+F228*40+G228*160+H228*0+I228*100+J228*300)/(122.58+297.941+89.177+40.302+0+40+160+100+300)</f>
        <v>8.0645027339130433</v>
      </c>
      <c r="AC228" s="27">
        <f>(M228*'RAP TEMPLATE-GAS AVAILABILITY'!O227+N228*'RAP TEMPLATE-GAS AVAILABILITY'!P227+O228*'RAP TEMPLATE-GAS AVAILABILITY'!Q227+P228*'RAP TEMPLATE-GAS AVAILABILITY'!R227)/('RAP TEMPLATE-GAS AVAILABILITY'!O227+'RAP TEMPLATE-GAS AVAILABILITY'!P227+'RAP TEMPLATE-GAS AVAILABILITY'!Q227+'RAP TEMPLATE-GAS AVAILABILITY'!R227)</f>
        <v>8.0124661870503573</v>
      </c>
    </row>
    <row r="229" spans="1:29" ht="15.75" x14ac:dyDescent="0.25">
      <c r="A229" s="16">
        <v>48214</v>
      </c>
      <c r="B229" s="10">
        <f>CHOOSE(CONTROL!$C$42, 8.6101, 8.6101) * CHOOSE(CONTROL!$C$21, $C$9, 100%, $E$9)</f>
        <v>8.6100999999999992</v>
      </c>
      <c r="C229" s="10">
        <f>CHOOSE(CONTROL!$C$42, 8.615, 8.615) * CHOOSE(CONTROL!$C$21, $C$9, 100%, $E$9)</f>
        <v>8.6150000000000002</v>
      </c>
      <c r="D229" s="10">
        <f>CHOOSE(CONTROL!$C$42, 8.6652, 8.6652) * CHOOSE(CONTROL!$C$21, $C$9, 100%, $E$9)</f>
        <v>8.6652000000000005</v>
      </c>
      <c r="E229" s="10">
        <f>CHOOSE(CONTROL!$C$42, 8.699, 8.699) * CHOOSE(CONTROL!$C$21, $C$9, 100%, $E$9)</f>
        <v>8.6989999999999998</v>
      </c>
      <c r="F229" s="10">
        <f>CHOOSE(CONTROL!$C$42, 8.5754, 8.5754)*CHOOSE(CONTROL!$C$21, $C$9, 100%, $E$9)</f>
        <v>8.5754000000000001</v>
      </c>
      <c r="G229" s="10">
        <f>CHOOSE(CONTROL!$C$42, 8.593, 8.593)*CHOOSE(CONTROL!$C$21, $C$9, 100%, $E$9)</f>
        <v>8.593</v>
      </c>
      <c r="H229" s="10">
        <f>CHOOSE(CONTROL!$C$42, 8.6882, 8.6882) * CHOOSE(CONTROL!$C$21, $C$9, 100%, $E$9)</f>
        <v>8.6882000000000001</v>
      </c>
      <c r="I229" s="10">
        <f>CHOOSE(CONTROL!$C$42, 8.584, 8.584)* CHOOSE(CONTROL!$C$21, $C$9, 100%, $E$9)</f>
        <v>8.5839999999999996</v>
      </c>
      <c r="J229" s="10">
        <f>CHOOSE(CONTROL!$C$42, 8.5684, 8.5684)* CHOOSE(CONTROL!$C$21, $C$9, 100%, $E$9)</f>
        <v>8.5684000000000005</v>
      </c>
      <c r="K229" s="54">
        <f>CHOOSE(CONTROL!$C$42, 8.5801, 8.5801) * CHOOSE(CONTROL!$C$21, $C$9, 100%, $E$9)</f>
        <v>8.5800999999999998</v>
      </c>
      <c r="L229" s="10">
        <f>CHOOSE(CONTROL!$C$42, 9.2752, 9.2752) * CHOOSE(CONTROL!$C$21, $C$9, 100%, $E$9)</f>
        <v>9.2751999999999999</v>
      </c>
      <c r="M229" s="10">
        <f>CHOOSE(CONTROL!$C$42, 8.4958, 8.4958) * CHOOSE(CONTROL!$C$21, $C$9, 100%, $E$9)</f>
        <v>8.4957999999999991</v>
      </c>
      <c r="N229" s="10">
        <f>CHOOSE(CONTROL!$C$42, 8.5132, 8.5132) * CHOOSE(CONTROL!$C$21, $C$9, 100%, $E$9)</f>
        <v>8.5131999999999994</v>
      </c>
      <c r="O229" s="10">
        <f>CHOOSE(CONTROL!$C$42, 8.6143, 8.6143) * CHOOSE(CONTROL!$C$21, $C$9, 100%, $E$9)</f>
        <v>8.6143000000000001</v>
      </c>
      <c r="P229" s="10">
        <f>CHOOSE(CONTROL!$C$42, 8.5112, 8.5112) * CHOOSE(CONTROL!$C$21, $C$9, 100%, $E$9)</f>
        <v>8.5112000000000005</v>
      </c>
      <c r="Q229" s="10">
        <f>CHOOSE(CONTROL!$C$42, 9.2096, 9.2096) * CHOOSE(CONTROL!$C$21, $C$9, 100%, $E$9)</f>
        <v>9.2096</v>
      </c>
      <c r="R229" s="10">
        <f>CHOOSE(CONTROL!$C$42, 9.8197, 9.8197) * CHOOSE(CONTROL!$C$21, $C$9, 100%, $E$9)</f>
        <v>9.8196999999999992</v>
      </c>
      <c r="S229" s="10">
        <f>CHOOSE(CONTROL!$C$42, 8.3591, 8.3591) * CHOOSE(CONTROL!$C$21, $C$9, 100%, $E$9)</f>
        <v>8.3590999999999998</v>
      </c>
      <c r="T229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29" s="58">
        <f>(1000*CHOOSE(CONTROL!$C$42, 695, 695)*CHOOSE(CONTROL!$C$42, 0.5599, 0.5599)*CHOOSE(CONTROL!$C$42, 31, 31))/1000000</f>
        <v>12.063045499999998</v>
      </c>
      <c r="V229" s="58">
        <f>(1000*CHOOSE(CONTROL!$C$42, 500, 500)*CHOOSE(CONTROL!$C$42, 0.275, 0.275)*CHOOSE(CONTROL!$C$42, 31, 31))/1000000</f>
        <v>4.2625000000000002</v>
      </c>
      <c r="W229" s="58">
        <f>(1000*CHOOSE(CONTROL!$C$42, 0.1146, 0.1146)*CHOOSE(CONTROL!$C$42, 121.5, 121.5)*CHOOSE(CONTROL!$C$42, 31, 31))/1000000</f>
        <v>0.43164089999999994</v>
      </c>
      <c r="X229" s="58">
        <f>(31*0.1790888*100000/1000000)+(31*0.2374*100000/1000000)</f>
        <v>1.2911152800000001</v>
      </c>
      <c r="Y229" s="58"/>
      <c r="Z229" s="10"/>
      <c r="AA229" s="57"/>
      <c r="AB229" s="51">
        <f>(B229*122.58+C229*297.941+D229*89.177+E229*40.302+F229*40+G229*160+H229*0+I229*100+J229*300)/(122.58+297.941+89.177+40.302+0+40+160+100+300)</f>
        <v>8.602023835999999</v>
      </c>
      <c r="AC229" s="27">
        <f>(M229*'RAP TEMPLATE-GAS AVAILABILITY'!O228+N229*'RAP TEMPLATE-GAS AVAILABILITY'!P228+O229*'RAP TEMPLATE-GAS AVAILABILITY'!Q228+P229*'RAP TEMPLATE-GAS AVAILABILITY'!R228)/('RAP TEMPLATE-GAS AVAILABILITY'!O228+'RAP TEMPLATE-GAS AVAILABILITY'!P228+'RAP TEMPLATE-GAS AVAILABILITY'!Q228+'RAP TEMPLATE-GAS AVAILABILITY'!R228)</f>
        <v>8.5527258992805741</v>
      </c>
    </row>
    <row r="230" spans="1:29" ht="15.75" x14ac:dyDescent="0.25">
      <c r="A230" s="16">
        <v>48245</v>
      </c>
      <c r="B230" s="10">
        <f>CHOOSE(CONTROL!$C$42, 8.7633, 8.7633) * CHOOSE(CONTROL!$C$21, $C$9, 100%, $E$9)</f>
        <v>8.7632999999999992</v>
      </c>
      <c r="C230" s="10">
        <f>CHOOSE(CONTROL!$C$42, 8.7682, 8.7682) * CHOOSE(CONTROL!$C$21, $C$9, 100%, $E$9)</f>
        <v>8.7682000000000002</v>
      </c>
      <c r="D230" s="10">
        <f>CHOOSE(CONTROL!$C$42, 8.8854, 8.8854) * CHOOSE(CONTROL!$C$21, $C$9, 100%, $E$9)</f>
        <v>8.8854000000000006</v>
      </c>
      <c r="E230" s="10">
        <f>CHOOSE(CONTROL!$C$42, 8.9191, 8.9191) * CHOOSE(CONTROL!$C$21, $C$9, 100%, $E$9)</f>
        <v>8.9191000000000003</v>
      </c>
      <c r="F230" s="10">
        <f>CHOOSE(CONTROL!$C$42, 8.8409, 8.8409)*CHOOSE(CONTROL!$C$21, $C$9, 100%, $E$9)</f>
        <v>8.8408999999999995</v>
      </c>
      <c r="G230" s="10">
        <f>CHOOSE(CONTROL!$C$42, 8.8628, 8.8628)*CHOOSE(CONTROL!$C$21, $C$9, 100%, $E$9)</f>
        <v>8.8628</v>
      </c>
      <c r="H230" s="10">
        <f>CHOOSE(CONTROL!$C$42, 8.9083, 8.9083) * CHOOSE(CONTROL!$C$21, $C$9, 100%, $E$9)</f>
        <v>8.9083000000000006</v>
      </c>
      <c r="I230" s="10">
        <f>CHOOSE(CONTROL!$C$42, 8.799, 8.799)* CHOOSE(CONTROL!$C$21, $C$9, 100%, $E$9)</f>
        <v>8.7989999999999995</v>
      </c>
      <c r="J230" s="10">
        <f>CHOOSE(CONTROL!$C$42, 8.8339, 8.8339)* CHOOSE(CONTROL!$C$21, $C$9, 100%, $E$9)</f>
        <v>8.8338999999999999</v>
      </c>
      <c r="K230" s="54">
        <f>CHOOSE(CONTROL!$C$42, 8.7951, 8.7951) * CHOOSE(CONTROL!$C$21, $C$9, 100%, $E$9)</f>
        <v>8.7950999999999997</v>
      </c>
      <c r="L230" s="10">
        <f>CHOOSE(CONTROL!$C$42, 9.4953, 9.4953) * CHOOSE(CONTROL!$C$21, $C$9, 100%, $E$9)</f>
        <v>9.4953000000000003</v>
      </c>
      <c r="M230" s="10">
        <f>CHOOSE(CONTROL!$C$42, 8.7586, 8.7586) * CHOOSE(CONTROL!$C$21, $C$9, 100%, $E$9)</f>
        <v>8.7585999999999995</v>
      </c>
      <c r="N230" s="10">
        <f>CHOOSE(CONTROL!$C$42, 8.7802, 8.7802) * CHOOSE(CONTROL!$C$21, $C$9, 100%, $E$9)</f>
        <v>8.7802000000000007</v>
      </c>
      <c r="O230" s="10">
        <f>CHOOSE(CONTROL!$C$42, 8.8323, 8.8323) * CHOOSE(CONTROL!$C$21, $C$9, 100%, $E$9)</f>
        <v>8.8323</v>
      </c>
      <c r="P230" s="10">
        <f>CHOOSE(CONTROL!$C$42, 8.724, 8.724) * CHOOSE(CONTROL!$C$21, $C$9, 100%, $E$9)</f>
        <v>8.7240000000000002</v>
      </c>
      <c r="Q230" s="10">
        <f>CHOOSE(CONTROL!$C$42, 9.4276, 9.4276) * CHOOSE(CONTROL!$C$21, $C$9, 100%, $E$9)</f>
        <v>9.4276</v>
      </c>
      <c r="R230" s="10">
        <f>CHOOSE(CONTROL!$C$42, 10.0381, 10.0381) * CHOOSE(CONTROL!$C$21, $C$9, 100%, $E$9)</f>
        <v>10.0381</v>
      </c>
      <c r="S230" s="10">
        <f>CHOOSE(CONTROL!$C$42, 8.5079, 8.5079) * CHOOSE(CONTROL!$C$21, $C$9, 100%, $E$9)</f>
        <v>8.5078999999999994</v>
      </c>
      <c r="T230" s="5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230" s="58">
        <f>(1000*CHOOSE(CONTROL!$C$42, 695, 695)*CHOOSE(CONTROL!$C$42, 0.5599, 0.5599)*CHOOSE(CONTROL!$C$42, 29, 29))/1000000</f>
        <v>11.284784499999999</v>
      </c>
      <c r="V230" s="58">
        <f>(1000*CHOOSE(CONTROL!$C$42, 500, 500)*CHOOSE(CONTROL!$C$42, 0.275, 0.275)*CHOOSE(CONTROL!$C$42, 29, 29))/1000000</f>
        <v>3.9874999999999998</v>
      </c>
      <c r="W230" s="58">
        <f>(1000*CHOOSE(CONTROL!$C$42, 0.1146, 0.1146)*CHOOSE(CONTROL!$C$42, 121.5, 121.5)*CHOOSE(CONTROL!$C$42, 29, 29))/1000000</f>
        <v>0.40379309999999996</v>
      </c>
      <c r="X230" s="58">
        <f>(29*0.1790888*100000/1000000)+(29*0.2374*100000/1000000)</f>
        <v>1.2078175199999999</v>
      </c>
      <c r="Y230" s="58"/>
      <c r="Z230" s="10"/>
      <c r="AA230" s="57"/>
      <c r="AB230" s="51">
        <f>(B230*122.58+C230*297.941+D230*89.177+E230*40.302+F230*40+G230*160+H230*0+I230*100+J230*300)/(122.58+297.941+89.177+40.302+0+40+160+100+300)</f>
        <v>8.8175621514782598</v>
      </c>
      <c r="AC230" s="27">
        <f>(M230*'RAP TEMPLATE-GAS AVAILABILITY'!O229+N230*'RAP TEMPLATE-GAS AVAILABILITY'!P229+O230*'RAP TEMPLATE-GAS AVAILABILITY'!Q229+P230*'RAP TEMPLATE-GAS AVAILABILITY'!R229)/('RAP TEMPLATE-GAS AVAILABILITY'!O229+'RAP TEMPLATE-GAS AVAILABILITY'!P229+'RAP TEMPLATE-GAS AVAILABILITY'!Q229+'RAP TEMPLATE-GAS AVAILABILITY'!R229)</f>
        <v>8.7882683453237398</v>
      </c>
    </row>
    <row r="231" spans="1:29" ht="15.75" x14ac:dyDescent="0.25">
      <c r="A231" s="16">
        <v>48274</v>
      </c>
      <c r="B231" s="10">
        <f>CHOOSE(CONTROL!$C$42, 8.5146, 8.5146) * CHOOSE(CONTROL!$C$21, $C$9, 100%, $E$9)</f>
        <v>8.5145999999999997</v>
      </c>
      <c r="C231" s="10">
        <f>CHOOSE(CONTROL!$C$42, 8.5195, 8.5195) * CHOOSE(CONTROL!$C$21, $C$9, 100%, $E$9)</f>
        <v>8.5195000000000007</v>
      </c>
      <c r="D231" s="10">
        <f>CHOOSE(CONTROL!$C$42, 8.6109, 8.6109) * CHOOSE(CONTROL!$C$21, $C$9, 100%, $E$9)</f>
        <v>8.6109000000000009</v>
      </c>
      <c r="E231" s="10">
        <f>CHOOSE(CONTROL!$C$42, 8.6447, 8.6447) * CHOOSE(CONTROL!$C$21, $C$9, 100%, $E$9)</f>
        <v>8.6447000000000003</v>
      </c>
      <c r="F231" s="10">
        <f>CHOOSE(CONTROL!$C$42, 8.5444, 8.5444)*CHOOSE(CONTROL!$C$21, $C$9, 100%, $E$9)</f>
        <v>8.5443999999999996</v>
      </c>
      <c r="G231" s="10">
        <f>CHOOSE(CONTROL!$C$42, 8.5639, 8.5639)*CHOOSE(CONTROL!$C$21, $C$9, 100%, $E$9)</f>
        <v>8.5639000000000003</v>
      </c>
      <c r="H231" s="10">
        <f>CHOOSE(CONTROL!$C$42, 8.6339, 8.6339) * CHOOSE(CONTROL!$C$21, $C$9, 100%, $E$9)</f>
        <v>8.6339000000000006</v>
      </c>
      <c r="I231" s="10">
        <f>CHOOSE(CONTROL!$C$42, 8.5374, 8.5374)* CHOOSE(CONTROL!$C$21, $C$9, 100%, $E$9)</f>
        <v>8.5373999999999999</v>
      </c>
      <c r="J231" s="10">
        <f>CHOOSE(CONTROL!$C$42, 8.5374, 8.5374)* CHOOSE(CONTROL!$C$21, $C$9, 100%, $E$9)</f>
        <v>8.5373999999999999</v>
      </c>
      <c r="K231" s="54">
        <f>CHOOSE(CONTROL!$C$42, 8.5335, 8.5335) * CHOOSE(CONTROL!$C$21, $C$9, 100%, $E$9)</f>
        <v>8.5335000000000001</v>
      </c>
      <c r="L231" s="10">
        <f>CHOOSE(CONTROL!$C$42, 9.2209, 9.2209) * CHOOSE(CONTROL!$C$21, $C$9, 100%, $E$9)</f>
        <v>9.2209000000000003</v>
      </c>
      <c r="M231" s="10">
        <f>CHOOSE(CONTROL!$C$42, 8.4651, 8.4651) * CHOOSE(CONTROL!$C$21, $C$9, 100%, $E$9)</f>
        <v>8.4650999999999996</v>
      </c>
      <c r="N231" s="10">
        <f>CHOOSE(CONTROL!$C$42, 8.4844, 8.4844) * CHOOSE(CONTROL!$C$21, $C$9, 100%, $E$9)</f>
        <v>8.4844000000000008</v>
      </c>
      <c r="O231" s="10">
        <f>CHOOSE(CONTROL!$C$42, 8.5606, 8.5606) * CHOOSE(CONTROL!$C$21, $C$9, 100%, $E$9)</f>
        <v>8.5606000000000009</v>
      </c>
      <c r="P231" s="10">
        <f>CHOOSE(CONTROL!$C$42, 8.4651, 8.4651) * CHOOSE(CONTROL!$C$21, $C$9, 100%, $E$9)</f>
        <v>8.4650999999999996</v>
      </c>
      <c r="Q231" s="10">
        <f>CHOOSE(CONTROL!$C$42, 9.1559, 9.1559) * CHOOSE(CONTROL!$C$21, $C$9, 100%, $E$9)</f>
        <v>9.1559000000000008</v>
      </c>
      <c r="R231" s="10">
        <f>CHOOSE(CONTROL!$C$42, 9.7658, 9.7658) * CHOOSE(CONTROL!$C$21, $C$9, 100%, $E$9)</f>
        <v>9.7658000000000005</v>
      </c>
      <c r="S231" s="10">
        <f>CHOOSE(CONTROL!$C$42, 8.2664, 8.2664) * CHOOSE(CONTROL!$C$21, $C$9, 100%, $E$9)</f>
        <v>8.2664000000000009</v>
      </c>
      <c r="T231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31" s="58">
        <f>(1000*CHOOSE(CONTROL!$C$42, 695, 695)*CHOOSE(CONTROL!$C$42, 0.5599, 0.5599)*CHOOSE(CONTROL!$C$42, 31, 31))/1000000</f>
        <v>12.063045499999998</v>
      </c>
      <c r="V231" s="58">
        <f>(1000*CHOOSE(CONTROL!$C$42, 500, 500)*CHOOSE(CONTROL!$C$42, 0.275, 0.275)*CHOOSE(CONTROL!$C$42, 31, 31))/1000000</f>
        <v>4.2625000000000002</v>
      </c>
      <c r="W231" s="58">
        <f>(1000*CHOOSE(CONTROL!$C$42, 0.1146, 0.1146)*CHOOSE(CONTROL!$C$42, 121.5, 121.5)*CHOOSE(CONTROL!$C$42, 31, 31))/1000000</f>
        <v>0.43164089999999994</v>
      </c>
      <c r="X231" s="58">
        <f>(31*0.1790888*100000/1000000)+(31*0.2374*100000/1000000)</f>
        <v>1.2911152800000001</v>
      </c>
      <c r="Y231" s="58"/>
      <c r="Z231" s="10"/>
      <c r="AA231" s="57"/>
      <c r="AB231" s="51">
        <f>(B231*122.58+C231*297.941+D231*89.177+E231*40.302+F231*40+G231*160+H231*0+I231*100+J231*300)/(122.58+297.941+89.177+40.302+0+40+160+100+300)</f>
        <v>8.543722561913043</v>
      </c>
      <c r="AC231" s="27">
        <f>(M231*'RAP TEMPLATE-GAS AVAILABILITY'!O230+N231*'RAP TEMPLATE-GAS AVAILABILITY'!P230+O231*'RAP TEMPLATE-GAS AVAILABILITY'!Q230+P231*'RAP TEMPLATE-GAS AVAILABILITY'!R230)/('RAP TEMPLATE-GAS AVAILABILITY'!O230+'RAP TEMPLATE-GAS AVAILABILITY'!P230+'RAP TEMPLATE-GAS AVAILABILITY'!Q230+'RAP TEMPLATE-GAS AVAILABILITY'!R230)</f>
        <v>8.5094949640287769</v>
      </c>
    </row>
    <row r="232" spans="1:29" ht="15.75" x14ac:dyDescent="0.25">
      <c r="A232" s="16">
        <v>48305</v>
      </c>
      <c r="B232" s="10">
        <f>CHOOSE(CONTROL!$C$42, 8.4899, 8.4899) * CHOOSE(CONTROL!$C$21, $C$9, 100%, $E$9)</f>
        <v>8.4899000000000004</v>
      </c>
      <c r="C232" s="10">
        <f>CHOOSE(CONTROL!$C$42, 8.4942, 8.4942) * CHOOSE(CONTROL!$C$21, $C$9, 100%, $E$9)</f>
        <v>8.4941999999999993</v>
      </c>
      <c r="D232" s="10">
        <f>CHOOSE(CONTROL!$C$42, 8.6759, 8.6759) * CHOOSE(CONTROL!$C$21, $C$9, 100%, $E$9)</f>
        <v>8.6759000000000004</v>
      </c>
      <c r="E232" s="10">
        <f>CHOOSE(CONTROL!$C$42, 8.7077, 8.7077) * CHOOSE(CONTROL!$C$21, $C$9, 100%, $E$9)</f>
        <v>8.7077000000000009</v>
      </c>
      <c r="F232" s="10">
        <f>CHOOSE(CONTROL!$C$42, 8.4782, 8.4782)*CHOOSE(CONTROL!$C$21, $C$9, 100%, $E$9)</f>
        <v>8.4781999999999993</v>
      </c>
      <c r="G232" s="10">
        <f>CHOOSE(CONTROL!$C$42, 8.4962, 8.4962)*CHOOSE(CONTROL!$C$21, $C$9, 100%, $E$9)</f>
        <v>8.4962</v>
      </c>
      <c r="H232" s="10">
        <f>CHOOSE(CONTROL!$C$42, 8.6975, 8.6975) * CHOOSE(CONTROL!$C$21, $C$9, 100%, $E$9)</f>
        <v>8.6974999999999998</v>
      </c>
      <c r="I232" s="10">
        <f>CHOOSE(CONTROL!$C$42, 8.4681, 8.4681)* CHOOSE(CONTROL!$C$21, $C$9, 100%, $E$9)</f>
        <v>8.4680999999999997</v>
      </c>
      <c r="J232" s="10">
        <f>CHOOSE(CONTROL!$C$42, 8.4712, 8.4712)* CHOOSE(CONTROL!$C$21, $C$9, 100%, $E$9)</f>
        <v>8.4711999999999996</v>
      </c>
      <c r="K232" s="54">
        <f>CHOOSE(CONTROL!$C$42, 8.4642, 8.4642) * CHOOSE(CONTROL!$C$21, $C$9, 100%, $E$9)</f>
        <v>8.4641999999999999</v>
      </c>
      <c r="L232" s="10">
        <f>CHOOSE(CONTROL!$C$42, 9.2845, 9.2845) * CHOOSE(CONTROL!$C$21, $C$9, 100%, $E$9)</f>
        <v>9.2844999999999995</v>
      </c>
      <c r="M232" s="10">
        <f>CHOOSE(CONTROL!$C$42, 8.3995, 8.3995) * CHOOSE(CONTROL!$C$21, $C$9, 100%, $E$9)</f>
        <v>8.3994999999999997</v>
      </c>
      <c r="N232" s="10">
        <f>CHOOSE(CONTROL!$C$42, 8.4173, 8.4173) * CHOOSE(CONTROL!$C$21, $C$9, 100%, $E$9)</f>
        <v>8.4172999999999991</v>
      </c>
      <c r="O232" s="10">
        <f>CHOOSE(CONTROL!$C$42, 8.6235, 8.6235) * CHOOSE(CONTROL!$C$21, $C$9, 100%, $E$9)</f>
        <v>8.6234999999999999</v>
      </c>
      <c r="P232" s="10">
        <f>CHOOSE(CONTROL!$C$42, 8.3965, 8.3965) * CHOOSE(CONTROL!$C$21, $C$9, 100%, $E$9)</f>
        <v>8.3964999999999996</v>
      </c>
      <c r="Q232" s="10">
        <f>CHOOSE(CONTROL!$C$42, 9.2188, 9.2188) * CHOOSE(CONTROL!$C$21, $C$9, 100%, $E$9)</f>
        <v>9.2187999999999999</v>
      </c>
      <c r="R232" s="10">
        <f>CHOOSE(CONTROL!$C$42, 9.8289, 9.8289) * CHOOSE(CONTROL!$C$21, $C$9, 100%, $E$9)</f>
        <v>9.8289000000000009</v>
      </c>
      <c r="S232" s="10">
        <f>CHOOSE(CONTROL!$C$42, 8.2416, 8.2416) * CHOOSE(CONTROL!$C$21, $C$9, 100%, $E$9)</f>
        <v>8.2416</v>
      </c>
      <c r="T232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32" s="58">
        <f>(1000*CHOOSE(CONTROL!$C$42, 695, 695)*CHOOSE(CONTROL!$C$42, 0.5599, 0.5599)*CHOOSE(CONTROL!$C$42, 30, 30))/1000000</f>
        <v>11.673914999999997</v>
      </c>
      <c r="V232" s="58">
        <f>(1000*CHOOSE(CONTROL!$C$42, 500, 500)*CHOOSE(CONTROL!$C$42, 0.275, 0.275)*CHOOSE(CONTROL!$C$42, 30, 30))/1000000</f>
        <v>4.125</v>
      </c>
      <c r="W232" s="58">
        <f>(1000*CHOOSE(CONTROL!$C$42, 0.1146, 0.1146)*CHOOSE(CONTROL!$C$42, 121.5, 121.5)*CHOOSE(CONTROL!$C$42, 30, 30))/1000000</f>
        <v>0.417717</v>
      </c>
      <c r="X232" s="58">
        <f>(30*0.1790888*245000/1000000)+(30*0.2374*100000/1000000)</f>
        <v>2.0285026799999999</v>
      </c>
      <c r="Y232" s="58"/>
      <c r="Z232" s="10"/>
      <c r="AA232" s="57"/>
      <c r="AB232" s="51">
        <f>(B232*141.293+C232*267.993+D232*115.016+E232*89.698+F232*40+G232*185+H232*0+I232*100+J232*300)/(141.293+267.993+115.016+89.698+0+40+185+100+300)</f>
        <v>8.5181397661824061</v>
      </c>
      <c r="AC232" s="27">
        <f>(M232*'RAP TEMPLATE-GAS AVAILABILITY'!O231+N232*'RAP TEMPLATE-GAS AVAILABILITY'!P231+O232*'RAP TEMPLATE-GAS AVAILABILITY'!Q231+P232*'RAP TEMPLATE-GAS AVAILABILITY'!R231)/('RAP TEMPLATE-GAS AVAILABILITY'!O231+'RAP TEMPLATE-GAS AVAILABILITY'!P231+'RAP TEMPLATE-GAS AVAILABILITY'!Q231+'RAP TEMPLATE-GAS AVAILABILITY'!R231)</f>
        <v>8.4660151079136678</v>
      </c>
    </row>
    <row r="233" spans="1:29" ht="15.75" x14ac:dyDescent="0.25">
      <c r="A233" s="16">
        <v>48335</v>
      </c>
      <c r="B233" s="10">
        <f>CHOOSE(CONTROL!$C$42, 8.5666, 8.5666) * CHOOSE(CONTROL!$C$21, $C$9, 100%, $E$9)</f>
        <v>8.5665999999999993</v>
      </c>
      <c r="C233" s="10">
        <f>CHOOSE(CONTROL!$C$42, 8.5745, 8.5745) * CHOOSE(CONTROL!$C$21, $C$9, 100%, $E$9)</f>
        <v>8.5745000000000005</v>
      </c>
      <c r="D233" s="10">
        <f>CHOOSE(CONTROL!$C$42, 8.753, 8.753) * CHOOSE(CONTROL!$C$21, $C$9, 100%, $E$9)</f>
        <v>8.7530000000000001</v>
      </c>
      <c r="E233" s="10">
        <f>CHOOSE(CONTROL!$C$42, 8.7841, 8.7841) * CHOOSE(CONTROL!$C$21, $C$9, 100%, $E$9)</f>
        <v>8.7841000000000005</v>
      </c>
      <c r="F233" s="10">
        <f>CHOOSE(CONTROL!$C$42, 8.5527, 8.5527)*CHOOSE(CONTROL!$C$21, $C$9, 100%, $E$9)</f>
        <v>8.5526999999999997</v>
      </c>
      <c r="G233" s="10">
        <f>CHOOSE(CONTROL!$C$42, 8.5709, 8.5709)*CHOOSE(CONTROL!$C$21, $C$9, 100%, $E$9)</f>
        <v>8.5709</v>
      </c>
      <c r="H233" s="10">
        <f>CHOOSE(CONTROL!$C$42, 8.7728, 8.7728) * CHOOSE(CONTROL!$C$21, $C$9, 100%, $E$9)</f>
        <v>8.7728000000000002</v>
      </c>
      <c r="I233" s="10">
        <f>CHOOSE(CONTROL!$C$42, 8.5434, 8.5434)* CHOOSE(CONTROL!$C$21, $C$9, 100%, $E$9)</f>
        <v>8.5434000000000001</v>
      </c>
      <c r="J233" s="10">
        <f>CHOOSE(CONTROL!$C$42, 8.5457, 8.5457)* CHOOSE(CONTROL!$C$21, $C$9, 100%, $E$9)</f>
        <v>8.5457000000000001</v>
      </c>
      <c r="K233" s="54">
        <f>CHOOSE(CONTROL!$C$42, 8.5395, 8.5395) * CHOOSE(CONTROL!$C$21, $C$9, 100%, $E$9)</f>
        <v>8.5395000000000003</v>
      </c>
      <c r="L233" s="10">
        <f>CHOOSE(CONTROL!$C$42, 9.3598, 9.3598) * CHOOSE(CONTROL!$C$21, $C$9, 100%, $E$9)</f>
        <v>9.3597999999999999</v>
      </c>
      <c r="M233" s="10">
        <f>CHOOSE(CONTROL!$C$42, 8.4733, 8.4733) * CHOOSE(CONTROL!$C$21, $C$9, 100%, $E$9)</f>
        <v>8.4733000000000001</v>
      </c>
      <c r="N233" s="10">
        <f>CHOOSE(CONTROL!$C$42, 8.4913, 8.4913) * CHOOSE(CONTROL!$C$21, $C$9, 100%, $E$9)</f>
        <v>8.4913000000000007</v>
      </c>
      <c r="O233" s="10">
        <f>CHOOSE(CONTROL!$C$42, 8.6981, 8.6981) * CHOOSE(CONTROL!$C$21, $C$9, 100%, $E$9)</f>
        <v>8.6981000000000002</v>
      </c>
      <c r="P233" s="10">
        <f>CHOOSE(CONTROL!$C$42, 8.4711, 8.4711) * CHOOSE(CONTROL!$C$21, $C$9, 100%, $E$9)</f>
        <v>8.4710999999999999</v>
      </c>
      <c r="Q233" s="10">
        <f>CHOOSE(CONTROL!$C$42, 9.2934, 9.2934) * CHOOSE(CONTROL!$C$21, $C$9, 100%, $E$9)</f>
        <v>9.2934000000000001</v>
      </c>
      <c r="R233" s="10">
        <f>CHOOSE(CONTROL!$C$42, 9.9036, 9.9036) * CHOOSE(CONTROL!$C$21, $C$9, 100%, $E$9)</f>
        <v>9.9036000000000008</v>
      </c>
      <c r="S233" s="10">
        <f>CHOOSE(CONTROL!$C$42, 8.3147, 8.3147) * CHOOSE(CONTROL!$C$21, $C$9, 100%, $E$9)</f>
        <v>8.3147000000000002</v>
      </c>
      <c r="T233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233" s="58">
        <f>(1000*CHOOSE(CONTROL!$C$42, 695, 695)*CHOOSE(CONTROL!$C$42, 0.5599, 0.5599)*CHOOSE(CONTROL!$C$42, 31, 31))/1000000</f>
        <v>12.063045499999998</v>
      </c>
      <c r="V233" s="58">
        <f>(1000*CHOOSE(CONTROL!$C$42, 500, 500)*CHOOSE(CONTROL!$C$42, 0.275, 0.275)*CHOOSE(CONTROL!$C$42, 31, 31))/1000000</f>
        <v>4.2625000000000002</v>
      </c>
      <c r="W233" s="58">
        <f>(1000*CHOOSE(CONTROL!$C$42, 0.1146, 0.1146)*CHOOSE(CONTROL!$C$42, 121.5, 121.5)*CHOOSE(CONTROL!$C$42, 31, 31))/1000000</f>
        <v>0.43164089999999994</v>
      </c>
      <c r="X233" s="58">
        <f>(31*0.1790888*245000/1000000)+(31*0.2374*100000/1000000)</f>
        <v>2.0961194359999999</v>
      </c>
      <c r="Y233" s="58"/>
      <c r="Z233" s="10"/>
      <c r="AA233" s="57"/>
      <c r="AB233" s="51">
        <f>(B233*194.205+C233*267.466+D233*133.845+E233*53.484+F233*40+G233*185+H233*0+I233*100+J233*300)/(194.205+267.466+133.845+53.484+0+40+185+100+300)</f>
        <v>8.5904178645211928</v>
      </c>
      <c r="AC233" s="27">
        <f>(M233*'RAP TEMPLATE-GAS AVAILABILITY'!O232+N233*'RAP TEMPLATE-GAS AVAILABILITY'!P232+O233*'RAP TEMPLATE-GAS AVAILABILITY'!Q232+P233*'RAP TEMPLATE-GAS AVAILABILITY'!R232)/('RAP TEMPLATE-GAS AVAILABILITY'!O232+'RAP TEMPLATE-GAS AVAILABILITY'!P232+'RAP TEMPLATE-GAS AVAILABILITY'!Q232+'RAP TEMPLATE-GAS AVAILABILITY'!R232)</f>
        <v>8.54020071942446</v>
      </c>
    </row>
    <row r="234" spans="1:29" ht="15.75" x14ac:dyDescent="0.25">
      <c r="A234" s="16">
        <v>48366</v>
      </c>
      <c r="B234" s="10">
        <f>CHOOSE(CONTROL!$C$42, 8.8094, 8.8094) * CHOOSE(CONTROL!$C$21, $C$9, 100%, $E$9)</f>
        <v>8.8094000000000001</v>
      </c>
      <c r="C234" s="10">
        <f>CHOOSE(CONTROL!$C$42, 8.8173, 8.8173) * CHOOSE(CONTROL!$C$21, $C$9, 100%, $E$9)</f>
        <v>8.8172999999999995</v>
      </c>
      <c r="D234" s="10">
        <f>CHOOSE(CONTROL!$C$42, 8.9958, 8.9958) * CHOOSE(CONTROL!$C$21, $C$9, 100%, $E$9)</f>
        <v>8.9957999999999991</v>
      </c>
      <c r="E234" s="10">
        <f>CHOOSE(CONTROL!$C$42, 9.027, 9.027) * CHOOSE(CONTROL!$C$21, $C$9, 100%, $E$9)</f>
        <v>9.0269999999999992</v>
      </c>
      <c r="F234" s="10">
        <f>CHOOSE(CONTROL!$C$42, 8.7958, 8.7958)*CHOOSE(CONTROL!$C$21, $C$9, 100%, $E$9)</f>
        <v>8.7957999999999998</v>
      </c>
      <c r="G234" s="10">
        <f>CHOOSE(CONTROL!$C$42, 8.8141, 8.8141)*CHOOSE(CONTROL!$C$21, $C$9, 100%, $E$9)</f>
        <v>8.8140999999999998</v>
      </c>
      <c r="H234" s="10">
        <f>CHOOSE(CONTROL!$C$42, 9.0156, 9.0156) * CHOOSE(CONTROL!$C$21, $C$9, 100%, $E$9)</f>
        <v>9.0155999999999992</v>
      </c>
      <c r="I234" s="10">
        <f>CHOOSE(CONTROL!$C$42, 8.7863, 8.7863)* CHOOSE(CONTROL!$C$21, $C$9, 100%, $E$9)</f>
        <v>8.7863000000000007</v>
      </c>
      <c r="J234" s="10">
        <f>CHOOSE(CONTROL!$C$42, 8.7888, 8.7888)* CHOOSE(CONTROL!$C$21, $C$9, 100%, $E$9)</f>
        <v>8.7888000000000002</v>
      </c>
      <c r="K234" s="54">
        <f>CHOOSE(CONTROL!$C$42, 8.7824, 8.7824) * CHOOSE(CONTROL!$C$21, $C$9, 100%, $E$9)</f>
        <v>8.7824000000000009</v>
      </c>
      <c r="L234" s="10">
        <f>CHOOSE(CONTROL!$C$42, 9.6026, 9.6026) * CHOOSE(CONTROL!$C$21, $C$9, 100%, $E$9)</f>
        <v>9.6026000000000007</v>
      </c>
      <c r="M234" s="10">
        <f>CHOOSE(CONTROL!$C$42, 8.714, 8.714) * CHOOSE(CONTROL!$C$21, $C$9, 100%, $E$9)</f>
        <v>8.7140000000000004</v>
      </c>
      <c r="N234" s="10">
        <f>CHOOSE(CONTROL!$C$42, 8.732, 8.732) * CHOOSE(CONTROL!$C$21, $C$9, 100%, $E$9)</f>
        <v>8.7319999999999993</v>
      </c>
      <c r="O234" s="10">
        <f>CHOOSE(CONTROL!$C$42, 8.9385, 8.9385) * CHOOSE(CONTROL!$C$21, $C$9, 100%, $E$9)</f>
        <v>8.9384999999999994</v>
      </c>
      <c r="P234" s="10">
        <f>CHOOSE(CONTROL!$C$42, 8.7115, 8.7115) * CHOOSE(CONTROL!$C$21, $C$9, 100%, $E$9)</f>
        <v>8.7114999999999991</v>
      </c>
      <c r="Q234" s="10">
        <f>CHOOSE(CONTROL!$C$42, 9.5338, 9.5338) * CHOOSE(CONTROL!$C$21, $C$9, 100%, $E$9)</f>
        <v>9.5337999999999994</v>
      </c>
      <c r="R234" s="10">
        <f>CHOOSE(CONTROL!$C$42, 10.1446, 10.1446) * CHOOSE(CONTROL!$C$21, $C$9, 100%, $E$9)</f>
        <v>10.144600000000001</v>
      </c>
      <c r="S234" s="10">
        <f>CHOOSE(CONTROL!$C$42, 8.5506, 8.5506) * CHOOSE(CONTROL!$C$21, $C$9, 100%, $E$9)</f>
        <v>8.5505999999999993</v>
      </c>
      <c r="T234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234" s="58">
        <f>(1000*CHOOSE(CONTROL!$C$42, 695, 695)*CHOOSE(CONTROL!$C$42, 0.5599, 0.5599)*CHOOSE(CONTROL!$C$42, 30, 30))/1000000</f>
        <v>11.673914999999997</v>
      </c>
      <c r="V234" s="58">
        <f>(1000*CHOOSE(CONTROL!$C$42, 500, 500)*CHOOSE(CONTROL!$C$42, 0.275, 0.275)*CHOOSE(CONTROL!$C$42, 30, 30))/1000000</f>
        <v>4.125</v>
      </c>
      <c r="W234" s="58">
        <f>(1000*CHOOSE(CONTROL!$C$42, 0.1146, 0.1146)*CHOOSE(CONTROL!$C$42, 121.5, 121.5)*CHOOSE(CONTROL!$C$42, 30, 30))/1000000</f>
        <v>0.417717</v>
      </c>
      <c r="X234" s="58">
        <f>(30*0.1790888*245000/1000000)+(30*0.2374*100000/1000000)</f>
        <v>2.0285026799999999</v>
      </c>
      <c r="Y234" s="58"/>
      <c r="Z234" s="10"/>
      <c r="AA234" s="57"/>
      <c r="AB234" s="51">
        <f>(B234*194.205+C234*267.466+D234*133.845+E234*53.484+F234*40+G234*185+H234*0+I234*100+J234*300)/(194.205+267.466+133.845+53.484+0+40+185+100+300)</f>
        <v>8.8333680594976443</v>
      </c>
      <c r="AC234" s="27">
        <f>(M234*'RAP TEMPLATE-GAS AVAILABILITY'!O233+N234*'RAP TEMPLATE-GAS AVAILABILITY'!P233+O234*'RAP TEMPLATE-GAS AVAILABILITY'!Q233+P234*'RAP TEMPLATE-GAS AVAILABILITY'!R233)/('RAP TEMPLATE-GAS AVAILABILITY'!O233+'RAP TEMPLATE-GAS AVAILABILITY'!P233+'RAP TEMPLATE-GAS AVAILABILITY'!Q233+'RAP TEMPLATE-GAS AVAILABILITY'!R233)</f>
        <v>8.7807733812949635</v>
      </c>
    </row>
    <row r="235" spans="1:29" ht="15.75" x14ac:dyDescent="0.25">
      <c r="A235" s="16">
        <v>48396</v>
      </c>
      <c r="B235" s="10">
        <f>CHOOSE(CONTROL!$C$42, 8.6405, 8.6405) * CHOOSE(CONTROL!$C$21, $C$9, 100%, $E$9)</f>
        <v>8.6404999999999994</v>
      </c>
      <c r="C235" s="10">
        <f>CHOOSE(CONTROL!$C$42, 8.6484, 8.6484) * CHOOSE(CONTROL!$C$21, $C$9, 100%, $E$9)</f>
        <v>8.6484000000000005</v>
      </c>
      <c r="D235" s="10">
        <f>CHOOSE(CONTROL!$C$42, 8.8269, 8.8269) * CHOOSE(CONTROL!$C$21, $C$9, 100%, $E$9)</f>
        <v>8.8269000000000002</v>
      </c>
      <c r="E235" s="10">
        <f>CHOOSE(CONTROL!$C$42, 8.8581, 8.8581) * CHOOSE(CONTROL!$C$21, $C$9, 100%, $E$9)</f>
        <v>8.8581000000000003</v>
      </c>
      <c r="F235" s="10">
        <f>CHOOSE(CONTROL!$C$42, 8.6272, 8.6272)*CHOOSE(CONTROL!$C$21, $C$9, 100%, $E$9)</f>
        <v>8.6272000000000002</v>
      </c>
      <c r="G235" s="10">
        <f>CHOOSE(CONTROL!$C$42, 8.6455, 8.6455)*CHOOSE(CONTROL!$C$21, $C$9, 100%, $E$9)</f>
        <v>8.6455000000000002</v>
      </c>
      <c r="H235" s="10">
        <f>CHOOSE(CONTROL!$C$42, 8.8467, 8.8467) * CHOOSE(CONTROL!$C$21, $C$9, 100%, $E$9)</f>
        <v>8.8467000000000002</v>
      </c>
      <c r="I235" s="10">
        <f>CHOOSE(CONTROL!$C$42, 8.6174, 8.6174)* CHOOSE(CONTROL!$C$21, $C$9, 100%, $E$9)</f>
        <v>8.6173999999999999</v>
      </c>
      <c r="J235" s="10">
        <f>CHOOSE(CONTROL!$C$42, 8.6202, 8.6202)* CHOOSE(CONTROL!$C$21, $C$9, 100%, $E$9)</f>
        <v>8.6202000000000005</v>
      </c>
      <c r="K235" s="54">
        <f>CHOOSE(CONTROL!$C$42, 8.6135, 8.6135) * CHOOSE(CONTROL!$C$21, $C$9, 100%, $E$9)</f>
        <v>8.6135000000000002</v>
      </c>
      <c r="L235" s="10">
        <f>CHOOSE(CONTROL!$C$42, 9.4337, 9.4337) * CHOOSE(CONTROL!$C$21, $C$9, 100%, $E$9)</f>
        <v>9.4337</v>
      </c>
      <c r="M235" s="10">
        <f>CHOOSE(CONTROL!$C$42, 8.547, 8.547) * CHOOSE(CONTROL!$C$21, $C$9, 100%, $E$9)</f>
        <v>8.5470000000000006</v>
      </c>
      <c r="N235" s="10">
        <f>CHOOSE(CONTROL!$C$42, 8.5652, 8.5652) * CHOOSE(CONTROL!$C$21, $C$9, 100%, $E$9)</f>
        <v>8.5652000000000008</v>
      </c>
      <c r="O235" s="10">
        <f>CHOOSE(CONTROL!$C$42, 8.7713, 8.7713) * CHOOSE(CONTROL!$C$21, $C$9, 100%, $E$9)</f>
        <v>8.7713000000000001</v>
      </c>
      <c r="P235" s="10">
        <f>CHOOSE(CONTROL!$C$42, 8.5443, 8.5443) * CHOOSE(CONTROL!$C$21, $C$9, 100%, $E$9)</f>
        <v>8.5442999999999998</v>
      </c>
      <c r="Q235" s="10">
        <f>CHOOSE(CONTROL!$C$42, 9.3666, 9.3666) * CHOOSE(CONTROL!$C$21, $C$9, 100%, $E$9)</f>
        <v>9.3666</v>
      </c>
      <c r="R235" s="10">
        <f>CHOOSE(CONTROL!$C$42, 9.977, 9.977) * CHOOSE(CONTROL!$C$21, $C$9, 100%, $E$9)</f>
        <v>9.9770000000000003</v>
      </c>
      <c r="S235" s="10">
        <f>CHOOSE(CONTROL!$C$42, 8.3865, 8.3865) * CHOOSE(CONTROL!$C$21, $C$9, 100%, $E$9)</f>
        <v>8.3864999999999998</v>
      </c>
      <c r="T235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235" s="58">
        <f>(1000*CHOOSE(CONTROL!$C$42, 695, 695)*CHOOSE(CONTROL!$C$42, 0.5599, 0.5599)*CHOOSE(CONTROL!$C$42, 31, 31))/1000000</f>
        <v>12.063045499999998</v>
      </c>
      <c r="V235" s="58">
        <f>(1000*CHOOSE(CONTROL!$C$42, 500, 500)*CHOOSE(CONTROL!$C$42, 0.275, 0.275)*CHOOSE(CONTROL!$C$42, 31, 31))/1000000</f>
        <v>4.2625000000000002</v>
      </c>
      <c r="W235" s="58">
        <f>(1000*CHOOSE(CONTROL!$C$42, 0.1146, 0.1146)*CHOOSE(CONTROL!$C$42, 121.5, 121.5)*CHOOSE(CONTROL!$C$42, 31, 31))/1000000</f>
        <v>0.43164089999999994</v>
      </c>
      <c r="X235" s="58">
        <f>(31*0.1790888*245000/1000000)+(31*0.2374*100000/1000000)</f>
        <v>2.0961194359999999</v>
      </c>
      <c r="Y235" s="58"/>
      <c r="Z235" s="10"/>
      <c r="AA235" s="57"/>
      <c r="AB235" s="51">
        <f>(B235*194.205+C235*267.466+D235*133.845+E235*53.484+F235*40+G235*185+H235*0+I235*100+J235*300)/(194.205+267.466+133.845+53.484+0+40+185+100+300)</f>
        <v>8.6645916858712706</v>
      </c>
      <c r="AC235" s="27">
        <f>(M235*'RAP TEMPLATE-GAS AVAILABILITY'!O234+N235*'RAP TEMPLATE-GAS AVAILABILITY'!P234+O235*'RAP TEMPLATE-GAS AVAILABILITY'!Q234+P235*'RAP TEMPLATE-GAS AVAILABILITY'!R234)/('RAP TEMPLATE-GAS AVAILABILITY'!O234+'RAP TEMPLATE-GAS AVAILABILITY'!P234+'RAP TEMPLATE-GAS AVAILABILITY'!Q234+'RAP TEMPLATE-GAS AVAILABILITY'!R234)</f>
        <v>8.613734532374103</v>
      </c>
    </row>
    <row r="236" spans="1:29" ht="15.75" x14ac:dyDescent="0.25">
      <c r="A236" s="16">
        <v>48427</v>
      </c>
      <c r="B236" s="10">
        <f>CHOOSE(CONTROL!$C$42, 8.214, 8.214) * CHOOSE(CONTROL!$C$21, $C$9, 100%, $E$9)</f>
        <v>8.2140000000000004</v>
      </c>
      <c r="C236" s="10">
        <f>CHOOSE(CONTROL!$C$42, 8.2219, 8.2219) * CHOOSE(CONTROL!$C$21, $C$9, 100%, $E$9)</f>
        <v>8.2218999999999998</v>
      </c>
      <c r="D236" s="10">
        <f>CHOOSE(CONTROL!$C$42, 8.4004, 8.4004) * CHOOSE(CONTROL!$C$21, $C$9, 100%, $E$9)</f>
        <v>8.4003999999999994</v>
      </c>
      <c r="E236" s="10">
        <f>CHOOSE(CONTROL!$C$42, 8.4316, 8.4316) * CHOOSE(CONTROL!$C$21, $C$9, 100%, $E$9)</f>
        <v>8.4315999999999995</v>
      </c>
      <c r="F236" s="10">
        <f>CHOOSE(CONTROL!$C$42, 8.2006, 8.2006)*CHOOSE(CONTROL!$C$21, $C$9, 100%, $E$9)</f>
        <v>8.2005999999999997</v>
      </c>
      <c r="G236" s="10">
        <f>CHOOSE(CONTROL!$C$42, 8.2189, 8.2189)*CHOOSE(CONTROL!$C$21, $C$9, 100%, $E$9)</f>
        <v>8.2188999999999997</v>
      </c>
      <c r="H236" s="10">
        <f>CHOOSE(CONTROL!$C$42, 8.4202, 8.4202) * CHOOSE(CONTROL!$C$21, $C$9, 100%, $E$9)</f>
        <v>8.4201999999999995</v>
      </c>
      <c r="I236" s="10">
        <f>CHOOSE(CONTROL!$C$42, 8.1908, 8.1908)* CHOOSE(CONTROL!$C$21, $C$9, 100%, $E$9)</f>
        <v>8.1907999999999994</v>
      </c>
      <c r="J236" s="10">
        <f>CHOOSE(CONTROL!$C$42, 8.1936, 8.1936)* CHOOSE(CONTROL!$C$21, $C$9, 100%, $E$9)</f>
        <v>8.1936</v>
      </c>
      <c r="K236" s="54">
        <f>CHOOSE(CONTROL!$C$42, 8.1869, 8.1869) * CHOOSE(CONTROL!$C$21, $C$9, 100%, $E$9)</f>
        <v>8.1868999999999996</v>
      </c>
      <c r="L236" s="10">
        <f>CHOOSE(CONTROL!$C$42, 9.0072, 9.0072) * CHOOSE(CONTROL!$C$21, $C$9, 100%, $E$9)</f>
        <v>9.0071999999999992</v>
      </c>
      <c r="M236" s="10">
        <f>CHOOSE(CONTROL!$C$42, 8.1248, 8.1248) * CHOOSE(CONTROL!$C$21, $C$9, 100%, $E$9)</f>
        <v>8.1248000000000005</v>
      </c>
      <c r="N236" s="10">
        <f>CHOOSE(CONTROL!$C$42, 8.1429, 8.1429) * CHOOSE(CONTROL!$C$21, $C$9, 100%, $E$9)</f>
        <v>8.1428999999999991</v>
      </c>
      <c r="O236" s="10">
        <f>CHOOSE(CONTROL!$C$42, 8.349, 8.349) * CHOOSE(CONTROL!$C$21, $C$9, 100%, $E$9)</f>
        <v>8.3490000000000002</v>
      </c>
      <c r="P236" s="10">
        <f>CHOOSE(CONTROL!$C$42, 8.122, 8.122) * CHOOSE(CONTROL!$C$21, $C$9, 100%, $E$9)</f>
        <v>8.1219999999999999</v>
      </c>
      <c r="Q236" s="10">
        <f>CHOOSE(CONTROL!$C$42, 8.9443, 8.9443) * CHOOSE(CONTROL!$C$21, $C$9, 100%, $E$9)</f>
        <v>8.9443000000000001</v>
      </c>
      <c r="R236" s="10">
        <f>CHOOSE(CONTROL!$C$42, 9.5537, 9.5537) * CHOOSE(CONTROL!$C$21, $C$9, 100%, $E$9)</f>
        <v>9.5536999999999992</v>
      </c>
      <c r="S236" s="10">
        <f>CHOOSE(CONTROL!$C$42, 7.9723, 7.9723) * CHOOSE(CONTROL!$C$21, $C$9, 100%, $E$9)</f>
        <v>7.9722999999999997</v>
      </c>
      <c r="T236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36" s="58">
        <f>(1000*CHOOSE(CONTROL!$C$42, 695, 695)*CHOOSE(CONTROL!$C$42, 0.5599, 0.5599)*CHOOSE(CONTROL!$C$42, 31, 31))/1000000</f>
        <v>12.063045499999998</v>
      </c>
      <c r="V236" s="58">
        <f>(1000*CHOOSE(CONTROL!$C$42, 500, 500)*CHOOSE(CONTROL!$C$42, 0.275, 0.275)*CHOOSE(CONTROL!$C$42, 31, 31))/1000000</f>
        <v>4.2625000000000002</v>
      </c>
      <c r="W236" s="58">
        <f>(1000*CHOOSE(CONTROL!$C$42, 0.1146, 0.1146)*CHOOSE(CONTROL!$C$42, 121.5, 121.5)*CHOOSE(CONTROL!$C$42, 31, 31))/1000000</f>
        <v>0.43164089999999994</v>
      </c>
      <c r="X236" s="58">
        <f>(31*0.1790888*245000/1000000)+(31*0.2374*100000/1000000)</f>
        <v>2.0961194359999999</v>
      </c>
      <c r="Y236" s="58"/>
      <c r="Z236" s="10"/>
      <c r="AA236" s="57"/>
      <c r="AB236" s="51">
        <f>(B236*194.205+C236*267.466+D236*133.845+E236*53.484+F236*40+G236*185+H236*0+I236*100+J236*300)/(194.205+267.466+133.845+53.484+0+40+185+100+300)</f>
        <v>8.2380426277865002</v>
      </c>
      <c r="AC236" s="27">
        <f>(M236*'RAP TEMPLATE-GAS AVAILABILITY'!O235+N236*'RAP TEMPLATE-GAS AVAILABILITY'!P235+O236*'RAP TEMPLATE-GAS AVAILABILITY'!Q235+P236*'RAP TEMPLATE-GAS AVAILABILITY'!R235)/('RAP TEMPLATE-GAS AVAILABILITY'!O235+'RAP TEMPLATE-GAS AVAILABILITY'!P235+'RAP TEMPLATE-GAS AVAILABILITY'!Q235+'RAP TEMPLATE-GAS AVAILABILITY'!R235)</f>
        <v>8.1914690647482011</v>
      </c>
    </row>
    <row r="237" spans="1:29" ht="15.75" x14ac:dyDescent="0.25">
      <c r="A237" s="16">
        <v>48458</v>
      </c>
      <c r="B237" s="10">
        <f>CHOOSE(CONTROL!$C$42, 7.6928, 7.6928) * CHOOSE(CONTROL!$C$21, $C$9, 100%, $E$9)</f>
        <v>7.6928000000000001</v>
      </c>
      <c r="C237" s="10">
        <f>CHOOSE(CONTROL!$C$42, 7.7008, 7.7008) * CHOOSE(CONTROL!$C$21, $C$9, 100%, $E$9)</f>
        <v>7.7008000000000001</v>
      </c>
      <c r="D237" s="10">
        <f>CHOOSE(CONTROL!$C$42, 7.8793, 7.8793) * CHOOSE(CONTROL!$C$21, $C$9, 100%, $E$9)</f>
        <v>7.8792999999999997</v>
      </c>
      <c r="E237" s="10">
        <f>CHOOSE(CONTROL!$C$42, 7.9104, 7.9104) * CHOOSE(CONTROL!$C$21, $C$9, 100%, $E$9)</f>
        <v>7.9104000000000001</v>
      </c>
      <c r="F237" s="10">
        <f>CHOOSE(CONTROL!$C$42, 7.6792, 7.6792)*CHOOSE(CONTROL!$C$21, $C$9, 100%, $E$9)</f>
        <v>7.6791999999999998</v>
      </c>
      <c r="G237" s="10">
        <f>CHOOSE(CONTROL!$C$42, 7.6974, 7.6974)*CHOOSE(CONTROL!$C$21, $C$9, 100%, $E$9)</f>
        <v>7.6974</v>
      </c>
      <c r="H237" s="10">
        <f>CHOOSE(CONTROL!$C$42, 7.8991, 7.8991) * CHOOSE(CONTROL!$C$21, $C$9, 100%, $E$9)</f>
        <v>7.8990999999999998</v>
      </c>
      <c r="I237" s="10">
        <f>CHOOSE(CONTROL!$C$42, 7.6697, 7.6697)* CHOOSE(CONTROL!$C$21, $C$9, 100%, $E$9)</f>
        <v>7.6696999999999997</v>
      </c>
      <c r="J237" s="10">
        <f>CHOOSE(CONTROL!$C$42, 7.6722, 7.6722)* CHOOSE(CONTROL!$C$21, $C$9, 100%, $E$9)</f>
        <v>7.6722000000000001</v>
      </c>
      <c r="K237" s="54">
        <f>CHOOSE(CONTROL!$C$42, 7.6658, 7.6658) * CHOOSE(CONTROL!$C$21, $C$9, 100%, $E$9)</f>
        <v>7.6657999999999999</v>
      </c>
      <c r="L237" s="10">
        <f>CHOOSE(CONTROL!$C$42, 8.4861, 8.4861) * CHOOSE(CONTROL!$C$21, $C$9, 100%, $E$9)</f>
        <v>8.4861000000000004</v>
      </c>
      <c r="M237" s="10">
        <f>CHOOSE(CONTROL!$C$42, 7.6086, 7.6086) * CHOOSE(CONTROL!$C$21, $C$9, 100%, $E$9)</f>
        <v>7.6086</v>
      </c>
      <c r="N237" s="10">
        <f>CHOOSE(CONTROL!$C$42, 7.6266, 7.6266) * CHOOSE(CONTROL!$C$21, $C$9, 100%, $E$9)</f>
        <v>7.6265999999999998</v>
      </c>
      <c r="O237" s="10">
        <f>CHOOSE(CONTROL!$C$42, 7.8332, 7.8332) * CHOOSE(CONTROL!$C$21, $C$9, 100%, $E$9)</f>
        <v>7.8331999999999997</v>
      </c>
      <c r="P237" s="10">
        <f>CHOOSE(CONTROL!$C$42, 7.6062, 7.6062) * CHOOSE(CONTROL!$C$21, $C$9, 100%, $E$9)</f>
        <v>7.6062000000000003</v>
      </c>
      <c r="Q237" s="10">
        <f>CHOOSE(CONTROL!$C$42, 8.4285, 8.4285) * CHOOSE(CONTROL!$C$21, $C$9, 100%, $E$9)</f>
        <v>8.4284999999999997</v>
      </c>
      <c r="R237" s="10">
        <f>CHOOSE(CONTROL!$C$42, 9.0365, 9.0365) * CHOOSE(CONTROL!$C$21, $C$9, 100%, $E$9)</f>
        <v>9.0365000000000002</v>
      </c>
      <c r="S237" s="10">
        <f>CHOOSE(CONTROL!$C$42, 7.4663, 7.4663) * CHOOSE(CONTROL!$C$21, $C$9, 100%, $E$9)</f>
        <v>7.4663000000000004</v>
      </c>
      <c r="T237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37" s="58">
        <f>(1000*CHOOSE(CONTROL!$C$42, 695, 695)*CHOOSE(CONTROL!$C$42, 0.5599, 0.5599)*CHOOSE(CONTROL!$C$42, 30, 30))/1000000</f>
        <v>11.673914999999997</v>
      </c>
      <c r="V237" s="58">
        <f>(1000*CHOOSE(CONTROL!$C$42, 500, 500)*CHOOSE(CONTROL!$C$42, 0.275, 0.275)*CHOOSE(CONTROL!$C$42, 30, 30))/1000000</f>
        <v>4.125</v>
      </c>
      <c r="W237" s="58">
        <f>(1000*CHOOSE(CONTROL!$C$42, 0.1146, 0.1146)*CHOOSE(CONTROL!$C$42, 121.5, 121.5)*CHOOSE(CONTROL!$C$42, 30, 30))/1000000</f>
        <v>0.417717</v>
      </c>
      <c r="X237" s="58">
        <f>(30*0.1790888*245000/1000000)+(30*0.2374*100000/1000000)</f>
        <v>2.0285026799999999</v>
      </c>
      <c r="Y237" s="58"/>
      <c r="Z237" s="10"/>
      <c r="AA237" s="57"/>
      <c r="AB237" s="51">
        <f>(B237*194.205+C237*267.466+D237*133.845+E237*53.484+F237*40+G237*185+H237*0+I237*100+J237*300)/(194.205+267.466+133.845+53.484+0+40+185+100+300)</f>
        <v>7.7167850383830459</v>
      </c>
      <c r="AC237" s="27">
        <f>(M237*'RAP TEMPLATE-GAS AVAILABILITY'!O236+N237*'RAP TEMPLATE-GAS AVAILABILITY'!P236+O237*'RAP TEMPLATE-GAS AVAILABILITY'!Q236+P237*'RAP TEMPLATE-GAS AVAILABILITY'!R236)/('RAP TEMPLATE-GAS AVAILABILITY'!O236+'RAP TEMPLATE-GAS AVAILABILITY'!P236+'RAP TEMPLATE-GAS AVAILABILITY'!Q236+'RAP TEMPLATE-GAS AVAILABILITY'!R236)</f>
        <v>7.6754158273381288</v>
      </c>
    </row>
    <row r="238" spans="1:29" ht="15.75" x14ac:dyDescent="0.25">
      <c r="A238" s="16">
        <v>48488</v>
      </c>
      <c r="B238" s="10">
        <f>CHOOSE(CONTROL!$C$42, 7.5346, 7.5346) * CHOOSE(CONTROL!$C$21, $C$9, 100%, $E$9)</f>
        <v>7.5346000000000002</v>
      </c>
      <c r="C238" s="10">
        <f>CHOOSE(CONTROL!$C$42, 7.5398, 7.5398) * CHOOSE(CONTROL!$C$21, $C$9, 100%, $E$9)</f>
        <v>7.5397999999999996</v>
      </c>
      <c r="D238" s="10">
        <f>CHOOSE(CONTROL!$C$42, 7.7233, 7.7233) * CHOOSE(CONTROL!$C$21, $C$9, 100%, $E$9)</f>
        <v>7.7233000000000001</v>
      </c>
      <c r="E238" s="10">
        <f>CHOOSE(CONTROL!$C$42, 7.7521, 7.7521) * CHOOSE(CONTROL!$C$21, $C$9, 100%, $E$9)</f>
        <v>7.7521000000000004</v>
      </c>
      <c r="F238" s="10">
        <f>CHOOSE(CONTROL!$C$42, 7.5229, 7.5229)*CHOOSE(CONTROL!$C$21, $C$9, 100%, $E$9)</f>
        <v>7.5228999999999999</v>
      </c>
      <c r="G238" s="10">
        <f>CHOOSE(CONTROL!$C$42, 7.5408, 7.5408)*CHOOSE(CONTROL!$C$21, $C$9, 100%, $E$9)</f>
        <v>7.5407999999999999</v>
      </c>
      <c r="H238" s="10">
        <f>CHOOSE(CONTROL!$C$42, 7.7426, 7.7426) * CHOOSE(CONTROL!$C$21, $C$9, 100%, $E$9)</f>
        <v>7.7426000000000004</v>
      </c>
      <c r="I238" s="10">
        <f>CHOOSE(CONTROL!$C$42, 7.5132, 7.5132)* CHOOSE(CONTROL!$C$21, $C$9, 100%, $E$9)</f>
        <v>7.5132000000000003</v>
      </c>
      <c r="J238" s="10">
        <f>CHOOSE(CONTROL!$C$42, 7.5159, 7.5159)* CHOOSE(CONTROL!$C$21, $C$9, 100%, $E$9)</f>
        <v>7.5159000000000002</v>
      </c>
      <c r="K238" s="54">
        <f>CHOOSE(CONTROL!$C$42, 7.5093, 7.5093) * CHOOSE(CONTROL!$C$21, $C$9, 100%, $E$9)</f>
        <v>7.5092999999999996</v>
      </c>
      <c r="L238" s="10">
        <f>CHOOSE(CONTROL!$C$42, 8.3296, 8.3296) * CHOOSE(CONTROL!$C$21, $C$9, 100%, $E$9)</f>
        <v>8.3295999999999992</v>
      </c>
      <c r="M238" s="10">
        <f>CHOOSE(CONTROL!$C$42, 7.4539, 7.4539) * CHOOSE(CONTROL!$C$21, $C$9, 100%, $E$9)</f>
        <v>7.4539</v>
      </c>
      <c r="N238" s="10">
        <f>CHOOSE(CONTROL!$C$42, 7.4716, 7.4716) * CHOOSE(CONTROL!$C$21, $C$9, 100%, $E$9)</f>
        <v>7.4715999999999996</v>
      </c>
      <c r="O238" s="10">
        <f>CHOOSE(CONTROL!$C$42, 7.6783, 7.6783) * CHOOSE(CONTROL!$C$21, $C$9, 100%, $E$9)</f>
        <v>7.6783000000000001</v>
      </c>
      <c r="P238" s="10">
        <f>CHOOSE(CONTROL!$C$42, 7.4513, 7.4513) * CHOOSE(CONTROL!$C$21, $C$9, 100%, $E$9)</f>
        <v>7.4512999999999998</v>
      </c>
      <c r="Q238" s="10">
        <f>CHOOSE(CONTROL!$C$42, 8.2736, 8.2736) * CHOOSE(CONTROL!$C$21, $C$9, 100%, $E$9)</f>
        <v>8.2736000000000001</v>
      </c>
      <c r="R238" s="10">
        <f>CHOOSE(CONTROL!$C$42, 8.8813, 8.8813) * CHOOSE(CONTROL!$C$21, $C$9, 100%, $E$9)</f>
        <v>8.8812999999999995</v>
      </c>
      <c r="S238" s="10">
        <f>CHOOSE(CONTROL!$C$42, 7.3143, 7.3143) * CHOOSE(CONTROL!$C$21, $C$9, 100%, $E$9)</f>
        <v>7.3143000000000002</v>
      </c>
      <c r="T238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38" s="58">
        <f>(1000*CHOOSE(CONTROL!$C$42, 695, 695)*CHOOSE(CONTROL!$C$42, 0.5599, 0.5599)*CHOOSE(CONTROL!$C$42, 31, 31))/1000000</f>
        <v>12.063045499999998</v>
      </c>
      <c r="V238" s="58">
        <f>(1000*CHOOSE(CONTROL!$C$42, 500, 500)*CHOOSE(CONTROL!$C$42, 0.275, 0.275)*CHOOSE(CONTROL!$C$42, 31, 31))/1000000</f>
        <v>4.2625000000000002</v>
      </c>
      <c r="W238" s="58">
        <f>(1000*CHOOSE(CONTROL!$C$42, 0.1146, 0.1146)*CHOOSE(CONTROL!$C$42, 121.5, 121.5)*CHOOSE(CONTROL!$C$42, 31, 31))/1000000</f>
        <v>0.43164089999999994</v>
      </c>
      <c r="X238" s="58">
        <f>(31*0.1790888*245000/1000000)+(31*0.2374*100000/1000000)</f>
        <v>2.0961194359999999</v>
      </c>
      <c r="Y238" s="58"/>
      <c r="Z238" s="10"/>
      <c r="AA238" s="57"/>
      <c r="AB238" s="51">
        <f>(B238*131.881+C238*277.167+D238*79.08+E238*125.872+F238*40+G238*185+H238*0+I238*100+J238*300)/(131.881+277.167+79.08+125.872+0+40+185+100+300)</f>
        <v>7.564196307021791</v>
      </c>
      <c r="AC238" s="27">
        <f>(M238*'RAP TEMPLATE-GAS AVAILABILITY'!O237+N238*'RAP TEMPLATE-GAS AVAILABILITY'!P237+O238*'RAP TEMPLATE-GAS AVAILABILITY'!Q237+P238*'RAP TEMPLATE-GAS AVAILABILITY'!R237)/('RAP TEMPLATE-GAS AVAILABILITY'!O237+'RAP TEMPLATE-GAS AVAILABILITY'!P237+'RAP TEMPLATE-GAS AVAILABILITY'!Q237+'RAP TEMPLATE-GAS AVAILABILITY'!R237)</f>
        <v>7.520561870503597</v>
      </c>
    </row>
    <row r="239" spans="1:29" ht="15.75" x14ac:dyDescent="0.25">
      <c r="A239" s="16">
        <v>48519</v>
      </c>
      <c r="B239" s="10">
        <f>CHOOSE(CONTROL!$C$42, 7.7326, 7.7326) * CHOOSE(CONTROL!$C$21, $C$9, 100%, $E$9)</f>
        <v>7.7325999999999997</v>
      </c>
      <c r="C239" s="10">
        <f>CHOOSE(CONTROL!$C$42, 7.7375, 7.7375) * CHOOSE(CONTROL!$C$21, $C$9, 100%, $E$9)</f>
        <v>7.7374999999999998</v>
      </c>
      <c r="D239" s="10">
        <f>CHOOSE(CONTROL!$C$42, 7.7672, 7.7672) * CHOOSE(CONTROL!$C$21, $C$9, 100%, $E$9)</f>
        <v>7.7671999999999999</v>
      </c>
      <c r="E239" s="10">
        <f>CHOOSE(CONTROL!$C$42, 7.8009, 7.8009) * CHOOSE(CONTROL!$C$21, $C$9, 100%, $E$9)</f>
        <v>7.8009000000000004</v>
      </c>
      <c r="F239" s="10">
        <f>CHOOSE(CONTROL!$C$42, 7.7183, 7.7183)*CHOOSE(CONTROL!$C$21, $C$9, 100%, $E$9)</f>
        <v>7.7183000000000002</v>
      </c>
      <c r="G239" s="10">
        <f>CHOOSE(CONTROL!$C$42, 7.7364, 7.7364)*CHOOSE(CONTROL!$C$21, $C$9, 100%, $E$9)</f>
        <v>7.7363999999999997</v>
      </c>
      <c r="H239" s="10">
        <f>CHOOSE(CONTROL!$C$42, 7.7901, 7.7901) * CHOOSE(CONTROL!$C$21, $C$9, 100%, $E$9)</f>
        <v>7.7900999999999998</v>
      </c>
      <c r="I239" s="10">
        <f>CHOOSE(CONTROL!$C$42, 7.6988, 7.6988)* CHOOSE(CONTROL!$C$21, $C$9, 100%, $E$9)</f>
        <v>7.6988000000000003</v>
      </c>
      <c r="J239" s="10">
        <f>CHOOSE(CONTROL!$C$42, 7.7113, 7.7113)* CHOOSE(CONTROL!$C$21, $C$9, 100%, $E$9)</f>
        <v>7.7112999999999996</v>
      </c>
      <c r="K239" s="54">
        <f>CHOOSE(CONTROL!$C$42, 7.6949, 7.6949) * CHOOSE(CONTROL!$C$21, $C$9, 100%, $E$9)</f>
        <v>7.6948999999999996</v>
      </c>
      <c r="L239" s="10">
        <f>CHOOSE(CONTROL!$C$42, 8.3771, 8.3771) * CHOOSE(CONTROL!$C$21, $C$9, 100%, $E$9)</f>
        <v>8.3771000000000004</v>
      </c>
      <c r="M239" s="10">
        <f>CHOOSE(CONTROL!$C$42, 7.6474, 7.6474) * CHOOSE(CONTROL!$C$21, $C$9, 100%, $E$9)</f>
        <v>7.6474000000000002</v>
      </c>
      <c r="N239" s="10">
        <f>CHOOSE(CONTROL!$C$42, 7.6652, 7.6652) * CHOOSE(CONTROL!$C$21, $C$9, 100%, $E$9)</f>
        <v>7.6651999999999996</v>
      </c>
      <c r="O239" s="10">
        <f>CHOOSE(CONTROL!$C$42, 7.7253, 7.7253) * CHOOSE(CONTROL!$C$21, $C$9, 100%, $E$9)</f>
        <v>7.7252999999999998</v>
      </c>
      <c r="P239" s="10">
        <f>CHOOSE(CONTROL!$C$42, 7.6349, 7.6349) * CHOOSE(CONTROL!$C$21, $C$9, 100%, $E$9)</f>
        <v>7.6349</v>
      </c>
      <c r="Q239" s="10">
        <f>CHOOSE(CONTROL!$C$42, 8.3206, 8.3206) * CHOOSE(CONTROL!$C$21, $C$9, 100%, $E$9)</f>
        <v>8.3206000000000007</v>
      </c>
      <c r="R239" s="10">
        <f>CHOOSE(CONTROL!$C$42, 8.9284, 8.9284) * CHOOSE(CONTROL!$C$21, $C$9, 100%, $E$9)</f>
        <v>8.9283999999999999</v>
      </c>
      <c r="S239" s="10">
        <f>CHOOSE(CONTROL!$C$42, 7.507, 7.507) * CHOOSE(CONTROL!$C$21, $C$9, 100%, $E$9)</f>
        <v>7.5069999999999997</v>
      </c>
      <c r="T239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39" s="58">
        <f>(1000*CHOOSE(CONTROL!$C$42, 695, 695)*CHOOSE(CONTROL!$C$42, 0.5599, 0.5599)*CHOOSE(CONTROL!$C$42, 30, 30))/1000000</f>
        <v>11.673914999999997</v>
      </c>
      <c r="V239" s="58">
        <f>(1000*CHOOSE(CONTROL!$C$42, 500, 500)*CHOOSE(CONTROL!$C$42, 0.275, 0.275)*CHOOSE(CONTROL!$C$42, 30, 30))/1000000</f>
        <v>4.125</v>
      </c>
      <c r="W239" s="58">
        <f>(1000*CHOOSE(CONTROL!$C$42, 0.1146, 0.1146)*CHOOSE(CONTROL!$C$42, 121.5, 121.5)*CHOOSE(CONTROL!$C$42, 30, 30))/1000000</f>
        <v>0.417717</v>
      </c>
      <c r="X239" s="58">
        <f>(30*0.1790888*100000/1000000)+(30*0.2374*100000/1000000)</f>
        <v>1.2494664</v>
      </c>
      <c r="Y239" s="58"/>
      <c r="Z239" s="10"/>
      <c r="AA239" s="57"/>
      <c r="AB239" s="51">
        <f>(B239*122.58+C239*297.941+D239*89.177+E239*40.302+F239*40+G239*160+H239*0+I239*100+J239*300)/(122.58+297.941+89.177+40.302+0+40+160+100+300)</f>
        <v>7.7304817927826095</v>
      </c>
      <c r="AC239" s="27">
        <f>(M239*'RAP TEMPLATE-GAS AVAILABILITY'!O238+N239*'RAP TEMPLATE-GAS AVAILABILITY'!P238+O239*'RAP TEMPLATE-GAS AVAILABILITY'!Q238+P239*'RAP TEMPLATE-GAS AVAILABILITY'!R238)/('RAP TEMPLATE-GAS AVAILABILITY'!O238+'RAP TEMPLATE-GAS AVAILABILITY'!P238+'RAP TEMPLATE-GAS AVAILABILITY'!Q238+'RAP TEMPLATE-GAS AVAILABILITY'!R238)</f>
        <v>7.6819330935251786</v>
      </c>
    </row>
    <row r="240" spans="1:29" ht="15.75" x14ac:dyDescent="0.25">
      <c r="A240" s="16">
        <v>48549</v>
      </c>
      <c r="B240" s="10">
        <f>CHOOSE(CONTROL!$C$42, 8.2596, 8.2596) * CHOOSE(CONTROL!$C$21, $C$9, 100%, $E$9)</f>
        <v>8.2596000000000007</v>
      </c>
      <c r="C240" s="10">
        <f>CHOOSE(CONTROL!$C$42, 8.2645, 8.2645) * CHOOSE(CONTROL!$C$21, $C$9, 100%, $E$9)</f>
        <v>8.2645</v>
      </c>
      <c r="D240" s="10">
        <f>CHOOSE(CONTROL!$C$42, 8.2942, 8.2942) * CHOOSE(CONTROL!$C$21, $C$9, 100%, $E$9)</f>
        <v>8.2942</v>
      </c>
      <c r="E240" s="10">
        <f>CHOOSE(CONTROL!$C$42, 8.3279, 8.3279) * CHOOSE(CONTROL!$C$21, $C$9, 100%, $E$9)</f>
        <v>8.3278999999999996</v>
      </c>
      <c r="F240" s="10">
        <f>CHOOSE(CONTROL!$C$42, 8.2469, 8.2469)*CHOOSE(CONTROL!$C$21, $C$9, 100%, $E$9)</f>
        <v>8.2469000000000001</v>
      </c>
      <c r="G240" s="10">
        <f>CHOOSE(CONTROL!$C$42, 8.2653, 8.2653)*CHOOSE(CONTROL!$C$21, $C$9, 100%, $E$9)</f>
        <v>8.2652999999999999</v>
      </c>
      <c r="H240" s="10">
        <f>CHOOSE(CONTROL!$C$42, 8.3171, 8.3171) * CHOOSE(CONTROL!$C$21, $C$9, 100%, $E$9)</f>
        <v>8.3170999999999999</v>
      </c>
      <c r="I240" s="10">
        <f>CHOOSE(CONTROL!$C$42, 8.2258, 8.2258)* CHOOSE(CONTROL!$C$21, $C$9, 100%, $E$9)</f>
        <v>8.2257999999999996</v>
      </c>
      <c r="J240" s="10">
        <f>CHOOSE(CONTROL!$C$42, 8.2399, 8.2399)* CHOOSE(CONTROL!$C$21, $C$9, 100%, $E$9)</f>
        <v>8.2399000000000004</v>
      </c>
      <c r="K240" s="54">
        <f>CHOOSE(CONTROL!$C$42, 8.2219, 8.2219) * CHOOSE(CONTROL!$C$21, $C$9, 100%, $E$9)</f>
        <v>8.2218999999999998</v>
      </c>
      <c r="L240" s="10">
        <f>CHOOSE(CONTROL!$C$42, 8.9041, 8.9041) * CHOOSE(CONTROL!$C$21, $C$9, 100%, $E$9)</f>
        <v>8.9040999999999997</v>
      </c>
      <c r="M240" s="10">
        <f>CHOOSE(CONTROL!$C$42, 8.1706, 8.1706) * CHOOSE(CONTROL!$C$21, $C$9, 100%, $E$9)</f>
        <v>8.1706000000000003</v>
      </c>
      <c r="N240" s="10">
        <f>CHOOSE(CONTROL!$C$42, 8.1888, 8.1888) * CHOOSE(CONTROL!$C$21, $C$9, 100%, $E$9)</f>
        <v>8.1888000000000005</v>
      </c>
      <c r="O240" s="10">
        <f>CHOOSE(CONTROL!$C$42, 8.247, 8.247) * CHOOSE(CONTROL!$C$21, $C$9, 100%, $E$9)</f>
        <v>8.2469999999999999</v>
      </c>
      <c r="P240" s="10">
        <f>CHOOSE(CONTROL!$C$42, 8.1566, 8.1566) * CHOOSE(CONTROL!$C$21, $C$9, 100%, $E$9)</f>
        <v>8.1565999999999992</v>
      </c>
      <c r="Q240" s="10">
        <f>CHOOSE(CONTROL!$C$42, 8.8423, 8.8423) * CHOOSE(CONTROL!$C$21, $C$9, 100%, $E$9)</f>
        <v>8.8422999999999998</v>
      </c>
      <c r="R240" s="10">
        <f>CHOOSE(CONTROL!$C$42, 9.4514, 9.4514) * CHOOSE(CONTROL!$C$21, $C$9, 100%, $E$9)</f>
        <v>9.4513999999999996</v>
      </c>
      <c r="S240" s="10">
        <f>CHOOSE(CONTROL!$C$42, 8.0188, 8.0188) * CHOOSE(CONTROL!$C$21, $C$9, 100%, $E$9)</f>
        <v>8.0188000000000006</v>
      </c>
      <c r="T240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240" s="58">
        <f>(1000*CHOOSE(CONTROL!$C$42, 695, 695)*CHOOSE(CONTROL!$C$42, 0.5599, 0.5599)*CHOOSE(CONTROL!$C$42, 31, 31))/1000000</f>
        <v>12.063045499999998</v>
      </c>
      <c r="V240" s="58">
        <f>(1000*CHOOSE(CONTROL!$C$42, 500, 500)*CHOOSE(CONTROL!$C$42, 0.275, 0.275)*CHOOSE(CONTROL!$C$42, 31, 31))/1000000</f>
        <v>4.2625000000000002</v>
      </c>
      <c r="W240" s="58">
        <f>(1000*CHOOSE(CONTROL!$C$42, 0.1146, 0.1146)*CHOOSE(CONTROL!$C$42, 121.5, 121.5)*CHOOSE(CONTROL!$C$42, 31, 31))/1000000</f>
        <v>0.43164089999999994</v>
      </c>
      <c r="X240" s="58">
        <f>(31*0.1790888*100000/1000000)+(31*0.2374*100000/1000000)</f>
        <v>1.2911152800000001</v>
      </c>
      <c r="Y240" s="58"/>
      <c r="Z240" s="10"/>
      <c r="AA240" s="57"/>
      <c r="AB240" s="51">
        <f>(B240*122.58+C240*297.941+D240*89.177+E240*40.302+F240*40+G240*160+H240*0+I240*100+J240*300)/(122.58+297.941+89.177+40.302+0+40+160+100+300)</f>
        <v>8.2582191840869577</v>
      </c>
      <c r="AC240" s="27">
        <f>(M240*'RAP TEMPLATE-GAS AVAILABILITY'!O239+N240*'RAP TEMPLATE-GAS AVAILABILITY'!P239+O240*'RAP TEMPLATE-GAS AVAILABILITY'!Q239+P240*'RAP TEMPLATE-GAS AVAILABILITY'!R239)/('RAP TEMPLATE-GAS AVAILABILITY'!O239+'RAP TEMPLATE-GAS AVAILABILITY'!P239+'RAP TEMPLATE-GAS AVAILABILITY'!Q239+'RAP TEMPLATE-GAS AVAILABILITY'!R239)</f>
        <v>8.2042604316546761</v>
      </c>
    </row>
    <row r="241" spans="1:29" ht="15.75" x14ac:dyDescent="0.25">
      <c r="A241" s="16">
        <v>48580</v>
      </c>
      <c r="B241" s="10">
        <f>CHOOSE(CONTROL!$C$42, 8.8169, 8.8169) * CHOOSE(CONTROL!$C$21, $C$9, 100%, $E$9)</f>
        <v>8.8169000000000004</v>
      </c>
      <c r="C241" s="10">
        <f>CHOOSE(CONTROL!$C$42, 8.8218, 8.8218) * CHOOSE(CONTROL!$C$21, $C$9, 100%, $E$9)</f>
        <v>8.8217999999999996</v>
      </c>
      <c r="D241" s="10">
        <f>CHOOSE(CONTROL!$C$42, 8.872, 8.872) * CHOOSE(CONTROL!$C$21, $C$9, 100%, $E$9)</f>
        <v>8.8719999999999999</v>
      </c>
      <c r="E241" s="10">
        <f>CHOOSE(CONTROL!$C$42, 8.9058, 8.9058) * CHOOSE(CONTROL!$C$21, $C$9, 100%, $E$9)</f>
        <v>8.9057999999999993</v>
      </c>
      <c r="F241" s="10">
        <f>CHOOSE(CONTROL!$C$42, 8.7822, 8.7822)*CHOOSE(CONTROL!$C$21, $C$9, 100%, $E$9)</f>
        <v>8.7821999999999996</v>
      </c>
      <c r="G241" s="10">
        <f>CHOOSE(CONTROL!$C$42, 8.7998, 8.7998)*CHOOSE(CONTROL!$C$21, $C$9, 100%, $E$9)</f>
        <v>8.7997999999999994</v>
      </c>
      <c r="H241" s="10">
        <f>CHOOSE(CONTROL!$C$42, 8.895, 8.895) * CHOOSE(CONTROL!$C$21, $C$9, 100%, $E$9)</f>
        <v>8.8949999999999996</v>
      </c>
      <c r="I241" s="10">
        <f>CHOOSE(CONTROL!$C$42, 8.7908, 8.7908)* CHOOSE(CONTROL!$C$21, $C$9, 100%, $E$9)</f>
        <v>8.7908000000000008</v>
      </c>
      <c r="J241" s="10">
        <f>CHOOSE(CONTROL!$C$42, 8.7752, 8.7752)* CHOOSE(CONTROL!$C$21, $C$9, 100%, $E$9)</f>
        <v>8.7751999999999999</v>
      </c>
      <c r="K241" s="54">
        <f>CHOOSE(CONTROL!$C$42, 8.7869, 8.7869) * CHOOSE(CONTROL!$C$21, $C$9, 100%, $E$9)</f>
        <v>8.7868999999999993</v>
      </c>
      <c r="L241" s="10">
        <f>CHOOSE(CONTROL!$C$42, 9.482, 9.482) * CHOOSE(CONTROL!$C$21, $C$9, 100%, $E$9)</f>
        <v>9.4819999999999993</v>
      </c>
      <c r="M241" s="10">
        <f>CHOOSE(CONTROL!$C$42, 8.7005, 8.7005) * CHOOSE(CONTROL!$C$21, $C$9, 100%, $E$9)</f>
        <v>8.7004999999999999</v>
      </c>
      <c r="N241" s="10">
        <f>CHOOSE(CONTROL!$C$42, 8.7179, 8.7179) * CHOOSE(CONTROL!$C$21, $C$9, 100%, $E$9)</f>
        <v>8.7179000000000002</v>
      </c>
      <c r="O241" s="10">
        <f>CHOOSE(CONTROL!$C$42, 8.8191, 8.8191) * CHOOSE(CONTROL!$C$21, $C$9, 100%, $E$9)</f>
        <v>8.8191000000000006</v>
      </c>
      <c r="P241" s="10">
        <f>CHOOSE(CONTROL!$C$42, 8.7159, 8.7159) * CHOOSE(CONTROL!$C$21, $C$9, 100%, $E$9)</f>
        <v>8.7158999999999995</v>
      </c>
      <c r="Q241" s="10">
        <f>CHOOSE(CONTROL!$C$42, 9.4144, 9.4144) * CHOOSE(CONTROL!$C$21, $C$9, 100%, $E$9)</f>
        <v>9.4144000000000005</v>
      </c>
      <c r="R241" s="10">
        <f>CHOOSE(CONTROL!$C$42, 10.0249, 10.0249) * CHOOSE(CONTROL!$C$21, $C$9, 100%, $E$9)</f>
        <v>10.024900000000001</v>
      </c>
      <c r="S241" s="10">
        <f>CHOOSE(CONTROL!$C$42, 8.5599, 8.5599) * CHOOSE(CONTROL!$C$21, $C$9, 100%, $E$9)</f>
        <v>8.5599000000000007</v>
      </c>
      <c r="T241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41" s="58">
        <f>(1000*CHOOSE(CONTROL!$C$42, 695, 695)*CHOOSE(CONTROL!$C$42, 0.5599, 0.5599)*CHOOSE(CONTROL!$C$42, 31, 31))/1000000</f>
        <v>12.063045499999998</v>
      </c>
      <c r="V241" s="58">
        <f>(1000*CHOOSE(CONTROL!$C$42, 500, 500)*CHOOSE(CONTROL!$C$42, 0.275, 0.275)*CHOOSE(CONTROL!$C$42, 31, 31))/1000000</f>
        <v>4.2625000000000002</v>
      </c>
      <c r="W241" s="58">
        <f>(1000*CHOOSE(CONTROL!$C$42, 0.1146, 0.1146)*CHOOSE(CONTROL!$C$42, 121.5, 121.5)*CHOOSE(CONTROL!$C$42, 31, 31))/1000000</f>
        <v>0.43164089999999994</v>
      </c>
      <c r="X241" s="58">
        <f>(31*0.1790888*100000/1000000)+(31*0.2374*100000/1000000)</f>
        <v>1.2911152800000001</v>
      </c>
      <c r="Y241" s="58"/>
      <c r="Z241" s="10"/>
      <c r="AA241" s="57"/>
      <c r="AB241" s="51">
        <f>(B241*122.58+C241*297.941+D241*89.177+E241*40.302+F241*40+G241*160+H241*0+I241*100+J241*300)/(122.58+297.941+89.177+40.302+0+40+160+100+300)</f>
        <v>8.8088238360000002</v>
      </c>
      <c r="AC241" s="27">
        <f>(M241*'RAP TEMPLATE-GAS AVAILABILITY'!O240+N241*'RAP TEMPLATE-GAS AVAILABILITY'!P240+O241*'RAP TEMPLATE-GAS AVAILABILITY'!Q240+P241*'RAP TEMPLATE-GAS AVAILABILITY'!R240)/('RAP TEMPLATE-GAS AVAILABILITY'!O240+'RAP TEMPLATE-GAS AVAILABILITY'!P240+'RAP TEMPLATE-GAS AVAILABILITY'!Q240+'RAP TEMPLATE-GAS AVAILABILITY'!R240)</f>
        <v>8.7574712230215823</v>
      </c>
    </row>
    <row r="242" spans="1:29" ht="15.75" x14ac:dyDescent="0.25">
      <c r="A242" s="16">
        <v>48611</v>
      </c>
      <c r="B242" s="10">
        <f>CHOOSE(CONTROL!$C$42, 8.9738, 8.9738) * CHOOSE(CONTROL!$C$21, $C$9, 100%, $E$9)</f>
        <v>8.9738000000000007</v>
      </c>
      <c r="C242" s="10">
        <f>CHOOSE(CONTROL!$C$42, 8.9787, 8.9787) * CHOOSE(CONTROL!$C$21, $C$9, 100%, $E$9)</f>
        <v>8.9786999999999999</v>
      </c>
      <c r="D242" s="10">
        <f>CHOOSE(CONTROL!$C$42, 9.0959, 9.0959) * CHOOSE(CONTROL!$C$21, $C$9, 100%, $E$9)</f>
        <v>9.0959000000000003</v>
      </c>
      <c r="E242" s="10">
        <f>CHOOSE(CONTROL!$C$42, 9.1296, 9.1296) * CHOOSE(CONTROL!$C$21, $C$9, 100%, $E$9)</f>
        <v>9.1295999999999999</v>
      </c>
      <c r="F242" s="10">
        <f>CHOOSE(CONTROL!$C$42, 9.0514, 9.0514)*CHOOSE(CONTROL!$C$21, $C$9, 100%, $E$9)</f>
        <v>9.0513999999999992</v>
      </c>
      <c r="G242" s="10">
        <f>CHOOSE(CONTROL!$C$42, 9.0733, 9.0733)*CHOOSE(CONTROL!$C$21, $C$9, 100%, $E$9)</f>
        <v>9.0732999999999997</v>
      </c>
      <c r="H242" s="10">
        <f>CHOOSE(CONTROL!$C$42, 9.1188, 9.1188) * CHOOSE(CONTROL!$C$21, $C$9, 100%, $E$9)</f>
        <v>9.1188000000000002</v>
      </c>
      <c r="I242" s="10">
        <f>CHOOSE(CONTROL!$C$42, 9.0094, 9.0094)* CHOOSE(CONTROL!$C$21, $C$9, 100%, $E$9)</f>
        <v>9.0093999999999994</v>
      </c>
      <c r="J242" s="10">
        <f>CHOOSE(CONTROL!$C$42, 9.0444, 9.0444)* CHOOSE(CONTROL!$C$21, $C$9, 100%, $E$9)</f>
        <v>9.0443999999999996</v>
      </c>
      <c r="K242" s="54">
        <f>CHOOSE(CONTROL!$C$42, 9.0056, 9.0056) * CHOOSE(CONTROL!$C$21, $C$9, 100%, $E$9)</f>
        <v>9.0055999999999994</v>
      </c>
      <c r="L242" s="10">
        <f>CHOOSE(CONTROL!$C$42, 9.7058, 9.7058) * CHOOSE(CONTROL!$C$21, $C$9, 100%, $E$9)</f>
        <v>9.7058</v>
      </c>
      <c r="M242" s="10">
        <f>CHOOSE(CONTROL!$C$42, 8.9669, 8.9669) * CHOOSE(CONTROL!$C$21, $C$9, 100%, $E$9)</f>
        <v>8.9669000000000008</v>
      </c>
      <c r="N242" s="10">
        <f>CHOOSE(CONTROL!$C$42, 8.9886, 8.9886) * CHOOSE(CONTROL!$C$21, $C$9, 100%, $E$9)</f>
        <v>8.9885999999999999</v>
      </c>
      <c r="O242" s="10">
        <f>CHOOSE(CONTROL!$C$42, 9.0406, 9.0406) * CHOOSE(CONTROL!$C$21, $C$9, 100%, $E$9)</f>
        <v>9.0405999999999995</v>
      </c>
      <c r="P242" s="10">
        <f>CHOOSE(CONTROL!$C$42, 8.9324, 8.9324) * CHOOSE(CONTROL!$C$21, $C$9, 100%, $E$9)</f>
        <v>8.9323999999999995</v>
      </c>
      <c r="Q242" s="10">
        <f>CHOOSE(CONTROL!$C$42, 9.6359, 9.6359) * CHOOSE(CONTROL!$C$21, $C$9, 100%, $E$9)</f>
        <v>9.6358999999999995</v>
      </c>
      <c r="R242" s="10">
        <f>CHOOSE(CONTROL!$C$42, 10.247, 10.247) * CHOOSE(CONTROL!$C$21, $C$9, 100%, $E$9)</f>
        <v>10.247</v>
      </c>
      <c r="S242" s="10">
        <f>CHOOSE(CONTROL!$C$42, 8.7123, 8.7123) * CHOOSE(CONTROL!$C$21, $C$9, 100%, $E$9)</f>
        <v>8.7123000000000008</v>
      </c>
      <c r="T242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242" s="58">
        <f>(1000*CHOOSE(CONTROL!$C$42, 695, 695)*CHOOSE(CONTROL!$C$42, 0.5599, 0.5599)*CHOOSE(CONTROL!$C$42, 28, 28))/1000000</f>
        <v>10.895653999999999</v>
      </c>
      <c r="V242" s="58">
        <f>(1000*CHOOSE(CONTROL!$C$42, 500, 500)*CHOOSE(CONTROL!$C$42, 0.275, 0.275)*CHOOSE(CONTROL!$C$42, 28, 28))/1000000</f>
        <v>3.85</v>
      </c>
      <c r="W242" s="58">
        <f>(1000*CHOOSE(CONTROL!$C$42, 0.1146, 0.1146)*CHOOSE(CONTROL!$C$42, 121.5, 121.5)*CHOOSE(CONTROL!$C$42, 28, 28))/1000000</f>
        <v>0.38986920000000003</v>
      </c>
      <c r="X242" s="58">
        <f>(28*0.1790888*100000/1000000)+(28*0.2374*100000/1000000)</f>
        <v>1.16616864</v>
      </c>
      <c r="Y242" s="58"/>
      <c r="Z242" s="10"/>
      <c r="AA242" s="57"/>
      <c r="AB242" s="51">
        <f>(B242*122.58+C242*297.941+D242*89.177+E242*40.302+F242*40+G242*160+H242*0+I242*100+J242*300)/(122.58+297.941+89.177+40.302+0+40+160+100+300)</f>
        <v>9.0280534558260879</v>
      </c>
      <c r="AC242" s="27">
        <f>(M242*'RAP TEMPLATE-GAS AVAILABILITY'!O241+N242*'RAP TEMPLATE-GAS AVAILABILITY'!P241+O242*'RAP TEMPLATE-GAS AVAILABILITY'!Q241+P242*'RAP TEMPLATE-GAS AVAILABILITY'!R241)/('RAP TEMPLATE-GAS AVAILABILITY'!O241+'RAP TEMPLATE-GAS AVAILABILITY'!P241+'RAP TEMPLATE-GAS AVAILABILITY'!Q241+'RAP TEMPLATE-GAS AVAILABILITY'!R241)</f>
        <v>8.9965884892086319</v>
      </c>
    </row>
    <row r="243" spans="1:29" ht="15.75" x14ac:dyDescent="0.25">
      <c r="A243" s="16">
        <v>48639</v>
      </c>
      <c r="B243" s="10">
        <f>CHOOSE(CONTROL!$C$42, 8.7191, 8.7191) * CHOOSE(CONTROL!$C$21, $C$9, 100%, $E$9)</f>
        <v>8.7190999999999992</v>
      </c>
      <c r="C243" s="10">
        <f>CHOOSE(CONTROL!$C$42, 8.724, 8.724) * CHOOSE(CONTROL!$C$21, $C$9, 100%, $E$9)</f>
        <v>8.7240000000000002</v>
      </c>
      <c r="D243" s="10">
        <f>CHOOSE(CONTROL!$C$42, 8.8154, 8.8154) * CHOOSE(CONTROL!$C$21, $C$9, 100%, $E$9)</f>
        <v>8.8154000000000003</v>
      </c>
      <c r="E243" s="10">
        <f>CHOOSE(CONTROL!$C$42, 8.8492, 8.8492) * CHOOSE(CONTROL!$C$21, $C$9, 100%, $E$9)</f>
        <v>8.8491999999999997</v>
      </c>
      <c r="F243" s="10">
        <f>CHOOSE(CONTROL!$C$42, 8.7489, 8.7489)*CHOOSE(CONTROL!$C$21, $C$9, 100%, $E$9)</f>
        <v>8.7489000000000008</v>
      </c>
      <c r="G243" s="10">
        <f>CHOOSE(CONTROL!$C$42, 8.7684, 8.7684)*CHOOSE(CONTROL!$C$21, $C$9, 100%, $E$9)</f>
        <v>8.7683999999999997</v>
      </c>
      <c r="H243" s="10">
        <f>CHOOSE(CONTROL!$C$42, 8.8384, 8.8384) * CHOOSE(CONTROL!$C$21, $C$9, 100%, $E$9)</f>
        <v>8.8384</v>
      </c>
      <c r="I243" s="10">
        <f>CHOOSE(CONTROL!$C$42, 8.7419, 8.7419)* CHOOSE(CONTROL!$C$21, $C$9, 100%, $E$9)</f>
        <v>8.7418999999999993</v>
      </c>
      <c r="J243" s="10">
        <f>CHOOSE(CONTROL!$C$42, 8.7419, 8.7419)* CHOOSE(CONTROL!$C$21, $C$9, 100%, $E$9)</f>
        <v>8.7418999999999993</v>
      </c>
      <c r="K243" s="54">
        <f>CHOOSE(CONTROL!$C$42, 8.738, 8.738) * CHOOSE(CONTROL!$C$21, $C$9, 100%, $E$9)</f>
        <v>8.7379999999999995</v>
      </c>
      <c r="L243" s="10">
        <f>CHOOSE(CONTROL!$C$42, 9.4254, 9.4254) * CHOOSE(CONTROL!$C$21, $C$9, 100%, $E$9)</f>
        <v>9.4253999999999998</v>
      </c>
      <c r="M243" s="10">
        <f>CHOOSE(CONTROL!$C$42, 8.6675, 8.6675) * CHOOSE(CONTROL!$C$21, $C$9, 100%, $E$9)</f>
        <v>8.6675000000000004</v>
      </c>
      <c r="N243" s="10">
        <f>CHOOSE(CONTROL!$C$42, 8.6868, 8.6868) * CHOOSE(CONTROL!$C$21, $C$9, 100%, $E$9)</f>
        <v>8.6867999999999999</v>
      </c>
      <c r="O243" s="10">
        <f>CHOOSE(CONTROL!$C$42, 8.763, 8.763) * CHOOSE(CONTROL!$C$21, $C$9, 100%, $E$9)</f>
        <v>8.7629999999999999</v>
      </c>
      <c r="P243" s="10">
        <f>CHOOSE(CONTROL!$C$42, 8.6675, 8.6675) * CHOOSE(CONTROL!$C$21, $C$9, 100%, $E$9)</f>
        <v>8.6675000000000004</v>
      </c>
      <c r="Q243" s="10">
        <f>CHOOSE(CONTROL!$C$42, 9.3583, 9.3583) * CHOOSE(CONTROL!$C$21, $C$9, 100%, $E$9)</f>
        <v>9.3582999999999998</v>
      </c>
      <c r="R243" s="10">
        <f>CHOOSE(CONTROL!$C$42, 9.9687, 9.9687) * CHOOSE(CONTROL!$C$21, $C$9, 100%, $E$9)</f>
        <v>9.9687000000000001</v>
      </c>
      <c r="S243" s="10">
        <f>CHOOSE(CONTROL!$C$42, 8.465, 8.465) * CHOOSE(CONTROL!$C$21, $C$9, 100%, $E$9)</f>
        <v>8.4649999999999999</v>
      </c>
      <c r="T243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43" s="58">
        <f>(1000*CHOOSE(CONTROL!$C$42, 695, 695)*CHOOSE(CONTROL!$C$42, 0.5599, 0.5599)*CHOOSE(CONTROL!$C$42, 31, 31))/1000000</f>
        <v>12.063045499999998</v>
      </c>
      <c r="V243" s="58">
        <f>(1000*CHOOSE(CONTROL!$C$42, 500, 500)*CHOOSE(CONTROL!$C$42, 0.275, 0.275)*CHOOSE(CONTROL!$C$42, 31, 31))/1000000</f>
        <v>4.2625000000000002</v>
      </c>
      <c r="W243" s="58">
        <f>(1000*CHOOSE(CONTROL!$C$42, 0.1146, 0.1146)*CHOOSE(CONTROL!$C$42, 121.5, 121.5)*CHOOSE(CONTROL!$C$42, 31, 31))/1000000</f>
        <v>0.43164089999999994</v>
      </c>
      <c r="X243" s="58">
        <f>(31*0.1790888*100000/1000000)+(31*0.2374*100000/1000000)</f>
        <v>1.2911152800000001</v>
      </c>
      <c r="Y243" s="58"/>
      <c r="Z243" s="10"/>
      <c r="AA243" s="57"/>
      <c r="AB243" s="51">
        <f>(B243*122.58+C243*297.941+D243*89.177+E243*40.302+F243*40+G243*160+H243*0+I243*100+J243*300)/(122.58+297.941+89.177+40.302+0+40+160+100+300)</f>
        <v>8.7482225619130425</v>
      </c>
      <c r="AC243" s="27">
        <f>(M243*'RAP TEMPLATE-GAS AVAILABILITY'!O242+N243*'RAP TEMPLATE-GAS AVAILABILITY'!P242+O243*'RAP TEMPLATE-GAS AVAILABILITY'!Q242+P243*'RAP TEMPLATE-GAS AVAILABILITY'!R242)/('RAP TEMPLATE-GAS AVAILABILITY'!O242+'RAP TEMPLATE-GAS AVAILABILITY'!P242+'RAP TEMPLATE-GAS AVAILABILITY'!Q242+'RAP TEMPLATE-GAS AVAILABILITY'!R242)</f>
        <v>8.7118949640287759</v>
      </c>
    </row>
    <row r="244" spans="1:29" ht="15.75" x14ac:dyDescent="0.25">
      <c r="A244" s="16">
        <v>48670</v>
      </c>
      <c r="B244" s="10">
        <f>CHOOSE(CONTROL!$C$42, 8.6938, 8.6938) * CHOOSE(CONTROL!$C$21, $C$9, 100%, $E$9)</f>
        <v>8.6937999999999995</v>
      </c>
      <c r="C244" s="10">
        <f>CHOOSE(CONTROL!$C$42, 8.6981, 8.6981) * CHOOSE(CONTROL!$C$21, $C$9, 100%, $E$9)</f>
        <v>8.6981000000000002</v>
      </c>
      <c r="D244" s="10">
        <f>CHOOSE(CONTROL!$C$42, 8.8798, 8.8798) * CHOOSE(CONTROL!$C$21, $C$9, 100%, $E$9)</f>
        <v>8.8797999999999995</v>
      </c>
      <c r="E244" s="10">
        <f>CHOOSE(CONTROL!$C$42, 8.9116, 8.9116) * CHOOSE(CONTROL!$C$21, $C$9, 100%, $E$9)</f>
        <v>8.9116</v>
      </c>
      <c r="F244" s="10">
        <f>CHOOSE(CONTROL!$C$42, 8.6821, 8.6821)*CHOOSE(CONTROL!$C$21, $C$9, 100%, $E$9)</f>
        <v>8.6821000000000002</v>
      </c>
      <c r="G244" s="10">
        <f>CHOOSE(CONTROL!$C$42, 8.7001, 8.7001)*CHOOSE(CONTROL!$C$21, $C$9, 100%, $E$9)</f>
        <v>8.7001000000000008</v>
      </c>
      <c r="H244" s="10">
        <f>CHOOSE(CONTROL!$C$42, 8.9014, 8.9014) * CHOOSE(CONTROL!$C$21, $C$9, 100%, $E$9)</f>
        <v>8.9014000000000006</v>
      </c>
      <c r="I244" s="10">
        <f>CHOOSE(CONTROL!$C$42, 8.672, 8.672)* CHOOSE(CONTROL!$C$21, $C$9, 100%, $E$9)</f>
        <v>8.6720000000000006</v>
      </c>
      <c r="J244" s="10">
        <f>CHOOSE(CONTROL!$C$42, 8.6751, 8.6751)* CHOOSE(CONTROL!$C$21, $C$9, 100%, $E$9)</f>
        <v>8.6751000000000005</v>
      </c>
      <c r="K244" s="54">
        <f>CHOOSE(CONTROL!$C$42, 8.6681, 8.6681) * CHOOSE(CONTROL!$C$21, $C$9, 100%, $E$9)</f>
        <v>8.6681000000000008</v>
      </c>
      <c r="L244" s="10">
        <f>CHOOSE(CONTROL!$C$42, 9.4884, 9.4884) * CHOOSE(CONTROL!$C$21, $C$9, 100%, $E$9)</f>
        <v>9.4884000000000004</v>
      </c>
      <c r="M244" s="10">
        <f>CHOOSE(CONTROL!$C$42, 8.6014, 8.6014) * CHOOSE(CONTROL!$C$21, $C$9, 100%, $E$9)</f>
        <v>8.6013999999999999</v>
      </c>
      <c r="N244" s="10">
        <f>CHOOSE(CONTROL!$C$42, 8.6192, 8.6192) * CHOOSE(CONTROL!$C$21, $C$9, 100%, $E$9)</f>
        <v>8.6191999999999993</v>
      </c>
      <c r="O244" s="10">
        <f>CHOOSE(CONTROL!$C$42, 8.8254, 8.8254) * CHOOSE(CONTROL!$C$21, $C$9, 100%, $E$9)</f>
        <v>8.8254000000000001</v>
      </c>
      <c r="P244" s="10">
        <f>CHOOSE(CONTROL!$C$42, 8.5984, 8.5984) * CHOOSE(CONTROL!$C$21, $C$9, 100%, $E$9)</f>
        <v>8.5983999999999998</v>
      </c>
      <c r="Q244" s="10">
        <f>CHOOSE(CONTROL!$C$42, 9.4207, 9.4207) * CHOOSE(CONTROL!$C$21, $C$9, 100%, $E$9)</f>
        <v>9.4207000000000001</v>
      </c>
      <c r="R244" s="10">
        <f>CHOOSE(CONTROL!$C$42, 10.0312, 10.0312) * CHOOSE(CONTROL!$C$21, $C$9, 100%, $E$9)</f>
        <v>10.0312</v>
      </c>
      <c r="S244" s="10">
        <f>CHOOSE(CONTROL!$C$42, 8.4396, 8.4396) * CHOOSE(CONTROL!$C$21, $C$9, 100%, $E$9)</f>
        <v>8.4396000000000004</v>
      </c>
      <c r="T244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44" s="58">
        <f>(1000*CHOOSE(CONTROL!$C$42, 695, 695)*CHOOSE(CONTROL!$C$42, 0.5599, 0.5599)*CHOOSE(CONTROL!$C$42, 30, 30))/1000000</f>
        <v>11.673914999999997</v>
      </c>
      <c r="V244" s="58">
        <f>(1000*CHOOSE(CONTROL!$C$42, 500, 500)*CHOOSE(CONTROL!$C$42, 0.275, 0.275)*CHOOSE(CONTROL!$C$42, 30, 30))/1000000</f>
        <v>4.125</v>
      </c>
      <c r="W244" s="58">
        <f>(1000*CHOOSE(CONTROL!$C$42, 0.1146, 0.1146)*CHOOSE(CONTROL!$C$42, 121.5, 121.5)*CHOOSE(CONTROL!$C$42, 30, 30))/1000000</f>
        <v>0.417717</v>
      </c>
      <c r="X244" s="58">
        <f>(30*0.1790888*245000/1000000)+(30*0.2374*100000/1000000)</f>
        <v>2.0285026799999999</v>
      </c>
      <c r="Y244" s="58"/>
      <c r="Z244" s="10"/>
      <c r="AA244" s="57"/>
      <c r="AB244" s="51">
        <f>(B244*141.293+C244*267.993+D244*115.016+E244*89.698+F244*40+G244*185+H244*0+I244*100+J244*300)/(141.293+267.993+115.016+89.698+0+40+185+100+300)</f>
        <v>8.7220397661824052</v>
      </c>
      <c r="AC244" s="27">
        <f>(M244*'RAP TEMPLATE-GAS AVAILABILITY'!O243+N244*'RAP TEMPLATE-GAS AVAILABILITY'!P243+O244*'RAP TEMPLATE-GAS AVAILABILITY'!Q243+P244*'RAP TEMPLATE-GAS AVAILABILITY'!R243)/('RAP TEMPLATE-GAS AVAILABILITY'!O243+'RAP TEMPLATE-GAS AVAILABILITY'!P243+'RAP TEMPLATE-GAS AVAILABILITY'!Q243+'RAP TEMPLATE-GAS AVAILABILITY'!R243)</f>
        <v>8.667915107913668</v>
      </c>
    </row>
    <row r="245" spans="1:29" ht="15.75" x14ac:dyDescent="0.25">
      <c r="A245" s="16">
        <v>48700</v>
      </c>
      <c r="B245" s="10">
        <f>CHOOSE(CONTROL!$C$42, 8.7722, 8.7722) * CHOOSE(CONTROL!$C$21, $C$9, 100%, $E$9)</f>
        <v>8.7721999999999998</v>
      </c>
      <c r="C245" s="10">
        <f>CHOOSE(CONTROL!$C$42, 8.7802, 8.7802) * CHOOSE(CONTROL!$C$21, $C$9, 100%, $E$9)</f>
        <v>8.7802000000000007</v>
      </c>
      <c r="D245" s="10">
        <f>CHOOSE(CONTROL!$C$42, 8.9587, 8.9587) * CHOOSE(CONTROL!$C$21, $C$9, 100%, $E$9)</f>
        <v>8.9587000000000003</v>
      </c>
      <c r="E245" s="10">
        <f>CHOOSE(CONTROL!$C$42, 8.9898, 8.9898) * CHOOSE(CONTROL!$C$21, $C$9, 100%, $E$9)</f>
        <v>8.9898000000000007</v>
      </c>
      <c r="F245" s="10">
        <f>CHOOSE(CONTROL!$C$42, 8.7584, 8.7584)*CHOOSE(CONTROL!$C$21, $C$9, 100%, $E$9)</f>
        <v>8.7584</v>
      </c>
      <c r="G245" s="10">
        <f>CHOOSE(CONTROL!$C$42, 8.7766, 8.7766)*CHOOSE(CONTROL!$C$21, $C$9, 100%, $E$9)</f>
        <v>8.7766000000000002</v>
      </c>
      <c r="H245" s="10">
        <f>CHOOSE(CONTROL!$C$42, 8.9785, 8.9785) * CHOOSE(CONTROL!$C$21, $C$9, 100%, $E$9)</f>
        <v>8.9785000000000004</v>
      </c>
      <c r="I245" s="10">
        <f>CHOOSE(CONTROL!$C$42, 8.7491, 8.7491)* CHOOSE(CONTROL!$C$21, $C$9, 100%, $E$9)</f>
        <v>8.7491000000000003</v>
      </c>
      <c r="J245" s="10">
        <f>CHOOSE(CONTROL!$C$42, 8.7514, 8.7514)* CHOOSE(CONTROL!$C$21, $C$9, 100%, $E$9)</f>
        <v>8.7514000000000003</v>
      </c>
      <c r="K245" s="54">
        <f>CHOOSE(CONTROL!$C$42, 8.7452, 8.7452) * CHOOSE(CONTROL!$C$21, $C$9, 100%, $E$9)</f>
        <v>8.7452000000000005</v>
      </c>
      <c r="L245" s="10">
        <f>CHOOSE(CONTROL!$C$42, 9.5655, 9.5655) * CHOOSE(CONTROL!$C$21, $C$9, 100%, $E$9)</f>
        <v>9.5655000000000001</v>
      </c>
      <c r="M245" s="10">
        <f>CHOOSE(CONTROL!$C$42, 8.6769, 8.6769) * CHOOSE(CONTROL!$C$21, $C$9, 100%, $E$9)</f>
        <v>8.6768999999999998</v>
      </c>
      <c r="N245" s="10">
        <f>CHOOSE(CONTROL!$C$42, 8.6949, 8.6949) * CHOOSE(CONTROL!$C$21, $C$9, 100%, $E$9)</f>
        <v>8.6949000000000005</v>
      </c>
      <c r="O245" s="10">
        <f>CHOOSE(CONTROL!$C$42, 8.9017, 8.9017) * CHOOSE(CONTROL!$C$21, $C$9, 100%, $E$9)</f>
        <v>8.9016999999999999</v>
      </c>
      <c r="P245" s="10">
        <f>CHOOSE(CONTROL!$C$42, 8.6747, 8.6747) * CHOOSE(CONTROL!$C$21, $C$9, 100%, $E$9)</f>
        <v>8.6746999999999996</v>
      </c>
      <c r="Q245" s="10">
        <f>CHOOSE(CONTROL!$C$42, 9.497, 9.497) * CHOOSE(CONTROL!$C$21, $C$9, 100%, $E$9)</f>
        <v>9.4969999999999999</v>
      </c>
      <c r="R245" s="10">
        <f>CHOOSE(CONTROL!$C$42, 10.1077, 10.1077) * CHOOSE(CONTROL!$C$21, $C$9, 100%, $E$9)</f>
        <v>10.107699999999999</v>
      </c>
      <c r="S245" s="10">
        <f>CHOOSE(CONTROL!$C$42, 8.5145, 8.5145) * CHOOSE(CONTROL!$C$21, $C$9, 100%, $E$9)</f>
        <v>8.5145</v>
      </c>
      <c r="T245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245" s="58">
        <f>(1000*CHOOSE(CONTROL!$C$42, 695, 695)*CHOOSE(CONTROL!$C$42, 0.5599, 0.5599)*CHOOSE(CONTROL!$C$42, 31, 31))/1000000</f>
        <v>12.063045499999998</v>
      </c>
      <c r="V245" s="58">
        <f>(1000*CHOOSE(CONTROL!$C$42, 500, 500)*CHOOSE(CONTROL!$C$42, 0.275, 0.275)*CHOOSE(CONTROL!$C$42, 31, 31))/1000000</f>
        <v>4.2625000000000002</v>
      </c>
      <c r="W245" s="58">
        <f>(1000*CHOOSE(CONTROL!$C$42, 0.1146, 0.1146)*CHOOSE(CONTROL!$C$42, 121.5, 121.5)*CHOOSE(CONTROL!$C$42, 31, 31))/1000000</f>
        <v>0.43164089999999994</v>
      </c>
      <c r="X245" s="58">
        <f>(31*0.1790888*245000/1000000)+(31*0.2374*100000/1000000)</f>
        <v>2.0961194359999999</v>
      </c>
      <c r="Y245" s="58"/>
      <c r="Z245" s="10"/>
      <c r="AA245" s="57"/>
      <c r="AB245" s="51">
        <f>(B245*194.205+C245*267.466+D245*133.845+E245*53.484+F245*40+G245*185+H245*0+I245*100+J245*300)/(194.205+267.466+133.845+53.484+0+40+185+100+300)</f>
        <v>8.7961026208006299</v>
      </c>
      <c r="AC245" s="27">
        <f>(M245*'RAP TEMPLATE-GAS AVAILABILITY'!O244+N245*'RAP TEMPLATE-GAS AVAILABILITY'!P244+O245*'RAP TEMPLATE-GAS AVAILABILITY'!Q244+P245*'RAP TEMPLATE-GAS AVAILABILITY'!R244)/('RAP TEMPLATE-GAS AVAILABILITY'!O244+'RAP TEMPLATE-GAS AVAILABILITY'!P244+'RAP TEMPLATE-GAS AVAILABILITY'!Q244+'RAP TEMPLATE-GAS AVAILABILITY'!R244)</f>
        <v>8.7438007194244616</v>
      </c>
    </row>
    <row r="246" spans="1:29" ht="15.75" x14ac:dyDescent="0.25">
      <c r="A246" s="16">
        <v>48731</v>
      </c>
      <c r="B246" s="10">
        <f>CHOOSE(CONTROL!$C$42, 9.0209, 9.0209) * CHOOSE(CONTROL!$C$21, $C$9, 100%, $E$9)</f>
        <v>9.0208999999999993</v>
      </c>
      <c r="C246" s="10">
        <f>CHOOSE(CONTROL!$C$42, 9.0288, 9.0288) * CHOOSE(CONTROL!$C$21, $C$9, 100%, $E$9)</f>
        <v>9.0288000000000004</v>
      </c>
      <c r="D246" s="10">
        <f>CHOOSE(CONTROL!$C$42, 9.2074, 9.2074) * CHOOSE(CONTROL!$C$21, $C$9, 100%, $E$9)</f>
        <v>9.2073999999999998</v>
      </c>
      <c r="E246" s="10">
        <f>CHOOSE(CONTROL!$C$42, 9.2385, 9.2385) * CHOOSE(CONTROL!$C$21, $C$9, 100%, $E$9)</f>
        <v>9.2385000000000002</v>
      </c>
      <c r="F246" s="10">
        <f>CHOOSE(CONTROL!$C$42, 9.0074, 9.0074)*CHOOSE(CONTROL!$C$21, $C$9, 100%, $E$9)</f>
        <v>9.0074000000000005</v>
      </c>
      <c r="G246" s="10">
        <f>CHOOSE(CONTROL!$C$42, 9.0256, 9.0256)*CHOOSE(CONTROL!$C$21, $C$9, 100%, $E$9)</f>
        <v>9.0256000000000007</v>
      </c>
      <c r="H246" s="10">
        <f>CHOOSE(CONTROL!$C$42, 9.2271, 9.2271) * CHOOSE(CONTROL!$C$21, $C$9, 100%, $E$9)</f>
        <v>9.2271000000000001</v>
      </c>
      <c r="I246" s="10">
        <f>CHOOSE(CONTROL!$C$42, 8.9978, 8.9978)* CHOOSE(CONTROL!$C$21, $C$9, 100%, $E$9)</f>
        <v>8.9977999999999998</v>
      </c>
      <c r="J246" s="10">
        <f>CHOOSE(CONTROL!$C$42, 9.0004, 9.0004)* CHOOSE(CONTROL!$C$21, $C$9, 100%, $E$9)</f>
        <v>9.0004000000000008</v>
      </c>
      <c r="K246" s="54">
        <f>CHOOSE(CONTROL!$C$42, 8.9939, 8.9939) * CHOOSE(CONTROL!$C$21, $C$9, 100%, $E$9)</f>
        <v>8.9939</v>
      </c>
      <c r="L246" s="10">
        <f>CHOOSE(CONTROL!$C$42, 9.8141, 9.8141) * CHOOSE(CONTROL!$C$21, $C$9, 100%, $E$9)</f>
        <v>9.8140999999999998</v>
      </c>
      <c r="M246" s="10">
        <f>CHOOSE(CONTROL!$C$42, 8.9234, 8.9234) * CHOOSE(CONTROL!$C$21, $C$9, 100%, $E$9)</f>
        <v>8.9234000000000009</v>
      </c>
      <c r="N246" s="10">
        <f>CHOOSE(CONTROL!$C$42, 8.9414, 8.9414) * CHOOSE(CONTROL!$C$21, $C$9, 100%, $E$9)</f>
        <v>8.9413999999999998</v>
      </c>
      <c r="O246" s="10">
        <f>CHOOSE(CONTROL!$C$42, 9.1479, 9.1479) * CHOOSE(CONTROL!$C$21, $C$9, 100%, $E$9)</f>
        <v>9.1478999999999999</v>
      </c>
      <c r="P246" s="10">
        <f>CHOOSE(CONTROL!$C$42, 8.9209, 8.9209) * CHOOSE(CONTROL!$C$21, $C$9, 100%, $E$9)</f>
        <v>8.9208999999999996</v>
      </c>
      <c r="Q246" s="10">
        <f>CHOOSE(CONTROL!$C$42, 9.7432, 9.7432) * CHOOSE(CONTROL!$C$21, $C$9, 100%, $E$9)</f>
        <v>9.7431999999999999</v>
      </c>
      <c r="R246" s="10">
        <f>CHOOSE(CONTROL!$C$42, 10.3545, 10.3545) * CHOOSE(CONTROL!$C$21, $C$9, 100%, $E$9)</f>
        <v>10.3545</v>
      </c>
      <c r="S246" s="10">
        <f>CHOOSE(CONTROL!$C$42, 8.756, 8.756) * CHOOSE(CONTROL!$C$21, $C$9, 100%, $E$9)</f>
        <v>8.7560000000000002</v>
      </c>
      <c r="T246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246" s="58">
        <f>(1000*CHOOSE(CONTROL!$C$42, 695, 695)*CHOOSE(CONTROL!$C$42, 0.5599, 0.5599)*CHOOSE(CONTROL!$C$42, 30, 30))/1000000</f>
        <v>11.673914999999997</v>
      </c>
      <c r="V246" s="58">
        <f>(1000*CHOOSE(CONTROL!$C$42, 500, 500)*CHOOSE(CONTROL!$C$42, 0.275, 0.275)*CHOOSE(CONTROL!$C$42, 30, 30))/1000000</f>
        <v>4.125</v>
      </c>
      <c r="W246" s="58">
        <f>(1000*CHOOSE(CONTROL!$C$42, 0.1146, 0.1146)*CHOOSE(CONTROL!$C$42, 121.5, 121.5)*CHOOSE(CONTROL!$C$42, 30, 30))/1000000</f>
        <v>0.417717</v>
      </c>
      <c r="X246" s="58">
        <f>(30*0.1790888*245000/1000000)+(30*0.2374*100000/1000000)</f>
        <v>2.0285026799999999</v>
      </c>
      <c r="Y246" s="58"/>
      <c r="Z246" s="10"/>
      <c r="AA246" s="57"/>
      <c r="AB246" s="51">
        <f>(B246*194.205+C246*267.466+D246*133.845+E246*53.484+F246*40+G246*185+H246*0+I246*100+J246*300)/(194.205+267.466+133.845+53.484+0+40+185+100+300)</f>
        <v>9.0449052529827334</v>
      </c>
      <c r="AC246" s="27">
        <f>(M246*'RAP TEMPLATE-GAS AVAILABILITY'!O245+N246*'RAP TEMPLATE-GAS AVAILABILITY'!P245+O246*'RAP TEMPLATE-GAS AVAILABILITY'!Q245+P246*'RAP TEMPLATE-GAS AVAILABILITY'!R245)/('RAP TEMPLATE-GAS AVAILABILITY'!O245+'RAP TEMPLATE-GAS AVAILABILITY'!P245+'RAP TEMPLATE-GAS AVAILABILITY'!Q245+'RAP TEMPLATE-GAS AVAILABILITY'!R245)</f>
        <v>8.990173381294964</v>
      </c>
    </row>
    <row r="247" spans="1:29" ht="15.75" x14ac:dyDescent="0.25">
      <c r="A247" s="16">
        <v>48761</v>
      </c>
      <c r="B247" s="10">
        <f>CHOOSE(CONTROL!$C$42, 8.848, 8.848) * CHOOSE(CONTROL!$C$21, $C$9, 100%, $E$9)</f>
        <v>8.8480000000000008</v>
      </c>
      <c r="C247" s="10">
        <f>CHOOSE(CONTROL!$C$42, 8.8559, 8.8559) * CHOOSE(CONTROL!$C$21, $C$9, 100%, $E$9)</f>
        <v>8.8559000000000001</v>
      </c>
      <c r="D247" s="10">
        <f>CHOOSE(CONTROL!$C$42, 9.0344, 9.0344) * CHOOSE(CONTROL!$C$21, $C$9, 100%, $E$9)</f>
        <v>9.0343999999999998</v>
      </c>
      <c r="E247" s="10">
        <f>CHOOSE(CONTROL!$C$42, 9.0656, 9.0656) * CHOOSE(CONTROL!$C$21, $C$9, 100%, $E$9)</f>
        <v>9.0655999999999999</v>
      </c>
      <c r="F247" s="10">
        <f>CHOOSE(CONTROL!$C$42, 8.8347, 8.8347)*CHOOSE(CONTROL!$C$21, $C$9, 100%, $E$9)</f>
        <v>8.8346999999999998</v>
      </c>
      <c r="G247" s="10">
        <f>CHOOSE(CONTROL!$C$42, 8.853, 8.853)*CHOOSE(CONTROL!$C$21, $C$9, 100%, $E$9)</f>
        <v>8.8529999999999998</v>
      </c>
      <c r="H247" s="10">
        <f>CHOOSE(CONTROL!$C$42, 9.0542, 9.0542) * CHOOSE(CONTROL!$C$21, $C$9, 100%, $E$9)</f>
        <v>9.0541999999999998</v>
      </c>
      <c r="I247" s="10">
        <f>CHOOSE(CONTROL!$C$42, 8.8248, 8.8248)* CHOOSE(CONTROL!$C$21, $C$9, 100%, $E$9)</f>
        <v>8.8247999999999998</v>
      </c>
      <c r="J247" s="10">
        <f>CHOOSE(CONTROL!$C$42, 8.8277, 8.8277)* CHOOSE(CONTROL!$C$21, $C$9, 100%, $E$9)</f>
        <v>8.8277000000000001</v>
      </c>
      <c r="K247" s="54">
        <f>CHOOSE(CONTROL!$C$42, 8.8209, 8.8209) * CHOOSE(CONTROL!$C$21, $C$9, 100%, $E$9)</f>
        <v>8.8209</v>
      </c>
      <c r="L247" s="10">
        <f>CHOOSE(CONTROL!$C$42, 9.6412, 9.6412) * CHOOSE(CONTROL!$C$21, $C$9, 100%, $E$9)</f>
        <v>9.6411999999999995</v>
      </c>
      <c r="M247" s="10">
        <f>CHOOSE(CONTROL!$C$42, 8.7524, 8.7524) * CHOOSE(CONTROL!$C$21, $C$9, 100%, $E$9)</f>
        <v>8.7523999999999997</v>
      </c>
      <c r="N247" s="10">
        <f>CHOOSE(CONTROL!$C$42, 8.7705, 8.7705) * CHOOSE(CONTROL!$C$21, $C$9, 100%, $E$9)</f>
        <v>8.7705000000000002</v>
      </c>
      <c r="O247" s="10">
        <f>CHOOSE(CONTROL!$C$42, 8.9766, 8.9766) * CHOOSE(CONTROL!$C$21, $C$9, 100%, $E$9)</f>
        <v>8.9765999999999995</v>
      </c>
      <c r="P247" s="10">
        <f>CHOOSE(CONTROL!$C$42, 8.7496, 8.7496) * CHOOSE(CONTROL!$C$21, $C$9, 100%, $E$9)</f>
        <v>8.7495999999999992</v>
      </c>
      <c r="Q247" s="10">
        <f>CHOOSE(CONTROL!$C$42, 9.5719, 9.5719) * CHOOSE(CONTROL!$C$21, $C$9, 100%, $E$9)</f>
        <v>9.5718999999999994</v>
      </c>
      <c r="R247" s="10">
        <f>CHOOSE(CONTROL!$C$42, 10.1829, 10.1829) * CHOOSE(CONTROL!$C$21, $C$9, 100%, $E$9)</f>
        <v>10.1829</v>
      </c>
      <c r="S247" s="10">
        <f>CHOOSE(CONTROL!$C$42, 8.588, 8.588) * CHOOSE(CONTROL!$C$21, $C$9, 100%, $E$9)</f>
        <v>8.5879999999999992</v>
      </c>
      <c r="T247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247" s="58">
        <f>(1000*CHOOSE(CONTROL!$C$42, 695, 695)*CHOOSE(CONTROL!$C$42, 0.5599, 0.5599)*CHOOSE(CONTROL!$C$42, 31, 31))/1000000</f>
        <v>12.063045499999998</v>
      </c>
      <c r="V247" s="58">
        <f>(1000*CHOOSE(CONTROL!$C$42, 500, 500)*CHOOSE(CONTROL!$C$42, 0.275, 0.275)*CHOOSE(CONTROL!$C$42, 31, 31))/1000000</f>
        <v>4.2625000000000002</v>
      </c>
      <c r="W247" s="58">
        <f>(1000*CHOOSE(CONTROL!$C$42, 0.1146, 0.1146)*CHOOSE(CONTROL!$C$42, 121.5, 121.5)*CHOOSE(CONTROL!$C$42, 31, 31))/1000000</f>
        <v>0.43164089999999994</v>
      </c>
      <c r="X247" s="58">
        <f>(31*0.1790888*245000/1000000)+(31*0.2374*100000/1000000)</f>
        <v>2.0961194359999999</v>
      </c>
      <c r="Y247" s="58"/>
      <c r="Z247" s="10"/>
      <c r="AA247" s="57"/>
      <c r="AB247" s="51">
        <f>(B247*194.205+C247*267.466+D247*133.845+E247*53.484+F247*40+G247*185+H247*0+I247*100+J247*300)/(194.205+267.466+133.845+53.484+0+40+185+100+300)</f>
        <v>8.8720838365777084</v>
      </c>
      <c r="AC247" s="27">
        <f>(M247*'RAP TEMPLATE-GAS AVAILABILITY'!O246+N247*'RAP TEMPLATE-GAS AVAILABILITY'!P246+O247*'RAP TEMPLATE-GAS AVAILABILITY'!Q246+P247*'RAP TEMPLATE-GAS AVAILABILITY'!R246)/('RAP TEMPLATE-GAS AVAILABILITY'!O246+'RAP TEMPLATE-GAS AVAILABILITY'!P246+'RAP TEMPLATE-GAS AVAILABILITY'!Q246+'RAP TEMPLATE-GAS AVAILABILITY'!R246)</f>
        <v>8.8190690647482004</v>
      </c>
    </row>
    <row r="248" spans="1:29" ht="15.75" x14ac:dyDescent="0.25">
      <c r="A248" s="16">
        <v>48792</v>
      </c>
      <c r="B248" s="10">
        <f>CHOOSE(CONTROL!$C$42, 8.4112, 8.4112) * CHOOSE(CONTROL!$C$21, $C$9, 100%, $E$9)</f>
        <v>8.4111999999999991</v>
      </c>
      <c r="C248" s="10">
        <f>CHOOSE(CONTROL!$C$42, 8.4191, 8.4191) * CHOOSE(CONTROL!$C$21, $C$9, 100%, $E$9)</f>
        <v>8.4191000000000003</v>
      </c>
      <c r="D248" s="10">
        <f>CHOOSE(CONTROL!$C$42, 8.5976, 8.5976) * CHOOSE(CONTROL!$C$21, $C$9, 100%, $E$9)</f>
        <v>8.5975999999999999</v>
      </c>
      <c r="E248" s="10">
        <f>CHOOSE(CONTROL!$C$42, 8.6288, 8.6288) * CHOOSE(CONTROL!$C$21, $C$9, 100%, $E$9)</f>
        <v>8.6288</v>
      </c>
      <c r="F248" s="10">
        <f>CHOOSE(CONTROL!$C$42, 8.3978, 8.3978)*CHOOSE(CONTROL!$C$21, $C$9, 100%, $E$9)</f>
        <v>8.3978000000000002</v>
      </c>
      <c r="G248" s="10">
        <f>CHOOSE(CONTROL!$C$42, 8.4161, 8.4161)*CHOOSE(CONTROL!$C$21, $C$9, 100%, $E$9)</f>
        <v>8.4161000000000001</v>
      </c>
      <c r="H248" s="10">
        <f>CHOOSE(CONTROL!$C$42, 8.6174, 8.6174) * CHOOSE(CONTROL!$C$21, $C$9, 100%, $E$9)</f>
        <v>8.6173999999999999</v>
      </c>
      <c r="I248" s="10">
        <f>CHOOSE(CONTROL!$C$42, 8.3881, 8.3881)* CHOOSE(CONTROL!$C$21, $C$9, 100%, $E$9)</f>
        <v>8.3880999999999997</v>
      </c>
      <c r="J248" s="10">
        <f>CHOOSE(CONTROL!$C$42, 8.3908, 8.3908)* CHOOSE(CONTROL!$C$21, $C$9, 100%, $E$9)</f>
        <v>8.3908000000000005</v>
      </c>
      <c r="K248" s="54">
        <f>CHOOSE(CONTROL!$C$42, 8.3842, 8.3842) * CHOOSE(CONTROL!$C$21, $C$9, 100%, $E$9)</f>
        <v>8.3841999999999999</v>
      </c>
      <c r="L248" s="10">
        <f>CHOOSE(CONTROL!$C$42, 9.2044, 9.2044) * CHOOSE(CONTROL!$C$21, $C$9, 100%, $E$9)</f>
        <v>9.2043999999999997</v>
      </c>
      <c r="M248" s="10">
        <f>CHOOSE(CONTROL!$C$42, 8.32, 8.32) * CHOOSE(CONTROL!$C$21, $C$9, 100%, $E$9)</f>
        <v>8.32</v>
      </c>
      <c r="N248" s="10">
        <f>CHOOSE(CONTROL!$C$42, 8.3381, 8.3381) * CHOOSE(CONTROL!$C$21, $C$9, 100%, $E$9)</f>
        <v>8.3381000000000007</v>
      </c>
      <c r="O248" s="10">
        <f>CHOOSE(CONTROL!$C$42, 8.5443, 8.5443) * CHOOSE(CONTROL!$C$21, $C$9, 100%, $E$9)</f>
        <v>8.5442999999999998</v>
      </c>
      <c r="P248" s="10">
        <f>CHOOSE(CONTROL!$C$42, 8.3173, 8.3173) * CHOOSE(CONTROL!$C$21, $C$9, 100%, $E$9)</f>
        <v>8.3172999999999995</v>
      </c>
      <c r="Q248" s="10">
        <f>CHOOSE(CONTROL!$C$42, 9.1396, 9.1396) * CHOOSE(CONTROL!$C$21, $C$9, 100%, $E$9)</f>
        <v>9.1395999999999997</v>
      </c>
      <c r="R248" s="10">
        <f>CHOOSE(CONTROL!$C$42, 9.7494, 9.7494) * CHOOSE(CONTROL!$C$21, $C$9, 100%, $E$9)</f>
        <v>9.7493999999999996</v>
      </c>
      <c r="S248" s="10">
        <f>CHOOSE(CONTROL!$C$42, 8.1639, 8.1639) * CHOOSE(CONTROL!$C$21, $C$9, 100%, $E$9)</f>
        <v>8.1638999999999999</v>
      </c>
      <c r="T248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48" s="58">
        <f>(1000*CHOOSE(CONTROL!$C$42, 695, 695)*CHOOSE(CONTROL!$C$42, 0.5599, 0.5599)*CHOOSE(CONTROL!$C$42, 31, 31))/1000000</f>
        <v>12.063045499999998</v>
      </c>
      <c r="V248" s="58">
        <f>(1000*CHOOSE(CONTROL!$C$42, 500, 500)*CHOOSE(CONTROL!$C$42, 0.275, 0.275)*CHOOSE(CONTROL!$C$42, 31, 31))/1000000</f>
        <v>4.2625000000000002</v>
      </c>
      <c r="W248" s="58">
        <f>(1000*CHOOSE(CONTROL!$C$42, 0.1146, 0.1146)*CHOOSE(CONTROL!$C$42, 121.5, 121.5)*CHOOSE(CONTROL!$C$42, 31, 31))/1000000</f>
        <v>0.43164089999999994</v>
      </c>
      <c r="X248" s="58">
        <f>(31*0.1790888*245000/1000000)+(31*0.2374*100000/1000000)</f>
        <v>2.0961194359999999</v>
      </c>
      <c r="Y248" s="58"/>
      <c r="Z248" s="10"/>
      <c r="AA248" s="57"/>
      <c r="AB248" s="51">
        <f>(B248*194.205+C248*267.466+D248*133.845+E248*53.484+F248*40+G248*185+H248*0+I248*100+J248*300)/(194.205+267.466+133.845+53.484+0+40+185+100+300)</f>
        <v>8.4352504770800625</v>
      </c>
      <c r="AC248" s="27">
        <f>(M248*'RAP TEMPLATE-GAS AVAILABILITY'!O247+N248*'RAP TEMPLATE-GAS AVAILABILITY'!P247+O248*'RAP TEMPLATE-GAS AVAILABILITY'!Q247+P248*'RAP TEMPLATE-GAS AVAILABILITY'!R247)/('RAP TEMPLATE-GAS AVAILABILITY'!O247+'RAP TEMPLATE-GAS AVAILABILITY'!P247+'RAP TEMPLATE-GAS AVAILABILITY'!Q247+'RAP TEMPLATE-GAS AVAILABILITY'!R247)</f>
        <v>8.3867115107913666</v>
      </c>
    </row>
    <row r="249" spans="1:29" ht="15.75" x14ac:dyDescent="0.25">
      <c r="A249" s="16">
        <v>48823</v>
      </c>
      <c r="B249" s="10">
        <f>CHOOSE(CONTROL!$C$42, 7.8775, 7.8775) * CHOOSE(CONTROL!$C$21, $C$9, 100%, $E$9)</f>
        <v>7.8775000000000004</v>
      </c>
      <c r="C249" s="10">
        <f>CHOOSE(CONTROL!$C$42, 7.8855, 7.8855) * CHOOSE(CONTROL!$C$21, $C$9, 100%, $E$9)</f>
        <v>7.8855000000000004</v>
      </c>
      <c r="D249" s="10">
        <f>CHOOSE(CONTROL!$C$42, 8.064, 8.064) * CHOOSE(CONTROL!$C$21, $C$9, 100%, $E$9)</f>
        <v>8.0640000000000001</v>
      </c>
      <c r="E249" s="10">
        <f>CHOOSE(CONTROL!$C$42, 8.0951, 8.0951) * CHOOSE(CONTROL!$C$21, $C$9, 100%, $E$9)</f>
        <v>8.0951000000000004</v>
      </c>
      <c r="F249" s="10">
        <f>CHOOSE(CONTROL!$C$42, 7.8639, 7.8639)*CHOOSE(CONTROL!$C$21, $C$9, 100%, $E$9)</f>
        <v>7.8639000000000001</v>
      </c>
      <c r="G249" s="10">
        <f>CHOOSE(CONTROL!$C$42, 7.8821, 7.8821)*CHOOSE(CONTROL!$C$21, $C$9, 100%, $E$9)</f>
        <v>7.8821000000000003</v>
      </c>
      <c r="H249" s="10">
        <f>CHOOSE(CONTROL!$C$42, 8.0838, 8.0838) * CHOOSE(CONTROL!$C$21, $C$9, 100%, $E$9)</f>
        <v>8.0838000000000001</v>
      </c>
      <c r="I249" s="10">
        <f>CHOOSE(CONTROL!$C$42, 7.8544, 7.8544)* CHOOSE(CONTROL!$C$21, $C$9, 100%, $E$9)</f>
        <v>7.8544</v>
      </c>
      <c r="J249" s="10">
        <f>CHOOSE(CONTROL!$C$42, 7.8569, 7.8569)* CHOOSE(CONTROL!$C$21, $C$9, 100%, $E$9)</f>
        <v>7.8569000000000004</v>
      </c>
      <c r="K249" s="54">
        <f>CHOOSE(CONTROL!$C$42, 7.8505, 7.8505) * CHOOSE(CONTROL!$C$21, $C$9, 100%, $E$9)</f>
        <v>7.8505000000000003</v>
      </c>
      <c r="L249" s="10">
        <f>CHOOSE(CONTROL!$C$42, 8.6708, 8.6708) * CHOOSE(CONTROL!$C$21, $C$9, 100%, $E$9)</f>
        <v>8.6707999999999998</v>
      </c>
      <c r="M249" s="10">
        <f>CHOOSE(CONTROL!$C$42, 7.7914, 7.7914) * CHOOSE(CONTROL!$C$21, $C$9, 100%, $E$9)</f>
        <v>7.7914000000000003</v>
      </c>
      <c r="N249" s="10">
        <f>CHOOSE(CONTROL!$C$42, 7.8095, 7.8095) * CHOOSE(CONTROL!$C$21, $C$9, 100%, $E$9)</f>
        <v>7.8094999999999999</v>
      </c>
      <c r="O249" s="10">
        <f>CHOOSE(CONTROL!$C$42, 8.016, 8.016) * CHOOSE(CONTROL!$C$21, $C$9, 100%, $E$9)</f>
        <v>8.016</v>
      </c>
      <c r="P249" s="10">
        <f>CHOOSE(CONTROL!$C$42, 7.789, 7.789) * CHOOSE(CONTROL!$C$21, $C$9, 100%, $E$9)</f>
        <v>7.7889999999999997</v>
      </c>
      <c r="Q249" s="10">
        <f>CHOOSE(CONTROL!$C$42, 8.6113, 8.6113) * CHOOSE(CONTROL!$C$21, $C$9, 100%, $E$9)</f>
        <v>8.6113</v>
      </c>
      <c r="R249" s="10">
        <f>CHOOSE(CONTROL!$C$42, 9.2198, 9.2198) * CHOOSE(CONTROL!$C$21, $C$9, 100%, $E$9)</f>
        <v>9.2197999999999993</v>
      </c>
      <c r="S249" s="10">
        <f>CHOOSE(CONTROL!$C$42, 7.6456, 7.6456) * CHOOSE(CONTROL!$C$21, $C$9, 100%, $E$9)</f>
        <v>7.6456</v>
      </c>
      <c r="T249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49" s="58">
        <f>(1000*CHOOSE(CONTROL!$C$42, 695, 695)*CHOOSE(CONTROL!$C$42, 0.5599, 0.5599)*CHOOSE(CONTROL!$C$42, 30, 30))/1000000</f>
        <v>11.673914999999997</v>
      </c>
      <c r="V249" s="58">
        <f>(1000*CHOOSE(CONTROL!$C$42, 500, 500)*CHOOSE(CONTROL!$C$42, 0.275, 0.275)*CHOOSE(CONTROL!$C$42, 30, 30))/1000000</f>
        <v>4.125</v>
      </c>
      <c r="W249" s="58">
        <f>(1000*CHOOSE(CONTROL!$C$42, 0.1146, 0.1146)*CHOOSE(CONTROL!$C$42, 121.5, 121.5)*CHOOSE(CONTROL!$C$42, 30, 30))/1000000</f>
        <v>0.417717</v>
      </c>
      <c r="X249" s="58">
        <f>(30*0.1790888*245000/1000000)+(30*0.2374*100000/1000000)</f>
        <v>2.0285026799999999</v>
      </c>
      <c r="Y249" s="58"/>
      <c r="Z249" s="10"/>
      <c r="AA249" s="57"/>
      <c r="AB249" s="51">
        <f>(B249*194.205+C249*267.466+D249*133.845+E249*53.484+F249*40+G249*185+H249*0+I249*100+J249*300)/(194.205+267.466+133.845+53.484+0+40+185+100+300)</f>
        <v>7.9014850383830462</v>
      </c>
      <c r="AC249" s="27">
        <f>(M249*'RAP TEMPLATE-GAS AVAILABILITY'!O248+N249*'RAP TEMPLATE-GAS AVAILABILITY'!P248+O249*'RAP TEMPLATE-GAS AVAILABILITY'!Q248+P249*'RAP TEMPLATE-GAS AVAILABILITY'!R248)/('RAP TEMPLATE-GAS AVAILABILITY'!O248+'RAP TEMPLATE-GAS AVAILABILITY'!P248+'RAP TEMPLATE-GAS AVAILABILITY'!Q248+'RAP TEMPLATE-GAS AVAILABILITY'!R248)</f>
        <v>7.8582388489208626</v>
      </c>
    </row>
    <row r="250" spans="1:29" ht="15.75" x14ac:dyDescent="0.25">
      <c r="A250" s="16">
        <v>48853</v>
      </c>
      <c r="B250" s="10">
        <f>CHOOSE(CONTROL!$C$42, 7.7156, 7.7156) * CHOOSE(CONTROL!$C$21, $C$9, 100%, $E$9)</f>
        <v>7.7156000000000002</v>
      </c>
      <c r="C250" s="10">
        <f>CHOOSE(CONTROL!$C$42, 7.7208, 7.7208) * CHOOSE(CONTROL!$C$21, $C$9, 100%, $E$9)</f>
        <v>7.7207999999999997</v>
      </c>
      <c r="D250" s="10">
        <f>CHOOSE(CONTROL!$C$42, 7.9043, 7.9043) * CHOOSE(CONTROL!$C$21, $C$9, 100%, $E$9)</f>
        <v>7.9043000000000001</v>
      </c>
      <c r="E250" s="10">
        <f>CHOOSE(CONTROL!$C$42, 7.9331, 7.9331) * CHOOSE(CONTROL!$C$21, $C$9, 100%, $E$9)</f>
        <v>7.9330999999999996</v>
      </c>
      <c r="F250" s="10">
        <f>CHOOSE(CONTROL!$C$42, 7.7039, 7.7039)*CHOOSE(CONTROL!$C$21, $C$9, 100%, $E$9)</f>
        <v>7.7039</v>
      </c>
      <c r="G250" s="10">
        <f>CHOOSE(CONTROL!$C$42, 7.7218, 7.7218)*CHOOSE(CONTROL!$C$21, $C$9, 100%, $E$9)</f>
        <v>7.7218</v>
      </c>
      <c r="H250" s="10">
        <f>CHOOSE(CONTROL!$C$42, 7.9235, 7.9235) * CHOOSE(CONTROL!$C$21, $C$9, 100%, $E$9)</f>
        <v>7.9234999999999998</v>
      </c>
      <c r="I250" s="10">
        <f>CHOOSE(CONTROL!$C$42, 7.6942, 7.6942)* CHOOSE(CONTROL!$C$21, $C$9, 100%, $E$9)</f>
        <v>7.6942000000000004</v>
      </c>
      <c r="J250" s="10">
        <f>CHOOSE(CONTROL!$C$42, 7.6969, 7.6969)* CHOOSE(CONTROL!$C$21, $C$9, 100%, $E$9)</f>
        <v>7.6969000000000003</v>
      </c>
      <c r="K250" s="54">
        <f>CHOOSE(CONTROL!$C$42, 7.6903, 7.6903) * CHOOSE(CONTROL!$C$21, $C$9, 100%, $E$9)</f>
        <v>7.6902999999999997</v>
      </c>
      <c r="L250" s="10">
        <f>CHOOSE(CONTROL!$C$42, 8.5105, 8.5105) * CHOOSE(CONTROL!$C$21, $C$9, 100%, $E$9)</f>
        <v>8.5105000000000004</v>
      </c>
      <c r="M250" s="10">
        <f>CHOOSE(CONTROL!$C$42, 7.633, 7.633) * CHOOSE(CONTROL!$C$21, $C$9, 100%, $E$9)</f>
        <v>7.633</v>
      </c>
      <c r="N250" s="10">
        <f>CHOOSE(CONTROL!$C$42, 7.6507, 7.6507) * CHOOSE(CONTROL!$C$21, $C$9, 100%, $E$9)</f>
        <v>7.6506999999999996</v>
      </c>
      <c r="O250" s="10">
        <f>CHOOSE(CONTROL!$C$42, 7.8574, 7.8574) * CHOOSE(CONTROL!$C$21, $C$9, 100%, $E$9)</f>
        <v>7.8574000000000002</v>
      </c>
      <c r="P250" s="10">
        <f>CHOOSE(CONTROL!$C$42, 7.6304, 7.6304) * CHOOSE(CONTROL!$C$21, $C$9, 100%, $E$9)</f>
        <v>7.6303999999999998</v>
      </c>
      <c r="Q250" s="10">
        <f>CHOOSE(CONTROL!$C$42, 8.4527, 8.4527) * CHOOSE(CONTROL!$C$21, $C$9, 100%, $E$9)</f>
        <v>8.4527000000000001</v>
      </c>
      <c r="R250" s="10">
        <f>CHOOSE(CONTROL!$C$42, 9.0608, 9.0608) * CHOOSE(CONTROL!$C$21, $C$9, 100%, $E$9)</f>
        <v>9.0608000000000004</v>
      </c>
      <c r="S250" s="10">
        <f>CHOOSE(CONTROL!$C$42, 7.49, 7.49) * CHOOSE(CONTROL!$C$21, $C$9, 100%, $E$9)</f>
        <v>7.49</v>
      </c>
      <c r="T250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50" s="58">
        <f>(1000*CHOOSE(CONTROL!$C$42, 695, 695)*CHOOSE(CONTROL!$C$42, 0.5599, 0.5599)*CHOOSE(CONTROL!$C$42, 31, 31))/1000000</f>
        <v>12.063045499999998</v>
      </c>
      <c r="V250" s="58">
        <f>(1000*CHOOSE(CONTROL!$C$42, 500, 500)*CHOOSE(CONTROL!$C$42, 0.275, 0.275)*CHOOSE(CONTROL!$C$42, 31, 31))/1000000</f>
        <v>4.2625000000000002</v>
      </c>
      <c r="W250" s="58">
        <f>(1000*CHOOSE(CONTROL!$C$42, 0.1146, 0.1146)*CHOOSE(CONTROL!$C$42, 121.5, 121.5)*CHOOSE(CONTROL!$C$42, 31, 31))/1000000</f>
        <v>0.43164089999999994</v>
      </c>
      <c r="X250" s="58">
        <f>(31*0.1790888*245000/1000000)+(31*0.2374*100000/1000000)</f>
        <v>2.0961194359999999</v>
      </c>
      <c r="Y250" s="58"/>
      <c r="Z250" s="10"/>
      <c r="AA250" s="57"/>
      <c r="AB250" s="51">
        <f>(B250*131.881+C250*277.167+D250*79.08+E250*125.872+F250*40+G250*185+H250*0+I250*100+J250*300)/(131.881+277.167+79.08+125.872+0+40+185+100+300)</f>
        <v>7.7451963070217911</v>
      </c>
      <c r="AC250" s="27">
        <f>(M250*'RAP TEMPLATE-GAS AVAILABILITY'!O249+N250*'RAP TEMPLATE-GAS AVAILABILITY'!P249+O250*'RAP TEMPLATE-GAS AVAILABILITY'!Q249+P250*'RAP TEMPLATE-GAS AVAILABILITY'!R249)/('RAP TEMPLATE-GAS AVAILABILITY'!O249+'RAP TEMPLATE-GAS AVAILABILITY'!P249+'RAP TEMPLATE-GAS AVAILABILITY'!Q249+'RAP TEMPLATE-GAS AVAILABILITY'!R249)</f>
        <v>7.699661870503598</v>
      </c>
    </row>
    <row r="251" spans="1:29" ht="15.75" x14ac:dyDescent="0.25">
      <c r="A251" s="16">
        <v>48884</v>
      </c>
      <c r="B251" s="10">
        <f>CHOOSE(CONTROL!$C$42, 7.9183, 7.9183) * CHOOSE(CONTROL!$C$21, $C$9, 100%, $E$9)</f>
        <v>7.9183000000000003</v>
      </c>
      <c r="C251" s="10">
        <f>CHOOSE(CONTROL!$C$42, 7.9233, 7.9233) * CHOOSE(CONTROL!$C$21, $C$9, 100%, $E$9)</f>
        <v>7.9233000000000002</v>
      </c>
      <c r="D251" s="10">
        <f>CHOOSE(CONTROL!$C$42, 7.9529, 7.9529) * CHOOSE(CONTROL!$C$21, $C$9, 100%, $E$9)</f>
        <v>7.9528999999999996</v>
      </c>
      <c r="E251" s="10">
        <f>CHOOSE(CONTROL!$C$42, 7.9867, 7.9867) * CHOOSE(CONTROL!$C$21, $C$9, 100%, $E$9)</f>
        <v>7.9866999999999999</v>
      </c>
      <c r="F251" s="10">
        <f>CHOOSE(CONTROL!$C$42, 7.9041, 7.9041)*CHOOSE(CONTROL!$C$21, $C$9, 100%, $E$9)</f>
        <v>7.9040999999999997</v>
      </c>
      <c r="G251" s="10">
        <f>CHOOSE(CONTROL!$C$42, 7.9221, 7.9221)*CHOOSE(CONTROL!$C$21, $C$9, 100%, $E$9)</f>
        <v>7.9221000000000004</v>
      </c>
      <c r="H251" s="10">
        <f>CHOOSE(CONTROL!$C$42, 7.9759, 7.9759) * CHOOSE(CONTROL!$C$21, $C$9, 100%, $E$9)</f>
        <v>7.9759000000000002</v>
      </c>
      <c r="I251" s="10">
        <f>CHOOSE(CONTROL!$C$42, 7.8845, 7.8845)* CHOOSE(CONTROL!$C$21, $C$9, 100%, $E$9)</f>
        <v>7.8845000000000001</v>
      </c>
      <c r="J251" s="10">
        <f>CHOOSE(CONTROL!$C$42, 7.8971, 7.8971)* CHOOSE(CONTROL!$C$21, $C$9, 100%, $E$9)</f>
        <v>7.8971</v>
      </c>
      <c r="K251" s="54">
        <f>CHOOSE(CONTROL!$C$42, 7.8806, 7.8806) * CHOOSE(CONTROL!$C$21, $C$9, 100%, $E$9)</f>
        <v>7.8806000000000003</v>
      </c>
      <c r="L251" s="10">
        <f>CHOOSE(CONTROL!$C$42, 8.5629, 8.5629) * CHOOSE(CONTROL!$C$21, $C$9, 100%, $E$9)</f>
        <v>8.5629000000000008</v>
      </c>
      <c r="M251" s="10">
        <f>CHOOSE(CONTROL!$C$42, 7.8312, 7.8312) * CHOOSE(CONTROL!$C$21, $C$9, 100%, $E$9)</f>
        <v>7.8311999999999999</v>
      </c>
      <c r="N251" s="10">
        <f>CHOOSE(CONTROL!$C$42, 7.8491, 7.8491) * CHOOSE(CONTROL!$C$21, $C$9, 100%, $E$9)</f>
        <v>7.8491</v>
      </c>
      <c r="O251" s="10">
        <f>CHOOSE(CONTROL!$C$42, 7.9092, 7.9092) * CHOOSE(CONTROL!$C$21, $C$9, 100%, $E$9)</f>
        <v>7.9092000000000002</v>
      </c>
      <c r="P251" s="10">
        <f>CHOOSE(CONTROL!$C$42, 7.8188, 7.8188) * CHOOSE(CONTROL!$C$21, $C$9, 100%, $E$9)</f>
        <v>7.8188000000000004</v>
      </c>
      <c r="Q251" s="10">
        <f>CHOOSE(CONTROL!$C$42, 8.5045, 8.5045) * CHOOSE(CONTROL!$C$21, $C$9, 100%, $E$9)</f>
        <v>8.5045000000000002</v>
      </c>
      <c r="R251" s="10">
        <f>CHOOSE(CONTROL!$C$42, 9.1127, 9.1127) * CHOOSE(CONTROL!$C$21, $C$9, 100%, $E$9)</f>
        <v>9.1127000000000002</v>
      </c>
      <c r="S251" s="10">
        <f>CHOOSE(CONTROL!$C$42, 7.6873, 7.6873) * CHOOSE(CONTROL!$C$21, $C$9, 100%, $E$9)</f>
        <v>7.6872999999999996</v>
      </c>
      <c r="T251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51" s="58">
        <f>(1000*CHOOSE(CONTROL!$C$42, 695, 695)*CHOOSE(CONTROL!$C$42, 0.5599, 0.5599)*CHOOSE(CONTROL!$C$42, 30, 30))/1000000</f>
        <v>11.673914999999997</v>
      </c>
      <c r="V251" s="58">
        <f>(1000*CHOOSE(CONTROL!$C$42, 500, 500)*CHOOSE(CONTROL!$C$42, 0.275, 0.275)*CHOOSE(CONTROL!$C$42, 30, 30))/1000000</f>
        <v>4.125</v>
      </c>
      <c r="W251" s="58">
        <f>(1000*CHOOSE(CONTROL!$C$42, 0.1146, 0.1146)*CHOOSE(CONTROL!$C$42, 121.5, 121.5)*CHOOSE(CONTROL!$C$42, 30, 30))/1000000</f>
        <v>0.417717</v>
      </c>
      <c r="X251" s="58">
        <f>(30*0.1790888*100000/1000000)+(30*0.2374*100000/1000000)</f>
        <v>1.2494664</v>
      </c>
      <c r="Y251" s="58"/>
      <c r="Z251" s="10"/>
      <c r="AA251" s="57"/>
      <c r="AB251" s="51">
        <f>(B251*122.58+C251*297.941+D251*89.177+E251*40.302+F251*40+G251*160+H251*0+I251*100+J251*300)/(122.58+297.941+89.177+40.302+0+40+160+100+300)</f>
        <v>7.9162407704347837</v>
      </c>
      <c r="AC251" s="27">
        <f>(M251*'RAP TEMPLATE-GAS AVAILABILITY'!O250+N251*'RAP TEMPLATE-GAS AVAILABILITY'!P250+O251*'RAP TEMPLATE-GAS AVAILABILITY'!Q250+P251*'RAP TEMPLATE-GAS AVAILABILITY'!R250)/('RAP TEMPLATE-GAS AVAILABILITY'!O250+'RAP TEMPLATE-GAS AVAILABILITY'!P250+'RAP TEMPLATE-GAS AVAILABILITY'!Q250+'RAP TEMPLATE-GAS AVAILABILITY'!R250)</f>
        <v>7.8657985611510801</v>
      </c>
    </row>
    <row r="252" spans="1:29" ht="15.75" x14ac:dyDescent="0.25">
      <c r="A252" s="16">
        <v>48914</v>
      </c>
      <c r="B252" s="10">
        <f>CHOOSE(CONTROL!$C$42, 8.458, 8.458) * CHOOSE(CONTROL!$C$21, $C$9, 100%, $E$9)</f>
        <v>8.4580000000000002</v>
      </c>
      <c r="C252" s="10">
        <f>CHOOSE(CONTROL!$C$42, 8.4629, 8.4629) * CHOOSE(CONTROL!$C$21, $C$9, 100%, $E$9)</f>
        <v>8.4628999999999994</v>
      </c>
      <c r="D252" s="10">
        <f>CHOOSE(CONTROL!$C$42, 8.4925, 8.4925) * CHOOSE(CONTROL!$C$21, $C$9, 100%, $E$9)</f>
        <v>8.4924999999999997</v>
      </c>
      <c r="E252" s="10">
        <f>CHOOSE(CONTROL!$C$42, 8.5263, 8.5263) * CHOOSE(CONTROL!$C$21, $C$9, 100%, $E$9)</f>
        <v>8.5263000000000009</v>
      </c>
      <c r="F252" s="10">
        <f>CHOOSE(CONTROL!$C$42, 8.4453, 8.4453)*CHOOSE(CONTROL!$C$21, $C$9, 100%, $E$9)</f>
        <v>8.4452999999999996</v>
      </c>
      <c r="G252" s="10">
        <f>CHOOSE(CONTROL!$C$42, 8.4637, 8.4637)*CHOOSE(CONTROL!$C$21, $C$9, 100%, $E$9)</f>
        <v>8.4636999999999993</v>
      </c>
      <c r="H252" s="10">
        <f>CHOOSE(CONTROL!$C$42, 8.5155, 8.5155) * CHOOSE(CONTROL!$C$21, $C$9, 100%, $E$9)</f>
        <v>8.5154999999999994</v>
      </c>
      <c r="I252" s="10">
        <f>CHOOSE(CONTROL!$C$42, 8.4241, 8.4241)* CHOOSE(CONTROL!$C$21, $C$9, 100%, $E$9)</f>
        <v>8.4240999999999993</v>
      </c>
      <c r="J252" s="10">
        <f>CHOOSE(CONTROL!$C$42, 8.4383, 8.4383)* CHOOSE(CONTROL!$C$21, $C$9, 100%, $E$9)</f>
        <v>8.4382999999999999</v>
      </c>
      <c r="K252" s="54">
        <f>CHOOSE(CONTROL!$C$42, 8.4203, 8.4203) * CHOOSE(CONTROL!$C$21, $C$9, 100%, $E$9)</f>
        <v>8.4202999999999992</v>
      </c>
      <c r="L252" s="10">
        <f>CHOOSE(CONTROL!$C$42, 9.1025, 9.1025) * CHOOSE(CONTROL!$C$21, $C$9, 100%, $E$9)</f>
        <v>9.1024999999999991</v>
      </c>
      <c r="M252" s="10">
        <f>CHOOSE(CONTROL!$C$42, 8.3669, 8.3669) * CHOOSE(CONTROL!$C$21, $C$9, 100%, $E$9)</f>
        <v>8.3668999999999993</v>
      </c>
      <c r="N252" s="10">
        <f>CHOOSE(CONTROL!$C$42, 8.3852, 8.3852) * CHOOSE(CONTROL!$C$21, $C$9, 100%, $E$9)</f>
        <v>8.3851999999999993</v>
      </c>
      <c r="O252" s="10">
        <f>CHOOSE(CONTROL!$C$42, 8.4434, 8.4434) * CHOOSE(CONTROL!$C$21, $C$9, 100%, $E$9)</f>
        <v>8.4434000000000005</v>
      </c>
      <c r="P252" s="10">
        <f>CHOOSE(CONTROL!$C$42, 8.353, 8.353) * CHOOSE(CONTROL!$C$21, $C$9, 100%, $E$9)</f>
        <v>8.3529999999999998</v>
      </c>
      <c r="Q252" s="10">
        <f>CHOOSE(CONTROL!$C$42, 9.0387, 9.0387) * CHOOSE(CONTROL!$C$21, $C$9, 100%, $E$9)</f>
        <v>9.0387000000000004</v>
      </c>
      <c r="R252" s="10">
        <f>CHOOSE(CONTROL!$C$42, 9.6483, 9.6483) * CHOOSE(CONTROL!$C$21, $C$9, 100%, $E$9)</f>
        <v>9.6483000000000008</v>
      </c>
      <c r="S252" s="10">
        <f>CHOOSE(CONTROL!$C$42, 8.2114, 8.2114) * CHOOSE(CONTROL!$C$21, $C$9, 100%, $E$9)</f>
        <v>8.2113999999999994</v>
      </c>
      <c r="T252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252" s="58">
        <f>(1000*CHOOSE(CONTROL!$C$42, 695, 695)*CHOOSE(CONTROL!$C$42, 0.5599, 0.5599)*CHOOSE(CONTROL!$C$42, 31, 31))/1000000</f>
        <v>12.063045499999998</v>
      </c>
      <c r="V252" s="58">
        <f>(1000*CHOOSE(CONTROL!$C$42, 500, 500)*CHOOSE(CONTROL!$C$42, 0.275, 0.275)*CHOOSE(CONTROL!$C$42, 31, 31))/1000000</f>
        <v>4.2625000000000002</v>
      </c>
      <c r="W252" s="58">
        <f>(1000*CHOOSE(CONTROL!$C$42, 0.1146, 0.1146)*CHOOSE(CONTROL!$C$42, 121.5, 121.5)*CHOOSE(CONTROL!$C$42, 31, 31))/1000000</f>
        <v>0.43164089999999994</v>
      </c>
      <c r="X252" s="58">
        <f>(31*0.1790888*100000/1000000)+(31*0.2374*100000/1000000)</f>
        <v>1.2911152800000001</v>
      </c>
      <c r="Y252" s="58"/>
      <c r="Z252" s="10"/>
      <c r="AA252" s="57"/>
      <c r="AB252" s="51">
        <f>(B252*122.58+C252*297.941+D252*89.177+E252*40.302+F252*40+G252*160+H252*0+I252*100+J252*300)/(122.58+297.941+89.177+40.302+0+40+160+100+300)</f>
        <v>8.4566027339130425</v>
      </c>
      <c r="AC252" s="27">
        <f>(M252*'RAP TEMPLATE-GAS AVAILABILITY'!O251+N252*'RAP TEMPLATE-GAS AVAILABILITY'!P251+O252*'RAP TEMPLATE-GAS AVAILABILITY'!Q251+P252*'RAP TEMPLATE-GAS AVAILABILITY'!R251)/('RAP TEMPLATE-GAS AVAILABILITY'!O251+'RAP TEMPLATE-GAS AVAILABILITY'!P251+'RAP TEMPLATE-GAS AVAILABILITY'!Q251+'RAP TEMPLATE-GAS AVAILABILITY'!R251)</f>
        <v>8.4006258992805769</v>
      </c>
    </row>
    <row r="253" spans="1:29" ht="15.75" x14ac:dyDescent="0.25">
      <c r="A253" s="16">
        <v>48945</v>
      </c>
      <c r="B253" s="10">
        <f>CHOOSE(CONTROL!$C$42, 9.0286, 9.0286) * CHOOSE(CONTROL!$C$21, $C$9, 100%, $E$9)</f>
        <v>9.0286000000000008</v>
      </c>
      <c r="C253" s="10">
        <f>CHOOSE(CONTROL!$C$42, 9.0336, 9.0336) * CHOOSE(CONTROL!$C$21, $C$9, 100%, $E$9)</f>
        <v>9.0335999999999999</v>
      </c>
      <c r="D253" s="10">
        <f>CHOOSE(CONTROL!$C$42, 9.0838, 9.0838) * CHOOSE(CONTROL!$C$21, $C$9, 100%, $E$9)</f>
        <v>9.0838000000000001</v>
      </c>
      <c r="E253" s="10">
        <f>CHOOSE(CONTROL!$C$42, 9.1176, 9.1176) * CHOOSE(CONTROL!$C$21, $C$9, 100%, $E$9)</f>
        <v>9.1175999999999995</v>
      </c>
      <c r="F253" s="10">
        <f>CHOOSE(CONTROL!$C$42, 8.994, 8.994)*CHOOSE(CONTROL!$C$21, $C$9, 100%, $E$9)</f>
        <v>8.9939999999999998</v>
      </c>
      <c r="G253" s="10">
        <f>CHOOSE(CONTROL!$C$42, 9.0116, 9.0116)*CHOOSE(CONTROL!$C$21, $C$9, 100%, $E$9)</f>
        <v>9.0115999999999996</v>
      </c>
      <c r="H253" s="10">
        <f>CHOOSE(CONTROL!$C$42, 9.1068, 9.1068) * CHOOSE(CONTROL!$C$21, $C$9, 100%, $E$9)</f>
        <v>9.1067999999999998</v>
      </c>
      <c r="I253" s="10">
        <f>CHOOSE(CONTROL!$C$42, 9.0025, 9.0025)* CHOOSE(CONTROL!$C$21, $C$9, 100%, $E$9)</f>
        <v>9.0024999999999995</v>
      </c>
      <c r="J253" s="10">
        <f>CHOOSE(CONTROL!$C$42, 8.987, 8.987)* CHOOSE(CONTROL!$C$21, $C$9, 100%, $E$9)</f>
        <v>8.9870000000000001</v>
      </c>
      <c r="K253" s="54">
        <f>CHOOSE(CONTROL!$C$42, 8.9986, 8.9986) * CHOOSE(CONTROL!$C$21, $C$9, 100%, $E$9)</f>
        <v>8.9985999999999997</v>
      </c>
      <c r="L253" s="10">
        <f>CHOOSE(CONTROL!$C$42, 9.6938, 9.6938) * CHOOSE(CONTROL!$C$21, $C$9, 100%, $E$9)</f>
        <v>9.6937999999999995</v>
      </c>
      <c r="M253" s="10">
        <f>CHOOSE(CONTROL!$C$42, 8.9101, 8.9101) * CHOOSE(CONTROL!$C$21, $C$9, 100%, $E$9)</f>
        <v>8.9100999999999999</v>
      </c>
      <c r="N253" s="10">
        <f>CHOOSE(CONTROL!$C$42, 8.9275, 8.9275) * CHOOSE(CONTROL!$C$21, $C$9, 100%, $E$9)</f>
        <v>8.9275000000000002</v>
      </c>
      <c r="O253" s="10">
        <f>CHOOSE(CONTROL!$C$42, 9.0287, 9.0287) * CHOOSE(CONTROL!$C$21, $C$9, 100%, $E$9)</f>
        <v>9.0287000000000006</v>
      </c>
      <c r="P253" s="10">
        <f>CHOOSE(CONTROL!$C$42, 8.9256, 8.9256) * CHOOSE(CONTROL!$C$21, $C$9, 100%, $E$9)</f>
        <v>8.9255999999999993</v>
      </c>
      <c r="Q253" s="10">
        <f>CHOOSE(CONTROL!$C$42, 9.624, 9.624) * CHOOSE(CONTROL!$C$21, $C$9, 100%, $E$9)</f>
        <v>9.6240000000000006</v>
      </c>
      <c r="R253" s="10">
        <f>CHOOSE(CONTROL!$C$42, 10.2351, 10.2351) * CHOOSE(CONTROL!$C$21, $C$9, 100%, $E$9)</f>
        <v>10.235099999999999</v>
      </c>
      <c r="S253" s="10">
        <f>CHOOSE(CONTROL!$C$42, 8.7656, 8.7656) * CHOOSE(CONTROL!$C$21, $C$9, 100%, $E$9)</f>
        <v>8.7655999999999992</v>
      </c>
      <c r="T253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53" s="58">
        <f>(1000*CHOOSE(CONTROL!$C$42, 695, 695)*CHOOSE(CONTROL!$C$42, 0.5599, 0.5599)*CHOOSE(CONTROL!$C$42, 31, 31))/1000000</f>
        <v>12.063045499999998</v>
      </c>
      <c r="V253" s="58">
        <f>(1000*CHOOSE(CONTROL!$C$42, 500, 500)*CHOOSE(CONTROL!$C$42, 0.275, 0.275)*CHOOSE(CONTROL!$C$42, 31, 31))/1000000</f>
        <v>4.2625000000000002</v>
      </c>
      <c r="W253" s="58">
        <f>(1000*CHOOSE(CONTROL!$C$42, 0.1146, 0.1146)*CHOOSE(CONTROL!$C$42, 121.5, 121.5)*CHOOSE(CONTROL!$C$42, 31, 31))/1000000</f>
        <v>0.43164089999999994</v>
      </c>
      <c r="X253" s="58">
        <f>(31*0.1790888*100000/1000000)+(31*0.2374*100000/1000000)</f>
        <v>1.2911152800000001</v>
      </c>
      <c r="Y253" s="58"/>
      <c r="Z253" s="10"/>
      <c r="AA253" s="57"/>
      <c r="AB253" s="51">
        <f>(B253*122.58+C253*297.941+D253*89.177+E253*40.302+F253*40+G253*160+H253*0+I253*100+J253*300)/(122.58+297.941+89.177+40.302+0+40+160+100+300)</f>
        <v>9.0206044812173918</v>
      </c>
      <c r="AC253" s="27">
        <f>(M253*'RAP TEMPLATE-GAS AVAILABILITY'!O252+N253*'RAP TEMPLATE-GAS AVAILABILITY'!P252+O253*'RAP TEMPLATE-GAS AVAILABILITY'!Q252+P253*'RAP TEMPLATE-GAS AVAILABILITY'!R252)/('RAP TEMPLATE-GAS AVAILABILITY'!O252+'RAP TEMPLATE-GAS AVAILABILITY'!P252+'RAP TEMPLATE-GAS AVAILABILITY'!Q252+'RAP TEMPLATE-GAS AVAILABILITY'!R252)</f>
        <v>8.9670856115107913</v>
      </c>
    </row>
    <row r="254" spans="1:29" ht="15.75" x14ac:dyDescent="0.25">
      <c r="A254" s="16">
        <v>48976</v>
      </c>
      <c r="B254" s="10">
        <f>CHOOSE(CONTROL!$C$42, 9.1893, 9.1893) * CHOOSE(CONTROL!$C$21, $C$9, 100%, $E$9)</f>
        <v>9.1892999999999994</v>
      </c>
      <c r="C254" s="10">
        <f>CHOOSE(CONTROL!$C$42, 9.1943, 9.1943) * CHOOSE(CONTROL!$C$21, $C$9, 100%, $E$9)</f>
        <v>9.1943000000000001</v>
      </c>
      <c r="D254" s="10">
        <f>CHOOSE(CONTROL!$C$42, 9.3114, 9.3114) * CHOOSE(CONTROL!$C$21, $C$9, 100%, $E$9)</f>
        <v>9.3114000000000008</v>
      </c>
      <c r="E254" s="10">
        <f>CHOOSE(CONTROL!$C$42, 9.3452, 9.3452) * CHOOSE(CONTROL!$C$21, $C$9, 100%, $E$9)</f>
        <v>9.3452000000000002</v>
      </c>
      <c r="F254" s="10">
        <f>CHOOSE(CONTROL!$C$42, 9.2669, 9.2669)*CHOOSE(CONTROL!$C$21, $C$9, 100%, $E$9)</f>
        <v>9.2668999999999997</v>
      </c>
      <c r="G254" s="10">
        <f>CHOOSE(CONTROL!$C$42, 9.2888, 9.2888)*CHOOSE(CONTROL!$C$21, $C$9, 100%, $E$9)</f>
        <v>9.2888000000000002</v>
      </c>
      <c r="H254" s="10">
        <f>CHOOSE(CONTROL!$C$42, 9.3344, 9.3344) * CHOOSE(CONTROL!$C$21, $C$9, 100%, $E$9)</f>
        <v>9.3344000000000005</v>
      </c>
      <c r="I254" s="10">
        <f>CHOOSE(CONTROL!$C$42, 9.225, 9.225)* CHOOSE(CONTROL!$C$21, $C$9, 100%, $E$9)</f>
        <v>9.2249999999999996</v>
      </c>
      <c r="J254" s="10">
        <f>CHOOSE(CONTROL!$C$42, 9.2599, 9.2599)* CHOOSE(CONTROL!$C$21, $C$9, 100%, $E$9)</f>
        <v>9.2599</v>
      </c>
      <c r="K254" s="54">
        <f>CHOOSE(CONTROL!$C$42, 9.2211, 9.2211) * CHOOSE(CONTROL!$C$21, $C$9, 100%, $E$9)</f>
        <v>9.2210999999999999</v>
      </c>
      <c r="L254" s="10">
        <f>CHOOSE(CONTROL!$C$42, 9.9214, 9.9214) * CHOOSE(CONTROL!$C$21, $C$9, 100%, $E$9)</f>
        <v>9.9214000000000002</v>
      </c>
      <c r="M254" s="10">
        <f>CHOOSE(CONTROL!$C$42, 9.1803, 9.1803) * CHOOSE(CONTROL!$C$21, $C$9, 100%, $E$9)</f>
        <v>9.1803000000000008</v>
      </c>
      <c r="N254" s="10">
        <f>CHOOSE(CONTROL!$C$42, 9.202, 9.202) * CHOOSE(CONTROL!$C$21, $C$9, 100%, $E$9)</f>
        <v>9.202</v>
      </c>
      <c r="O254" s="10">
        <f>CHOOSE(CONTROL!$C$42, 9.254, 9.254) * CHOOSE(CONTROL!$C$21, $C$9, 100%, $E$9)</f>
        <v>9.2539999999999996</v>
      </c>
      <c r="P254" s="10">
        <f>CHOOSE(CONTROL!$C$42, 9.1458, 9.1458) * CHOOSE(CONTROL!$C$21, $C$9, 100%, $E$9)</f>
        <v>9.1457999999999995</v>
      </c>
      <c r="Q254" s="10">
        <f>CHOOSE(CONTROL!$C$42, 9.8493, 9.8493) * CHOOSE(CONTROL!$C$21, $C$9, 100%, $E$9)</f>
        <v>9.8492999999999995</v>
      </c>
      <c r="R254" s="10">
        <f>CHOOSE(CONTROL!$C$42, 10.4609, 10.4609) * CHOOSE(CONTROL!$C$21, $C$9, 100%, $E$9)</f>
        <v>10.460900000000001</v>
      </c>
      <c r="S254" s="10">
        <f>CHOOSE(CONTROL!$C$42, 8.9216, 8.9216) * CHOOSE(CONTROL!$C$21, $C$9, 100%, $E$9)</f>
        <v>8.9215999999999998</v>
      </c>
      <c r="T254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254" s="58">
        <f>(1000*CHOOSE(CONTROL!$C$42, 695, 695)*CHOOSE(CONTROL!$C$42, 0.5599, 0.5599)*CHOOSE(CONTROL!$C$42, 28, 28))/1000000</f>
        <v>10.895653999999999</v>
      </c>
      <c r="V254" s="58">
        <f>(1000*CHOOSE(CONTROL!$C$42, 500, 500)*CHOOSE(CONTROL!$C$42, 0.275, 0.275)*CHOOSE(CONTROL!$C$42, 28, 28))/1000000</f>
        <v>3.85</v>
      </c>
      <c r="W254" s="58">
        <f>(1000*CHOOSE(CONTROL!$C$42, 0.1146, 0.1146)*CHOOSE(CONTROL!$C$42, 121.5, 121.5)*CHOOSE(CONTROL!$C$42, 28, 28))/1000000</f>
        <v>0.38986920000000003</v>
      </c>
      <c r="X254" s="58">
        <f>(28*0.1790888*100000/1000000)+(28*0.2374*100000/1000000)</f>
        <v>1.16616864</v>
      </c>
      <c r="Y254" s="58"/>
      <c r="Z254" s="10"/>
      <c r="AA254" s="57"/>
      <c r="AB254" s="51">
        <f>(B254*122.58+C254*297.941+D254*89.177+E254*40.302+F254*40+G254*160+H254*0+I254*100+J254*300)/(122.58+297.941+89.177+40.302+0+40+160+100+300)</f>
        <v>9.2435915639130428</v>
      </c>
      <c r="AC254" s="27">
        <f>(M254*'RAP TEMPLATE-GAS AVAILABILITY'!O253+N254*'RAP TEMPLATE-GAS AVAILABILITY'!P253+O254*'RAP TEMPLATE-GAS AVAILABILITY'!Q253+P254*'RAP TEMPLATE-GAS AVAILABILITY'!R253)/('RAP TEMPLATE-GAS AVAILABILITY'!O253+'RAP TEMPLATE-GAS AVAILABILITY'!P253+'RAP TEMPLATE-GAS AVAILABILITY'!Q253+'RAP TEMPLATE-GAS AVAILABILITY'!R253)</f>
        <v>9.2099884892086337</v>
      </c>
    </row>
    <row r="255" spans="1:29" ht="15.75" x14ac:dyDescent="0.25">
      <c r="A255" s="16">
        <v>49004</v>
      </c>
      <c r="B255" s="10">
        <f>CHOOSE(CONTROL!$C$42, 8.9285, 8.9285) * CHOOSE(CONTROL!$C$21, $C$9, 100%, $E$9)</f>
        <v>8.9284999999999997</v>
      </c>
      <c r="C255" s="10">
        <f>CHOOSE(CONTROL!$C$42, 8.9335, 8.9335) * CHOOSE(CONTROL!$C$21, $C$9, 100%, $E$9)</f>
        <v>8.9335000000000004</v>
      </c>
      <c r="D255" s="10">
        <f>CHOOSE(CONTROL!$C$42, 9.0249, 9.0249) * CHOOSE(CONTROL!$C$21, $C$9, 100%, $E$9)</f>
        <v>9.0249000000000006</v>
      </c>
      <c r="E255" s="10">
        <f>CHOOSE(CONTROL!$C$42, 9.0586, 9.0586) * CHOOSE(CONTROL!$C$21, $C$9, 100%, $E$9)</f>
        <v>9.0586000000000002</v>
      </c>
      <c r="F255" s="10">
        <f>CHOOSE(CONTROL!$C$42, 8.9583, 8.9583)*CHOOSE(CONTROL!$C$21, $C$9, 100%, $E$9)</f>
        <v>8.9582999999999995</v>
      </c>
      <c r="G255" s="10">
        <f>CHOOSE(CONTROL!$C$42, 8.9778, 8.9778)*CHOOSE(CONTROL!$C$21, $C$9, 100%, $E$9)</f>
        <v>8.9778000000000002</v>
      </c>
      <c r="H255" s="10">
        <f>CHOOSE(CONTROL!$C$42, 9.0478, 9.0478) * CHOOSE(CONTROL!$C$21, $C$9, 100%, $E$9)</f>
        <v>9.0478000000000005</v>
      </c>
      <c r="I255" s="10">
        <f>CHOOSE(CONTROL!$C$42, 8.9513, 8.9513)* CHOOSE(CONTROL!$C$21, $C$9, 100%, $E$9)</f>
        <v>8.9512999999999998</v>
      </c>
      <c r="J255" s="10">
        <f>CHOOSE(CONTROL!$C$42, 8.9513, 8.9513)* CHOOSE(CONTROL!$C$21, $C$9, 100%, $E$9)</f>
        <v>8.9512999999999998</v>
      </c>
      <c r="K255" s="54">
        <f>CHOOSE(CONTROL!$C$42, 8.9474, 8.9474) * CHOOSE(CONTROL!$C$21, $C$9, 100%, $E$9)</f>
        <v>8.9474</v>
      </c>
      <c r="L255" s="10">
        <f>CHOOSE(CONTROL!$C$42, 9.6348, 9.6348) * CHOOSE(CONTROL!$C$21, $C$9, 100%, $E$9)</f>
        <v>9.6348000000000003</v>
      </c>
      <c r="M255" s="10">
        <f>CHOOSE(CONTROL!$C$42, 8.8748, 8.8748) * CHOOSE(CONTROL!$C$21, $C$9, 100%, $E$9)</f>
        <v>8.8748000000000005</v>
      </c>
      <c r="N255" s="10">
        <f>CHOOSE(CONTROL!$C$42, 8.8941, 8.8941) * CHOOSE(CONTROL!$C$21, $C$9, 100%, $E$9)</f>
        <v>8.8940999999999999</v>
      </c>
      <c r="O255" s="10">
        <f>CHOOSE(CONTROL!$C$42, 8.9703, 8.9703) * CHOOSE(CONTROL!$C$21, $C$9, 100%, $E$9)</f>
        <v>8.9702999999999999</v>
      </c>
      <c r="P255" s="10">
        <f>CHOOSE(CONTROL!$C$42, 8.8748, 8.8748) * CHOOSE(CONTROL!$C$21, $C$9, 100%, $E$9)</f>
        <v>8.8748000000000005</v>
      </c>
      <c r="Q255" s="10">
        <f>CHOOSE(CONTROL!$C$42, 9.5656, 9.5656) * CHOOSE(CONTROL!$C$21, $C$9, 100%, $E$9)</f>
        <v>9.5655999999999999</v>
      </c>
      <c r="R255" s="10">
        <f>CHOOSE(CONTROL!$C$42, 10.1766, 10.1766) * CHOOSE(CONTROL!$C$21, $C$9, 100%, $E$9)</f>
        <v>10.176600000000001</v>
      </c>
      <c r="S255" s="10">
        <f>CHOOSE(CONTROL!$C$42, 8.6683, 8.6683) * CHOOSE(CONTROL!$C$21, $C$9, 100%, $E$9)</f>
        <v>8.6683000000000003</v>
      </c>
      <c r="T255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55" s="58">
        <f>(1000*CHOOSE(CONTROL!$C$42, 695, 695)*CHOOSE(CONTROL!$C$42, 0.5599, 0.5599)*CHOOSE(CONTROL!$C$42, 31, 31))/1000000</f>
        <v>12.063045499999998</v>
      </c>
      <c r="V255" s="58">
        <f>(1000*CHOOSE(CONTROL!$C$42, 500, 500)*CHOOSE(CONTROL!$C$42, 0.275, 0.275)*CHOOSE(CONTROL!$C$42, 31, 31))/1000000</f>
        <v>4.2625000000000002</v>
      </c>
      <c r="W255" s="58">
        <f>(1000*CHOOSE(CONTROL!$C$42, 0.1146, 0.1146)*CHOOSE(CONTROL!$C$42, 121.5, 121.5)*CHOOSE(CONTROL!$C$42, 31, 31))/1000000</f>
        <v>0.43164089999999994</v>
      </c>
      <c r="X255" s="58">
        <f>(31*0.1790888*100000/1000000)+(31*0.2374*100000/1000000)</f>
        <v>1.2911152800000001</v>
      </c>
      <c r="Y255" s="58"/>
      <c r="Z255" s="10"/>
      <c r="AA255" s="57"/>
      <c r="AB255" s="51">
        <f>(B255*122.58+C255*297.941+D255*89.177+E255*40.302+F255*40+G255*160+H255*0+I255*100+J255*300)/(122.58+297.941+89.177+40.302+0+40+160+100+300)</f>
        <v>8.9576562243478275</v>
      </c>
      <c r="AC255" s="27">
        <f>(M255*'RAP TEMPLATE-GAS AVAILABILITY'!O254+N255*'RAP TEMPLATE-GAS AVAILABILITY'!P254+O255*'RAP TEMPLATE-GAS AVAILABILITY'!Q254+P255*'RAP TEMPLATE-GAS AVAILABILITY'!R254)/('RAP TEMPLATE-GAS AVAILABILITY'!O254+'RAP TEMPLATE-GAS AVAILABILITY'!P254+'RAP TEMPLATE-GAS AVAILABILITY'!Q254+'RAP TEMPLATE-GAS AVAILABILITY'!R254)</f>
        <v>8.9191949640287778</v>
      </c>
    </row>
    <row r="256" spans="1:29" ht="15.75" x14ac:dyDescent="0.25">
      <c r="A256" s="16">
        <v>49035</v>
      </c>
      <c r="B256" s="10">
        <f>CHOOSE(CONTROL!$C$42, 8.9026, 8.9026) * CHOOSE(CONTROL!$C$21, $C$9, 100%, $E$9)</f>
        <v>8.9025999999999996</v>
      </c>
      <c r="C256" s="10">
        <f>CHOOSE(CONTROL!$C$42, 8.9069, 8.9069) * CHOOSE(CONTROL!$C$21, $C$9, 100%, $E$9)</f>
        <v>8.9069000000000003</v>
      </c>
      <c r="D256" s="10">
        <f>CHOOSE(CONTROL!$C$42, 9.0886, 9.0886) * CHOOSE(CONTROL!$C$21, $C$9, 100%, $E$9)</f>
        <v>9.0885999999999996</v>
      </c>
      <c r="E256" s="10">
        <f>CHOOSE(CONTROL!$C$42, 9.1204, 9.1204) * CHOOSE(CONTROL!$C$21, $C$9, 100%, $E$9)</f>
        <v>9.1204000000000001</v>
      </c>
      <c r="F256" s="10">
        <f>CHOOSE(CONTROL!$C$42, 8.8909, 8.8909)*CHOOSE(CONTROL!$C$21, $C$9, 100%, $E$9)</f>
        <v>8.8909000000000002</v>
      </c>
      <c r="G256" s="10">
        <f>CHOOSE(CONTROL!$C$42, 8.9089, 8.9089)*CHOOSE(CONTROL!$C$21, $C$9, 100%, $E$9)</f>
        <v>8.9088999999999992</v>
      </c>
      <c r="H256" s="10">
        <f>CHOOSE(CONTROL!$C$42, 9.1102, 9.1102) * CHOOSE(CONTROL!$C$21, $C$9, 100%, $E$9)</f>
        <v>9.1102000000000007</v>
      </c>
      <c r="I256" s="10">
        <f>CHOOSE(CONTROL!$C$42, 8.8808, 8.8808)* CHOOSE(CONTROL!$C$21, $C$9, 100%, $E$9)</f>
        <v>8.8808000000000007</v>
      </c>
      <c r="J256" s="10">
        <f>CHOOSE(CONTROL!$C$42, 8.8839, 8.8839)* CHOOSE(CONTROL!$C$21, $C$9, 100%, $E$9)</f>
        <v>8.8839000000000006</v>
      </c>
      <c r="K256" s="54">
        <f>CHOOSE(CONTROL!$C$42, 8.8769, 8.8769) * CHOOSE(CONTROL!$C$21, $C$9, 100%, $E$9)</f>
        <v>8.8768999999999991</v>
      </c>
      <c r="L256" s="10">
        <f>CHOOSE(CONTROL!$C$42, 9.6972, 9.6972) * CHOOSE(CONTROL!$C$21, $C$9, 100%, $E$9)</f>
        <v>9.6972000000000005</v>
      </c>
      <c r="M256" s="10">
        <f>CHOOSE(CONTROL!$C$42, 8.8081, 8.8081) * CHOOSE(CONTROL!$C$21, $C$9, 100%, $E$9)</f>
        <v>8.8080999999999996</v>
      </c>
      <c r="N256" s="10">
        <f>CHOOSE(CONTROL!$C$42, 8.8259, 8.8259) * CHOOSE(CONTROL!$C$21, $C$9, 100%, $E$9)</f>
        <v>8.8259000000000007</v>
      </c>
      <c r="O256" s="10">
        <f>CHOOSE(CONTROL!$C$42, 9.0321, 9.0321) * CHOOSE(CONTROL!$C$21, $C$9, 100%, $E$9)</f>
        <v>9.0320999999999998</v>
      </c>
      <c r="P256" s="10">
        <f>CHOOSE(CONTROL!$C$42, 8.8051, 8.8051) * CHOOSE(CONTROL!$C$21, $C$9, 100%, $E$9)</f>
        <v>8.8050999999999995</v>
      </c>
      <c r="Q256" s="10">
        <f>CHOOSE(CONTROL!$C$42, 9.6274, 9.6274) * CHOOSE(CONTROL!$C$21, $C$9, 100%, $E$9)</f>
        <v>9.6273999999999997</v>
      </c>
      <c r="R256" s="10">
        <f>CHOOSE(CONTROL!$C$42, 10.2384, 10.2384) * CHOOSE(CONTROL!$C$21, $C$9, 100%, $E$9)</f>
        <v>10.2384</v>
      </c>
      <c r="S256" s="10">
        <f>CHOOSE(CONTROL!$C$42, 8.6424, 8.6424) * CHOOSE(CONTROL!$C$21, $C$9, 100%, $E$9)</f>
        <v>8.6424000000000003</v>
      </c>
      <c r="T256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56" s="58">
        <f>(1000*CHOOSE(CONTROL!$C$42, 695, 695)*CHOOSE(CONTROL!$C$42, 0.5599, 0.5599)*CHOOSE(CONTROL!$C$42, 30, 30))/1000000</f>
        <v>11.673914999999997</v>
      </c>
      <c r="V256" s="58">
        <f>(1000*CHOOSE(CONTROL!$C$42, 500, 500)*CHOOSE(CONTROL!$C$42, 0.275, 0.275)*CHOOSE(CONTROL!$C$42, 30, 30))/1000000</f>
        <v>4.125</v>
      </c>
      <c r="W256" s="58">
        <f>(1000*CHOOSE(CONTROL!$C$42, 0.1146, 0.1146)*CHOOSE(CONTROL!$C$42, 121.5, 121.5)*CHOOSE(CONTROL!$C$42, 30, 30))/1000000</f>
        <v>0.417717</v>
      </c>
      <c r="X256" s="58">
        <f>(30*0.1790888*245000/1000000)+(30*0.2374*100000/1000000)</f>
        <v>2.0285026799999999</v>
      </c>
      <c r="Y256" s="58"/>
      <c r="Z256" s="10"/>
      <c r="AA256" s="57"/>
      <c r="AB256" s="51">
        <f>(B256*141.293+C256*267.993+D256*115.016+E256*89.698+F256*40+G256*185+H256*0+I256*100+J256*300)/(141.293+267.993+115.016+89.698+0+40+185+100+300)</f>
        <v>8.9308397661824053</v>
      </c>
      <c r="AC256" s="27">
        <f>(M256*'RAP TEMPLATE-GAS AVAILABILITY'!O255+N256*'RAP TEMPLATE-GAS AVAILABILITY'!P255+O256*'RAP TEMPLATE-GAS AVAILABILITY'!Q255+P256*'RAP TEMPLATE-GAS AVAILABILITY'!R255)/('RAP TEMPLATE-GAS AVAILABILITY'!O255+'RAP TEMPLATE-GAS AVAILABILITY'!P255+'RAP TEMPLATE-GAS AVAILABILITY'!Q255+'RAP TEMPLATE-GAS AVAILABILITY'!R255)</f>
        <v>8.8746151079136695</v>
      </c>
    </row>
    <row r="257" spans="1:29" ht="15.75" x14ac:dyDescent="0.25">
      <c r="A257" s="16">
        <v>49065</v>
      </c>
      <c r="B257" s="10">
        <f>CHOOSE(CONTROL!$C$42, 8.9829, 8.9829) * CHOOSE(CONTROL!$C$21, $C$9, 100%, $E$9)</f>
        <v>8.9829000000000008</v>
      </c>
      <c r="C257" s="10">
        <f>CHOOSE(CONTROL!$C$42, 8.9908, 8.9908) * CHOOSE(CONTROL!$C$21, $C$9, 100%, $E$9)</f>
        <v>8.9908000000000001</v>
      </c>
      <c r="D257" s="10">
        <f>CHOOSE(CONTROL!$C$42, 9.1693, 9.1693) * CHOOSE(CONTROL!$C$21, $C$9, 100%, $E$9)</f>
        <v>9.1692999999999998</v>
      </c>
      <c r="E257" s="10">
        <f>CHOOSE(CONTROL!$C$42, 9.2005, 9.2005) * CHOOSE(CONTROL!$C$21, $C$9, 100%, $E$9)</f>
        <v>9.2004999999999999</v>
      </c>
      <c r="F257" s="10">
        <f>CHOOSE(CONTROL!$C$42, 8.9691, 8.9691)*CHOOSE(CONTROL!$C$21, $C$9, 100%, $E$9)</f>
        <v>8.9690999999999992</v>
      </c>
      <c r="G257" s="10">
        <f>CHOOSE(CONTROL!$C$42, 8.9872, 8.9872)*CHOOSE(CONTROL!$C$21, $C$9, 100%, $E$9)</f>
        <v>8.9871999999999996</v>
      </c>
      <c r="H257" s="10">
        <f>CHOOSE(CONTROL!$C$42, 9.1891, 9.1891) * CHOOSE(CONTROL!$C$21, $C$9, 100%, $E$9)</f>
        <v>9.1890999999999998</v>
      </c>
      <c r="I257" s="10">
        <f>CHOOSE(CONTROL!$C$42, 8.9598, 8.9598)* CHOOSE(CONTROL!$C$21, $C$9, 100%, $E$9)</f>
        <v>8.9597999999999995</v>
      </c>
      <c r="J257" s="10">
        <f>CHOOSE(CONTROL!$C$42, 8.9621, 8.9621)* CHOOSE(CONTROL!$C$21, $C$9, 100%, $E$9)</f>
        <v>8.9620999999999995</v>
      </c>
      <c r="K257" s="54">
        <f>CHOOSE(CONTROL!$C$42, 8.9559, 8.9559) * CHOOSE(CONTROL!$C$21, $C$9, 100%, $E$9)</f>
        <v>8.9558999999999997</v>
      </c>
      <c r="L257" s="10">
        <f>CHOOSE(CONTROL!$C$42, 9.7761, 9.7761) * CHOOSE(CONTROL!$C$21, $C$9, 100%, $E$9)</f>
        <v>9.7760999999999996</v>
      </c>
      <c r="M257" s="10">
        <f>CHOOSE(CONTROL!$C$42, 8.8855, 8.8855) * CHOOSE(CONTROL!$C$21, $C$9, 100%, $E$9)</f>
        <v>8.8855000000000004</v>
      </c>
      <c r="N257" s="10">
        <f>CHOOSE(CONTROL!$C$42, 8.9034, 8.9034) * CHOOSE(CONTROL!$C$21, $C$9, 100%, $E$9)</f>
        <v>8.9033999999999995</v>
      </c>
      <c r="O257" s="10">
        <f>CHOOSE(CONTROL!$C$42, 9.1102, 9.1102) * CHOOSE(CONTROL!$C$21, $C$9, 100%, $E$9)</f>
        <v>9.1102000000000007</v>
      </c>
      <c r="P257" s="10">
        <f>CHOOSE(CONTROL!$C$42, 8.8832, 8.8832) * CHOOSE(CONTROL!$C$21, $C$9, 100%, $E$9)</f>
        <v>8.8832000000000004</v>
      </c>
      <c r="Q257" s="10">
        <f>CHOOSE(CONTROL!$C$42, 9.7055, 9.7055) * CHOOSE(CONTROL!$C$21, $C$9, 100%, $E$9)</f>
        <v>9.7055000000000007</v>
      </c>
      <c r="R257" s="10">
        <f>CHOOSE(CONTROL!$C$42, 10.3168, 10.3168) * CHOOSE(CONTROL!$C$21, $C$9, 100%, $E$9)</f>
        <v>10.316800000000001</v>
      </c>
      <c r="S257" s="10">
        <f>CHOOSE(CONTROL!$C$42, 8.719, 8.719) * CHOOSE(CONTROL!$C$21, $C$9, 100%, $E$9)</f>
        <v>8.7189999999999994</v>
      </c>
      <c r="T257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257" s="58">
        <f>(1000*CHOOSE(CONTROL!$C$42, 695, 695)*CHOOSE(CONTROL!$C$42, 0.5599, 0.5599)*CHOOSE(CONTROL!$C$42, 31, 31))/1000000</f>
        <v>12.063045499999998</v>
      </c>
      <c r="V257" s="58">
        <f>(1000*CHOOSE(CONTROL!$C$42, 500, 500)*CHOOSE(CONTROL!$C$42, 0.275, 0.275)*CHOOSE(CONTROL!$C$42, 31, 31))/1000000</f>
        <v>4.2625000000000002</v>
      </c>
      <c r="W257" s="58">
        <f>(1000*CHOOSE(CONTROL!$C$42, 0.1146, 0.1146)*CHOOSE(CONTROL!$C$42, 121.5, 121.5)*CHOOSE(CONTROL!$C$42, 31, 31))/1000000</f>
        <v>0.43164089999999994</v>
      </c>
      <c r="X257" s="58">
        <f>(31*0.1790888*245000/1000000)+(31*0.2374*100000/1000000)</f>
        <v>2.0961194359999999</v>
      </c>
      <c r="Y257" s="58"/>
      <c r="Z257" s="10"/>
      <c r="AA257" s="57"/>
      <c r="AB257" s="51">
        <f>(B257*194.205+C257*267.466+D257*133.845+E257*53.484+F257*40+G257*185+H257*0+I257*100+J257*300)/(194.205+267.466+133.845+53.484+0+40+185+100+300)</f>
        <v>9.0067565995290426</v>
      </c>
      <c r="AC257" s="27">
        <f>(M257*'RAP TEMPLATE-GAS AVAILABILITY'!O256+N257*'RAP TEMPLATE-GAS AVAILABILITY'!P256+O257*'RAP TEMPLATE-GAS AVAILABILITY'!Q256+P257*'RAP TEMPLATE-GAS AVAILABILITY'!R256)/('RAP TEMPLATE-GAS AVAILABILITY'!O256+'RAP TEMPLATE-GAS AVAILABILITY'!P256+'RAP TEMPLATE-GAS AVAILABILITY'!Q256+'RAP TEMPLATE-GAS AVAILABILITY'!R256)</f>
        <v>8.9523352517985604</v>
      </c>
    </row>
    <row r="258" spans="1:29" ht="15.75" x14ac:dyDescent="0.25">
      <c r="A258" s="16">
        <v>49096</v>
      </c>
      <c r="B258" s="10">
        <f>CHOOSE(CONTROL!$C$42, 9.2375, 9.2375) * CHOOSE(CONTROL!$C$21, $C$9, 100%, $E$9)</f>
        <v>9.2375000000000007</v>
      </c>
      <c r="C258" s="10">
        <f>CHOOSE(CONTROL!$C$42, 9.2455, 9.2455) * CHOOSE(CONTROL!$C$21, $C$9, 100%, $E$9)</f>
        <v>9.2454999999999998</v>
      </c>
      <c r="D258" s="10">
        <f>CHOOSE(CONTROL!$C$42, 9.424, 9.424) * CHOOSE(CONTROL!$C$21, $C$9, 100%, $E$9)</f>
        <v>9.4239999999999995</v>
      </c>
      <c r="E258" s="10">
        <f>CHOOSE(CONTROL!$C$42, 9.4551, 9.4551) * CHOOSE(CONTROL!$C$21, $C$9, 100%, $E$9)</f>
        <v>9.4550999999999998</v>
      </c>
      <c r="F258" s="10">
        <f>CHOOSE(CONTROL!$C$42, 9.224, 9.224)*CHOOSE(CONTROL!$C$21, $C$9, 100%, $E$9)</f>
        <v>9.2240000000000002</v>
      </c>
      <c r="G258" s="10">
        <f>CHOOSE(CONTROL!$C$42, 9.2422, 9.2422)*CHOOSE(CONTROL!$C$21, $C$9, 100%, $E$9)</f>
        <v>9.2422000000000004</v>
      </c>
      <c r="H258" s="10">
        <f>CHOOSE(CONTROL!$C$42, 9.4438, 9.4438) * CHOOSE(CONTROL!$C$21, $C$9, 100%, $E$9)</f>
        <v>9.4437999999999995</v>
      </c>
      <c r="I258" s="10">
        <f>CHOOSE(CONTROL!$C$42, 9.2144, 9.2144)* CHOOSE(CONTROL!$C$21, $C$9, 100%, $E$9)</f>
        <v>9.2143999999999995</v>
      </c>
      <c r="J258" s="10">
        <f>CHOOSE(CONTROL!$C$42, 9.217, 9.217)* CHOOSE(CONTROL!$C$21, $C$9, 100%, $E$9)</f>
        <v>9.2170000000000005</v>
      </c>
      <c r="K258" s="54">
        <f>CHOOSE(CONTROL!$C$42, 9.2105, 9.2105) * CHOOSE(CONTROL!$C$21, $C$9, 100%, $E$9)</f>
        <v>9.2104999999999997</v>
      </c>
      <c r="L258" s="10">
        <f>CHOOSE(CONTROL!$C$42, 10.0308, 10.0308) * CHOOSE(CONTROL!$C$21, $C$9, 100%, $E$9)</f>
        <v>10.030799999999999</v>
      </c>
      <c r="M258" s="10">
        <f>CHOOSE(CONTROL!$C$42, 9.1378, 9.1378) * CHOOSE(CONTROL!$C$21, $C$9, 100%, $E$9)</f>
        <v>9.1378000000000004</v>
      </c>
      <c r="N258" s="10">
        <f>CHOOSE(CONTROL!$C$42, 9.1558, 9.1558) * CHOOSE(CONTROL!$C$21, $C$9, 100%, $E$9)</f>
        <v>9.1557999999999993</v>
      </c>
      <c r="O258" s="10">
        <f>CHOOSE(CONTROL!$C$42, 9.3623, 9.3623) * CHOOSE(CONTROL!$C$21, $C$9, 100%, $E$9)</f>
        <v>9.3622999999999994</v>
      </c>
      <c r="P258" s="10">
        <f>CHOOSE(CONTROL!$C$42, 9.1353, 9.1353) * CHOOSE(CONTROL!$C$21, $C$9, 100%, $E$9)</f>
        <v>9.1353000000000009</v>
      </c>
      <c r="Q258" s="10">
        <f>CHOOSE(CONTROL!$C$42, 9.9576, 9.9576) * CHOOSE(CONTROL!$C$21, $C$9, 100%, $E$9)</f>
        <v>9.9575999999999993</v>
      </c>
      <c r="R258" s="10">
        <f>CHOOSE(CONTROL!$C$42, 10.5695, 10.5695) * CHOOSE(CONTROL!$C$21, $C$9, 100%, $E$9)</f>
        <v>10.5695</v>
      </c>
      <c r="S258" s="10">
        <f>CHOOSE(CONTROL!$C$42, 8.9663, 8.9663) * CHOOSE(CONTROL!$C$21, $C$9, 100%, $E$9)</f>
        <v>8.9663000000000004</v>
      </c>
      <c r="T258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258" s="58">
        <f>(1000*CHOOSE(CONTROL!$C$42, 695, 695)*CHOOSE(CONTROL!$C$42, 0.5599, 0.5599)*CHOOSE(CONTROL!$C$42, 30, 30))/1000000</f>
        <v>11.673914999999997</v>
      </c>
      <c r="V258" s="58">
        <f>(1000*CHOOSE(CONTROL!$C$42, 500, 500)*CHOOSE(CONTROL!$C$42, 0.275, 0.275)*CHOOSE(CONTROL!$C$42, 30, 30))/1000000</f>
        <v>4.125</v>
      </c>
      <c r="W258" s="58">
        <f>(1000*CHOOSE(CONTROL!$C$42, 0.1146, 0.1146)*CHOOSE(CONTROL!$C$42, 121.5, 121.5)*CHOOSE(CONTROL!$C$42, 30, 30))/1000000</f>
        <v>0.417717</v>
      </c>
      <c r="X258" s="58">
        <f>(30*0.1790888*245000/1000000)+(30*0.2374*100000/1000000)</f>
        <v>2.0285026799999999</v>
      </c>
      <c r="Y258" s="58"/>
      <c r="Z258" s="10"/>
      <c r="AA258" s="57"/>
      <c r="AB258" s="51">
        <f>(B258*194.205+C258*267.466+D258*133.845+E258*53.484+F258*40+G258*185+H258*0+I258*100+J258*300)/(194.205+267.466+133.845+53.484+0+40+185+100+300)</f>
        <v>9.2615262471742543</v>
      </c>
      <c r="AC258" s="27">
        <f>(M258*'RAP TEMPLATE-GAS AVAILABILITY'!O257+N258*'RAP TEMPLATE-GAS AVAILABILITY'!P257+O258*'RAP TEMPLATE-GAS AVAILABILITY'!Q257+P258*'RAP TEMPLATE-GAS AVAILABILITY'!R257)/('RAP TEMPLATE-GAS AVAILABILITY'!O257+'RAP TEMPLATE-GAS AVAILABILITY'!P257+'RAP TEMPLATE-GAS AVAILABILITY'!Q257+'RAP TEMPLATE-GAS AVAILABILITY'!R257)</f>
        <v>9.2045733812949635</v>
      </c>
    </row>
    <row r="259" spans="1:29" ht="15.75" x14ac:dyDescent="0.25">
      <c r="A259" s="16">
        <v>49126</v>
      </c>
      <c r="B259" s="10">
        <f>CHOOSE(CONTROL!$C$42, 9.0604, 9.0604) * CHOOSE(CONTROL!$C$21, $C$9, 100%, $E$9)</f>
        <v>9.0603999999999996</v>
      </c>
      <c r="C259" s="10">
        <f>CHOOSE(CONTROL!$C$42, 9.0683, 9.0683) * CHOOSE(CONTROL!$C$21, $C$9, 100%, $E$9)</f>
        <v>9.0683000000000007</v>
      </c>
      <c r="D259" s="10">
        <f>CHOOSE(CONTROL!$C$42, 9.2469, 9.2469) * CHOOSE(CONTROL!$C$21, $C$9, 100%, $E$9)</f>
        <v>9.2469000000000001</v>
      </c>
      <c r="E259" s="10">
        <f>CHOOSE(CONTROL!$C$42, 9.278, 9.278) * CHOOSE(CONTROL!$C$21, $C$9, 100%, $E$9)</f>
        <v>9.2780000000000005</v>
      </c>
      <c r="F259" s="10">
        <f>CHOOSE(CONTROL!$C$42, 9.0471, 9.0471)*CHOOSE(CONTROL!$C$21, $C$9, 100%, $E$9)</f>
        <v>9.0471000000000004</v>
      </c>
      <c r="G259" s="10">
        <f>CHOOSE(CONTROL!$C$42, 9.0655, 9.0655)*CHOOSE(CONTROL!$C$21, $C$9, 100%, $E$9)</f>
        <v>9.0655000000000001</v>
      </c>
      <c r="H259" s="10">
        <f>CHOOSE(CONTROL!$C$42, 9.2666, 9.2666) * CHOOSE(CONTROL!$C$21, $C$9, 100%, $E$9)</f>
        <v>9.2666000000000004</v>
      </c>
      <c r="I259" s="10">
        <f>CHOOSE(CONTROL!$C$42, 9.0373, 9.0373)* CHOOSE(CONTROL!$C$21, $C$9, 100%, $E$9)</f>
        <v>9.0373000000000001</v>
      </c>
      <c r="J259" s="10">
        <f>CHOOSE(CONTROL!$C$42, 9.0401, 9.0401)* CHOOSE(CONTROL!$C$21, $C$9, 100%, $E$9)</f>
        <v>9.0401000000000007</v>
      </c>
      <c r="K259" s="54">
        <f>CHOOSE(CONTROL!$C$42, 9.0334, 9.0334) * CHOOSE(CONTROL!$C$21, $C$9, 100%, $E$9)</f>
        <v>9.0334000000000003</v>
      </c>
      <c r="L259" s="10">
        <f>CHOOSE(CONTROL!$C$42, 9.8536, 9.8536) * CHOOSE(CONTROL!$C$21, $C$9, 100%, $E$9)</f>
        <v>9.8536000000000001</v>
      </c>
      <c r="M259" s="10">
        <f>CHOOSE(CONTROL!$C$42, 8.9627, 8.9627) * CHOOSE(CONTROL!$C$21, $C$9, 100%, $E$9)</f>
        <v>8.9626999999999999</v>
      </c>
      <c r="N259" s="10">
        <f>CHOOSE(CONTROL!$C$42, 8.9809, 8.9809) * CHOOSE(CONTROL!$C$21, $C$9, 100%, $E$9)</f>
        <v>8.9809000000000001</v>
      </c>
      <c r="O259" s="10">
        <f>CHOOSE(CONTROL!$C$42, 9.187, 9.187) * CHOOSE(CONTROL!$C$21, $C$9, 100%, $E$9)</f>
        <v>9.1869999999999994</v>
      </c>
      <c r="P259" s="10">
        <f>CHOOSE(CONTROL!$C$42, 8.96, 8.96) * CHOOSE(CONTROL!$C$21, $C$9, 100%, $E$9)</f>
        <v>8.9600000000000009</v>
      </c>
      <c r="Q259" s="10">
        <f>CHOOSE(CONTROL!$C$42, 9.7823, 9.7823) * CHOOSE(CONTROL!$C$21, $C$9, 100%, $E$9)</f>
        <v>9.7822999999999993</v>
      </c>
      <c r="R259" s="10">
        <f>CHOOSE(CONTROL!$C$42, 10.3937, 10.3937) * CHOOSE(CONTROL!$C$21, $C$9, 100%, $E$9)</f>
        <v>10.393700000000001</v>
      </c>
      <c r="S259" s="10">
        <f>CHOOSE(CONTROL!$C$42, 8.7943, 8.7943) * CHOOSE(CONTROL!$C$21, $C$9, 100%, $E$9)</f>
        <v>8.7942999999999998</v>
      </c>
      <c r="T259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259" s="58">
        <f>(1000*CHOOSE(CONTROL!$C$42, 695, 695)*CHOOSE(CONTROL!$C$42, 0.5599, 0.5599)*CHOOSE(CONTROL!$C$42, 31, 31))/1000000</f>
        <v>12.063045499999998</v>
      </c>
      <c r="V259" s="58">
        <f>(1000*CHOOSE(CONTROL!$C$42, 500, 500)*CHOOSE(CONTROL!$C$42, 0.275, 0.275)*CHOOSE(CONTROL!$C$42, 31, 31))/1000000</f>
        <v>4.2625000000000002</v>
      </c>
      <c r="W259" s="58">
        <f>(1000*CHOOSE(CONTROL!$C$42, 0.1146, 0.1146)*CHOOSE(CONTROL!$C$42, 121.5, 121.5)*CHOOSE(CONTROL!$C$42, 31, 31))/1000000</f>
        <v>0.43164089999999994</v>
      </c>
      <c r="X259" s="58">
        <f>(31*0.1790888*245000/1000000)+(31*0.2374*100000/1000000)</f>
        <v>2.0961194359999999</v>
      </c>
      <c r="Y259" s="58"/>
      <c r="Z259" s="10"/>
      <c r="AA259" s="57"/>
      <c r="AB259" s="51">
        <f>(B259*194.205+C259*267.466+D259*133.845+E259*53.484+F259*40+G259*185+H259*0+I259*100+J259*300)/(194.205+267.466+133.845+53.484+0+40+185+100+300)</f>
        <v>9.084516712951336</v>
      </c>
      <c r="AC259" s="27">
        <f>(M259*'RAP TEMPLATE-GAS AVAILABILITY'!O258+N259*'RAP TEMPLATE-GAS AVAILABILITY'!P258+O259*'RAP TEMPLATE-GAS AVAILABILITY'!Q258+P259*'RAP TEMPLATE-GAS AVAILABILITY'!R258)/('RAP TEMPLATE-GAS AVAILABILITY'!O258+'RAP TEMPLATE-GAS AVAILABILITY'!P258+'RAP TEMPLATE-GAS AVAILABILITY'!Q258+'RAP TEMPLATE-GAS AVAILABILITY'!R258)</f>
        <v>9.0294345323741005</v>
      </c>
    </row>
    <row r="260" spans="1:29" ht="15.75" x14ac:dyDescent="0.25">
      <c r="A260" s="16">
        <v>49157</v>
      </c>
      <c r="B260" s="10">
        <f>CHOOSE(CONTROL!$C$42, 8.6132, 8.6132) * CHOOSE(CONTROL!$C$21, $C$9, 100%, $E$9)</f>
        <v>8.6132000000000009</v>
      </c>
      <c r="C260" s="10">
        <f>CHOOSE(CONTROL!$C$42, 8.6211, 8.6211) * CHOOSE(CONTROL!$C$21, $C$9, 100%, $E$9)</f>
        <v>8.6211000000000002</v>
      </c>
      <c r="D260" s="10">
        <f>CHOOSE(CONTROL!$C$42, 8.7996, 8.7996) * CHOOSE(CONTROL!$C$21, $C$9, 100%, $E$9)</f>
        <v>8.7995999999999999</v>
      </c>
      <c r="E260" s="10">
        <f>CHOOSE(CONTROL!$C$42, 8.8307, 8.8307) * CHOOSE(CONTROL!$C$21, $C$9, 100%, $E$9)</f>
        <v>8.8307000000000002</v>
      </c>
      <c r="F260" s="10">
        <f>CHOOSE(CONTROL!$C$42, 8.5998, 8.5998)*CHOOSE(CONTROL!$C$21, $C$9, 100%, $E$9)</f>
        <v>8.5998000000000001</v>
      </c>
      <c r="G260" s="10">
        <f>CHOOSE(CONTROL!$C$42, 8.6181, 8.6181)*CHOOSE(CONTROL!$C$21, $C$9, 100%, $E$9)</f>
        <v>8.6181000000000001</v>
      </c>
      <c r="H260" s="10">
        <f>CHOOSE(CONTROL!$C$42, 8.8194, 8.8194) * CHOOSE(CONTROL!$C$21, $C$9, 100%, $E$9)</f>
        <v>8.8193999999999999</v>
      </c>
      <c r="I260" s="10">
        <f>CHOOSE(CONTROL!$C$42, 8.59, 8.59)* CHOOSE(CONTROL!$C$21, $C$9, 100%, $E$9)</f>
        <v>8.59</v>
      </c>
      <c r="J260" s="10">
        <f>CHOOSE(CONTROL!$C$42, 8.5928, 8.5928)* CHOOSE(CONTROL!$C$21, $C$9, 100%, $E$9)</f>
        <v>8.5928000000000004</v>
      </c>
      <c r="K260" s="54">
        <f>CHOOSE(CONTROL!$C$42, 8.5861, 8.5861) * CHOOSE(CONTROL!$C$21, $C$9, 100%, $E$9)</f>
        <v>8.5861000000000001</v>
      </c>
      <c r="L260" s="10">
        <f>CHOOSE(CONTROL!$C$42, 9.4064, 9.4064) * CHOOSE(CONTROL!$C$21, $C$9, 100%, $E$9)</f>
        <v>9.4063999999999997</v>
      </c>
      <c r="M260" s="10">
        <f>CHOOSE(CONTROL!$C$42, 8.5199, 8.5199) * CHOOSE(CONTROL!$C$21, $C$9, 100%, $E$9)</f>
        <v>8.5198999999999998</v>
      </c>
      <c r="N260" s="10">
        <f>CHOOSE(CONTROL!$C$42, 8.538, 8.538) * CHOOSE(CONTROL!$C$21, $C$9, 100%, $E$9)</f>
        <v>8.5380000000000003</v>
      </c>
      <c r="O260" s="10">
        <f>CHOOSE(CONTROL!$C$42, 8.7442, 8.7442) * CHOOSE(CONTROL!$C$21, $C$9, 100%, $E$9)</f>
        <v>8.7441999999999993</v>
      </c>
      <c r="P260" s="10">
        <f>CHOOSE(CONTROL!$C$42, 8.5172, 8.5172) * CHOOSE(CONTROL!$C$21, $C$9, 100%, $E$9)</f>
        <v>8.5172000000000008</v>
      </c>
      <c r="Q260" s="10">
        <f>CHOOSE(CONTROL!$C$42, 9.3395, 9.3395) * CHOOSE(CONTROL!$C$21, $C$9, 100%, $E$9)</f>
        <v>9.3394999999999992</v>
      </c>
      <c r="R260" s="10">
        <f>CHOOSE(CONTROL!$C$42, 9.9499, 9.9499) * CHOOSE(CONTROL!$C$21, $C$9, 100%, $E$9)</f>
        <v>9.9498999999999995</v>
      </c>
      <c r="S260" s="10">
        <f>CHOOSE(CONTROL!$C$42, 8.36, 8.36) * CHOOSE(CONTROL!$C$21, $C$9, 100%, $E$9)</f>
        <v>8.36</v>
      </c>
      <c r="T260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60" s="58">
        <f>(1000*CHOOSE(CONTROL!$C$42, 695, 695)*CHOOSE(CONTROL!$C$42, 0.5599, 0.5599)*CHOOSE(CONTROL!$C$42, 31, 31))/1000000</f>
        <v>12.063045499999998</v>
      </c>
      <c r="V260" s="58">
        <f>(1000*CHOOSE(CONTROL!$C$42, 500, 500)*CHOOSE(CONTROL!$C$42, 0.275, 0.275)*CHOOSE(CONTROL!$C$42, 31, 31))/1000000</f>
        <v>4.2625000000000002</v>
      </c>
      <c r="W260" s="58">
        <f>(1000*CHOOSE(CONTROL!$C$42, 0.1146, 0.1146)*CHOOSE(CONTROL!$C$42, 121.5, 121.5)*CHOOSE(CONTROL!$C$42, 31, 31))/1000000</f>
        <v>0.43164089999999994</v>
      </c>
      <c r="X260" s="58">
        <f>(31*0.1790888*245000/1000000)+(31*0.2374*100000/1000000)</f>
        <v>2.0961194359999999</v>
      </c>
      <c r="Y260" s="58"/>
      <c r="Z260" s="10"/>
      <c r="AA260" s="57"/>
      <c r="AB260" s="51">
        <f>(B260*194.205+C260*267.466+D260*133.845+E260*53.484+F260*40+G260*185+H260*0+I260*100+J260*300)/(194.205+267.466+133.845+53.484+0+40+185+100+300)</f>
        <v>8.6372384296703313</v>
      </c>
      <c r="AC260" s="27">
        <f>(M260*'RAP TEMPLATE-GAS AVAILABILITY'!O259+N260*'RAP TEMPLATE-GAS AVAILABILITY'!P259+O260*'RAP TEMPLATE-GAS AVAILABILITY'!Q259+P260*'RAP TEMPLATE-GAS AVAILABILITY'!R259)/('RAP TEMPLATE-GAS AVAILABILITY'!O259+'RAP TEMPLATE-GAS AVAILABILITY'!P259+'RAP TEMPLATE-GAS AVAILABILITY'!Q259+'RAP TEMPLATE-GAS AVAILABILITY'!R259)</f>
        <v>8.5866115107913661</v>
      </c>
    </row>
    <row r="261" spans="1:29" ht="15.75" x14ac:dyDescent="0.25">
      <c r="A261" s="16">
        <v>49188</v>
      </c>
      <c r="B261" s="10">
        <f>CHOOSE(CONTROL!$C$42, 8.0667, 8.0667) * CHOOSE(CONTROL!$C$21, $C$9, 100%, $E$9)</f>
        <v>8.0667000000000009</v>
      </c>
      <c r="C261" s="10">
        <f>CHOOSE(CONTROL!$C$42, 8.0746, 8.0746) * CHOOSE(CONTROL!$C$21, $C$9, 100%, $E$9)</f>
        <v>8.0746000000000002</v>
      </c>
      <c r="D261" s="10">
        <f>CHOOSE(CONTROL!$C$42, 8.2531, 8.2531) * CHOOSE(CONTROL!$C$21, $C$9, 100%, $E$9)</f>
        <v>8.2530999999999999</v>
      </c>
      <c r="E261" s="10">
        <f>CHOOSE(CONTROL!$C$42, 8.2843, 8.2843) * CHOOSE(CONTROL!$C$21, $C$9, 100%, $E$9)</f>
        <v>8.2843</v>
      </c>
      <c r="F261" s="10">
        <f>CHOOSE(CONTROL!$C$42, 8.053, 8.053)*CHOOSE(CONTROL!$C$21, $C$9, 100%, $E$9)</f>
        <v>8.0530000000000008</v>
      </c>
      <c r="G261" s="10">
        <f>CHOOSE(CONTROL!$C$42, 8.0713, 8.0713)*CHOOSE(CONTROL!$C$21, $C$9, 100%, $E$9)</f>
        <v>8.0713000000000008</v>
      </c>
      <c r="H261" s="10">
        <f>CHOOSE(CONTROL!$C$42, 8.2729, 8.2729) * CHOOSE(CONTROL!$C$21, $C$9, 100%, $E$9)</f>
        <v>8.2728999999999999</v>
      </c>
      <c r="I261" s="10">
        <f>CHOOSE(CONTROL!$C$42, 8.0436, 8.0436)* CHOOSE(CONTROL!$C$21, $C$9, 100%, $E$9)</f>
        <v>8.0435999999999996</v>
      </c>
      <c r="J261" s="10">
        <f>CHOOSE(CONTROL!$C$42, 8.046, 8.046)* CHOOSE(CONTROL!$C$21, $C$9, 100%, $E$9)</f>
        <v>8.0459999999999994</v>
      </c>
      <c r="K261" s="54">
        <f>CHOOSE(CONTROL!$C$42, 8.0397, 8.0397) * CHOOSE(CONTROL!$C$21, $C$9, 100%, $E$9)</f>
        <v>8.0396999999999998</v>
      </c>
      <c r="L261" s="10">
        <f>CHOOSE(CONTROL!$C$42, 8.8599, 8.8599) * CHOOSE(CONTROL!$C$21, $C$9, 100%, $E$9)</f>
        <v>8.8598999999999997</v>
      </c>
      <c r="M261" s="10">
        <f>CHOOSE(CONTROL!$C$42, 7.9787, 7.9787) * CHOOSE(CONTROL!$C$21, $C$9, 100%, $E$9)</f>
        <v>7.9786999999999999</v>
      </c>
      <c r="N261" s="10">
        <f>CHOOSE(CONTROL!$C$42, 7.9967, 7.9967) * CHOOSE(CONTROL!$C$21, $C$9, 100%, $E$9)</f>
        <v>7.9966999999999997</v>
      </c>
      <c r="O261" s="10">
        <f>CHOOSE(CONTROL!$C$42, 8.2032, 8.2032) * CHOOSE(CONTROL!$C$21, $C$9, 100%, $E$9)</f>
        <v>8.2032000000000007</v>
      </c>
      <c r="P261" s="10">
        <f>CHOOSE(CONTROL!$C$42, 7.9762, 7.9762) * CHOOSE(CONTROL!$C$21, $C$9, 100%, $E$9)</f>
        <v>7.9762000000000004</v>
      </c>
      <c r="Q261" s="10">
        <f>CHOOSE(CONTROL!$C$42, 8.7985, 8.7985) * CHOOSE(CONTROL!$C$21, $C$9, 100%, $E$9)</f>
        <v>8.7985000000000007</v>
      </c>
      <c r="R261" s="10">
        <f>CHOOSE(CONTROL!$C$42, 9.4075, 9.4075) * CHOOSE(CONTROL!$C$21, $C$9, 100%, $E$9)</f>
        <v>9.4075000000000006</v>
      </c>
      <c r="S261" s="10">
        <f>CHOOSE(CONTROL!$C$42, 7.8293, 7.8293) * CHOOSE(CONTROL!$C$21, $C$9, 100%, $E$9)</f>
        <v>7.8292999999999999</v>
      </c>
      <c r="T261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61" s="58">
        <f>(1000*CHOOSE(CONTROL!$C$42, 695, 695)*CHOOSE(CONTROL!$C$42, 0.5599, 0.5599)*CHOOSE(CONTROL!$C$42, 30, 30))/1000000</f>
        <v>11.673914999999997</v>
      </c>
      <c r="V261" s="58">
        <f>(1000*CHOOSE(CONTROL!$C$42, 500, 500)*CHOOSE(CONTROL!$C$42, 0.275, 0.275)*CHOOSE(CONTROL!$C$42, 30, 30))/1000000</f>
        <v>4.125</v>
      </c>
      <c r="W261" s="58">
        <f>(1000*CHOOSE(CONTROL!$C$42, 0.1146, 0.1146)*CHOOSE(CONTROL!$C$42, 121.5, 121.5)*CHOOSE(CONTROL!$C$42, 30, 30))/1000000</f>
        <v>0.417717</v>
      </c>
      <c r="X261" s="58">
        <f>(30*0.1790888*245000/1000000)+(30*0.2374*100000/1000000)</f>
        <v>2.0285026799999999</v>
      </c>
      <c r="Y261" s="58"/>
      <c r="Z261" s="10"/>
      <c r="AA261" s="57"/>
      <c r="AB261" s="51">
        <f>(B261*194.205+C261*267.466+D261*133.845+E261*53.484+F261*40+G261*185+H261*0+I261*100+J261*300)/(194.205+267.466+133.845+53.484+0+40+185+100+300)</f>
        <v>8.0906268507064372</v>
      </c>
      <c r="AC261" s="27">
        <f>(M261*'RAP TEMPLATE-GAS AVAILABILITY'!O260+N261*'RAP TEMPLATE-GAS AVAILABILITY'!P260+O261*'RAP TEMPLATE-GAS AVAILABILITY'!Q260+P261*'RAP TEMPLATE-GAS AVAILABILITY'!R260)/('RAP TEMPLATE-GAS AVAILABILITY'!O260+'RAP TEMPLATE-GAS AVAILABILITY'!P260+'RAP TEMPLATE-GAS AVAILABILITY'!Q260+'RAP TEMPLATE-GAS AVAILABILITY'!R260)</f>
        <v>8.0454733812949648</v>
      </c>
    </row>
    <row r="262" spans="1:29" ht="15.75" x14ac:dyDescent="0.25">
      <c r="A262" s="16">
        <v>49218</v>
      </c>
      <c r="B262" s="10">
        <f>CHOOSE(CONTROL!$C$42, 7.9009, 7.9009) * CHOOSE(CONTROL!$C$21, $C$9, 100%, $E$9)</f>
        <v>7.9009</v>
      </c>
      <c r="C262" s="10">
        <f>CHOOSE(CONTROL!$C$42, 7.9061, 7.9061) * CHOOSE(CONTROL!$C$21, $C$9, 100%, $E$9)</f>
        <v>7.9061000000000003</v>
      </c>
      <c r="D262" s="10">
        <f>CHOOSE(CONTROL!$C$42, 8.0896, 8.0896) * CHOOSE(CONTROL!$C$21, $C$9, 100%, $E$9)</f>
        <v>8.0896000000000008</v>
      </c>
      <c r="E262" s="10">
        <f>CHOOSE(CONTROL!$C$42, 8.1184, 8.1184) * CHOOSE(CONTROL!$C$21, $C$9, 100%, $E$9)</f>
        <v>8.1183999999999994</v>
      </c>
      <c r="F262" s="10">
        <f>CHOOSE(CONTROL!$C$42, 7.8892, 7.8892)*CHOOSE(CONTROL!$C$21, $C$9, 100%, $E$9)</f>
        <v>7.8891999999999998</v>
      </c>
      <c r="G262" s="10">
        <f>CHOOSE(CONTROL!$C$42, 7.9071, 7.9071)*CHOOSE(CONTROL!$C$21, $C$9, 100%, $E$9)</f>
        <v>7.9070999999999998</v>
      </c>
      <c r="H262" s="10">
        <f>CHOOSE(CONTROL!$C$42, 8.1088, 8.1088) * CHOOSE(CONTROL!$C$21, $C$9, 100%, $E$9)</f>
        <v>8.1088000000000005</v>
      </c>
      <c r="I262" s="10">
        <f>CHOOSE(CONTROL!$C$42, 7.8795, 7.8795)* CHOOSE(CONTROL!$C$21, $C$9, 100%, $E$9)</f>
        <v>7.8795000000000002</v>
      </c>
      <c r="J262" s="10">
        <f>CHOOSE(CONTROL!$C$42, 7.8822, 7.8822)* CHOOSE(CONTROL!$C$21, $C$9, 100%, $E$9)</f>
        <v>7.8822000000000001</v>
      </c>
      <c r="K262" s="54">
        <f>CHOOSE(CONTROL!$C$42, 7.8756, 7.8756) * CHOOSE(CONTROL!$C$21, $C$9, 100%, $E$9)</f>
        <v>7.8756000000000004</v>
      </c>
      <c r="L262" s="10">
        <f>CHOOSE(CONTROL!$C$42, 8.6958, 8.6958) * CHOOSE(CONTROL!$C$21, $C$9, 100%, $E$9)</f>
        <v>8.6958000000000002</v>
      </c>
      <c r="M262" s="10">
        <f>CHOOSE(CONTROL!$C$42, 7.8165, 7.8165) * CHOOSE(CONTROL!$C$21, $C$9, 100%, $E$9)</f>
        <v>7.8164999999999996</v>
      </c>
      <c r="N262" s="10">
        <f>CHOOSE(CONTROL!$C$42, 7.8342, 7.8342) * CHOOSE(CONTROL!$C$21, $C$9, 100%, $E$9)</f>
        <v>7.8342000000000001</v>
      </c>
      <c r="O262" s="10">
        <f>CHOOSE(CONTROL!$C$42, 8.0408, 8.0408) * CHOOSE(CONTROL!$C$21, $C$9, 100%, $E$9)</f>
        <v>8.0408000000000008</v>
      </c>
      <c r="P262" s="10">
        <f>CHOOSE(CONTROL!$C$42, 7.8138, 7.8138) * CHOOSE(CONTROL!$C$21, $C$9, 100%, $E$9)</f>
        <v>7.8137999999999996</v>
      </c>
      <c r="Q262" s="10">
        <f>CHOOSE(CONTROL!$C$42, 8.6361, 8.6361) * CHOOSE(CONTROL!$C$21, $C$9, 100%, $E$9)</f>
        <v>8.6361000000000008</v>
      </c>
      <c r="R262" s="10">
        <f>CHOOSE(CONTROL!$C$42, 9.2447, 9.2447) * CHOOSE(CONTROL!$C$21, $C$9, 100%, $E$9)</f>
        <v>9.2446999999999999</v>
      </c>
      <c r="S262" s="10">
        <f>CHOOSE(CONTROL!$C$42, 7.67, 7.67) * CHOOSE(CONTROL!$C$21, $C$9, 100%, $E$9)</f>
        <v>7.67</v>
      </c>
      <c r="T262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62" s="58">
        <f>(1000*CHOOSE(CONTROL!$C$42, 695, 695)*CHOOSE(CONTROL!$C$42, 0.5599, 0.5599)*CHOOSE(CONTROL!$C$42, 31, 31))/1000000</f>
        <v>12.063045499999998</v>
      </c>
      <c r="V262" s="58">
        <f>(1000*CHOOSE(CONTROL!$C$42, 500, 500)*CHOOSE(CONTROL!$C$42, 0.275, 0.275)*CHOOSE(CONTROL!$C$42, 31, 31))/1000000</f>
        <v>4.2625000000000002</v>
      </c>
      <c r="W262" s="58">
        <f>(1000*CHOOSE(CONTROL!$C$42, 0.1146, 0.1146)*CHOOSE(CONTROL!$C$42, 121.5, 121.5)*CHOOSE(CONTROL!$C$42, 31, 31))/1000000</f>
        <v>0.43164089999999994</v>
      </c>
      <c r="X262" s="58">
        <f>(31*0.1790888*245000/1000000)+(31*0.2374*100000/1000000)</f>
        <v>2.0961194359999999</v>
      </c>
      <c r="Y262" s="58"/>
      <c r="Z262" s="10"/>
      <c r="AA262" s="57"/>
      <c r="AB262" s="51">
        <f>(B262*131.881+C262*277.167+D262*79.08+E262*125.872+F262*40+G262*185+H262*0+I262*100+J262*300)/(131.881+277.167+79.08+125.872+0+40+185+100+300)</f>
        <v>7.9304963070217909</v>
      </c>
      <c r="AC262" s="27">
        <f>(M262*'RAP TEMPLATE-GAS AVAILABILITY'!O261+N262*'RAP TEMPLATE-GAS AVAILABILITY'!P261+O262*'RAP TEMPLATE-GAS AVAILABILITY'!Q261+P262*'RAP TEMPLATE-GAS AVAILABILITY'!R261)/('RAP TEMPLATE-GAS AVAILABILITY'!O261+'RAP TEMPLATE-GAS AVAILABILITY'!P261+'RAP TEMPLATE-GAS AVAILABILITY'!Q261+'RAP TEMPLATE-GAS AVAILABILITY'!R261)</f>
        <v>7.8831194244604319</v>
      </c>
    </row>
    <row r="263" spans="1:29" ht="15.75" x14ac:dyDescent="0.25">
      <c r="A263" s="16">
        <v>49249</v>
      </c>
      <c r="B263" s="10">
        <f>CHOOSE(CONTROL!$C$42, 8.1085, 8.1085) * CHOOSE(CONTROL!$C$21, $C$9, 100%, $E$9)</f>
        <v>8.1084999999999994</v>
      </c>
      <c r="C263" s="10">
        <f>CHOOSE(CONTROL!$C$42, 8.1135, 8.1135) * CHOOSE(CONTROL!$C$21, $C$9, 100%, $E$9)</f>
        <v>8.1135000000000002</v>
      </c>
      <c r="D263" s="10">
        <f>CHOOSE(CONTROL!$C$42, 8.1431, 8.1431) * CHOOSE(CONTROL!$C$21, $C$9, 100%, $E$9)</f>
        <v>8.1431000000000004</v>
      </c>
      <c r="E263" s="10">
        <f>CHOOSE(CONTROL!$C$42, 8.1768, 8.1768) * CHOOSE(CONTROL!$C$21, $C$9, 100%, $E$9)</f>
        <v>8.1768000000000001</v>
      </c>
      <c r="F263" s="10">
        <f>CHOOSE(CONTROL!$C$42, 8.0943, 8.0943)*CHOOSE(CONTROL!$C$21, $C$9, 100%, $E$9)</f>
        <v>8.0943000000000005</v>
      </c>
      <c r="G263" s="10">
        <f>CHOOSE(CONTROL!$C$42, 8.1123, 8.1123)*CHOOSE(CONTROL!$C$21, $C$9, 100%, $E$9)</f>
        <v>8.1122999999999994</v>
      </c>
      <c r="H263" s="10">
        <f>CHOOSE(CONTROL!$C$42, 8.166, 8.166) * CHOOSE(CONTROL!$C$21, $C$9, 100%, $E$9)</f>
        <v>8.1660000000000004</v>
      </c>
      <c r="I263" s="10">
        <f>CHOOSE(CONTROL!$C$42, 8.0747, 8.0747)* CHOOSE(CONTROL!$C$21, $C$9, 100%, $E$9)</f>
        <v>8.0747</v>
      </c>
      <c r="J263" s="10">
        <f>CHOOSE(CONTROL!$C$42, 8.0873, 8.0873)* CHOOSE(CONTROL!$C$21, $C$9, 100%, $E$9)</f>
        <v>8.0873000000000008</v>
      </c>
      <c r="K263" s="54">
        <f>CHOOSE(CONTROL!$C$42, 8.0708, 8.0708) * CHOOSE(CONTROL!$C$21, $C$9, 100%, $E$9)</f>
        <v>8.0708000000000002</v>
      </c>
      <c r="L263" s="10">
        <f>CHOOSE(CONTROL!$C$42, 8.753, 8.753) * CHOOSE(CONTROL!$C$21, $C$9, 100%, $E$9)</f>
        <v>8.7530000000000001</v>
      </c>
      <c r="M263" s="10">
        <f>CHOOSE(CONTROL!$C$42, 8.0195, 8.0195) * CHOOSE(CONTROL!$C$21, $C$9, 100%, $E$9)</f>
        <v>8.0195000000000007</v>
      </c>
      <c r="N263" s="10">
        <f>CHOOSE(CONTROL!$C$42, 8.0373, 8.0373) * CHOOSE(CONTROL!$C$21, $C$9, 100%, $E$9)</f>
        <v>8.0373000000000001</v>
      </c>
      <c r="O263" s="10">
        <f>CHOOSE(CONTROL!$C$42, 8.0975, 8.0975) * CHOOSE(CONTROL!$C$21, $C$9, 100%, $E$9)</f>
        <v>8.0975000000000001</v>
      </c>
      <c r="P263" s="10">
        <f>CHOOSE(CONTROL!$C$42, 8.0071, 8.0071) * CHOOSE(CONTROL!$C$21, $C$9, 100%, $E$9)</f>
        <v>8.0070999999999994</v>
      </c>
      <c r="Q263" s="10">
        <f>CHOOSE(CONTROL!$C$42, 8.6928, 8.6928) * CHOOSE(CONTROL!$C$21, $C$9, 100%, $E$9)</f>
        <v>8.6928000000000001</v>
      </c>
      <c r="R263" s="10">
        <f>CHOOSE(CONTROL!$C$42, 9.3015, 9.3015) * CHOOSE(CONTROL!$C$21, $C$9, 100%, $E$9)</f>
        <v>9.3015000000000008</v>
      </c>
      <c r="S263" s="10">
        <f>CHOOSE(CONTROL!$C$42, 7.872, 7.872) * CHOOSE(CONTROL!$C$21, $C$9, 100%, $E$9)</f>
        <v>7.8719999999999999</v>
      </c>
      <c r="T263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63" s="58">
        <f>(1000*CHOOSE(CONTROL!$C$42, 695, 695)*CHOOSE(CONTROL!$C$42, 0.5599, 0.5599)*CHOOSE(CONTROL!$C$42, 30, 30))/1000000</f>
        <v>11.673914999999997</v>
      </c>
      <c r="V263" s="58">
        <f>(1000*CHOOSE(CONTROL!$C$42, 500, 500)*CHOOSE(CONTROL!$C$42, 0.275, 0.275)*CHOOSE(CONTROL!$C$42, 30, 30))/1000000</f>
        <v>4.125</v>
      </c>
      <c r="W263" s="58">
        <f>(1000*CHOOSE(CONTROL!$C$42, 0.1146, 0.1146)*CHOOSE(CONTROL!$C$42, 121.5, 121.5)*CHOOSE(CONTROL!$C$42, 30, 30))/1000000</f>
        <v>0.417717</v>
      </c>
      <c r="X263" s="58">
        <f>(30*0.1790888*100000/1000000)+(30*0.2374*100000/1000000)</f>
        <v>1.2494664</v>
      </c>
      <c r="Y263" s="58"/>
      <c r="Z263" s="10"/>
      <c r="AA263" s="57"/>
      <c r="AB263" s="51">
        <f>(B263*122.58+C263*297.941+D263*89.177+E263*40.302+F263*40+G263*160+H263*0+I263*100+J263*300)/(122.58+297.941+89.177+40.302+0+40+160+100+300)</f>
        <v>8.1064372659130424</v>
      </c>
      <c r="AC263" s="27">
        <f>(M263*'RAP TEMPLATE-GAS AVAILABILITY'!O262+N263*'RAP TEMPLATE-GAS AVAILABILITY'!P262+O263*'RAP TEMPLATE-GAS AVAILABILITY'!Q262+P263*'RAP TEMPLATE-GAS AVAILABILITY'!R262)/('RAP TEMPLATE-GAS AVAILABILITY'!O262+'RAP TEMPLATE-GAS AVAILABILITY'!P262+'RAP TEMPLATE-GAS AVAILABILITY'!Q262+'RAP TEMPLATE-GAS AVAILABILITY'!R262)</f>
        <v>8.0540928057553955</v>
      </c>
    </row>
    <row r="264" spans="1:29" ht="15.75" x14ac:dyDescent="0.25">
      <c r="A264" s="16">
        <v>49279</v>
      </c>
      <c r="B264" s="10">
        <f>CHOOSE(CONTROL!$C$42, 8.6611, 8.6611) * CHOOSE(CONTROL!$C$21, $C$9, 100%, $E$9)</f>
        <v>8.6610999999999994</v>
      </c>
      <c r="C264" s="10">
        <f>CHOOSE(CONTROL!$C$42, 8.6661, 8.6661) * CHOOSE(CONTROL!$C$21, $C$9, 100%, $E$9)</f>
        <v>8.6661000000000001</v>
      </c>
      <c r="D264" s="10">
        <f>CHOOSE(CONTROL!$C$42, 8.6957, 8.6957) * CHOOSE(CONTROL!$C$21, $C$9, 100%, $E$9)</f>
        <v>8.6957000000000004</v>
      </c>
      <c r="E264" s="10">
        <f>CHOOSE(CONTROL!$C$42, 8.7295, 8.7295) * CHOOSE(CONTROL!$C$21, $C$9, 100%, $E$9)</f>
        <v>8.7294999999999998</v>
      </c>
      <c r="F264" s="10">
        <f>CHOOSE(CONTROL!$C$42, 8.6484, 8.6484)*CHOOSE(CONTROL!$C$21, $C$9, 100%, $E$9)</f>
        <v>8.6484000000000005</v>
      </c>
      <c r="G264" s="10">
        <f>CHOOSE(CONTROL!$C$42, 8.6669, 8.6669)*CHOOSE(CONTROL!$C$21, $C$9, 100%, $E$9)</f>
        <v>8.6669</v>
      </c>
      <c r="H264" s="10">
        <f>CHOOSE(CONTROL!$C$42, 8.7187, 8.7187) * CHOOSE(CONTROL!$C$21, $C$9, 100%, $E$9)</f>
        <v>8.7187000000000001</v>
      </c>
      <c r="I264" s="10">
        <f>CHOOSE(CONTROL!$C$42, 8.6273, 8.6273)* CHOOSE(CONTROL!$C$21, $C$9, 100%, $E$9)</f>
        <v>8.6273</v>
      </c>
      <c r="J264" s="10">
        <f>CHOOSE(CONTROL!$C$42, 8.6414, 8.6414)* CHOOSE(CONTROL!$C$21, $C$9, 100%, $E$9)</f>
        <v>8.6414000000000009</v>
      </c>
      <c r="K264" s="54">
        <f>CHOOSE(CONTROL!$C$42, 8.6234, 8.6234) * CHOOSE(CONTROL!$C$21, $C$9, 100%, $E$9)</f>
        <v>8.6234000000000002</v>
      </c>
      <c r="L264" s="10">
        <f>CHOOSE(CONTROL!$C$42, 9.3057, 9.3057) * CHOOSE(CONTROL!$C$21, $C$9, 100%, $E$9)</f>
        <v>9.3056999999999999</v>
      </c>
      <c r="M264" s="10">
        <f>CHOOSE(CONTROL!$C$42, 8.5681, 8.5681) * CHOOSE(CONTROL!$C$21, $C$9, 100%, $E$9)</f>
        <v>8.5680999999999994</v>
      </c>
      <c r="N264" s="10">
        <f>CHOOSE(CONTROL!$C$42, 8.5863, 8.5863) * CHOOSE(CONTROL!$C$21, $C$9, 100%, $E$9)</f>
        <v>8.5862999999999996</v>
      </c>
      <c r="O264" s="10">
        <f>CHOOSE(CONTROL!$C$42, 8.6445, 8.6445) * CHOOSE(CONTROL!$C$21, $C$9, 100%, $E$9)</f>
        <v>8.6445000000000007</v>
      </c>
      <c r="P264" s="10">
        <f>CHOOSE(CONTROL!$C$42, 8.5541, 8.5541) * CHOOSE(CONTROL!$C$21, $C$9, 100%, $E$9)</f>
        <v>8.5541</v>
      </c>
      <c r="Q264" s="10">
        <f>CHOOSE(CONTROL!$C$42, 9.2398, 9.2398) * CHOOSE(CONTROL!$C$21, $C$9, 100%, $E$9)</f>
        <v>9.2398000000000007</v>
      </c>
      <c r="R264" s="10">
        <f>CHOOSE(CONTROL!$C$42, 9.8499, 9.8499) * CHOOSE(CONTROL!$C$21, $C$9, 100%, $E$9)</f>
        <v>9.8498999999999999</v>
      </c>
      <c r="S264" s="10">
        <f>CHOOSE(CONTROL!$C$42, 8.4087, 8.4087) * CHOOSE(CONTROL!$C$21, $C$9, 100%, $E$9)</f>
        <v>8.4086999999999996</v>
      </c>
      <c r="T264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264" s="58">
        <f>(1000*CHOOSE(CONTROL!$C$42, 695, 695)*CHOOSE(CONTROL!$C$42, 0.5599, 0.5599)*CHOOSE(CONTROL!$C$42, 31, 31))/1000000</f>
        <v>12.063045499999998</v>
      </c>
      <c r="V264" s="58">
        <f>(1000*CHOOSE(CONTROL!$C$42, 500, 500)*CHOOSE(CONTROL!$C$42, 0.275, 0.275)*CHOOSE(CONTROL!$C$42, 31, 31))/1000000</f>
        <v>4.2625000000000002</v>
      </c>
      <c r="W264" s="58">
        <f>(1000*CHOOSE(CONTROL!$C$42, 0.1146, 0.1146)*CHOOSE(CONTROL!$C$42, 121.5, 121.5)*CHOOSE(CONTROL!$C$42, 31, 31))/1000000</f>
        <v>0.43164089999999994</v>
      </c>
      <c r="X264" s="58">
        <f>(31*0.1790888*100000/1000000)+(31*0.2374*100000/1000000)</f>
        <v>1.2911152800000001</v>
      </c>
      <c r="Y264" s="58"/>
      <c r="Z264" s="10"/>
      <c r="AA264" s="57"/>
      <c r="AB264" s="51">
        <f>(B264*122.58+C264*297.941+D264*89.177+E264*40.302+F264*40+G264*160+H264*0+I264*100+J264*300)/(122.58+297.941+89.177+40.302+0+40+160+100+300)</f>
        <v>8.6597625095652155</v>
      </c>
      <c r="AC264" s="27">
        <f>(M264*'RAP TEMPLATE-GAS AVAILABILITY'!O263+N264*'RAP TEMPLATE-GAS AVAILABILITY'!P263+O264*'RAP TEMPLATE-GAS AVAILABILITY'!Q263+P264*'RAP TEMPLATE-GAS AVAILABILITY'!R263)/('RAP TEMPLATE-GAS AVAILABILITY'!O263+'RAP TEMPLATE-GAS AVAILABILITY'!P263+'RAP TEMPLATE-GAS AVAILABILITY'!Q263+'RAP TEMPLATE-GAS AVAILABILITY'!R263)</f>
        <v>8.601760431654677</v>
      </c>
    </row>
    <row r="265" spans="1:29" ht="15.75" x14ac:dyDescent="0.25">
      <c r="A265" s="16">
        <v>49310</v>
      </c>
      <c r="B265" s="10">
        <f>CHOOSE(CONTROL!$C$42, 9.2455, 9.2455) * CHOOSE(CONTROL!$C$21, $C$9, 100%, $E$9)</f>
        <v>9.2454999999999998</v>
      </c>
      <c r="C265" s="10">
        <f>CHOOSE(CONTROL!$C$42, 9.2505, 9.2505) * CHOOSE(CONTROL!$C$21, $C$9, 100%, $E$9)</f>
        <v>9.2505000000000006</v>
      </c>
      <c r="D265" s="10">
        <f>CHOOSE(CONTROL!$C$42, 9.3007, 9.3007) * CHOOSE(CONTROL!$C$21, $C$9, 100%, $E$9)</f>
        <v>9.3007000000000009</v>
      </c>
      <c r="E265" s="10">
        <f>CHOOSE(CONTROL!$C$42, 9.3344, 9.3344) * CHOOSE(CONTROL!$C$21, $C$9, 100%, $E$9)</f>
        <v>9.3344000000000005</v>
      </c>
      <c r="F265" s="10">
        <f>CHOOSE(CONTROL!$C$42, 9.2109, 9.2109)*CHOOSE(CONTROL!$C$21, $C$9, 100%, $E$9)</f>
        <v>9.2109000000000005</v>
      </c>
      <c r="G265" s="10">
        <f>CHOOSE(CONTROL!$C$42, 9.2284, 9.2284)*CHOOSE(CONTROL!$C$21, $C$9, 100%, $E$9)</f>
        <v>9.2284000000000006</v>
      </c>
      <c r="H265" s="10">
        <f>CHOOSE(CONTROL!$C$42, 9.3236, 9.3236) * CHOOSE(CONTROL!$C$21, $C$9, 100%, $E$9)</f>
        <v>9.3236000000000008</v>
      </c>
      <c r="I265" s="10">
        <f>CHOOSE(CONTROL!$C$42, 9.2194, 9.2194)* CHOOSE(CONTROL!$C$21, $C$9, 100%, $E$9)</f>
        <v>9.2194000000000003</v>
      </c>
      <c r="J265" s="10">
        <f>CHOOSE(CONTROL!$C$42, 9.2039, 9.2039)* CHOOSE(CONTROL!$C$21, $C$9, 100%, $E$9)</f>
        <v>9.2039000000000009</v>
      </c>
      <c r="K265" s="54">
        <f>CHOOSE(CONTROL!$C$42, 9.2155, 9.2155) * CHOOSE(CONTROL!$C$21, $C$9, 100%, $E$9)</f>
        <v>9.2155000000000005</v>
      </c>
      <c r="L265" s="10">
        <f>CHOOSE(CONTROL!$C$42, 9.9106, 9.9106) * CHOOSE(CONTROL!$C$21, $C$9, 100%, $E$9)</f>
        <v>9.9106000000000005</v>
      </c>
      <c r="M265" s="10">
        <f>CHOOSE(CONTROL!$C$42, 9.1248, 9.1248) * CHOOSE(CONTROL!$C$21, $C$9, 100%, $E$9)</f>
        <v>9.1248000000000005</v>
      </c>
      <c r="N265" s="10">
        <f>CHOOSE(CONTROL!$C$42, 9.1422, 9.1422) * CHOOSE(CONTROL!$C$21, $C$9, 100%, $E$9)</f>
        <v>9.1422000000000008</v>
      </c>
      <c r="O265" s="10">
        <f>CHOOSE(CONTROL!$C$42, 9.2434, 9.2434) * CHOOSE(CONTROL!$C$21, $C$9, 100%, $E$9)</f>
        <v>9.2433999999999994</v>
      </c>
      <c r="P265" s="10">
        <f>CHOOSE(CONTROL!$C$42, 9.1402, 9.1402) * CHOOSE(CONTROL!$C$21, $C$9, 100%, $E$9)</f>
        <v>9.1402000000000001</v>
      </c>
      <c r="Q265" s="10">
        <f>CHOOSE(CONTROL!$C$42, 9.8387, 9.8387) * CHOOSE(CONTROL!$C$21, $C$9, 100%, $E$9)</f>
        <v>9.8386999999999993</v>
      </c>
      <c r="R265" s="10">
        <f>CHOOSE(CONTROL!$C$42, 10.4503, 10.4503) * CHOOSE(CONTROL!$C$21, $C$9, 100%, $E$9)</f>
        <v>10.4503</v>
      </c>
      <c r="S265" s="10">
        <f>CHOOSE(CONTROL!$C$42, 8.9762, 8.9762) * CHOOSE(CONTROL!$C$21, $C$9, 100%, $E$9)</f>
        <v>8.9762000000000004</v>
      </c>
      <c r="T265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65" s="58">
        <f>(1000*CHOOSE(CONTROL!$C$42, 695, 695)*CHOOSE(CONTROL!$C$42, 0.5599, 0.5599)*CHOOSE(CONTROL!$C$42, 31, 31))/1000000</f>
        <v>12.063045499999998</v>
      </c>
      <c r="V265" s="58">
        <f>(1000*CHOOSE(CONTROL!$C$42, 500, 500)*CHOOSE(CONTROL!$C$42, 0.275, 0.275)*CHOOSE(CONTROL!$C$42, 31, 31))/1000000</f>
        <v>4.2625000000000002</v>
      </c>
      <c r="W265" s="58">
        <f>(1000*CHOOSE(CONTROL!$C$42, 0.1146, 0.1146)*CHOOSE(CONTROL!$C$42, 121.5, 121.5)*CHOOSE(CONTROL!$C$42, 31, 31))/1000000</f>
        <v>0.43164089999999994</v>
      </c>
      <c r="X265" s="58">
        <f>(31*0.1790888*100000/1000000)+(31*0.2374*100000/1000000)</f>
        <v>1.2911152800000001</v>
      </c>
      <c r="Y265" s="58"/>
      <c r="Z265" s="10"/>
      <c r="AA265" s="57"/>
      <c r="AB265" s="51">
        <f>(B265*122.58+C265*297.941+D265*89.177+E265*40.302+F265*40+G265*160+H265*0+I265*100+J265*300)/(122.58+297.941+89.177+40.302+0+40+160+100+300)</f>
        <v>9.2374870636521749</v>
      </c>
      <c r="AC265" s="27">
        <f>(M265*'RAP TEMPLATE-GAS AVAILABILITY'!O264+N265*'RAP TEMPLATE-GAS AVAILABILITY'!P264+O265*'RAP TEMPLATE-GAS AVAILABILITY'!Q264+P265*'RAP TEMPLATE-GAS AVAILABILITY'!R264)/('RAP TEMPLATE-GAS AVAILABILITY'!O264+'RAP TEMPLATE-GAS AVAILABILITY'!P264+'RAP TEMPLATE-GAS AVAILABILITY'!Q264+'RAP TEMPLATE-GAS AVAILABILITY'!R264)</f>
        <v>9.1817712230215829</v>
      </c>
    </row>
    <row r="266" spans="1:29" ht="15.75" x14ac:dyDescent="0.25">
      <c r="A266" s="16">
        <v>49341</v>
      </c>
      <c r="B266" s="10">
        <f>CHOOSE(CONTROL!$C$42, 9.41, 9.41) * CHOOSE(CONTROL!$C$21, $C$9, 100%, $E$9)</f>
        <v>9.41</v>
      </c>
      <c r="C266" s="10">
        <f>CHOOSE(CONTROL!$C$42, 9.415, 9.415) * CHOOSE(CONTROL!$C$21, $C$9, 100%, $E$9)</f>
        <v>9.4149999999999991</v>
      </c>
      <c r="D266" s="10">
        <f>CHOOSE(CONTROL!$C$42, 9.5321, 9.5321) * CHOOSE(CONTROL!$C$21, $C$9, 100%, $E$9)</f>
        <v>9.5320999999999998</v>
      </c>
      <c r="E266" s="10">
        <f>CHOOSE(CONTROL!$C$42, 9.5659, 9.5659) * CHOOSE(CONTROL!$C$21, $C$9, 100%, $E$9)</f>
        <v>9.5658999999999992</v>
      </c>
      <c r="F266" s="10">
        <f>CHOOSE(CONTROL!$C$42, 9.4876, 9.4876)*CHOOSE(CONTROL!$C$21, $C$9, 100%, $E$9)</f>
        <v>9.4876000000000005</v>
      </c>
      <c r="G266" s="10">
        <f>CHOOSE(CONTROL!$C$42, 9.5095, 9.5095)*CHOOSE(CONTROL!$C$21, $C$9, 100%, $E$9)</f>
        <v>9.5094999999999992</v>
      </c>
      <c r="H266" s="10">
        <f>CHOOSE(CONTROL!$C$42, 9.5551, 9.5551) * CHOOSE(CONTROL!$C$21, $C$9, 100%, $E$9)</f>
        <v>9.5550999999999995</v>
      </c>
      <c r="I266" s="10">
        <f>CHOOSE(CONTROL!$C$42, 9.4457, 9.4457)* CHOOSE(CONTROL!$C$21, $C$9, 100%, $E$9)</f>
        <v>9.4457000000000004</v>
      </c>
      <c r="J266" s="10">
        <f>CHOOSE(CONTROL!$C$42, 9.4806, 9.4806)* CHOOSE(CONTROL!$C$21, $C$9, 100%, $E$9)</f>
        <v>9.4806000000000008</v>
      </c>
      <c r="K266" s="54">
        <f>CHOOSE(CONTROL!$C$42, 9.4418, 9.4418) * CHOOSE(CONTROL!$C$21, $C$9, 100%, $E$9)</f>
        <v>9.4418000000000006</v>
      </c>
      <c r="L266" s="10">
        <f>CHOOSE(CONTROL!$C$42, 10.1421, 10.1421) * CHOOSE(CONTROL!$C$21, $C$9, 100%, $E$9)</f>
        <v>10.142099999999999</v>
      </c>
      <c r="M266" s="10">
        <f>CHOOSE(CONTROL!$C$42, 9.3988, 9.3988) * CHOOSE(CONTROL!$C$21, $C$9, 100%, $E$9)</f>
        <v>9.3987999999999996</v>
      </c>
      <c r="N266" s="10">
        <f>CHOOSE(CONTROL!$C$42, 9.4205, 9.4205) * CHOOSE(CONTROL!$C$21, $C$9, 100%, $E$9)</f>
        <v>9.4205000000000005</v>
      </c>
      <c r="O266" s="10">
        <f>CHOOSE(CONTROL!$C$42, 9.4725, 9.4725) * CHOOSE(CONTROL!$C$21, $C$9, 100%, $E$9)</f>
        <v>9.4725000000000001</v>
      </c>
      <c r="P266" s="10">
        <f>CHOOSE(CONTROL!$C$42, 9.3643, 9.3643) * CHOOSE(CONTROL!$C$21, $C$9, 100%, $E$9)</f>
        <v>9.3643000000000001</v>
      </c>
      <c r="Q266" s="10">
        <f>CHOOSE(CONTROL!$C$42, 10.0678, 10.0678) * CHOOSE(CONTROL!$C$21, $C$9, 100%, $E$9)</f>
        <v>10.0678</v>
      </c>
      <c r="R266" s="10">
        <f>CHOOSE(CONTROL!$C$42, 10.68, 10.68) * CHOOSE(CONTROL!$C$21, $C$9, 100%, $E$9)</f>
        <v>10.68</v>
      </c>
      <c r="S266" s="10">
        <f>CHOOSE(CONTROL!$C$42, 9.1359, 9.1359) * CHOOSE(CONTROL!$C$21, $C$9, 100%, $E$9)</f>
        <v>9.1358999999999995</v>
      </c>
      <c r="T266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266" s="58">
        <f>(1000*CHOOSE(CONTROL!$C$42, 695, 695)*CHOOSE(CONTROL!$C$42, 0.5599, 0.5599)*CHOOSE(CONTROL!$C$42, 28, 28))/1000000</f>
        <v>10.895653999999999</v>
      </c>
      <c r="V266" s="58">
        <f>(1000*CHOOSE(CONTROL!$C$42, 500, 500)*CHOOSE(CONTROL!$C$42, 0.275, 0.275)*CHOOSE(CONTROL!$C$42, 28, 28))/1000000</f>
        <v>3.85</v>
      </c>
      <c r="W266" s="58">
        <f>(1000*CHOOSE(CONTROL!$C$42, 0.1146, 0.1146)*CHOOSE(CONTROL!$C$42, 121.5, 121.5)*CHOOSE(CONTROL!$C$42, 28, 28))/1000000</f>
        <v>0.38986920000000003</v>
      </c>
      <c r="X266" s="58">
        <f>(28*0.1790888*100000/1000000)+(28*0.2374*100000/1000000)</f>
        <v>1.16616864</v>
      </c>
      <c r="Y266" s="58"/>
      <c r="Z266" s="10"/>
      <c r="AA266" s="57"/>
      <c r="AB266" s="51">
        <f>(B266*122.58+C266*297.941+D266*89.177+E266*40.302+F266*40+G266*160+H266*0+I266*100+J266*300)/(122.58+297.941+89.177+40.302+0+40+160+100+300)</f>
        <v>9.4642915639130418</v>
      </c>
      <c r="AC266" s="27">
        <f>(M266*'RAP TEMPLATE-GAS AVAILABILITY'!O265+N266*'RAP TEMPLATE-GAS AVAILABILITY'!P265+O266*'RAP TEMPLATE-GAS AVAILABILITY'!Q265+P266*'RAP TEMPLATE-GAS AVAILABILITY'!R265)/('RAP TEMPLATE-GAS AVAILABILITY'!O265+'RAP TEMPLATE-GAS AVAILABILITY'!P265+'RAP TEMPLATE-GAS AVAILABILITY'!Q265+'RAP TEMPLATE-GAS AVAILABILITY'!R265)</f>
        <v>9.4284884892086342</v>
      </c>
    </row>
    <row r="267" spans="1:29" ht="15.75" x14ac:dyDescent="0.25">
      <c r="A267" s="16">
        <v>49369</v>
      </c>
      <c r="B267" s="10">
        <f>CHOOSE(CONTROL!$C$42, 9.143, 9.143) * CHOOSE(CONTROL!$C$21, $C$9, 100%, $E$9)</f>
        <v>9.1430000000000007</v>
      </c>
      <c r="C267" s="10">
        <f>CHOOSE(CONTROL!$C$42, 9.1479, 9.1479) * CHOOSE(CONTROL!$C$21, $C$9, 100%, $E$9)</f>
        <v>9.1478999999999999</v>
      </c>
      <c r="D267" s="10">
        <f>CHOOSE(CONTROL!$C$42, 9.2393, 9.2393) * CHOOSE(CONTROL!$C$21, $C$9, 100%, $E$9)</f>
        <v>9.2393000000000001</v>
      </c>
      <c r="E267" s="10">
        <f>CHOOSE(CONTROL!$C$42, 9.2731, 9.2731) * CHOOSE(CONTROL!$C$21, $C$9, 100%, $E$9)</f>
        <v>9.2730999999999995</v>
      </c>
      <c r="F267" s="10">
        <f>CHOOSE(CONTROL!$C$42, 9.1728, 9.1728)*CHOOSE(CONTROL!$C$21, $C$9, 100%, $E$9)</f>
        <v>9.1728000000000005</v>
      </c>
      <c r="G267" s="10">
        <f>CHOOSE(CONTROL!$C$42, 9.1923, 9.1923)*CHOOSE(CONTROL!$C$21, $C$9, 100%, $E$9)</f>
        <v>9.1922999999999995</v>
      </c>
      <c r="H267" s="10">
        <f>CHOOSE(CONTROL!$C$42, 9.2623, 9.2623) * CHOOSE(CONTROL!$C$21, $C$9, 100%, $E$9)</f>
        <v>9.2622999999999998</v>
      </c>
      <c r="I267" s="10">
        <f>CHOOSE(CONTROL!$C$42, 9.1658, 9.1658)* CHOOSE(CONTROL!$C$21, $C$9, 100%, $E$9)</f>
        <v>9.1658000000000008</v>
      </c>
      <c r="J267" s="10">
        <f>CHOOSE(CONTROL!$C$42, 9.1658, 9.1658)* CHOOSE(CONTROL!$C$21, $C$9, 100%, $E$9)</f>
        <v>9.1658000000000008</v>
      </c>
      <c r="K267" s="54">
        <f>CHOOSE(CONTROL!$C$42, 9.1619, 9.1619) * CHOOSE(CONTROL!$C$21, $C$9, 100%, $E$9)</f>
        <v>9.1618999999999993</v>
      </c>
      <c r="L267" s="10">
        <f>CHOOSE(CONTROL!$C$42, 9.8493, 9.8493) * CHOOSE(CONTROL!$C$21, $C$9, 100%, $E$9)</f>
        <v>9.8492999999999995</v>
      </c>
      <c r="M267" s="10">
        <f>CHOOSE(CONTROL!$C$42, 9.0871, 9.0871) * CHOOSE(CONTROL!$C$21, $C$9, 100%, $E$9)</f>
        <v>9.0870999999999995</v>
      </c>
      <c r="N267" s="10">
        <f>CHOOSE(CONTROL!$C$42, 9.1064, 9.1064) * CHOOSE(CONTROL!$C$21, $C$9, 100%, $E$9)</f>
        <v>9.1064000000000007</v>
      </c>
      <c r="O267" s="10">
        <f>CHOOSE(CONTROL!$C$42, 9.1826, 9.1826) * CHOOSE(CONTROL!$C$21, $C$9, 100%, $E$9)</f>
        <v>9.1826000000000008</v>
      </c>
      <c r="P267" s="10">
        <f>CHOOSE(CONTROL!$C$42, 9.0871, 9.0871) * CHOOSE(CONTROL!$C$21, $C$9, 100%, $E$9)</f>
        <v>9.0870999999999995</v>
      </c>
      <c r="Q267" s="10">
        <f>CHOOSE(CONTROL!$C$42, 9.7779, 9.7779) * CHOOSE(CONTROL!$C$21, $C$9, 100%, $E$9)</f>
        <v>9.7779000000000007</v>
      </c>
      <c r="R267" s="10">
        <f>CHOOSE(CONTROL!$C$42, 10.3894, 10.3894) * CHOOSE(CONTROL!$C$21, $C$9, 100%, $E$9)</f>
        <v>10.3894</v>
      </c>
      <c r="S267" s="10">
        <f>CHOOSE(CONTROL!$C$42, 8.8766, 8.8766) * CHOOSE(CONTROL!$C$21, $C$9, 100%, $E$9)</f>
        <v>8.8765999999999998</v>
      </c>
      <c r="T267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67" s="58">
        <f>(1000*CHOOSE(CONTROL!$C$42, 695, 695)*CHOOSE(CONTROL!$C$42, 0.5599, 0.5599)*CHOOSE(CONTROL!$C$42, 31, 31))/1000000</f>
        <v>12.063045499999998</v>
      </c>
      <c r="V267" s="58">
        <f>(1000*CHOOSE(CONTROL!$C$42, 500, 500)*CHOOSE(CONTROL!$C$42, 0.275, 0.275)*CHOOSE(CONTROL!$C$42, 31, 31))/1000000</f>
        <v>4.2625000000000002</v>
      </c>
      <c r="W267" s="58">
        <f>(1000*CHOOSE(CONTROL!$C$42, 0.1146, 0.1146)*CHOOSE(CONTROL!$C$42, 121.5, 121.5)*CHOOSE(CONTROL!$C$42, 31, 31))/1000000</f>
        <v>0.43164089999999994</v>
      </c>
      <c r="X267" s="58">
        <f>(31*0.1790888*100000/1000000)+(31*0.2374*100000/1000000)</f>
        <v>1.2911152800000001</v>
      </c>
      <c r="Y267" s="58"/>
      <c r="Z267" s="10"/>
      <c r="AA267" s="57"/>
      <c r="AB267" s="51">
        <f>(B267*122.58+C267*297.941+D267*89.177+E267*40.302+F267*40+G267*160+H267*0+I267*100+J267*300)/(122.58+297.941+89.177+40.302+0+40+160+100+300)</f>
        <v>9.172122561913044</v>
      </c>
      <c r="AC267" s="27">
        <f>(M267*'RAP TEMPLATE-GAS AVAILABILITY'!O266+N267*'RAP TEMPLATE-GAS AVAILABILITY'!P266+O267*'RAP TEMPLATE-GAS AVAILABILITY'!Q266+P267*'RAP TEMPLATE-GAS AVAILABILITY'!R266)/('RAP TEMPLATE-GAS AVAILABILITY'!O266+'RAP TEMPLATE-GAS AVAILABILITY'!P266+'RAP TEMPLATE-GAS AVAILABILITY'!Q266+'RAP TEMPLATE-GAS AVAILABILITY'!R266)</f>
        <v>9.1314949640287768</v>
      </c>
    </row>
    <row r="268" spans="1:29" ht="15.75" x14ac:dyDescent="0.25">
      <c r="A268" s="16">
        <v>49400</v>
      </c>
      <c r="B268" s="10">
        <f>CHOOSE(CONTROL!$C$42, 9.1164, 9.1164) * CHOOSE(CONTROL!$C$21, $C$9, 100%, $E$9)</f>
        <v>9.1164000000000005</v>
      </c>
      <c r="C268" s="10">
        <f>CHOOSE(CONTROL!$C$42, 9.1207, 9.1207) * CHOOSE(CONTROL!$C$21, $C$9, 100%, $E$9)</f>
        <v>9.1206999999999994</v>
      </c>
      <c r="D268" s="10">
        <f>CHOOSE(CONTROL!$C$42, 9.3024, 9.3024) * CHOOSE(CONTROL!$C$21, $C$9, 100%, $E$9)</f>
        <v>9.3024000000000004</v>
      </c>
      <c r="E268" s="10">
        <f>CHOOSE(CONTROL!$C$42, 9.3342, 9.3342) * CHOOSE(CONTROL!$C$21, $C$9, 100%, $E$9)</f>
        <v>9.3341999999999992</v>
      </c>
      <c r="F268" s="10">
        <f>CHOOSE(CONTROL!$C$42, 9.1047, 9.1047)*CHOOSE(CONTROL!$C$21, $C$9, 100%, $E$9)</f>
        <v>9.1046999999999993</v>
      </c>
      <c r="G268" s="10">
        <f>CHOOSE(CONTROL!$C$42, 9.1227, 9.1227)*CHOOSE(CONTROL!$C$21, $C$9, 100%, $E$9)</f>
        <v>9.1227</v>
      </c>
      <c r="H268" s="10">
        <f>CHOOSE(CONTROL!$C$42, 9.324, 9.324) * CHOOSE(CONTROL!$C$21, $C$9, 100%, $E$9)</f>
        <v>9.3239999999999998</v>
      </c>
      <c r="I268" s="10">
        <f>CHOOSE(CONTROL!$C$42, 9.0946, 9.0946)* CHOOSE(CONTROL!$C$21, $C$9, 100%, $E$9)</f>
        <v>9.0945999999999998</v>
      </c>
      <c r="J268" s="10">
        <f>CHOOSE(CONTROL!$C$42, 9.0977, 9.0977)* CHOOSE(CONTROL!$C$21, $C$9, 100%, $E$9)</f>
        <v>9.0976999999999997</v>
      </c>
      <c r="K268" s="54">
        <f>CHOOSE(CONTROL!$C$42, 9.0907, 9.0907) * CHOOSE(CONTROL!$C$21, $C$9, 100%, $E$9)</f>
        <v>9.0907</v>
      </c>
      <c r="L268" s="10">
        <f>CHOOSE(CONTROL!$C$42, 9.911, 9.911) * CHOOSE(CONTROL!$C$21, $C$9, 100%, $E$9)</f>
        <v>9.9109999999999996</v>
      </c>
      <c r="M268" s="10">
        <f>CHOOSE(CONTROL!$C$42, 9.0197, 9.0197) * CHOOSE(CONTROL!$C$21, $C$9, 100%, $E$9)</f>
        <v>9.0197000000000003</v>
      </c>
      <c r="N268" s="10">
        <f>CHOOSE(CONTROL!$C$42, 9.0375, 9.0375) * CHOOSE(CONTROL!$C$21, $C$9, 100%, $E$9)</f>
        <v>9.0374999999999996</v>
      </c>
      <c r="O268" s="10">
        <f>CHOOSE(CONTROL!$C$42, 9.2437, 9.2437) * CHOOSE(CONTROL!$C$21, $C$9, 100%, $E$9)</f>
        <v>9.2437000000000005</v>
      </c>
      <c r="P268" s="10">
        <f>CHOOSE(CONTROL!$C$42, 9.0167, 9.0167) * CHOOSE(CONTROL!$C$21, $C$9, 100%, $E$9)</f>
        <v>9.0167000000000002</v>
      </c>
      <c r="Q268" s="10">
        <f>CHOOSE(CONTROL!$C$42, 9.839, 9.839) * CHOOSE(CONTROL!$C$21, $C$9, 100%, $E$9)</f>
        <v>9.8390000000000004</v>
      </c>
      <c r="R268" s="10">
        <f>CHOOSE(CONTROL!$C$42, 10.4506, 10.4506) * CHOOSE(CONTROL!$C$21, $C$9, 100%, $E$9)</f>
        <v>10.4506</v>
      </c>
      <c r="S268" s="10">
        <f>CHOOSE(CONTROL!$C$42, 8.85, 8.85) * CHOOSE(CONTROL!$C$21, $C$9, 100%, $E$9)</f>
        <v>8.85</v>
      </c>
      <c r="T268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68" s="58">
        <f>(1000*CHOOSE(CONTROL!$C$42, 695, 695)*CHOOSE(CONTROL!$C$42, 0.5599, 0.5599)*CHOOSE(CONTROL!$C$42, 30, 30))/1000000</f>
        <v>11.673914999999997</v>
      </c>
      <c r="V268" s="58">
        <f>(1000*CHOOSE(CONTROL!$C$42, 500, 500)*CHOOSE(CONTROL!$C$42, 0.275, 0.275)*CHOOSE(CONTROL!$C$42, 30, 30))/1000000</f>
        <v>4.125</v>
      </c>
      <c r="W268" s="58">
        <f>(1000*CHOOSE(CONTROL!$C$42, 0.1146, 0.1146)*CHOOSE(CONTROL!$C$42, 121.5, 121.5)*CHOOSE(CONTROL!$C$42, 30, 30))/1000000</f>
        <v>0.417717</v>
      </c>
      <c r="X268" s="58">
        <f>(30*0.1790888*245000/1000000)+(30*0.2374*100000/1000000)</f>
        <v>2.0285026799999999</v>
      </c>
      <c r="Y268" s="58"/>
      <c r="Z268" s="10"/>
      <c r="AA268" s="57"/>
      <c r="AB268" s="51">
        <f>(B268*141.293+C268*267.993+D268*115.016+E268*89.698+F268*40+G268*185+H268*0+I268*100+J268*300)/(141.293+267.993+115.016+89.698+0+40+185+100+300)</f>
        <v>9.1446397661824044</v>
      </c>
      <c r="AC268" s="27">
        <f>(M268*'RAP TEMPLATE-GAS AVAILABILITY'!O267+N268*'RAP TEMPLATE-GAS AVAILABILITY'!P267+O268*'RAP TEMPLATE-GAS AVAILABILITY'!Q267+P268*'RAP TEMPLATE-GAS AVAILABILITY'!R267)/('RAP TEMPLATE-GAS AVAILABILITY'!O267+'RAP TEMPLATE-GAS AVAILABILITY'!P267+'RAP TEMPLATE-GAS AVAILABILITY'!Q267+'RAP TEMPLATE-GAS AVAILABILITY'!R267)</f>
        <v>9.0862151079136684</v>
      </c>
    </row>
    <row r="269" spans="1:29" ht="15.75" x14ac:dyDescent="0.25">
      <c r="A269" s="16">
        <v>49430</v>
      </c>
      <c r="B269" s="10">
        <f>CHOOSE(CONTROL!$C$42, 9.1986, 9.1986) * CHOOSE(CONTROL!$C$21, $C$9, 100%, $E$9)</f>
        <v>9.1986000000000008</v>
      </c>
      <c r="C269" s="10">
        <f>CHOOSE(CONTROL!$C$42, 9.2065, 9.2065) * CHOOSE(CONTROL!$C$21, $C$9, 100%, $E$9)</f>
        <v>9.2065000000000001</v>
      </c>
      <c r="D269" s="10">
        <f>CHOOSE(CONTROL!$C$42, 9.385, 9.385) * CHOOSE(CONTROL!$C$21, $C$9, 100%, $E$9)</f>
        <v>9.3849999999999998</v>
      </c>
      <c r="E269" s="10">
        <f>CHOOSE(CONTROL!$C$42, 9.4162, 9.4162) * CHOOSE(CONTROL!$C$21, $C$9, 100%, $E$9)</f>
        <v>9.4161999999999999</v>
      </c>
      <c r="F269" s="10">
        <f>CHOOSE(CONTROL!$C$42, 9.1848, 9.1848)*CHOOSE(CONTROL!$C$21, $C$9, 100%, $E$9)</f>
        <v>9.1847999999999992</v>
      </c>
      <c r="G269" s="10">
        <f>CHOOSE(CONTROL!$C$42, 9.2029, 9.2029)*CHOOSE(CONTROL!$C$21, $C$9, 100%, $E$9)</f>
        <v>9.2028999999999996</v>
      </c>
      <c r="H269" s="10">
        <f>CHOOSE(CONTROL!$C$42, 9.4048, 9.4048) * CHOOSE(CONTROL!$C$21, $C$9, 100%, $E$9)</f>
        <v>9.4047999999999998</v>
      </c>
      <c r="I269" s="10">
        <f>CHOOSE(CONTROL!$C$42, 9.1755, 9.1755)* CHOOSE(CONTROL!$C$21, $C$9, 100%, $E$9)</f>
        <v>9.1754999999999995</v>
      </c>
      <c r="J269" s="10">
        <f>CHOOSE(CONTROL!$C$42, 9.1778, 9.1778)* CHOOSE(CONTROL!$C$21, $C$9, 100%, $E$9)</f>
        <v>9.1777999999999995</v>
      </c>
      <c r="K269" s="54">
        <f>CHOOSE(CONTROL!$C$42, 9.1716, 9.1716) * CHOOSE(CONTROL!$C$21, $C$9, 100%, $E$9)</f>
        <v>9.1715999999999998</v>
      </c>
      <c r="L269" s="10">
        <f>CHOOSE(CONTROL!$C$42, 9.9918, 9.9918) * CHOOSE(CONTROL!$C$21, $C$9, 100%, $E$9)</f>
        <v>9.9917999999999996</v>
      </c>
      <c r="M269" s="10">
        <f>CHOOSE(CONTROL!$C$42, 9.099, 9.099) * CHOOSE(CONTROL!$C$21, $C$9, 100%, $E$9)</f>
        <v>9.0990000000000002</v>
      </c>
      <c r="N269" s="10">
        <f>CHOOSE(CONTROL!$C$42, 9.117, 9.117) * CHOOSE(CONTROL!$C$21, $C$9, 100%, $E$9)</f>
        <v>9.1170000000000009</v>
      </c>
      <c r="O269" s="10">
        <f>CHOOSE(CONTROL!$C$42, 9.3237, 9.3237) * CHOOSE(CONTROL!$C$21, $C$9, 100%, $E$9)</f>
        <v>9.3237000000000005</v>
      </c>
      <c r="P269" s="10">
        <f>CHOOSE(CONTROL!$C$42, 9.0967, 9.0967) * CHOOSE(CONTROL!$C$21, $C$9, 100%, $E$9)</f>
        <v>9.0967000000000002</v>
      </c>
      <c r="Q269" s="10">
        <f>CHOOSE(CONTROL!$C$42, 9.919, 9.919) * CHOOSE(CONTROL!$C$21, $C$9, 100%, $E$9)</f>
        <v>9.9190000000000005</v>
      </c>
      <c r="R269" s="10">
        <f>CHOOSE(CONTROL!$C$42, 10.5308, 10.5308) * CHOOSE(CONTROL!$C$21, $C$9, 100%, $E$9)</f>
        <v>10.530799999999999</v>
      </c>
      <c r="S269" s="10">
        <f>CHOOSE(CONTROL!$C$42, 8.9285, 8.9285) * CHOOSE(CONTROL!$C$21, $C$9, 100%, $E$9)</f>
        <v>8.9284999999999997</v>
      </c>
      <c r="T269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269" s="58">
        <f>(1000*CHOOSE(CONTROL!$C$42, 695, 695)*CHOOSE(CONTROL!$C$42, 0.5599, 0.5599)*CHOOSE(CONTROL!$C$42, 31, 31))/1000000</f>
        <v>12.063045499999998</v>
      </c>
      <c r="V269" s="58">
        <f>(1000*CHOOSE(CONTROL!$C$42, 500, 500)*CHOOSE(CONTROL!$C$42, 0.275, 0.275)*CHOOSE(CONTROL!$C$42, 31, 31))/1000000</f>
        <v>4.2625000000000002</v>
      </c>
      <c r="W269" s="58">
        <f>(1000*CHOOSE(CONTROL!$C$42, 0.1146, 0.1146)*CHOOSE(CONTROL!$C$42, 121.5, 121.5)*CHOOSE(CONTROL!$C$42, 31, 31))/1000000</f>
        <v>0.43164089999999994</v>
      </c>
      <c r="X269" s="58">
        <f>(31*0.1790888*245000/1000000)+(31*0.2374*100000/1000000)</f>
        <v>2.0961194359999999</v>
      </c>
      <c r="Y269" s="58"/>
      <c r="Z269" s="10"/>
      <c r="AA269" s="57"/>
      <c r="AB269" s="51">
        <f>(B269*194.205+C269*267.466+D269*133.845+E269*53.484+F269*40+G269*185+H269*0+I269*100+J269*300)/(194.205+267.466+133.845+53.484+0+40+185+100+300)</f>
        <v>9.2224565995290426</v>
      </c>
      <c r="AC269" s="27">
        <f>(M269*'RAP TEMPLATE-GAS AVAILABILITY'!O268+N269*'RAP TEMPLATE-GAS AVAILABILITY'!P268+O269*'RAP TEMPLATE-GAS AVAILABILITY'!Q268+P269*'RAP TEMPLATE-GAS AVAILABILITY'!R268)/('RAP TEMPLATE-GAS AVAILABILITY'!O268+'RAP TEMPLATE-GAS AVAILABILITY'!P268+'RAP TEMPLATE-GAS AVAILABILITY'!Q268+'RAP TEMPLATE-GAS AVAILABILITY'!R268)</f>
        <v>9.1658582733812963</v>
      </c>
    </row>
    <row r="270" spans="1:29" ht="15.75" x14ac:dyDescent="0.25">
      <c r="A270" s="15">
        <v>49461</v>
      </c>
      <c r="B270" s="10">
        <f>CHOOSE(CONTROL!$C$42, 9.4594, 9.4594) * CHOOSE(CONTROL!$C$21, $C$9, 100%, $E$9)</f>
        <v>9.4594000000000005</v>
      </c>
      <c r="C270" s="10">
        <f>CHOOSE(CONTROL!$C$42, 9.4673, 9.4673) * CHOOSE(CONTROL!$C$21, $C$9, 100%, $E$9)</f>
        <v>9.4672999999999998</v>
      </c>
      <c r="D270" s="10">
        <f>CHOOSE(CONTROL!$C$42, 9.6458, 9.6458) * CHOOSE(CONTROL!$C$21, $C$9, 100%, $E$9)</f>
        <v>9.6457999999999995</v>
      </c>
      <c r="E270" s="10">
        <f>CHOOSE(CONTROL!$C$42, 9.6769, 9.6769) * CHOOSE(CONTROL!$C$21, $C$9, 100%, $E$9)</f>
        <v>9.6768999999999998</v>
      </c>
      <c r="F270" s="10">
        <f>CHOOSE(CONTROL!$C$42, 9.4458, 9.4458)*CHOOSE(CONTROL!$C$21, $C$9, 100%, $E$9)</f>
        <v>9.4458000000000002</v>
      </c>
      <c r="G270" s="10">
        <f>CHOOSE(CONTROL!$C$42, 9.464, 9.464)*CHOOSE(CONTROL!$C$21, $C$9, 100%, $E$9)</f>
        <v>9.4640000000000004</v>
      </c>
      <c r="H270" s="10">
        <f>CHOOSE(CONTROL!$C$42, 9.6656, 9.6656) * CHOOSE(CONTROL!$C$21, $C$9, 100%, $E$9)</f>
        <v>9.6655999999999995</v>
      </c>
      <c r="I270" s="10">
        <f>CHOOSE(CONTROL!$C$42, 9.4362, 9.4362)* CHOOSE(CONTROL!$C$21, $C$9, 100%, $E$9)</f>
        <v>9.4361999999999995</v>
      </c>
      <c r="J270" s="10">
        <f>CHOOSE(CONTROL!$C$42, 9.4388, 9.4388)* CHOOSE(CONTROL!$C$21, $C$9, 100%, $E$9)</f>
        <v>9.4388000000000005</v>
      </c>
      <c r="K270" s="54">
        <f>CHOOSE(CONTROL!$C$42, 9.4323, 9.4323) * CHOOSE(CONTROL!$C$21, $C$9, 100%, $E$9)</f>
        <v>9.4322999999999997</v>
      </c>
      <c r="L270" s="10">
        <f>CHOOSE(CONTROL!$C$42, 10.2526, 10.2526) * CHOOSE(CONTROL!$C$21, $C$9, 100%, $E$9)</f>
        <v>10.252599999999999</v>
      </c>
      <c r="M270" s="10">
        <f>CHOOSE(CONTROL!$C$42, 9.3574, 9.3574) * CHOOSE(CONTROL!$C$21, $C$9, 100%, $E$9)</f>
        <v>9.3574000000000002</v>
      </c>
      <c r="N270" s="10">
        <f>CHOOSE(CONTROL!$C$42, 9.3754, 9.3754) * CHOOSE(CONTROL!$C$21, $C$9, 100%, $E$9)</f>
        <v>9.3754000000000008</v>
      </c>
      <c r="O270" s="10">
        <f>CHOOSE(CONTROL!$C$42, 9.5819, 9.5819) * CHOOSE(CONTROL!$C$21, $C$9, 100%, $E$9)</f>
        <v>9.5818999999999992</v>
      </c>
      <c r="P270" s="10">
        <f>CHOOSE(CONTROL!$C$42, 9.3549, 9.3549) * CHOOSE(CONTROL!$C$21, $C$9, 100%, $E$9)</f>
        <v>9.3549000000000007</v>
      </c>
      <c r="Q270" s="10">
        <f>CHOOSE(CONTROL!$C$42, 10.1772, 10.1772) * CHOOSE(CONTROL!$C$21, $C$9, 100%, $E$9)</f>
        <v>10.177199999999999</v>
      </c>
      <c r="R270" s="10">
        <f>CHOOSE(CONTROL!$C$42, 10.7896, 10.7896) * CHOOSE(CONTROL!$C$21, $C$9, 100%, $E$9)</f>
        <v>10.7896</v>
      </c>
      <c r="S270" s="10">
        <f>CHOOSE(CONTROL!$C$42, 9.1817, 9.1817) * CHOOSE(CONTROL!$C$21, $C$9, 100%, $E$9)</f>
        <v>9.1816999999999993</v>
      </c>
      <c r="T270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270" s="58">
        <f>(1000*CHOOSE(CONTROL!$C$42, 695, 695)*CHOOSE(CONTROL!$C$42, 0.5599, 0.5599)*CHOOSE(CONTROL!$C$42, 30, 30))/1000000</f>
        <v>11.673914999999997</v>
      </c>
      <c r="V270" s="58">
        <f>(1000*CHOOSE(CONTROL!$C$42, 500, 500)*CHOOSE(CONTROL!$C$42, 0.275, 0.275)*CHOOSE(CONTROL!$C$42, 30, 30))/1000000</f>
        <v>4.125</v>
      </c>
      <c r="W270" s="58">
        <f>(1000*CHOOSE(CONTROL!$C$42, 0.1146, 0.1146)*CHOOSE(CONTROL!$C$42, 121.5, 121.5)*CHOOSE(CONTROL!$C$42, 30, 30))/1000000</f>
        <v>0.417717</v>
      </c>
      <c r="X270" s="58">
        <f>(30*0.1790888*245000/1000000)+(30*0.2374*100000/1000000)</f>
        <v>2.0285026799999999</v>
      </c>
      <c r="Y270" s="58"/>
      <c r="Z270" s="10"/>
      <c r="AA270" s="57"/>
      <c r="AB270" s="51">
        <f>(B270*194.205+C270*267.466+D270*133.845+E270*53.484+F270*40+G270*185+H270*0+I270*100+J270*300)/(194.205+267.466+133.845+53.484+0+40+185+100+300)</f>
        <v>9.4833414908948193</v>
      </c>
      <c r="AC270" s="27">
        <f>(M270*'RAP TEMPLATE-GAS AVAILABILITY'!O269+N270*'RAP TEMPLATE-GAS AVAILABILITY'!P269+O270*'RAP TEMPLATE-GAS AVAILABILITY'!Q269+P270*'RAP TEMPLATE-GAS AVAILABILITY'!R269)/('RAP TEMPLATE-GAS AVAILABILITY'!O269+'RAP TEMPLATE-GAS AVAILABILITY'!P269+'RAP TEMPLATE-GAS AVAILABILITY'!Q269+'RAP TEMPLATE-GAS AVAILABILITY'!R269)</f>
        <v>9.4241733812949633</v>
      </c>
    </row>
    <row r="271" spans="1:29" ht="15.75" x14ac:dyDescent="0.25">
      <c r="A271" s="15">
        <v>49491</v>
      </c>
      <c r="B271" s="10">
        <f>CHOOSE(CONTROL!$C$42, 9.278, 9.278) * CHOOSE(CONTROL!$C$21, $C$9, 100%, $E$9)</f>
        <v>9.2780000000000005</v>
      </c>
      <c r="C271" s="10">
        <f>CHOOSE(CONTROL!$C$42, 9.2859, 9.2859) * CHOOSE(CONTROL!$C$21, $C$9, 100%, $E$9)</f>
        <v>9.2858999999999998</v>
      </c>
      <c r="D271" s="10">
        <f>CHOOSE(CONTROL!$C$42, 9.4644, 9.4644) * CHOOSE(CONTROL!$C$21, $C$9, 100%, $E$9)</f>
        <v>9.4643999999999995</v>
      </c>
      <c r="E271" s="10">
        <f>CHOOSE(CONTROL!$C$42, 9.4956, 9.4956) * CHOOSE(CONTROL!$C$21, $C$9, 100%, $E$9)</f>
        <v>9.4955999999999996</v>
      </c>
      <c r="F271" s="10">
        <f>CHOOSE(CONTROL!$C$42, 9.2647, 9.2647)*CHOOSE(CONTROL!$C$21, $C$9, 100%, $E$9)</f>
        <v>9.2646999999999995</v>
      </c>
      <c r="G271" s="10">
        <f>CHOOSE(CONTROL!$C$42, 9.283, 9.283)*CHOOSE(CONTROL!$C$21, $C$9, 100%, $E$9)</f>
        <v>9.2829999999999995</v>
      </c>
      <c r="H271" s="10">
        <f>CHOOSE(CONTROL!$C$42, 9.4842, 9.4842) * CHOOSE(CONTROL!$C$21, $C$9, 100%, $E$9)</f>
        <v>9.4841999999999995</v>
      </c>
      <c r="I271" s="10">
        <f>CHOOSE(CONTROL!$C$42, 9.2549, 9.2549)* CHOOSE(CONTROL!$C$21, $C$9, 100%, $E$9)</f>
        <v>9.2548999999999992</v>
      </c>
      <c r="J271" s="10">
        <f>CHOOSE(CONTROL!$C$42, 9.2577, 9.2577)* CHOOSE(CONTROL!$C$21, $C$9, 100%, $E$9)</f>
        <v>9.2576999999999998</v>
      </c>
      <c r="K271" s="54">
        <f>CHOOSE(CONTROL!$C$42, 9.251, 9.251) * CHOOSE(CONTROL!$C$21, $C$9, 100%, $E$9)</f>
        <v>9.2509999999999994</v>
      </c>
      <c r="L271" s="10">
        <f>CHOOSE(CONTROL!$C$42, 10.0712, 10.0712) * CHOOSE(CONTROL!$C$21, $C$9, 100%, $E$9)</f>
        <v>10.071199999999999</v>
      </c>
      <c r="M271" s="10">
        <f>CHOOSE(CONTROL!$C$42, 9.1781, 9.1781) * CHOOSE(CONTROL!$C$21, $C$9, 100%, $E$9)</f>
        <v>9.1781000000000006</v>
      </c>
      <c r="N271" s="10">
        <f>CHOOSE(CONTROL!$C$42, 9.1962, 9.1962) * CHOOSE(CONTROL!$C$21, $C$9, 100%, $E$9)</f>
        <v>9.1961999999999993</v>
      </c>
      <c r="O271" s="10">
        <f>CHOOSE(CONTROL!$C$42, 9.4023, 9.4023) * CHOOSE(CONTROL!$C$21, $C$9, 100%, $E$9)</f>
        <v>9.4023000000000003</v>
      </c>
      <c r="P271" s="10">
        <f>CHOOSE(CONTROL!$C$42, 9.1753, 9.1753) * CHOOSE(CONTROL!$C$21, $C$9, 100%, $E$9)</f>
        <v>9.1753</v>
      </c>
      <c r="Q271" s="10">
        <f>CHOOSE(CONTROL!$C$42, 9.9976, 9.9976) * CHOOSE(CONTROL!$C$21, $C$9, 100%, $E$9)</f>
        <v>9.9976000000000003</v>
      </c>
      <c r="R271" s="10">
        <f>CHOOSE(CONTROL!$C$42, 10.6096, 10.6096) * CHOOSE(CONTROL!$C$21, $C$9, 100%, $E$9)</f>
        <v>10.6096</v>
      </c>
      <c r="S271" s="10">
        <f>CHOOSE(CONTROL!$C$42, 9.0056, 9.0056) * CHOOSE(CONTROL!$C$21, $C$9, 100%, $E$9)</f>
        <v>9.0055999999999994</v>
      </c>
      <c r="T271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271" s="58">
        <f>(1000*CHOOSE(CONTROL!$C$42, 695, 695)*CHOOSE(CONTROL!$C$42, 0.5599, 0.5599)*CHOOSE(CONTROL!$C$42, 31, 31))/1000000</f>
        <v>12.063045499999998</v>
      </c>
      <c r="V271" s="58">
        <f>(1000*CHOOSE(CONTROL!$C$42, 500, 500)*CHOOSE(CONTROL!$C$42, 0.275, 0.275)*CHOOSE(CONTROL!$C$42, 31, 31))/1000000</f>
        <v>4.2625000000000002</v>
      </c>
      <c r="W271" s="58">
        <f>(1000*CHOOSE(CONTROL!$C$42, 0.1146, 0.1146)*CHOOSE(CONTROL!$C$42, 121.5, 121.5)*CHOOSE(CONTROL!$C$42, 31, 31))/1000000</f>
        <v>0.43164089999999994</v>
      </c>
      <c r="X271" s="58">
        <f>(31*0.1790888*245000/1000000)+(31*0.2374*100000/1000000)</f>
        <v>2.0961194359999999</v>
      </c>
      <c r="Y271" s="58"/>
      <c r="Z271" s="10"/>
      <c r="AA271" s="57"/>
      <c r="AB271" s="51">
        <f>(B271*194.205+C271*267.466+D271*133.845+E271*53.484+F271*40+G271*185+H271*0+I271*100+J271*300)/(194.205+267.466+133.845+53.484+0+40+185+100+300)</f>
        <v>9.3020916858712699</v>
      </c>
      <c r="AC271" s="27">
        <f>(M271*'RAP TEMPLATE-GAS AVAILABILITY'!O270+N271*'RAP TEMPLATE-GAS AVAILABILITY'!P270+O271*'RAP TEMPLATE-GAS AVAILABILITY'!Q270+P271*'RAP TEMPLATE-GAS AVAILABILITY'!R270)/('RAP TEMPLATE-GAS AVAILABILITY'!O270+'RAP TEMPLATE-GAS AVAILABILITY'!P270+'RAP TEMPLATE-GAS AVAILABILITY'!Q270+'RAP TEMPLATE-GAS AVAILABILITY'!R270)</f>
        <v>9.2447690647482013</v>
      </c>
    </row>
    <row r="272" spans="1:29" ht="15.75" x14ac:dyDescent="0.25">
      <c r="A272" s="15">
        <v>49522</v>
      </c>
      <c r="B272" s="10">
        <f>CHOOSE(CONTROL!$C$42, 8.82, 8.82) * CHOOSE(CONTROL!$C$21, $C$9, 100%, $E$9)</f>
        <v>8.82</v>
      </c>
      <c r="C272" s="10">
        <f>CHOOSE(CONTROL!$C$42, 8.8279, 8.8279) * CHOOSE(CONTROL!$C$21, $C$9, 100%, $E$9)</f>
        <v>8.8278999999999996</v>
      </c>
      <c r="D272" s="10">
        <f>CHOOSE(CONTROL!$C$42, 9.0064, 9.0064) * CHOOSE(CONTROL!$C$21, $C$9, 100%, $E$9)</f>
        <v>9.0063999999999993</v>
      </c>
      <c r="E272" s="10">
        <f>CHOOSE(CONTROL!$C$42, 9.0376, 9.0376) * CHOOSE(CONTROL!$C$21, $C$9, 100%, $E$9)</f>
        <v>9.0375999999999994</v>
      </c>
      <c r="F272" s="10">
        <f>CHOOSE(CONTROL!$C$42, 8.8066, 8.8066)*CHOOSE(CONTROL!$C$21, $C$9, 100%, $E$9)</f>
        <v>8.8065999999999995</v>
      </c>
      <c r="G272" s="10">
        <f>CHOOSE(CONTROL!$C$42, 8.8249, 8.8249)*CHOOSE(CONTROL!$C$21, $C$9, 100%, $E$9)</f>
        <v>8.8248999999999995</v>
      </c>
      <c r="H272" s="10">
        <f>CHOOSE(CONTROL!$C$42, 9.0262, 9.0262) * CHOOSE(CONTROL!$C$21, $C$9, 100%, $E$9)</f>
        <v>9.0261999999999993</v>
      </c>
      <c r="I272" s="10">
        <f>CHOOSE(CONTROL!$C$42, 8.7968, 8.7968)* CHOOSE(CONTROL!$C$21, $C$9, 100%, $E$9)</f>
        <v>8.7967999999999993</v>
      </c>
      <c r="J272" s="10">
        <f>CHOOSE(CONTROL!$C$42, 8.7996, 8.7996)* CHOOSE(CONTROL!$C$21, $C$9, 100%, $E$9)</f>
        <v>8.7995999999999999</v>
      </c>
      <c r="K272" s="54">
        <f>CHOOSE(CONTROL!$C$42, 8.793, 8.793) * CHOOSE(CONTROL!$C$21, $C$9, 100%, $E$9)</f>
        <v>8.7929999999999993</v>
      </c>
      <c r="L272" s="10">
        <f>CHOOSE(CONTROL!$C$42, 9.6132, 9.6132) * CHOOSE(CONTROL!$C$21, $C$9, 100%, $E$9)</f>
        <v>9.6132000000000009</v>
      </c>
      <c r="M272" s="10">
        <f>CHOOSE(CONTROL!$C$42, 8.7246, 8.7246) * CHOOSE(CONTROL!$C$21, $C$9, 100%, $E$9)</f>
        <v>8.7246000000000006</v>
      </c>
      <c r="N272" s="10">
        <f>CHOOSE(CONTROL!$C$42, 8.7428, 8.7428) * CHOOSE(CONTROL!$C$21, $C$9, 100%, $E$9)</f>
        <v>8.7428000000000008</v>
      </c>
      <c r="O272" s="10">
        <f>CHOOSE(CONTROL!$C$42, 8.9489, 8.9489) * CHOOSE(CONTROL!$C$21, $C$9, 100%, $E$9)</f>
        <v>8.9489000000000001</v>
      </c>
      <c r="P272" s="10">
        <f>CHOOSE(CONTROL!$C$42, 8.7219, 8.7219) * CHOOSE(CONTROL!$C$21, $C$9, 100%, $E$9)</f>
        <v>8.7218999999999998</v>
      </c>
      <c r="Q272" s="10">
        <f>CHOOSE(CONTROL!$C$42, 9.5442, 9.5442) * CHOOSE(CONTROL!$C$21, $C$9, 100%, $E$9)</f>
        <v>9.5442</v>
      </c>
      <c r="R272" s="10">
        <f>CHOOSE(CONTROL!$C$42, 10.1551, 10.1551) * CHOOSE(CONTROL!$C$21, $C$9, 100%, $E$9)</f>
        <v>10.155099999999999</v>
      </c>
      <c r="S272" s="10">
        <f>CHOOSE(CONTROL!$C$42, 8.5608, 8.5608) * CHOOSE(CONTROL!$C$21, $C$9, 100%, $E$9)</f>
        <v>8.5608000000000004</v>
      </c>
      <c r="T272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72" s="58">
        <f>(1000*CHOOSE(CONTROL!$C$42, 695, 695)*CHOOSE(CONTROL!$C$42, 0.5599, 0.5599)*CHOOSE(CONTROL!$C$42, 31, 31))/1000000</f>
        <v>12.063045499999998</v>
      </c>
      <c r="V272" s="58">
        <f>(1000*CHOOSE(CONTROL!$C$42, 500, 500)*CHOOSE(CONTROL!$C$42, 0.275, 0.275)*CHOOSE(CONTROL!$C$42, 31, 31))/1000000</f>
        <v>4.2625000000000002</v>
      </c>
      <c r="W272" s="58">
        <f>(1000*CHOOSE(CONTROL!$C$42, 0.1146, 0.1146)*CHOOSE(CONTROL!$C$42, 121.5, 121.5)*CHOOSE(CONTROL!$C$42, 31, 31))/1000000</f>
        <v>0.43164089999999994</v>
      </c>
      <c r="X272" s="58">
        <f>(31*0.1790888*245000/1000000)+(31*0.2374*100000/1000000)</f>
        <v>2.0961194359999999</v>
      </c>
      <c r="Y272" s="58"/>
      <c r="Z272" s="10"/>
      <c r="AA272" s="57"/>
      <c r="AB272" s="51">
        <f>(B272*194.205+C272*267.466+D272*133.845+E272*53.484+F272*40+G272*185+H272*0+I272*100+J272*300)/(194.205+267.466+133.845+53.484+0+40+185+100+300)</f>
        <v>8.8440426277864983</v>
      </c>
      <c r="AC272" s="27">
        <f>(M272*'RAP TEMPLATE-GAS AVAILABILITY'!O271+N272*'RAP TEMPLATE-GAS AVAILABILITY'!P271+O272*'RAP TEMPLATE-GAS AVAILABILITY'!Q271+P272*'RAP TEMPLATE-GAS AVAILABILITY'!R271)/('RAP TEMPLATE-GAS AVAILABILITY'!O271+'RAP TEMPLATE-GAS AVAILABILITY'!P271+'RAP TEMPLATE-GAS AVAILABILITY'!Q271+'RAP TEMPLATE-GAS AVAILABILITY'!R271)</f>
        <v>8.7913345323741012</v>
      </c>
    </row>
    <row r="273" spans="1:29" ht="15.75" x14ac:dyDescent="0.25">
      <c r="A273" s="15">
        <v>49553</v>
      </c>
      <c r="B273" s="10">
        <f>CHOOSE(CONTROL!$C$42, 8.2604, 8.2604) * CHOOSE(CONTROL!$C$21, $C$9, 100%, $E$9)</f>
        <v>8.2604000000000006</v>
      </c>
      <c r="C273" s="10">
        <f>CHOOSE(CONTROL!$C$42, 8.2683, 8.2683) * CHOOSE(CONTROL!$C$21, $C$9, 100%, $E$9)</f>
        <v>8.2683</v>
      </c>
      <c r="D273" s="10">
        <f>CHOOSE(CONTROL!$C$42, 8.4468, 8.4468) * CHOOSE(CONTROL!$C$21, $C$9, 100%, $E$9)</f>
        <v>8.4467999999999996</v>
      </c>
      <c r="E273" s="10">
        <f>CHOOSE(CONTROL!$C$42, 8.478, 8.478) * CHOOSE(CONTROL!$C$21, $C$9, 100%, $E$9)</f>
        <v>8.4779999999999998</v>
      </c>
      <c r="F273" s="10">
        <f>CHOOSE(CONTROL!$C$42, 8.2467, 8.2467)*CHOOSE(CONTROL!$C$21, $C$9, 100%, $E$9)</f>
        <v>8.2467000000000006</v>
      </c>
      <c r="G273" s="10">
        <f>CHOOSE(CONTROL!$C$42, 8.265, 8.265)*CHOOSE(CONTROL!$C$21, $C$9, 100%, $E$9)</f>
        <v>8.2650000000000006</v>
      </c>
      <c r="H273" s="10">
        <f>CHOOSE(CONTROL!$C$42, 8.4666, 8.4666) * CHOOSE(CONTROL!$C$21, $C$9, 100%, $E$9)</f>
        <v>8.4665999999999997</v>
      </c>
      <c r="I273" s="10">
        <f>CHOOSE(CONTROL!$C$42, 8.2372, 8.2372)* CHOOSE(CONTROL!$C$21, $C$9, 100%, $E$9)</f>
        <v>8.2371999999999996</v>
      </c>
      <c r="J273" s="10">
        <f>CHOOSE(CONTROL!$C$42, 8.2397, 8.2397)* CHOOSE(CONTROL!$C$21, $C$9, 100%, $E$9)</f>
        <v>8.2396999999999991</v>
      </c>
      <c r="K273" s="54">
        <f>CHOOSE(CONTROL!$C$42, 8.2334, 8.2334) * CHOOSE(CONTROL!$C$21, $C$9, 100%, $E$9)</f>
        <v>8.2333999999999996</v>
      </c>
      <c r="L273" s="10">
        <f>CHOOSE(CONTROL!$C$42, 9.0536, 9.0536) * CHOOSE(CONTROL!$C$21, $C$9, 100%, $E$9)</f>
        <v>9.0535999999999994</v>
      </c>
      <c r="M273" s="10">
        <f>CHOOSE(CONTROL!$C$42, 8.1704, 8.1704) * CHOOSE(CONTROL!$C$21, $C$9, 100%, $E$9)</f>
        <v>8.1704000000000008</v>
      </c>
      <c r="N273" s="10">
        <f>CHOOSE(CONTROL!$C$42, 8.1884, 8.1884) * CHOOSE(CONTROL!$C$21, $C$9, 100%, $E$9)</f>
        <v>8.1883999999999997</v>
      </c>
      <c r="O273" s="10">
        <f>CHOOSE(CONTROL!$C$42, 8.395, 8.395) * CHOOSE(CONTROL!$C$21, $C$9, 100%, $E$9)</f>
        <v>8.3949999999999996</v>
      </c>
      <c r="P273" s="10">
        <f>CHOOSE(CONTROL!$C$42, 8.168, 8.168) * CHOOSE(CONTROL!$C$21, $C$9, 100%, $E$9)</f>
        <v>8.1679999999999993</v>
      </c>
      <c r="Q273" s="10">
        <f>CHOOSE(CONTROL!$C$42, 8.9903, 8.9903) * CHOOSE(CONTROL!$C$21, $C$9, 100%, $E$9)</f>
        <v>8.9902999999999995</v>
      </c>
      <c r="R273" s="10">
        <f>CHOOSE(CONTROL!$C$42, 9.5998, 9.5998) * CHOOSE(CONTROL!$C$21, $C$9, 100%, $E$9)</f>
        <v>9.5998000000000001</v>
      </c>
      <c r="S273" s="10">
        <f>CHOOSE(CONTROL!$C$42, 8.0174, 8.0174) * CHOOSE(CONTROL!$C$21, $C$9, 100%, $E$9)</f>
        <v>8.0174000000000003</v>
      </c>
      <c r="T273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73" s="58">
        <f>(1000*CHOOSE(CONTROL!$C$42, 695, 695)*CHOOSE(CONTROL!$C$42, 0.5599, 0.5599)*CHOOSE(CONTROL!$C$42, 30, 30))/1000000</f>
        <v>11.673914999999997</v>
      </c>
      <c r="V273" s="58">
        <f>(1000*CHOOSE(CONTROL!$C$42, 500, 500)*CHOOSE(CONTROL!$C$42, 0.275, 0.275)*CHOOSE(CONTROL!$C$42, 30, 30))/1000000</f>
        <v>4.125</v>
      </c>
      <c r="W273" s="58">
        <f>(1000*CHOOSE(CONTROL!$C$42, 0.1146, 0.1146)*CHOOSE(CONTROL!$C$42, 121.5, 121.5)*CHOOSE(CONTROL!$C$42, 30, 30))/1000000</f>
        <v>0.417717</v>
      </c>
      <c r="X273" s="58">
        <f>(30*0.1790888*245000/1000000)+(30*0.2374*100000/1000000)</f>
        <v>2.0285026799999999</v>
      </c>
      <c r="Y273" s="58"/>
      <c r="Z273" s="10"/>
      <c r="AA273" s="57"/>
      <c r="AB273" s="51">
        <f>(B273*194.205+C273*267.466+D273*133.845+E273*53.484+F273*40+G273*185+H273*0+I273*100+J273*300)/(194.205+267.466+133.845+53.484+0+40+185+100+300)</f>
        <v>8.2843190014128734</v>
      </c>
      <c r="AC273" s="27">
        <f>(M273*'RAP TEMPLATE-GAS AVAILABILITY'!O272+N273*'RAP TEMPLATE-GAS AVAILABILITY'!P272+O273*'RAP TEMPLATE-GAS AVAILABILITY'!Q272+P273*'RAP TEMPLATE-GAS AVAILABILITY'!R272)/('RAP TEMPLATE-GAS AVAILABILITY'!O272+'RAP TEMPLATE-GAS AVAILABILITY'!P272+'RAP TEMPLATE-GAS AVAILABILITY'!Q272+'RAP TEMPLATE-GAS AVAILABILITY'!R272)</f>
        <v>8.2372158273381295</v>
      </c>
    </row>
    <row r="274" spans="1:29" ht="15.75" x14ac:dyDescent="0.25">
      <c r="A274" s="15">
        <v>49583</v>
      </c>
      <c r="B274" s="10">
        <f>CHOOSE(CONTROL!$C$42, 8.0906, 8.0906) * CHOOSE(CONTROL!$C$21, $C$9, 100%, $E$9)</f>
        <v>8.0906000000000002</v>
      </c>
      <c r="C274" s="10">
        <f>CHOOSE(CONTROL!$C$42, 8.0958, 8.0958) * CHOOSE(CONTROL!$C$21, $C$9, 100%, $E$9)</f>
        <v>8.0958000000000006</v>
      </c>
      <c r="D274" s="10">
        <f>CHOOSE(CONTROL!$C$42, 8.2793, 8.2793) * CHOOSE(CONTROL!$C$21, $C$9, 100%, $E$9)</f>
        <v>8.2792999999999992</v>
      </c>
      <c r="E274" s="10">
        <f>CHOOSE(CONTROL!$C$42, 8.3081, 8.3081) * CHOOSE(CONTROL!$C$21, $C$9, 100%, $E$9)</f>
        <v>8.3080999999999996</v>
      </c>
      <c r="F274" s="10">
        <f>CHOOSE(CONTROL!$C$42, 8.0789, 8.0789)*CHOOSE(CONTROL!$C$21, $C$9, 100%, $E$9)</f>
        <v>8.0789000000000009</v>
      </c>
      <c r="G274" s="10">
        <f>CHOOSE(CONTROL!$C$42, 8.0968, 8.0968)*CHOOSE(CONTROL!$C$21, $C$9, 100%, $E$9)</f>
        <v>8.0968</v>
      </c>
      <c r="H274" s="10">
        <f>CHOOSE(CONTROL!$C$42, 8.2986, 8.2986) * CHOOSE(CONTROL!$C$21, $C$9, 100%, $E$9)</f>
        <v>8.2986000000000004</v>
      </c>
      <c r="I274" s="10">
        <f>CHOOSE(CONTROL!$C$42, 8.0692, 8.0692)* CHOOSE(CONTROL!$C$21, $C$9, 100%, $E$9)</f>
        <v>8.0692000000000004</v>
      </c>
      <c r="J274" s="10">
        <f>CHOOSE(CONTROL!$C$42, 8.0719, 8.0719)* CHOOSE(CONTROL!$C$21, $C$9, 100%, $E$9)</f>
        <v>8.0718999999999994</v>
      </c>
      <c r="K274" s="54">
        <f>CHOOSE(CONTROL!$C$42, 8.0654, 8.0654) * CHOOSE(CONTROL!$C$21, $C$9, 100%, $E$9)</f>
        <v>8.0654000000000003</v>
      </c>
      <c r="L274" s="10">
        <f>CHOOSE(CONTROL!$C$42, 8.8856, 8.8856) * CHOOSE(CONTROL!$C$21, $C$9, 100%, $E$9)</f>
        <v>8.8856000000000002</v>
      </c>
      <c r="M274" s="10">
        <f>CHOOSE(CONTROL!$C$42, 8.0043, 8.0043) * CHOOSE(CONTROL!$C$21, $C$9, 100%, $E$9)</f>
        <v>8.0043000000000006</v>
      </c>
      <c r="N274" s="10">
        <f>CHOOSE(CONTROL!$C$42, 8.022, 8.022) * CHOOSE(CONTROL!$C$21, $C$9, 100%, $E$9)</f>
        <v>8.0220000000000002</v>
      </c>
      <c r="O274" s="10">
        <f>CHOOSE(CONTROL!$C$42, 8.2287, 8.2287) * CHOOSE(CONTROL!$C$21, $C$9, 100%, $E$9)</f>
        <v>8.2286999999999999</v>
      </c>
      <c r="P274" s="10">
        <f>CHOOSE(CONTROL!$C$42, 8.0017, 8.0017) * CHOOSE(CONTROL!$C$21, $C$9, 100%, $E$9)</f>
        <v>8.0016999999999996</v>
      </c>
      <c r="Q274" s="10">
        <f>CHOOSE(CONTROL!$C$42, 8.824, 8.824) * CHOOSE(CONTROL!$C$21, $C$9, 100%, $E$9)</f>
        <v>8.8239999999999998</v>
      </c>
      <c r="R274" s="10">
        <f>CHOOSE(CONTROL!$C$42, 9.433, 9.433) * CHOOSE(CONTROL!$C$21, $C$9, 100%, $E$9)</f>
        <v>9.4329999999999998</v>
      </c>
      <c r="S274" s="10">
        <f>CHOOSE(CONTROL!$C$42, 7.8543, 7.8543) * CHOOSE(CONTROL!$C$21, $C$9, 100%, $E$9)</f>
        <v>7.8543000000000003</v>
      </c>
      <c r="T274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74" s="58">
        <f>(1000*CHOOSE(CONTROL!$C$42, 695, 695)*CHOOSE(CONTROL!$C$42, 0.5599, 0.5599)*CHOOSE(CONTROL!$C$42, 31, 31))/1000000</f>
        <v>12.063045499999998</v>
      </c>
      <c r="V274" s="58">
        <f>(1000*CHOOSE(CONTROL!$C$42, 500, 500)*CHOOSE(CONTROL!$C$42, 0.275, 0.275)*CHOOSE(CONTROL!$C$42, 31, 31))/1000000</f>
        <v>4.2625000000000002</v>
      </c>
      <c r="W274" s="58">
        <f>(1000*CHOOSE(CONTROL!$C$42, 0.1146, 0.1146)*CHOOSE(CONTROL!$C$42, 121.5, 121.5)*CHOOSE(CONTROL!$C$42, 31, 31))/1000000</f>
        <v>0.43164089999999994</v>
      </c>
      <c r="X274" s="58">
        <f>(31*0.1790888*245000/1000000)+(31*0.2374*100000/1000000)</f>
        <v>2.0961194359999999</v>
      </c>
      <c r="Y274" s="58"/>
      <c r="Z274" s="10"/>
      <c r="AA274" s="57"/>
      <c r="AB274" s="51">
        <f>(B274*131.881+C274*277.167+D274*79.08+E274*125.872+F274*40+G274*185+H274*0+I274*100+J274*300)/(131.881+277.167+79.08+125.872+0+40+185+100+300)</f>
        <v>8.1201963070217911</v>
      </c>
      <c r="AC274" s="27">
        <f>(M274*'RAP TEMPLATE-GAS AVAILABILITY'!O273+N274*'RAP TEMPLATE-GAS AVAILABILITY'!P273+O274*'RAP TEMPLATE-GAS AVAILABILITY'!Q273+P274*'RAP TEMPLATE-GAS AVAILABILITY'!R273)/('RAP TEMPLATE-GAS AVAILABILITY'!O273+'RAP TEMPLATE-GAS AVAILABILITY'!P273+'RAP TEMPLATE-GAS AVAILABILITY'!Q273+'RAP TEMPLATE-GAS AVAILABILITY'!R273)</f>
        <v>8.0709618705035968</v>
      </c>
    </row>
    <row r="275" spans="1:29" ht="15.75" x14ac:dyDescent="0.25">
      <c r="A275" s="15">
        <v>49614</v>
      </c>
      <c r="B275" s="10">
        <f>CHOOSE(CONTROL!$C$42, 8.3033, 8.3033) * CHOOSE(CONTROL!$C$21, $C$9, 100%, $E$9)</f>
        <v>8.3033000000000001</v>
      </c>
      <c r="C275" s="10">
        <f>CHOOSE(CONTROL!$C$42, 8.3082, 8.3082) * CHOOSE(CONTROL!$C$21, $C$9, 100%, $E$9)</f>
        <v>8.3081999999999994</v>
      </c>
      <c r="D275" s="10">
        <f>CHOOSE(CONTROL!$C$42, 8.3378, 8.3378) * CHOOSE(CONTROL!$C$21, $C$9, 100%, $E$9)</f>
        <v>8.3377999999999997</v>
      </c>
      <c r="E275" s="10">
        <f>CHOOSE(CONTROL!$C$42, 8.3716, 8.3716) * CHOOSE(CONTROL!$C$21, $C$9, 100%, $E$9)</f>
        <v>8.3716000000000008</v>
      </c>
      <c r="F275" s="10">
        <f>CHOOSE(CONTROL!$C$42, 8.289, 8.289)*CHOOSE(CONTROL!$C$21, $C$9, 100%, $E$9)</f>
        <v>8.2889999999999997</v>
      </c>
      <c r="G275" s="10">
        <f>CHOOSE(CONTROL!$C$42, 8.3071, 8.3071)*CHOOSE(CONTROL!$C$21, $C$9, 100%, $E$9)</f>
        <v>8.3071000000000002</v>
      </c>
      <c r="H275" s="10">
        <f>CHOOSE(CONTROL!$C$42, 8.3608, 8.3608) * CHOOSE(CONTROL!$C$21, $C$9, 100%, $E$9)</f>
        <v>8.3607999999999993</v>
      </c>
      <c r="I275" s="10">
        <f>CHOOSE(CONTROL!$C$42, 8.2694, 8.2694)* CHOOSE(CONTROL!$C$21, $C$9, 100%, $E$9)</f>
        <v>8.2693999999999992</v>
      </c>
      <c r="J275" s="10">
        <f>CHOOSE(CONTROL!$C$42, 8.282, 8.282)* CHOOSE(CONTROL!$C$21, $C$9, 100%, $E$9)</f>
        <v>8.282</v>
      </c>
      <c r="K275" s="54">
        <f>CHOOSE(CONTROL!$C$42, 8.2655, 8.2655) * CHOOSE(CONTROL!$C$21, $C$9, 100%, $E$9)</f>
        <v>8.2654999999999994</v>
      </c>
      <c r="L275" s="10">
        <f>CHOOSE(CONTROL!$C$42, 8.9478, 8.9478) * CHOOSE(CONTROL!$C$21, $C$9, 100%, $E$9)</f>
        <v>8.9478000000000009</v>
      </c>
      <c r="M275" s="10">
        <f>CHOOSE(CONTROL!$C$42, 8.2123, 8.2123) * CHOOSE(CONTROL!$C$21, $C$9, 100%, $E$9)</f>
        <v>8.2123000000000008</v>
      </c>
      <c r="N275" s="10">
        <f>CHOOSE(CONTROL!$C$42, 8.2301, 8.2301) * CHOOSE(CONTROL!$C$21, $C$9, 100%, $E$9)</f>
        <v>8.2301000000000002</v>
      </c>
      <c r="O275" s="10">
        <f>CHOOSE(CONTROL!$C$42, 8.2902, 8.2902) * CHOOSE(CONTROL!$C$21, $C$9, 100%, $E$9)</f>
        <v>8.2902000000000005</v>
      </c>
      <c r="P275" s="10">
        <f>CHOOSE(CONTROL!$C$42, 8.1998, 8.1998) * CHOOSE(CONTROL!$C$21, $C$9, 100%, $E$9)</f>
        <v>8.1997999999999998</v>
      </c>
      <c r="Q275" s="10">
        <f>CHOOSE(CONTROL!$C$42, 8.8855, 8.8855) * CHOOSE(CONTROL!$C$21, $C$9, 100%, $E$9)</f>
        <v>8.8855000000000004</v>
      </c>
      <c r="R275" s="10">
        <f>CHOOSE(CONTROL!$C$42, 9.4948, 9.4948) * CHOOSE(CONTROL!$C$21, $C$9, 100%, $E$9)</f>
        <v>9.4947999999999997</v>
      </c>
      <c r="S275" s="10">
        <f>CHOOSE(CONTROL!$C$42, 8.0612, 8.0612) * CHOOSE(CONTROL!$C$21, $C$9, 100%, $E$9)</f>
        <v>8.0611999999999995</v>
      </c>
      <c r="T275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75" s="58">
        <f>(1000*CHOOSE(CONTROL!$C$42, 695, 695)*CHOOSE(CONTROL!$C$42, 0.5599, 0.5599)*CHOOSE(CONTROL!$C$42, 30, 30))/1000000</f>
        <v>11.673914999999997</v>
      </c>
      <c r="V275" s="58">
        <f>(1000*CHOOSE(CONTROL!$C$42, 500, 500)*CHOOSE(CONTROL!$C$42, 0.275, 0.275)*CHOOSE(CONTROL!$C$42, 30, 30))/1000000</f>
        <v>4.125</v>
      </c>
      <c r="W275" s="58">
        <f>(1000*CHOOSE(CONTROL!$C$42, 0.1146, 0.1146)*CHOOSE(CONTROL!$C$42, 121.5, 121.5)*CHOOSE(CONTROL!$C$42, 30, 30))/1000000</f>
        <v>0.417717</v>
      </c>
      <c r="X275" s="58">
        <f>(30*0.1790888*100000/1000000)+(30*0.2374*100000/1000000)</f>
        <v>1.2494664</v>
      </c>
      <c r="Y275" s="58"/>
      <c r="Z275" s="10"/>
      <c r="AA275" s="57"/>
      <c r="AB275" s="51">
        <f>(B275*122.58+C275*297.941+D275*89.177+E275*40.302+F275*40+G275*160+H275*0+I275*100+J275*300)/(122.58+297.941+89.177+40.302+0+40+160+100+300)</f>
        <v>8.3011653426086962</v>
      </c>
      <c r="AC275" s="27">
        <f>(M275*'RAP TEMPLATE-GAS AVAILABILITY'!O274+N275*'RAP TEMPLATE-GAS AVAILABILITY'!P274+O275*'RAP TEMPLATE-GAS AVAILABILITY'!Q274+P275*'RAP TEMPLATE-GAS AVAILABILITY'!R274)/('RAP TEMPLATE-GAS AVAILABILITY'!O274+'RAP TEMPLATE-GAS AVAILABILITY'!P274+'RAP TEMPLATE-GAS AVAILABILITY'!Q274+'RAP TEMPLATE-GAS AVAILABILITY'!R274)</f>
        <v>8.246833093525181</v>
      </c>
    </row>
    <row r="276" spans="1:29" ht="15.75" x14ac:dyDescent="0.25">
      <c r="A276" s="15">
        <v>49644</v>
      </c>
      <c r="B276" s="10">
        <f>CHOOSE(CONTROL!$C$42, 8.8692, 8.8692) * CHOOSE(CONTROL!$C$21, $C$9, 100%, $E$9)</f>
        <v>8.8691999999999993</v>
      </c>
      <c r="C276" s="10">
        <f>CHOOSE(CONTROL!$C$42, 8.8741, 8.8741) * CHOOSE(CONTROL!$C$21, $C$9, 100%, $E$9)</f>
        <v>8.8741000000000003</v>
      </c>
      <c r="D276" s="10">
        <f>CHOOSE(CONTROL!$C$42, 8.9037, 8.9037) * CHOOSE(CONTROL!$C$21, $C$9, 100%, $E$9)</f>
        <v>8.9037000000000006</v>
      </c>
      <c r="E276" s="10">
        <f>CHOOSE(CONTROL!$C$42, 8.9375, 8.9375) * CHOOSE(CONTROL!$C$21, $C$9, 100%, $E$9)</f>
        <v>8.9375</v>
      </c>
      <c r="F276" s="10">
        <f>CHOOSE(CONTROL!$C$42, 8.8565, 8.8565)*CHOOSE(CONTROL!$C$21, $C$9, 100%, $E$9)</f>
        <v>8.8565000000000005</v>
      </c>
      <c r="G276" s="10">
        <f>CHOOSE(CONTROL!$C$42, 8.8749, 8.8749)*CHOOSE(CONTROL!$C$21, $C$9, 100%, $E$9)</f>
        <v>8.8749000000000002</v>
      </c>
      <c r="H276" s="10">
        <f>CHOOSE(CONTROL!$C$42, 8.9267, 8.9267) * CHOOSE(CONTROL!$C$21, $C$9, 100%, $E$9)</f>
        <v>8.9267000000000003</v>
      </c>
      <c r="I276" s="10">
        <f>CHOOSE(CONTROL!$C$42, 8.8353, 8.8353)* CHOOSE(CONTROL!$C$21, $C$9, 100%, $E$9)</f>
        <v>8.8353000000000002</v>
      </c>
      <c r="J276" s="10">
        <f>CHOOSE(CONTROL!$C$42, 8.8495, 8.8495)* CHOOSE(CONTROL!$C$21, $C$9, 100%, $E$9)</f>
        <v>8.8495000000000008</v>
      </c>
      <c r="K276" s="54">
        <f>CHOOSE(CONTROL!$C$42, 8.8314, 8.8314) * CHOOSE(CONTROL!$C$21, $C$9, 100%, $E$9)</f>
        <v>8.8314000000000004</v>
      </c>
      <c r="L276" s="10">
        <f>CHOOSE(CONTROL!$C$42, 9.5137, 9.5137) * CHOOSE(CONTROL!$C$21, $C$9, 100%, $E$9)</f>
        <v>9.5137</v>
      </c>
      <c r="M276" s="10">
        <f>CHOOSE(CONTROL!$C$42, 8.774, 8.774) * CHOOSE(CONTROL!$C$21, $C$9, 100%, $E$9)</f>
        <v>8.7739999999999991</v>
      </c>
      <c r="N276" s="10">
        <f>CHOOSE(CONTROL!$C$42, 8.7923, 8.7923) * CHOOSE(CONTROL!$C$21, $C$9, 100%, $E$9)</f>
        <v>8.7922999999999991</v>
      </c>
      <c r="O276" s="10">
        <f>CHOOSE(CONTROL!$C$42, 8.8504, 8.8504) * CHOOSE(CONTROL!$C$21, $C$9, 100%, $E$9)</f>
        <v>8.8504000000000005</v>
      </c>
      <c r="P276" s="10">
        <f>CHOOSE(CONTROL!$C$42, 8.76, 8.76) * CHOOSE(CONTROL!$C$21, $C$9, 100%, $E$9)</f>
        <v>8.76</v>
      </c>
      <c r="Q276" s="10">
        <f>CHOOSE(CONTROL!$C$42, 9.4457, 9.4457) * CHOOSE(CONTROL!$C$21, $C$9, 100%, $E$9)</f>
        <v>9.4457000000000004</v>
      </c>
      <c r="R276" s="10">
        <f>CHOOSE(CONTROL!$C$42, 10.0564, 10.0564) * CHOOSE(CONTROL!$C$21, $C$9, 100%, $E$9)</f>
        <v>10.0564</v>
      </c>
      <c r="S276" s="10">
        <f>CHOOSE(CONTROL!$C$42, 8.6107, 8.6107) * CHOOSE(CONTROL!$C$21, $C$9, 100%, $E$9)</f>
        <v>8.6106999999999996</v>
      </c>
      <c r="T276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276" s="58">
        <f>(1000*CHOOSE(CONTROL!$C$42, 695, 695)*CHOOSE(CONTROL!$C$42, 0.5599, 0.5599)*CHOOSE(CONTROL!$C$42, 31, 31))/1000000</f>
        <v>12.063045499999998</v>
      </c>
      <c r="V276" s="58">
        <f>(1000*CHOOSE(CONTROL!$C$42, 500, 500)*CHOOSE(CONTROL!$C$42, 0.275, 0.275)*CHOOSE(CONTROL!$C$42, 31, 31))/1000000</f>
        <v>4.2625000000000002</v>
      </c>
      <c r="W276" s="58">
        <f>(1000*CHOOSE(CONTROL!$C$42, 0.1146, 0.1146)*CHOOSE(CONTROL!$C$42, 121.5, 121.5)*CHOOSE(CONTROL!$C$42, 31, 31))/1000000</f>
        <v>0.43164089999999994</v>
      </c>
      <c r="X276" s="58">
        <f>(31*0.1790888*100000/1000000)+(31*0.2374*100000/1000000)</f>
        <v>1.2911152800000001</v>
      </c>
      <c r="Y276" s="58"/>
      <c r="Z276" s="10"/>
      <c r="AA276" s="57"/>
      <c r="AB276" s="51">
        <f>(B276*122.58+C276*297.941+D276*89.177+E276*40.302+F276*40+G276*160+H276*0+I276*100+J276*300)/(122.58+297.941+89.177+40.302+0+40+160+100+300)</f>
        <v>8.8678027339130434</v>
      </c>
      <c r="AC276" s="27">
        <f>(M276*'RAP TEMPLATE-GAS AVAILABILITY'!O275+N276*'RAP TEMPLATE-GAS AVAILABILITY'!P275+O276*'RAP TEMPLATE-GAS AVAILABILITY'!Q275+P276*'RAP TEMPLATE-GAS AVAILABILITY'!R275)/('RAP TEMPLATE-GAS AVAILABILITY'!O275+'RAP TEMPLATE-GAS AVAILABILITY'!P275+'RAP TEMPLATE-GAS AVAILABILITY'!Q275+'RAP TEMPLATE-GAS AVAILABILITY'!R275)</f>
        <v>8.8076661870503585</v>
      </c>
    </row>
    <row r="277" spans="1:29" ht="15.75" x14ac:dyDescent="0.25">
      <c r="A277" s="15">
        <v>49675</v>
      </c>
      <c r="B277" s="10">
        <f>CHOOSE(CONTROL!$C$42, 9.4676, 9.4676) * CHOOSE(CONTROL!$C$21, $C$9, 100%, $E$9)</f>
        <v>9.4675999999999991</v>
      </c>
      <c r="C277" s="10">
        <f>CHOOSE(CONTROL!$C$42, 9.4725, 9.4725) * CHOOSE(CONTROL!$C$21, $C$9, 100%, $E$9)</f>
        <v>9.4725000000000001</v>
      </c>
      <c r="D277" s="10">
        <f>CHOOSE(CONTROL!$C$42, 9.5227, 9.5227) * CHOOSE(CONTROL!$C$21, $C$9, 100%, $E$9)</f>
        <v>9.5227000000000004</v>
      </c>
      <c r="E277" s="10">
        <f>CHOOSE(CONTROL!$C$42, 9.5565, 9.5565) * CHOOSE(CONTROL!$C$21, $C$9, 100%, $E$9)</f>
        <v>9.5564999999999998</v>
      </c>
      <c r="F277" s="10">
        <f>CHOOSE(CONTROL!$C$42, 9.4329, 9.4329)*CHOOSE(CONTROL!$C$21, $C$9, 100%, $E$9)</f>
        <v>9.4329000000000001</v>
      </c>
      <c r="G277" s="10">
        <f>CHOOSE(CONTROL!$C$42, 9.4505, 9.4505)*CHOOSE(CONTROL!$C$21, $C$9, 100%, $E$9)</f>
        <v>9.4504999999999999</v>
      </c>
      <c r="H277" s="10">
        <f>CHOOSE(CONTROL!$C$42, 9.5457, 9.5457) * CHOOSE(CONTROL!$C$21, $C$9, 100%, $E$9)</f>
        <v>9.5457000000000001</v>
      </c>
      <c r="I277" s="10">
        <f>CHOOSE(CONTROL!$C$42, 9.4415, 9.4415)* CHOOSE(CONTROL!$C$21, $C$9, 100%, $E$9)</f>
        <v>9.4414999999999996</v>
      </c>
      <c r="J277" s="10">
        <f>CHOOSE(CONTROL!$C$42, 9.4259, 9.4259)* CHOOSE(CONTROL!$C$21, $C$9, 100%, $E$9)</f>
        <v>9.4259000000000004</v>
      </c>
      <c r="K277" s="54">
        <f>CHOOSE(CONTROL!$C$42, 9.4376, 9.4376) * CHOOSE(CONTROL!$C$21, $C$9, 100%, $E$9)</f>
        <v>9.4375999999999998</v>
      </c>
      <c r="L277" s="10">
        <f>CHOOSE(CONTROL!$C$42, 10.1327, 10.1327) * CHOOSE(CONTROL!$C$21, $C$9, 100%, $E$9)</f>
        <v>10.1327</v>
      </c>
      <c r="M277" s="10">
        <f>CHOOSE(CONTROL!$C$42, 9.3446, 9.3446) * CHOOSE(CONTROL!$C$21, $C$9, 100%, $E$9)</f>
        <v>9.3445999999999998</v>
      </c>
      <c r="N277" s="10">
        <f>CHOOSE(CONTROL!$C$42, 9.362, 9.362) * CHOOSE(CONTROL!$C$21, $C$9, 100%, $E$9)</f>
        <v>9.3620000000000001</v>
      </c>
      <c r="O277" s="10">
        <f>CHOOSE(CONTROL!$C$42, 9.4632, 9.4632) * CHOOSE(CONTROL!$C$21, $C$9, 100%, $E$9)</f>
        <v>9.4632000000000005</v>
      </c>
      <c r="P277" s="10">
        <f>CHOOSE(CONTROL!$C$42, 9.3601, 9.3601) * CHOOSE(CONTROL!$C$21, $C$9, 100%, $E$9)</f>
        <v>9.3600999999999992</v>
      </c>
      <c r="Q277" s="10">
        <f>CHOOSE(CONTROL!$C$42, 10.0585, 10.0585) * CHOOSE(CONTROL!$C$21, $C$9, 100%, $E$9)</f>
        <v>10.0585</v>
      </c>
      <c r="R277" s="10">
        <f>CHOOSE(CONTROL!$C$42, 10.6706, 10.6706) * CHOOSE(CONTROL!$C$21, $C$9, 100%, $E$9)</f>
        <v>10.6706</v>
      </c>
      <c r="S277" s="10">
        <f>CHOOSE(CONTROL!$C$42, 9.1918, 9.1918) * CHOOSE(CONTROL!$C$21, $C$9, 100%, $E$9)</f>
        <v>9.1918000000000006</v>
      </c>
      <c r="T277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77" s="58">
        <f>(1000*CHOOSE(CONTROL!$C$42, 695, 695)*CHOOSE(CONTROL!$C$42, 0.5599, 0.5599)*CHOOSE(CONTROL!$C$42, 31, 31))/1000000</f>
        <v>12.063045499999998</v>
      </c>
      <c r="V277" s="58">
        <f>(1000*CHOOSE(CONTROL!$C$42, 500, 500)*CHOOSE(CONTROL!$C$42, 0.275, 0.275)*CHOOSE(CONTROL!$C$42, 31, 31))/1000000</f>
        <v>4.2625000000000002</v>
      </c>
      <c r="W277" s="58">
        <f>(1000*CHOOSE(CONTROL!$C$42, 0.1146, 0.1146)*CHOOSE(CONTROL!$C$42, 121.5, 121.5)*CHOOSE(CONTROL!$C$42, 31, 31))/1000000</f>
        <v>0.43164089999999994</v>
      </c>
      <c r="X277" s="58">
        <f>(31*0.1790888*100000/1000000)+(31*0.2374*100000/1000000)</f>
        <v>1.2911152800000001</v>
      </c>
      <c r="Y277" s="58"/>
      <c r="Z277" s="10"/>
      <c r="AA277" s="57"/>
      <c r="AB277" s="51">
        <f>(B277*122.58+C277*297.941+D277*89.177+E277*40.302+F277*40+G277*160+H277*0+I277*100+J277*300)/(122.58+297.941+89.177+40.302+0+40+160+100+300)</f>
        <v>9.4595238359999989</v>
      </c>
      <c r="AC277" s="27">
        <f>(M277*'RAP TEMPLATE-GAS AVAILABILITY'!O276+N277*'RAP TEMPLATE-GAS AVAILABILITY'!P276+O277*'RAP TEMPLATE-GAS AVAILABILITY'!Q276+P277*'RAP TEMPLATE-GAS AVAILABILITY'!R276)/('RAP TEMPLATE-GAS AVAILABILITY'!O276+'RAP TEMPLATE-GAS AVAILABILITY'!P276+'RAP TEMPLATE-GAS AVAILABILITY'!Q276+'RAP TEMPLATE-GAS AVAILABILITY'!R276)</f>
        <v>9.401585611510793</v>
      </c>
    </row>
    <row r="278" spans="1:29" ht="15.75" x14ac:dyDescent="0.25">
      <c r="A278" s="15">
        <v>49706</v>
      </c>
      <c r="B278" s="10">
        <f>CHOOSE(CONTROL!$C$42, 9.6361, 9.6361) * CHOOSE(CONTROL!$C$21, $C$9, 100%, $E$9)</f>
        <v>9.6361000000000008</v>
      </c>
      <c r="C278" s="10">
        <f>CHOOSE(CONTROL!$C$42, 9.641, 9.641) * CHOOSE(CONTROL!$C$21, $C$9, 100%, $E$9)</f>
        <v>9.641</v>
      </c>
      <c r="D278" s="10">
        <f>CHOOSE(CONTROL!$C$42, 9.7582, 9.7582) * CHOOSE(CONTROL!$C$21, $C$9, 100%, $E$9)</f>
        <v>9.7582000000000004</v>
      </c>
      <c r="E278" s="10">
        <f>CHOOSE(CONTROL!$C$42, 9.7919, 9.7919) * CHOOSE(CONTROL!$C$21, $C$9, 100%, $E$9)</f>
        <v>9.7919</v>
      </c>
      <c r="F278" s="10">
        <f>CHOOSE(CONTROL!$C$42, 9.7137, 9.7137)*CHOOSE(CONTROL!$C$21, $C$9, 100%, $E$9)</f>
        <v>9.7136999999999993</v>
      </c>
      <c r="G278" s="10">
        <f>CHOOSE(CONTROL!$C$42, 9.7356, 9.7356)*CHOOSE(CONTROL!$C$21, $C$9, 100%, $E$9)</f>
        <v>9.7355999999999998</v>
      </c>
      <c r="H278" s="10">
        <f>CHOOSE(CONTROL!$C$42, 9.7811, 9.7811) * CHOOSE(CONTROL!$C$21, $C$9, 100%, $E$9)</f>
        <v>9.7811000000000003</v>
      </c>
      <c r="I278" s="10">
        <f>CHOOSE(CONTROL!$C$42, 9.6717, 9.6717)* CHOOSE(CONTROL!$C$21, $C$9, 100%, $E$9)</f>
        <v>9.6716999999999995</v>
      </c>
      <c r="J278" s="10">
        <f>CHOOSE(CONTROL!$C$42, 9.7067, 9.7067)* CHOOSE(CONTROL!$C$21, $C$9, 100%, $E$9)</f>
        <v>9.7066999999999997</v>
      </c>
      <c r="K278" s="54">
        <f>CHOOSE(CONTROL!$C$42, 9.6679, 9.6679) * CHOOSE(CONTROL!$C$21, $C$9, 100%, $E$9)</f>
        <v>9.6678999999999995</v>
      </c>
      <c r="L278" s="10">
        <f>CHOOSE(CONTROL!$C$42, 10.3681, 10.3681) * CHOOSE(CONTROL!$C$21, $C$9, 100%, $E$9)</f>
        <v>10.3681</v>
      </c>
      <c r="M278" s="10">
        <f>CHOOSE(CONTROL!$C$42, 9.6225, 9.6225) * CHOOSE(CONTROL!$C$21, $C$9, 100%, $E$9)</f>
        <v>9.6225000000000005</v>
      </c>
      <c r="N278" s="10">
        <f>CHOOSE(CONTROL!$C$42, 9.6442, 9.6442) * CHOOSE(CONTROL!$C$21, $C$9, 100%, $E$9)</f>
        <v>9.6441999999999997</v>
      </c>
      <c r="O278" s="10">
        <f>CHOOSE(CONTROL!$C$42, 9.6962, 9.6962) * CHOOSE(CONTROL!$C$21, $C$9, 100%, $E$9)</f>
        <v>9.6961999999999993</v>
      </c>
      <c r="P278" s="10">
        <f>CHOOSE(CONTROL!$C$42, 9.588, 9.588) * CHOOSE(CONTROL!$C$21, $C$9, 100%, $E$9)</f>
        <v>9.5879999999999992</v>
      </c>
      <c r="Q278" s="10">
        <f>CHOOSE(CONTROL!$C$42, 10.2915, 10.2915) * CHOOSE(CONTROL!$C$21, $C$9, 100%, $E$9)</f>
        <v>10.291499999999999</v>
      </c>
      <c r="R278" s="10">
        <f>CHOOSE(CONTROL!$C$42, 10.9043, 10.9043) * CHOOSE(CONTROL!$C$21, $C$9, 100%, $E$9)</f>
        <v>10.904299999999999</v>
      </c>
      <c r="S278" s="10">
        <f>CHOOSE(CONTROL!$C$42, 9.3554, 9.3554) * CHOOSE(CONTROL!$C$21, $C$9, 100%, $E$9)</f>
        <v>9.3553999999999995</v>
      </c>
      <c r="T278" s="5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278" s="58">
        <f>(1000*CHOOSE(CONTROL!$C$42, 695, 695)*CHOOSE(CONTROL!$C$42, 0.5599, 0.5599)*CHOOSE(CONTROL!$C$42, 29, 29))/1000000</f>
        <v>11.284784499999999</v>
      </c>
      <c r="V278" s="58">
        <f>(1000*CHOOSE(CONTROL!$C$42, 500, 500)*CHOOSE(CONTROL!$C$42, 0.275, 0.275)*CHOOSE(CONTROL!$C$42, 29, 29))/1000000</f>
        <v>3.9874999999999998</v>
      </c>
      <c r="W278" s="58">
        <f>(1000*CHOOSE(CONTROL!$C$42, 0.1146, 0.1146)*CHOOSE(CONTROL!$C$42, 121.5, 121.5)*CHOOSE(CONTROL!$C$42, 29, 29))/1000000</f>
        <v>0.40379309999999996</v>
      </c>
      <c r="X278" s="58">
        <f>(29*0.1790888*100000/1000000)+(29*0.2374*100000/1000000)</f>
        <v>1.2078175199999999</v>
      </c>
      <c r="Y278" s="58"/>
      <c r="Z278" s="10"/>
      <c r="AA278" s="57"/>
      <c r="AB278" s="51">
        <f>(B278*122.58+C278*297.941+D278*89.177+E278*40.302+F278*40+G278*160+H278*0+I278*100+J278*300)/(122.58+297.941+89.177+40.302+0+40+160+100+300)</f>
        <v>9.690353455826088</v>
      </c>
      <c r="AC278" s="27">
        <f>(M278*'RAP TEMPLATE-GAS AVAILABILITY'!O277+N278*'RAP TEMPLATE-GAS AVAILABILITY'!P277+O278*'RAP TEMPLATE-GAS AVAILABILITY'!Q277+P278*'RAP TEMPLATE-GAS AVAILABILITY'!R277)/('RAP TEMPLATE-GAS AVAILABILITY'!O277+'RAP TEMPLATE-GAS AVAILABILITY'!P277+'RAP TEMPLATE-GAS AVAILABILITY'!Q277+'RAP TEMPLATE-GAS AVAILABILITY'!R277)</f>
        <v>9.6521884892086334</v>
      </c>
    </row>
    <row r="279" spans="1:29" ht="15.75" x14ac:dyDescent="0.25">
      <c r="A279" s="15">
        <v>49735</v>
      </c>
      <c r="B279" s="10">
        <f>CHOOSE(CONTROL!$C$42, 9.3626, 9.3626) * CHOOSE(CONTROL!$C$21, $C$9, 100%, $E$9)</f>
        <v>9.3626000000000005</v>
      </c>
      <c r="C279" s="10">
        <f>CHOOSE(CONTROL!$C$42, 9.3675, 9.3675) * CHOOSE(CONTROL!$C$21, $C$9, 100%, $E$9)</f>
        <v>9.3674999999999997</v>
      </c>
      <c r="D279" s="10">
        <f>CHOOSE(CONTROL!$C$42, 9.4589, 9.4589) * CHOOSE(CONTROL!$C$21, $C$9, 100%, $E$9)</f>
        <v>9.4588999999999999</v>
      </c>
      <c r="E279" s="10">
        <f>CHOOSE(CONTROL!$C$42, 9.4927, 9.4927) * CHOOSE(CONTROL!$C$21, $C$9, 100%, $E$9)</f>
        <v>9.4926999999999992</v>
      </c>
      <c r="F279" s="10">
        <f>CHOOSE(CONTROL!$C$42, 9.3924, 9.3924)*CHOOSE(CONTROL!$C$21, $C$9, 100%, $E$9)</f>
        <v>9.3924000000000003</v>
      </c>
      <c r="G279" s="10">
        <f>CHOOSE(CONTROL!$C$42, 9.4119, 9.4119)*CHOOSE(CONTROL!$C$21, $C$9, 100%, $E$9)</f>
        <v>9.4118999999999993</v>
      </c>
      <c r="H279" s="10">
        <f>CHOOSE(CONTROL!$C$42, 9.4819, 9.4819) * CHOOSE(CONTROL!$C$21, $C$9, 100%, $E$9)</f>
        <v>9.4818999999999996</v>
      </c>
      <c r="I279" s="10">
        <f>CHOOSE(CONTROL!$C$42, 9.3854, 9.3854)* CHOOSE(CONTROL!$C$21, $C$9, 100%, $E$9)</f>
        <v>9.3854000000000006</v>
      </c>
      <c r="J279" s="10">
        <f>CHOOSE(CONTROL!$C$42, 9.3854, 9.3854)* CHOOSE(CONTROL!$C$21, $C$9, 100%, $E$9)</f>
        <v>9.3854000000000006</v>
      </c>
      <c r="K279" s="54">
        <f>CHOOSE(CONTROL!$C$42, 9.3815, 9.3815) * CHOOSE(CONTROL!$C$21, $C$9, 100%, $E$9)</f>
        <v>9.3815000000000008</v>
      </c>
      <c r="L279" s="10">
        <f>CHOOSE(CONTROL!$C$42, 10.0689, 10.0689) * CHOOSE(CONTROL!$C$21, $C$9, 100%, $E$9)</f>
        <v>10.068899999999999</v>
      </c>
      <c r="M279" s="10">
        <f>CHOOSE(CONTROL!$C$42, 9.3045, 9.3045) * CHOOSE(CONTROL!$C$21, $C$9, 100%, $E$9)</f>
        <v>9.3045000000000009</v>
      </c>
      <c r="N279" s="10">
        <f>CHOOSE(CONTROL!$C$42, 9.3238, 9.3238) * CHOOSE(CONTROL!$C$21, $C$9, 100%, $E$9)</f>
        <v>9.3238000000000003</v>
      </c>
      <c r="O279" s="10">
        <f>CHOOSE(CONTROL!$C$42, 9.4, 9.4) * CHOOSE(CONTROL!$C$21, $C$9, 100%, $E$9)</f>
        <v>9.4</v>
      </c>
      <c r="P279" s="10">
        <f>CHOOSE(CONTROL!$C$42, 9.3045, 9.3045) * CHOOSE(CONTROL!$C$21, $C$9, 100%, $E$9)</f>
        <v>9.3045000000000009</v>
      </c>
      <c r="Q279" s="10">
        <f>CHOOSE(CONTROL!$C$42, 9.9953, 9.9953) * CHOOSE(CONTROL!$C$21, $C$9, 100%, $E$9)</f>
        <v>9.9953000000000003</v>
      </c>
      <c r="R279" s="10">
        <f>CHOOSE(CONTROL!$C$42, 10.6073, 10.6073) * CHOOSE(CONTROL!$C$21, $C$9, 100%, $E$9)</f>
        <v>10.6073</v>
      </c>
      <c r="S279" s="10">
        <f>CHOOSE(CONTROL!$C$42, 9.0899, 9.0899) * CHOOSE(CONTROL!$C$21, $C$9, 100%, $E$9)</f>
        <v>9.0899000000000001</v>
      </c>
      <c r="T279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79" s="58">
        <f>(1000*CHOOSE(CONTROL!$C$42, 695, 695)*CHOOSE(CONTROL!$C$42, 0.5599, 0.5599)*CHOOSE(CONTROL!$C$42, 31, 31))/1000000</f>
        <v>12.063045499999998</v>
      </c>
      <c r="V279" s="58">
        <f>(1000*CHOOSE(CONTROL!$C$42, 500, 500)*CHOOSE(CONTROL!$C$42, 0.275, 0.275)*CHOOSE(CONTROL!$C$42, 31, 31))/1000000</f>
        <v>4.2625000000000002</v>
      </c>
      <c r="W279" s="58">
        <f>(1000*CHOOSE(CONTROL!$C$42, 0.1146, 0.1146)*CHOOSE(CONTROL!$C$42, 121.5, 121.5)*CHOOSE(CONTROL!$C$42, 31, 31))/1000000</f>
        <v>0.43164089999999994</v>
      </c>
      <c r="X279" s="58">
        <f>(31*0.1790888*100000/1000000)+(31*0.2374*100000/1000000)</f>
        <v>1.2911152800000001</v>
      </c>
      <c r="Y279" s="58"/>
      <c r="Z279" s="10"/>
      <c r="AA279" s="57"/>
      <c r="AB279" s="51">
        <f>(B279*122.58+C279*297.941+D279*89.177+E279*40.302+F279*40+G279*160+H279*0+I279*100+J279*300)/(122.58+297.941+89.177+40.302+0+40+160+100+300)</f>
        <v>9.3917225619130438</v>
      </c>
      <c r="AC279" s="27">
        <f>(M279*'RAP TEMPLATE-GAS AVAILABILITY'!O278+N279*'RAP TEMPLATE-GAS AVAILABILITY'!P278+O279*'RAP TEMPLATE-GAS AVAILABILITY'!Q278+P279*'RAP TEMPLATE-GAS AVAILABILITY'!R278)/('RAP TEMPLATE-GAS AVAILABILITY'!O278+'RAP TEMPLATE-GAS AVAILABILITY'!P278+'RAP TEMPLATE-GAS AVAILABILITY'!Q278+'RAP TEMPLATE-GAS AVAILABILITY'!R278)</f>
        <v>9.3488949640287764</v>
      </c>
    </row>
    <row r="280" spans="1:29" ht="15.75" x14ac:dyDescent="0.25">
      <c r="A280" s="15">
        <v>49766</v>
      </c>
      <c r="B280" s="10">
        <f>CHOOSE(CONTROL!$C$42, 9.3353, 9.3353) * CHOOSE(CONTROL!$C$21, $C$9, 100%, $E$9)</f>
        <v>9.3353000000000002</v>
      </c>
      <c r="C280" s="10">
        <f>CHOOSE(CONTROL!$C$42, 9.3397, 9.3397) * CHOOSE(CONTROL!$C$21, $C$9, 100%, $E$9)</f>
        <v>9.3397000000000006</v>
      </c>
      <c r="D280" s="10">
        <f>CHOOSE(CONTROL!$C$42, 9.5214, 9.5214) * CHOOSE(CONTROL!$C$21, $C$9, 100%, $E$9)</f>
        <v>9.5213999999999999</v>
      </c>
      <c r="E280" s="10">
        <f>CHOOSE(CONTROL!$C$42, 9.5532, 9.5532) * CHOOSE(CONTROL!$C$21, $C$9, 100%, $E$9)</f>
        <v>9.5532000000000004</v>
      </c>
      <c r="F280" s="10">
        <f>CHOOSE(CONTROL!$C$42, 9.3237, 9.3237)*CHOOSE(CONTROL!$C$21, $C$9, 100%, $E$9)</f>
        <v>9.3237000000000005</v>
      </c>
      <c r="G280" s="10">
        <f>CHOOSE(CONTROL!$C$42, 9.3416, 9.3416)*CHOOSE(CONTROL!$C$21, $C$9, 100%, $E$9)</f>
        <v>9.3415999999999997</v>
      </c>
      <c r="H280" s="10">
        <f>CHOOSE(CONTROL!$C$42, 9.5429, 9.5429) * CHOOSE(CONTROL!$C$21, $C$9, 100%, $E$9)</f>
        <v>9.5428999999999995</v>
      </c>
      <c r="I280" s="10">
        <f>CHOOSE(CONTROL!$C$42, 9.3136, 9.3136)* CHOOSE(CONTROL!$C$21, $C$9, 100%, $E$9)</f>
        <v>9.3135999999999992</v>
      </c>
      <c r="J280" s="10">
        <f>CHOOSE(CONTROL!$C$42, 9.3167, 9.3167)* CHOOSE(CONTROL!$C$21, $C$9, 100%, $E$9)</f>
        <v>9.3167000000000009</v>
      </c>
      <c r="K280" s="54">
        <f>CHOOSE(CONTROL!$C$42, 9.3097, 9.3097) * CHOOSE(CONTROL!$C$21, $C$9, 100%, $E$9)</f>
        <v>9.3096999999999994</v>
      </c>
      <c r="L280" s="10">
        <f>CHOOSE(CONTROL!$C$42, 10.1299, 10.1299) * CHOOSE(CONTROL!$C$21, $C$9, 100%, $E$9)</f>
        <v>10.129899999999999</v>
      </c>
      <c r="M280" s="10">
        <f>CHOOSE(CONTROL!$C$42, 9.2365, 9.2365) * CHOOSE(CONTROL!$C$21, $C$9, 100%, $E$9)</f>
        <v>9.2364999999999995</v>
      </c>
      <c r="N280" s="10">
        <f>CHOOSE(CONTROL!$C$42, 9.2543, 9.2543) * CHOOSE(CONTROL!$C$21, $C$9, 100%, $E$9)</f>
        <v>9.2543000000000006</v>
      </c>
      <c r="O280" s="10">
        <f>CHOOSE(CONTROL!$C$42, 9.4605, 9.4605) * CHOOSE(CONTROL!$C$21, $C$9, 100%, $E$9)</f>
        <v>9.4604999999999997</v>
      </c>
      <c r="P280" s="10">
        <f>CHOOSE(CONTROL!$C$42, 9.2335, 9.2335) * CHOOSE(CONTROL!$C$21, $C$9, 100%, $E$9)</f>
        <v>9.2334999999999994</v>
      </c>
      <c r="Q280" s="10">
        <f>CHOOSE(CONTROL!$C$42, 10.0558, 10.0558) * CHOOSE(CONTROL!$C$21, $C$9, 100%, $E$9)</f>
        <v>10.0558</v>
      </c>
      <c r="R280" s="10">
        <f>CHOOSE(CONTROL!$C$42, 10.6679, 10.6679) * CHOOSE(CONTROL!$C$21, $C$9, 100%, $E$9)</f>
        <v>10.667899999999999</v>
      </c>
      <c r="S280" s="10">
        <f>CHOOSE(CONTROL!$C$42, 9.0626, 9.0626) * CHOOSE(CONTROL!$C$21, $C$9, 100%, $E$9)</f>
        <v>9.0625999999999998</v>
      </c>
      <c r="T280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80" s="58">
        <f>(1000*CHOOSE(CONTROL!$C$42, 695, 695)*CHOOSE(CONTROL!$C$42, 0.5599, 0.5599)*CHOOSE(CONTROL!$C$42, 30, 30))/1000000</f>
        <v>11.673914999999997</v>
      </c>
      <c r="V280" s="58">
        <f>(1000*CHOOSE(CONTROL!$C$42, 500, 500)*CHOOSE(CONTROL!$C$42, 0.275, 0.275)*CHOOSE(CONTROL!$C$42, 30, 30))/1000000</f>
        <v>4.125</v>
      </c>
      <c r="W280" s="58">
        <f>(1000*CHOOSE(CONTROL!$C$42, 0.1146, 0.1146)*CHOOSE(CONTROL!$C$42, 121.5, 121.5)*CHOOSE(CONTROL!$C$42, 30, 30))/1000000</f>
        <v>0.417717</v>
      </c>
      <c r="X280" s="58">
        <f>(30*0.1790888*245000/1000000)+(30*0.2374*100000/1000000)</f>
        <v>2.0285026799999999</v>
      </c>
      <c r="Y280" s="58"/>
      <c r="Z280" s="10"/>
      <c r="AA280" s="57"/>
      <c r="AB280" s="51">
        <f>(B280*141.293+C280*267.993+D280*115.016+E280*89.698+F280*40+G280*185+H280*0+I280*100+J280*300)/(141.293+267.993+115.016+89.698+0+40+185+100+300)</f>
        <v>9.3636134309927375</v>
      </c>
      <c r="AC280" s="27">
        <f>(M280*'RAP TEMPLATE-GAS AVAILABILITY'!O279+N280*'RAP TEMPLATE-GAS AVAILABILITY'!P279+O280*'RAP TEMPLATE-GAS AVAILABILITY'!Q279+P280*'RAP TEMPLATE-GAS AVAILABILITY'!R279)/('RAP TEMPLATE-GAS AVAILABILITY'!O279+'RAP TEMPLATE-GAS AVAILABILITY'!P279+'RAP TEMPLATE-GAS AVAILABILITY'!Q279+'RAP TEMPLATE-GAS AVAILABILITY'!R279)</f>
        <v>9.3030151079136676</v>
      </c>
    </row>
    <row r="281" spans="1:29" ht="15.75" x14ac:dyDescent="0.25">
      <c r="A281" s="15">
        <v>49796</v>
      </c>
      <c r="B281" s="10">
        <f>CHOOSE(CONTROL!$C$42, 9.4195, 9.4195) * CHOOSE(CONTROL!$C$21, $C$9, 100%, $E$9)</f>
        <v>9.4194999999999993</v>
      </c>
      <c r="C281" s="10">
        <f>CHOOSE(CONTROL!$C$42, 9.4274, 9.4274) * CHOOSE(CONTROL!$C$21, $C$9, 100%, $E$9)</f>
        <v>9.4274000000000004</v>
      </c>
      <c r="D281" s="10">
        <f>CHOOSE(CONTROL!$C$42, 9.6059, 9.6059) * CHOOSE(CONTROL!$C$21, $C$9, 100%, $E$9)</f>
        <v>9.6059000000000001</v>
      </c>
      <c r="E281" s="10">
        <f>CHOOSE(CONTROL!$C$42, 9.6371, 9.6371) * CHOOSE(CONTROL!$C$21, $C$9, 100%, $E$9)</f>
        <v>9.6371000000000002</v>
      </c>
      <c r="F281" s="10">
        <f>CHOOSE(CONTROL!$C$42, 9.4057, 9.4057)*CHOOSE(CONTROL!$C$21, $C$9, 100%, $E$9)</f>
        <v>9.4056999999999995</v>
      </c>
      <c r="G281" s="10">
        <f>CHOOSE(CONTROL!$C$42, 9.4238, 9.4238)*CHOOSE(CONTROL!$C$21, $C$9, 100%, $E$9)</f>
        <v>9.4238</v>
      </c>
      <c r="H281" s="10">
        <f>CHOOSE(CONTROL!$C$42, 9.6257, 9.6257) * CHOOSE(CONTROL!$C$21, $C$9, 100%, $E$9)</f>
        <v>9.6257000000000001</v>
      </c>
      <c r="I281" s="10">
        <f>CHOOSE(CONTROL!$C$42, 9.3963, 9.3963)* CHOOSE(CONTROL!$C$21, $C$9, 100%, $E$9)</f>
        <v>9.3963000000000001</v>
      </c>
      <c r="J281" s="10">
        <f>CHOOSE(CONTROL!$C$42, 9.3987, 9.3987)* CHOOSE(CONTROL!$C$21, $C$9, 100%, $E$9)</f>
        <v>9.3986999999999998</v>
      </c>
      <c r="K281" s="54">
        <f>CHOOSE(CONTROL!$C$42, 9.3925, 9.3925) * CHOOSE(CONTROL!$C$21, $C$9, 100%, $E$9)</f>
        <v>9.3925000000000001</v>
      </c>
      <c r="L281" s="10">
        <f>CHOOSE(CONTROL!$C$42, 10.2127, 10.2127) * CHOOSE(CONTROL!$C$21, $C$9, 100%, $E$9)</f>
        <v>10.2127</v>
      </c>
      <c r="M281" s="10">
        <f>CHOOSE(CONTROL!$C$42, 9.3176, 9.3176) * CHOOSE(CONTROL!$C$21, $C$9, 100%, $E$9)</f>
        <v>9.3176000000000005</v>
      </c>
      <c r="N281" s="10">
        <f>CHOOSE(CONTROL!$C$42, 9.3356, 9.3356) * CHOOSE(CONTROL!$C$21, $C$9, 100%, $E$9)</f>
        <v>9.3355999999999995</v>
      </c>
      <c r="O281" s="10">
        <f>CHOOSE(CONTROL!$C$42, 9.5424, 9.5424) * CHOOSE(CONTROL!$C$21, $C$9, 100%, $E$9)</f>
        <v>9.5424000000000007</v>
      </c>
      <c r="P281" s="10">
        <f>CHOOSE(CONTROL!$C$42, 9.3154, 9.3154) * CHOOSE(CONTROL!$C$21, $C$9, 100%, $E$9)</f>
        <v>9.3154000000000003</v>
      </c>
      <c r="Q281" s="10">
        <f>CHOOSE(CONTROL!$C$42, 10.1377, 10.1377) * CHOOSE(CONTROL!$C$21, $C$9, 100%, $E$9)</f>
        <v>10.137700000000001</v>
      </c>
      <c r="R281" s="10">
        <f>CHOOSE(CONTROL!$C$42, 10.75, 10.75) * CHOOSE(CONTROL!$C$21, $C$9, 100%, $E$9)</f>
        <v>10.75</v>
      </c>
      <c r="S281" s="10">
        <f>CHOOSE(CONTROL!$C$42, 9.143, 9.143) * CHOOSE(CONTROL!$C$21, $C$9, 100%, $E$9)</f>
        <v>9.1430000000000007</v>
      </c>
      <c r="T281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281" s="58">
        <f>(1000*CHOOSE(CONTROL!$C$42, 695, 695)*CHOOSE(CONTROL!$C$42, 0.5599, 0.5599)*CHOOSE(CONTROL!$C$42, 31, 31))/1000000</f>
        <v>12.063045499999998</v>
      </c>
      <c r="V281" s="58">
        <f>(1000*CHOOSE(CONTROL!$C$42, 500, 500)*CHOOSE(CONTROL!$C$42, 0.275, 0.275)*CHOOSE(CONTROL!$C$42, 31, 31))/1000000</f>
        <v>4.2625000000000002</v>
      </c>
      <c r="W281" s="58">
        <f>(1000*CHOOSE(CONTROL!$C$42, 0.1146, 0.1146)*CHOOSE(CONTROL!$C$42, 121.5, 121.5)*CHOOSE(CONTROL!$C$42, 31, 31))/1000000</f>
        <v>0.43164089999999994</v>
      </c>
      <c r="X281" s="58">
        <f>(31*0.1790888*245000/1000000)+(31*0.2374*100000/1000000)</f>
        <v>2.0961194359999999</v>
      </c>
      <c r="Y281" s="58"/>
      <c r="Z281" s="10"/>
      <c r="AA281" s="57"/>
      <c r="AB281" s="51">
        <f>(B281*194.205+C281*267.466+D281*133.845+E281*53.484+F281*40+G281*185+H281*0+I281*100+J281*300)/(194.205+267.466+133.845+53.484+0+40+185+100+300)</f>
        <v>9.4433487502354794</v>
      </c>
      <c r="AC281" s="27">
        <f>(M281*'RAP TEMPLATE-GAS AVAILABILITY'!O280+N281*'RAP TEMPLATE-GAS AVAILABILITY'!P280+O281*'RAP TEMPLATE-GAS AVAILABILITY'!Q280+P281*'RAP TEMPLATE-GAS AVAILABILITY'!R280)/('RAP TEMPLATE-GAS AVAILABILITY'!O280+'RAP TEMPLATE-GAS AVAILABILITY'!P280+'RAP TEMPLATE-GAS AVAILABILITY'!Q280+'RAP TEMPLATE-GAS AVAILABILITY'!R280)</f>
        <v>9.3845007194244605</v>
      </c>
    </row>
    <row r="282" spans="1:29" ht="15.75" x14ac:dyDescent="0.25">
      <c r="A282" s="15">
        <v>49827</v>
      </c>
      <c r="B282" s="10">
        <f>CHOOSE(CONTROL!$C$42, 9.6865, 9.6865) * CHOOSE(CONTROL!$C$21, $C$9, 100%, $E$9)</f>
        <v>9.6865000000000006</v>
      </c>
      <c r="C282" s="10">
        <f>CHOOSE(CONTROL!$C$42, 9.6944, 9.6944) * CHOOSE(CONTROL!$C$21, $C$9, 100%, $E$9)</f>
        <v>9.6943999999999999</v>
      </c>
      <c r="D282" s="10">
        <f>CHOOSE(CONTROL!$C$42, 9.873, 9.873) * CHOOSE(CONTROL!$C$21, $C$9, 100%, $E$9)</f>
        <v>9.8729999999999993</v>
      </c>
      <c r="E282" s="10">
        <f>CHOOSE(CONTROL!$C$42, 9.9041, 9.9041) * CHOOSE(CONTROL!$C$21, $C$9, 100%, $E$9)</f>
        <v>9.9040999999999997</v>
      </c>
      <c r="F282" s="10">
        <f>CHOOSE(CONTROL!$C$42, 9.6729, 9.6729)*CHOOSE(CONTROL!$C$21, $C$9, 100%, $E$9)</f>
        <v>9.6729000000000003</v>
      </c>
      <c r="G282" s="10">
        <f>CHOOSE(CONTROL!$C$42, 9.6912, 9.6912)*CHOOSE(CONTROL!$C$21, $C$9, 100%, $E$9)</f>
        <v>9.6912000000000003</v>
      </c>
      <c r="H282" s="10">
        <f>CHOOSE(CONTROL!$C$42, 9.8927, 9.8927) * CHOOSE(CONTROL!$C$21, $C$9, 100%, $E$9)</f>
        <v>9.8926999999999996</v>
      </c>
      <c r="I282" s="10">
        <f>CHOOSE(CONTROL!$C$42, 9.6634, 9.6634)* CHOOSE(CONTROL!$C$21, $C$9, 100%, $E$9)</f>
        <v>9.6633999999999993</v>
      </c>
      <c r="J282" s="10">
        <f>CHOOSE(CONTROL!$C$42, 9.6659, 9.6659)* CHOOSE(CONTROL!$C$21, $C$9, 100%, $E$9)</f>
        <v>9.6659000000000006</v>
      </c>
      <c r="K282" s="54">
        <f>CHOOSE(CONTROL!$C$42, 9.6595, 9.6595) * CHOOSE(CONTROL!$C$21, $C$9, 100%, $E$9)</f>
        <v>9.6594999999999995</v>
      </c>
      <c r="L282" s="10">
        <f>CHOOSE(CONTROL!$C$42, 10.4797, 10.4797) * CHOOSE(CONTROL!$C$21, $C$9, 100%, $E$9)</f>
        <v>10.479699999999999</v>
      </c>
      <c r="M282" s="10">
        <f>CHOOSE(CONTROL!$C$42, 9.5822, 9.5822) * CHOOSE(CONTROL!$C$21, $C$9, 100%, $E$9)</f>
        <v>9.5822000000000003</v>
      </c>
      <c r="N282" s="10">
        <f>CHOOSE(CONTROL!$C$42, 9.6003, 9.6003) * CHOOSE(CONTROL!$C$21, $C$9, 100%, $E$9)</f>
        <v>9.6003000000000007</v>
      </c>
      <c r="O282" s="10">
        <f>CHOOSE(CONTROL!$C$42, 9.8067, 9.8067) * CHOOSE(CONTROL!$C$21, $C$9, 100%, $E$9)</f>
        <v>9.8066999999999993</v>
      </c>
      <c r="P282" s="10">
        <f>CHOOSE(CONTROL!$C$42, 9.5797, 9.5797) * CHOOSE(CONTROL!$C$21, $C$9, 100%, $E$9)</f>
        <v>9.5797000000000008</v>
      </c>
      <c r="Q282" s="10">
        <f>CHOOSE(CONTROL!$C$42, 10.402, 10.402) * CHOOSE(CONTROL!$C$21, $C$9, 100%, $E$9)</f>
        <v>10.401999999999999</v>
      </c>
      <c r="R282" s="10">
        <f>CHOOSE(CONTROL!$C$42, 11.015, 11.015) * CHOOSE(CONTROL!$C$21, $C$9, 100%, $E$9)</f>
        <v>11.015000000000001</v>
      </c>
      <c r="S282" s="10">
        <f>CHOOSE(CONTROL!$C$42, 9.4023, 9.4023) * CHOOSE(CONTROL!$C$21, $C$9, 100%, $E$9)</f>
        <v>9.4023000000000003</v>
      </c>
      <c r="T282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282" s="58">
        <f>(1000*CHOOSE(CONTROL!$C$42, 695, 695)*CHOOSE(CONTROL!$C$42, 0.5599, 0.5599)*CHOOSE(CONTROL!$C$42, 30, 30))/1000000</f>
        <v>11.673914999999997</v>
      </c>
      <c r="V282" s="58">
        <f>(1000*CHOOSE(CONTROL!$C$42, 500, 500)*CHOOSE(CONTROL!$C$42, 0.275, 0.275)*CHOOSE(CONTROL!$C$42, 30, 30))/1000000</f>
        <v>4.125</v>
      </c>
      <c r="W282" s="58">
        <f>(1000*CHOOSE(CONTROL!$C$42, 0.1146, 0.1146)*CHOOSE(CONTROL!$C$42, 121.5, 121.5)*CHOOSE(CONTROL!$C$42, 30, 30))/1000000</f>
        <v>0.417717</v>
      </c>
      <c r="X282" s="58">
        <f>(30*0.1790888*245000/1000000)+(30*0.2374*100000/1000000)</f>
        <v>2.0285026799999999</v>
      </c>
      <c r="Y282" s="58"/>
      <c r="Z282" s="10"/>
      <c r="AA282" s="57"/>
      <c r="AB282" s="51">
        <f>(B282*194.205+C282*267.466+D282*133.845+E282*53.484+F282*40+G282*185+H282*0+I282*100+J282*300)/(194.205+267.466+133.845+53.484+0+40+185+100+300)</f>
        <v>9.7104785653846157</v>
      </c>
      <c r="AC282" s="27">
        <f>(M282*'RAP TEMPLATE-GAS AVAILABILITY'!O281+N282*'RAP TEMPLATE-GAS AVAILABILITY'!P281+O282*'RAP TEMPLATE-GAS AVAILABILITY'!Q281+P282*'RAP TEMPLATE-GAS AVAILABILITY'!R281)/('RAP TEMPLATE-GAS AVAILABILITY'!O281+'RAP TEMPLATE-GAS AVAILABILITY'!P281+'RAP TEMPLATE-GAS AVAILABILITY'!Q281+'RAP TEMPLATE-GAS AVAILABILITY'!R281)</f>
        <v>9.6489964028776996</v>
      </c>
    </row>
    <row r="283" spans="1:29" ht="15.75" x14ac:dyDescent="0.25">
      <c r="A283" s="15">
        <v>49857</v>
      </c>
      <c r="B283" s="10">
        <f>CHOOSE(CONTROL!$C$42, 9.5008, 9.5008) * CHOOSE(CONTROL!$C$21, $C$9, 100%, $E$9)</f>
        <v>9.5007999999999999</v>
      </c>
      <c r="C283" s="10">
        <f>CHOOSE(CONTROL!$C$42, 9.5087, 9.5087) * CHOOSE(CONTROL!$C$21, $C$9, 100%, $E$9)</f>
        <v>9.5086999999999993</v>
      </c>
      <c r="D283" s="10">
        <f>CHOOSE(CONTROL!$C$42, 9.6872, 9.6872) * CHOOSE(CONTROL!$C$21, $C$9, 100%, $E$9)</f>
        <v>9.6872000000000007</v>
      </c>
      <c r="E283" s="10">
        <f>CHOOSE(CONTROL!$C$42, 9.7184, 9.7184) * CHOOSE(CONTROL!$C$21, $C$9, 100%, $E$9)</f>
        <v>9.7184000000000008</v>
      </c>
      <c r="F283" s="10">
        <f>CHOOSE(CONTROL!$C$42, 9.4875, 9.4875)*CHOOSE(CONTROL!$C$21, $C$9, 100%, $E$9)</f>
        <v>9.4875000000000007</v>
      </c>
      <c r="G283" s="10">
        <f>CHOOSE(CONTROL!$C$42, 9.5058, 9.5058)*CHOOSE(CONTROL!$C$21, $C$9, 100%, $E$9)</f>
        <v>9.5058000000000007</v>
      </c>
      <c r="H283" s="10">
        <f>CHOOSE(CONTROL!$C$42, 9.707, 9.707) * CHOOSE(CONTROL!$C$21, $C$9, 100%, $E$9)</f>
        <v>9.7070000000000007</v>
      </c>
      <c r="I283" s="10">
        <f>CHOOSE(CONTROL!$C$42, 9.4777, 9.4777)* CHOOSE(CONTROL!$C$21, $C$9, 100%, $E$9)</f>
        <v>9.4777000000000005</v>
      </c>
      <c r="J283" s="10">
        <f>CHOOSE(CONTROL!$C$42, 9.4805, 9.4805)* CHOOSE(CONTROL!$C$21, $C$9, 100%, $E$9)</f>
        <v>9.4804999999999993</v>
      </c>
      <c r="K283" s="54">
        <f>CHOOSE(CONTROL!$C$42, 9.4738, 9.4738) * CHOOSE(CONTROL!$C$21, $C$9, 100%, $E$9)</f>
        <v>9.4738000000000007</v>
      </c>
      <c r="L283" s="10">
        <f>CHOOSE(CONTROL!$C$42, 10.294, 10.294) * CHOOSE(CONTROL!$C$21, $C$9, 100%, $E$9)</f>
        <v>10.294</v>
      </c>
      <c r="M283" s="10">
        <f>CHOOSE(CONTROL!$C$42, 9.3986, 9.3986) * CHOOSE(CONTROL!$C$21, $C$9, 100%, $E$9)</f>
        <v>9.3986000000000001</v>
      </c>
      <c r="N283" s="10">
        <f>CHOOSE(CONTROL!$C$42, 9.4168, 9.4168) * CHOOSE(CONTROL!$C$21, $C$9, 100%, $E$9)</f>
        <v>9.4168000000000003</v>
      </c>
      <c r="O283" s="10">
        <f>CHOOSE(CONTROL!$C$42, 9.6229, 9.6229) * CHOOSE(CONTROL!$C$21, $C$9, 100%, $E$9)</f>
        <v>9.6228999999999996</v>
      </c>
      <c r="P283" s="10">
        <f>CHOOSE(CONTROL!$C$42, 9.3959, 9.3959) * CHOOSE(CONTROL!$C$21, $C$9, 100%, $E$9)</f>
        <v>9.3958999999999993</v>
      </c>
      <c r="Q283" s="10">
        <f>CHOOSE(CONTROL!$C$42, 10.2182, 10.2182) * CHOOSE(CONTROL!$C$21, $C$9, 100%, $E$9)</f>
        <v>10.2182</v>
      </c>
      <c r="R283" s="10">
        <f>CHOOSE(CONTROL!$C$42, 10.8307, 10.8307) * CHOOSE(CONTROL!$C$21, $C$9, 100%, $E$9)</f>
        <v>10.8307</v>
      </c>
      <c r="S283" s="10">
        <f>CHOOSE(CONTROL!$C$42, 9.222, 9.222) * CHOOSE(CONTROL!$C$21, $C$9, 100%, $E$9)</f>
        <v>9.2219999999999995</v>
      </c>
      <c r="T283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283" s="58">
        <f>(1000*CHOOSE(CONTROL!$C$42, 695, 695)*CHOOSE(CONTROL!$C$42, 0.5599, 0.5599)*CHOOSE(CONTROL!$C$42, 31, 31))/1000000</f>
        <v>12.063045499999998</v>
      </c>
      <c r="V283" s="58">
        <f>(1000*CHOOSE(CONTROL!$C$42, 500, 500)*CHOOSE(CONTROL!$C$42, 0.275, 0.275)*CHOOSE(CONTROL!$C$42, 31, 31))/1000000</f>
        <v>4.2625000000000002</v>
      </c>
      <c r="W283" s="58">
        <f>(1000*CHOOSE(CONTROL!$C$42, 0.1146, 0.1146)*CHOOSE(CONTROL!$C$42, 121.5, 121.5)*CHOOSE(CONTROL!$C$42, 31, 31))/1000000</f>
        <v>0.43164089999999994</v>
      </c>
      <c r="X283" s="58">
        <f>(31*0.1790888*245000/1000000)+(31*0.2374*100000/1000000)</f>
        <v>2.0961194359999999</v>
      </c>
      <c r="Y283" s="58"/>
      <c r="Z283" s="10"/>
      <c r="AA283" s="57"/>
      <c r="AB283" s="51">
        <f>(B283*194.205+C283*267.466+D283*133.845+E283*53.484+F283*40+G283*185+H283*0+I283*100+J283*300)/(194.205+267.466+133.845+53.484+0+40+185+100+300)</f>
        <v>9.5248916858712729</v>
      </c>
      <c r="AC283" s="27">
        <f>(M283*'RAP TEMPLATE-GAS AVAILABILITY'!O282+N283*'RAP TEMPLATE-GAS AVAILABILITY'!P282+O283*'RAP TEMPLATE-GAS AVAILABILITY'!Q282+P283*'RAP TEMPLATE-GAS AVAILABILITY'!R282)/('RAP TEMPLATE-GAS AVAILABILITY'!O282+'RAP TEMPLATE-GAS AVAILABILITY'!P282+'RAP TEMPLATE-GAS AVAILABILITY'!Q282+'RAP TEMPLATE-GAS AVAILABILITY'!R282)</f>
        <v>9.4653345323741007</v>
      </c>
    </row>
    <row r="284" spans="1:29" ht="15.75" x14ac:dyDescent="0.25">
      <c r="A284" s="15">
        <v>49888</v>
      </c>
      <c r="B284" s="10">
        <f>CHOOSE(CONTROL!$C$42, 9.0318, 9.0318) * CHOOSE(CONTROL!$C$21, $C$9, 100%, $E$9)</f>
        <v>9.0318000000000005</v>
      </c>
      <c r="C284" s="10">
        <f>CHOOSE(CONTROL!$C$42, 9.0397, 9.0397) * CHOOSE(CONTROL!$C$21, $C$9, 100%, $E$9)</f>
        <v>9.0396999999999998</v>
      </c>
      <c r="D284" s="10">
        <f>CHOOSE(CONTROL!$C$42, 9.2182, 9.2182) * CHOOSE(CONTROL!$C$21, $C$9, 100%, $E$9)</f>
        <v>9.2181999999999995</v>
      </c>
      <c r="E284" s="10">
        <f>CHOOSE(CONTROL!$C$42, 9.2494, 9.2494) * CHOOSE(CONTROL!$C$21, $C$9, 100%, $E$9)</f>
        <v>9.2493999999999996</v>
      </c>
      <c r="F284" s="10">
        <f>CHOOSE(CONTROL!$C$42, 9.0184, 9.0184)*CHOOSE(CONTROL!$C$21, $C$9, 100%, $E$9)</f>
        <v>9.0183999999999997</v>
      </c>
      <c r="G284" s="10">
        <f>CHOOSE(CONTROL!$C$42, 9.0367, 9.0367)*CHOOSE(CONTROL!$C$21, $C$9, 100%, $E$9)</f>
        <v>9.0366999999999997</v>
      </c>
      <c r="H284" s="10">
        <f>CHOOSE(CONTROL!$C$42, 9.238, 9.238) * CHOOSE(CONTROL!$C$21, $C$9, 100%, $E$9)</f>
        <v>9.2379999999999995</v>
      </c>
      <c r="I284" s="10">
        <f>CHOOSE(CONTROL!$C$42, 9.0086, 9.0086)* CHOOSE(CONTROL!$C$21, $C$9, 100%, $E$9)</f>
        <v>9.0085999999999995</v>
      </c>
      <c r="J284" s="10">
        <f>CHOOSE(CONTROL!$C$42, 9.0114, 9.0114)* CHOOSE(CONTROL!$C$21, $C$9, 100%, $E$9)</f>
        <v>9.0114000000000001</v>
      </c>
      <c r="K284" s="54">
        <f>CHOOSE(CONTROL!$C$42, 9.0047, 9.0047) * CHOOSE(CONTROL!$C$21, $C$9, 100%, $E$9)</f>
        <v>9.0046999999999997</v>
      </c>
      <c r="L284" s="10">
        <f>CHOOSE(CONTROL!$C$42, 9.825, 9.825) * CHOOSE(CONTROL!$C$21, $C$9, 100%, $E$9)</f>
        <v>9.8249999999999993</v>
      </c>
      <c r="M284" s="10">
        <f>CHOOSE(CONTROL!$C$42, 8.9343, 8.9343) * CHOOSE(CONTROL!$C$21, $C$9, 100%, $E$9)</f>
        <v>8.9343000000000004</v>
      </c>
      <c r="N284" s="10">
        <f>CHOOSE(CONTROL!$C$42, 8.9524, 8.9524) * CHOOSE(CONTROL!$C$21, $C$9, 100%, $E$9)</f>
        <v>8.9524000000000008</v>
      </c>
      <c r="O284" s="10">
        <f>CHOOSE(CONTROL!$C$42, 9.1586, 9.1586) * CHOOSE(CONTROL!$C$21, $C$9, 100%, $E$9)</f>
        <v>9.1585999999999999</v>
      </c>
      <c r="P284" s="10">
        <f>CHOOSE(CONTROL!$C$42, 8.9316, 8.9316) * CHOOSE(CONTROL!$C$21, $C$9, 100%, $E$9)</f>
        <v>8.9315999999999995</v>
      </c>
      <c r="Q284" s="10">
        <f>CHOOSE(CONTROL!$C$42, 9.7539, 9.7539) * CHOOSE(CONTROL!$C$21, $C$9, 100%, $E$9)</f>
        <v>9.7538999999999998</v>
      </c>
      <c r="R284" s="10">
        <f>CHOOSE(CONTROL!$C$42, 10.3653, 10.3653) * CHOOSE(CONTROL!$C$21, $C$9, 100%, $E$9)</f>
        <v>10.3653</v>
      </c>
      <c r="S284" s="10">
        <f>CHOOSE(CONTROL!$C$42, 8.7665, 8.7665) * CHOOSE(CONTROL!$C$21, $C$9, 100%, $E$9)</f>
        <v>8.7665000000000006</v>
      </c>
      <c r="T284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84" s="58">
        <f>(1000*CHOOSE(CONTROL!$C$42, 695, 695)*CHOOSE(CONTROL!$C$42, 0.5599, 0.5599)*CHOOSE(CONTROL!$C$42, 31, 31))/1000000</f>
        <v>12.063045499999998</v>
      </c>
      <c r="V284" s="58">
        <f>(1000*CHOOSE(CONTROL!$C$42, 500, 500)*CHOOSE(CONTROL!$C$42, 0.275, 0.275)*CHOOSE(CONTROL!$C$42, 31, 31))/1000000</f>
        <v>4.2625000000000002</v>
      </c>
      <c r="W284" s="58">
        <f>(1000*CHOOSE(CONTROL!$C$42, 0.1146, 0.1146)*CHOOSE(CONTROL!$C$42, 121.5, 121.5)*CHOOSE(CONTROL!$C$42, 31, 31))/1000000</f>
        <v>0.43164089999999994</v>
      </c>
      <c r="X284" s="58">
        <f>(31*0.1790888*245000/1000000)+(31*0.2374*100000/1000000)</f>
        <v>2.0961194359999999</v>
      </c>
      <c r="Y284" s="58"/>
      <c r="Z284" s="10"/>
      <c r="AA284" s="57"/>
      <c r="AB284" s="51">
        <f>(B284*194.205+C284*267.466+D284*133.845+E284*53.484+F284*40+G284*185+H284*0+I284*100+J284*300)/(194.205+267.466+133.845+53.484+0+40+185+100+300)</f>
        <v>9.0558426277864985</v>
      </c>
      <c r="AC284" s="27">
        <f>(M284*'RAP TEMPLATE-GAS AVAILABILITY'!O283+N284*'RAP TEMPLATE-GAS AVAILABILITY'!P283+O284*'RAP TEMPLATE-GAS AVAILABILITY'!Q283+P284*'RAP TEMPLATE-GAS AVAILABILITY'!R283)/('RAP TEMPLATE-GAS AVAILABILITY'!O283+'RAP TEMPLATE-GAS AVAILABILITY'!P283+'RAP TEMPLATE-GAS AVAILABILITY'!Q283+'RAP TEMPLATE-GAS AVAILABILITY'!R283)</f>
        <v>9.0010115107913666</v>
      </c>
    </row>
    <row r="285" spans="1:29" ht="15.75" x14ac:dyDescent="0.25">
      <c r="A285" s="15">
        <v>49919</v>
      </c>
      <c r="B285" s="10">
        <f>CHOOSE(CONTROL!$C$42, 8.4587, 8.4587) * CHOOSE(CONTROL!$C$21, $C$9, 100%, $E$9)</f>
        <v>8.4587000000000003</v>
      </c>
      <c r="C285" s="10">
        <f>CHOOSE(CONTROL!$C$42, 8.4666, 8.4666) * CHOOSE(CONTROL!$C$21, $C$9, 100%, $E$9)</f>
        <v>8.4665999999999997</v>
      </c>
      <c r="D285" s="10">
        <f>CHOOSE(CONTROL!$C$42, 8.6452, 8.6452) * CHOOSE(CONTROL!$C$21, $C$9, 100%, $E$9)</f>
        <v>8.6452000000000009</v>
      </c>
      <c r="E285" s="10">
        <f>CHOOSE(CONTROL!$C$42, 8.6763, 8.6763) * CHOOSE(CONTROL!$C$21, $C$9, 100%, $E$9)</f>
        <v>8.6762999999999995</v>
      </c>
      <c r="F285" s="10">
        <f>CHOOSE(CONTROL!$C$42, 8.4451, 8.4451)*CHOOSE(CONTROL!$C$21, $C$9, 100%, $E$9)</f>
        <v>8.4451000000000001</v>
      </c>
      <c r="G285" s="10">
        <f>CHOOSE(CONTROL!$C$42, 8.4633, 8.4633)*CHOOSE(CONTROL!$C$21, $C$9, 100%, $E$9)</f>
        <v>8.4633000000000003</v>
      </c>
      <c r="H285" s="10">
        <f>CHOOSE(CONTROL!$C$42, 8.6649, 8.6649) * CHOOSE(CONTROL!$C$21, $C$9, 100%, $E$9)</f>
        <v>8.6648999999999994</v>
      </c>
      <c r="I285" s="10">
        <f>CHOOSE(CONTROL!$C$42, 8.4356, 8.4356)* CHOOSE(CONTROL!$C$21, $C$9, 100%, $E$9)</f>
        <v>8.4356000000000009</v>
      </c>
      <c r="J285" s="10">
        <f>CHOOSE(CONTROL!$C$42, 8.4381, 8.4381)* CHOOSE(CONTROL!$C$21, $C$9, 100%, $E$9)</f>
        <v>8.4381000000000004</v>
      </c>
      <c r="K285" s="54">
        <f>CHOOSE(CONTROL!$C$42, 8.4317, 8.4317) * CHOOSE(CONTROL!$C$21, $C$9, 100%, $E$9)</f>
        <v>8.4316999999999993</v>
      </c>
      <c r="L285" s="10">
        <f>CHOOSE(CONTROL!$C$42, 9.2519, 9.2519) * CHOOSE(CONTROL!$C$21, $C$9, 100%, $E$9)</f>
        <v>9.2518999999999991</v>
      </c>
      <c r="M285" s="10">
        <f>CHOOSE(CONTROL!$C$42, 8.3668, 8.3668) * CHOOSE(CONTROL!$C$21, $C$9, 100%, $E$9)</f>
        <v>8.3667999999999996</v>
      </c>
      <c r="N285" s="10">
        <f>CHOOSE(CONTROL!$C$42, 8.3848, 8.3848) * CHOOSE(CONTROL!$C$21, $C$9, 100%, $E$9)</f>
        <v>8.3848000000000003</v>
      </c>
      <c r="O285" s="10">
        <f>CHOOSE(CONTROL!$C$42, 8.5913, 8.5913) * CHOOSE(CONTROL!$C$21, $C$9, 100%, $E$9)</f>
        <v>8.5913000000000004</v>
      </c>
      <c r="P285" s="10">
        <f>CHOOSE(CONTROL!$C$42, 8.3643, 8.3643) * CHOOSE(CONTROL!$C$21, $C$9, 100%, $E$9)</f>
        <v>8.3643000000000001</v>
      </c>
      <c r="Q285" s="10">
        <f>CHOOSE(CONTROL!$C$42, 9.1866, 9.1866) * CHOOSE(CONTROL!$C$21, $C$9, 100%, $E$9)</f>
        <v>9.1866000000000003</v>
      </c>
      <c r="R285" s="10">
        <f>CHOOSE(CONTROL!$C$42, 9.7966, 9.7966) * CHOOSE(CONTROL!$C$21, $C$9, 100%, $E$9)</f>
        <v>9.7965999999999998</v>
      </c>
      <c r="S285" s="10">
        <f>CHOOSE(CONTROL!$C$42, 8.21, 8.21) * CHOOSE(CONTROL!$C$21, $C$9, 100%, $E$9)</f>
        <v>8.2100000000000009</v>
      </c>
      <c r="T285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85" s="58">
        <f>(1000*CHOOSE(CONTROL!$C$42, 695, 695)*CHOOSE(CONTROL!$C$42, 0.5599, 0.5599)*CHOOSE(CONTROL!$C$42, 30, 30))/1000000</f>
        <v>11.673914999999997</v>
      </c>
      <c r="V285" s="58">
        <f>(1000*CHOOSE(CONTROL!$C$42, 500, 500)*CHOOSE(CONTROL!$C$42, 0.275, 0.275)*CHOOSE(CONTROL!$C$42, 30, 30))/1000000</f>
        <v>4.125</v>
      </c>
      <c r="W285" s="58">
        <f>(1000*CHOOSE(CONTROL!$C$42, 0.1146, 0.1146)*CHOOSE(CONTROL!$C$42, 121.5, 121.5)*CHOOSE(CONTROL!$C$42, 30, 30))/1000000</f>
        <v>0.417717</v>
      </c>
      <c r="X285" s="58">
        <f>(30*0.1790888*245000/1000000)+(30*0.2374*100000/1000000)</f>
        <v>2.0285026799999999</v>
      </c>
      <c r="Y285" s="58"/>
      <c r="Z285" s="10"/>
      <c r="AA285" s="57"/>
      <c r="AB285" s="51">
        <f>(B285*194.205+C285*267.466+D285*133.845+E285*53.484+F285*40+G285*185+H285*0+I285*100+J285*300)/(194.205+267.466+133.845+53.484+0+40+185+100+300)</f>
        <v>8.4826640441915231</v>
      </c>
      <c r="AC285" s="27">
        <f>(M285*'RAP TEMPLATE-GAS AVAILABILITY'!O284+N285*'RAP TEMPLATE-GAS AVAILABILITY'!P284+O285*'RAP TEMPLATE-GAS AVAILABILITY'!Q284+P285*'RAP TEMPLATE-GAS AVAILABILITY'!R284)/('RAP TEMPLATE-GAS AVAILABILITY'!O284+'RAP TEMPLATE-GAS AVAILABILITY'!P284+'RAP TEMPLATE-GAS AVAILABILITY'!Q284+'RAP TEMPLATE-GAS AVAILABILITY'!R284)</f>
        <v>8.4335733812949645</v>
      </c>
    </row>
    <row r="286" spans="1:29" ht="15.75" x14ac:dyDescent="0.25">
      <c r="A286" s="15">
        <v>49949</v>
      </c>
      <c r="B286" s="10">
        <f>CHOOSE(CONTROL!$C$42, 8.2849, 8.2849) * CHOOSE(CONTROL!$C$21, $C$9, 100%, $E$9)</f>
        <v>8.2849000000000004</v>
      </c>
      <c r="C286" s="10">
        <f>CHOOSE(CONTROL!$C$42, 8.2901, 8.2901) * CHOOSE(CONTROL!$C$21, $C$9, 100%, $E$9)</f>
        <v>8.2901000000000007</v>
      </c>
      <c r="D286" s="10">
        <f>CHOOSE(CONTROL!$C$42, 8.4736, 8.4736) * CHOOSE(CONTROL!$C$21, $C$9, 100%, $E$9)</f>
        <v>8.4735999999999994</v>
      </c>
      <c r="E286" s="10">
        <f>CHOOSE(CONTROL!$C$42, 8.5024, 8.5024) * CHOOSE(CONTROL!$C$21, $C$9, 100%, $E$9)</f>
        <v>8.5023999999999997</v>
      </c>
      <c r="F286" s="10">
        <f>CHOOSE(CONTROL!$C$42, 8.2733, 8.2733)*CHOOSE(CONTROL!$C$21, $C$9, 100%, $E$9)</f>
        <v>8.2733000000000008</v>
      </c>
      <c r="G286" s="10">
        <f>CHOOSE(CONTROL!$C$42, 8.2911, 8.2911)*CHOOSE(CONTROL!$C$21, $C$9, 100%, $E$9)</f>
        <v>8.2911000000000001</v>
      </c>
      <c r="H286" s="10">
        <f>CHOOSE(CONTROL!$C$42, 8.4929, 8.4929) * CHOOSE(CONTROL!$C$21, $C$9, 100%, $E$9)</f>
        <v>8.4929000000000006</v>
      </c>
      <c r="I286" s="10">
        <f>CHOOSE(CONTROL!$C$42, 8.2636, 8.2636)* CHOOSE(CONTROL!$C$21, $C$9, 100%, $E$9)</f>
        <v>8.2636000000000003</v>
      </c>
      <c r="J286" s="10">
        <f>CHOOSE(CONTROL!$C$42, 8.2663, 8.2663)* CHOOSE(CONTROL!$C$21, $C$9, 100%, $E$9)</f>
        <v>8.2662999999999993</v>
      </c>
      <c r="K286" s="54">
        <f>CHOOSE(CONTROL!$C$42, 8.2597, 8.2597) * CHOOSE(CONTROL!$C$21, $C$9, 100%, $E$9)</f>
        <v>8.2597000000000005</v>
      </c>
      <c r="L286" s="10">
        <f>CHOOSE(CONTROL!$C$42, 9.0799, 9.0799) * CHOOSE(CONTROL!$C$21, $C$9, 100%, $E$9)</f>
        <v>9.0799000000000003</v>
      </c>
      <c r="M286" s="10">
        <f>CHOOSE(CONTROL!$C$42, 8.1967, 8.1967) * CHOOSE(CONTROL!$C$21, $C$9, 100%, $E$9)</f>
        <v>8.1966999999999999</v>
      </c>
      <c r="N286" s="10">
        <f>CHOOSE(CONTROL!$C$42, 8.2144, 8.2144) * CHOOSE(CONTROL!$C$21, $C$9, 100%, $E$9)</f>
        <v>8.2143999999999995</v>
      </c>
      <c r="O286" s="10">
        <f>CHOOSE(CONTROL!$C$42, 8.421, 8.421) * CHOOSE(CONTROL!$C$21, $C$9, 100%, $E$9)</f>
        <v>8.4209999999999994</v>
      </c>
      <c r="P286" s="10">
        <f>CHOOSE(CONTROL!$C$42, 8.194, 8.194) * CHOOSE(CONTROL!$C$21, $C$9, 100%, $E$9)</f>
        <v>8.1940000000000008</v>
      </c>
      <c r="Q286" s="10">
        <f>CHOOSE(CONTROL!$C$42, 9.0163, 9.0163) * CHOOSE(CONTROL!$C$21, $C$9, 100%, $E$9)</f>
        <v>9.0162999999999993</v>
      </c>
      <c r="R286" s="10">
        <f>CHOOSE(CONTROL!$C$42, 9.6259, 9.6259) * CHOOSE(CONTROL!$C$21, $C$9, 100%, $E$9)</f>
        <v>9.6258999999999997</v>
      </c>
      <c r="S286" s="10">
        <f>CHOOSE(CONTROL!$C$42, 8.043, 8.043) * CHOOSE(CONTROL!$C$21, $C$9, 100%, $E$9)</f>
        <v>8.0429999999999993</v>
      </c>
      <c r="T286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86" s="58">
        <f>(1000*CHOOSE(CONTROL!$C$42, 695, 695)*CHOOSE(CONTROL!$C$42, 0.5599, 0.5599)*CHOOSE(CONTROL!$C$42, 31, 31))/1000000</f>
        <v>12.063045499999998</v>
      </c>
      <c r="V286" s="58">
        <f>(1000*CHOOSE(CONTROL!$C$42, 500, 500)*CHOOSE(CONTROL!$C$42, 0.275, 0.275)*CHOOSE(CONTROL!$C$42, 31, 31))/1000000</f>
        <v>4.2625000000000002</v>
      </c>
      <c r="W286" s="58">
        <f>(1000*CHOOSE(CONTROL!$C$42, 0.1146, 0.1146)*CHOOSE(CONTROL!$C$42, 121.5, 121.5)*CHOOSE(CONTROL!$C$42, 31, 31))/1000000</f>
        <v>0.43164089999999994</v>
      </c>
      <c r="X286" s="58">
        <f>(31*0.1790888*245000/1000000)+(31*0.2374*100000/1000000)</f>
        <v>2.0961194359999999</v>
      </c>
      <c r="Y286" s="58"/>
      <c r="Z286" s="10"/>
      <c r="AA286" s="57"/>
      <c r="AB286" s="51">
        <f>(B286*131.881+C286*277.167+D286*79.08+E286*125.872+F286*40+G286*185+H286*0+I286*100+J286*300)/(131.881+277.167+79.08+125.872+0+40+185+100+300)</f>
        <v>8.3145318195318794</v>
      </c>
      <c r="AC286" s="27">
        <f>(M286*'RAP TEMPLATE-GAS AVAILABILITY'!O285+N286*'RAP TEMPLATE-GAS AVAILABILITY'!P285+O286*'RAP TEMPLATE-GAS AVAILABILITY'!Q285+P286*'RAP TEMPLATE-GAS AVAILABILITY'!R285)/('RAP TEMPLATE-GAS AVAILABILITY'!O285+'RAP TEMPLATE-GAS AVAILABILITY'!P285+'RAP TEMPLATE-GAS AVAILABILITY'!Q285+'RAP TEMPLATE-GAS AVAILABILITY'!R285)</f>
        <v>8.2633194244604304</v>
      </c>
    </row>
    <row r="287" spans="1:29" ht="15.75" x14ac:dyDescent="0.25">
      <c r="A287" s="15">
        <v>49980</v>
      </c>
      <c r="B287" s="10">
        <f>CHOOSE(CONTROL!$C$42, 8.5027, 8.5027) * CHOOSE(CONTROL!$C$21, $C$9, 100%, $E$9)</f>
        <v>8.5027000000000008</v>
      </c>
      <c r="C287" s="10">
        <f>CHOOSE(CONTROL!$C$42, 8.5076, 8.5076) * CHOOSE(CONTROL!$C$21, $C$9, 100%, $E$9)</f>
        <v>8.5076000000000001</v>
      </c>
      <c r="D287" s="10">
        <f>CHOOSE(CONTROL!$C$42, 8.5372, 8.5372) * CHOOSE(CONTROL!$C$21, $C$9, 100%, $E$9)</f>
        <v>8.5372000000000003</v>
      </c>
      <c r="E287" s="10">
        <f>CHOOSE(CONTROL!$C$42, 8.571, 8.571) * CHOOSE(CONTROL!$C$21, $C$9, 100%, $E$9)</f>
        <v>8.5709999999999997</v>
      </c>
      <c r="F287" s="10">
        <f>CHOOSE(CONTROL!$C$42, 8.4884, 8.4884)*CHOOSE(CONTROL!$C$21, $C$9, 100%, $E$9)</f>
        <v>8.4884000000000004</v>
      </c>
      <c r="G287" s="10">
        <f>CHOOSE(CONTROL!$C$42, 8.5065, 8.5065)*CHOOSE(CONTROL!$C$21, $C$9, 100%, $E$9)</f>
        <v>8.5065000000000008</v>
      </c>
      <c r="H287" s="10">
        <f>CHOOSE(CONTROL!$C$42, 8.5602, 8.5602) * CHOOSE(CONTROL!$C$21, $C$9, 100%, $E$9)</f>
        <v>8.5602</v>
      </c>
      <c r="I287" s="10">
        <f>CHOOSE(CONTROL!$C$42, 8.4689, 8.4689)* CHOOSE(CONTROL!$C$21, $C$9, 100%, $E$9)</f>
        <v>8.4688999999999997</v>
      </c>
      <c r="J287" s="10">
        <f>CHOOSE(CONTROL!$C$42, 8.4814, 8.4814)* CHOOSE(CONTROL!$C$21, $C$9, 100%, $E$9)</f>
        <v>8.4814000000000007</v>
      </c>
      <c r="K287" s="54">
        <f>CHOOSE(CONTROL!$C$42, 8.465, 8.465) * CHOOSE(CONTROL!$C$21, $C$9, 100%, $E$9)</f>
        <v>8.4649999999999999</v>
      </c>
      <c r="L287" s="10">
        <f>CHOOSE(CONTROL!$C$42, 9.1472, 9.1472) * CHOOSE(CONTROL!$C$21, $C$9, 100%, $E$9)</f>
        <v>9.1471999999999998</v>
      </c>
      <c r="M287" s="10">
        <f>CHOOSE(CONTROL!$C$42, 8.4097, 8.4097) * CHOOSE(CONTROL!$C$21, $C$9, 100%, $E$9)</f>
        <v>8.4097000000000008</v>
      </c>
      <c r="N287" s="10">
        <f>CHOOSE(CONTROL!$C$42, 8.4275, 8.4275) * CHOOSE(CONTROL!$C$21, $C$9, 100%, $E$9)</f>
        <v>8.4275000000000002</v>
      </c>
      <c r="O287" s="10">
        <f>CHOOSE(CONTROL!$C$42, 8.4877, 8.4877) * CHOOSE(CONTROL!$C$21, $C$9, 100%, $E$9)</f>
        <v>8.4877000000000002</v>
      </c>
      <c r="P287" s="10">
        <f>CHOOSE(CONTROL!$C$42, 8.3973, 8.3973) * CHOOSE(CONTROL!$C$21, $C$9, 100%, $E$9)</f>
        <v>8.3972999999999995</v>
      </c>
      <c r="Q287" s="10">
        <f>CHOOSE(CONTROL!$C$42, 9.083, 9.083) * CHOOSE(CONTROL!$C$21, $C$9, 100%, $E$9)</f>
        <v>9.0830000000000002</v>
      </c>
      <c r="R287" s="10">
        <f>CHOOSE(CONTROL!$C$42, 9.6927, 9.6927) * CHOOSE(CONTROL!$C$21, $C$9, 100%, $E$9)</f>
        <v>9.6927000000000003</v>
      </c>
      <c r="S287" s="10">
        <f>CHOOSE(CONTROL!$C$42, 8.2548, 8.2548) * CHOOSE(CONTROL!$C$21, $C$9, 100%, $E$9)</f>
        <v>8.2547999999999995</v>
      </c>
      <c r="T287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87" s="58">
        <f>(1000*CHOOSE(CONTROL!$C$42, 695, 695)*CHOOSE(CONTROL!$C$42, 0.5599, 0.5599)*CHOOSE(CONTROL!$C$42, 30, 30))/1000000</f>
        <v>11.673914999999997</v>
      </c>
      <c r="V287" s="58">
        <f>(1000*CHOOSE(CONTROL!$C$42, 500, 500)*CHOOSE(CONTROL!$C$42, 0.275, 0.275)*CHOOSE(CONTROL!$C$42, 30, 30))/1000000</f>
        <v>4.125</v>
      </c>
      <c r="W287" s="58">
        <f>(1000*CHOOSE(CONTROL!$C$42, 0.1146, 0.1146)*CHOOSE(CONTROL!$C$42, 121.5, 121.5)*CHOOSE(CONTROL!$C$42, 30, 30))/1000000</f>
        <v>0.417717</v>
      </c>
      <c r="X287" s="58">
        <f>(30*0.1790888*100000/1000000)+(30*0.2374*100000/1000000)</f>
        <v>1.2494664</v>
      </c>
      <c r="Y287" s="58"/>
      <c r="Z287" s="10"/>
      <c r="AA287" s="57"/>
      <c r="AB287" s="51">
        <f>(B287*122.58+C287*297.941+D287*89.177+E287*40.302+F287*40+G287*160+H287*0+I287*100+J287*300)/(122.58+297.941+89.177+40.302+0+40+160+100+300)</f>
        <v>8.5005740382608703</v>
      </c>
      <c r="AC287" s="27">
        <f>(M287*'RAP TEMPLATE-GAS AVAILABILITY'!O286+N287*'RAP TEMPLATE-GAS AVAILABILITY'!P286+O287*'RAP TEMPLATE-GAS AVAILABILITY'!Q286+P287*'RAP TEMPLATE-GAS AVAILABILITY'!R286)/('RAP TEMPLATE-GAS AVAILABILITY'!O286+'RAP TEMPLATE-GAS AVAILABILITY'!P286+'RAP TEMPLATE-GAS AVAILABILITY'!Q286+'RAP TEMPLATE-GAS AVAILABILITY'!R286)</f>
        <v>8.4442928057553956</v>
      </c>
    </row>
    <row r="288" spans="1:29" ht="15.75" x14ac:dyDescent="0.25">
      <c r="A288" s="15">
        <v>50010</v>
      </c>
      <c r="B288" s="10">
        <f>CHOOSE(CONTROL!$C$42, 9.0822, 9.0822) * CHOOSE(CONTROL!$C$21, $C$9, 100%, $E$9)</f>
        <v>9.0822000000000003</v>
      </c>
      <c r="C288" s="10">
        <f>CHOOSE(CONTROL!$C$42, 9.0871, 9.0871) * CHOOSE(CONTROL!$C$21, $C$9, 100%, $E$9)</f>
        <v>9.0870999999999995</v>
      </c>
      <c r="D288" s="10">
        <f>CHOOSE(CONTROL!$C$42, 9.1168, 9.1168) * CHOOSE(CONTROL!$C$21, $C$9, 100%, $E$9)</f>
        <v>9.1167999999999996</v>
      </c>
      <c r="E288" s="10">
        <f>CHOOSE(CONTROL!$C$42, 9.1505, 9.1505) * CHOOSE(CONTROL!$C$21, $C$9, 100%, $E$9)</f>
        <v>9.1504999999999992</v>
      </c>
      <c r="F288" s="10">
        <f>CHOOSE(CONTROL!$C$42, 9.0695, 9.0695)*CHOOSE(CONTROL!$C$21, $C$9, 100%, $E$9)</f>
        <v>9.0694999999999997</v>
      </c>
      <c r="G288" s="10">
        <f>CHOOSE(CONTROL!$C$42, 9.0879, 9.0879)*CHOOSE(CONTROL!$C$21, $C$9, 100%, $E$9)</f>
        <v>9.0878999999999994</v>
      </c>
      <c r="H288" s="10">
        <f>CHOOSE(CONTROL!$C$42, 9.1397, 9.1397) * CHOOSE(CONTROL!$C$21, $C$9, 100%, $E$9)</f>
        <v>9.1396999999999995</v>
      </c>
      <c r="I288" s="10">
        <f>CHOOSE(CONTROL!$C$42, 9.0484, 9.0484)* CHOOSE(CONTROL!$C$21, $C$9, 100%, $E$9)</f>
        <v>9.0484000000000009</v>
      </c>
      <c r="J288" s="10">
        <f>CHOOSE(CONTROL!$C$42, 9.0625, 9.0625)* CHOOSE(CONTROL!$C$21, $C$9, 100%, $E$9)</f>
        <v>9.0625</v>
      </c>
      <c r="K288" s="54">
        <f>CHOOSE(CONTROL!$C$42, 9.0445, 9.0445) * CHOOSE(CONTROL!$C$21, $C$9, 100%, $E$9)</f>
        <v>9.0444999999999993</v>
      </c>
      <c r="L288" s="10">
        <f>CHOOSE(CONTROL!$C$42, 9.7267, 9.7267) * CHOOSE(CONTROL!$C$21, $C$9, 100%, $E$9)</f>
        <v>9.7266999999999992</v>
      </c>
      <c r="M288" s="10">
        <f>CHOOSE(CONTROL!$C$42, 8.9849, 8.9849) * CHOOSE(CONTROL!$C$21, $C$9, 100%, $E$9)</f>
        <v>8.9848999999999997</v>
      </c>
      <c r="N288" s="10">
        <f>CHOOSE(CONTROL!$C$42, 9.0031, 9.0031) * CHOOSE(CONTROL!$C$21, $C$9, 100%, $E$9)</f>
        <v>9.0030999999999999</v>
      </c>
      <c r="O288" s="10">
        <f>CHOOSE(CONTROL!$C$42, 9.0613, 9.0613) * CHOOSE(CONTROL!$C$21, $C$9, 100%, $E$9)</f>
        <v>9.0612999999999992</v>
      </c>
      <c r="P288" s="10">
        <f>CHOOSE(CONTROL!$C$42, 8.9709, 8.9709) * CHOOSE(CONTROL!$C$21, $C$9, 100%, $E$9)</f>
        <v>8.9709000000000003</v>
      </c>
      <c r="Q288" s="10">
        <f>CHOOSE(CONTROL!$C$42, 9.6566, 9.6566) * CHOOSE(CONTROL!$C$21, $C$9, 100%, $E$9)</f>
        <v>9.6565999999999992</v>
      </c>
      <c r="R288" s="10">
        <f>CHOOSE(CONTROL!$C$42, 10.2678, 10.2678) * CHOOSE(CONTROL!$C$21, $C$9, 100%, $E$9)</f>
        <v>10.267799999999999</v>
      </c>
      <c r="S288" s="10">
        <f>CHOOSE(CONTROL!$C$42, 8.8176, 8.8176) * CHOOSE(CONTROL!$C$21, $C$9, 100%, $E$9)</f>
        <v>8.8176000000000005</v>
      </c>
      <c r="T288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288" s="58">
        <f>(1000*CHOOSE(CONTROL!$C$42, 695, 695)*CHOOSE(CONTROL!$C$42, 0.5599, 0.5599)*CHOOSE(CONTROL!$C$42, 31, 31))/1000000</f>
        <v>12.063045499999998</v>
      </c>
      <c r="V288" s="58">
        <f>(1000*CHOOSE(CONTROL!$C$42, 500, 500)*CHOOSE(CONTROL!$C$42, 0.275, 0.275)*CHOOSE(CONTROL!$C$42, 31, 31))/1000000</f>
        <v>4.2625000000000002</v>
      </c>
      <c r="W288" s="58">
        <f>(1000*CHOOSE(CONTROL!$C$42, 0.1146, 0.1146)*CHOOSE(CONTROL!$C$42, 121.5, 121.5)*CHOOSE(CONTROL!$C$42, 31, 31))/1000000</f>
        <v>0.43164089999999994</v>
      </c>
      <c r="X288" s="58">
        <f>(31*0.1790888*100000/1000000)+(31*0.2374*100000/1000000)</f>
        <v>1.2911152800000001</v>
      </c>
      <c r="Y288" s="58"/>
      <c r="Z288" s="10"/>
      <c r="AA288" s="57"/>
      <c r="AB288" s="51">
        <f>(B288*122.58+C288*297.941+D288*89.177+E288*40.302+F288*40+G288*160+H288*0+I288*100+J288*300)/(122.58+297.941+89.177+40.302+0+40+160+100+300)</f>
        <v>9.0808191840869554</v>
      </c>
      <c r="AC288" s="27">
        <f>(M288*'RAP TEMPLATE-GAS AVAILABILITY'!O287+N288*'RAP TEMPLATE-GAS AVAILABILITY'!P287+O288*'RAP TEMPLATE-GAS AVAILABILITY'!Q287+P288*'RAP TEMPLATE-GAS AVAILABILITY'!R287)/('RAP TEMPLATE-GAS AVAILABILITY'!O287+'RAP TEMPLATE-GAS AVAILABILITY'!P287+'RAP TEMPLATE-GAS AVAILABILITY'!Q287+'RAP TEMPLATE-GAS AVAILABILITY'!R287)</f>
        <v>9.0185604316546755</v>
      </c>
    </row>
    <row r="289" spans="1:29" ht="15.75" x14ac:dyDescent="0.25">
      <c r="A289" s="15">
        <v>50041</v>
      </c>
      <c r="B289" s="10">
        <f>CHOOSE(CONTROL!$C$42, 9.695, 9.695) * CHOOSE(CONTROL!$C$21, $C$9, 100%, $E$9)</f>
        <v>9.6950000000000003</v>
      </c>
      <c r="C289" s="10">
        <f>CHOOSE(CONTROL!$C$42, 9.6999, 9.6999) * CHOOSE(CONTROL!$C$21, $C$9, 100%, $E$9)</f>
        <v>9.6998999999999995</v>
      </c>
      <c r="D289" s="10">
        <f>CHOOSE(CONTROL!$C$42, 9.7501, 9.7501) * CHOOSE(CONTROL!$C$21, $C$9, 100%, $E$9)</f>
        <v>9.7500999999999998</v>
      </c>
      <c r="E289" s="10">
        <f>CHOOSE(CONTROL!$C$42, 9.7839, 9.7839) * CHOOSE(CONTROL!$C$21, $C$9, 100%, $E$9)</f>
        <v>9.7838999999999992</v>
      </c>
      <c r="F289" s="10">
        <f>CHOOSE(CONTROL!$C$42, 9.6603, 9.6603)*CHOOSE(CONTROL!$C$21, $C$9, 100%, $E$9)</f>
        <v>9.6602999999999994</v>
      </c>
      <c r="G289" s="10">
        <f>CHOOSE(CONTROL!$C$42, 9.6779, 9.6779)*CHOOSE(CONTROL!$C$21, $C$9, 100%, $E$9)</f>
        <v>9.6778999999999993</v>
      </c>
      <c r="H289" s="10">
        <f>CHOOSE(CONTROL!$C$42, 9.7731, 9.7731) * CHOOSE(CONTROL!$C$21, $C$9, 100%, $E$9)</f>
        <v>9.7730999999999995</v>
      </c>
      <c r="I289" s="10">
        <f>CHOOSE(CONTROL!$C$42, 9.6689, 9.6689)* CHOOSE(CONTROL!$C$21, $C$9, 100%, $E$9)</f>
        <v>9.6689000000000007</v>
      </c>
      <c r="J289" s="10">
        <f>CHOOSE(CONTROL!$C$42, 9.6533, 9.6533)* CHOOSE(CONTROL!$C$21, $C$9, 100%, $E$9)</f>
        <v>9.6532999999999998</v>
      </c>
      <c r="K289" s="54">
        <f>CHOOSE(CONTROL!$C$42, 9.665, 9.665) * CHOOSE(CONTROL!$C$21, $C$9, 100%, $E$9)</f>
        <v>9.6649999999999991</v>
      </c>
      <c r="L289" s="10">
        <f>CHOOSE(CONTROL!$C$42, 10.3601, 10.3601) * CHOOSE(CONTROL!$C$21, $C$9, 100%, $E$9)</f>
        <v>10.360099999999999</v>
      </c>
      <c r="M289" s="10">
        <f>CHOOSE(CONTROL!$C$42, 9.5698, 9.5698) * CHOOSE(CONTROL!$C$21, $C$9, 100%, $E$9)</f>
        <v>9.5698000000000008</v>
      </c>
      <c r="N289" s="10">
        <f>CHOOSE(CONTROL!$C$42, 9.5871, 9.5871) * CHOOSE(CONTROL!$C$21, $C$9, 100%, $E$9)</f>
        <v>9.5870999999999995</v>
      </c>
      <c r="O289" s="10">
        <f>CHOOSE(CONTROL!$C$42, 9.6883, 9.6883) * CHOOSE(CONTROL!$C$21, $C$9, 100%, $E$9)</f>
        <v>9.6882999999999999</v>
      </c>
      <c r="P289" s="10">
        <f>CHOOSE(CONTROL!$C$42, 9.5852, 9.5852) * CHOOSE(CONTROL!$C$21, $C$9, 100%, $E$9)</f>
        <v>9.5852000000000004</v>
      </c>
      <c r="Q289" s="10">
        <f>CHOOSE(CONTROL!$C$42, 10.2836, 10.2836) * CHOOSE(CONTROL!$C$21, $C$9, 100%, $E$9)</f>
        <v>10.2836</v>
      </c>
      <c r="R289" s="10">
        <f>CHOOSE(CONTROL!$C$42, 10.8963, 10.8963) * CHOOSE(CONTROL!$C$21, $C$9, 100%, $E$9)</f>
        <v>10.8963</v>
      </c>
      <c r="S289" s="10">
        <f>CHOOSE(CONTROL!$C$42, 9.4127, 9.4127) * CHOOSE(CONTROL!$C$21, $C$9, 100%, $E$9)</f>
        <v>9.4126999999999992</v>
      </c>
      <c r="T289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89" s="58">
        <f>(1000*CHOOSE(CONTROL!$C$42, 695, 695)*CHOOSE(CONTROL!$C$42, 0.5599, 0.5599)*CHOOSE(CONTROL!$C$42, 31, 31))/1000000</f>
        <v>12.063045499999998</v>
      </c>
      <c r="V289" s="58">
        <f>(1000*CHOOSE(CONTROL!$C$42, 500, 500)*CHOOSE(CONTROL!$C$42, 0.275, 0.275)*CHOOSE(CONTROL!$C$42, 31, 31))/1000000</f>
        <v>4.2625000000000002</v>
      </c>
      <c r="W289" s="58">
        <f>(1000*CHOOSE(CONTROL!$C$42, 0.1146, 0.1146)*CHOOSE(CONTROL!$C$42, 121.5, 121.5)*CHOOSE(CONTROL!$C$42, 31, 31))/1000000</f>
        <v>0.43164089999999994</v>
      </c>
      <c r="X289" s="58">
        <f>(31*0.1790888*100000/1000000)+(31*0.2374*100000/1000000)</f>
        <v>1.2911152800000001</v>
      </c>
      <c r="Y289" s="58"/>
      <c r="Z289" s="10"/>
      <c r="AA289" s="57"/>
      <c r="AB289" s="51">
        <f>(B289*122.58+C289*297.941+D289*89.177+E289*40.302+F289*40+G289*160+H289*0+I289*100+J289*300)/(122.58+297.941+89.177+40.302+0+40+160+100+300)</f>
        <v>9.6869238360000001</v>
      </c>
      <c r="AC289" s="27">
        <f>(M289*'RAP TEMPLATE-GAS AVAILABILITY'!O288+N289*'RAP TEMPLATE-GAS AVAILABILITY'!P288+O289*'RAP TEMPLATE-GAS AVAILABILITY'!Q288+P289*'RAP TEMPLATE-GAS AVAILABILITY'!R288)/('RAP TEMPLATE-GAS AVAILABILITY'!O288+'RAP TEMPLATE-GAS AVAILABILITY'!P288+'RAP TEMPLATE-GAS AVAILABILITY'!Q288+'RAP TEMPLATE-GAS AVAILABILITY'!R288)</f>
        <v>9.6267201438848922</v>
      </c>
    </row>
    <row r="290" spans="1:29" ht="15.75" x14ac:dyDescent="0.25">
      <c r="A290" s="15">
        <v>50072</v>
      </c>
      <c r="B290" s="10">
        <f>CHOOSE(CONTROL!$C$42, 9.8675, 9.8675) * CHOOSE(CONTROL!$C$21, $C$9, 100%, $E$9)</f>
        <v>9.8674999999999997</v>
      </c>
      <c r="C290" s="10">
        <f>CHOOSE(CONTROL!$C$42, 9.8725, 9.8725) * CHOOSE(CONTROL!$C$21, $C$9, 100%, $E$9)</f>
        <v>9.8725000000000005</v>
      </c>
      <c r="D290" s="10">
        <f>CHOOSE(CONTROL!$C$42, 9.9896, 9.9896) * CHOOSE(CONTROL!$C$21, $C$9, 100%, $E$9)</f>
        <v>9.9895999999999994</v>
      </c>
      <c r="E290" s="10">
        <f>CHOOSE(CONTROL!$C$42, 10.0234, 10.0234) * CHOOSE(CONTROL!$C$21, $C$9, 100%, $E$9)</f>
        <v>10.023400000000001</v>
      </c>
      <c r="F290" s="10">
        <f>CHOOSE(CONTROL!$C$42, 9.9451, 9.9451)*CHOOSE(CONTROL!$C$21, $C$9, 100%, $E$9)</f>
        <v>9.9451000000000001</v>
      </c>
      <c r="G290" s="10">
        <f>CHOOSE(CONTROL!$C$42, 9.967, 9.967)*CHOOSE(CONTROL!$C$21, $C$9, 100%, $E$9)</f>
        <v>9.9670000000000005</v>
      </c>
      <c r="H290" s="10">
        <f>CHOOSE(CONTROL!$C$42, 10.0126, 10.0126) * CHOOSE(CONTROL!$C$21, $C$9, 100%, $E$9)</f>
        <v>10.012600000000001</v>
      </c>
      <c r="I290" s="10">
        <f>CHOOSE(CONTROL!$C$42, 9.9032, 9.9032)* CHOOSE(CONTROL!$C$21, $C$9, 100%, $E$9)</f>
        <v>9.9032</v>
      </c>
      <c r="J290" s="10">
        <f>CHOOSE(CONTROL!$C$42, 9.9381, 9.9381)* CHOOSE(CONTROL!$C$21, $C$9, 100%, $E$9)</f>
        <v>9.9381000000000004</v>
      </c>
      <c r="K290" s="54">
        <f>CHOOSE(CONTROL!$C$42, 9.8993, 9.8993) * CHOOSE(CONTROL!$C$21, $C$9, 100%, $E$9)</f>
        <v>9.8993000000000002</v>
      </c>
      <c r="L290" s="10">
        <f>CHOOSE(CONTROL!$C$42, 10.5996, 10.5996) * CHOOSE(CONTROL!$C$21, $C$9, 100%, $E$9)</f>
        <v>10.599600000000001</v>
      </c>
      <c r="M290" s="10">
        <f>CHOOSE(CONTROL!$C$42, 9.8516, 9.8516) * CHOOSE(CONTROL!$C$21, $C$9, 100%, $E$9)</f>
        <v>9.8515999999999995</v>
      </c>
      <c r="N290" s="10">
        <f>CHOOSE(CONTROL!$C$42, 9.8733, 9.8733) * CHOOSE(CONTROL!$C$21, $C$9, 100%, $E$9)</f>
        <v>9.8733000000000004</v>
      </c>
      <c r="O290" s="10">
        <f>CHOOSE(CONTROL!$C$42, 9.9254, 9.9254) * CHOOSE(CONTROL!$C$21, $C$9, 100%, $E$9)</f>
        <v>9.9253999999999998</v>
      </c>
      <c r="P290" s="10">
        <f>CHOOSE(CONTROL!$C$42, 9.8171, 9.8171) * CHOOSE(CONTROL!$C$21, $C$9, 100%, $E$9)</f>
        <v>9.8170999999999999</v>
      </c>
      <c r="Q290" s="10">
        <f>CHOOSE(CONTROL!$C$42, 10.5207, 10.5207) * CHOOSE(CONTROL!$C$21, $C$9, 100%, $E$9)</f>
        <v>10.5207</v>
      </c>
      <c r="R290" s="10">
        <f>CHOOSE(CONTROL!$C$42, 11.134, 11.134) * CHOOSE(CONTROL!$C$21, $C$9, 100%, $E$9)</f>
        <v>11.134</v>
      </c>
      <c r="S290" s="10">
        <f>CHOOSE(CONTROL!$C$42, 9.5802, 9.5802) * CHOOSE(CONTROL!$C$21, $C$9, 100%, $E$9)</f>
        <v>9.5801999999999996</v>
      </c>
      <c r="T290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290" s="58">
        <f>(1000*CHOOSE(CONTROL!$C$42, 695, 695)*CHOOSE(CONTROL!$C$42, 0.5599, 0.5599)*CHOOSE(CONTROL!$C$42, 28, 28))/1000000</f>
        <v>10.895653999999999</v>
      </c>
      <c r="V290" s="58">
        <f>(1000*CHOOSE(CONTROL!$C$42, 500, 500)*CHOOSE(CONTROL!$C$42, 0.275, 0.275)*CHOOSE(CONTROL!$C$42, 28, 28))/1000000</f>
        <v>3.85</v>
      </c>
      <c r="W290" s="58">
        <f>(1000*CHOOSE(CONTROL!$C$42, 0.1146, 0.1146)*CHOOSE(CONTROL!$C$42, 121.5, 121.5)*CHOOSE(CONTROL!$C$42, 28, 28))/1000000</f>
        <v>0.38986920000000003</v>
      </c>
      <c r="X290" s="58">
        <f>(28*0.1790888*100000/1000000)+(28*0.2374*100000/1000000)</f>
        <v>1.16616864</v>
      </c>
      <c r="Y290" s="58"/>
      <c r="Z290" s="10"/>
      <c r="AA290" s="57"/>
      <c r="AB290" s="51">
        <f>(B290*122.58+C290*297.941+D290*89.177+E290*40.302+F290*40+G290*160+H290*0+I290*100+J290*300)/(122.58+297.941+89.177+40.302+0+40+160+100+300)</f>
        <v>9.9217915639130432</v>
      </c>
      <c r="AC290" s="27">
        <f>(M290*'RAP TEMPLATE-GAS AVAILABILITY'!O289+N290*'RAP TEMPLATE-GAS AVAILABILITY'!P289+O290*'RAP TEMPLATE-GAS AVAILABILITY'!Q289+P290*'RAP TEMPLATE-GAS AVAILABILITY'!R289)/('RAP TEMPLATE-GAS AVAILABILITY'!O289+'RAP TEMPLATE-GAS AVAILABILITY'!P289+'RAP TEMPLATE-GAS AVAILABILITY'!Q289+'RAP TEMPLATE-GAS AVAILABILITY'!R289)</f>
        <v>9.8813338129496397</v>
      </c>
    </row>
    <row r="291" spans="1:29" ht="15.75" x14ac:dyDescent="0.25">
      <c r="A291" s="15">
        <v>50100</v>
      </c>
      <c r="B291" s="10">
        <f>CHOOSE(CONTROL!$C$42, 9.5875, 9.5875) * CHOOSE(CONTROL!$C$21, $C$9, 100%, $E$9)</f>
        <v>9.5875000000000004</v>
      </c>
      <c r="C291" s="10">
        <f>CHOOSE(CONTROL!$C$42, 9.5924, 9.5924) * CHOOSE(CONTROL!$C$21, $C$9, 100%, $E$9)</f>
        <v>9.5923999999999996</v>
      </c>
      <c r="D291" s="10">
        <f>CHOOSE(CONTROL!$C$42, 9.6838, 9.6838) * CHOOSE(CONTROL!$C$21, $C$9, 100%, $E$9)</f>
        <v>9.6837999999999997</v>
      </c>
      <c r="E291" s="10">
        <f>CHOOSE(CONTROL!$C$42, 9.7176, 9.7176) * CHOOSE(CONTROL!$C$21, $C$9, 100%, $E$9)</f>
        <v>9.7175999999999991</v>
      </c>
      <c r="F291" s="10">
        <f>CHOOSE(CONTROL!$C$42, 9.6173, 9.6173)*CHOOSE(CONTROL!$C$21, $C$9, 100%, $E$9)</f>
        <v>9.6173000000000002</v>
      </c>
      <c r="G291" s="10">
        <f>CHOOSE(CONTROL!$C$42, 9.6368, 9.6368)*CHOOSE(CONTROL!$C$21, $C$9, 100%, $E$9)</f>
        <v>9.6367999999999991</v>
      </c>
      <c r="H291" s="10">
        <f>CHOOSE(CONTROL!$C$42, 9.7068, 9.7068) * CHOOSE(CONTROL!$C$21, $C$9, 100%, $E$9)</f>
        <v>9.7067999999999994</v>
      </c>
      <c r="I291" s="10">
        <f>CHOOSE(CONTROL!$C$42, 9.6103, 9.6103)* CHOOSE(CONTROL!$C$21, $C$9, 100%, $E$9)</f>
        <v>9.6103000000000005</v>
      </c>
      <c r="J291" s="10">
        <f>CHOOSE(CONTROL!$C$42, 9.6103, 9.6103)* CHOOSE(CONTROL!$C$21, $C$9, 100%, $E$9)</f>
        <v>9.6103000000000005</v>
      </c>
      <c r="K291" s="54">
        <f>CHOOSE(CONTROL!$C$42, 9.6064, 9.6064) * CHOOSE(CONTROL!$C$21, $C$9, 100%, $E$9)</f>
        <v>9.6064000000000007</v>
      </c>
      <c r="L291" s="10">
        <f>CHOOSE(CONTROL!$C$42, 10.2938, 10.2938) * CHOOSE(CONTROL!$C$21, $C$9, 100%, $E$9)</f>
        <v>10.293799999999999</v>
      </c>
      <c r="M291" s="10">
        <f>CHOOSE(CONTROL!$C$42, 9.5271, 9.5271) * CHOOSE(CONTROL!$C$21, $C$9, 100%, $E$9)</f>
        <v>9.5271000000000008</v>
      </c>
      <c r="N291" s="10">
        <f>CHOOSE(CONTROL!$C$42, 9.5464, 9.5464) * CHOOSE(CONTROL!$C$21, $C$9, 100%, $E$9)</f>
        <v>9.5464000000000002</v>
      </c>
      <c r="O291" s="10">
        <f>CHOOSE(CONTROL!$C$42, 9.6226, 9.6226) * CHOOSE(CONTROL!$C$21, $C$9, 100%, $E$9)</f>
        <v>9.6226000000000003</v>
      </c>
      <c r="P291" s="10">
        <f>CHOOSE(CONTROL!$C$42, 9.5271, 9.5271) * CHOOSE(CONTROL!$C$21, $C$9, 100%, $E$9)</f>
        <v>9.5271000000000008</v>
      </c>
      <c r="Q291" s="10">
        <f>CHOOSE(CONTROL!$C$42, 10.2179, 10.2179) * CHOOSE(CONTROL!$C$21, $C$9, 100%, $E$9)</f>
        <v>10.2179</v>
      </c>
      <c r="R291" s="10">
        <f>CHOOSE(CONTROL!$C$42, 10.8305, 10.8305) * CHOOSE(CONTROL!$C$21, $C$9, 100%, $E$9)</f>
        <v>10.830500000000001</v>
      </c>
      <c r="S291" s="10">
        <f>CHOOSE(CONTROL!$C$42, 9.3082, 9.3082) * CHOOSE(CONTROL!$C$21, $C$9, 100%, $E$9)</f>
        <v>9.3081999999999994</v>
      </c>
      <c r="T291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91" s="58">
        <f>(1000*CHOOSE(CONTROL!$C$42, 695, 695)*CHOOSE(CONTROL!$C$42, 0.5599, 0.5599)*CHOOSE(CONTROL!$C$42, 31, 31))/1000000</f>
        <v>12.063045499999998</v>
      </c>
      <c r="V291" s="58">
        <f>(1000*CHOOSE(CONTROL!$C$42, 500, 500)*CHOOSE(CONTROL!$C$42, 0.275, 0.275)*CHOOSE(CONTROL!$C$42, 31, 31))/1000000</f>
        <v>4.2625000000000002</v>
      </c>
      <c r="W291" s="58">
        <f>(1000*CHOOSE(CONTROL!$C$42, 0.1146, 0.1146)*CHOOSE(CONTROL!$C$42, 121.5, 121.5)*CHOOSE(CONTROL!$C$42, 31, 31))/1000000</f>
        <v>0.43164089999999994</v>
      </c>
      <c r="X291" s="58">
        <f>(31*0.1790888*100000/1000000)+(31*0.2374*100000/1000000)</f>
        <v>1.2911152800000001</v>
      </c>
      <c r="Y291" s="58"/>
      <c r="Z291" s="10"/>
      <c r="AA291" s="57"/>
      <c r="AB291" s="51">
        <f>(B291*122.58+C291*297.941+D291*89.177+E291*40.302+F291*40+G291*160+H291*0+I291*100+J291*300)/(122.58+297.941+89.177+40.302+0+40+160+100+300)</f>
        <v>9.6166225619130437</v>
      </c>
      <c r="AC291" s="27">
        <f>(M291*'RAP TEMPLATE-GAS AVAILABILITY'!O290+N291*'RAP TEMPLATE-GAS AVAILABILITY'!P290+O291*'RAP TEMPLATE-GAS AVAILABILITY'!Q290+P291*'RAP TEMPLATE-GAS AVAILABILITY'!R290)/('RAP TEMPLATE-GAS AVAILABILITY'!O290+'RAP TEMPLATE-GAS AVAILABILITY'!P290+'RAP TEMPLATE-GAS AVAILABILITY'!Q290+'RAP TEMPLATE-GAS AVAILABILITY'!R290)</f>
        <v>9.5714949640287781</v>
      </c>
    </row>
    <row r="292" spans="1:29" ht="15.75" x14ac:dyDescent="0.25">
      <c r="A292" s="15">
        <v>50131</v>
      </c>
      <c r="B292" s="10">
        <f>CHOOSE(CONTROL!$C$42, 9.5595, 9.5595) * CHOOSE(CONTROL!$C$21, $C$9, 100%, $E$9)</f>
        <v>9.5594999999999999</v>
      </c>
      <c r="C292" s="10">
        <f>CHOOSE(CONTROL!$C$42, 9.5639, 9.5639) * CHOOSE(CONTROL!$C$21, $C$9, 100%, $E$9)</f>
        <v>9.5639000000000003</v>
      </c>
      <c r="D292" s="10">
        <f>CHOOSE(CONTROL!$C$42, 9.7456, 9.7456) * CHOOSE(CONTROL!$C$21, $C$9, 100%, $E$9)</f>
        <v>9.7455999999999996</v>
      </c>
      <c r="E292" s="10">
        <f>CHOOSE(CONTROL!$C$42, 9.7774, 9.7774) * CHOOSE(CONTROL!$C$21, $C$9, 100%, $E$9)</f>
        <v>9.7774000000000001</v>
      </c>
      <c r="F292" s="10">
        <f>CHOOSE(CONTROL!$C$42, 9.5479, 9.5479)*CHOOSE(CONTROL!$C$21, $C$9, 100%, $E$9)</f>
        <v>9.5479000000000003</v>
      </c>
      <c r="G292" s="10">
        <f>CHOOSE(CONTROL!$C$42, 9.5659, 9.5659)*CHOOSE(CONTROL!$C$21, $C$9, 100%, $E$9)</f>
        <v>9.5658999999999992</v>
      </c>
      <c r="H292" s="10">
        <f>CHOOSE(CONTROL!$C$42, 9.7672, 9.7672) * CHOOSE(CONTROL!$C$21, $C$9, 100%, $E$9)</f>
        <v>9.7672000000000008</v>
      </c>
      <c r="I292" s="10">
        <f>CHOOSE(CONTROL!$C$42, 9.5378, 9.5378)* CHOOSE(CONTROL!$C$21, $C$9, 100%, $E$9)</f>
        <v>9.5378000000000007</v>
      </c>
      <c r="J292" s="10">
        <f>CHOOSE(CONTROL!$C$42, 9.5409, 9.5409)* CHOOSE(CONTROL!$C$21, $C$9, 100%, $E$9)</f>
        <v>9.5409000000000006</v>
      </c>
      <c r="K292" s="54">
        <f>CHOOSE(CONTROL!$C$42, 9.5339, 9.5339) * CHOOSE(CONTROL!$C$21, $C$9, 100%, $E$9)</f>
        <v>9.5338999999999992</v>
      </c>
      <c r="L292" s="10">
        <f>CHOOSE(CONTROL!$C$42, 10.3542, 10.3542) * CHOOSE(CONTROL!$C$21, $C$9, 100%, $E$9)</f>
        <v>10.354200000000001</v>
      </c>
      <c r="M292" s="10">
        <f>CHOOSE(CONTROL!$C$42, 9.4584, 9.4584) * CHOOSE(CONTROL!$C$21, $C$9, 100%, $E$9)</f>
        <v>9.4583999999999993</v>
      </c>
      <c r="N292" s="10">
        <f>CHOOSE(CONTROL!$C$42, 9.4762, 9.4762) * CHOOSE(CONTROL!$C$21, $C$9, 100%, $E$9)</f>
        <v>9.4762000000000004</v>
      </c>
      <c r="O292" s="10">
        <f>CHOOSE(CONTROL!$C$42, 9.6824, 9.6824) * CHOOSE(CONTROL!$C$21, $C$9, 100%, $E$9)</f>
        <v>9.6823999999999995</v>
      </c>
      <c r="P292" s="10">
        <f>CHOOSE(CONTROL!$C$42, 9.4554, 9.4554) * CHOOSE(CONTROL!$C$21, $C$9, 100%, $E$9)</f>
        <v>9.4553999999999991</v>
      </c>
      <c r="Q292" s="10">
        <f>CHOOSE(CONTROL!$C$42, 10.2777, 10.2777) * CHOOSE(CONTROL!$C$21, $C$9, 100%, $E$9)</f>
        <v>10.277699999999999</v>
      </c>
      <c r="R292" s="10">
        <f>CHOOSE(CONTROL!$C$42, 10.8904, 10.8904) * CHOOSE(CONTROL!$C$21, $C$9, 100%, $E$9)</f>
        <v>10.8904</v>
      </c>
      <c r="S292" s="10">
        <f>CHOOSE(CONTROL!$C$42, 9.2804, 9.2804) * CHOOSE(CONTROL!$C$21, $C$9, 100%, $E$9)</f>
        <v>9.2804000000000002</v>
      </c>
      <c r="T292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92" s="58">
        <f>(1000*CHOOSE(CONTROL!$C$42, 695, 695)*CHOOSE(CONTROL!$C$42, 0.5599, 0.5599)*CHOOSE(CONTROL!$C$42, 30, 30))/1000000</f>
        <v>11.673914999999997</v>
      </c>
      <c r="V292" s="58">
        <f>(1000*CHOOSE(CONTROL!$C$42, 500, 500)*CHOOSE(CONTROL!$C$42, 0.275, 0.275)*CHOOSE(CONTROL!$C$42, 30, 30))/1000000</f>
        <v>4.125</v>
      </c>
      <c r="W292" s="58">
        <f>(1000*CHOOSE(CONTROL!$C$42, 0.1146, 0.1146)*CHOOSE(CONTROL!$C$42, 121.5, 121.5)*CHOOSE(CONTROL!$C$42, 30, 30))/1000000</f>
        <v>0.417717</v>
      </c>
      <c r="X292" s="58">
        <f>(30*0.1790888*245000/1000000)+(30*0.2374*100000/1000000)</f>
        <v>2.0285026799999999</v>
      </c>
      <c r="Y292" s="58"/>
      <c r="Z292" s="10"/>
      <c r="AA292" s="57"/>
      <c r="AB292" s="51">
        <f>(B292*141.293+C292*267.993+D292*115.016+E292*89.698+F292*40+G292*185+H292*0+I292*100+J292*300)/(141.293+267.993+115.016+89.698+0+40+185+100+300)</f>
        <v>9.5878283623890255</v>
      </c>
      <c r="AC292" s="27">
        <f>(M292*'RAP TEMPLATE-GAS AVAILABILITY'!O291+N292*'RAP TEMPLATE-GAS AVAILABILITY'!P291+O292*'RAP TEMPLATE-GAS AVAILABILITY'!Q291+P292*'RAP TEMPLATE-GAS AVAILABILITY'!R291)/('RAP TEMPLATE-GAS AVAILABILITY'!O291+'RAP TEMPLATE-GAS AVAILABILITY'!P291+'RAP TEMPLATE-GAS AVAILABILITY'!Q291+'RAP TEMPLATE-GAS AVAILABILITY'!R291)</f>
        <v>9.5249151079136691</v>
      </c>
    </row>
    <row r="293" spans="1:29" ht="15.75" x14ac:dyDescent="0.25">
      <c r="A293" s="15">
        <v>50161</v>
      </c>
      <c r="B293" s="10">
        <f>CHOOSE(CONTROL!$C$42, 9.6457, 9.6457) * CHOOSE(CONTROL!$C$21, $C$9, 100%, $E$9)</f>
        <v>9.6456999999999997</v>
      </c>
      <c r="C293" s="10">
        <f>CHOOSE(CONTROL!$C$42, 9.6536, 9.6536) * CHOOSE(CONTROL!$C$21, $C$9, 100%, $E$9)</f>
        <v>9.6536000000000008</v>
      </c>
      <c r="D293" s="10">
        <f>CHOOSE(CONTROL!$C$42, 9.8321, 9.8321) * CHOOSE(CONTROL!$C$21, $C$9, 100%, $E$9)</f>
        <v>9.8321000000000005</v>
      </c>
      <c r="E293" s="10">
        <f>CHOOSE(CONTROL!$C$42, 9.8633, 9.8633) * CHOOSE(CONTROL!$C$21, $C$9, 100%, $E$9)</f>
        <v>9.8633000000000006</v>
      </c>
      <c r="F293" s="10">
        <f>CHOOSE(CONTROL!$C$42, 9.6318, 9.6318)*CHOOSE(CONTROL!$C$21, $C$9, 100%, $E$9)</f>
        <v>9.6318000000000001</v>
      </c>
      <c r="G293" s="10">
        <f>CHOOSE(CONTROL!$C$42, 9.65, 9.65)*CHOOSE(CONTROL!$C$21, $C$9, 100%, $E$9)</f>
        <v>9.65</v>
      </c>
      <c r="H293" s="10">
        <f>CHOOSE(CONTROL!$C$42, 9.8519, 9.8519) * CHOOSE(CONTROL!$C$21, $C$9, 100%, $E$9)</f>
        <v>9.8519000000000005</v>
      </c>
      <c r="I293" s="10">
        <f>CHOOSE(CONTROL!$C$42, 9.6225, 9.6225)* CHOOSE(CONTROL!$C$21, $C$9, 100%, $E$9)</f>
        <v>9.6225000000000005</v>
      </c>
      <c r="J293" s="10">
        <f>CHOOSE(CONTROL!$C$42, 9.6248, 9.6248)* CHOOSE(CONTROL!$C$21, $C$9, 100%, $E$9)</f>
        <v>9.6248000000000005</v>
      </c>
      <c r="K293" s="54">
        <f>CHOOSE(CONTROL!$C$42, 9.6186, 9.6186) * CHOOSE(CONTROL!$C$21, $C$9, 100%, $E$9)</f>
        <v>9.6186000000000007</v>
      </c>
      <c r="L293" s="10">
        <f>CHOOSE(CONTROL!$C$42, 10.4389, 10.4389) * CHOOSE(CONTROL!$C$21, $C$9, 100%, $E$9)</f>
        <v>10.4389</v>
      </c>
      <c r="M293" s="10">
        <f>CHOOSE(CONTROL!$C$42, 9.5415, 9.5415) * CHOOSE(CONTROL!$C$21, $C$9, 100%, $E$9)</f>
        <v>9.5414999999999992</v>
      </c>
      <c r="N293" s="10">
        <f>CHOOSE(CONTROL!$C$42, 9.5595, 9.5595) * CHOOSE(CONTROL!$C$21, $C$9, 100%, $E$9)</f>
        <v>9.5594999999999999</v>
      </c>
      <c r="O293" s="10">
        <f>CHOOSE(CONTROL!$C$42, 9.7663, 9.7663) * CHOOSE(CONTROL!$C$21, $C$9, 100%, $E$9)</f>
        <v>9.7662999999999993</v>
      </c>
      <c r="P293" s="10">
        <f>CHOOSE(CONTROL!$C$42, 9.5393, 9.5393) * CHOOSE(CONTROL!$C$21, $C$9, 100%, $E$9)</f>
        <v>9.5393000000000008</v>
      </c>
      <c r="Q293" s="10">
        <f>CHOOSE(CONTROL!$C$42, 10.3616, 10.3616) * CHOOSE(CONTROL!$C$21, $C$9, 100%, $E$9)</f>
        <v>10.361599999999999</v>
      </c>
      <c r="R293" s="10">
        <f>CHOOSE(CONTROL!$C$42, 10.9745, 10.9745) * CHOOSE(CONTROL!$C$21, $C$9, 100%, $E$9)</f>
        <v>10.974500000000001</v>
      </c>
      <c r="S293" s="10">
        <f>CHOOSE(CONTROL!$C$42, 9.3627, 9.3627) * CHOOSE(CONTROL!$C$21, $C$9, 100%, $E$9)</f>
        <v>9.3627000000000002</v>
      </c>
      <c r="T293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293" s="58">
        <f>(1000*CHOOSE(CONTROL!$C$42, 695, 695)*CHOOSE(CONTROL!$C$42, 0.5599, 0.5599)*CHOOSE(CONTROL!$C$42, 31, 31))/1000000</f>
        <v>12.063045499999998</v>
      </c>
      <c r="V293" s="58">
        <f>(1000*CHOOSE(CONTROL!$C$42, 500, 500)*CHOOSE(CONTROL!$C$42, 0.275, 0.275)*CHOOSE(CONTROL!$C$42, 31, 31))/1000000</f>
        <v>4.2625000000000002</v>
      </c>
      <c r="W293" s="58">
        <f>(1000*CHOOSE(CONTROL!$C$42, 0.1146, 0.1146)*CHOOSE(CONTROL!$C$42, 121.5, 121.5)*CHOOSE(CONTROL!$C$42, 31, 31))/1000000</f>
        <v>0.43164089999999994</v>
      </c>
      <c r="X293" s="58">
        <f>(31*0.1790888*245000/1000000)+(31*0.2374*100000/1000000)</f>
        <v>2.0961194359999999</v>
      </c>
      <c r="Y293" s="58"/>
      <c r="Z293" s="10"/>
      <c r="AA293" s="57"/>
      <c r="AB293" s="51">
        <f>(B293*194.205+C293*267.466+D293*133.845+E293*53.484+F293*40+G293*185+H293*0+I293*100+J293*300)/(194.205+267.466+133.845+53.484+0+40+185+100+300)</f>
        <v>9.6695220626373644</v>
      </c>
      <c r="AC293" s="27">
        <f>(M293*'RAP TEMPLATE-GAS AVAILABILITY'!O292+N293*'RAP TEMPLATE-GAS AVAILABILITY'!P292+O293*'RAP TEMPLATE-GAS AVAILABILITY'!Q292+P293*'RAP TEMPLATE-GAS AVAILABILITY'!R292)/('RAP TEMPLATE-GAS AVAILABILITY'!O292+'RAP TEMPLATE-GAS AVAILABILITY'!P292+'RAP TEMPLATE-GAS AVAILABILITY'!Q292+'RAP TEMPLATE-GAS AVAILABILITY'!R292)</f>
        <v>9.6084007194244609</v>
      </c>
    </row>
    <row r="294" spans="1:29" ht="15.75" x14ac:dyDescent="0.25">
      <c r="A294" s="15">
        <v>50192</v>
      </c>
      <c r="B294" s="10">
        <f>CHOOSE(CONTROL!$C$42, 9.9191, 9.9191) * CHOOSE(CONTROL!$C$21, $C$9, 100%, $E$9)</f>
        <v>9.9191000000000003</v>
      </c>
      <c r="C294" s="10">
        <f>CHOOSE(CONTROL!$C$42, 9.927, 9.927) * CHOOSE(CONTROL!$C$21, $C$9, 100%, $E$9)</f>
        <v>9.9269999999999996</v>
      </c>
      <c r="D294" s="10">
        <f>CHOOSE(CONTROL!$C$42, 10.1056, 10.1056) * CHOOSE(CONTROL!$C$21, $C$9, 100%, $E$9)</f>
        <v>10.105600000000001</v>
      </c>
      <c r="E294" s="10">
        <f>CHOOSE(CONTROL!$C$42, 10.1367, 10.1367) * CHOOSE(CONTROL!$C$21, $C$9, 100%, $E$9)</f>
        <v>10.136699999999999</v>
      </c>
      <c r="F294" s="10">
        <f>CHOOSE(CONTROL!$C$42, 9.9056, 9.9056)*CHOOSE(CONTROL!$C$21, $C$9, 100%, $E$9)</f>
        <v>9.9055999999999997</v>
      </c>
      <c r="G294" s="10">
        <f>CHOOSE(CONTROL!$C$42, 9.9238, 9.9238)*CHOOSE(CONTROL!$C$21, $C$9, 100%, $E$9)</f>
        <v>9.9238</v>
      </c>
      <c r="H294" s="10">
        <f>CHOOSE(CONTROL!$C$42, 10.1253, 10.1253) * CHOOSE(CONTROL!$C$21, $C$9, 100%, $E$9)</f>
        <v>10.125299999999999</v>
      </c>
      <c r="I294" s="10">
        <f>CHOOSE(CONTROL!$C$42, 9.896, 9.896)* CHOOSE(CONTROL!$C$21, $C$9, 100%, $E$9)</f>
        <v>9.8960000000000008</v>
      </c>
      <c r="J294" s="10">
        <f>CHOOSE(CONTROL!$C$42, 9.8986, 9.8986)* CHOOSE(CONTROL!$C$21, $C$9, 100%, $E$9)</f>
        <v>9.8986000000000001</v>
      </c>
      <c r="K294" s="54">
        <f>CHOOSE(CONTROL!$C$42, 9.8921, 9.8921) * CHOOSE(CONTROL!$C$21, $C$9, 100%, $E$9)</f>
        <v>9.8920999999999992</v>
      </c>
      <c r="L294" s="10">
        <f>CHOOSE(CONTROL!$C$42, 10.7123, 10.7123) * CHOOSE(CONTROL!$C$21, $C$9, 100%, $E$9)</f>
        <v>10.712300000000001</v>
      </c>
      <c r="M294" s="10">
        <f>CHOOSE(CONTROL!$C$42, 9.8125, 9.8125) * CHOOSE(CONTROL!$C$21, $C$9, 100%, $E$9)</f>
        <v>9.8125</v>
      </c>
      <c r="N294" s="10">
        <f>CHOOSE(CONTROL!$C$42, 9.8305, 9.8305) * CHOOSE(CONTROL!$C$21, $C$9, 100%, $E$9)</f>
        <v>9.8305000000000007</v>
      </c>
      <c r="O294" s="10">
        <f>CHOOSE(CONTROL!$C$42, 10.037, 10.037) * CHOOSE(CONTROL!$C$21, $C$9, 100%, $E$9)</f>
        <v>10.037000000000001</v>
      </c>
      <c r="P294" s="10">
        <f>CHOOSE(CONTROL!$C$42, 9.81, 9.81) * CHOOSE(CONTROL!$C$21, $C$9, 100%, $E$9)</f>
        <v>9.81</v>
      </c>
      <c r="Q294" s="10">
        <f>CHOOSE(CONTROL!$C$42, 10.6323, 10.6323) * CHOOSE(CONTROL!$C$21, $C$9, 100%, $E$9)</f>
        <v>10.632300000000001</v>
      </c>
      <c r="R294" s="10">
        <f>CHOOSE(CONTROL!$C$42, 11.2459, 11.2459) * CHOOSE(CONTROL!$C$21, $C$9, 100%, $E$9)</f>
        <v>11.245900000000001</v>
      </c>
      <c r="S294" s="10">
        <f>CHOOSE(CONTROL!$C$42, 9.6282, 9.6282) * CHOOSE(CONTROL!$C$21, $C$9, 100%, $E$9)</f>
        <v>9.6281999999999996</v>
      </c>
      <c r="T294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294" s="58">
        <f>(1000*CHOOSE(CONTROL!$C$42, 695, 695)*CHOOSE(CONTROL!$C$42, 0.5599, 0.5599)*CHOOSE(CONTROL!$C$42, 30, 30))/1000000</f>
        <v>11.673914999999997</v>
      </c>
      <c r="V294" s="58">
        <f>(1000*CHOOSE(CONTROL!$C$42, 500, 500)*CHOOSE(CONTROL!$C$42, 0.275, 0.275)*CHOOSE(CONTROL!$C$42, 30, 30))/1000000</f>
        <v>4.125</v>
      </c>
      <c r="W294" s="58">
        <f>(1000*CHOOSE(CONTROL!$C$42, 0.1146, 0.1146)*CHOOSE(CONTROL!$C$42, 121.5, 121.5)*CHOOSE(CONTROL!$C$42, 30, 30))/1000000</f>
        <v>0.417717</v>
      </c>
      <c r="X294" s="58">
        <f>(30*0.1790888*245000/1000000)+(30*0.2374*100000/1000000)</f>
        <v>2.0285026799999999</v>
      </c>
      <c r="Y294" s="58"/>
      <c r="Z294" s="10"/>
      <c r="AA294" s="57"/>
      <c r="AB294" s="51">
        <f>(B294*194.205+C294*267.466+D294*133.845+E294*53.484+F294*40+G294*185+H294*0+I294*100+J294*300)/(194.205+267.466+133.845+53.484+0+40+185+100+300)</f>
        <v>9.9431052529827326</v>
      </c>
      <c r="AC294" s="27">
        <f>(M294*'RAP TEMPLATE-GAS AVAILABILITY'!O293+N294*'RAP TEMPLATE-GAS AVAILABILITY'!P293+O294*'RAP TEMPLATE-GAS AVAILABILITY'!Q293+P294*'RAP TEMPLATE-GAS AVAILABILITY'!R293)/('RAP TEMPLATE-GAS AVAILABILITY'!O293+'RAP TEMPLATE-GAS AVAILABILITY'!P293+'RAP TEMPLATE-GAS AVAILABILITY'!Q293+'RAP TEMPLATE-GAS AVAILABILITY'!R293)</f>
        <v>9.8792733812949649</v>
      </c>
    </row>
    <row r="295" spans="1:29" ht="15.75" x14ac:dyDescent="0.25">
      <c r="A295" s="15">
        <v>50222</v>
      </c>
      <c r="B295" s="10">
        <f>CHOOSE(CONTROL!$C$42, 9.7289, 9.7289) * CHOOSE(CONTROL!$C$21, $C$9, 100%, $E$9)</f>
        <v>9.7288999999999994</v>
      </c>
      <c r="C295" s="10">
        <f>CHOOSE(CONTROL!$C$42, 9.7368, 9.7368) * CHOOSE(CONTROL!$C$21, $C$9, 100%, $E$9)</f>
        <v>9.7368000000000006</v>
      </c>
      <c r="D295" s="10">
        <f>CHOOSE(CONTROL!$C$42, 9.9154, 9.9154) * CHOOSE(CONTROL!$C$21, $C$9, 100%, $E$9)</f>
        <v>9.9154</v>
      </c>
      <c r="E295" s="10">
        <f>CHOOSE(CONTROL!$C$42, 9.9465, 9.9465) * CHOOSE(CONTROL!$C$21, $C$9, 100%, $E$9)</f>
        <v>9.9465000000000003</v>
      </c>
      <c r="F295" s="10">
        <f>CHOOSE(CONTROL!$C$42, 9.7156, 9.7156)*CHOOSE(CONTROL!$C$21, $C$9, 100%, $E$9)</f>
        <v>9.7156000000000002</v>
      </c>
      <c r="G295" s="10">
        <f>CHOOSE(CONTROL!$C$42, 9.734, 9.734)*CHOOSE(CONTROL!$C$21, $C$9, 100%, $E$9)</f>
        <v>9.734</v>
      </c>
      <c r="H295" s="10">
        <f>CHOOSE(CONTROL!$C$42, 9.9352, 9.9352) * CHOOSE(CONTROL!$C$21, $C$9, 100%, $E$9)</f>
        <v>9.9352</v>
      </c>
      <c r="I295" s="10">
        <f>CHOOSE(CONTROL!$C$42, 9.7058, 9.7058)* CHOOSE(CONTROL!$C$21, $C$9, 100%, $E$9)</f>
        <v>9.7058</v>
      </c>
      <c r="J295" s="10">
        <f>CHOOSE(CONTROL!$C$42, 9.7086, 9.7086)* CHOOSE(CONTROL!$C$21, $C$9, 100%, $E$9)</f>
        <v>9.7086000000000006</v>
      </c>
      <c r="K295" s="54">
        <f>CHOOSE(CONTROL!$C$42, 9.7019, 9.7019) * CHOOSE(CONTROL!$C$21, $C$9, 100%, $E$9)</f>
        <v>9.7019000000000002</v>
      </c>
      <c r="L295" s="10">
        <f>CHOOSE(CONTROL!$C$42, 10.5222, 10.5222) * CHOOSE(CONTROL!$C$21, $C$9, 100%, $E$9)</f>
        <v>10.5222</v>
      </c>
      <c r="M295" s="10">
        <f>CHOOSE(CONTROL!$C$42, 9.6245, 9.6245) * CHOOSE(CONTROL!$C$21, $C$9, 100%, $E$9)</f>
        <v>9.6244999999999994</v>
      </c>
      <c r="N295" s="10">
        <f>CHOOSE(CONTROL!$C$42, 9.6426, 9.6426) * CHOOSE(CONTROL!$C$21, $C$9, 100%, $E$9)</f>
        <v>9.6425999999999998</v>
      </c>
      <c r="O295" s="10">
        <f>CHOOSE(CONTROL!$C$42, 9.8487, 9.8487) * CHOOSE(CONTROL!$C$21, $C$9, 100%, $E$9)</f>
        <v>9.8486999999999991</v>
      </c>
      <c r="P295" s="10">
        <f>CHOOSE(CONTROL!$C$42, 9.6217, 9.6217) * CHOOSE(CONTROL!$C$21, $C$9, 100%, $E$9)</f>
        <v>9.6217000000000006</v>
      </c>
      <c r="Q295" s="10">
        <f>CHOOSE(CONTROL!$C$42, 10.444, 10.444) * CHOOSE(CONTROL!$C$21, $C$9, 100%, $E$9)</f>
        <v>10.444000000000001</v>
      </c>
      <c r="R295" s="10">
        <f>CHOOSE(CONTROL!$C$42, 11.0571, 11.0571) * CHOOSE(CONTROL!$C$21, $C$9, 100%, $E$9)</f>
        <v>11.0571</v>
      </c>
      <c r="S295" s="10">
        <f>CHOOSE(CONTROL!$C$42, 9.4435, 9.4435) * CHOOSE(CONTROL!$C$21, $C$9, 100%, $E$9)</f>
        <v>9.4435000000000002</v>
      </c>
      <c r="T295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295" s="58">
        <f>(1000*CHOOSE(CONTROL!$C$42, 695, 695)*CHOOSE(CONTROL!$C$42, 0.5599, 0.5599)*CHOOSE(CONTROL!$C$42, 31, 31))/1000000</f>
        <v>12.063045499999998</v>
      </c>
      <c r="V295" s="58">
        <f>(1000*CHOOSE(CONTROL!$C$42, 500, 500)*CHOOSE(CONTROL!$C$42, 0.275, 0.275)*CHOOSE(CONTROL!$C$42, 31, 31))/1000000</f>
        <v>4.2625000000000002</v>
      </c>
      <c r="W295" s="58">
        <f>(1000*CHOOSE(CONTROL!$C$42, 0.1146, 0.1146)*CHOOSE(CONTROL!$C$42, 121.5, 121.5)*CHOOSE(CONTROL!$C$42, 31, 31))/1000000</f>
        <v>0.43164089999999994</v>
      </c>
      <c r="X295" s="58">
        <f>(31*0.1790888*245000/1000000)+(31*0.2374*100000/1000000)</f>
        <v>2.0961194359999999</v>
      </c>
      <c r="Y295" s="58"/>
      <c r="Z295" s="10"/>
      <c r="AA295" s="57"/>
      <c r="AB295" s="51">
        <f>(B295*194.205+C295*267.466+D295*133.845+E295*53.484+F295*40+G295*185+H295*0+I295*100+J295*300)/(194.205+267.466+133.845+53.484+0+40+185+100+300)</f>
        <v>9.7530167129513341</v>
      </c>
      <c r="AC295" s="27">
        <f>(M295*'RAP TEMPLATE-GAS AVAILABILITY'!O294+N295*'RAP TEMPLATE-GAS AVAILABILITY'!P294+O295*'RAP TEMPLATE-GAS AVAILABILITY'!Q294+P295*'RAP TEMPLATE-GAS AVAILABILITY'!R294)/('RAP TEMPLATE-GAS AVAILABILITY'!O294+'RAP TEMPLATE-GAS AVAILABILITY'!P294+'RAP TEMPLATE-GAS AVAILABILITY'!Q294+'RAP TEMPLATE-GAS AVAILABILITY'!R294)</f>
        <v>9.6911690647482001</v>
      </c>
    </row>
    <row r="296" spans="1:29" ht="15.75" x14ac:dyDescent="0.25">
      <c r="A296" s="15">
        <v>50253</v>
      </c>
      <c r="B296" s="10">
        <f>CHOOSE(CONTROL!$C$42, 9.2486, 9.2486) * CHOOSE(CONTROL!$C$21, $C$9, 100%, $E$9)</f>
        <v>9.2485999999999997</v>
      </c>
      <c r="C296" s="10">
        <f>CHOOSE(CONTROL!$C$42, 9.2566, 9.2566) * CHOOSE(CONTROL!$C$21, $C$9, 100%, $E$9)</f>
        <v>9.2566000000000006</v>
      </c>
      <c r="D296" s="10">
        <f>CHOOSE(CONTROL!$C$42, 9.4351, 9.4351) * CHOOSE(CONTROL!$C$21, $C$9, 100%, $E$9)</f>
        <v>9.4351000000000003</v>
      </c>
      <c r="E296" s="10">
        <f>CHOOSE(CONTROL!$C$42, 9.4662, 9.4662) * CHOOSE(CONTROL!$C$21, $C$9, 100%, $E$9)</f>
        <v>9.4662000000000006</v>
      </c>
      <c r="F296" s="10">
        <f>CHOOSE(CONTROL!$C$42, 9.2353, 9.2353)*CHOOSE(CONTROL!$C$21, $C$9, 100%, $E$9)</f>
        <v>9.2353000000000005</v>
      </c>
      <c r="G296" s="10">
        <f>CHOOSE(CONTROL!$C$42, 9.2536, 9.2536)*CHOOSE(CONTROL!$C$21, $C$9, 100%, $E$9)</f>
        <v>9.2536000000000005</v>
      </c>
      <c r="H296" s="10">
        <f>CHOOSE(CONTROL!$C$42, 9.4549, 9.4549) * CHOOSE(CONTROL!$C$21, $C$9, 100%, $E$9)</f>
        <v>9.4549000000000003</v>
      </c>
      <c r="I296" s="10">
        <f>CHOOSE(CONTROL!$C$42, 9.2255, 9.2255)* CHOOSE(CONTROL!$C$21, $C$9, 100%, $E$9)</f>
        <v>9.2255000000000003</v>
      </c>
      <c r="J296" s="10">
        <f>CHOOSE(CONTROL!$C$42, 9.2283, 9.2283)* CHOOSE(CONTROL!$C$21, $C$9, 100%, $E$9)</f>
        <v>9.2283000000000008</v>
      </c>
      <c r="K296" s="54">
        <f>CHOOSE(CONTROL!$C$42, 9.2216, 9.2216) * CHOOSE(CONTROL!$C$21, $C$9, 100%, $E$9)</f>
        <v>9.2216000000000005</v>
      </c>
      <c r="L296" s="10">
        <f>CHOOSE(CONTROL!$C$42, 10.0419, 10.0419) * CHOOSE(CONTROL!$C$21, $C$9, 100%, $E$9)</f>
        <v>10.0419</v>
      </c>
      <c r="M296" s="10">
        <f>CHOOSE(CONTROL!$C$42, 9.149, 9.149) * CHOOSE(CONTROL!$C$21, $C$9, 100%, $E$9)</f>
        <v>9.1489999999999991</v>
      </c>
      <c r="N296" s="10">
        <f>CHOOSE(CONTROL!$C$42, 9.1671, 9.1671) * CHOOSE(CONTROL!$C$21, $C$9, 100%, $E$9)</f>
        <v>9.1670999999999996</v>
      </c>
      <c r="O296" s="10">
        <f>CHOOSE(CONTROL!$C$42, 9.3733, 9.3733) * CHOOSE(CONTROL!$C$21, $C$9, 100%, $E$9)</f>
        <v>9.3733000000000004</v>
      </c>
      <c r="P296" s="10">
        <f>CHOOSE(CONTROL!$C$42, 9.1463, 9.1463) * CHOOSE(CONTROL!$C$21, $C$9, 100%, $E$9)</f>
        <v>9.1463000000000001</v>
      </c>
      <c r="Q296" s="10">
        <f>CHOOSE(CONTROL!$C$42, 9.9686, 9.9686) * CHOOSE(CONTROL!$C$21, $C$9, 100%, $E$9)</f>
        <v>9.9686000000000003</v>
      </c>
      <c r="R296" s="10">
        <f>CHOOSE(CONTROL!$C$42, 10.5805, 10.5805) * CHOOSE(CONTROL!$C$21, $C$9, 100%, $E$9)</f>
        <v>10.580500000000001</v>
      </c>
      <c r="S296" s="10">
        <f>CHOOSE(CONTROL!$C$42, 8.9771, 8.9771) * CHOOSE(CONTROL!$C$21, $C$9, 100%, $E$9)</f>
        <v>8.9771000000000001</v>
      </c>
      <c r="T296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96" s="58">
        <f>(1000*CHOOSE(CONTROL!$C$42, 695, 695)*CHOOSE(CONTROL!$C$42, 0.5599, 0.5599)*CHOOSE(CONTROL!$C$42, 31, 31))/1000000</f>
        <v>12.063045499999998</v>
      </c>
      <c r="V296" s="58">
        <f>(1000*CHOOSE(CONTROL!$C$42, 500, 500)*CHOOSE(CONTROL!$C$42, 0.275, 0.275)*CHOOSE(CONTROL!$C$42, 31, 31))/1000000</f>
        <v>4.2625000000000002</v>
      </c>
      <c r="W296" s="58">
        <f>(1000*CHOOSE(CONTROL!$C$42, 0.1146, 0.1146)*CHOOSE(CONTROL!$C$42, 121.5, 121.5)*CHOOSE(CONTROL!$C$42, 31, 31))/1000000</f>
        <v>0.43164089999999994</v>
      </c>
      <c r="X296" s="58">
        <f>(31*0.1790888*245000/1000000)+(31*0.2374*100000/1000000)</f>
        <v>2.0961194359999999</v>
      </c>
      <c r="Y296" s="58"/>
      <c r="Z296" s="10"/>
      <c r="AA296" s="57"/>
      <c r="AB296" s="51">
        <f>(B296*194.205+C296*267.466+D296*133.845+E296*53.484+F296*40+G296*185+H296*0+I296*100+J296*300)/(194.205+267.466+133.845+53.484+0+40+185+100+300)</f>
        <v>9.272723185949765</v>
      </c>
      <c r="AC296" s="27">
        <f>(M296*'RAP TEMPLATE-GAS AVAILABILITY'!O295+N296*'RAP TEMPLATE-GAS AVAILABILITY'!P295+O296*'RAP TEMPLATE-GAS AVAILABILITY'!Q295+P296*'RAP TEMPLATE-GAS AVAILABILITY'!R295)/('RAP TEMPLATE-GAS AVAILABILITY'!O295+'RAP TEMPLATE-GAS AVAILABILITY'!P295+'RAP TEMPLATE-GAS AVAILABILITY'!Q295+'RAP TEMPLATE-GAS AVAILABILITY'!R295)</f>
        <v>9.2157115107913672</v>
      </c>
    </row>
    <row r="297" spans="1:29" ht="15.75" x14ac:dyDescent="0.25">
      <c r="A297" s="15">
        <v>50284</v>
      </c>
      <c r="B297" s="10">
        <f>CHOOSE(CONTROL!$C$42, 8.6618, 8.6618) * CHOOSE(CONTROL!$C$21, $C$9, 100%, $E$9)</f>
        <v>8.6617999999999995</v>
      </c>
      <c r="C297" s="10">
        <f>CHOOSE(CONTROL!$C$42, 8.6697, 8.6697) * CHOOSE(CONTROL!$C$21, $C$9, 100%, $E$9)</f>
        <v>8.6697000000000006</v>
      </c>
      <c r="D297" s="10">
        <f>CHOOSE(CONTROL!$C$42, 8.8483, 8.8483) * CHOOSE(CONTROL!$C$21, $C$9, 100%, $E$9)</f>
        <v>8.8483000000000001</v>
      </c>
      <c r="E297" s="10">
        <f>CHOOSE(CONTROL!$C$42, 8.8794, 8.8794) * CHOOSE(CONTROL!$C$21, $C$9, 100%, $E$9)</f>
        <v>8.8794000000000004</v>
      </c>
      <c r="F297" s="10">
        <f>CHOOSE(CONTROL!$C$42, 8.6482, 8.6482)*CHOOSE(CONTROL!$C$21, $C$9, 100%, $E$9)</f>
        <v>8.6481999999999992</v>
      </c>
      <c r="G297" s="10">
        <f>CHOOSE(CONTROL!$C$42, 8.6664, 8.6664)*CHOOSE(CONTROL!$C$21, $C$9, 100%, $E$9)</f>
        <v>8.6663999999999994</v>
      </c>
      <c r="H297" s="10">
        <f>CHOOSE(CONTROL!$C$42, 8.868, 8.868) * CHOOSE(CONTROL!$C$21, $C$9, 100%, $E$9)</f>
        <v>8.8680000000000003</v>
      </c>
      <c r="I297" s="10">
        <f>CHOOSE(CONTROL!$C$42, 8.6387, 8.6387)* CHOOSE(CONTROL!$C$21, $C$9, 100%, $E$9)</f>
        <v>8.6387</v>
      </c>
      <c r="J297" s="10">
        <f>CHOOSE(CONTROL!$C$42, 8.6412, 8.6412)* CHOOSE(CONTROL!$C$21, $C$9, 100%, $E$9)</f>
        <v>8.6411999999999995</v>
      </c>
      <c r="K297" s="54">
        <f>CHOOSE(CONTROL!$C$42, 8.6348, 8.6348) * CHOOSE(CONTROL!$C$21, $C$9, 100%, $E$9)</f>
        <v>8.6348000000000003</v>
      </c>
      <c r="L297" s="10">
        <f>CHOOSE(CONTROL!$C$42, 9.455, 9.455) * CHOOSE(CONTROL!$C$21, $C$9, 100%, $E$9)</f>
        <v>9.4550000000000001</v>
      </c>
      <c r="M297" s="10">
        <f>CHOOSE(CONTROL!$C$42, 8.5678, 8.5678) * CHOOSE(CONTROL!$C$21, $C$9, 100%, $E$9)</f>
        <v>8.5678000000000001</v>
      </c>
      <c r="N297" s="10">
        <f>CHOOSE(CONTROL!$C$42, 8.5858, 8.5858) * CHOOSE(CONTROL!$C$21, $C$9, 100%, $E$9)</f>
        <v>8.5858000000000008</v>
      </c>
      <c r="O297" s="10">
        <f>CHOOSE(CONTROL!$C$42, 8.7924, 8.7924) * CHOOSE(CONTROL!$C$21, $C$9, 100%, $E$9)</f>
        <v>8.7924000000000007</v>
      </c>
      <c r="P297" s="10">
        <f>CHOOSE(CONTROL!$C$42, 8.5654, 8.5654) * CHOOSE(CONTROL!$C$21, $C$9, 100%, $E$9)</f>
        <v>8.5654000000000003</v>
      </c>
      <c r="Q297" s="10">
        <f>CHOOSE(CONTROL!$C$42, 9.3877, 9.3877) * CHOOSE(CONTROL!$C$21, $C$9, 100%, $E$9)</f>
        <v>9.3877000000000006</v>
      </c>
      <c r="R297" s="10">
        <f>CHOOSE(CONTROL!$C$42, 9.9981, 9.9981) * CHOOSE(CONTROL!$C$21, $C$9, 100%, $E$9)</f>
        <v>9.9981000000000009</v>
      </c>
      <c r="S297" s="10">
        <f>CHOOSE(CONTROL!$C$42, 8.4072, 8.4072) * CHOOSE(CONTROL!$C$21, $C$9, 100%, $E$9)</f>
        <v>8.4071999999999996</v>
      </c>
      <c r="T297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97" s="58">
        <f>(1000*CHOOSE(CONTROL!$C$42, 695, 695)*CHOOSE(CONTROL!$C$42, 0.5599, 0.5599)*CHOOSE(CONTROL!$C$42, 30, 30))/1000000</f>
        <v>11.673914999999997</v>
      </c>
      <c r="V297" s="58">
        <f>(1000*CHOOSE(CONTROL!$C$42, 500, 500)*CHOOSE(CONTROL!$C$42, 0.275, 0.275)*CHOOSE(CONTROL!$C$42, 30, 30))/1000000</f>
        <v>4.125</v>
      </c>
      <c r="W297" s="58">
        <f>(1000*CHOOSE(CONTROL!$C$42, 0.1146, 0.1146)*CHOOSE(CONTROL!$C$42, 121.5, 121.5)*CHOOSE(CONTROL!$C$42, 30, 30))/1000000</f>
        <v>0.417717</v>
      </c>
      <c r="X297" s="58">
        <f>(30*0.1790888*245000/1000000)+(30*0.2374*100000/1000000)</f>
        <v>2.0285026799999999</v>
      </c>
      <c r="Y297" s="58"/>
      <c r="Z297" s="10"/>
      <c r="AA297" s="57"/>
      <c r="AB297" s="51">
        <f>(B297*194.205+C297*267.466+D297*133.845+E297*53.484+F297*40+G297*185+H297*0+I297*100+J297*300)/(194.205+267.466+133.845+53.484+0+40+185+100+300)</f>
        <v>8.685764044191524</v>
      </c>
      <c r="AC297" s="27">
        <f>(M297*'RAP TEMPLATE-GAS AVAILABILITY'!O296+N297*'RAP TEMPLATE-GAS AVAILABILITY'!P296+O297*'RAP TEMPLATE-GAS AVAILABILITY'!Q296+P297*'RAP TEMPLATE-GAS AVAILABILITY'!R296)/('RAP TEMPLATE-GAS AVAILABILITY'!O296+'RAP TEMPLATE-GAS AVAILABILITY'!P296+'RAP TEMPLATE-GAS AVAILABILITY'!Q296+'RAP TEMPLATE-GAS AVAILABILITY'!R296)</f>
        <v>8.6346158273381288</v>
      </c>
    </row>
    <row r="298" spans="1:29" ht="15.75" x14ac:dyDescent="0.25">
      <c r="A298" s="15">
        <v>50314</v>
      </c>
      <c r="B298" s="10">
        <f>CHOOSE(CONTROL!$C$42, 8.4839, 8.4839) * CHOOSE(CONTROL!$C$21, $C$9, 100%, $E$9)</f>
        <v>8.4839000000000002</v>
      </c>
      <c r="C298" s="10">
        <f>CHOOSE(CONTROL!$C$42, 8.4891, 8.4891) * CHOOSE(CONTROL!$C$21, $C$9, 100%, $E$9)</f>
        <v>8.4891000000000005</v>
      </c>
      <c r="D298" s="10">
        <f>CHOOSE(CONTROL!$C$42, 8.6726, 8.6726) * CHOOSE(CONTROL!$C$21, $C$9, 100%, $E$9)</f>
        <v>8.6725999999999992</v>
      </c>
      <c r="E298" s="10">
        <f>CHOOSE(CONTROL!$C$42, 8.7014, 8.7014) * CHOOSE(CONTROL!$C$21, $C$9, 100%, $E$9)</f>
        <v>8.7013999999999996</v>
      </c>
      <c r="F298" s="10">
        <f>CHOOSE(CONTROL!$C$42, 8.4722, 8.4722)*CHOOSE(CONTROL!$C$21, $C$9, 100%, $E$9)</f>
        <v>8.4722000000000008</v>
      </c>
      <c r="G298" s="10">
        <f>CHOOSE(CONTROL!$C$42, 8.4901, 8.4901)*CHOOSE(CONTROL!$C$21, $C$9, 100%, $E$9)</f>
        <v>8.4901</v>
      </c>
      <c r="H298" s="10">
        <f>CHOOSE(CONTROL!$C$42, 8.6919, 8.6919) * CHOOSE(CONTROL!$C$21, $C$9, 100%, $E$9)</f>
        <v>8.6919000000000004</v>
      </c>
      <c r="I298" s="10">
        <f>CHOOSE(CONTROL!$C$42, 8.4625, 8.4625)* CHOOSE(CONTROL!$C$21, $C$9, 100%, $E$9)</f>
        <v>8.4625000000000004</v>
      </c>
      <c r="J298" s="10">
        <f>CHOOSE(CONTROL!$C$42, 8.4652, 8.4652)* CHOOSE(CONTROL!$C$21, $C$9, 100%, $E$9)</f>
        <v>8.4651999999999994</v>
      </c>
      <c r="K298" s="54">
        <f>CHOOSE(CONTROL!$C$42, 8.4587, 8.4587) * CHOOSE(CONTROL!$C$21, $C$9, 100%, $E$9)</f>
        <v>8.4587000000000003</v>
      </c>
      <c r="L298" s="10">
        <f>CHOOSE(CONTROL!$C$42, 9.2789, 9.2789) * CHOOSE(CONTROL!$C$21, $C$9, 100%, $E$9)</f>
        <v>9.2789000000000001</v>
      </c>
      <c r="M298" s="10">
        <f>CHOOSE(CONTROL!$C$42, 8.3936, 8.3936) * CHOOSE(CONTROL!$C$21, $C$9, 100%, $E$9)</f>
        <v>8.3935999999999993</v>
      </c>
      <c r="N298" s="10">
        <f>CHOOSE(CONTROL!$C$42, 8.4113, 8.4113) * CHOOSE(CONTROL!$C$21, $C$9, 100%, $E$9)</f>
        <v>8.4113000000000007</v>
      </c>
      <c r="O298" s="10">
        <f>CHOOSE(CONTROL!$C$42, 8.618, 8.618) * CHOOSE(CONTROL!$C$21, $C$9, 100%, $E$9)</f>
        <v>8.6180000000000003</v>
      </c>
      <c r="P298" s="10">
        <f>CHOOSE(CONTROL!$C$42, 8.391, 8.391) * CHOOSE(CONTROL!$C$21, $C$9, 100%, $E$9)</f>
        <v>8.391</v>
      </c>
      <c r="Q298" s="10">
        <f>CHOOSE(CONTROL!$C$42, 9.2133, 9.2133) * CHOOSE(CONTROL!$C$21, $C$9, 100%, $E$9)</f>
        <v>9.2133000000000003</v>
      </c>
      <c r="R298" s="10">
        <f>CHOOSE(CONTROL!$C$42, 9.8233, 9.8233) * CHOOSE(CONTROL!$C$21, $C$9, 100%, $E$9)</f>
        <v>9.8232999999999997</v>
      </c>
      <c r="S298" s="10">
        <f>CHOOSE(CONTROL!$C$42, 8.2362, 8.2362) * CHOOSE(CONTROL!$C$21, $C$9, 100%, $E$9)</f>
        <v>8.2362000000000002</v>
      </c>
      <c r="T298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98" s="58">
        <f>(1000*CHOOSE(CONTROL!$C$42, 695, 695)*CHOOSE(CONTROL!$C$42, 0.5599, 0.5599)*CHOOSE(CONTROL!$C$42, 31, 31))/1000000</f>
        <v>12.063045499999998</v>
      </c>
      <c r="V298" s="58">
        <f>(1000*CHOOSE(CONTROL!$C$42, 500, 500)*CHOOSE(CONTROL!$C$42, 0.275, 0.275)*CHOOSE(CONTROL!$C$42, 31, 31))/1000000</f>
        <v>4.2625000000000002</v>
      </c>
      <c r="W298" s="58">
        <f>(1000*CHOOSE(CONTROL!$C$42, 0.1146, 0.1146)*CHOOSE(CONTROL!$C$42, 121.5, 121.5)*CHOOSE(CONTROL!$C$42, 31, 31))/1000000</f>
        <v>0.43164089999999994</v>
      </c>
      <c r="X298" s="58">
        <f>(31*0.1790888*245000/1000000)+(31*0.2374*100000/1000000)</f>
        <v>2.0961194359999999</v>
      </c>
      <c r="Y298" s="58"/>
      <c r="Z298" s="10"/>
      <c r="AA298" s="57"/>
      <c r="AB298" s="51">
        <f>(B298*131.881+C298*277.167+D298*79.08+E298*125.872+F298*40+G298*185+H298*0+I298*100+J298*300)/(131.881+277.167+79.08+125.872+0+40+185+100+300)</f>
        <v>8.5134963070217928</v>
      </c>
      <c r="AC298" s="27">
        <f>(M298*'RAP TEMPLATE-GAS AVAILABILITY'!O297+N298*'RAP TEMPLATE-GAS AVAILABILITY'!P297+O298*'RAP TEMPLATE-GAS AVAILABILITY'!Q297+P298*'RAP TEMPLATE-GAS AVAILABILITY'!R297)/('RAP TEMPLATE-GAS AVAILABILITY'!O297+'RAP TEMPLATE-GAS AVAILABILITY'!P297+'RAP TEMPLATE-GAS AVAILABILITY'!Q297+'RAP TEMPLATE-GAS AVAILABILITY'!R297)</f>
        <v>8.4602618705035972</v>
      </c>
    </row>
    <row r="299" spans="1:29" ht="15.75" x14ac:dyDescent="0.25">
      <c r="A299" s="15">
        <v>50345</v>
      </c>
      <c r="B299" s="10">
        <f>CHOOSE(CONTROL!$C$42, 8.7069, 8.7069) * CHOOSE(CONTROL!$C$21, $C$9, 100%, $E$9)</f>
        <v>8.7068999999999992</v>
      </c>
      <c r="C299" s="10">
        <f>CHOOSE(CONTROL!$C$42, 8.7119, 8.7119) * CHOOSE(CONTROL!$C$21, $C$9, 100%, $E$9)</f>
        <v>8.7119</v>
      </c>
      <c r="D299" s="10">
        <f>CHOOSE(CONTROL!$C$42, 8.7415, 8.7415) * CHOOSE(CONTROL!$C$21, $C$9, 100%, $E$9)</f>
        <v>8.7415000000000003</v>
      </c>
      <c r="E299" s="10">
        <f>CHOOSE(CONTROL!$C$42, 8.7753, 8.7753) * CHOOSE(CONTROL!$C$21, $C$9, 100%, $E$9)</f>
        <v>8.7752999999999997</v>
      </c>
      <c r="F299" s="10">
        <f>CHOOSE(CONTROL!$C$42, 8.6927, 8.6927)*CHOOSE(CONTROL!$C$21, $C$9, 100%, $E$9)</f>
        <v>8.6927000000000003</v>
      </c>
      <c r="G299" s="10">
        <f>CHOOSE(CONTROL!$C$42, 8.7107, 8.7107)*CHOOSE(CONTROL!$C$21, $C$9, 100%, $E$9)</f>
        <v>8.7106999999999992</v>
      </c>
      <c r="H299" s="10">
        <f>CHOOSE(CONTROL!$C$42, 8.7644, 8.7644) * CHOOSE(CONTROL!$C$21, $C$9, 100%, $E$9)</f>
        <v>8.7644000000000002</v>
      </c>
      <c r="I299" s="10">
        <f>CHOOSE(CONTROL!$C$42, 8.6731, 8.6731)* CHOOSE(CONTROL!$C$21, $C$9, 100%, $E$9)</f>
        <v>8.6730999999999998</v>
      </c>
      <c r="J299" s="10">
        <f>CHOOSE(CONTROL!$C$42, 8.6857, 8.6857)* CHOOSE(CONTROL!$C$21, $C$9, 100%, $E$9)</f>
        <v>8.6857000000000006</v>
      </c>
      <c r="K299" s="54">
        <f>CHOOSE(CONTROL!$C$42, 8.6692, 8.6692) * CHOOSE(CONTROL!$C$21, $C$9, 100%, $E$9)</f>
        <v>8.6692</v>
      </c>
      <c r="L299" s="10">
        <f>CHOOSE(CONTROL!$C$42, 9.3514, 9.3514) * CHOOSE(CONTROL!$C$21, $C$9, 100%, $E$9)</f>
        <v>9.3513999999999999</v>
      </c>
      <c r="M299" s="10">
        <f>CHOOSE(CONTROL!$C$42, 8.6118, 8.6118) * CHOOSE(CONTROL!$C$21, $C$9, 100%, $E$9)</f>
        <v>8.6118000000000006</v>
      </c>
      <c r="N299" s="10">
        <f>CHOOSE(CONTROL!$C$42, 8.6297, 8.6297) * CHOOSE(CONTROL!$C$21, $C$9, 100%, $E$9)</f>
        <v>8.6296999999999997</v>
      </c>
      <c r="O299" s="10">
        <f>CHOOSE(CONTROL!$C$42, 8.6898, 8.6898) * CHOOSE(CONTROL!$C$21, $C$9, 100%, $E$9)</f>
        <v>8.6898</v>
      </c>
      <c r="P299" s="10">
        <f>CHOOSE(CONTROL!$C$42, 8.5994, 8.5994) * CHOOSE(CONTROL!$C$21, $C$9, 100%, $E$9)</f>
        <v>8.5993999999999993</v>
      </c>
      <c r="Q299" s="10">
        <f>CHOOSE(CONTROL!$C$42, 9.2851, 9.2851) * CHOOSE(CONTROL!$C$21, $C$9, 100%, $E$9)</f>
        <v>9.2850999999999999</v>
      </c>
      <c r="R299" s="10">
        <f>CHOOSE(CONTROL!$C$42, 9.8953, 9.8953) * CHOOSE(CONTROL!$C$21, $C$9, 100%, $E$9)</f>
        <v>9.8953000000000007</v>
      </c>
      <c r="S299" s="10">
        <f>CHOOSE(CONTROL!$C$42, 8.4531, 8.4531) * CHOOSE(CONTROL!$C$21, $C$9, 100%, $E$9)</f>
        <v>8.4530999999999992</v>
      </c>
      <c r="T299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99" s="58">
        <f>(1000*CHOOSE(CONTROL!$C$42, 695, 695)*CHOOSE(CONTROL!$C$42, 0.5599, 0.5599)*CHOOSE(CONTROL!$C$42, 30, 30))/1000000</f>
        <v>11.673914999999997</v>
      </c>
      <c r="V299" s="58">
        <f>(1000*CHOOSE(CONTROL!$C$42, 500, 500)*CHOOSE(CONTROL!$C$42, 0.275, 0.275)*CHOOSE(CONTROL!$C$42, 30, 30))/1000000</f>
        <v>4.125</v>
      </c>
      <c r="W299" s="58">
        <f>(1000*CHOOSE(CONTROL!$C$42, 0.1146, 0.1146)*CHOOSE(CONTROL!$C$42, 121.5, 121.5)*CHOOSE(CONTROL!$C$42, 30, 30))/1000000</f>
        <v>0.417717</v>
      </c>
      <c r="X299" s="58">
        <f>(30*0.1790888*100000/1000000)+(30*0.2374*100000/1000000)</f>
        <v>1.2494664</v>
      </c>
      <c r="Y299" s="58"/>
      <c r="Z299" s="10"/>
      <c r="AA299" s="57"/>
      <c r="AB299" s="51">
        <f>(B299*122.58+C299*297.941+D299*89.177+E299*40.302+F299*40+G299*160+H299*0+I299*100+J299*300)/(122.58+297.941+89.177+40.302+0+40+160+100+300)</f>
        <v>8.7048407704347834</v>
      </c>
      <c r="AC299" s="27">
        <f>(M299*'RAP TEMPLATE-GAS AVAILABILITY'!O298+N299*'RAP TEMPLATE-GAS AVAILABILITY'!P298+O299*'RAP TEMPLATE-GAS AVAILABILITY'!Q298+P299*'RAP TEMPLATE-GAS AVAILABILITY'!R298)/('RAP TEMPLATE-GAS AVAILABILITY'!O298+'RAP TEMPLATE-GAS AVAILABILITY'!P298+'RAP TEMPLATE-GAS AVAILABILITY'!Q298+'RAP TEMPLATE-GAS AVAILABILITY'!R298)</f>
        <v>8.646398561151079</v>
      </c>
    </row>
    <row r="300" spans="1:29" ht="15.75" x14ac:dyDescent="0.25">
      <c r="A300" s="15">
        <v>50375</v>
      </c>
      <c r="B300" s="10">
        <f>CHOOSE(CONTROL!$C$42, 9.3003, 9.3003) * CHOOSE(CONTROL!$C$21, $C$9, 100%, $E$9)</f>
        <v>9.3003</v>
      </c>
      <c r="C300" s="10">
        <f>CHOOSE(CONTROL!$C$42, 9.3053, 9.3053) * CHOOSE(CONTROL!$C$21, $C$9, 100%, $E$9)</f>
        <v>9.3053000000000008</v>
      </c>
      <c r="D300" s="10">
        <f>CHOOSE(CONTROL!$C$42, 9.3349, 9.3349) * CHOOSE(CONTROL!$C$21, $C$9, 100%, $E$9)</f>
        <v>9.3348999999999993</v>
      </c>
      <c r="E300" s="10">
        <f>CHOOSE(CONTROL!$C$42, 9.3687, 9.3687) * CHOOSE(CONTROL!$C$21, $C$9, 100%, $E$9)</f>
        <v>9.3687000000000005</v>
      </c>
      <c r="F300" s="10">
        <f>CHOOSE(CONTROL!$C$42, 9.2876, 9.2876)*CHOOSE(CONTROL!$C$21, $C$9, 100%, $E$9)</f>
        <v>9.2875999999999994</v>
      </c>
      <c r="G300" s="10">
        <f>CHOOSE(CONTROL!$C$42, 9.3061, 9.3061)*CHOOSE(CONTROL!$C$21, $C$9, 100%, $E$9)</f>
        <v>9.3061000000000007</v>
      </c>
      <c r="H300" s="10">
        <f>CHOOSE(CONTROL!$C$42, 9.3579, 9.3579) * CHOOSE(CONTROL!$C$21, $C$9, 100%, $E$9)</f>
        <v>9.3579000000000008</v>
      </c>
      <c r="I300" s="10">
        <f>CHOOSE(CONTROL!$C$42, 9.2665, 9.2665)* CHOOSE(CONTROL!$C$21, $C$9, 100%, $E$9)</f>
        <v>9.2665000000000006</v>
      </c>
      <c r="J300" s="10">
        <f>CHOOSE(CONTROL!$C$42, 9.2806, 9.2806)* CHOOSE(CONTROL!$C$21, $C$9, 100%, $E$9)</f>
        <v>9.2805999999999997</v>
      </c>
      <c r="K300" s="54">
        <f>CHOOSE(CONTROL!$C$42, 9.2626, 9.2626) * CHOOSE(CONTROL!$C$21, $C$9, 100%, $E$9)</f>
        <v>9.2626000000000008</v>
      </c>
      <c r="L300" s="10">
        <f>CHOOSE(CONTROL!$C$42, 9.9449, 9.9449) * CHOOSE(CONTROL!$C$21, $C$9, 100%, $E$9)</f>
        <v>9.9449000000000005</v>
      </c>
      <c r="M300" s="10">
        <f>CHOOSE(CONTROL!$C$42, 9.2008, 9.2008) * CHOOSE(CONTROL!$C$21, $C$9, 100%, $E$9)</f>
        <v>9.2007999999999992</v>
      </c>
      <c r="N300" s="10">
        <f>CHOOSE(CONTROL!$C$42, 9.2191, 9.2191) * CHOOSE(CONTROL!$C$21, $C$9, 100%, $E$9)</f>
        <v>9.2190999999999992</v>
      </c>
      <c r="O300" s="10">
        <f>CHOOSE(CONTROL!$C$42, 9.2773, 9.2773) * CHOOSE(CONTROL!$C$21, $C$9, 100%, $E$9)</f>
        <v>9.2773000000000003</v>
      </c>
      <c r="P300" s="10">
        <f>CHOOSE(CONTROL!$C$42, 9.1869, 9.1869) * CHOOSE(CONTROL!$C$21, $C$9, 100%, $E$9)</f>
        <v>9.1868999999999996</v>
      </c>
      <c r="Q300" s="10">
        <f>CHOOSE(CONTROL!$C$42, 9.8726, 9.8726) * CHOOSE(CONTROL!$C$21, $C$9, 100%, $E$9)</f>
        <v>9.8726000000000003</v>
      </c>
      <c r="R300" s="10">
        <f>CHOOSE(CONTROL!$C$42, 10.4842, 10.4842) * CHOOSE(CONTROL!$C$21, $C$9, 100%, $E$9)</f>
        <v>10.4842</v>
      </c>
      <c r="S300" s="10">
        <f>CHOOSE(CONTROL!$C$42, 9.0294, 9.0294) * CHOOSE(CONTROL!$C$21, $C$9, 100%, $E$9)</f>
        <v>9.0294000000000008</v>
      </c>
      <c r="T300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00" s="58">
        <f>(1000*CHOOSE(CONTROL!$C$42, 695, 695)*CHOOSE(CONTROL!$C$42, 0.5599, 0.5599)*CHOOSE(CONTROL!$C$42, 31, 31))/1000000</f>
        <v>12.063045499999998</v>
      </c>
      <c r="V300" s="58">
        <f>(1000*CHOOSE(CONTROL!$C$42, 500, 500)*CHOOSE(CONTROL!$C$42, 0.275, 0.275)*CHOOSE(CONTROL!$C$42, 31, 31))/1000000</f>
        <v>4.2625000000000002</v>
      </c>
      <c r="W300" s="58">
        <f>(1000*CHOOSE(CONTROL!$C$42, 0.1146, 0.1146)*CHOOSE(CONTROL!$C$42, 121.5, 121.5)*CHOOSE(CONTROL!$C$42, 31, 31))/1000000</f>
        <v>0.43164089999999994</v>
      </c>
      <c r="X300" s="58">
        <f>(31*0.1790888*100000/1000000)+(31*0.2374*100000/1000000)</f>
        <v>1.2911152800000001</v>
      </c>
      <c r="Y300" s="58"/>
      <c r="Z300" s="10"/>
      <c r="AA300" s="57"/>
      <c r="AB300" s="51">
        <f>(B300*122.58+C300*297.941+D300*89.177+E300*40.302+F300*40+G300*160+H300*0+I300*100+J300*300)/(122.58+297.941+89.177+40.302+0+40+160+100+300)</f>
        <v>9.298962509565218</v>
      </c>
      <c r="AC300" s="27">
        <f>(M300*'RAP TEMPLATE-GAS AVAILABILITY'!O299+N300*'RAP TEMPLATE-GAS AVAILABILITY'!P299+O300*'RAP TEMPLATE-GAS AVAILABILITY'!Q299+P300*'RAP TEMPLATE-GAS AVAILABILITY'!R299)/('RAP TEMPLATE-GAS AVAILABILITY'!O299+'RAP TEMPLATE-GAS AVAILABILITY'!P299+'RAP TEMPLATE-GAS AVAILABILITY'!Q299+'RAP TEMPLATE-GAS AVAILABILITY'!R299)</f>
        <v>9.234525899280575</v>
      </c>
    </row>
    <row r="301" spans="1:29" ht="15.75" x14ac:dyDescent="0.25">
      <c r="A301" s="14">
        <v>50436</v>
      </c>
      <c r="B301" s="10">
        <f>CHOOSE(CONTROL!$C$42, 9.9279, 9.9279) * CHOOSE(CONTROL!$C$21, $C$9, 100%, $E$9)</f>
        <v>9.9278999999999993</v>
      </c>
      <c r="C301" s="10">
        <f>CHOOSE(CONTROL!$C$42, 9.9328, 9.9328) * CHOOSE(CONTROL!$C$21, $C$9, 100%, $E$9)</f>
        <v>9.9328000000000003</v>
      </c>
      <c r="D301" s="10">
        <f>CHOOSE(CONTROL!$C$42, 9.983, 9.983) * CHOOSE(CONTROL!$C$21, $C$9, 100%, $E$9)</f>
        <v>9.9830000000000005</v>
      </c>
      <c r="E301" s="10">
        <f>CHOOSE(CONTROL!$C$42, 10.0168, 10.0168) * CHOOSE(CONTROL!$C$21, $C$9, 100%, $E$9)</f>
        <v>10.0168</v>
      </c>
      <c r="F301" s="10">
        <f>CHOOSE(CONTROL!$C$42, 9.8932, 9.8932)*CHOOSE(CONTROL!$C$21, $C$9, 100%, $E$9)</f>
        <v>9.8932000000000002</v>
      </c>
      <c r="G301" s="10">
        <f>CHOOSE(CONTROL!$C$42, 9.9108, 9.9108)*CHOOSE(CONTROL!$C$21, $C$9, 100%, $E$9)</f>
        <v>9.9108000000000001</v>
      </c>
      <c r="H301" s="10">
        <f>CHOOSE(CONTROL!$C$42, 10.006, 10.006) * CHOOSE(CONTROL!$C$21, $C$9, 100%, $E$9)</f>
        <v>10.006</v>
      </c>
      <c r="I301" s="10">
        <f>CHOOSE(CONTROL!$C$42, 9.9018, 9.9018)* CHOOSE(CONTROL!$C$21, $C$9, 100%, $E$9)</f>
        <v>9.9017999999999997</v>
      </c>
      <c r="J301" s="10">
        <f>CHOOSE(CONTROL!$C$42, 9.8862, 9.8862)* CHOOSE(CONTROL!$C$21, $C$9, 100%, $E$9)</f>
        <v>9.8862000000000005</v>
      </c>
      <c r="K301" s="54">
        <f>CHOOSE(CONTROL!$C$42, 9.8979, 9.8979) * CHOOSE(CONTROL!$C$21, $C$9, 100%, $E$9)</f>
        <v>9.8978999999999999</v>
      </c>
      <c r="L301" s="10">
        <f>CHOOSE(CONTROL!$C$42, 10.593, 10.593) * CHOOSE(CONTROL!$C$21, $C$9, 100%, $E$9)</f>
        <v>10.593</v>
      </c>
      <c r="M301" s="10">
        <f>CHOOSE(CONTROL!$C$42, 9.8003, 9.8003) * CHOOSE(CONTROL!$C$21, $C$9, 100%, $E$9)</f>
        <v>9.8003</v>
      </c>
      <c r="N301" s="10">
        <f>CHOOSE(CONTROL!$C$42, 9.8177, 9.8177) * CHOOSE(CONTROL!$C$21, $C$9, 100%, $E$9)</f>
        <v>9.8177000000000003</v>
      </c>
      <c r="O301" s="10">
        <f>CHOOSE(CONTROL!$C$42, 9.9188, 9.9188) * CHOOSE(CONTROL!$C$21, $C$9, 100%, $E$9)</f>
        <v>9.9187999999999992</v>
      </c>
      <c r="P301" s="10">
        <f>CHOOSE(CONTROL!$C$42, 9.8157, 9.8157) * CHOOSE(CONTROL!$C$21, $C$9, 100%, $E$9)</f>
        <v>9.8156999999999996</v>
      </c>
      <c r="Q301" s="10">
        <f>CHOOSE(CONTROL!$C$42, 10.5141, 10.5141) * CHOOSE(CONTROL!$C$21, $C$9, 100%, $E$9)</f>
        <v>10.514099999999999</v>
      </c>
      <c r="R301" s="10">
        <f>CHOOSE(CONTROL!$C$42, 11.1274, 11.1274) * CHOOSE(CONTROL!$C$21, $C$9, 100%, $E$9)</f>
        <v>11.1274</v>
      </c>
      <c r="S301" s="10">
        <f>CHOOSE(CONTROL!$C$42, 9.6388, 9.6388) * CHOOSE(CONTROL!$C$21, $C$9, 100%, $E$9)</f>
        <v>9.6387999999999998</v>
      </c>
      <c r="T301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01" s="58">
        <f>(1000*CHOOSE(CONTROL!$C$42, 695, 695)*CHOOSE(CONTROL!$C$42, 0.5599, 0.5599)*CHOOSE(CONTROL!$C$42, 31, 31))/1000000</f>
        <v>12.063045499999998</v>
      </c>
      <c r="V301" s="58">
        <f>(1000*CHOOSE(CONTROL!$C$42, 500, 500)*CHOOSE(CONTROL!$C$42, 0.275, 0.275)*CHOOSE(CONTROL!$C$42, 31, 31))/1000000</f>
        <v>4.2625000000000002</v>
      </c>
      <c r="W301" s="58">
        <f>(1000*CHOOSE(CONTROL!$C$42, 0.1146, 0.1146)*CHOOSE(CONTROL!$C$42, 121.5, 121.5)*CHOOSE(CONTROL!$C$42, 31, 31))/1000000</f>
        <v>0.43164089999999994</v>
      </c>
      <c r="X301" s="58">
        <f>(31*0.1790888*100000/1000000)+(31*0.2374*100000/1000000)</f>
        <v>1.2911152800000001</v>
      </c>
      <c r="Y301" s="58"/>
      <c r="Z301" s="10"/>
      <c r="AA301" s="57"/>
      <c r="AB301" s="51">
        <f>(B301*122.58+C301*297.941+D301*89.177+E301*40.302+F301*40+G301*160+H301*0+I301*100+J301*300)/(122.58+297.941+89.177+40.302+0+40+160+100+300)</f>
        <v>9.9198238360000008</v>
      </c>
      <c r="AC301" s="27">
        <f>(M301*'RAP TEMPLATE-GAS AVAILABILITY'!O300+N301*'RAP TEMPLATE-GAS AVAILABILITY'!P300+O301*'RAP TEMPLATE-GAS AVAILABILITY'!Q300+P301*'RAP TEMPLATE-GAS AVAILABILITY'!R300)/('RAP TEMPLATE-GAS AVAILABILITY'!O300+'RAP TEMPLATE-GAS AVAILABILITY'!P300+'RAP TEMPLATE-GAS AVAILABILITY'!Q300+'RAP TEMPLATE-GAS AVAILABILITY'!R300)</f>
        <v>9.857225899280575</v>
      </c>
    </row>
    <row r="302" spans="1:29" ht="15.75" x14ac:dyDescent="0.25">
      <c r="A302" s="14">
        <v>50464</v>
      </c>
      <c r="B302" s="10">
        <f>CHOOSE(CONTROL!$C$42, 10.1045, 10.1045) * CHOOSE(CONTROL!$C$21, $C$9, 100%, $E$9)</f>
        <v>10.1045</v>
      </c>
      <c r="C302" s="10">
        <f>CHOOSE(CONTROL!$C$42, 10.1095, 10.1095) * CHOOSE(CONTROL!$C$21, $C$9, 100%, $E$9)</f>
        <v>10.109500000000001</v>
      </c>
      <c r="D302" s="10">
        <f>CHOOSE(CONTROL!$C$42, 10.2266, 10.2266) * CHOOSE(CONTROL!$C$21, $C$9, 100%, $E$9)</f>
        <v>10.226599999999999</v>
      </c>
      <c r="E302" s="10">
        <f>CHOOSE(CONTROL!$C$42, 10.2604, 10.2604) * CHOOSE(CONTROL!$C$21, $C$9, 100%, $E$9)</f>
        <v>10.260400000000001</v>
      </c>
      <c r="F302" s="10">
        <f>CHOOSE(CONTROL!$C$42, 10.1821, 10.1821)*CHOOSE(CONTROL!$C$21, $C$9, 100%, $E$9)</f>
        <v>10.1821</v>
      </c>
      <c r="G302" s="10">
        <f>CHOOSE(CONTROL!$C$42, 10.204, 10.204)*CHOOSE(CONTROL!$C$21, $C$9, 100%, $E$9)</f>
        <v>10.204000000000001</v>
      </c>
      <c r="H302" s="10">
        <f>CHOOSE(CONTROL!$C$42, 10.2496, 10.2496) * CHOOSE(CONTROL!$C$21, $C$9, 100%, $E$9)</f>
        <v>10.249599999999999</v>
      </c>
      <c r="I302" s="10">
        <f>CHOOSE(CONTROL!$C$42, 10.1402, 10.1402)* CHOOSE(CONTROL!$C$21, $C$9, 100%, $E$9)</f>
        <v>10.1402</v>
      </c>
      <c r="J302" s="10">
        <f>CHOOSE(CONTROL!$C$42, 10.1751, 10.1751)* CHOOSE(CONTROL!$C$21, $C$9, 100%, $E$9)</f>
        <v>10.1751</v>
      </c>
      <c r="K302" s="54">
        <f>CHOOSE(CONTROL!$C$42, 10.1363, 10.1363) * CHOOSE(CONTROL!$C$21, $C$9, 100%, $E$9)</f>
        <v>10.1363</v>
      </c>
      <c r="L302" s="10">
        <f>CHOOSE(CONTROL!$C$42, 10.8366, 10.8366) * CHOOSE(CONTROL!$C$21, $C$9, 100%, $E$9)</f>
        <v>10.836600000000001</v>
      </c>
      <c r="M302" s="10">
        <f>CHOOSE(CONTROL!$C$42, 10.0863, 10.0863) * CHOOSE(CONTROL!$C$21, $C$9, 100%, $E$9)</f>
        <v>10.0863</v>
      </c>
      <c r="N302" s="10">
        <f>CHOOSE(CONTROL!$C$42, 10.108, 10.108) * CHOOSE(CONTROL!$C$21, $C$9, 100%, $E$9)</f>
        <v>10.108000000000001</v>
      </c>
      <c r="O302" s="10">
        <f>CHOOSE(CONTROL!$C$42, 10.16, 10.16) * CHOOSE(CONTROL!$C$21, $C$9, 100%, $E$9)</f>
        <v>10.16</v>
      </c>
      <c r="P302" s="10">
        <f>CHOOSE(CONTROL!$C$42, 10.0518, 10.0518) * CHOOSE(CONTROL!$C$21, $C$9, 100%, $E$9)</f>
        <v>10.0518</v>
      </c>
      <c r="Q302" s="10">
        <f>CHOOSE(CONTROL!$C$42, 10.7553, 10.7553) * CHOOSE(CONTROL!$C$21, $C$9, 100%, $E$9)</f>
        <v>10.7553</v>
      </c>
      <c r="R302" s="10">
        <f>CHOOSE(CONTROL!$C$42, 11.3692, 11.3692) * CHOOSE(CONTROL!$C$21, $C$9, 100%, $E$9)</f>
        <v>11.369199999999999</v>
      </c>
      <c r="S302" s="10">
        <f>CHOOSE(CONTROL!$C$42, 9.8104, 9.8104) * CHOOSE(CONTROL!$C$21, $C$9, 100%, $E$9)</f>
        <v>9.8103999999999996</v>
      </c>
      <c r="T302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302" s="58">
        <f>(1000*CHOOSE(CONTROL!$C$42, 695, 695)*CHOOSE(CONTROL!$C$42, 0.5599, 0.5599)*CHOOSE(CONTROL!$C$42, 28, 28))/1000000</f>
        <v>10.895653999999999</v>
      </c>
      <c r="V302" s="58">
        <f>(1000*CHOOSE(CONTROL!$C$42, 500, 500)*CHOOSE(CONTROL!$C$42, 0.275, 0.275)*CHOOSE(CONTROL!$C$42, 28, 28))/1000000</f>
        <v>3.85</v>
      </c>
      <c r="W302" s="58">
        <f>(1000*CHOOSE(CONTROL!$C$42, 0.1146, 0.1146)*CHOOSE(CONTROL!$C$42, 121.5, 121.5)*CHOOSE(CONTROL!$C$42, 28, 28))/1000000</f>
        <v>0.38986920000000003</v>
      </c>
      <c r="X302" s="58">
        <f>(28*0.1790888*100000/1000000)+(28*0.2374*100000/1000000)</f>
        <v>1.16616864</v>
      </c>
      <c r="Y302" s="58"/>
      <c r="Z302" s="10"/>
      <c r="AA302" s="57"/>
      <c r="AB302" s="51">
        <f>(B302*122.58+C302*297.941+D302*89.177+E302*40.302+F302*40+G302*160+H302*0+I302*100+J302*300)/(122.58+297.941+89.177+40.302+0+40+160+100+300)</f>
        <v>10.158791563913043</v>
      </c>
      <c r="AC302" s="27">
        <f>(M302*'RAP TEMPLATE-GAS AVAILABILITY'!O301+N302*'RAP TEMPLATE-GAS AVAILABILITY'!P301+O302*'RAP TEMPLATE-GAS AVAILABILITY'!Q301+P302*'RAP TEMPLATE-GAS AVAILABILITY'!R301)/('RAP TEMPLATE-GAS AVAILABILITY'!O301+'RAP TEMPLATE-GAS AVAILABILITY'!P301+'RAP TEMPLATE-GAS AVAILABILITY'!Q301+'RAP TEMPLATE-GAS AVAILABILITY'!R301)</f>
        <v>10.115988489208634</v>
      </c>
    </row>
    <row r="303" spans="1:29" ht="15.75" x14ac:dyDescent="0.25">
      <c r="A303" s="14">
        <v>50495</v>
      </c>
      <c r="B303" s="10">
        <f>CHOOSE(CONTROL!$C$42, 9.8177, 9.8177) * CHOOSE(CONTROL!$C$21, $C$9, 100%, $E$9)</f>
        <v>9.8177000000000003</v>
      </c>
      <c r="C303" s="10">
        <f>CHOOSE(CONTROL!$C$42, 9.8227, 9.8227) * CHOOSE(CONTROL!$C$21, $C$9, 100%, $E$9)</f>
        <v>9.8226999999999993</v>
      </c>
      <c r="D303" s="10">
        <f>CHOOSE(CONTROL!$C$42, 9.9141, 9.9141) * CHOOSE(CONTROL!$C$21, $C$9, 100%, $E$9)</f>
        <v>9.9140999999999995</v>
      </c>
      <c r="E303" s="10">
        <f>CHOOSE(CONTROL!$C$42, 9.9479, 9.9479) * CHOOSE(CONTROL!$C$21, $C$9, 100%, $E$9)</f>
        <v>9.9479000000000006</v>
      </c>
      <c r="F303" s="10">
        <f>CHOOSE(CONTROL!$C$42, 9.8476, 9.8476)*CHOOSE(CONTROL!$C$21, $C$9, 100%, $E$9)</f>
        <v>9.8475999999999999</v>
      </c>
      <c r="G303" s="10">
        <f>CHOOSE(CONTROL!$C$42, 9.8671, 9.8671)*CHOOSE(CONTROL!$C$21, $C$9, 100%, $E$9)</f>
        <v>9.8671000000000006</v>
      </c>
      <c r="H303" s="10">
        <f>CHOOSE(CONTROL!$C$42, 9.9371, 9.9371) * CHOOSE(CONTROL!$C$21, $C$9, 100%, $E$9)</f>
        <v>9.9370999999999992</v>
      </c>
      <c r="I303" s="10">
        <f>CHOOSE(CONTROL!$C$42, 9.8406, 9.8406)* CHOOSE(CONTROL!$C$21, $C$9, 100%, $E$9)</f>
        <v>9.8406000000000002</v>
      </c>
      <c r="J303" s="10">
        <f>CHOOSE(CONTROL!$C$42, 9.8406, 9.8406)* CHOOSE(CONTROL!$C$21, $C$9, 100%, $E$9)</f>
        <v>9.8406000000000002</v>
      </c>
      <c r="K303" s="54">
        <f>CHOOSE(CONTROL!$C$42, 9.8367, 9.8367) * CHOOSE(CONTROL!$C$21, $C$9, 100%, $E$9)</f>
        <v>9.8367000000000004</v>
      </c>
      <c r="L303" s="10">
        <f>CHOOSE(CONTROL!$C$42, 10.5241, 10.5241) * CHOOSE(CONTROL!$C$21, $C$9, 100%, $E$9)</f>
        <v>10.524100000000001</v>
      </c>
      <c r="M303" s="10">
        <f>CHOOSE(CONTROL!$C$42, 9.7551, 9.7551) * CHOOSE(CONTROL!$C$21, $C$9, 100%, $E$9)</f>
        <v>9.7551000000000005</v>
      </c>
      <c r="N303" s="10">
        <f>CHOOSE(CONTROL!$C$42, 9.7744, 9.7744) * CHOOSE(CONTROL!$C$21, $C$9, 100%, $E$9)</f>
        <v>9.7744</v>
      </c>
      <c r="O303" s="10">
        <f>CHOOSE(CONTROL!$C$42, 9.8506, 9.8506) * CHOOSE(CONTROL!$C$21, $C$9, 100%, $E$9)</f>
        <v>9.8506</v>
      </c>
      <c r="P303" s="10">
        <f>CHOOSE(CONTROL!$C$42, 9.7551, 9.7551) * CHOOSE(CONTROL!$C$21, $C$9, 100%, $E$9)</f>
        <v>9.7551000000000005</v>
      </c>
      <c r="Q303" s="10">
        <f>CHOOSE(CONTROL!$C$42, 10.4459, 10.4459) * CHOOSE(CONTROL!$C$21, $C$9, 100%, $E$9)</f>
        <v>10.4459</v>
      </c>
      <c r="R303" s="10">
        <f>CHOOSE(CONTROL!$C$42, 11.059, 11.059) * CHOOSE(CONTROL!$C$21, $C$9, 100%, $E$9)</f>
        <v>11.058999999999999</v>
      </c>
      <c r="S303" s="10">
        <f>CHOOSE(CONTROL!$C$42, 9.5319, 9.5319) * CHOOSE(CONTROL!$C$21, $C$9, 100%, $E$9)</f>
        <v>9.5319000000000003</v>
      </c>
      <c r="T303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03" s="58">
        <f>(1000*CHOOSE(CONTROL!$C$42, 695, 695)*CHOOSE(CONTROL!$C$42, 0.5599, 0.5599)*CHOOSE(CONTROL!$C$42, 31, 31))/1000000</f>
        <v>12.063045499999998</v>
      </c>
      <c r="V303" s="58">
        <f>(1000*CHOOSE(CONTROL!$C$42, 500, 500)*CHOOSE(CONTROL!$C$42, 0.275, 0.275)*CHOOSE(CONTROL!$C$42, 31, 31))/1000000</f>
        <v>4.2625000000000002</v>
      </c>
      <c r="W303" s="58">
        <f>(1000*CHOOSE(CONTROL!$C$42, 0.1146, 0.1146)*CHOOSE(CONTROL!$C$42, 121.5, 121.5)*CHOOSE(CONTROL!$C$42, 31, 31))/1000000</f>
        <v>0.43164089999999994</v>
      </c>
      <c r="X303" s="58">
        <f>(31*0.1790888*100000/1000000)+(31*0.2374*100000/1000000)</f>
        <v>1.2911152800000001</v>
      </c>
      <c r="Y303" s="58"/>
      <c r="Z303" s="10"/>
      <c r="AA303" s="57"/>
      <c r="AB303" s="51">
        <f>(B303*122.58+C303*297.941+D303*89.177+E303*40.302+F303*40+G303*160+H303*0+I303*100+J303*300)/(122.58+297.941+89.177+40.302+0+40+160+100+300)</f>
        <v>9.8469119027826082</v>
      </c>
      <c r="AC303" s="27">
        <f>(M303*'RAP TEMPLATE-GAS AVAILABILITY'!O302+N303*'RAP TEMPLATE-GAS AVAILABILITY'!P302+O303*'RAP TEMPLATE-GAS AVAILABILITY'!Q302+P303*'RAP TEMPLATE-GAS AVAILABILITY'!R302)/('RAP TEMPLATE-GAS AVAILABILITY'!O302+'RAP TEMPLATE-GAS AVAILABILITY'!P302+'RAP TEMPLATE-GAS AVAILABILITY'!Q302+'RAP TEMPLATE-GAS AVAILABILITY'!R302)</f>
        <v>9.7994949640287778</v>
      </c>
    </row>
    <row r="304" spans="1:29" ht="15.75" x14ac:dyDescent="0.25">
      <c r="A304" s="14">
        <v>50525</v>
      </c>
      <c r="B304" s="10">
        <f>CHOOSE(CONTROL!$C$42, 9.7891, 9.7891) * CHOOSE(CONTROL!$C$21, $C$9, 100%, $E$9)</f>
        <v>9.7890999999999995</v>
      </c>
      <c r="C304" s="10">
        <f>CHOOSE(CONTROL!$C$42, 9.7935, 9.7935) * CHOOSE(CONTROL!$C$21, $C$9, 100%, $E$9)</f>
        <v>9.7934999999999999</v>
      </c>
      <c r="D304" s="10">
        <f>CHOOSE(CONTROL!$C$42, 9.9752, 9.9752) * CHOOSE(CONTROL!$C$21, $C$9, 100%, $E$9)</f>
        <v>9.9751999999999992</v>
      </c>
      <c r="E304" s="10">
        <f>CHOOSE(CONTROL!$C$42, 10.007, 10.007) * CHOOSE(CONTROL!$C$21, $C$9, 100%, $E$9)</f>
        <v>10.007</v>
      </c>
      <c r="F304" s="10">
        <f>CHOOSE(CONTROL!$C$42, 9.7775, 9.7775)*CHOOSE(CONTROL!$C$21, $C$9, 100%, $E$9)</f>
        <v>9.7774999999999999</v>
      </c>
      <c r="G304" s="10">
        <f>CHOOSE(CONTROL!$C$42, 9.7955, 9.7955)*CHOOSE(CONTROL!$C$21, $C$9, 100%, $E$9)</f>
        <v>9.7955000000000005</v>
      </c>
      <c r="H304" s="10">
        <f>CHOOSE(CONTROL!$C$42, 9.9968, 9.9968) * CHOOSE(CONTROL!$C$21, $C$9, 100%, $E$9)</f>
        <v>9.9968000000000004</v>
      </c>
      <c r="I304" s="10">
        <f>CHOOSE(CONTROL!$C$42, 9.7674, 9.7674)* CHOOSE(CONTROL!$C$21, $C$9, 100%, $E$9)</f>
        <v>9.7674000000000003</v>
      </c>
      <c r="J304" s="10">
        <f>CHOOSE(CONTROL!$C$42, 9.7705, 9.7705)* CHOOSE(CONTROL!$C$21, $C$9, 100%, $E$9)</f>
        <v>9.7705000000000002</v>
      </c>
      <c r="K304" s="54">
        <f>CHOOSE(CONTROL!$C$42, 9.7635, 9.7635) * CHOOSE(CONTROL!$C$21, $C$9, 100%, $E$9)</f>
        <v>9.7635000000000005</v>
      </c>
      <c r="L304" s="10">
        <f>CHOOSE(CONTROL!$C$42, 10.5838, 10.5838) * CHOOSE(CONTROL!$C$21, $C$9, 100%, $E$9)</f>
        <v>10.5838</v>
      </c>
      <c r="M304" s="10">
        <f>CHOOSE(CONTROL!$C$42, 9.6857, 9.6857) * CHOOSE(CONTROL!$C$21, $C$9, 100%, $E$9)</f>
        <v>9.6857000000000006</v>
      </c>
      <c r="N304" s="10">
        <f>CHOOSE(CONTROL!$C$42, 9.7035, 9.7035) * CHOOSE(CONTROL!$C$21, $C$9, 100%, $E$9)</f>
        <v>9.7035</v>
      </c>
      <c r="O304" s="10">
        <f>CHOOSE(CONTROL!$C$42, 9.9097, 9.9097) * CHOOSE(CONTROL!$C$21, $C$9, 100%, $E$9)</f>
        <v>9.9097000000000008</v>
      </c>
      <c r="P304" s="10">
        <f>CHOOSE(CONTROL!$C$42, 9.6827, 9.6827) * CHOOSE(CONTROL!$C$21, $C$9, 100%, $E$9)</f>
        <v>9.6827000000000005</v>
      </c>
      <c r="Q304" s="10">
        <f>CHOOSE(CONTROL!$C$42, 10.505, 10.505) * CHOOSE(CONTROL!$C$21, $C$9, 100%, $E$9)</f>
        <v>10.505000000000001</v>
      </c>
      <c r="R304" s="10">
        <f>CHOOSE(CONTROL!$C$42, 11.1183, 11.1183) * CHOOSE(CONTROL!$C$21, $C$9, 100%, $E$9)</f>
        <v>11.1183</v>
      </c>
      <c r="S304" s="10">
        <f>CHOOSE(CONTROL!$C$42, 9.5033, 9.5033) * CHOOSE(CONTROL!$C$21, $C$9, 100%, $E$9)</f>
        <v>9.5032999999999994</v>
      </c>
      <c r="T304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304" s="58">
        <f>(1000*CHOOSE(CONTROL!$C$42, 695, 695)*CHOOSE(CONTROL!$C$42, 0.5599, 0.5599)*CHOOSE(CONTROL!$C$42, 30, 30))/1000000</f>
        <v>11.673914999999997</v>
      </c>
      <c r="V304" s="58">
        <f>(1000*CHOOSE(CONTROL!$C$42, 500, 500)*CHOOSE(CONTROL!$C$42, 0.275, 0.275)*CHOOSE(CONTROL!$C$42, 30, 30))/1000000</f>
        <v>4.125</v>
      </c>
      <c r="W304" s="58">
        <f>(1000*CHOOSE(CONTROL!$C$42, 0.1146, 0.1146)*CHOOSE(CONTROL!$C$42, 121.5, 121.5)*CHOOSE(CONTROL!$C$42, 30, 30))/1000000</f>
        <v>0.417717</v>
      </c>
      <c r="X304" s="58">
        <f>(30*0.1790888*245000/1000000)+(30*0.2374*100000/1000000)</f>
        <v>2.0285026799999999</v>
      </c>
      <c r="Y304" s="58"/>
      <c r="Z304" s="10"/>
      <c r="AA304" s="57"/>
      <c r="AB304" s="51">
        <f>(B304*141.293+C304*267.993+D304*115.016+E304*89.698+F304*40+G304*185+H304*0+I304*100+J304*300)/(141.293+267.993+115.016+89.698+0+40+185+100+300)</f>
        <v>9.8174283623890233</v>
      </c>
      <c r="AC304" s="27">
        <f>(M304*'RAP TEMPLATE-GAS AVAILABILITY'!O303+N304*'RAP TEMPLATE-GAS AVAILABILITY'!P303+O304*'RAP TEMPLATE-GAS AVAILABILITY'!Q303+P304*'RAP TEMPLATE-GAS AVAILABILITY'!R303)/('RAP TEMPLATE-GAS AVAILABILITY'!O303+'RAP TEMPLATE-GAS AVAILABILITY'!P303+'RAP TEMPLATE-GAS AVAILABILITY'!Q303+'RAP TEMPLATE-GAS AVAILABILITY'!R303)</f>
        <v>9.7522151079136705</v>
      </c>
    </row>
    <row r="305" spans="1:29" ht="15.75" x14ac:dyDescent="0.25">
      <c r="A305" s="14">
        <v>50556</v>
      </c>
      <c r="B305" s="10">
        <f>CHOOSE(CONTROL!$C$42, 9.8773, 9.8773) * CHOOSE(CONTROL!$C$21, $C$9, 100%, $E$9)</f>
        <v>9.8773</v>
      </c>
      <c r="C305" s="10">
        <f>CHOOSE(CONTROL!$C$42, 9.8852, 9.8852) * CHOOSE(CONTROL!$C$21, $C$9, 100%, $E$9)</f>
        <v>9.8851999999999993</v>
      </c>
      <c r="D305" s="10">
        <f>CHOOSE(CONTROL!$C$42, 10.0637, 10.0637) * CHOOSE(CONTROL!$C$21, $C$9, 100%, $E$9)</f>
        <v>10.063700000000001</v>
      </c>
      <c r="E305" s="10">
        <f>CHOOSE(CONTROL!$C$42, 10.0949, 10.0949) * CHOOSE(CONTROL!$C$21, $C$9, 100%, $E$9)</f>
        <v>10.094900000000001</v>
      </c>
      <c r="F305" s="10">
        <f>CHOOSE(CONTROL!$C$42, 9.8635, 9.8635)*CHOOSE(CONTROL!$C$21, $C$9, 100%, $E$9)</f>
        <v>9.8635000000000002</v>
      </c>
      <c r="G305" s="10">
        <f>CHOOSE(CONTROL!$C$42, 9.8816, 9.8816)*CHOOSE(CONTROL!$C$21, $C$9, 100%, $E$9)</f>
        <v>9.8816000000000006</v>
      </c>
      <c r="H305" s="10">
        <f>CHOOSE(CONTROL!$C$42, 10.0835, 10.0835) * CHOOSE(CONTROL!$C$21, $C$9, 100%, $E$9)</f>
        <v>10.083500000000001</v>
      </c>
      <c r="I305" s="10">
        <f>CHOOSE(CONTROL!$C$42, 9.8542, 9.8542)* CHOOSE(CONTROL!$C$21, $C$9, 100%, $E$9)</f>
        <v>9.8542000000000005</v>
      </c>
      <c r="J305" s="10">
        <f>CHOOSE(CONTROL!$C$42, 9.8565, 9.8565)* CHOOSE(CONTROL!$C$21, $C$9, 100%, $E$9)</f>
        <v>9.8565000000000005</v>
      </c>
      <c r="K305" s="54">
        <f>CHOOSE(CONTROL!$C$42, 9.8503, 9.8503) * CHOOSE(CONTROL!$C$21, $C$9, 100%, $E$9)</f>
        <v>9.8503000000000007</v>
      </c>
      <c r="L305" s="10">
        <f>CHOOSE(CONTROL!$C$42, 10.6705, 10.6705) * CHOOSE(CONTROL!$C$21, $C$9, 100%, $E$9)</f>
        <v>10.670500000000001</v>
      </c>
      <c r="M305" s="10">
        <f>CHOOSE(CONTROL!$C$42, 9.7708, 9.7708) * CHOOSE(CONTROL!$C$21, $C$9, 100%, $E$9)</f>
        <v>9.7707999999999995</v>
      </c>
      <c r="N305" s="10">
        <f>CHOOSE(CONTROL!$C$42, 9.7888, 9.7888) * CHOOSE(CONTROL!$C$21, $C$9, 100%, $E$9)</f>
        <v>9.7888000000000002</v>
      </c>
      <c r="O305" s="10">
        <f>CHOOSE(CONTROL!$C$42, 9.9956, 9.9956) * CHOOSE(CONTROL!$C$21, $C$9, 100%, $E$9)</f>
        <v>9.9955999999999996</v>
      </c>
      <c r="P305" s="10">
        <f>CHOOSE(CONTROL!$C$42, 9.7686, 9.7686) * CHOOSE(CONTROL!$C$21, $C$9, 100%, $E$9)</f>
        <v>9.7685999999999993</v>
      </c>
      <c r="Q305" s="10">
        <f>CHOOSE(CONTROL!$C$42, 10.5909, 10.5909) * CHOOSE(CONTROL!$C$21, $C$9, 100%, $E$9)</f>
        <v>10.5909</v>
      </c>
      <c r="R305" s="10">
        <f>CHOOSE(CONTROL!$C$42, 11.2044, 11.2044) * CHOOSE(CONTROL!$C$21, $C$9, 100%, $E$9)</f>
        <v>11.2044</v>
      </c>
      <c r="S305" s="10">
        <f>CHOOSE(CONTROL!$C$42, 9.5876, 9.5876) * CHOOSE(CONTROL!$C$21, $C$9, 100%, $E$9)</f>
        <v>9.5876000000000001</v>
      </c>
      <c r="T305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305" s="58">
        <f>(1000*CHOOSE(CONTROL!$C$42, 695, 695)*CHOOSE(CONTROL!$C$42, 0.5599, 0.5599)*CHOOSE(CONTROL!$C$42, 31, 31))/1000000</f>
        <v>12.063045499999998</v>
      </c>
      <c r="V305" s="58">
        <f>(1000*CHOOSE(CONTROL!$C$42, 500, 500)*CHOOSE(CONTROL!$C$42, 0.275, 0.275)*CHOOSE(CONTROL!$C$42, 31, 31))/1000000</f>
        <v>4.2625000000000002</v>
      </c>
      <c r="W305" s="58">
        <f>(1000*CHOOSE(CONTROL!$C$42, 0.1146, 0.1146)*CHOOSE(CONTROL!$C$42, 121.5, 121.5)*CHOOSE(CONTROL!$C$42, 31, 31))/1000000</f>
        <v>0.43164089999999994</v>
      </c>
      <c r="X305" s="58">
        <f>(31*0.1790888*245000/1000000)+(31*0.2374*100000/1000000)</f>
        <v>2.0961194359999999</v>
      </c>
      <c r="Y305" s="58"/>
      <c r="Z305" s="10"/>
      <c r="AA305" s="57"/>
      <c r="AB305" s="51">
        <f>(B305*194.205+C305*267.466+D305*133.845+E305*53.484+F305*40+G305*185+H305*0+I305*100+J305*300)/(194.205+267.466+133.845+53.484+0+40+185+100+300)</f>
        <v>9.9011565995290436</v>
      </c>
      <c r="AC305" s="27">
        <f>(M305*'RAP TEMPLATE-GAS AVAILABILITY'!O304+N305*'RAP TEMPLATE-GAS AVAILABILITY'!P304+O305*'RAP TEMPLATE-GAS AVAILABILITY'!Q304+P305*'RAP TEMPLATE-GAS AVAILABILITY'!R304)/('RAP TEMPLATE-GAS AVAILABILITY'!O304+'RAP TEMPLATE-GAS AVAILABILITY'!P304+'RAP TEMPLATE-GAS AVAILABILITY'!Q304+'RAP TEMPLATE-GAS AVAILABILITY'!R304)</f>
        <v>9.8377007194244595</v>
      </c>
    </row>
    <row r="306" spans="1:29" ht="15.75" x14ac:dyDescent="0.25">
      <c r="A306" s="14">
        <v>50586</v>
      </c>
      <c r="B306" s="10">
        <f>CHOOSE(CONTROL!$C$42, 10.1573, 10.1573) * CHOOSE(CONTROL!$C$21, $C$9, 100%, $E$9)</f>
        <v>10.157299999999999</v>
      </c>
      <c r="C306" s="10">
        <f>CHOOSE(CONTROL!$C$42, 10.1652, 10.1652) * CHOOSE(CONTROL!$C$21, $C$9, 100%, $E$9)</f>
        <v>10.1652</v>
      </c>
      <c r="D306" s="10">
        <f>CHOOSE(CONTROL!$C$42, 10.3438, 10.3438) * CHOOSE(CONTROL!$C$21, $C$9, 100%, $E$9)</f>
        <v>10.3438</v>
      </c>
      <c r="E306" s="10">
        <f>CHOOSE(CONTROL!$C$42, 10.3749, 10.3749) * CHOOSE(CONTROL!$C$21, $C$9, 100%, $E$9)</f>
        <v>10.3749</v>
      </c>
      <c r="F306" s="10">
        <f>CHOOSE(CONTROL!$C$42, 10.1438, 10.1438)*CHOOSE(CONTROL!$C$21, $C$9, 100%, $E$9)</f>
        <v>10.143800000000001</v>
      </c>
      <c r="G306" s="10">
        <f>CHOOSE(CONTROL!$C$42, 10.162, 10.162)*CHOOSE(CONTROL!$C$21, $C$9, 100%, $E$9)</f>
        <v>10.162000000000001</v>
      </c>
      <c r="H306" s="10">
        <f>CHOOSE(CONTROL!$C$42, 10.3635, 10.3635) * CHOOSE(CONTROL!$C$21, $C$9, 100%, $E$9)</f>
        <v>10.3635</v>
      </c>
      <c r="I306" s="10">
        <f>CHOOSE(CONTROL!$C$42, 10.1342, 10.1342)* CHOOSE(CONTROL!$C$21, $C$9, 100%, $E$9)</f>
        <v>10.1342</v>
      </c>
      <c r="J306" s="10">
        <f>CHOOSE(CONTROL!$C$42, 10.1368, 10.1368)* CHOOSE(CONTROL!$C$21, $C$9, 100%, $E$9)</f>
        <v>10.136799999999999</v>
      </c>
      <c r="K306" s="54">
        <f>CHOOSE(CONTROL!$C$42, 10.1303, 10.1303) * CHOOSE(CONTROL!$C$21, $C$9, 100%, $E$9)</f>
        <v>10.1303</v>
      </c>
      <c r="L306" s="10">
        <f>CHOOSE(CONTROL!$C$42, 10.9505, 10.9505) * CHOOSE(CONTROL!$C$21, $C$9, 100%, $E$9)</f>
        <v>10.9505</v>
      </c>
      <c r="M306" s="10">
        <f>CHOOSE(CONTROL!$C$42, 10.0483, 10.0483) * CHOOSE(CONTROL!$C$21, $C$9, 100%, $E$9)</f>
        <v>10.048299999999999</v>
      </c>
      <c r="N306" s="10">
        <f>CHOOSE(CONTROL!$C$42, 10.0663, 10.0663) * CHOOSE(CONTROL!$C$21, $C$9, 100%, $E$9)</f>
        <v>10.0663</v>
      </c>
      <c r="O306" s="10">
        <f>CHOOSE(CONTROL!$C$42, 10.2728, 10.2728) * CHOOSE(CONTROL!$C$21, $C$9, 100%, $E$9)</f>
        <v>10.2728</v>
      </c>
      <c r="P306" s="10">
        <f>CHOOSE(CONTROL!$C$42, 10.0458, 10.0458) * CHOOSE(CONTROL!$C$21, $C$9, 100%, $E$9)</f>
        <v>10.0458</v>
      </c>
      <c r="Q306" s="10">
        <f>CHOOSE(CONTROL!$C$42, 10.8681, 10.8681) * CHOOSE(CONTROL!$C$21, $C$9, 100%, $E$9)</f>
        <v>10.8681</v>
      </c>
      <c r="R306" s="10">
        <f>CHOOSE(CONTROL!$C$42, 11.4822, 11.4822) * CHOOSE(CONTROL!$C$21, $C$9, 100%, $E$9)</f>
        <v>11.482200000000001</v>
      </c>
      <c r="S306" s="10">
        <f>CHOOSE(CONTROL!$C$42, 9.8595, 9.8595) * CHOOSE(CONTROL!$C$21, $C$9, 100%, $E$9)</f>
        <v>9.8595000000000006</v>
      </c>
      <c r="T306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306" s="58">
        <f>(1000*CHOOSE(CONTROL!$C$42, 695, 695)*CHOOSE(CONTROL!$C$42, 0.5599, 0.5599)*CHOOSE(CONTROL!$C$42, 30, 30))/1000000</f>
        <v>11.673914999999997</v>
      </c>
      <c r="V306" s="58">
        <f>(1000*CHOOSE(CONTROL!$C$42, 500, 500)*CHOOSE(CONTROL!$C$42, 0.275, 0.275)*CHOOSE(CONTROL!$C$42, 30, 30))/1000000</f>
        <v>4.125</v>
      </c>
      <c r="W306" s="58">
        <f>(1000*CHOOSE(CONTROL!$C$42, 0.1146, 0.1146)*CHOOSE(CONTROL!$C$42, 121.5, 121.5)*CHOOSE(CONTROL!$C$42, 30, 30))/1000000</f>
        <v>0.417717</v>
      </c>
      <c r="X306" s="58">
        <f>(30*0.1790888*245000/1000000)+(30*0.2374*100000/1000000)</f>
        <v>2.0285026799999999</v>
      </c>
      <c r="Y306" s="58"/>
      <c r="Z306" s="10"/>
      <c r="AA306" s="57"/>
      <c r="AB306" s="51">
        <f>(B306*194.205+C306*267.466+D306*133.845+E306*53.484+F306*40+G306*185+H306*0+I306*100+J306*300)/(194.205+267.466+133.845+53.484+0+40+185+100+300)</f>
        <v>10.18130525298273</v>
      </c>
      <c r="AC306" s="27">
        <f>(M306*'RAP TEMPLATE-GAS AVAILABILITY'!O305+N306*'RAP TEMPLATE-GAS AVAILABILITY'!P305+O306*'RAP TEMPLATE-GAS AVAILABILITY'!Q305+P306*'RAP TEMPLATE-GAS AVAILABILITY'!R305)/('RAP TEMPLATE-GAS AVAILABILITY'!O305+'RAP TEMPLATE-GAS AVAILABILITY'!P305+'RAP TEMPLATE-GAS AVAILABILITY'!Q305+'RAP TEMPLATE-GAS AVAILABILITY'!R305)</f>
        <v>10.115073381294964</v>
      </c>
    </row>
    <row r="307" spans="1:29" ht="15.75" x14ac:dyDescent="0.25">
      <c r="A307" s="14">
        <v>50617</v>
      </c>
      <c r="B307" s="10">
        <f>CHOOSE(CONTROL!$C$42, 9.9626, 9.9626) * CHOOSE(CONTROL!$C$21, $C$9, 100%, $E$9)</f>
        <v>9.9626000000000001</v>
      </c>
      <c r="C307" s="10">
        <f>CHOOSE(CONTROL!$C$42, 9.9705, 9.9705) * CHOOSE(CONTROL!$C$21, $C$9, 100%, $E$9)</f>
        <v>9.9704999999999995</v>
      </c>
      <c r="D307" s="10">
        <f>CHOOSE(CONTROL!$C$42, 10.149, 10.149) * CHOOSE(CONTROL!$C$21, $C$9, 100%, $E$9)</f>
        <v>10.148999999999999</v>
      </c>
      <c r="E307" s="10">
        <f>CHOOSE(CONTROL!$C$42, 10.1801, 10.1801) * CHOOSE(CONTROL!$C$21, $C$9, 100%, $E$9)</f>
        <v>10.180099999999999</v>
      </c>
      <c r="F307" s="10">
        <f>CHOOSE(CONTROL!$C$42, 9.9493, 9.9493)*CHOOSE(CONTROL!$C$21, $C$9, 100%, $E$9)</f>
        <v>9.9492999999999991</v>
      </c>
      <c r="G307" s="10">
        <f>CHOOSE(CONTROL!$C$42, 9.9676, 9.9676)*CHOOSE(CONTROL!$C$21, $C$9, 100%, $E$9)</f>
        <v>9.9675999999999991</v>
      </c>
      <c r="H307" s="10">
        <f>CHOOSE(CONTROL!$C$42, 10.1688, 10.1688) * CHOOSE(CONTROL!$C$21, $C$9, 100%, $E$9)</f>
        <v>10.168799999999999</v>
      </c>
      <c r="I307" s="10">
        <f>CHOOSE(CONTROL!$C$42, 9.9394, 9.9394)* CHOOSE(CONTROL!$C$21, $C$9, 100%, $E$9)</f>
        <v>9.9393999999999991</v>
      </c>
      <c r="J307" s="10">
        <f>CHOOSE(CONTROL!$C$42, 9.9423, 9.9423)* CHOOSE(CONTROL!$C$21, $C$9, 100%, $E$9)</f>
        <v>9.9422999999999995</v>
      </c>
      <c r="K307" s="54">
        <f>CHOOSE(CONTROL!$C$42, 9.9355, 9.9355) * CHOOSE(CONTROL!$C$21, $C$9, 100%, $E$9)</f>
        <v>9.9354999999999993</v>
      </c>
      <c r="L307" s="10">
        <f>CHOOSE(CONTROL!$C$42, 10.7558, 10.7558) * CHOOSE(CONTROL!$C$21, $C$9, 100%, $E$9)</f>
        <v>10.755800000000001</v>
      </c>
      <c r="M307" s="10">
        <f>CHOOSE(CONTROL!$C$42, 9.8558, 9.8558) * CHOOSE(CONTROL!$C$21, $C$9, 100%, $E$9)</f>
        <v>9.8558000000000003</v>
      </c>
      <c r="N307" s="10">
        <f>CHOOSE(CONTROL!$C$42, 9.8739, 9.8739) * CHOOSE(CONTROL!$C$21, $C$9, 100%, $E$9)</f>
        <v>9.8739000000000008</v>
      </c>
      <c r="O307" s="10">
        <f>CHOOSE(CONTROL!$C$42, 10.08, 10.08) * CHOOSE(CONTROL!$C$21, $C$9, 100%, $E$9)</f>
        <v>10.08</v>
      </c>
      <c r="P307" s="10">
        <f>CHOOSE(CONTROL!$C$42, 9.853, 9.853) * CHOOSE(CONTROL!$C$21, $C$9, 100%, $E$9)</f>
        <v>9.8529999999999998</v>
      </c>
      <c r="Q307" s="10">
        <f>CHOOSE(CONTROL!$C$42, 10.6753, 10.6753) * CHOOSE(CONTROL!$C$21, $C$9, 100%, $E$9)</f>
        <v>10.6753</v>
      </c>
      <c r="R307" s="10">
        <f>CHOOSE(CONTROL!$C$42, 11.289, 11.289) * CHOOSE(CONTROL!$C$21, $C$9, 100%, $E$9)</f>
        <v>11.289</v>
      </c>
      <c r="S307" s="10">
        <f>CHOOSE(CONTROL!$C$42, 9.6704, 9.6704) * CHOOSE(CONTROL!$C$21, $C$9, 100%, $E$9)</f>
        <v>9.6704000000000008</v>
      </c>
      <c r="T307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307" s="58">
        <f>(1000*CHOOSE(CONTROL!$C$42, 695, 695)*CHOOSE(CONTROL!$C$42, 0.5599, 0.5599)*CHOOSE(CONTROL!$C$42, 31, 31))/1000000</f>
        <v>12.063045499999998</v>
      </c>
      <c r="V307" s="58">
        <f>(1000*CHOOSE(CONTROL!$C$42, 500, 500)*CHOOSE(CONTROL!$C$42, 0.275, 0.275)*CHOOSE(CONTROL!$C$42, 31, 31))/1000000</f>
        <v>4.2625000000000002</v>
      </c>
      <c r="W307" s="58">
        <f>(1000*CHOOSE(CONTROL!$C$42, 0.1146, 0.1146)*CHOOSE(CONTROL!$C$42, 121.5, 121.5)*CHOOSE(CONTROL!$C$42, 31, 31))/1000000</f>
        <v>0.43164089999999994</v>
      </c>
      <c r="X307" s="58">
        <f>(31*0.1790888*245000/1000000)+(31*0.2374*100000/1000000)</f>
        <v>2.0961194359999999</v>
      </c>
      <c r="Y307" s="58"/>
      <c r="Z307" s="10"/>
      <c r="AA307" s="57"/>
      <c r="AB307" s="51">
        <f>(B307*194.205+C307*267.466+D307*133.845+E307*53.484+F307*40+G307*185+H307*0+I307*100+J307*300)/(194.205+267.466+133.845+53.484+0+40+185+100+300)</f>
        <v>9.9866796384615402</v>
      </c>
      <c r="AC307" s="27">
        <f>(M307*'RAP TEMPLATE-GAS AVAILABILITY'!O306+N307*'RAP TEMPLATE-GAS AVAILABILITY'!P306+O307*'RAP TEMPLATE-GAS AVAILABILITY'!Q306+P307*'RAP TEMPLATE-GAS AVAILABILITY'!R306)/('RAP TEMPLATE-GAS AVAILABILITY'!O306+'RAP TEMPLATE-GAS AVAILABILITY'!P306+'RAP TEMPLATE-GAS AVAILABILITY'!Q306+'RAP TEMPLATE-GAS AVAILABILITY'!R306)</f>
        <v>9.9224690647482028</v>
      </c>
    </row>
    <row r="308" spans="1:29" ht="15.75" x14ac:dyDescent="0.25">
      <c r="A308" s="14">
        <v>50648</v>
      </c>
      <c r="B308" s="10">
        <f>CHOOSE(CONTROL!$C$42, 9.4707, 9.4707) * CHOOSE(CONTROL!$C$21, $C$9, 100%, $E$9)</f>
        <v>9.4707000000000008</v>
      </c>
      <c r="C308" s="10">
        <f>CHOOSE(CONTROL!$C$42, 9.4786, 9.4786) * CHOOSE(CONTROL!$C$21, $C$9, 100%, $E$9)</f>
        <v>9.4786000000000001</v>
      </c>
      <c r="D308" s="10">
        <f>CHOOSE(CONTROL!$C$42, 9.6572, 9.6572) * CHOOSE(CONTROL!$C$21, $C$9, 100%, $E$9)</f>
        <v>9.6571999999999996</v>
      </c>
      <c r="E308" s="10">
        <f>CHOOSE(CONTROL!$C$42, 9.6883, 9.6883) * CHOOSE(CONTROL!$C$21, $C$9, 100%, $E$9)</f>
        <v>9.6882999999999999</v>
      </c>
      <c r="F308" s="10">
        <f>CHOOSE(CONTROL!$C$42, 9.4574, 9.4574)*CHOOSE(CONTROL!$C$21, $C$9, 100%, $E$9)</f>
        <v>9.4573999999999998</v>
      </c>
      <c r="G308" s="10">
        <f>CHOOSE(CONTROL!$C$42, 9.4757, 9.4757)*CHOOSE(CONTROL!$C$21, $C$9, 100%, $E$9)</f>
        <v>9.4756999999999998</v>
      </c>
      <c r="H308" s="10">
        <f>CHOOSE(CONTROL!$C$42, 9.6769, 9.6769) * CHOOSE(CONTROL!$C$21, $C$9, 100%, $E$9)</f>
        <v>9.6768999999999998</v>
      </c>
      <c r="I308" s="10">
        <f>CHOOSE(CONTROL!$C$42, 9.4476, 9.4476)* CHOOSE(CONTROL!$C$21, $C$9, 100%, $E$9)</f>
        <v>9.4475999999999996</v>
      </c>
      <c r="J308" s="10">
        <f>CHOOSE(CONTROL!$C$42, 9.4504, 9.4504)* CHOOSE(CONTROL!$C$21, $C$9, 100%, $E$9)</f>
        <v>9.4504000000000001</v>
      </c>
      <c r="K308" s="54">
        <f>CHOOSE(CONTROL!$C$42, 9.4437, 9.4437) * CHOOSE(CONTROL!$C$21, $C$9, 100%, $E$9)</f>
        <v>9.4436999999999998</v>
      </c>
      <c r="L308" s="10">
        <f>CHOOSE(CONTROL!$C$42, 10.2639, 10.2639) * CHOOSE(CONTROL!$C$21, $C$9, 100%, $E$9)</f>
        <v>10.2639</v>
      </c>
      <c r="M308" s="10">
        <f>CHOOSE(CONTROL!$C$42, 9.3688, 9.3688) * CHOOSE(CONTROL!$C$21, $C$9, 100%, $E$9)</f>
        <v>9.3688000000000002</v>
      </c>
      <c r="N308" s="10">
        <f>CHOOSE(CONTROL!$C$42, 9.3869, 9.3869) * CHOOSE(CONTROL!$C$21, $C$9, 100%, $E$9)</f>
        <v>9.3869000000000007</v>
      </c>
      <c r="O308" s="10">
        <f>CHOOSE(CONTROL!$C$42, 9.5931, 9.5931) * CHOOSE(CONTROL!$C$21, $C$9, 100%, $E$9)</f>
        <v>9.5930999999999997</v>
      </c>
      <c r="P308" s="10">
        <f>CHOOSE(CONTROL!$C$42, 9.3661, 9.3661) * CHOOSE(CONTROL!$C$21, $C$9, 100%, $E$9)</f>
        <v>9.3660999999999994</v>
      </c>
      <c r="Q308" s="10">
        <f>CHOOSE(CONTROL!$C$42, 10.1884, 10.1884) * CHOOSE(CONTROL!$C$21, $C$9, 100%, $E$9)</f>
        <v>10.1884</v>
      </c>
      <c r="R308" s="10">
        <f>CHOOSE(CONTROL!$C$42, 10.8009, 10.8009) * CHOOSE(CONTROL!$C$21, $C$9, 100%, $E$9)</f>
        <v>10.8009</v>
      </c>
      <c r="S308" s="10">
        <f>CHOOSE(CONTROL!$C$42, 9.1928, 9.1928) * CHOOSE(CONTROL!$C$21, $C$9, 100%, $E$9)</f>
        <v>9.1928000000000001</v>
      </c>
      <c r="T308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308" s="58">
        <f>(1000*CHOOSE(CONTROL!$C$42, 695, 695)*CHOOSE(CONTROL!$C$42, 0.5599, 0.5599)*CHOOSE(CONTROL!$C$42, 31, 31))/1000000</f>
        <v>12.063045499999998</v>
      </c>
      <c r="V308" s="58">
        <f>(1000*CHOOSE(CONTROL!$C$42, 500, 500)*CHOOSE(CONTROL!$C$42, 0.275, 0.275)*CHOOSE(CONTROL!$C$42, 31, 31))/1000000</f>
        <v>4.2625000000000002</v>
      </c>
      <c r="W308" s="58">
        <f>(1000*CHOOSE(CONTROL!$C$42, 0.1146, 0.1146)*CHOOSE(CONTROL!$C$42, 121.5, 121.5)*CHOOSE(CONTROL!$C$42, 31, 31))/1000000</f>
        <v>0.43164089999999994</v>
      </c>
      <c r="X308" s="58">
        <f>(31*0.1790888*245000/1000000)+(31*0.2374*100000/1000000)</f>
        <v>2.0961194359999999</v>
      </c>
      <c r="Y308" s="58"/>
      <c r="Z308" s="10"/>
      <c r="AA308" s="57"/>
      <c r="AB308" s="51">
        <f>(B308*194.205+C308*267.466+D308*133.845+E308*53.484+F308*40+G308*185+H308*0+I308*100+J308*300)/(194.205+267.466+133.845+53.484+0+40+185+100+300)</f>
        <v>9.4948021917582412</v>
      </c>
      <c r="AC308" s="27">
        <f>(M308*'RAP TEMPLATE-GAS AVAILABILITY'!O307+N308*'RAP TEMPLATE-GAS AVAILABILITY'!P307+O308*'RAP TEMPLATE-GAS AVAILABILITY'!Q307+P308*'RAP TEMPLATE-GAS AVAILABILITY'!R307)/('RAP TEMPLATE-GAS AVAILABILITY'!O307+'RAP TEMPLATE-GAS AVAILABILITY'!P307+'RAP TEMPLATE-GAS AVAILABILITY'!Q307+'RAP TEMPLATE-GAS AVAILABILITY'!R307)</f>
        <v>9.4355115107913665</v>
      </c>
    </row>
    <row r="309" spans="1:29" ht="15.75" x14ac:dyDescent="0.25">
      <c r="A309" s="14">
        <v>50678</v>
      </c>
      <c r="B309" s="10">
        <f>CHOOSE(CONTROL!$C$42, 8.8698, 8.8698) * CHOOSE(CONTROL!$C$21, $C$9, 100%, $E$9)</f>
        <v>8.8697999999999997</v>
      </c>
      <c r="C309" s="10">
        <f>CHOOSE(CONTROL!$C$42, 8.8777, 8.8777) * CHOOSE(CONTROL!$C$21, $C$9, 100%, $E$9)</f>
        <v>8.8777000000000008</v>
      </c>
      <c r="D309" s="10">
        <f>CHOOSE(CONTROL!$C$42, 9.0563, 9.0563) * CHOOSE(CONTROL!$C$21, $C$9, 100%, $E$9)</f>
        <v>9.0563000000000002</v>
      </c>
      <c r="E309" s="10">
        <f>CHOOSE(CONTROL!$C$42, 9.0874, 9.0874) * CHOOSE(CONTROL!$C$21, $C$9, 100%, $E$9)</f>
        <v>9.0874000000000006</v>
      </c>
      <c r="F309" s="10">
        <f>CHOOSE(CONTROL!$C$42, 8.8562, 8.8562)*CHOOSE(CONTROL!$C$21, $C$9, 100%, $E$9)</f>
        <v>8.8561999999999994</v>
      </c>
      <c r="G309" s="10">
        <f>CHOOSE(CONTROL!$C$42, 8.8744, 8.8744)*CHOOSE(CONTROL!$C$21, $C$9, 100%, $E$9)</f>
        <v>8.8743999999999996</v>
      </c>
      <c r="H309" s="10">
        <f>CHOOSE(CONTROL!$C$42, 9.076, 9.076) * CHOOSE(CONTROL!$C$21, $C$9, 100%, $E$9)</f>
        <v>9.0760000000000005</v>
      </c>
      <c r="I309" s="10">
        <f>CHOOSE(CONTROL!$C$42, 8.8467, 8.8467)* CHOOSE(CONTROL!$C$21, $C$9, 100%, $E$9)</f>
        <v>8.8467000000000002</v>
      </c>
      <c r="J309" s="10">
        <f>CHOOSE(CONTROL!$C$42, 8.8492, 8.8492)* CHOOSE(CONTROL!$C$21, $C$9, 100%, $E$9)</f>
        <v>8.8491999999999997</v>
      </c>
      <c r="K309" s="54">
        <f>CHOOSE(CONTROL!$C$42, 8.8428, 8.8428) * CHOOSE(CONTROL!$C$21, $C$9, 100%, $E$9)</f>
        <v>8.8428000000000004</v>
      </c>
      <c r="L309" s="10">
        <f>CHOOSE(CONTROL!$C$42, 9.663, 9.663) * CHOOSE(CONTROL!$C$21, $C$9, 100%, $E$9)</f>
        <v>9.6630000000000003</v>
      </c>
      <c r="M309" s="10">
        <f>CHOOSE(CONTROL!$C$42, 8.7737, 8.7737) * CHOOSE(CONTROL!$C$21, $C$9, 100%, $E$9)</f>
        <v>8.7736999999999998</v>
      </c>
      <c r="N309" s="10">
        <f>CHOOSE(CONTROL!$C$42, 8.7917, 8.7917) * CHOOSE(CONTROL!$C$21, $C$9, 100%, $E$9)</f>
        <v>8.7917000000000005</v>
      </c>
      <c r="O309" s="10">
        <f>CHOOSE(CONTROL!$C$42, 8.9983, 8.9983) * CHOOSE(CONTROL!$C$21, $C$9, 100%, $E$9)</f>
        <v>8.9983000000000004</v>
      </c>
      <c r="P309" s="10">
        <f>CHOOSE(CONTROL!$C$42, 8.7713, 8.7713) * CHOOSE(CONTROL!$C$21, $C$9, 100%, $E$9)</f>
        <v>8.7713000000000001</v>
      </c>
      <c r="Q309" s="10">
        <f>CHOOSE(CONTROL!$C$42, 9.5936, 9.5936) * CHOOSE(CONTROL!$C$21, $C$9, 100%, $E$9)</f>
        <v>9.5936000000000003</v>
      </c>
      <c r="R309" s="10">
        <f>CHOOSE(CONTROL!$C$42, 10.2045, 10.2045) * CHOOSE(CONTROL!$C$21, $C$9, 100%, $E$9)</f>
        <v>10.204499999999999</v>
      </c>
      <c r="S309" s="10">
        <f>CHOOSE(CONTROL!$C$42, 8.6092, 8.6092) * CHOOSE(CONTROL!$C$21, $C$9, 100%, $E$9)</f>
        <v>8.6091999999999995</v>
      </c>
      <c r="T309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309" s="58">
        <f>(1000*CHOOSE(CONTROL!$C$42, 695, 695)*CHOOSE(CONTROL!$C$42, 0.5599, 0.5599)*CHOOSE(CONTROL!$C$42, 30, 30))/1000000</f>
        <v>11.673914999999997</v>
      </c>
      <c r="V309" s="58">
        <f>(1000*CHOOSE(CONTROL!$C$42, 500, 500)*CHOOSE(CONTROL!$C$42, 0.275, 0.275)*CHOOSE(CONTROL!$C$42, 30, 30))/1000000</f>
        <v>4.125</v>
      </c>
      <c r="W309" s="58">
        <f>(1000*CHOOSE(CONTROL!$C$42, 0.1146, 0.1146)*CHOOSE(CONTROL!$C$42, 121.5, 121.5)*CHOOSE(CONTROL!$C$42, 30, 30))/1000000</f>
        <v>0.417717</v>
      </c>
      <c r="X309" s="58">
        <f>(30*0.1790888*245000/1000000)+(30*0.2374*100000/1000000)</f>
        <v>2.0285026799999999</v>
      </c>
      <c r="Y309" s="58"/>
      <c r="Z309" s="10"/>
      <c r="AA309" s="57"/>
      <c r="AB309" s="51">
        <f>(B309*194.205+C309*267.466+D309*133.845+E309*53.484+F309*40+G309*185+H309*0+I309*100+J309*300)/(194.205+267.466+133.845+53.484+0+40+185+100+300)</f>
        <v>8.8937640441915242</v>
      </c>
      <c r="AC309" s="27">
        <f>(M309*'RAP TEMPLATE-GAS AVAILABILITY'!O308+N309*'RAP TEMPLATE-GAS AVAILABILITY'!P308+O309*'RAP TEMPLATE-GAS AVAILABILITY'!Q308+P309*'RAP TEMPLATE-GAS AVAILABILITY'!R308)/('RAP TEMPLATE-GAS AVAILABILITY'!O308+'RAP TEMPLATE-GAS AVAILABILITY'!P308+'RAP TEMPLATE-GAS AVAILABILITY'!Q308+'RAP TEMPLATE-GAS AVAILABILITY'!R308)</f>
        <v>8.8405158273381304</v>
      </c>
    </row>
    <row r="310" spans="1:29" ht="15.75" x14ac:dyDescent="0.25">
      <c r="A310" s="14">
        <v>50709</v>
      </c>
      <c r="B310" s="10">
        <f>CHOOSE(CONTROL!$C$42, 8.6877, 8.6877) * CHOOSE(CONTROL!$C$21, $C$9, 100%, $E$9)</f>
        <v>8.6876999999999995</v>
      </c>
      <c r="C310" s="10">
        <f>CHOOSE(CONTROL!$C$42, 8.6929, 8.6929) * CHOOSE(CONTROL!$C$21, $C$9, 100%, $E$9)</f>
        <v>8.6928999999999998</v>
      </c>
      <c r="D310" s="10">
        <f>CHOOSE(CONTROL!$C$42, 8.8764, 8.8764) * CHOOSE(CONTROL!$C$21, $C$9, 100%, $E$9)</f>
        <v>8.8764000000000003</v>
      </c>
      <c r="E310" s="10">
        <f>CHOOSE(CONTROL!$C$42, 8.9052, 8.9052) * CHOOSE(CONTROL!$C$21, $C$9, 100%, $E$9)</f>
        <v>8.9052000000000007</v>
      </c>
      <c r="F310" s="10">
        <f>CHOOSE(CONTROL!$C$42, 8.676, 8.676)*CHOOSE(CONTROL!$C$21, $C$9, 100%, $E$9)</f>
        <v>8.6760000000000002</v>
      </c>
      <c r="G310" s="10">
        <f>CHOOSE(CONTROL!$C$42, 8.6939, 8.6939)*CHOOSE(CONTROL!$C$21, $C$9, 100%, $E$9)</f>
        <v>8.6938999999999993</v>
      </c>
      <c r="H310" s="10">
        <f>CHOOSE(CONTROL!$C$42, 8.8957, 8.8957) * CHOOSE(CONTROL!$C$21, $C$9, 100%, $E$9)</f>
        <v>8.8956999999999997</v>
      </c>
      <c r="I310" s="10">
        <f>CHOOSE(CONTROL!$C$42, 8.6663, 8.6663)* CHOOSE(CONTROL!$C$21, $C$9, 100%, $E$9)</f>
        <v>8.6662999999999997</v>
      </c>
      <c r="J310" s="10">
        <f>CHOOSE(CONTROL!$C$42, 8.669, 8.669)* CHOOSE(CONTROL!$C$21, $C$9, 100%, $E$9)</f>
        <v>8.6690000000000005</v>
      </c>
      <c r="K310" s="54">
        <f>CHOOSE(CONTROL!$C$42, 8.6624, 8.6624) * CHOOSE(CONTROL!$C$21, $C$9, 100%, $E$9)</f>
        <v>8.6623999999999999</v>
      </c>
      <c r="L310" s="10">
        <f>CHOOSE(CONTROL!$C$42, 9.4827, 9.4827) * CHOOSE(CONTROL!$C$21, $C$9, 100%, $E$9)</f>
        <v>9.4826999999999995</v>
      </c>
      <c r="M310" s="10">
        <f>CHOOSE(CONTROL!$C$42, 8.5953, 8.5953) * CHOOSE(CONTROL!$C$21, $C$9, 100%, $E$9)</f>
        <v>8.5952999999999999</v>
      </c>
      <c r="N310" s="10">
        <f>CHOOSE(CONTROL!$C$42, 8.613, 8.613) * CHOOSE(CONTROL!$C$21, $C$9, 100%, $E$9)</f>
        <v>8.6129999999999995</v>
      </c>
      <c r="O310" s="10">
        <f>CHOOSE(CONTROL!$C$42, 8.8197, 8.8197) * CHOOSE(CONTROL!$C$21, $C$9, 100%, $E$9)</f>
        <v>8.8196999999999992</v>
      </c>
      <c r="P310" s="10">
        <f>CHOOSE(CONTROL!$C$42, 8.5927, 8.5927) * CHOOSE(CONTROL!$C$21, $C$9, 100%, $E$9)</f>
        <v>8.5927000000000007</v>
      </c>
      <c r="Q310" s="10">
        <f>CHOOSE(CONTROL!$C$42, 9.415, 9.415) * CHOOSE(CONTROL!$C$21, $C$9, 100%, $E$9)</f>
        <v>9.4149999999999991</v>
      </c>
      <c r="R310" s="10">
        <f>CHOOSE(CONTROL!$C$42, 10.0255, 10.0255) * CHOOSE(CONTROL!$C$21, $C$9, 100%, $E$9)</f>
        <v>10.025499999999999</v>
      </c>
      <c r="S310" s="10">
        <f>CHOOSE(CONTROL!$C$42, 8.4341, 8.4341) * CHOOSE(CONTROL!$C$21, $C$9, 100%, $E$9)</f>
        <v>8.4341000000000008</v>
      </c>
      <c r="T310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10" s="58">
        <f>(1000*CHOOSE(CONTROL!$C$42, 695, 695)*CHOOSE(CONTROL!$C$42, 0.5599, 0.5599)*CHOOSE(CONTROL!$C$42, 31, 31))/1000000</f>
        <v>12.063045499999998</v>
      </c>
      <c r="V310" s="58">
        <f>(1000*CHOOSE(CONTROL!$C$42, 500, 500)*CHOOSE(CONTROL!$C$42, 0.275, 0.275)*CHOOSE(CONTROL!$C$42, 31, 31))/1000000</f>
        <v>4.2625000000000002</v>
      </c>
      <c r="W310" s="58">
        <f>(1000*CHOOSE(CONTROL!$C$42, 0.1146, 0.1146)*CHOOSE(CONTROL!$C$42, 121.5, 121.5)*CHOOSE(CONTROL!$C$42, 31, 31))/1000000</f>
        <v>0.43164089999999994</v>
      </c>
      <c r="X310" s="58">
        <f>(31*0.1790888*245000/1000000)+(31*0.2374*100000/1000000)</f>
        <v>2.0961194359999999</v>
      </c>
      <c r="Y310" s="58"/>
      <c r="Z310" s="10"/>
      <c r="AA310" s="57"/>
      <c r="AB310" s="51">
        <f>(B310*131.881+C310*277.167+D310*79.08+E310*125.872+F310*40+G310*185+H310*0+I310*100+J310*300)/(131.881+277.167+79.08+125.872+0+40+185+100+300)</f>
        <v>8.7172963070217904</v>
      </c>
      <c r="AC310" s="27">
        <f>(M310*'RAP TEMPLATE-GAS AVAILABILITY'!O309+N310*'RAP TEMPLATE-GAS AVAILABILITY'!P309+O310*'RAP TEMPLATE-GAS AVAILABILITY'!Q309+P310*'RAP TEMPLATE-GAS AVAILABILITY'!R309)/('RAP TEMPLATE-GAS AVAILABILITY'!O309+'RAP TEMPLATE-GAS AVAILABILITY'!P309+'RAP TEMPLATE-GAS AVAILABILITY'!Q309+'RAP TEMPLATE-GAS AVAILABILITY'!R309)</f>
        <v>8.6619618705035979</v>
      </c>
    </row>
    <row r="311" spans="1:29" ht="15.75" x14ac:dyDescent="0.25">
      <c r="A311" s="14">
        <v>50739</v>
      </c>
      <c r="B311" s="10">
        <f>CHOOSE(CONTROL!$C$42, 8.916, 8.916) * CHOOSE(CONTROL!$C$21, $C$9, 100%, $E$9)</f>
        <v>8.9160000000000004</v>
      </c>
      <c r="C311" s="10">
        <f>CHOOSE(CONTROL!$C$42, 8.921, 8.921) * CHOOSE(CONTROL!$C$21, $C$9, 100%, $E$9)</f>
        <v>8.9209999999999994</v>
      </c>
      <c r="D311" s="10">
        <f>CHOOSE(CONTROL!$C$42, 8.9506, 8.9506) * CHOOSE(CONTROL!$C$21, $C$9, 100%, $E$9)</f>
        <v>8.9505999999999997</v>
      </c>
      <c r="E311" s="10">
        <f>CHOOSE(CONTROL!$C$42, 8.9844, 8.9844) * CHOOSE(CONTROL!$C$21, $C$9, 100%, $E$9)</f>
        <v>8.9844000000000008</v>
      </c>
      <c r="F311" s="10">
        <f>CHOOSE(CONTROL!$C$42, 8.9018, 8.9018)*CHOOSE(CONTROL!$C$21, $C$9, 100%, $E$9)</f>
        <v>8.9017999999999997</v>
      </c>
      <c r="G311" s="10">
        <f>CHOOSE(CONTROL!$C$42, 8.9198, 8.9198)*CHOOSE(CONTROL!$C$21, $C$9, 100%, $E$9)</f>
        <v>8.9198000000000004</v>
      </c>
      <c r="H311" s="10">
        <f>CHOOSE(CONTROL!$C$42, 8.9736, 8.9736) * CHOOSE(CONTROL!$C$21, $C$9, 100%, $E$9)</f>
        <v>8.9735999999999994</v>
      </c>
      <c r="I311" s="10">
        <f>CHOOSE(CONTROL!$C$42, 8.8822, 8.8822)* CHOOSE(CONTROL!$C$21, $C$9, 100%, $E$9)</f>
        <v>8.8821999999999992</v>
      </c>
      <c r="J311" s="10">
        <f>CHOOSE(CONTROL!$C$42, 8.8948, 8.8948)* CHOOSE(CONTROL!$C$21, $C$9, 100%, $E$9)</f>
        <v>8.8948</v>
      </c>
      <c r="K311" s="54">
        <f>CHOOSE(CONTROL!$C$42, 8.8783, 8.8783) * CHOOSE(CONTROL!$C$21, $C$9, 100%, $E$9)</f>
        <v>8.8782999999999994</v>
      </c>
      <c r="L311" s="10">
        <f>CHOOSE(CONTROL!$C$42, 9.5606, 9.5606) * CHOOSE(CONTROL!$C$21, $C$9, 100%, $E$9)</f>
        <v>9.5606000000000009</v>
      </c>
      <c r="M311" s="10">
        <f>CHOOSE(CONTROL!$C$42, 8.8189, 8.8189) * CHOOSE(CONTROL!$C$21, $C$9, 100%, $E$9)</f>
        <v>8.8188999999999993</v>
      </c>
      <c r="N311" s="10">
        <f>CHOOSE(CONTROL!$C$42, 8.8367, 8.8367) * CHOOSE(CONTROL!$C$21, $C$9, 100%, $E$9)</f>
        <v>8.8367000000000004</v>
      </c>
      <c r="O311" s="10">
        <f>CHOOSE(CONTROL!$C$42, 8.8968, 8.8968) * CHOOSE(CONTROL!$C$21, $C$9, 100%, $E$9)</f>
        <v>8.8968000000000007</v>
      </c>
      <c r="P311" s="10">
        <f>CHOOSE(CONTROL!$C$42, 8.8064, 8.8064) * CHOOSE(CONTROL!$C$21, $C$9, 100%, $E$9)</f>
        <v>8.8064</v>
      </c>
      <c r="Q311" s="10">
        <f>CHOOSE(CONTROL!$C$42, 9.4921, 9.4921) * CHOOSE(CONTROL!$C$21, $C$9, 100%, $E$9)</f>
        <v>9.4921000000000006</v>
      </c>
      <c r="R311" s="10">
        <f>CHOOSE(CONTROL!$C$42, 10.1029, 10.1029) * CHOOSE(CONTROL!$C$21, $C$9, 100%, $E$9)</f>
        <v>10.1029</v>
      </c>
      <c r="S311" s="10">
        <f>CHOOSE(CONTROL!$C$42, 8.6562, 8.6562) * CHOOSE(CONTROL!$C$21, $C$9, 100%, $E$9)</f>
        <v>8.6562000000000001</v>
      </c>
      <c r="T311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11" s="58">
        <f>(1000*CHOOSE(CONTROL!$C$42, 695, 695)*CHOOSE(CONTROL!$C$42, 0.5599, 0.5599)*CHOOSE(CONTROL!$C$42, 30, 30))/1000000</f>
        <v>11.673914999999997</v>
      </c>
      <c r="V311" s="58">
        <f>(1000*CHOOSE(CONTROL!$C$42, 500, 500)*CHOOSE(CONTROL!$C$42, 0.275, 0.275)*CHOOSE(CONTROL!$C$42, 30, 30))/1000000</f>
        <v>4.125</v>
      </c>
      <c r="W311" s="58">
        <f>(1000*CHOOSE(CONTROL!$C$42, 0.1146, 0.1146)*CHOOSE(CONTROL!$C$42, 121.5, 121.5)*CHOOSE(CONTROL!$C$42, 30, 30))/1000000</f>
        <v>0.417717</v>
      </c>
      <c r="X311" s="58">
        <f>(30*0.1790888*100000/1000000)+(30*0.2374*100000/1000000)</f>
        <v>1.2494664</v>
      </c>
      <c r="Y311" s="58"/>
      <c r="Z311" s="10"/>
      <c r="AA311" s="57"/>
      <c r="AB311" s="51">
        <f>(B311*122.58+C311*297.941+D311*89.177+E311*40.302+F311*40+G311*160+H311*0+I311*100+J311*300)/(122.58+297.941+89.177+40.302+0+40+160+100+300)</f>
        <v>8.9139407704347811</v>
      </c>
      <c r="AC311" s="27">
        <f>(M311*'RAP TEMPLATE-GAS AVAILABILITY'!O310+N311*'RAP TEMPLATE-GAS AVAILABILITY'!P310+O311*'RAP TEMPLATE-GAS AVAILABILITY'!Q310+P311*'RAP TEMPLATE-GAS AVAILABILITY'!R310)/('RAP TEMPLATE-GAS AVAILABILITY'!O310+'RAP TEMPLATE-GAS AVAILABILITY'!P310+'RAP TEMPLATE-GAS AVAILABILITY'!Q310+'RAP TEMPLATE-GAS AVAILABILITY'!R310)</f>
        <v>8.8534330935251813</v>
      </c>
    </row>
    <row r="312" spans="1:29" ht="15.75" x14ac:dyDescent="0.25">
      <c r="A312" s="14">
        <v>50770</v>
      </c>
      <c r="B312" s="10">
        <f>CHOOSE(CONTROL!$C$42, 9.5237, 9.5237) * CHOOSE(CONTROL!$C$21, $C$9, 100%, $E$9)</f>
        <v>9.5236999999999998</v>
      </c>
      <c r="C312" s="10">
        <f>CHOOSE(CONTROL!$C$42, 9.5287, 9.5287) * CHOOSE(CONTROL!$C$21, $C$9, 100%, $E$9)</f>
        <v>9.5287000000000006</v>
      </c>
      <c r="D312" s="10">
        <f>CHOOSE(CONTROL!$C$42, 9.5583, 9.5583) * CHOOSE(CONTROL!$C$21, $C$9, 100%, $E$9)</f>
        <v>9.5582999999999991</v>
      </c>
      <c r="E312" s="10">
        <f>CHOOSE(CONTROL!$C$42, 9.5921, 9.5921) * CHOOSE(CONTROL!$C$21, $C$9, 100%, $E$9)</f>
        <v>9.5921000000000003</v>
      </c>
      <c r="F312" s="10">
        <f>CHOOSE(CONTROL!$C$42, 9.511, 9.511)*CHOOSE(CONTROL!$C$21, $C$9, 100%, $E$9)</f>
        <v>9.5109999999999992</v>
      </c>
      <c r="G312" s="10">
        <f>CHOOSE(CONTROL!$C$42, 9.5295, 9.5295)*CHOOSE(CONTROL!$C$21, $C$9, 100%, $E$9)</f>
        <v>9.5295000000000005</v>
      </c>
      <c r="H312" s="10">
        <f>CHOOSE(CONTROL!$C$42, 9.5813, 9.5813) * CHOOSE(CONTROL!$C$21, $C$9, 100%, $E$9)</f>
        <v>9.5813000000000006</v>
      </c>
      <c r="I312" s="10">
        <f>CHOOSE(CONTROL!$C$42, 9.4899, 9.4899)* CHOOSE(CONTROL!$C$21, $C$9, 100%, $E$9)</f>
        <v>9.4899000000000004</v>
      </c>
      <c r="J312" s="10">
        <f>CHOOSE(CONTROL!$C$42, 9.504, 9.504)* CHOOSE(CONTROL!$C$21, $C$9, 100%, $E$9)</f>
        <v>9.5039999999999996</v>
      </c>
      <c r="K312" s="54">
        <f>CHOOSE(CONTROL!$C$42, 9.486, 9.486) * CHOOSE(CONTROL!$C$21, $C$9, 100%, $E$9)</f>
        <v>9.4860000000000007</v>
      </c>
      <c r="L312" s="10">
        <f>CHOOSE(CONTROL!$C$42, 10.1683, 10.1683) * CHOOSE(CONTROL!$C$21, $C$9, 100%, $E$9)</f>
        <v>10.1683</v>
      </c>
      <c r="M312" s="10">
        <f>CHOOSE(CONTROL!$C$42, 9.4219, 9.4219) * CHOOSE(CONTROL!$C$21, $C$9, 100%, $E$9)</f>
        <v>9.4219000000000008</v>
      </c>
      <c r="N312" s="10">
        <f>CHOOSE(CONTROL!$C$42, 9.4402, 9.4402) * CHOOSE(CONTROL!$C$21, $C$9, 100%, $E$9)</f>
        <v>9.4402000000000008</v>
      </c>
      <c r="O312" s="10">
        <f>CHOOSE(CONTROL!$C$42, 9.4984, 9.4984) * CHOOSE(CONTROL!$C$21, $C$9, 100%, $E$9)</f>
        <v>9.4984000000000002</v>
      </c>
      <c r="P312" s="10">
        <f>CHOOSE(CONTROL!$C$42, 9.408, 9.408) * CHOOSE(CONTROL!$C$21, $C$9, 100%, $E$9)</f>
        <v>9.4079999999999995</v>
      </c>
      <c r="Q312" s="10">
        <f>CHOOSE(CONTROL!$C$42, 10.0937, 10.0937) * CHOOSE(CONTROL!$C$21, $C$9, 100%, $E$9)</f>
        <v>10.0937</v>
      </c>
      <c r="R312" s="10">
        <f>CHOOSE(CONTROL!$C$42, 10.7059, 10.7059) * CHOOSE(CONTROL!$C$21, $C$9, 100%, $E$9)</f>
        <v>10.7059</v>
      </c>
      <c r="S312" s="10">
        <f>CHOOSE(CONTROL!$C$42, 9.2464, 9.2464) * CHOOSE(CONTROL!$C$21, $C$9, 100%, $E$9)</f>
        <v>9.2463999999999995</v>
      </c>
      <c r="T312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12" s="58">
        <f>(1000*CHOOSE(CONTROL!$C$42, 695, 695)*CHOOSE(CONTROL!$C$42, 0.5599, 0.5599)*CHOOSE(CONTROL!$C$42, 31, 31))/1000000</f>
        <v>12.063045499999998</v>
      </c>
      <c r="V312" s="58">
        <f>(1000*CHOOSE(CONTROL!$C$42, 500, 500)*CHOOSE(CONTROL!$C$42, 0.275, 0.275)*CHOOSE(CONTROL!$C$42, 31, 31))/1000000</f>
        <v>4.2625000000000002</v>
      </c>
      <c r="W312" s="58">
        <f>(1000*CHOOSE(CONTROL!$C$42, 0.1146, 0.1146)*CHOOSE(CONTROL!$C$42, 121.5, 121.5)*CHOOSE(CONTROL!$C$42, 31, 31))/1000000</f>
        <v>0.43164089999999994</v>
      </c>
      <c r="X312" s="58">
        <f>(31*0.1790888*100000/1000000)+(31*0.2374*100000/1000000)</f>
        <v>1.2911152800000001</v>
      </c>
      <c r="Y312" s="58"/>
      <c r="Z312" s="10"/>
      <c r="AA312" s="57"/>
      <c r="AB312" s="51">
        <f>(B312*122.58+C312*297.941+D312*89.177+E312*40.302+F312*40+G312*160+H312*0+I312*100+J312*300)/(122.58+297.941+89.177+40.302+0+40+160+100+300)</f>
        <v>9.522362509565216</v>
      </c>
      <c r="AC312" s="27">
        <f>(M312*'RAP TEMPLATE-GAS AVAILABILITY'!O311+N312*'RAP TEMPLATE-GAS AVAILABILITY'!P311+O312*'RAP TEMPLATE-GAS AVAILABILITY'!Q311+P312*'RAP TEMPLATE-GAS AVAILABILITY'!R311)/('RAP TEMPLATE-GAS AVAILABILITY'!O311+'RAP TEMPLATE-GAS AVAILABILITY'!P311+'RAP TEMPLATE-GAS AVAILABILITY'!Q311+'RAP TEMPLATE-GAS AVAILABILITY'!R311)</f>
        <v>9.4556258992805766</v>
      </c>
    </row>
    <row r="313" spans="1:29" ht="15.75" x14ac:dyDescent="0.25">
      <c r="A313" s="14">
        <v>50801</v>
      </c>
      <c r="B313" s="10">
        <f>CHOOSE(CONTROL!$C$42, 10.1663, 10.1663) * CHOOSE(CONTROL!$C$21, $C$9, 100%, $E$9)</f>
        <v>10.1663</v>
      </c>
      <c r="C313" s="10">
        <f>CHOOSE(CONTROL!$C$42, 10.1713, 10.1713) * CHOOSE(CONTROL!$C$21, $C$9, 100%, $E$9)</f>
        <v>10.1713</v>
      </c>
      <c r="D313" s="10">
        <f>CHOOSE(CONTROL!$C$42, 10.2215, 10.2215) * CHOOSE(CONTROL!$C$21, $C$9, 100%, $E$9)</f>
        <v>10.221500000000001</v>
      </c>
      <c r="E313" s="10">
        <f>CHOOSE(CONTROL!$C$42, 10.2553, 10.2553) * CHOOSE(CONTROL!$C$21, $C$9, 100%, $E$9)</f>
        <v>10.2553</v>
      </c>
      <c r="F313" s="10">
        <f>CHOOSE(CONTROL!$C$42, 10.1317, 10.1317)*CHOOSE(CONTROL!$C$21, $C$9, 100%, $E$9)</f>
        <v>10.1317</v>
      </c>
      <c r="G313" s="10">
        <f>CHOOSE(CONTROL!$C$42, 10.1492, 10.1492)*CHOOSE(CONTROL!$C$21, $C$9, 100%, $E$9)</f>
        <v>10.1492</v>
      </c>
      <c r="H313" s="10">
        <f>CHOOSE(CONTROL!$C$42, 10.2445, 10.2445) * CHOOSE(CONTROL!$C$21, $C$9, 100%, $E$9)</f>
        <v>10.2445</v>
      </c>
      <c r="I313" s="10">
        <f>CHOOSE(CONTROL!$C$42, 10.1402, 10.1402)* CHOOSE(CONTROL!$C$21, $C$9, 100%, $E$9)</f>
        <v>10.1402</v>
      </c>
      <c r="J313" s="10">
        <f>CHOOSE(CONTROL!$C$42, 10.1247, 10.1247)* CHOOSE(CONTROL!$C$21, $C$9, 100%, $E$9)</f>
        <v>10.124700000000001</v>
      </c>
      <c r="K313" s="54">
        <f>CHOOSE(CONTROL!$C$42, 10.1363, 10.1363) * CHOOSE(CONTROL!$C$21, $C$9, 100%, $E$9)</f>
        <v>10.1363</v>
      </c>
      <c r="L313" s="10">
        <f>CHOOSE(CONTROL!$C$42, 10.8315, 10.8315) * CHOOSE(CONTROL!$C$21, $C$9, 100%, $E$9)</f>
        <v>10.8315</v>
      </c>
      <c r="M313" s="10">
        <f>CHOOSE(CONTROL!$C$42, 10.0363, 10.0363) * CHOOSE(CONTROL!$C$21, $C$9, 100%, $E$9)</f>
        <v>10.036300000000001</v>
      </c>
      <c r="N313" s="10">
        <f>CHOOSE(CONTROL!$C$42, 10.0537, 10.0537) * CHOOSE(CONTROL!$C$21, $C$9, 100%, $E$9)</f>
        <v>10.053699999999999</v>
      </c>
      <c r="O313" s="10">
        <f>CHOOSE(CONTROL!$C$42, 10.1549, 10.1549) * CHOOSE(CONTROL!$C$21, $C$9, 100%, $E$9)</f>
        <v>10.1549</v>
      </c>
      <c r="P313" s="10">
        <f>CHOOSE(CONTROL!$C$42, 10.0518, 10.0518) * CHOOSE(CONTROL!$C$21, $C$9, 100%, $E$9)</f>
        <v>10.0518</v>
      </c>
      <c r="Q313" s="10">
        <f>CHOOSE(CONTROL!$C$42, 10.7502, 10.7502) * CHOOSE(CONTROL!$C$21, $C$9, 100%, $E$9)</f>
        <v>10.7502</v>
      </c>
      <c r="R313" s="10">
        <f>CHOOSE(CONTROL!$C$42, 11.3641, 11.3641) * CHOOSE(CONTROL!$C$21, $C$9, 100%, $E$9)</f>
        <v>11.364100000000001</v>
      </c>
      <c r="S313" s="10">
        <f>CHOOSE(CONTROL!$C$42, 9.8704, 9.8704) * CHOOSE(CONTROL!$C$21, $C$9, 100%, $E$9)</f>
        <v>9.8704000000000001</v>
      </c>
      <c r="T313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13" s="58">
        <f>(1000*CHOOSE(CONTROL!$C$42, 695, 695)*CHOOSE(CONTROL!$C$42, 0.5599, 0.5599)*CHOOSE(CONTROL!$C$42, 31, 31))/1000000</f>
        <v>12.063045499999998</v>
      </c>
      <c r="V313" s="58">
        <f>(1000*CHOOSE(CONTROL!$C$42, 500, 500)*CHOOSE(CONTROL!$C$42, 0.275, 0.275)*CHOOSE(CONTROL!$C$42, 31, 31))/1000000</f>
        <v>4.2625000000000002</v>
      </c>
      <c r="W313" s="58">
        <f>(1000*CHOOSE(CONTROL!$C$42, 0.1146, 0.1146)*CHOOSE(CONTROL!$C$42, 121.5, 121.5)*CHOOSE(CONTROL!$C$42, 31, 31))/1000000</f>
        <v>0.43164089999999994</v>
      </c>
      <c r="X313" s="58">
        <f>(31*0.1790888*100000/1000000)+(31*0.2374*100000/1000000)</f>
        <v>1.2911152800000001</v>
      </c>
      <c r="Y313" s="58"/>
      <c r="Z313" s="10"/>
      <c r="AA313" s="57"/>
      <c r="AB313" s="51">
        <f>(B313*122.58+C313*297.941+D313*89.177+E313*40.302+F313*40+G313*160+H313*0+I313*100+J313*300)/(122.58+297.941+89.177+40.302+0+40+160+100+300)</f>
        <v>10.158290568173912</v>
      </c>
      <c r="AC313" s="27">
        <f>(M313*'RAP TEMPLATE-GAS AVAILABILITY'!O312+N313*'RAP TEMPLATE-GAS AVAILABILITY'!P312+O313*'RAP TEMPLATE-GAS AVAILABILITY'!Q312+P313*'RAP TEMPLATE-GAS AVAILABILITY'!R312)/('RAP TEMPLATE-GAS AVAILABILITY'!O312+'RAP TEMPLATE-GAS AVAILABILITY'!P312+'RAP TEMPLATE-GAS AVAILABILITY'!Q312+'RAP TEMPLATE-GAS AVAILABILITY'!R312)</f>
        <v>10.093285611510792</v>
      </c>
    </row>
    <row r="314" spans="1:29" ht="15.75" x14ac:dyDescent="0.25">
      <c r="A314" s="14">
        <v>50829</v>
      </c>
      <c r="B314" s="10">
        <f>CHOOSE(CONTROL!$C$42, 10.3472, 10.3472) * CHOOSE(CONTROL!$C$21, $C$9, 100%, $E$9)</f>
        <v>10.347200000000001</v>
      </c>
      <c r="C314" s="10">
        <f>CHOOSE(CONTROL!$C$42, 10.3522, 10.3522) * CHOOSE(CONTROL!$C$21, $C$9, 100%, $E$9)</f>
        <v>10.3522</v>
      </c>
      <c r="D314" s="10">
        <f>CHOOSE(CONTROL!$C$42, 10.4693, 10.4693) * CHOOSE(CONTROL!$C$21, $C$9, 100%, $E$9)</f>
        <v>10.4693</v>
      </c>
      <c r="E314" s="10">
        <f>CHOOSE(CONTROL!$C$42, 10.5031, 10.5031) * CHOOSE(CONTROL!$C$21, $C$9, 100%, $E$9)</f>
        <v>10.5031</v>
      </c>
      <c r="F314" s="10">
        <f>CHOOSE(CONTROL!$C$42, 10.4248, 10.4248)*CHOOSE(CONTROL!$C$21, $C$9, 100%, $E$9)</f>
        <v>10.424799999999999</v>
      </c>
      <c r="G314" s="10">
        <f>CHOOSE(CONTROL!$C$42, 10.4467, 10.4467)*CHOOSE(CONTROL!$C$21, $C$9, 100%, $E$9)</f>
        <v>10.4467</v>
      </c>
      <c r="H314" s="10">
        <f>CHOOSE(CONTROL!$C$42, 10.4923, 10.4923) * CHOOSE(CONTROL!$C$21, $C$9, 100%, $E$9)</f>
        <v>10.4923</v>
      </c>
      <c r="I314" s="10">
        <f>CHOOSE(CONTROL!$C$42, 10.3829, 10.3829)* CHOOSE(CONTROL!$C$21, $C$9, 100%, $E$9)</f>
        <v>10.382899999999999</v>
      </c>
      <c r="J314" s="10">
        <f>CHOOSE(CONTROL!$C$42, 10.4178, 10.4178)* CHOOSE(CONTROL!$C$21, $C$9, 100%, $E$9)</f>
        <v>10.4178</v>
      </c>
      <c r="K314" s="54">
        <f>CHOOSE(CONTROL!$C$42, 10.379, 10.379) * CHOOSE(CONTROL!$C$21, $C$9, 100%, $E$9)</f>
        <v>10.379</v>
      </c>
      <c r="L314" s="10">
        <f>CHOOSE(CONTROL!$C$42, 11.0793, 11.0793) * CHOOSE(CONTROL!$C$21, $C$9, 100%, $E$9)</f>
        <v>11.0793</v>
      </c>
      <c r="M314" s="10">
        <f>CHOOSE(CONTROL!$C$42, 10.3265, 10.3265) * CHOOSE(CONTROL!$C$21, $C$9, 100%, $E$9)</f>
        <v>10.326499999999999</v>
      </c>
      <c r="N314" s="10">
        <f>CHOOSE(CONTROL!$C$42, 10.3482, 10.3482) * CHOOSE(CONTROL!$C$21, $C$9, 100%, $E$9)</f>
        <v>10.3482</v>
      </c>
      <c r="O314" s="10">
        <f>CHOOSE(CONTROL!$C$42, 10.4003, 10.4003) * CHOOSE(CONTROL!$C$21, $C$9, 100%, $E$9)</f>
        <v>10.4003</v>
      </c>
      <c r="P314" s="10">
        <f>CHOOSE(CONTROL!$C$42, 10.292, 10.292) * CHOOSE(CONTROL!$C$21, $C$9, 100%, $E$9)</f>
        <v>10.292</v>
      </c>
      <c r="Q314" s="10">
        <f>CHOOSE(CONTROL!$C$42, 10.9956, 10.9956) * CHOOSE(CONTROL!$C$21, $C$9, 100%, $E$9)</f>
        <v>10.9956</v>
      </c>
      <c r="R314" s="10">
        <f>CHOOSE(CONTROL!$C$42, 11.61, 11.61) * CHOOSE(CONTROL!$C$21, $C$9, 100%, $E$9)</f>
        <v>11.61</v>
      </c>
      <c r="S314" s="10">
        <f>CHOOSE(CONTROL!$C$42, 10.0461, 10.0461) * CHOOSE(CONTROL!$C$21, $C$9, 100%, $E$9)</f>
        <v>10.046099999999999</v>
      </c>
      <c r="T314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314" s="58">
        <f>(1000*CHOOSE(CONTROL!$C$42, 695, 695)*CHOOSE(CONTROL!$C$42, 0.5599, 0.5599)*CHOOSE(CONTROL!$C$42, 28, 28))/1000000</f>
        <v>10.895653999999999</v>
      </c>
      <c r="V314" s="58">
        <f>(1000*CHOOSE(CONTROL!$C$42, 500, 500)*CHOOSE(CONTROL!$C$42, 0.275, 0.275)*CHOOSE(CONTROL!$C$42, 28, 28))/1000000</f>
        <v>3.85</v>
      </c>
      <c r="W314" s="58">
        <f>(1000*CHOOSE(CONTROL!$C$42, 0.1146, 0.1146)*CHOOSE(CONTROL!$C$42, 121.5, 121.5)*CHOOSE(CONTROL!$C$42, 28, 28))/1000000</f>
        <v>0.38986920000000003</v>
      </c>
      <c r="X314" s="58">
        <f>(28*0.1790888*100000/1000000)+(28*0.2374*100000/1000000)</f>
        <v>1.16616864</v>
      </c>
      <c r="Y314" s="58"/>
      <c r="Z314" s="10"/>
      <c r="AA314" s="57"/>
      <c r="AB314" s="51">
        <f>(B314*122.58+C314*297.941+D314*89.177+E314*40.302+F314*40+G314*160+H314*0+I314*100+J314*300)/(122.58+297.941+89.177+40.302+0+40+160+100+300)</f>
        <v>10.401491563913043</v>
      </c>
      <c r="AC314" s="27">
        <f>(M314*'RAP TEMPLATE-GAS AVAILABILITY'!O313+N314*'RAP TEMPLATE-GAS AVAILABILITY'!P313+O314*'RAP TEMPLATE-GAS AVAILABILITY'!Q313+P314*'RAP TEMPLATE-GAS AVAILABILITY'!R313)/('RAP TEMPLATE-GAS AVAILABILITY'!O313+'RAP TEMPLATE-GAS AVAILABILITY'!P313+'RAP TEMPLATE-GAS AVAILABILITY'!Q313+'RAP TEMPLATE-GAS AVAILABILITY'!R313)</f>
        <v>10.35623381294964</v>
      </c>
    </row>
    <row r="315" spans="1:29" ht="15.75" x14ac:dyDescent="0.25">
      <c r="A315" s="14">
        <v>50860</v>
      </c>
      <c r="B315" s="10">
        <f>CHOOSE(CONTROL!$C$42, 10.0536, 10.0536) * CHOOSE(CONTROL!$C$21, $C$9, 100%, $E$9)</f>
        <v>10.053599999999999</v>
      </c>
      <c r="C315" s="10">
        <f>CHOOSE(CONTROL!$C$42, 10.0585, 10.0585) * CHOOSE(CONTROL!$C$21, $C$9, 100%, $E$9)</f>
        <v>10.0585</v>
      </c>
      <c r="D315" s="10">
        <f>CHOOSE(CONTROL!$C$42, 10.1499, 10.1499) * CHOOSE(CONTROL!$C$21, $C$9, 100%, $E$9)</f>
        <v>10.149900000000001</v>
      </c>
      <c r="E315" s="10">
        <f>CHOOSE(CONTROL!$C$42, 10.1837, 10.1837) * CHOOSE(CONTROL!$C$21, $C$9, 100%, $E$9)</f>
        <v>10.1837</v>
      </c>
      <c r="F315" s="10">
        <f>CHOOSE(CONTROL!$C$42, 10.0834, 10.0834)*CHOOSE(CONTROL!$C$21, $C$9, 100%, $E$9)</f>
        <v>10.083399999999999</v>
      </c>
      <c r="G315" s="10">
        <f>CHOOSE(CONTROL!$C$42, 10.1029, 10.1029)*CHOOSE(CONTROL!$C$21, $C$9, 100%, $E$9)</f>
        <v>10.1029</v>
      </c>
      <c r="H315" s="10">
        <f>CHOOSE(CONTROL!$C$42, 10.1729, 10.1729) * CHOOSE(CONTROL!$C$21, $C$9, 100%, $E$9)</f>
        <v>10.1729</v>
      </c>
      <c r="I315" s="10">
        <f>CHOOSE(CONTROL!$C$42, 10.0764, 10.0764)* CHOOSE(CONTROL!$C$21, $C$9, 100%, $E$9)</f>
        <v>10.0764</v>
      </c>
      <c r="J315" s="10">
        <f>CHOOSE(CONTROL!$C$42, 10.0764, 10.0764)* CHOOSE(CONTROL!$C$21, $C$9, 100%, $E$9)</f>
        <v>10.0764</v>
      </c>
      <c r="K315" s="54">
        <f>CHOOSE(CONTROL!$C$42, 10.0725, 10.0725) * CHOOSE(CONTROL!$C$21, $C$9, 100%, $E$9)</f>
        <v>10.0725</v>
      </c>
      <c r="L315" s="10">
        <f>CHOOSE(CONTROL!$C$42, 10.7599, 10.7599) * CHOOSE(CONTROL!$C$21, $C$9, 100%, $E$9)</f>
        <v>10.7599</v>
      </c>
      <c r="M315" s="10">
        <f>CHOOSE(CONTROL!$C$42, 9.9886, 9.9886) * CHOOSE(CONTROL!$C$21, $C$9, 100%, $E$9)</f>
        <v>9.9885999999999999</v>
      </c>
      <c r="N315" s="10">
        <f>CHOOSE(CONTROL!$C$42, 10.0078, 10.0078) * CHOOSE(CONTROL!$C$21, $C$9, 100%, $E$9)</f>
        <v>10.0078</v>
      </c>
      <c r="O315" s="10">
        <f>CHOOSE(CONTROL!$C$42, 10.0841, 10.0841) * CHOOSE(CONTROL!$C$21, $C$9, 100%, $E$9)</f>
        <v>10.084099999999999</v>
      </c>
      <c r="P315" s="10">
        <f>CHOOSE(CONTROL!$C$42, 9.9886, 9.9886) * CHOOSE(CONTROL!$C$21, $C$9, 100%, $E$9)</f>
        <v>9.9885999999999999</v>
      </c>
      <c r="Q315" s="10">
        <f>CHOOSE(CONTROL!$C$42, 10.6794, 10.6794) * CHOOSE(CONTROL!$C$21, $C$9, 100%, $E$9)</f>
        <v>10.679399999999999</v>
      </c>
      <c r="R315" s="10">
        <f>CHOOSE(CONTROL!$C$42, 11.2931, 11.2931) * CHOOSE(CONTROL!$C$21, $C$9, 100%, $E$9)</f>
        <v>11.293100000000001</v>
      </c>
      <c r="S315" s="10">
        <f>CHOOSE(CONTROL!$C$42, 9.7609, 9.7609) * CHOOSE(CONTROL!$C$21, $C$9, 100%, $E$9)</f>
        <v>9.7608999999999995</v>
      </c>
      <c r="T315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15" s="58">
        <f>(1000*CHOOSE(CONTROL!$C$42, 695, 695)*CHOOSE(CONTROL!$C$42, 0.5599, 0.5599)*CHOOSE(CONTROL!$C$42, 31, 31))/1000000</f>
        <v>12.063045499999998</v>
      </c>
      <c r="V315" s="58">
        <f>(1000*CHOOSE(CONTROL!$C$42, 500, 500)*CHOOSE(CONTROL!$C$42, 0.275, 0.275)*CHOOSE(CONTROL!$C$42, 31, 31))/1000000</f>
        <v>4.2625000000000002</v>
      </c>
      <c r="W315" s="58">
        <f>(1000*CHOOSE(CONTROL!$C$42, 0.1146, 0.1146)*CHOOSE(CONTROL!$C$42, 121.5, 121.5)*CHOOSE(CONTROL!$C$42, 31, 31))/1000000</f>
        <v>0.43164089999999994</v>
      </c>
      <c r="X315" s="58">
        <f>(31*0.1790888*100000/1000000)+(31*0.2374*100000/1000000)</f>
        <v>1.2911152800000001</v>
      </c>
      <c r="Y315" s="58"/>
      <c r="Z315" s="10"/>
      <c r="AA315" s="57"/>
      <c r="AB315" s="51">
        <f>(B315*122.58+C315*297.941+D315*89.177+E315*40.302+F315*40+G315*160+H315*0+I315*100+J315*300)/(122.58+297.941+89.177+40.302+0+40+160+100+300)</f>
        <v>10.082722561913045</v>
      </c>
      <c r="AC315" s="27">
        <f>(M315*'RAP TEMPLATE-GAS AVAILABILITY'!O314+N315*'RAP TEMPLATE-GAS AVAILABILITY'!P314+O315*'RAP TEMPLATE-GAS AVAILABILITY'!Q314+P315*'RAP TEMPLATE-GAS AVAILABILITY'!R314)/('RAP TEMPLATE-GAS AVAILABILITY'!O314+'RAP TEMPLATE-GAS AVAILABILITY'!P314+'RAP TEMPLATE-GAS AVAILABILITY'!Q314+'RAP TEMPLATE-GAS AVAILABILITY'!R314)</f>
        <v>10.032989208633092</v>
      </c>
    </row>
    <row r="316" spans="1:29" ht="15.75" x14ac:dyDescent="0.25">
      <c r="A316" s="14">
        <v>50890</v>
      </c>
      <c r="B316" s="10">
        <f>CHOOSE(CONTROL!$C$42, 10.0243, 10.0243) * CHOOSE(CONTROL!$C$21, $C$9, 100%, $E$9)</f>
        <v>10.0243</v>
      </c>
      <c r="C316" s="10">
        <f>CHOOSE(CONTROL!$C$42, 10.0286, 10.0286) * CHOOSE(CONTROL!$C$21, $C$9, 100%, $E$9)</f>
        <v>10.028600000000001</v>
      </c>
      <c r="D316" s="10">
        <f>CHOOSE(CONTROL!$C$42, 10.2103, 10.2103) * CHOOSE(CONTROL!$C$21, $C$9, 100%, $E$9)</f>
        <v>10.2103</v>
      </c>
      <c r="E316" s="10">
        <f>CHOOSE(CONTROL!$C$42, 10.2421, 10.2421) * CHOOSE(CONTROL!$C$21, $C$9, 100%, $E$9)</f>
        <v>10.242100000000001</v>
      </c>
      <c r="F316" s="10">
        <f>CHOOSE(CONTROL!$C$42, 10.0126, 10.0126)*CHOOSE(CONTROL!$C$21, $C$9, 100%, $E$9)</f>
        <v>10.012600000000001</v>
      </c>
      <c r="G316" s="10">
        <f>CHOOSE(CONTROL!$C$42, 10.0306, 10.0306)*CHOOSE(CONTROL!$C$21, $C$9, 100%, $E$9)</f>
        <v>10.0306</v>
      </c>
      <c r="H316" s="10">
        <f>CHOOSE(CONTROL!$C$42, 10.2319, 10.2319) * CHOOSE(CONTROL!$C$21, $C$9, 100%, $E$9)</f>
        <v>10.2319</v>
      </c>
      <c r="I316" s="10">
        <f>CHOOSE(CONTROL!$C$42, 10.0025, 10.0025)* CHOOSE(CONTROL!$C$21, $C$9, 100%, $E$9)</f>
        <v>10.0025</v>
      </c>
      <c r="J316" s="10">
        <f>CHOOSE(CONTROL!$C$42, 10.0056, 10.0056)* CHOOSE(CONTROL!$C$21, $C$9, 100%, $E$9)</f>
        <v>10.005599999999999</v>
      </c>
      <c r="K316" s="54">
        <f>CHOOSE(CONTROL!$C$42, 9.9986, 9.9986) * CHOOSE(CONTROL!$C$21, $C$9, 100%, $E$9)</f>
        <v>9.9985999999999997</v>
      </c>
      <c r="L316" s="10">
        <f>CHOOSE(CONTROL!$C$42, 10.8189, 10.8189) * CHOOSE(CONTROL!$C$21, $C$9, 100%, $E$9)</f>
        <v>10.818899999999999</v>
      </c>
      <c r="M316" s="10">
        <f>CHOOSE(CONTROL!$C$42, 9.9184, 9.9184) * CHOOSE(CONTROL!$C$21, $C$9, 100%, $E$9)</f>
        <v>9.9184000000000001</v>
      </c>
      <c r="N316" s="10">
        <f>CHOOSE(CONTROL!$C$42, 9.9362, 9.9362) * CHOOSE(CONTROL!$C$21, $C$9, 100%, $E$9)</f>
        <v>9.9361999999999995</v>
      </c>
      <c r="O316" s="10">
        <f>CHOOSE(CONTROL!$C$42, 10.1424, 10.1424) * CHOOSE(CONTROL!$C$21, $C$9, 100%, $E$9)</f>
        <v>10.1424</v>
      </c>
      <c r="P316" s="10">
        <f>CHOOSE(CONTROL!$C$42, 9.9154, 9.9154) * CHOOSE(CONTROL!$C$21, $C$9, 100%, $E$9)</f>
        <v>9.9154</v>
      </c>
      <c r="Q316" s="10">
        <f>CHOOSE(CONTROL!$C$42, 10.7377, 10.7377) * CHOOSE(CONTROL!$C$21, $C$9, 100%, $E$9)</f>
        <v>10.7377</v>
      </c>
      <c r="R316" s="10">
        <f>CHOOSE(CONTROL!$C$42, 11.3516, 11.3516) * CHOOSE(CONTROL!$C$21, $C$9, 100%, $E$9)</f>
        <v>11.351599999999999</v>
      </c>
      <c r="S316" s="10">
        <f>CHOOSE(CONTROL!$C$42, 9.7317, 9.7317) * CHOOSE(CONTROL!$C$21, $C$9, 100%, $E$9)</f>
        <v>9.7317</v>
      </c>
      <c r="T316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316" s="58">
        <f>(1000*CHOOSE(CONTROL!$C$42, 695, 695)*CHOOSE(CONTROL!$C$42, 0.5599, 0.5599)*CHOOSE(CONTROL!$C$42, 30, 30))/1000000</f>
        <v>11.673914999999997</v>
      </c>
      <c r="V316" s="58">
        <f>(1000*CHOOSE(CONTROL!$C$42, 500, 500)*CHOOSE(CONTROL!$C$42, 0.275, 0.275)*CHOOSE(CONTROL!$C$42, 30, 30))/1000000</f>
        <v>4.125</v>
      </c>
      <c r="W316" s="58">
        <f>(1000*CHOOSE(CONTROL!$C$42, 0.1146, 0.1146)*CHOOSE(CONTROL!$C$42, 121.5, 121.5)*CHOOSE(CONTROL!$C$42, 30, 30))/1000000</f>
        <v>0.417717</v>
      </c>
      <c r="X316" s="58">
        <f>(30*0.1790888*245000/1000000)+(30*0.2374*100000/1000000)</f>
        <v>2.0285026799999999</v>
      </c>
      <c r="Y316" s="58"/>
      <c r="Z316" s="10"/>
      <c r="AA316" s="57"/>
      <c r="AB316" s="51">
        <f>(B316*141.293+C316*267.993+D316*115.016+E316*89.698+F316*40+G316*185+H316*0+I316*100+J316*300)/(141.293+267.993+115.016+89.698+0+40+185+100+300)</f>
        <v>10.052539766182406</v>
      </c>
      <c r="AC316" s="27">
        <f>(M316*'RAP TEMPLATE-GAS AVAILABILITY'!O315+N316*'RAP TEMPLATE-GAS AVAILABILITY'!P315+O316*'RAP TEMPLATE-GAS AVAILABILITY'!Q315+P316*'RAP TEMPLATE-GAS AVAILABILITY'!R315)/('RAP TEMPLATE-GAS AVAILABILITY'!O315+'RAP TEMPLATE-GAS AVAILABILITY'!P315+'RAP TEMPLATE-GAS AVAILABILITY'!Q315+'RAP TEMPLATE-GAS AVAILABILITY'!R315)</f>
        <v>9.98491510791367</v>
      </c>
    </row>
    <row r="317" spans="1:29" ht="15.75" x14ac:dyDescent="0.25">
      <c r="A317" s="14">
        <v>50921</v>
      </c>
      <c r="B317" s="10">
        <f>CHOOSE(CONTROL!$C$42, 10.1145, 10.1145) * CHOOSE(CONTROL!$C$21, $C$9, 100%, $E$9)</f>
        <v>10.1145</v>
      </c>
      <c r="C317" s="10">
        <f>CHOOSE(CONTROL!$C$42, 10.1224, 10.1224) * CHOOSE(CONTROL!$C$21, $C$9, 100%, $E$9)</f>
        <v>10.122400000000001</v>
      </c>
      <c r="D317" s="10">
        <f>CHOOSE(CONTROL!$C$42, 10.3009, 10.3009) * CHOOSE(CONTROL!$C$21, $C$9, 100%, $E$9)</f>
        <v>10.3009</v>
      </c>
      <c r="E317" s="10">
        <f>CHOOSE(CONTROL!$C$42, 10.3321, 10.3321) * CHOOSE(CONTROL!$C$21, $C$9, 100%, $E$9)</f>
        <v>10.332100000000001</v>
      </c>
      <c r="F317" s="10">
        <f>CHOOSE(CONTROL!$C$42, 10.1007, 10.1007)*CHOOSE(CONTROL!$C$21, $C$9, 100%, $E$9)</f>
        <v>10.1007</v>
      </c>
      <c r="G317" s="10">
        <f>CHOOSE(CONTROL!$C$42, 10.1188, 10.1188)*CHOOSE(CONTROL!$C$21, $C$9, 100%, $E$9)</f>
        <v>10.1188</v>
      </c>
      <c r="H317" s="10">
        <f>CHOOSE(CONTROL!$C$42, 10.3207, 10.3207) * CHOOSE(CONTROL!$C$21, $C$9, 100%, $E$9)</f>
        <v>10.3207</v>
      </c>
      <c r="I317" s="10">
        <f>CHOOSE(CONTROL!$C$42, 10.0914, 10.0914)* CHOOSE(CONTROL!$C$21, $C$9, 100%, $E$9)</f>
        <v>10.0914</v>
      </c>
      <c r="J317" s="10">
        <f>CHOOSE(CONTROL!$C$42, 10.0937, 10.0937)* CHOOSE(CONTROL!$C$21, $C$9, 100%, $E$9)</f>
        <v>10.0937</v>
      </c>
      <c r="K317" s="54">
        <f>CHOOSE(CONTROL!$C$42, 10.0875, 10.0875) * CHOOSE(CONTROL!$C$21, $C$9, 100%, $E$9)</f>
        <v>10.0875</v>
      </c>
      <c r="L317" s="10">
        <f>CHOOSE(CONTROL!$C$42, 10.9077, 10.9077) * CHOOSE(CONTROL!$C$21, $C$9, 100%, $E$9)</f>
        <v>10.9077</v>
      </c>
      <c r="M317" s="10">
        <f>CHOOSE(CONTROL!$C$42, 10.0056, 10.0056) * CHOOSE(CONTROL!$C$21, $C$9, 100%, $E$9)</f>
        <v>10.005599999999999</v>
      </c>
      <c r="N317" s="10">
        <f>CHOOSE(CONTROL!$C$42, 10.0236, 10.0236) * CHOOSE(CONTROL!$C$21, $C$9, 100%, $E$9)</f>
        <v>10.0236</v>
      </c>
      <c r="O317" s="10">
        <f>CHOOSE(CONTROL!$C$42, 10.2304, 10.2304) * CHOOSE(CONTROL!$C$21, $C$9, 100%, $E$9)</f>
        <v>10.230399999999999</v>
      </c>
      <c r="P317" s="10">
        <f>CHOOSE(CONTROL!$C$42, 10.0034, 10.0034) * CHOOSE(CONTROL!$C$21, $C$9, 100%, $E$9)</f>
        <v>10.003399999999999</v>
      </c>
      <c r="Q317" s="10">
        <f>CHOOSE(CONTROL!$C$42, 10.8257, 10.8257) * CHOOSE(CONTROL!$C$21, $C$9, 100%, $E$9)</f>
        <v>10.825699999999999</v>
      </c>
      <c r="R317" s="10">
        <f>CHOOSE(CONTROL!$C$42, 11.4397, 11.4397) * CHOOSE(CONTROL!$C$21, $C$9, 100%, $E$9)</f>
        <v>11.4397</v>
      </c>
      <c r="S317" s="10">
        <f>CHOOSE(CONTROL!$C$42, 9.8179, 9.8179) * CHOOSE(CONTROL!$C$21, $C$9, 100%, $E$9)</f>
        <v>9.8178999999999998</v>
      </c>
      <c r="T317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317" s="58">
        <f>(1000*CHOOSE(CONTROL!$C$42, 695, 695)*CHOOSE(CONTROL!$C$42, 0.5599, 0.5599)*CHOOSE(CONTROL!$C$42, 31, 31))/1000000</f>
        <v>12.063045499999998</v>
      </c>
      <c r="V317" s="58">
        <f>(1000*CHOOSE(CONTROL!$C$42, 500, 500)*CHOOSE(CONTROL!$C$42, 0.275, 0.275)*CHOOSE(CONTROL!$C$42, 31, 31))/1000000</f>
        <v>4.2625000000000002</v>
      </c>
      <c r="W317" s="58">
        <f>(1000*CHOOSE(CONTROL!$C$42, 0.1146, 0.1146)*CHOOSE(CONTROL!$C$42, 121.5, 121.5)*CHOOSE(CONTROL!$C$42, 31, 31))/1000000</f>
        <v>0.43164089999999994</v>
      </c>
      <c r="X317" s="58">
        <f>(31*0.1790888*245000/1000000)+(31*0.2374*100000/1000000)</f>
        <v>2.0961194359999999</v>
      </c>
      <c r="Y317" s="58"/>
      <c r="Z317" s="10"/>
      <c r="AA317" s="57"/>
      <c r="AB317" s="51">
        <f>(B317*194.205+C317*267.466+D317*133.845+E317*53.484+F317*40+G317*185+H317*0+I317*100+J317*300)/(194.205+267.466+133.845+53.484+0+40+185+100+300)</f>
        <v>10.138356599529043</v>
      </c>
      <c r="AC317" s="27">
        <f>(M317*'RAP TEMPLATE-GAS AVAILABILITY'!O316+N317*'RAP TEMPLATE-GAS AVAILABILITY'!P316+O317*'RAP TEMPLATE-GAS AVAILABILITY'!Q316+P317*'RAP TEMPLATE-GAS AVAILABILITY'!R316)/('RAP TEMPLATE-GAS AVAILABILITY'!O316+'RAP TEMPLATE-GAS AVAILABILITY'!P316+'RAP TEMPLATE-GAS AVAILABILITY'!Q316+'RAP TEMPLATE-GAS AVAILABILITY'!R316)</f>
        <v>10.072500719424461</v>
      </c>
    </row>
    <row r="318" spans="1:29" ht="15.75" x14ac:dyDescent="0.25">
      <c r="A318" s="14">
        <v>50951</v>
      </c>
      <c r="B318" s="10">
        <f>CHOOSE(CONTROL!$C$42, 10.4012, 10.4012) * CHOOSE(CONTROL!$C$21, $C$9, 100%, $E$9)</f>
        <v>10.401199999999999</v>
      </c>
      <c r="C318" s="10">
        <f>CHOOSE(CONTROL!$C$42, 10.4092, 10.4092) * CHOOSE(CONTROL!$C$21, $C$9, 100%, $E$9)</f>
        <v>10.4092</v>
      </c>
      <c r="D318" s="10">
        <f>CHOOSE(CONTROL!$C$42, 10.5877, 10.5877) * CHOOSE(CONTROL!$C$21, $C$9, 100%, $E$9)</f>
        <v>10.5877</v>
      </c>
      <c r="E318" s="10">
        <f>CHOOSE(CONTROL!$C$42, 10.6188, 10.6188) * CHOOSE(CONTROL!$C$21, $C$9, 100%, $E$9)</f>
        <v>10.6188</v>
      </c>
      <c r="F318" s="10">
        <f>CHOOSE(CONTROL!$C$42, 10.3877, 10.3877)*CHOOSE(CONTROL!$C$21, $C$9, 100%, $E$9)</f>
        <v>10.387700000000001</v>
      </c>
      <c r="G318" s="10">
        <f>CHOOSE(CONTROL!$C$42, 10.4059, 10.4059)*CHOOSE(CONTROL!$C$21, $C$9, 100%, $E$9)</f>
        <v>10.405900000000001</v>
      </c>
      <c r="H318" s="10">
        <f>CHOOSE(CONTROL!$C$42, 10.6075, 10.6075) * CHOOSE(CONTROL!$C$21, $C$9, 100%, $E$9)</f>
        <v>10.6075</v>
      </c>
      <c r="I318" s="10">
        <f>CHOOSE(CONTROL!$C$42, 10.3781, 10.3781)* CHOOSE(CONTROL!$C$21, $C$9, 100%, $E$9)</f>
        <v>10.3781</v>
      </c>
      <c r="J318" s="10">
        <f>CHOOSE(CONTROL!$C$42, 10.3807, 10.3807)* CHOOSE(CONTROL!$C$21, $C$9, 100%, $E$9)</f>
        <v>10.380699999999999</v>
      </c>
      <c r="K318" s="54">
        <f>CHOOSE(CONTROL!$C$42, 10.3742, 10.3742) * CHOOSE(CONTROL!$C$21, $C$9, 100%, $E$9)</f>
        <v>10.3742</v>
      </c>
      <c r="L318" s="10">
        <f>CHOOSE(CONTROL!$C$42, 11.1945, 11.1945) * CHOOSE(CONTROL!$C$21, $C$9, 100%, $E$9)</f>
        <v>11.1945</v>
      </c>
      <c r="M318" s="10">
        <f>CHOOSE(CONTROL!$C$42, 10.2897, 10.2897) * CHOOSE(CONTROL!$C$21, $C$9, 100%, $E$9)</f>
        <v>10.2897</v>
      </c>
      <c r="N318" s="10">
        <f>CHOOSE(CONTROL!$C$42, 10.3078, 10.3078) * CHOOSE(CONTROL!$C$21, $C$9, 100%, $E$9)</f>
        <v>10.3078</v>
      </c>
      <c r="O318" s="10">
        <f>CHOOSE(CONTROL!$C$42, 10.5142, 10.5142) * CHOOSE(CONTROL!$C$21, $C$9, 100%, $E$9)</f>
        <v>10.514200000000001</v>
      </c>
      <c r="P318" s="10">
        <f>CHOOSE(CONTROL!$C$42, 10.2872, 10.2872) * CHOOSE(CONTROL!$C$21, $C$9, 100%, $E$9)</f>
        <v>10.2872</v>
      </c>
      <c r="Q318" s="10">
        <f>CHOOSE(CONTROL!$C$42, 11.1095, 11.1095) * CHOOSE(CONTROL!$C$21, $C$9, 100%, $E$9)</f>
        <v>11.109500000000001</v>
      </c>
      <c r="R318" s="10">
        <f>CHOOSE(CONTROL!$C$42, 11.7243, 11.7243) * CHOOSE(CONTROL!$C$21, $C$9, 100%, $E$9)</f>
        <v>11.724299999999999</v>
      </c>
      <c r="S318" s="10">
        <f>CHOOSE(CONTROL!$C$42, 10.0964, 10.0964) * CHOOSE(CONTROL!$C$21, $C$9, 100%, $E$9)</f>
        <v>10.096399999999999</v>
      </c>
      <c r="T318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318" s="58">
        <f>(1000*CHOOSE(CONTROL!$C$42, 695, 695)*CHOOSE(CONTROL!$C$42, 0.5599, 0.5599)*CHOOSE(CONTROL!$C$42, 30, 30))/1000000</f>
        <v>11.673914999999997</v>
      </c>
      <c r="V318" s="58">
        <f>(1000*CHOOSE(CONTROL!$C$42, 500, 500)*CHOOSE(CONTROL!$C$42, 0.275, 0.275)*CHOOSE(CONTROL!$C$42, 30, 30))/1000000</f>
        <v>4.125</v>
      </c>
      <c r="W318" s="58">
        <f>(1000*CHOOSE(CONTROL!$C$42, 0.1146, 0.1146)*CHOOSE(CONTROL!$C$42, 121.5, 121.5)*CHOOSE(CONTROL!$C$42, 30, 30))/1000000</f>
        <v>0.417717</v>
      </c>
      <c r="X318" s="58">
        <f>(30*0.1790888*245000/1000000)+(30*0.2374*100000/1000000)</f>
        <v>2.0285026799999999</v>
      </c>
      <c r="Y318" s="58"/>
      <c r="Z318" s="10"/>
      <c r="AA318" s="57"/>
      <c r="AB318" s="51">
        <f>(B318*194.205+C318*267.466+D318*133.845+E318*53.484+F318*40+G318*185+H318*0+I318*100+J318*300)/(194.205+267.466+133.845+53.484+0+40+185+100+300)</f>
        <v>10.425226247174253</v>
      </c>
      <c r="AC318" s="27">
        <f>(M318*'RAP TEMPLATE-GAS AVAILABILITY'!O317+N318*'RAP TEMPLATE-GAS AVAILABILITY'!P317+O318*'RAP TEMPLATE-GAS AVAILABILITY'!Q317+P318*'RAP TEMPLATE-GAS AVAILABILITY'!R317)/('RAP TEMPLATE-GAS AVAILABILITY'!O317+'RAP TEMPLATE-GAS AVAILABILITY'!P317+'RAP TEMPLATE-GAS AVAILABILITY'!Q317+'RAP TEMPLATE-GAS AVAILABILITY'!R317)</f>
        <v>10.356496402877699</v>
      </c>
    </row>
    <row r="319" spans="1:29" ht="15.75" x14ac:dyDescent="0.25">
      <c r="A319" s="14">
        <v>50982</v>
      </c>
      <c r="B319" s="10">
        <f>CHOOSE(CONTROL!$C$42, 10.2018, 10.2018) * CHOOSE(CONTROL!$C$21, $C$9, 100%, $E$9)</f>
        <v>10.2018</v>
      </c>
      <c r="C319" s="10">
        <f>CHOOSE(CONTROL!$C$42, 10.2097, 10.2097) * CHOOSE(CONTROL!$C$21, $C$9, 100%, $E$9)</f>
        <v>10.2097</v>
      </c>
      <c r="D319" s="10">
        <f>CHOOSE(CONTROL!$C$42, 10.3883, 10.3883) * CHOOSE(CONTROL!$C$21, $C$9, 100%, $E$9)</f>
        <v>10.388299999999999</v>
      </c>
      <c r="E319" s="10">
        <f>CHOOSE(CONTROL!$C$42, 10.4194, 10.4194) * CHOOSE(CONTROL!$C$21, $C$9, 100%, $E$9)</f>
        <v>10.4194</v>
      </c>
      <c r="F319" s="10">
        <f>CHOOSE(CONTROL!$C$42, 10.1885, 10.1885)*CHOOSE(CONTROL!$C$21, $C$9, 100%, $E$9)</f>
        <v>10.188499999999999</v>
      </c>
      <c r="G319" s="10">
        <f>CHOOSE(CONTROL!$C$42, 10.2068, 10.2068)*CHOOSE(CONTROL!$C$21, $C$9, 100%, $E$9)</f>
        <v>10.206799999999999</v>
      </c>
      <c r="H319" s="10">
        <f>CHOOSE(CONTROL!$C$42, 10.408, 10.408) * CHOOSE(CONTROL!$C$21, $C$9, 100%, $E$9)</f>
        <v>10.407999999999999</v>
      </c>
      <c r="I319" s="10">
        <f>CHOOSE(CONTROL!$C$42, 10.1787, 10.1787)* CHOOSE(CONTROL!$C$21, $C$9, 100%, $E$9)</f>
        <v>10.178699999999999</v>
      </c>
      <c r="J319" s="10">
        <f>CHOOSE(CONTROL!$C$42, 10.1815, 10.1815)* CHOOSE(CONTROL!$C$21, $C$9, 100%, $E$9)</f>
        <v>10.1815</v>
      </c>
      <c r="K319" s="54">
        <f>CHOOSE(CONTROL!$C$42, 10.1748, 10.1748) * CHOOSE(CONTROL!$C$21, $C$9, 100%, $E$9)</f>
        <v>10.174799999999999</v>
      </c>
      <c r="L319" s="10">
        <f>CHOOSE(CONTROL!$C$42, 10.995, 10.995) * CHOOSE(CONTROL!$C$21, $C$9, 100%, $E$9)</f>
        <v>10.994999999999999</v>
      </c>
      <c r="M319" s="10">
        <f>CHOOSE(CONTROL!$C$42, 10.0926, 10.0926) * CHOOSE(CONTROL!$C$21, $C$9, 100%, $E$9)</f>
        <v>10.092599999999999</v>
      </c>
      <c r="N319" s="10">
        <f>CHOOSE(CONTROL!$C$42, 10.1107, 10.1107) * CHOOSE(CONTROL!$C$21, $C$9, 100%, $E$9)</f>
        <v>10.1107</v>
      </c>
      <c r="O319" s="10">
        <f>CHOOSE(CONTROL!$C$42, 10.3168, 10.3168) * CHOOSE(CONTROL!$C$21, $C$9, 100%, $E$9)</f>
        <v>10.316800000000001</v>
      </c>
      <c r="P319" s="10">
        <f>CHOOSE(CONTROL!$C$42, 10.0898, 10.0898) * CHOOSE(CONTROL!$C$21, $C$9, 100%, $E$9)</f>
        <v>10.0898</v>
      </c>
      <c r="Q319" s="10">
        <f>CHOOSE(CONTROL!$C$42, 10.9121, 10.9121) * CHOOSE(CONTROL!$C$21, $C$9, 100%, $E$9)</f>
        <v>10.912100000000001</v>
      </c>
      <c r="R319" s="10">
        <f>CHOOSE(CONTROL!$C$42, 11.5264, 11.5264) * CHOOSE(CONTROL!$C$21, $C$9, 100%, $E$9)</f>
        <v>11.526400000000001</v>
      </c>
      <c r="S319" s="10">
        <f>CHOOSE(CONTROL!$C$42, 9.9027, 9.9027) * CHOOSE(CONTROL!$C$21, $C$9, 100%, $E$9)</f>
        <v>9.9026999999999994</v>
      </c>
      <c r="T319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319" s="58">
        <f>(1000*CHOOSE(CONTROL!$C$42, 695, 695)*CHOOSE(CONTROL!$C$42, 0.5599, 0.5599)*CHOOSE(CONTROL!$C$42, 31, 31))/1000000</f>
        <v>12.063045499999998</v>
      </c>
      <c r="V319" s="58">
        <f>(1000*CHOOSE(CONTROL!$C$42, 500, 500)*CHOOSE(CONTROL!$C$42, 0.275, 0.275)*CHOOSE(CONTROL!$C$42, 31, 31))/1000000</f>
        <v>4.2625000000000002</v>
      </c>
      <c r="W319" s="58">
        <f>(1000*CHOOSE(CONTROL!$C$42, 0.1146, 0.1146)*CHOOSE(CONTROL!$C$42, 121.5, 121.5)*CHOOSE(CONTROL!$C$42, 31, 31))/1000000</f>
        <v>0.43164089999999994</v>
      </c>
      <c r="X319" s="58">
        <f>(31*0.1790888*245000/1000000)+(31*0.2374*100000/1000000)</f>
        <v>2.0961194359999999</v>
      </c>
      <c r="Y319" s="58"/>
      <c r="Z319" s="10"/>
      <c r="AA319" s="57"/>
      <c r="AB319" s="51">
        <f>(B319*194.205+C319*267.466+D319*133.845+E319*53.484+F319*40+G319*185+H319*0+I319*100+J319*300)/(194.205+267.466+133.845+53.484+0+40+185+100+300)</f>
        <v>10.225902191758241</v>
      </c>
      <c r="AC319" s="27">
        <f>(M319*'RAP TEMPLATE-GAS AVAILABILITY'!O318+N319*'RAP TEMPLATE-GAS AVAILABILITY'!P318+O319*'RAP TEMPLATE-GAS AVAILABILITY'!Q318+P319*'RAP TEMPLATE-GAS AVAILABILITY'!R318)/('RAP TEMPLATE-GAS AVAILABILITY'!O318+'RAP TEMPLATE-GAS AVAILABILITY'!P318+'RAP TEMPLATE-GAS AVAILABILITY'!Q318+'RAP TEMPLATE-GAS AVAILABILITY'!R318)</f>
        <v>10.1592690647482</v>
      </c>
    </row>
    <row r="320" spans="1:29" ht="15.75" x14ac:dyDescent="0.25">
      <c r="A320" s="14">
        <v>51013</v>
      </c>
      <c r="B320" s="10">
        <f>CHOOSE(CONTROL!$C$42, 9.6982, 9.6982) * CHOOSE(CONTROL!$C$21, $C$9, 100%, $E$9)</f>
        <v>9.6981999999999999</v>
      </c>
      <c r="C320" s="10">
        <f>CHOOSE(CONTROL!$C$42, 9.7061, 9.7061) * CHOOSE(CONTROL!$C$21, $C$9, 100%, $E$9)</f>
        <v>9.7060999999999993</v>
      </c>
      <c r="D320" s="10">
        <f>CHOOSE(CONTROL!$C$42, 9.8846, 9.8846) * CHOOSE(CONTROL!$C$21, $C$9, 100%, $E$9)</f>
        <v>9.8846000000000007</v>
      </c>
      <c r="E320" s="10">
        <f>CHOOSE(CONTROL!$C$42, 9.9157, 9.9157) * CHOOSE(CONTROL!$C$21, $C$9, 100%, $E$9)</f>
        <v>9.9156999999999993</v>
      </c>
      <c r="F320" s="10">
        <f>CHOOSE(CONTROL!$C$42, 9.6848, 9.6848)*CHOOSE(CONTROL!$C$21, $C$9, 100%, $E$9)</f>
        <v>9.6847999999999992</v>
      </c>
      <c r="G320" s="10">
        <f>CHOOSE(CONTROL!$C$42, 9.7031, 9.7031)*CHOOSE(CONTROL!$C$21, $C$9, 100%, $E$9)</f>
        <v>9.7030999999999992</v>
      </c>
      <c r="H320" s="10">
        <f>CHOOSE(CONTROL!$C$42, 9.9044, 9.9044) * CHOOSE(CONTROL!$C$21, $C$9, 100%, $E$9)</f>
        <v>9.9044000000000008</v>
      </c>
      <c r="I320" s="10">
        <f>CHOOSE(CONTROL!$C$42, 9.675, 9.675)* CHOOSE(CONTROL!$C$21, $C$9, 100%, $E$9)</f>
        <v>9.6750000000000007</v>
      </c>
      <c r="J320" s="10">
        <f>CHOOSE(CONTROL!$C$42, 9.6778, 9.6778)* CHOOSE(CONTROL!$C$21, $C$9, 100%, $E$9)</f>
        <v>9.6777999999999995</v>
      </c>
      <c r="K320" s="54">
        <f>CHOOSE(CONTROL!$C$42, 9.6711, 9.6711) * CHOOSE(CONTROL!$C$21, $C$9, 100%, $E$9)</f>
        <v>9.6710999999999991</v>
      </c>
      <c r="L320" s="10">
        <f>CHOOSE(CONTROL!$C$42, 10.4914, 10.4914) * CHOOSE(CONTROL!$C$21, $C$9, 100%, $E$9)</f>
        <v>10.491400000000001</v>
      </c>
      <c r="M320" s="10">
        <f>CHOOSE(CONTROL!$C$42, 9.594, 9.594) * CHOOSE(CONTROL!$C$21, $C$9, 100%, $E$9)</f>
        <v>9.5939999999999994</v>
      </c>
      <c r="N320" s="10">
        <f>CHOOSE(CONTROL!$C$42, 9.6121, 9.6121) * CHOOSE(CONTROL!$C$21, $C$9, 100%, $E$9)</f>
        <v>9.6120999999999999</v>
      </c>
      <c r="O320" s="10">
        <f>CHOOSE(CONTROL!$C$42, 9.8182, 9.8182) * CHOOSE(CONTROL!$C$21, $C$9, 100%, $E$9)</f>
        <v>9.8181999999999992</v>
      </c>
      <c r="P320" s="10">
        <f>CHOOSE(CONTROL!$C$42, 9.5913, 9.5913) * CHOOSE(CONTROL!$C$21, $C$9, 100%, $E$9)</f>
        <v>9.5913000000000004</v>
      </c>
      <c r="Q320" s="10">
        <f>CHOOSE(CONTROL!$C$42, 10.4135, 10.4135) * CHOOSE(CONTROL!$C$21, $C$9, 100%, $E$9)</f>
        <v>10.413500000000001</v>
      </c>
      <c r="R320" s="10">
        <f>CHOOSE(CONTROL!$C$42, 11.0266, 11.0266) * CHOOSE(CONTROL!$C$21, $C$9, 100%, $E$9)</f>
        <v>11.0266</v>
      </c>
      <c r="S320" s="10">
        <f>CHOOSE(CONTROL!$C$42, 9.4136, 9.4136) * CHOOSE(CONTROL!$C$21, $C$9, 100%, $E$9)</f>
        <v>9.4136000000000006</v>
      </c>
      <c r="T320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320" s="58">
        <f>(1000*CHOOSE(CONTROL!$C$42, 695, 695)*CHOOSE(CONTROL!$C$42, 0.5599, 0.5599)*CHOOSE(CONTROL!$C$42, 31, 31))/1000000</f>
        <v>12.063045499999998</v>
      </c>
      <c r="V320" s="58">
        <f>(1000*CHOOSE(CONTROL!$C$42, 500, 500)*CHOOSE(CONTROL!$C$42, 0.275, 0.275)*CHOOSE(CONTROL!$C$42, 31, 31))/1000000</f>
        <v>4.2625000000000002</v>
      </c>
      <c r="W320" s="58">
        <f>(1000*CHOOSE(CONTROL!$C$42, 0.1146, 0.1146)*CHOOSE(CONTROL!$C$42, 121.5, 121.5)*CHOOSE(CONTROL!$C$42, 31, 31))/1000000</f>
        <v>0.43164089999999994</v>
      </c>
      <c r="X320" s="58">
        <f>(31*0.1790888*245000/1000000)+(31*0.2374*100000/1000000)</f>
        <v>2.0961194359999999</v>
      </c>
      <c r="Y320" s="58"/>
      <c r="Z320" s="10"/>
      <c r="AA320" s="57"/>
      <c r="AB320" s="51">
        <f>(B320*194.205+C320*267.466+D320*133.845+E320*53.484+F320*40+G320*185+H320*0+I320*100+J320*300)/(194.205+267.466+133.845+53.484+0+40+185+100+300)</f>
        <v>9.7222384296703286</v>
      </c>
      <c r="AC320" s="27">
        <f>(M320*'RAP TEMPLATE-GAS AVAILABILITY'!O319+N320*'RAP TEMPLATE-GAS AVAILABILITY'!P319+O320*'RAP TEMPLATE-GAS AVAILABILITY'!Q319+P320*'RAP TEMPLATE-GAS AVAILABILITY'!R319)/('RAP TEMPLATE-GAS AVAILABILITY'!O319+'RAP TEMPLATE-GAS AVAILABILITY'!P319+'RAP TEMPLATE-GAS AVAILABILITY'!Q319+'RAP TEMPLATE-GAS AVAILABILITY'!R319)</f>
        <v>9.6606834532374108</v>
      </c>
    </row>
    <row r="321" spans="1:29" ht="15.75" x14ac:dyDescent="0.25">
      <c r="A321" s="14">
        <v>51043</v>
      </c>
      <c r="B321" s="10">
        <f>CHOOSE(CONTROL!$C$42, 9.0828, 9.0828) * CHOOSE(CONTROL!$C$21, $C$9, 100%, $E$9)</f>
        <v>9.0828000000000007</v>
      </c>
      <c r="C321" s="10">
        <f>CHOOSE(CONTROL!$C$42, 9.0907, 9.0907) * CHOOSE(CONTROL!$C$21, $C$9, 100%, $E$9)</f>
        <v>9.0907</v>
      </c>
      <c r="D321" s="10">
        <f>CHOOSE(CONTROL!$C$42, 9.2692, 9.2692) * CHOOSE(CONTROL!$C$21, $C$9, 100%, $E$9)</f>
        <v>9.2691999999999997</v>
      </c>
      <c r="E321" s="10">
        <f>CHOOSE(CONTROL!$C$42, 9.3004, 9.3004) * CHOOSE(CONTROL!$C$21, $C$9, 100%, $E$9)</f>
        <v>9.3003999999999998</v>
      </c>
      <c r="F321" s="10">
        <f>CHOOSE(CONTROL!$C$42, 9.0692, 9.0692)*CHOOSE(CONTROL!$C$21, $C$9, 100%, $E$9)</f>
        <v>9.0692000000000004</v>
      </c>
      <c r="G321" s="10">
        <f>CHOOSE(CONTROL!$C$42, 9.0874, 9.0874)*CHOOSE(CONTROL!$C$21, $C$9, 100%, $E$9)</f>
        <v>9.0874000000000006</v>
      </c>
      <c r="H321" s="10">
        <f>CHOOSE(CONTROL!$C$42, 9.289, 9.289) * CHOOSE(CONTROL!$C$21, $C$9, 100%, $E$9)</f>
        <v>9.2889999999999997</v>
      </c>
      <c r="I321" s="10">
        <f>CHOOSE(CONTROL!$C$42, 9.0597, 9.0597)* CHOOSE(CONTROL!$C$21, $C$9, 100%, $E$9)</f>
        <v>9.0596999999999994</v>
      </c>
      <c r="J321" s="10">
        <f>CHOOSE(CONTROL!$C$42, 9.0622, 9.0622)* CHOOSE(CONTROL!$C$21, $C$9, 100%, $E$9)</f>
        <v>9.0622000000000007</v>
      </c>
      <c r="K321" s="54">
        <f>CHOOSE(CONTROL!$C$42, 9.0558, 9.0558) * CHOOSE(CONTROL!$C$21, $C$9, 100%, $E$9)</f>
        <v>9.0557999999999996</v>
      </c>
      <c r="L321" s="10">
        <f>CHOOSE(CONTROL!$C$42, 9.876, 9.876) * CHOOSE(CONTROL!$C$21, $C$9, 100%, $E$9)</f>
        <v>9.8759999999999994</v>
      </c>
      <c r="M321" s="10">
        <f>CHOOSE(CONTROL!$C$42, 8.9845, 8.9845) * CHOOSE(CONTROL!$C$21, $C$9, 100%, $E$9)</f>
        <v>8.9845000000000006</v>
      </c>
      <c r="N321" s="10">
        <f>CHOOSE(CONTROL!$C$42, 9.0026, 9.0026) * CHOOSE(CONTROL!$C$21, $C$9, 100%, $E$9)</f>
        <v>9.0025999999999993</v>
      </c>
      <c r="O321" s="10">
        <f>CHOOSE(CONTROL!$C$42, 9.2091, 9.2091) * CHOOSE(CONTROL!$C$21, $C$9, 100%, $E$9)</f>
        <v>9.2090999999999994</v>
      </c>
      <c r="P321" s="10">
        <f>CHOOSE(CONTROL!$C$42, 8.9821, 8.9821) * CHOOSE(CONTROL!$C$21, $C$9, 100%, $E$9)</f>
        <v>8.9821000000000009</v>
      </c>
      <c r="Q321" s="10">
        <f>CHOOSE(CONTROL!$C$42, 9.8044, 9.8044) * CHOOSE(CONTROL!$C$21, $C$9, 100%, $E$9)</f>
        <v>9.8043999999999993</v>
      </c>
      <c r="R321" s="10">
        <f>CHOOSE(CONTROL!$C$42, 10.4159, 10.4159) * CHOOSE(CONTROL!$C$21, $C$9, 100%, $E$9)</f>
        <v>10.415900000000001</v>
      </c>
      <c r="S321" s="10">
        <f>CHOOSE(CONTROL!$C$42, 8.8161, 8.8161) * CHOOSE(CONTROL!$C$21, $C$9, 100%, $E$9)</f>
        <v>8.8161000000000005</v>
      </c>
      <c r="T321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321" s="58">
        <f>(1000*CHOOSE(CONTROL!$C$42, 695, 695)*CHOOSE(CONTROL!$C$42, 0.5599, 0.5599)*CHOOSE(CONTROL!$C$42, 30, 30))/1000000</f>
        <v>11.673914999999997</v>
      </c>
      <c r="V321" s="58">
        <f>(1000*CHOOSE(CONTROL!$C$42, 500, 500)*CHOOSE(CONTROL!$C$42, 0.275, 0.275)*CHOOSE(CONTROL!$C$42, 30, 30))/1000000</f>
        <v>4.125</v>
      </c>
      <c r="W321" s="58">
        <f>(1000*CHOOSE(CONTROL!$C$42, 0.1146, 0.1146)*CHOOSE(CONTROL!$C$42, 121.5, 121.5)*CHOOSE(CONTROL!$C$42, 30, 30))/1000000</f>
        <v>0.417717</v>
      </c>
      <c r="X321" s="58">
        <f>(30*0.1790888*245000/1000000)+(30*0.2374*100000/1000000)</f>
        <v>2.0285026799999999</v>
      </c>
      <c r="Y321" s="58"/>
      <c r="Z321" s="10"/>
      <c r="AA321" s="57"/>
      <c r="AB321" s="51">
        <f>(B321*194.205+C321*267.466+D321*133.845+E321*53.484+F321*40+G321*185+H321*0+I321*100+J321*300)/(194.205+267.466+133.845+53.484+0+40+185+100+300)</f>
        <v>9.1067535383045524</v>
      </c>
      <c r="AC321" s="27">
        <f>(M321*'RAP TEMPLATE-GAS AVAILABILITY'!O320+N321*'RAP TEMPLATE-GAS AVAILABILITY'!P320+O321*'RAP TEMPLATE-GAS AVAILABILITY'!Q320+P321*'RAP TEMPLATE-GAS AVAILABILITY'!R320)/('RAP TEMPLATE-GAS AVAILABILITY'!O320+'RAP TEMPLATE-GAS AVAILABILITY'!P320+'RAP TEMPLATE-GAS AVAILABILITY'!Q320+'RAP TEMPLATE-GAS AVAILABILITY'!R320)</f>
        <v>9.0513388489208619</v>
      </c>
    </row>
    <row r="322" spans="1:29" ht="15.75" x14ac:dyDescent="0.25">
      <c r="A322" s="14">
        <v>51074</v>
      </c>
      <c r="B322" s="10">
        <f>CHOOSE(CONTROL!$C$42, 8.8963, 8.8963) * CHOOSE(CONTROL!$C$21, $C$9, 100%, $E$9)</f>
        <v>8.8963000000000001</v>
      </c>
      <c r="C322" s="10">
        <f>CHOOSE(CONTROL!$C$42, 8.9015, 8.9015) * CHOOSE(CONTROL!$C$21, $C$9, 100%, $E$9)</f>
        <v>8.9015000000000004</v>
      </c>
      <c r="D322" s="10">
        <f>CHOOSE(CONTROL!$C$42, 9.0851, 9.0851) * CHOOSE(CONTROL!$C$21, $C$9, 100%, $E$9)</f>
        <v>9.0851000000000006</v>
      </c>
      <c r="E322" s="10">
        <f>CHOOSE(CONTROL!$C$42, 9.1138, 9.1138) * CHOOSE(CONTROL!$C$21, $C$9, 100%, $E$9)</f>
        <v>9.1137999999999995</v>
      </c>
      <c r="F322" s="10">
        <f>CHOOSE(CONTROL!$C$42, 8.8847, 8.8847)*CHOOSE(CONTROL!$C$21, $C$9, 100%, $E$9)</f>
        <v>8.8847000000000005</v>
      </c>
      <c r="G322" s="10">
        <f>CHOOSE(CONTROL!$C$42, 8.9025, 8.9025)*CHOOSE(CONTROL!$C$21, $C$9, 100%, $E$9)</f>
        <v>8.9024999999999999</v>
      </c>
      <c r="H322" s="10">
        <f>CHOOSE(CONTROL!$C$42, 9.1043, 9.1043) * CHOOSE(CONTROL!$C$21, $C$9, 100%, $E$9)</f>
        <v>9.1043000000000003</v>
      </c>
      <c r="I322" s="10">
        <f>CHOOSE(CONTROL!$C$42, 8.875, 8.875)* CHOOSE(CONTROL!$C$21, $C$9, 100%, $E$9)</f>
        <v>8.875</v>
      </c>
      <c r="J322" s="10">
        <f>CHOOSE(CONTROL!$C$42, 8.8777, 8.8777)* CHOOSE(CONTROL!$C$21, $C$9, 100%, $E$9)</f>
        <v>8.8777000000000008</v>
      </c>
      <c r="K322" s="54">
        <f>CHOOSE(CONTROL!$C$42, 8.8711, 8.8711) * CHOOSE(CONTROL!$C$21, $C$9, 100%, $E$9)</f>
        <v>8.8711000000000002</v>
      </c>
      <c r="L322" s="10">
        <f>CHOOSE(CONTROL!$C$42, 9.6913, 9.6913) * CHOOSE(CONTROL!$C$21, $C$9, 100%, $E$9)</f>
        <v>9.6913</v>
      </c>
      <c r="M322" s="10">
        <f>CHOOSE(CONTROL!$C$42, 8.8019, 8.8019) * CHOOSE(CONTROL!$C$21, $C$9, 100%, $E$9)</f>
        <v>8.8018999999999998</v>
      </c>
      <c r="N322" s="10">
        <f>CHOOSE(CONTROL!$C$42, 8.8196, 8.8196) * CHOOSE(CONTROL!$C$21, $C$9, 100%, $E$9)</f>
        <v>8.8195999999999994</v>
      </c>
      <c r="O322" s="10">
        <f>CHOOSE(CONTROL!$C$42, 9.0263, 9.0263) * CHOOSE(CONTROL!$C$21, $C$9, 100%, $E$9)</f>
        <v>9.0263000000000009</v>
      </c>
      <c r="P322" s="10">
        <f>CHOOSE(CONTROL!$C$42, 8.7993, 8.7993) * CHOOSE(CONTROL!$C$21, $C$9, 100%, $E$9)</f>
        <v>8.7993000000000006</v>
      </c>
      <c r="Q322" s="10">
        <f>CHOOSE(CONTROL!$C$42, 9.6216, 9.6216) * CHOOSE(CONTROL!$C$21, $C$9, 100%, $E$9)</f>
        <v>9.6216000000000008</v>
      </c>
      <c r="R322" s="10">
        <f>CHOOSE(CONTROL!$C$42, 10.2326, 10.2326) * CHOOSE(CONTROL!$C$21, $C$9, 100%, $E$9)</f>
        <v>10.2326</v>
      </c>
      <c r="S322" s="10">
        <f>CHOOSE(CONTROL!$C$42, 8.6367, 8.6367) * CHOOSE(CONTROL!$C$21, $C$9, 100%, $E$9)</f>
        <v>8.6366999999999994</v>
      </c>
      <c r="T322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22" s="58">
        <f>(1000*CHOOSE(CONTROL!$C$42, 695, 695)*CHOOSE(CONTROL!$C$42, 0.5599, 0.5599)*CHOOSE(CONTROL!$C$42, 31, 31))/1000000</f>
        <v>12.063045499999998</v>
      </c>
      <c r="V322" s="58">
        <f>(1000*CHOOSE(CONTROL!$C$42, 500, 500)*CHOOSE(CONTROL!$C$42, 0.275, 0.275)*CHOOSE(CONTROL!$C$42, 31, 31))/1000000</f>
        <v>4.2625000000000002</v>
      </c>
      <c r="W322" s="58">
        <f>(1000*CHOOSE(CONTROL!$C$42, 0.1146, 0.1146)*CHOOSE(CONTROL!$C$42, 121.5, 121.5)*CHOOSE(CONTROL!$C$42, 31, 31))/1000000</f>
        <v>0.43164089999999994</v>
      </c>
      <c r="X322" s="58">
        <f>(31*0.1790888*245000/1000000)+(31*0.2374*100000/1000000)</f>
        <v>2.0961194359999999</v>
      </c>
      <c r="Y322" s="58"/>
      <c r="Z322" s="10"/>
      <c r="AA322" s="57"/>
      <c r="AB322" s="51">
        <f>(B322*131.881+C322*277.167+D322*79.08+E322*125.872+F322*40+G322*185+H322*0+I322*100+J322*300)/(131.881+277.167+79.08+125.872+0+40+185+100+300)</f>
        <v>8.9259382020984681</v>
      </c>
      <c r="AC322" s="27">
        <f>(M322*'RAP TEMPLATE-GAS AVAILABILITY'!O321+N322*'RAP TEMPLATE-GAS AVAILABILITY'!P321+O322*'RAP TEMPLATE-GAS AVAILABILITY'!Q321+P322*'RAP TEMPLATE-GAS AVAILABILITY'!R321)/('RAP TEMPLATE-GAS AVAILABILITY'!O321+'RAP TEMPLATE-GAS AVAILABILITY'!P321+'RAP TEMPLATE-GAS AVAILABILITY'!Q321+'RAP TEMPLATE-GAS AVAILABILITY'!R321)</f>
        <v>8.8685618705035978</v>
      </c>
    </row>
    <row r="323" spans="1:29" ht="15.75" x14ac:dyDescent="0.25">
      <c r="A323" s="14">
        <v>51104</v>
      </c>
      <c r="B323" s="10">
        <f>CHOOSE(CONTROL!$C$42, 9.1302, 9.1302) * CHOOSE(CONTROL!$C$21, $C$9, 100%, $E$9)</f>
        <v>9.1302000000000003</v>
      </c>
      <c r="C323" s="10">
        <f>CHOOSE(CONTROL!$C$42, 9.1352, 9.1352) * CHOOSE(CONTROL!$C$21, $C$9, 100%, $E$9)</f>
        <v>9.1351999999999993</v>
      </c>
      <c r="D323" s="10">
        <f>CHOOSE(CONTROL!$C$42, 9.1648, 9.1648) * CHOOSE(CONTROL!$C$21, $C$9, 100%, $E$9)</f>
        <v>9.1647999999999996</v>
      </c>
      <c r="E323" s="10">
        <f>CHOOSE(CONTROL!$C$42, 9.1985, 9.1985) * CHOOSE(CONTROL!$C$21, $C$9, 100%, $E$9)</f>
        <v>9.1984999999999992</v>
      </c>
      <c r="F323" s="10">
        <f>CHOOSE(CONTROL!$C$42, 9.116, 9.116)*CHOOSE(CONTROL!$C$21, $C$9, 100%, $E$9)</f>
        <v>9.1159999999999997</v>
      </c>
      <c r="G323" s="10">
        <f>CHOOSE(CONTROL!$C$42, 9.134, 9.134)*CHOOSE(CONTROL!$C$21, $C$9, 100%, $E$9)</f>
        <v>9.1340000000000003</v>
      </c>
      <c r="H323" s="10">
        <f>CHOOSE(CONTROL!$C$42, 9.1877, 9.1877) * CHOOSE(CONTROL!$C$21, $C$9, 100%, $E$9)</f>
        <v>9.1876999999999995</v>
      </c>
      <c r="I323" s="10">
        <f>CHOOSE(CONTROL!$C$42, 9.0964, 9.0964)* CHOOSE(CONTROL!$C$21, $C$9, 100%, $E$9)</f>
        <v>9.0963999999999992</v>
      </c>
      <c r="J323" s="10">
        <f>CHOOSE(CONTROL!$C$42, 9.109, 9.109)* CHOOSE(CONTROL!$C$21, $C$9, 100%, $E$9)</f>
        <v>9.109</v>
      </c>
      <c r="K323" s="54">
        <f>CHOOSE(CONTROL!$C$42, 9.0925, 9.0925) * CHOOSE(CONTROL!$C$21, $C$9, 100%, $E$9)</f>
        <v>9.0924999999999994</v>
      </c>
      <c r="L323" s="10">
        <f>CHOOSE(CONTROL!$C$42, 9.7747, 9.7747) * CHOOSE(CONTROL!$C$21, $C$9, 100%, $E$9)</f>
        <v>9.7746999999999993</v>
      </c>
      <c r="M323" s="10">
        <f>CHOOSE(CONTROL!$C$42, 9.0309, 9.0309) * CHOOSE(CONTROL!$C$21, $C$9, 100%, $E$9)</f>
        <v>9.0309000000000008</v>
      </c>
      <c r="N323" s="10">
        <f>CHOOSE(CONTROL!$C$42, 9.0487, 9.0487) * CHOOSE(CONTROL!$C$21, $C$9, 100%, $E$9)</f>
        <v>9.0487000000000002</v>
      </c>
      <c r="O323" s="10">
        <f>CHOOSE(CONTROL!$C$42, 9.1088, 9.1088) * CHOOSE(CONTROL!$C$21, $C$9, 100%, $E$9)</f>
        <v>9.1088000000000005</v>
      </c>
      <c r="P323" s="10">
        <f>CHOOSE(CONTROL!$C$42, 9.0184, 9.0184) * CHOOSE(CONTROL!$C$21, $C$9, 100%, $E$9)</f>
        <v>9.0183999999999997</v>
      </c>
      <c r="Q323" s="10">
        <f>CHOOSE(CONTROL!$C$42, 9.7041, 9.7041) * CHOOSE(CONTROL!$C$21, $C$9, 100%, $E$9)</f>
        <v>9.7041000000000004</v>
      </c>
      <c r="R323" s="10">
        <f>CHOOSE(CONTROL!$C$42, 10.3154, 10.3154) * CHOOSE(CONTROL!$C$21, $C$9, 100%, $E$9)</f>
        <v>10.3154</v>
      </c>
      <c r="S323" s="10">
        <f>CHOOSE(CONTROL!$C$42, 8.8642, 8.8642) * CHOOSE(CONTROL!$C$21, $C$9, 100%, $E$9)</f>
        <v>8.8642000000000003</v>
      </c>
      <c r="T323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23" s="58">
        <f>(1000*CHOOSE(CONTROL!$C$42, 695, 695)*CHOOSE(CONTROL!$C$42, 0.5599, 0.5599)*CHOOSE(CONTROL!$C$42, 30, 30))/1000000</f>
        <v>11.673914999999997</v>
      </c>
      <c r="V323" s="58">
        <f>(1000*CHOOSE(CONTROL!$C$42, 500, 500)*CHOOSE(CONTROL!$C$42, 0.275, 0.275)*CHOOSE(CONTROL!$C$42, 30, 30))/1000000</f>
        <v>4.125</v>
      </c>
      <c r="W323" s="58">
        <f>(1000*CHOOSE(CONTROL!$C$42, 0.1146, 0.1146)*CHOOSE(CONTROL!$C$42, 121.5, 121.5)*CHOOSE(CONTROL!$C$42, 30, 30))/1000000</f>
        <v>0.417717</v>
      </c>
      <c r="X323" s="58">
        <f>(30*0.1790888*100000/1000000)+(30*0.2374*100000/1000000)</f>
        <v>1.2494664</v>
      </c>
      <c r="Y323" s="58"/>
      <c r="Z323" s="10"/>
      <c r="AA323" s="57"/>
      <c r="AB323" s="51">
        <f>(B323*122.58+C323*297.941+D323*89.177+E323*40.302+F323*40+G323*160+H323*0+I323*100+J323*300)/(122.58+297.941+89.177+40.302+0+40+160+100+300)</f>
        <v>9.1281372659130451</v>
      </c>
      <c r="AC323" s="27">
        <f>(M323*'RAP TEMPLATE-GAS AVAILABILITY'!O322+N323*'RAP TEMPLATE-GAS AVAILABILITY'!P322+O323*'RAP TEMPLATE-GAS AVAILABILITY'!Q322+P323*'RAP TEMPLATE-GAS AVAILABILITY'!R322)/('RAP TEMPLATE-GAS AVAILABILITY'!O322+'RAP TEMPLATE-GAS AVAILABILITY'!P322+'RAP TEMPLATE-GAS AVAILABILITY'!Q322+'RAP TEMPLATE-GAS AVAILABILITY'!R322)</f>
        <v>9.065433093525181</v>
      </c>
    </row>
    <row r="324" spans="1:29" ht="15.75" x14ac:dyDescent="0.25">
      <c r="A324" s="14">
        <v>51135</v>
      </c>
      <c r="B324" s="10">
        <f>CHOOSE(CONTROL!$C$42, 9.7525, 9.7525) * CHOOSE(CONTROL!$C$21, $C$9, 100%, $E$9)</f>
        <v>9.7524999999999995</v>
      </c>
      <c r="C324" s="10">
        <f>CHOOSE(CONTROL!$C$42, 9.7574, 9.7574) * CHOOSE(CONTROL!$C$21, $C$9, 100%, $E$9)</f>
        <v>9.7574000000000005</v>
      </c>
      <c r="D324" s="10">
        <f>CHOOSE(CONTROL!$C$42, 9.7871, 9.7871) * CHOOSE(CONTROL!$C$21, $C$9, 100%, $E$9)</f>
        <v>9.7871000000000006</v>
      </c>
      <c r="E324" s="10">
        <f>CHOOSE(CONTROL!$C$42, 9.8208, 9.8208) * CHOOSE(CONTROL!$C$21, $C$9, 100%, $E$9)</f>
        <v>9.8208000000000002</v>
      </c>
      <c r="F324" s="10">
        <f>CHOOSE(CONTROL!$C$42, 9.7398, 9.7398)*CHOOSE(CONTROL!$C$21, $C$9, 100%, $E$9)</f>
        <v>9.7398000000000007</v>
      </c>
      <c r="G324" s="10">
        <f>CHOOSE(CONTROL!$C$42, 9.7582, 9.7582)*CHOOSE(CONTROL!$C$21, $C$9, 100%, $E$9)</f>
        <v>9.7582000000000004</v>
      </c>
      <c r="H324" s="10">
        <f>CHOOSE(CONTROL!$C$42, 9.81, 9.81) * CHOOSE(CONTROL!$C$21, $C$9, 100%, $E$9)</f>
        <v>9.81</v>
      </c>
      <c r="I324" s="10">
        <f>CHOOSE(CONTROL!$C$42, 9.7187, 9.7187)* CHOOSE(CONTROL!$C$21, $C$9, 100%, $E$9)</f>
        <v>9.7187000000000001</v>
      </c>
      <c r="J324" s="10">
        <f>CHOOSE(CONTROL!$C$42, 9.7328, 9.7328)* CHOOSE(CONTROL!$C$21, $C$9, 100%, $E$9)</f>
        <v>9.7327999999999992</v>
      </c>
      <c r="K324" s="54">
        <f>CHOOSE(CONTROL!$C$42, 9.7148, 9.7148) * CHOOSE(CONTROL!$C$21, $C$9, 100%, $E$9)</f>
        <v>9.7148000000000003</v>
      </c>
      <c r="L324" s="10">
        <f>CHOOSE(CONTROL!$C$42, 10.397, 10.397) * CHOOSE(CONTROL!$C$21, $C$9, 100%, $E$9)</f>
        <v>10.397</v>
      </c>
      <c r="M324" s="10">
        <f>CHOOSE(CONTROL!$C$42, 9.6484, 9.6484) * CHOOSE(CONTROL!$C$21, $C$9, 100%, $E$9)</f>
        <v>9.6484000000000005</v>
      </c>
      <c r="N324" s="10">
        <f>CHOOSE(CONTROL!$C$42, 9.6667, 9.6667) * CHOOSE(CONTROL!$C$21, $C$9, 100%, $E$9)</f>
        <v>9.6667000000000005</v>
      </c>
      <c r="O324" s="10">
        <f>CHOOSE(CONTROL!$C$42, 9.7249, 9.7249) * CHOOSE(CONTROL!$C$21, $C$9, 100%, $E$9)</f>
        <v>9.7248999999999999</v>
      </c>
      <c r="P324" s="10">
        <f>CHOOSE(CONTROL!$C$42, 9.6345, 9.6345) * CHOOSE(CONTROL!$C$21, $C$9, 100%, $E$9)</f>
        <v>9.6344999999999992</v>
      </c>
      <c r="Q324" s="10">
        <f>CHOOSE(CONTROL!$C$42, 10.3202, 10.3202) * CHOOSE(CONTROL!$C$21, $C$9, 100%, $E$9)</f>
        <v>10.3202</v>
      </c>
      <c r="R324" s="10">
        <f>CHOOSE(CONTROL!$C$42, 10.933, 10.933) * CHOOSE(CONTROL!$C$21, $C$9, 100%, $E$9)</f>
        <v>10.933</v>
      </c>
      <c r="S324" s="10">
        <f>CHOOSE(CONTROL!$C$42, 9.4685, 9.4685) * CHOOSE(CONTROL!$C$21, $C$9, 100%, $E$9)</f>
        <v>9.4685000000000006</v>
      </c>
      <c r="T324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24" s="58">
        <f>(1000*CHOOSE(CONTROL!$C$42, 695, 695)*CHOOSE(CONTROL!$C$42, 0.5599, 0.5599)*CHOOSE(CONTROL!$C$42, 31, 31))/1000000</f>
        <v>12.063045499999998</v>
      </c>
      <c r="V324" s="58">
        <f>(1000*CHOOSE(CONTROL!$C$42, 500, 500)*CHOOSE(CONTROL!$C$42, 0.275, 0.275)*CHOOSE(CONTROL!$C$42, 31, 31))/1000000</f>
        <v>4.2625000000000002</v>
      </c>
      <c r="W324" s="58">
        <f>(1000*CHOOSE(CONTROL!$C$42, 0.1146, 0.1146)*CHOOSE(CONTROL!$C$42, 121.5, 121.5)*CHOOSE(CONTROL!$C$42, 31, 31))/1000000</f>
        <v>0.43164089999999994</v>
      </c>
      <c r="X324" s="58">
        <f>(31*0.1790888*100000/1000000)+(31*0.2374*100000/1000000)</f>
        <v>1.2911152800000001</v>
      </c>
      <c r="Y324" s="58"/>
      <c r="Z324" s="10"/>
      <c r="AA324" s="57"/>
      <c r="AB324" s="51">
        <f>(B324*122.58+C324*297.941+D324*89.177+E324*40.302+F324*40+G324*160+H324*0+I324*100+J324*300)/(122.58+297.941+89.177+40.302+0+40+160+100+300)</f>
        <v>9.7511191840869564</v>
      </c>
      <c r="AC324" s="27">
        <f>(M324*'RAP TEMPLATE-GAS AVAILABILITY'!O323+N324*'RAP TEMPLATE-GAS AVAILABILITY'!P323+O324*'RAP TEMPLATE-GAS AVAILABILITY'!Q323+P324*'RAP TEMPLATE-GAS AVAILABILITY'!R323)/('RAP TEMPLATE-GAS AVAILABILITY'!O323+'RAP TEMPLATE-GAS AVAILABILITY'!P323+'RAP TEMPLATE-GAS AVAILABILITY'!Q323+'RAP TEMPLATE-GAS AVAILABILITY'!R323)</f>
        <v>9.6821258992805763</v>
      </c>
    </row>
    <row r="325" spans="1:29" ht="15.75" x14ac:dyDescent="0.25">
      <c r="A325" s="14">
        <v>51166</v>
      </c>
      <c r="B325" s="10">
        <f>CHOOSE(CONTROL!$C$42, 10.4105, 10.4105) * CHOOSE(CONTROL!$C$21, $C$9, 100%, $E$9)</f>
        <v>10.410500000000001</v>
      </c>
      <c r="C325" s="10">
        <f>CHOOSE(CONTROL!$C$42, 10.4155, 10.4155) * CHOOSE(CONTROL!$C$21, $C$9, 100%, $E$9)</f>
        <v>10.4155</v>
      </c>
      <c r="D325" s="10">
        <f>CHOOSE(CONTROL!$C$42, 10.4657, 10.4657) * CHOOSE(CONTROL!$C$21, $C$9, 100%, $E$9)</f>
        <v>10.4657</v>
      </c>
      <c r="E325" s="10">
        <f>CHOOSE(CONTROL!$C$42, 10.4995, 10.4995) * CHOOSE(CONTROL!$C$21, $C$9, 100%, $E$9)</f>
        <v>10.499499999999999</v>
      </c>
      <c r="F325" s="10">
        <f>CHOOSE(CONTROL!$C$42, 10.3759, 10.3759)*CHOOSE(CONTROL!$C$21, $C$9, 100%, $E$9)</f>
        <v>10.3759</v>
      </c>
      <c r="G325" s="10">
        <f>CHOOSE(CONTROL!$C$42, 10.3934, 10.3934)*CHOOSE(CONTROL!$C$21, $C$9, 100%, $E$9)</f>
        <v>10.3934</v>
      </c>
      <c r="H325" s="10">
        <f>CHOOSE(CONTROL!$C$42, 10.4887, 10.4887) * CHOOSE(CONTROL!$C$21, $C$9, 100%, $E$9)</f>
        <v>10.4887</v>
      </c>
      <c r="I325" s="10">
        <f>CHOOSE(CONTROL!$C$42, 10.3844, 10.3844)* CHOOSE(CONTROL!$C$21, $C$9, 100%, $E$9)</f>
        <v>10.384399999999999</v>
      </c>
      <c r="J325" s="10">
        <f>CHOOSE(CONTROL!$C$42, 10.3689, 10.3689)* CHOOSE(CONTROL!$C$21, $C$9, 100%, $E$9)</f>
        <v>10.3689</v>
      </c>
      <c r="K325" s="54">
        <f>CHOOSE(CONTROL!$C$42, 10.3805, 10.3805) * CHOOSE(CONTROL!$C$21, $C$9, 100%, $E$9)</f>
        <v>10.3805</v>
      </c>
      <c r="L325" s="10">
        <f>CHOOSE(CONTROL!$C$42, 11.0757, 11.0757) * CHOOSE(CONTROL!$C$21, $C$9, 100%, $E$9)</f>
        <v>11.075699999999999</v>
      </c>
      <c r="M325" s="10">
        <f>CHOOSE(CONTROL!$C$42, 10.2781, 10.2781) * CHOOSE(CONTROL!$C$21, $C$9, 100%, $E$9)</f>
        <v>10.2781</v>
      </c>
      <c r="N325" s="10">
        <f>CHOOSE(CONTROL!$C$42, 10.2955, 10.2955) * CHOOSE(CONTROL!$C$21, $C$9, 100%, $E$9)</f>
        <v>10.295500000000001</v>
      </c>
      <c r="O325" s="10">
        <f>CHOOSE(CONTROL!$C$42, 10.3966, 10.3966) * CHOOSE(CONTROL!$C$21, $C$9, 100%, $E$9)</f>
        <v>10.396599999999999</v>
      </c>
      <c r="P325" s="10">
        <f>CHOOSE(CONTROL!$C$42, 10.2935, 10.2935) * CHOOSE(CONTROL!$C$21, $C$9, 100%, $E$9)</f>
        <v>10.2935</v>
      </c>
      <c r="Q325" s="10">
        <f>CHOOSE(CONTROL!$C$42, 10.9919, 10.9919) * CHOOSE(CONTROL!$C$21, $C$9, 100%, $E$9)</f>
        <v>10.991899999999999</v>
      </c>
      <c r="R325" s="10">
        <f>CHOOSE(CONTROL!$C$42, 11.6064, 11.6064) * CHOOSE(CONTROL!$C$21, $C$9, 100%, $E$9)</f>
        <v>11.606400000000001</v>
      </c>
      <c r="S325" s="10">
        <f>CHOOSE(CONTROL!$C$42, 10.1075, 10.1075) * CHOOSE(CONTROL!$C$21, $C$9, 100%, $E$9)</f>
        <v>10.1075</v>
      </c>
      <c r="T325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25" s="58">
        <f>(1000*CHOOSE(CONTROL!$C$42, 695, 695)*CHOOSE(CONTROL!$C$42, 0.5599, 0.5599)*CHOOSE(CONTROL!$C$42, 31, 31))/1000000</f>
        <v>12.063045499999998</v>
      </c>
      <c r="V325" s="58">
        <f>(1000*CHOOSE(CONTROL!$C$42, 500, 500)*CHOOSE(CONTROL!$C$42, 0.275, 0.275)*CHOOSE(CONTROL!$C$42, 31, 31))/1000000</f>
        <v>4.2625000000000002</v>
      </c>
      <c r="W325" s="58">
        <f>(1000*CHOOSE(CONTROL!$C$42, 0.1146, 0.1146)*CHOOSE(CONTROL!$C$42, 121.5, 121.5)*CHOOSE(CONTROL!$C$42, 31, 31))/1000000</f>
        <v>0.43164089999999994</v>
      </c>
      <c r="X325" s="58">
        <f>(31*0.1790888*100000/1000000)+(31*0.2374*100000/1000000)</f>
        <v>1.2911152800000001</v>
      </c>
      <c r="Y325" s="58"/>
      <c r="Z325" s="10"/>
      <c r="AA325" s="57"/>
      <c r="AB325" s="51">
        <f>(B325*122.58+C325*297.941+D325*89.177+E325*40.302+F325*40+G325*160+H325*0+I325*100+J325*300)/(122.58+297.941+89.177+40.302+0+40+160+100+300)</f>
        <v>10.402490568173913</v>
      </c>
      <c r="AC325" s="27">
        <f>(M325*'RAP TEMPLATE-GAS AVAILABILITY'!O324+N325*'RAP TEMPLATE-GAS AVAILABILITY'!P324+O325*'RAP TEMPLATE-GAS AVAILABILITY'!Q324+P325*'RAP TEMPLATE-GAS AVAILABILITY'!R324)/('RAP TEMPLATE-GAS AVAILABILITY'!O324+'RAP TEMPLATE-GAS AVAILABILITY'!P324+'RAP TEMPLATE-GAS AVAILABILITY'!Q324+'RAP TEMPLATE-GAS AVAILABILITY'!R324)</f>
        <v>10.335025899280577</v>
      </c>
    </row>
    <row r="326" spans="1:29" ht="15.75" x14ac:dyDescent="0.25">
      <c r="A326" s="14">
        <v>51194</v>
      </c>
      <c r="B326" s="10">
        <f>CHOOSE(CONTROL!$C$42, 10.5958, 10.5958) * CHOOSE(CONTROL!$C$21, $C$9, 100%, $E$9)</f>
        <v>10.595800000000001</v>
      </c>
      <c r="C326" s="10">
        <f>CHOOSE(CONTROL!$C$42, 10.6007, 10.6007) * CHOOSE(CONTROL!$C$21, $C$9, 100%, $E$9)</f>
        <v>10.6007</v>
      </c>
      <c r="D326" s="10">
        <f>CHOOSE(CONTROL!$C$42, 10.7179, 10.7179) * CHOOSE(CONTROL!$C$21, $C$9, 100%, $E$9)</f>
        <v>10.7179</v>
      </c>
      <c r="E326" s="10">
        <f>CHOOSE(CONTROL!$C$42, 10.7517, 10.7517) * CHOOSE(CONTROL!$C$21, $C$9, 100%, $E$9)</f>
        <v>10.7517</v>
      </c>
      <c r="F326" s="10">
        <f>CHOOSE(CONTROL!$C$42, 10.6734, 10.6734)*CHOOSE(CONTROL!$C$21, $C$9, 100%, $E$9)</f>
        <v>10.673400000000001</v>
      </c>
      <c r="G326" s="10">
        <f>CHOOSE(CONTROL!$C$42, 10.6953, 10.6953)*CHOOSE(CONTROL!$C$21, $C$9, 100%, $E$9)</f>
        <v>10.6953</v>
      </c>
      <c r="H326" s="10">
        <f>CHOOSE(CONTROL!$C$42, 10.7409, 10.7409) * CHOOSE(CONTROL!$C$21, $C$9, 100%, $E$9)</f>
        <v>10.7409</v>
      </c>
      <c r="I326" s="10">
        <f>CHOOSE(CONTROL!$C$42, 10.6315, 10.6315)* CHOOSE(CONTROL!$C$21, $C$9, 100%, $E$9)</f>
        <v>10.631500000000001</v>
      </c>
      <c r="J326" s="10">
        <f>CHOOSE(CONTROL!$C$42, 10.6664, 10.6664)* CHOOSE(CONTROL!$C$21, $C$9, 100%, $E$9)</f>
        <v>10.666399999999999</v>
      </c>
      <c r="K326" s="54">
        <f>CHOOSE(CONTROL!$C$42, 10.6276, 10.6276) * CHOOSE(CONTROL!$C$21, $C$9, 100%, $E$9)</f>
        <v>10.627599999999999</v>
      </c>
      <c r="L326" s="10">
        <f>CHOOSE(CONTROL!$C$42, 11.3279, 11.3279) * CHOOSE(CONTROL!$C$21, $C$9, 100%, $E$9)</f>
        <v>11.3279</v>
      </c>
      <c r="M326" s="10">
        <f>CHOOSE(CONTROL!$C$42, 10.5726, 10.5726) * CHOOSE(CONTROL!$C$21, $C$9, 100%, $E$9)</f>
        <v>10.5726</v>
      </c>
      <c r="N326" s="10">
        <f>CHOOSE(CONTROL!$C$42, 10.5943, 10.5943) * CHOOSE(CONTROL!$C$21, $C$9, 100%, $E$9)</f>
        <v>10.5943</v>
      </c>
      <c r="O326" s="10">
        <f>CHOOSE(CONTROL!$C$42, 10.6463, 10.6463) * CHOOSE(CONTROL!$C$21, $C$9, 100%, $E$9)</f>
        <v>10.6463</v>
      </c>
      <c r="P326" s="10">
        <f>CHOOSE(CONTROL!$C$42, 10.5381, 10.5381) * CHOOSE(CONTROL!$C$21, $C$9, 100%, $E$9)</f>
        <v>10.5381</v>
      </c>
      <c r="Q326" s="10">
        <f>CHOOSE(CONTROL!$C$42, 11.2416, 11.2416) * CHOOSE(CONTROL!$C$21, $C$9, 100%, $E$9)</f>
        <v>11.2416</v>
      </c>
      <c r="R326" s="10">
        <f>CHOOSE(CONTROL!$C$42, 11.8567, 11.8567) * CHOOSE(CONTROL!$C$21, $C$9, 100%, $E$9)</f>
        <v>11.8567</v>
      </c>
      <c r="S326" s="10">
        <f>CHOOSE(CONTROL!$C$42, 10.2874, 10.2874) * CHOOSE(CONTROL!$C$21, $C$9, 100%, $E$9)</f>
        <v>10.2874</v>
      </c>
      <c r="T326" s="5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326" s="58">
        <f>(1000*CHOOSE(CONTROL!$C$42, 695, 695)*CHOOSE(CONTROL!$C$42, 0.5599, 0.5599)*CHOOSE(CONTROL!$C$42, 29, 29))/1000000</f>
        <v>11.284784499999999</v>
      </c>
      <c r="V326" s="58">
        <f>(1000*CHOOSE(CONTROL!$C$42, 500, 500)*CHOOSE(CONTROL!$C$42, 0.275, 0.275)*CHOOSE(CONTROL!$C$42, 29, 29))/1000000</f>
        <v>3.9874999999999998</v>
      </c>
      <c r="W326" s="58">
        <f>(1000*CHOOSE(CONTROL!$C$42, 0.1146, 0.1146)*CHOOSE(CONTROL!$C$42, 121.5, 121.5)*CHOOSE(CONTROL!$C$42, 29, 29))/1000000</f>
        <v>0.40379309999999996</v>
      </c>
      <c r="X326" s="58">
        <f>(29*0.1790888*100000/1000000)+(29*0.2374*100000/1000000)</f>
        <v>1.2078175199999999</v>
      </c>
      <c r="Y326" s="58"/>
      <c r="Z326" s="10"/>
      <c r="AA326" s="57"/>
      <c r="AB326" s="51">
        <f>(B326*122.58+C326*297.941+D326*89.177+E326*40.302+F326*40+G326*160+H326*0+I326*100+J326*300)/(122.58+297.941+89.177+40.302+0+40+160+100+300)</f>
        <v>10.650065656000001</v>
      </c>
      <c r="AC326" s="27">
        <f>(M326*'RAP TEMPLATE-GAS AVAILABILITY'!O325+N326*'RAP TEMPLATE-GAS AVAILABILITY'!P325+O326*'RAP TEMPLATE-GAS AVAILABILITY'!Q325+P326*'RAP TEMPLATE-GAS AVAILABILITY'!R325)/('RAP TEMPLATE-GAS AVAILABILITY'!O325+'RAP TEMPLATE-GAS AVAILABILITY'!P325+'RAP TEMPLATE-GAS AVAILABILITY'!Q325+'RAP TEMPLATE-GAS AVAILABILITY'!R325)</f>
        <v>10.602288489208634</v>
      </c>
    </row>
    <row r="327" spans="1:29" ht="15.75" x14ac:dyDescent="0.25">
      <c r="A327" s="14">
        <v>51226</v>
      </c>
      <c r="B327" s="10">
        <f>CHOOSE(CONTROL!$C$42, 10.2951, 10.2951) * CHOOSE(CONTROL!$C$21, $C$9, 100%, $E$9)</f>
        <v>10.2951</v>
      </c>
      <c r="C327" s="10">
        <f>CHOOSE(CONTROL!$C$42, 10.3, 10.3) * CHOOSE(CONTROL!$C$21, $C$9, 100%, $E$9)</f>
        <v>10.3</v>
      </c>
      <c r="D327" s="10">
        <f>CHOOSE(CONTROL!$C$42, 10.3914, 10.3914) * CHOOSE(CONTROL!$C$21, $C$9, 100%, $E$9)</f>
        <v>10.391400000000001</v>
      </c>
      <c r="E327" s="10">
        <f>CHOOSE(CONTROL!$C$42, 10.4252, 10.4252) * CHOOSE(CONTROL!$C$21, $C$9, 100%, $E$9)</f>
        <v>10.4252</v>
      </c>
      <c r="F327" s="10">
        <f>CHOOSE(CONTROL!$C$42, 10.3249, 10.3249)*CHOOSE(CONTROL!$C$21, $C$9, 100%, $E$9)</f>
        <v>10.3249</v>
      </c>
      <c r="G327" s="10">
        <f>CHOOSE(CONTROL!$C$42, 10.3444, 10.3444)*CHOOSE(CONTROL!$C$21, $C$9, 100%, $E$9)</f>
        <v>10.3444</v>
      </c>
      <c r="H327" s="10">
        <f>CHOOSE(CONTROL!$C$42, 10.4144, 10.4144) * CHOOSE(CONTROL!$C$21, $C$9, 100%, $E$9)</f>
        <v>10.414400000000001</v>
      </c>
      <c r="I327" s="10">
        <f>CHOOSE(CONTROL!$C$42, 10.3179, 10.3179)* CHOOSE(CONTROL!$C$21, $C$9, 100%, $E$9)</f>
        <v>10.3179</v>
      </c>
      <c r="J327" s="10">
        <f>CHOOSE(CONTROL!$C$42, 10.3179, 10.3179)* CHOOSE(CONTROL!$C$21, $C$9, 100%, $E$9)</f>
        <v>10.3179</v>
      </c>
      <c r="K327" s="54">
        <f>CHOOSE(CONTROL!$C$42, 10.314, 10.314) * CHOOSE(CONTROL!$C$21, $C$9, 100%, $E$9)</f>
        <v>10.314</v>
      </c>
      <c r="L327" s="10">
        <f>CHOOSE(CONTROL!$C$42, 11.0014, 11.0014) * CHOOSE(CONTROL!$C$21, $C$9, 100%, $E$9)</f>
        <v>11.0014</v>
      </c>
      <c r="M327" s="10">
        <f>CHOOSE(CONTROL!$C$42, 10.2276, 10.2276) * CHOOSE(CONTROL!$C$21, $C$9, 100%, $E$9)</f>
        <v>10.227600000000001</v>
      </c>
      <c r="N327" s="10">
        <f>CHOOSE(CONTROL!$C$42, 10.2469, 10.2469) * CHOOSE(CONTROL!$C$21, $C$9, 100%, $E$9)</f>
        <v>10.2469</v>
      </c>
      <c r="O327" s="10">
        <f>CHOOSE(CONTROL!$C$42, 10.3231, 10.3231) * CHOOSE(CONTROL!$C$21, $C$9, 100%, $E$9)</f>
        <v>10.3231</v>
      </c>
      <c r="P327" s="10">
        <f>CHOOSE(CONTROL!$C$42, 10.2276, 10.2276) * CHOOSE(CONTROL!$C$21, $C$9, 100%, $E$9)</f>
        <v>10.227600000000001</v>
      </c>
      <c r="Q327" s="10">
        <f>CHOOSE(CONTROL!$C$42, 10.9184, 10.9184) * CHOOSE(CONTROL!$C$21, $C$9, 100%, $E$9)</f>
        <v>10.9184</v>
      </c>
      <c r="R327" s="10">
        <f>CHOOSE(CONTROL!$C$42, 11.5327, 11.5327) * CHOOSE(CONTROL!$C$21, $C$9, 100%, $E$9)</f>
        <v>11.5327</v>
      </c>
      <c r="S327" s="10">
        <f>CHOOSE(CONTROL!$C$42, 9.9954, 9.9954) * CHOOSE(CONTROL!$C$21, $C$9, 100%, $E$9)</f>
        <v>9.9954000000000001</v>
      </c>
      <c r="T327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27" s="58">
        <f>(1000*CHOOSE(CONTROL!$C$42, 695, 695)*CHOOSE(CONTROL!$C$42, 0.5599, 0.5599)*CHOOSE(CONTROL!$C$42, 31, 31))/1000000</f>
        <v>12.063045499999998</v>
      </c>
      <c r="V327" s="58">
        <f>(1000*CHOOSE(CONTROL!$C$42, 500, 500)*CHOOSE(CONTROL!$C$42, 0.275, 0.275)*CHOOSE(CONTROL!$C$42, 31, 31))/1000000</f>
        <v>4.2625000000000002</v>
      </c>
      <c r="W327" s="58">
        <f>(1000*CHOOSE(CONTROL!$C$42, 0.1146, 0.1146)*CHOOSE(CONTROL!$C$42, 121.5, 121.5)*CHOOSE(CONTROL!$C$42, 31, 31))/1000000</f>
        <v>0.43164089999999994</v>
      </c>
      <c r="X327" s="58">
        <f>(31*0.1790888*100000/1000000)+(31*0.2374*100000/1000000)</f>
        <v>1.2911152800000001</v>
      </c>
      <c r="Y327" s="58"/>
      <c r="Z327" s="10"/>
      <c r="AA327" s="57"/>
      <c r="AB327" s="51">
        <f>(B327*122.58+C327*297.941+D327*89.177+E327*40.302+F327*40+G327*160+H327*0+I327*100+J327*300)/(122.58+297.941+89.177+40.302+0+40+160+100+300)</f>
        <v>10.324222561913045</v>
      </c>
      <c r="AC327" s="27">
        <f>(M327*'RAP TEMPLATE-GAS AVAILABILITY'!O326+N327*'RAP TEMPLATE-GAS AVAILABILITY'!P326+O327*'RAP TEMPLATE-GAS AVAILABILITY'!Q326+P327*'RAP TEMPLATE-GAS AVAILABILITY'!R326)/('RAP TEMPLATE-GAS AVAILABILITY'!O326+'RAP TEMPLATE-GAS AVAILABILITY'!P326+'RAP TEMPLATE-GAS AVAILABILITY'!Q326+'RAP TEMPLATE-GAS AVAILABILITY'!R326)</f>
        <v>10.271994964028778</v>
      </c>
    </row>
    <row r="328" spans="1:29" ht="15.75" x14ac:dyDescent="0.25">
      <c r="A328" s="14">
        <v>51256</v>
      </c>
      <c r="B328" s="10">
        <f>CHOOSE(CONTROL!$C$42, 10.265, 10.265) * CHOOSE(CONTROL!$C$21, $C$9, 100%, $E$9)</f>
        <v>10.265000000000001</v>
      </c>
      <c r="C328" s="10">
        <f>CHOOSE(CONTROL!$C$42, 10.2694, 10.2694) * CHOOSE(CONTROL!$C$21, $C$9, 100%, $E$9)</f>
        <v>10.269399999999999</v>
      </c>
      <c r="D328" s="10">
        <f>CHOOSE(CONTROL!$C$42, 10.4511, 10.4511) * CHOOSE(CONTROL!$C$21, $C$9, 100%, $E$9)</f>
        <v>10.4511</v>
      </c>
      <c r="E328" s="10">
        <f>CHOOSE(CONTROL!$C$42, 10.4829, 10.4829) * CHOOSE(CONTROL!$C$21, $C$9, 100%, $E$9)</f>
        <v>10.482900000000001</v>
      </c>
      <c r="F328" s="10">
        <f>CHOOSE(CONTROL!$C$42, 10.2534, 10.2534)*CHOOSE(CONTROL!$C$21, $C$9, 100%, $E$9)</f>
        <v>10.253399999999999</v>
      </c>
      <c r="G328" s="10">
        <f>CHOOSE(CONTROL!$C$42, 10.2713, 10.2713)*CHOOSE(CONTROL!$C$21, $C$9, 100%, $E$9)</f>
        <v>10.2713</v>
      </c>
      <c r="H328" s="10">
        <f>CHOOSE(CONTROL!$C$42, 10.4726, 10.4726) * CHOOSE(CONTROL!$C$21, $C$9, 100%, $E$9)</f>
        <v>10.4726</v>
      </c>
      <c r="I328" s="10">
        <f>CHOOSE(CONTROL!$C$42, 10.2433, 10.2433)* CHOOSE(CONTROL!$C$21, $C$9, 100%, $E$9)</f>
        <v>10.2433</v>
      </c>
      <c r="J328" s="10">
        <f>CHOOSE(CONTROL!$C$42, 10.2464, 10.2464)* CHOOSE(CONTROL!$C$21, $C$9, 100%, $E$9)</f>
        <v>10.2464</v>
      </c>
      <c r="K328" s="54">
        <f>CHOOSE(CONTROL!$C$42, 10.2394, 10.2394) * CHOOSE(CONTROL!$C$21, $C$9, 100%, $E$9)</f>
        <v>10.2394</v>
      </c>
      <c r="L328" s="10">
        <f>CHOOSE(CONTROL!$C$42, 11.0596, 11.0596) * CHOOSE(CONTROL!$C$21, $C$9, 100%, $E$9)</f>
        <v>11.0596</v>
      </c>
      <c r="M328" s="10">
        <f>CHOOSE(CONTROL!$C$42, 10.1568, 10.1568) * CHOOSE(CONTROL!$C$21, $C$9, 100%, $E$9)</f>
        <v>10.1568</v>
      </c>
      <c r="N328" s="10">
        <f>CHOOSE(CONTROL!$C$42, 10.1746, 10.1746) * CHOOSE(CONTROL!$C$21, $C$9, 100%, $E$9)</f>
        <v>10.1746</v>
      </c>
      <c r="O328" s="10">
        <f>CHOOSE(CONTROL!$C$42, 10.3808, 10.3808) * CHOOSE(CONTROL!$C$21, $C$9, 100%, $E$9)</f>
        <v>10.380800000000001</v>
      </c>
      <c r="P328" s="10">
        <f>CHOOSE(CONTROL!$C$42, 10.1538, 10.1538) * CHOOSE(CONTROL!$C$21, $C$9, 100%, $E$9)</f>
        <v>10.1538</v>
      </c>
      <c r="Q328" s="10">
        <f>CHOOSE(CONTROL!$C$42, 10.9761, 10.9761) * CHOOSE(CONTROL!$C$21, $C$9, 100%, $E$9)</f>
        <v>10.976100000000001</v>
      </c>
      <c r="R328" s="10">
        <f>CHOOSE(CONTROL!$C$42, 11.5905, 11.5905) * CHOOSE(CONTROL!$C$21, $C$9, 100%, $E$9)</f>
        <v>11.5905</v>
      </c>
      <c r="S328" s="10">
        <f>CHOOSE(CONTROL!$C$42, 9.9655, 9.9655) * CHOOSE(CONTROL!$C$21, $C$9, 100%, $E$9)</f>
        <v>9.9655000000000005</v>
      </c>
      <c r="T328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328" s="58">
        <f>(1000*CHOOSE(CONTROL!$C$42, 695, 695)*CHOOSE(CONTROL!$C$42, 0.5599, 0.5599)*CHOOSE(CONTROL!$C$42, 30, 30))/1000000</f>
        <v>11.673914999999997</v>
      </c>
      <c r="V328" s="58">
        <f>(1000*CHOOSE(CONTROL!$C$42, 500, 500)*CHOOSE(CONTROL!$C$42, 0.275, 0.275)*CHOOSE(CONTROL!$C$42, 30, 30))/1000000</f>
        <v>4.125</v>
      </c>
      <c r="W328" s="58">
        <f>(1000*CHOOSE(CONTROL!$C$42, 0.1146, 0.1146)*CHOOSE(CONTROL!$C$42, 121.5, 121.5)*CHOOSE(CONTROL!$C$42, 30, 30))/1000000</f>
        <v>0.417717</v>
      </c>
      <c r="X328" s="58">
        <f>(30*0.1790888*245000/1000000)+(30*0.2374*100000/1000000)</f>
        <v>2.0285026799999999</v>
      </c>
      <c r="Y328" s="58"/>
      <c r="Z328" s="10"/>
      <c r="AA328" s="57"/>
      <c r="AB328" s="51">
        <f>(B328*141.293+C328*267.993+D328*115.016+E328*89.698+F328*40+G328*185+H328*0+I328*100+J328*300)/(141.293+267.993+115.016+89.698+0+40+185+100+300)</f>
        <v>10.293313430992736</v>
      </c>
      <c r="AC328" s="27">
        <f>(M328*'RAP TEMPLATE-GAS AVAILABILITY'!O327+N328*'RAP TEMPLATE-GAS AVAILABILITY'!P327+O328*'RAP TEMPLATE-GAS AVAILABILITY'!Q327+P328*'RAP TEMPLATE-GAS AVAILABILITY'!R327)/('RAP TEMPLATE-GAS AVAILABILITY'!O327+'RAP TEMPLATE-GAS AVAILABILITY'!P327+'RAP TEMPLATE-GAS AVAILABILITY'!Q327+'RAP TEMPLATE-GAS AVAILABILITY'!R327)</f>
        <v>10.22331510791367</v>
      </c>
    </row>
    <row r="329" spans="1:29" ht="15.75" x14ac:dyDescent="0.25">
      <c r="A329" s="14">
        <v>51287</v>
      </c>
      <c r="B329" s="10">
        <f>CHOOSE(CONTROL!$C$42, 10.3574, 10.3574) * CHOOSE(CONTROL!$C$21, $C$9, 100%, $E$9)</f>
        <v>10.3574</v>
      </c>
      <c r="C329" s="10">
        <f>CHOOSE(CONTROL!$C$42, 10.3653, 10.3653) * CHOOSE(CONTROL!$C$21, $C$9, 100%, $E$9)</f>
        <v>10.3653</v>
      </c>
      <c r="D329" s="10">
        <f>CHOOSE(CONTROL!$C$42, 10.5438, 10.5438) * CHOOSE(CONTROL!$C$21, $C$9, 100%, $E$9)</f>
        <v>10.543799999999999</v>
      </c>
      <c r="E329" s="10">
        <f>CHOOSE(CONTROL!$C$42, 10.575, 10.575) * CHOOSE(CONTROL!$C$21, $C$9, 100%, $E$9)</f>
        <v>10.574999999999999</v>
      </c>
      <c r="F329" s="10">
        <f>CHOOSE(CONTROL!$C$42, 10.3436, 10.3436)*CHOOSE(CONTROL!$C$21, $C$9, 100%, $E$9)</f>
        <v>10.3436</v>
      </c>
      <c r="G329" s="10">
        <f>CHOOSE(CONTROL!$C$42, 10.3617, 10.3617)*CHOOSE(CONTROL!$C$21, $C$9, 100%, $E$9)</f>
        <v>10.361700000000001</v>
      </c>
      <c r="H329" s="10">
        <f>CHOOSE(CONTROL!$C$42, 10.5636, 10.5636) * CHOOSE(CONTROL!$C$21, $C$9, 100%, $E$9)</f>
        <v>10.563599999999999</v>
      </c>
      <c r="I329" s="10">
        <f>CHOOSE(CONTROL!$C$42, 10.3342, 10.3342)* CHOOSE(CONTROL!$C$21, $C$9, 100%, $E$9)</f>
        <v>10.334199999999999</v>
      </c>
      <c r="J329" s="10">
        <f>CHOOSE(CONTROL!$C$42, 10.3366, 10.3366)* CHOOSE(CONTROL!$C$21, $C$9, 100%, $E$9)</f>
        <v>10.336600000000001</v>
      </c>
      <c r="K329" s="54">
        <f>CHOOSE(CONTROL!$C$42, 10.3304, 10.3304) * CHOOSE(CONTROL!$C$21, $C$9, 100%, $E$9)</f>
        <v>10.330399999999999</v>
      </c>
      <c r="L329" s="10">
        <f>CHOOSE(CONTROL!$C$42, 11.1506, 11.1506) * CHOOSE(CONTROL!$C$21, $C$9, 100%, $E$9)</f>
        <v>11.150600000000001</v>
      </c>
      <c r="M329" s="10">
        <f>CHOOSE(CONTROL!$C$42, 10.2461, 10.2461) * CHOOSE(CONTROL!$C$21, $C$9, 100%, $E$9)</f>
        <v>10.2461</v>
      </c>
      <c r="N329" s="10">
        <f>CHOOSE(CONTROL!$C$42, 10.2641, 10.2641) * CHOOSE(CONTROL!$C$21, $C$9, 100%, $E$9)</f>
        <v>10.264099999999999</v>
      </c>
      <c r="O329" s="10">
        <f>CHOOSE(CONTROL!$C$42, 10.4708, 10.4708) * CHOOSE(CONTROL!$C$21, $C$9, 100%, $E$9)</f>
        <v>10.470800000000001</v>
      </c>
      <c r="P329" s="10">
        <f>CHOOSE(CONTROL!$C$42, 10.2438, 10.2438) * CHOOSE(CONTROL!$C$21, $C$9, 100%, $E$9)</f>
        <v>10.2438</v>
      </c>
      <c r="Q329" s="10">
        <f>CHOOSE(CONTROL!$C$42, 11.0661, 11.0661) * CHOOSE(CONTROL!$C$21, $C$9, 100%, $E$9)</f>
        <v>11.0661</v>
      </c>
      <c r="R329" s="10">
        <f>CHOOSE(CONTROL!$C$42, 11.6808, 11.6808) * CHOOSE(CONTROL!$C$21, $C$9, 100%, $E$9)</f>
        <v>11.6808</v>
      </c>
      <c r="S329" s="10">
        <f>CHOOSE(CONTROL!$C$42, 10.0538, 10.0538) * CHOOSE(CONTROL!$C$21, $C$9, 100%, $E$9)</f>
        <v>10.053800000000001</v>
      </c>
      <c r="T329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329" s="58">
        <f>(1000*CHOOSE(CONTROL!$C$42, 695, 695)*CHOOSE(CONTROL!$C$42, 0.5599, 0.5599)*CHOOSE(CONTROL!$C$42, 31, 31))/1000000</f>
        <v>12.063045499999998</v>
      </c>
      <c r="V329" s="58">
        <f>(1000*CHOOSE(CONTROL!$C$42, 500, 500)*CHOOSE(CONTROL!$C$42, 0.275, 0.275)*CHOOSE(CONTROL!$C$42, 31, 31))/1000000</f>
        <v>4.2625000000000002</v>
      </c>
      <c r="W329" s="58">
        <f>(1000*CHOOSE(CONTROL!$C$42, 0.1146, 0.1146)*CHOOSE(CONTROL!$C$42, 121.5, 121.5)*CHOOSE(CONTROL!$C$42, 31, 31))/1000000</f>
        <v>0.43164089999999994</v>
      </c>
      <c r="X329" s="58">
        <f>(31*0.1790888*245000/1000000)+(31*0.2374*100000/1000000)</f>
        <v>2.0961194359999999</v>
      </c>
      <c r="Y329" s="58"/>
      <c r="Z329" s="10"/>
      <c r="AA329" s="57"/>
      <c r="AB329" s="51">
        <f>(B329*194.205+C329*267.466+D329*133.845+E329*53.484+F329*40+G329*185+H329*0+I329*100+J329*300)/(194.205+267.466+133.845+53.484+0+40+185+100+300)</f>
        <v>10.381248750235478</v>
      </c>
      <c r="AC329" s="27">
        <f>(M329*'RAP TEMPLATE-GAS AVAILABILITY'!O328+N329*'RAP TEMPLATE-GAS AVAILABILITY'!P328+O329*'RAP TEMPLATE-GAS AVAILABILITY'!Q328+P329*'RAP TEMPLATE-GAS AVAILABILITY'!R328)/('RAP TEMPLATE-GAS AVAILABILITY'!O328+'RAP TEMPLATE-GAS AVAILABILITY'!P328+'RAP TEMPLATE-GAS AVAILABILITY'!Q328+'RAP TEMPLATE-GAS AVAILABILITY'!R328)</f>
        <v>10.312958273381295</v>
      </c>
    </row>
    <row r="330" spans="1:29" ht="15.75" x14ac:dyDescent="0.25">
      <c r="A330" s="14">
        <v>51317</v>
      </c>
      <c r="B330" s="10">
        <f>CHOOSE(CONTROL!$C$42, 10.651, 10.651) * CHOOSE(CONTROL!$C$21, $C$9, 100%, $E$9)</f>
        <v>10.651</v>
      </c>
      <c r="C330" s="10">
        <f>CHOOSE(CONTROL!$C$42, 10.6589, 10.6589) * CHOOSE(CONTROL!$C$21, $C$9, 100%, $E$9)</f>
        <v>10.658899999999999</v>
      </c>
      <c r="D330" s="10">
        <f>CHOOSE(CONTROL!$C$42, 10.8375, 10.8375) * CHOOSE(CONTROL!$C$21, $C$9, 100%, $E$9)</f>
        <v>10.8375</v>
      </c>
      <c r="E330" s="10">
        <f>CHOOSE(CONTROL!$C$42, 10.8686, 10.8686) * CHOOSE(CONTROL!$C$21, $C$9, 100%, $E$9)</f>
        <v>10.868600000000001</v>
      </c>
      <c r="F330" s="10">
        <f>CHOOSE(CONTROL!$C$42, 10.6375, 10.6375)*CHOOSE(CONTROL!$C$21, $C$9, 100%, $E$9)</f>
        <v>10.637499999999999</v>
      </c>
      <c r="G330" s="10">
        <f>CHOOSE(CONTROL!$C$42, 10.6557, 10.6557)*CHOOSE(CONTROL!$C$21, $C$9, 100%, $E$9)</f>
        <v>10.6557</v>
      </c>
      <c r="H330" s="10">
        <f>CHOOSE(CONTROL!$C$42, 10.8572, 10.8572) * CHOOSE(CONTROL!$C$21, $C$9, 100%, $E$9)</f>
        <v>10.857200000000001</v>
      </c>
      <c r="I330" s="10">
        <f>CHOOSE(CONTROL!$C$42, 10.6279, 10.6279)* CHOOSE(CONTROL!$C$21, $C$9, 100%, $E$9)</f>
        <v>10.6279</v>
      </c>
      <c r="J330" s="10">
        <f>CHOOSE(CONTROL!$C$42, 10.6305, 10.6305)* CHOOSE(CONTROL!$C$21, $C$9, 100%, $E$9)</f>
        <v>10.6305</v>
      </c>
      <c r="K330" s="54">
        <f>CHOOSE(CONTROL!$C$42, 10.624, 10.624) * CHOOSE(CONTROL!$C$21, $C$9, 100%, $E$9)</f>
        <v>10.624000000000001</v>
      </c>
      <c r="L330" s="10">
        <f>CHOOSE(CONTROL!$C$42, 11.4442, 11.4442) * CHOOSE(CONTROL!$C$21, $C$9, 100%, $E$9)</f>
        <v>11.4442</v>
      </c>
      <c r="M330" s="10">
        <f>CHOOSE(CONTROL!$C$42, 10.537, 10.537) * CHOOSE(CONTROL!$C$21, $C$9, 100%, $E$9)</f>
        <v>10.537000000000001</v>
      </c>
      <c r="N330" s="10">
        <f>CHOOSE(CONTROL!$C$42, 10.5551, 10.5551) * CHOOSE(CONTROL!$C$21, $C$9, 100%, $E$9)</f>
        <v>10.555099999999999</v>
      </c>
      <c r="O330" s="10">
        <f>CHOOSE(CONTROL!$C$42, 10.7615, 10.7615) * CHOOSE(CONTROL!$C$21, $C$9, 100%, $E$9)</f>
        <v>10.7615</v>
      </c>
      <c r="P330" s="10">
        <f>CHOOSE(CONTROL!$C$42, 10.5345, 10.5345) * CHOOSE(CONTROL!$C$21, $C$9, 100%, $E$9)</f>
        <v>10.5345</v>
      </c>
      <c r="Q330" s="10">
        <f>CHOOSE(CONTROL!$C$42, 11.3568, 11.3568) * CHOOSE(CONTROL!$C$21, $C$9, 100%, $E$9)</f>
        <v>11.3568</v>
      </c>
      <c r="R330" s="10">
        <f>CHOOSE(CONTROL!$C$42, 11.9722, 11.9722) * CHOOSE(CONTROL!$C$21, $C$9, 100%, $E$9)</f>
        <v>11.972200000000001</v>
      </c>
      <c r="S330" s="10">
        <f>CHOOSE(CONTROL!$C$42, 10.339, 10.339) * CHOOSE(CONTROL!$C$21, $C$9, 100%, $E$9)</f>
        <v>10.339</v>
      </c>
      <c r="T330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330" s="58">
        <f>(1000*CHOOSE(CONTROL!$C$42, 695, 695)*CHOOSE(CONTROL!$C$42, 0.5599, 0.5599)*CHOOSE(CONTROL!$C$42, 30, 30))/1000000</f>
        <v>11.673914999999997</v>
      </c>
      <c r="V330" s="58">
        <f>(1000*CHOOSE(CONTROL!$C$42, 500, 500)*CHOOSE(CONTROL!$C$42, 0.275, 0.275)*CHOOSE(CONTROL!$C$42, 30, 30))/1000000</f>
        <v>4.125</v>
      </c>
      <c r="W330" s="58">
        <f>(1000*CHOOSE(CONTROL!$C$42, 0.1146, 0.1146)*CHOOSE(CONTROL!$C$42, 121.5, 121.5)*CHOOSE(CONTROL!$C$42, 30, 30))/1000000</f>
        <v>0.417717</v>
      </c>
      <c r="X330" s="58">
        <f>(30*0.1790888*245000/1000000)+(30*0.2374*100000/1000000)</f>
        <v>2.0285026799999999</v>
      </c>
      <c r="Y330" s="58"/>
      <c r="Z330" s="10"/>
      <c r="AA330" s="57"/>
      <c r="AB330" s="51">
        <f>(B330*194.205+C330*267.466+D330*133.845+E330*53.484+F330*40+G330*185+H330*0+I330*100+J330*300)/(194.205+267.466+133.845+53.484+0+40+185+100+300)</f>
        <v>10.675005252982732</v>
      </c>
      <c r="AC330" s="27">
        <f>(M330*'RAP TEMPLATE-GAS AVAILABILITY'!O329+N330*'RAP TEMPLATE-GAS AVAILABILITY'!P329+O330*'RAP TEMPLATE-GAS AVAILABILITY'!Q329+P330*'RAP TEMPLATE-GAS AVAILABILITY'!R329)/('RAP TEMPLATE-GAS AVAILABILITY'!O329+'RAP TEMPLATE-GAS AVAILABILITY'!P329+'RAP TEMPLATE-GAS AVAILABILITY'!Q329+'RAP TEMPLATE-GAS AVAILABILITY'!R329)</f>
        <v>10.603796402877698</v>
      </c>
    </row>
    <row r="331" spans="1:29" ht="15.75" x14ac:dyDescent="0.25">
      <c r="A331" s="14">
        <v>51348</v>
      </c>
      <c r="B331" s="10">
        <f>CHOOSE(CONTROL!$C$42, 10.4468, 10.4468) * CHOOSE(CONTROL!$C$21, $C$9, 100%, $E$9)</f>
        <v>10.4468</v>
      </c>
      <c r="C331" s="10">
        <f>CHOOSE(CONTROL!$C$42, 10.4547, 10.4547) * CHOOSE(CONTROL!$C$21, $C$9, 100%, $E$9)</f>
        <v>10.454700000000001</v>
      </c>
      <c r="D331" s="10">
        <f>CHOOSE(CONTROL!$C$42, 10.6332, 10.6332) * CHOOSE(CONTROL!$C$21, $C$9, 100%, $E$9)</f>
        <v>10.6332</v>
      </c>
      <c r="E331" s="10">
        <f>CHOOSE(CONTROL!$C$42, 10.6644, 10.6644) * CHOOSE(CONTROL!$C$21, $C$9, 100%, $E$9)</f>
        <v>10.664400000000001</v>
      </c>
      <c r="F331" s="10">
        <f>CHOOSE(CONTROL!$C$42, 10.4335, 10.4335)*CHOOSE(CONTROL!$C$21, $C$9, 100%, $E$9)</f>
        <v>10.4335</v>
      </c>
      <c r="G331" s="10">
        <f>CHOOSE(CONTROL!$C$42, 10.4518, 10.4518)*CHOOSE(CONTROL!$C$21, $C$9, 100%, $E$9)</f>
        <v>10.4518</v>
      </c>
      <c r="H331" s="10">
        <f>CHOOSE(CONTROL!$C$42, 10.653, 10.653) * CHOOSE(CONTROL!$C$21, $C$9, 100%, $E$9)</f>
        <v>10.653</v>
      </c>
      <c r="I331" s="10">
        <f>CHOOSE(CONTROL!$C$42, 10.4237, 10.4237)* CHOOSE(CONTROL!$C$21, $C$9, 100%, $E$9)</f>
        <v>10.4237</v>
      </c>
      <c r="J331" s="10">
        <f>CHOOSE(CONTROL!$C$42, 10.4265, 10.4265)* CHOOSE(CONTROL!$C$21, $C$9, 100%, $E$9)</f>
        <v>10.426500000000001</v>
      </c>
      <c r="K331" s="54">
        <f>CHOOSE(CONTROL!$C$42, 10.4198, 10.4198) * CHOOSE(CONTROL!$C$21, $C$9, 100%, $E$9)</f>
        <v>10.4198</v>
      </c>
      <c r="L331" s="10">
        <f>CHOOSE(CONTROL!$C$42, 11.24, 11.24) * CHOOSE(CONTROL!$C$21, $C$9, 100%, $E$9)</f>
        <v>11.24</v>
      </c>
      <c r="M331" s="10">
        <f>CHOOSE(CONTROL!$C$42, 10.3351, 10.3351) * CHOOSE(CONTROL!$C$21, $C$9, 100%, $E$9)</f>
        <v>10.335100000000001</v>
      </c>
      <c r="N331" s="10">
        <f>CHOOSE(CONTROL!$C$42, 10.3532, 10.3532) * CHOOSE(CONTROL!$C$21, $C$9, 100%, $E$9)</f>
        <v>10.353199999999999</v>
      </c>
      <c r="O331" s="10">
        <f>CHOOSE(CONTROL!$C$42, 10.5593, 10.5593) * CHOOSE(CONTROL!$C$21, $C$9, 100%, $E$9)</f>
        <v>10.5593</v>
      </c>
      <c r="P331" s="10">
        <f>CHOOSE(CONTROL!$C$42, 10.3323, 10.3323) * CHOOSE(CONTROL!$C$21, $C$9, 100%, $E$9)</f>
        <v>10.3323</v>
      </c>
      <c r="Q331" s="10">
        <f>CHOOSE(CONTROL!$C$42, 11.1546, 11.1546) * CHOOSE(CONTROL!$C$21, $C$9, 100%, $E$9)</f>
        <v>11.1546</v>
      </c>
      <c r="R331" s="10">
        <f>CHOOSE(CONTROL!$C$42, 11.7695, 11.7695) * CHOOSE(CONTROL!$C$21, $C$9, 100%, $E$9)</f>
        <v>11.769500000000001</v>
      </c>
      <c r="S331" s="10">
        <f>CHOOSE(CONTROL!$C$42, 10.1406, 10.1406) * CHOOSE(CONTROL!$C$21, $C$9, 100%, $E$9)</f>
        <v>10.140599999999999</v>
      </c>
      <c r="T331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331" s="58">
        <f>(1000*CHOOSE(CONTROL!$C$42, 695, 695)*CHOOSE(CONTROL!$C$42, 0.5599, 0.5599)*CHOOSE(CONTROL!$C$42, 31, 31))/1000000</f>
        <v>12.063045499999998</v>
      </c>
      <c r="V331" s="58">
        <f>(1000*CHOOSE(CONTROL!$C$42, 500, 500)*CHOOSE(CONTROL!$C$42, 0.275, 0.275)*CHOOSE(CONTROL!$C$42, 31, 31))/1000000</f>
        <v>4.2625000000000002</v>
      </c>
      <c r="W331" s="58">
        <f>(1000*CHOOSE(CONTROL!$C$42, 0.1146, 0.1146)*CHOOSE(CONTROL!$C$42, 121.5, 121.5)*CHOOSE(CONTROL!$C$42, 31, 31))/1000000</f>
        <v>0.43164089999999994</v>
      </c>
      <c r="X331" s="58">
        <f>(31*0.1790888*245000/1000000)+(31*0.2374*100000/1000000)</f>
        <v>2.0961194359999999</v>
      </c>
      <c r="Y331" s="58"/>
      <c r="Z331" s="10"/>
      <c r="AA331" s="57"/>
      <c r="AB331" s="51">
        <f>(B331*194.205+C331*267.466+D331*133.845+E331*53.484+F331*40+G331*185+H331*0+I331*100+J331*300)/(194.205+267.466+133.845+53.484+0+40+185+100+300)</f>
        <v>10.470891685871273</v>
      </c>
      <c r="AC331" s="27">
        <f>(M331*'RAP TEMPLATE-GAS AVAILABILITY'!O330+N331*'RAP TEMPLATE-GAS AVAILABILITY'!P330+O331*'RAP TEMPLATE-GAS AVAILABILITY'!Q330+P331*'RAP TEMPLATE-GAS AVAILABILITY'!R330)/('RAP TEMPLATE-GAS AVAILABILITY'!O330+'RAP TEMPLATE-GAS AVAILABILITY'!P330+'RAP TEMPLATE-GAS AVAILABILITY'!Q330+'RAP TEMPLATE-GAS AVAILABILITY'!R330)</f>
        <v>10.401769064748201</v>
      </c>
    </row>
    <row r="332" spans="1:29" ht="15.75" x14ac:dyDescent="0.25">
      <c r="A332" s="14">
        <v>51379</v>
      </c>
      <c r="B332" s="10">
        <f>CHOOSE(CONTROL!$C$42, 9.931, 9.931) * CHOOSE(CONTROL!$C$21, $C$9, 100%, $E$9)</f>
        <v>9.9309999999999992</v>
      </c>
      <c r="C332" s="10">
        <f>CHOOSE(CONTROL!$C$42, 9.939, 9.939) * CHOOSE(CONTROL!$C$21, $C$9, 100%, $E$9)</f>
        <v>9.9390000000000001</v>
      </c>
      <c r="D332" s="10">
        <f>CHOOSE(CONTROL!$C$42, 10.1175, 10.1175) * CHOOSE(CONTROL!$C$21, $C$9, 100%, $E$9)</f>
        <v>10.1175</v>
      </c>
      <c r="E332" s="10">
        <f>CHOOSE(CONTROL!$C$42, 10.1486, 10.1486) * CHOOSE(CONTROL!$C$21, $C$9, 100%, $E$9)</f>
        <v>10.1486</v>
      </c>
      <c r="F332" s="10">
        <f>CHOOSE(CONTROL!$C$42, 9.9177, 9.9177)*CHOOSE(CONTROL!$C$21, $C$9, 100%, $E$9)</f>
        <v>9.9177</v>
      </c>
      <c r="G332" s="10">
        <f>CHOOSE(CONTROL!$C$42, 9.936, 9.936)*CHOOSE(CONTROL!$C$21, $C$9, 100%, $E$9)</f>
        <v>9.9359999999999999</v>
      </c>
      <c r="H332" s="10">
        <f>CHOOSE(CONTROL!$C$42, 10.1373, 10.1373) * CHOOSE(CONTROL!$C$21, $C$9, 100%, $E$9)</f>
        <v>10.1373</v>
      </c>
      <c r="I332" s="10">
        <f>CHOOSE(CONTROL!$C$42, 9.9079, 9.9079)* CHOOSE(CONTROL!$C$21, $C$9, 100%, $E$9)</f>
        <v>9.9078999999999997</v>
      </c>
      <c r="J332" s="10">
        <f>CHOOSE(CONTROL!$C$42, 9.9107, 9.9107)* CHOOSE(CONTROL!$C$21, $C$9, 100%, $E$9)</f>
        <v>9.9107000000000003</v>
      </c>
      <c r="K332" s="54">
        <f>CHOOSE(CONTROL!$C$42, 9.904, 9.904) * CHOOSE(CONTROL!$C$21, $C$9, 100%, $E$9)</f>
        <v>9.9039999999999999</v>
      </c>
      <c r="L332" s="10">
        <f>CHOOSE(CONTROL!$C$42, 10.7243, 10.7243) * CHOOSE(CONTROL!$C$21, $C$9, 100%, $E$9)</f>
        <v>10.724299999999999</v>
      </c>
      <c r="M332" s="10">
        <f>CHOOSE(CONTROL!$C$42, 9.8245, 9.8245) * CHOOSE(CONTROL!$C$21, $C$9, 100%, $E$9)</f>
        <v>9.8245000000000005</v>
      </c>
      <c r="N332" s="10">
        <f>CHOOSE(CONTROL!$C$42, 9.8426, 9.8426) * CHOOSE(CONTROL!$C$21, $C$9, 100%, $E$9)</f>
        <v>9.8425999999999991</v>
      </c>
      <c r="O332" s="10">
        <f>CHOOSE(CONTROL!$C$42, 10.0488, 10.0488) * CHOOSE(CONTROL!$C$21, $C$9, 100%, $E$9)</f>
        <v>10.0488</v>
      </c>
      <c r="P332" s="10">
        <f>CHOOSE(CONTROL!$C$42, 9.8218, 9.8218) * CHOOSE(CONTROL!$C$21, $C$9, 100%, $E$9)</f>
        <v>9.8217999999999996</v>
      </c>
      <c r="Q332" s="10">
        <f>CHOOSE(CONTROL!$C$42, 10.6441, 10.6441) * CHOOSE(CONTROL!$C$21, $C$9, 100%, $E$9)</f>
        <v>10.6441</v>
      </c>
      <c r="R332" s="10">
        <f>CHOOSE(CONTROL!$C$42, 11.2577, 11.2577) * CHOOSE(CONTROL!$C$21, $C$9, 100%, $E$9)</f>
        <v>11.2577</v>
      </c>
      <c r="S332" s="10">
        <f>CHOOSE(CONTROL!$C$42, 9.6398, 9.6398) * CHOOSE(CONTROL!$C$21, $C$9, 100%, $E$9)</f>
        <v>9.6397999999999993</v>
      </c>
      <c r="T332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332" s="58">
        <f>(1000*CHOOSE(CONTROL!$C$42, 695, 695)*CHOOSE(CONTROL!$C$42, 0.5599, 0.5599)*CHOOSE(CONTROL!$C$42, 31, 31))/1000000</f>
        <v>12.063045499999998</v>
      </c>
      <c r="V332" s="58">
        <f>(1000*CHOOSE(CONTROL!$C$42, 500, 500)*CHOOSE(CONTROL!$C$42, 0.275, 0.275)*CHOOSE(CONTROL!$C$42, 31, 31))/1000000</f>
        <v>4.2625000000000002</v>
      </c>
      <c r="W332" s="58">
        <f>(1000*CHOOSE(CONTROL!$C$42, 0.1146, 0.1146)*CHOOSE(CONTROL!$C$42, 121.5, 121.5)*CHOOSE(CONTROL!$C$42, 31, 31))/1000000</f>
        <v>0.43164089999999994</v>
      </c>
      <c r="X332" s="58">
        <f>(31*0.1790888*245000/1000000)+(31*0.2374*100000/1000000)</f>
        <v>2.0961194359999999</v>
      </c>
      <c r="Y332" s="58"/>
      <c r="Z332" s="10"/>
      <c r="AA332" s="57"/>
      <c r="AB332" s="51">
        <f>(B332*194.205+C332*267.466+D332*133.845+E332*53.484+F332*40+G332*185+H332*0+I332*100+J332*300)/(194.205+267.466+133.845+53.484+0+40+185+100+300)</f>
        <v>9.9551231859497662</v>
      </c>
      <c r="AC332" s="27">
        <f>(M332*'RAP TEMPLATE-GAS AVAILABILITY'!O331+N332*'RAP TEMPLATE-GAS AVAILABILITY'!P331+O332*'RAP TEMPLATE-GAS AVAILABILITY'!Q331+P332*'RAP TEMPLATE-GAS AVAILABILITY'!R331)/('RAP TEMPLATE-GAS AVAILABILITY'!O331+'RAP TEMPLATE-GAS AVAILABILITY'!P331+'RAP TEMPLATE-GAS AVAILABILITY'!Q331+'RAP TEMPLATE-GAS AVAILABILITY'!R331)</f>
        <v>9.8912115107913667</v>
      </c>
    </row>
    <row r="333" spans="1:29" ht="15.75" x14ac:dyDescent="0.25">
      <c r="A333" s="14">
        <v>51409</v>
      </c>
      <c r="B333" s="10">
        <f>CHOOSE(CONTROL!$C$42, 9.3009, 9.3009) * CHOOSE(CONTROL!$C$21, $C$9, 100%, $E$9)</f>
        <v>9.3009000000000004</v>
      </c>
      <c r="C333" s="10">
        <f>CHOOSE(CONTROL!$C$42, 9.3088, 9.3088) * CHOOSE(CONTROL!$C$21, $C$9, 100%, $E$9)</f>
        <v>9.3087999999999997</v>
      </c>
      <c r="D333" s="10">
        <f>CHOOSE(CONTROL!$C$42, 9.4873, 9.4873) * CHOOSE(CONTROL!$C$21, $C$9, 100%, $E$9)</f>
        <v>9.4872999999999994</v>
      </c>
      <c r="E333" s="10">
        <f>CHOOSE(CONTROL!$C$42, 9.5185, 9.5185) * CHOOSE(CONTROL!$C$21, $C$9, 100%, $E$9)</f>
        <v>9.5184999999999995</v>
      </c>
      <c r="F333" s="10">
        <f>CHOOSE(CONTROL!$C$42, 9.2873, 9.2873)*CHOOSE(CONTROL!$C$21, $C$9, 100%, $E$9)</f>
        <v>9.2873000000000001</v>
      </c>
      <c r="G333" s="10">
        <f>CHOOSE(CONTROL!$C$42, 9.3055, 9.3055)*CHOOSE(CONTROL!$C$21, $C$9, 100%, $E$9)</f>
        <v>9.3055000000000003</v>
      </c>
      <c r="H333" s="10">
        <f>CHOOSE(CONTROL!$C$42, 9.5071, 9.5071) * CHOOSE(CONTROL!$C$21, $C$9, 100%, $E$9)</f>
        <v>9.5070999999999994</v>
      </c>
      <c r="I333" s="10">
        <f>CHOOSE(CONTROL!$C$42, 9.2778, 9.2778)* CHOOSE(CONTROL!$C$21, $C$9, 100%, $E$9)</f>
        <v>9.2777999999999992</v>
      </c>
      <c r="J333" s="10">
        <f>CHOOSE(CONTROL!$C$42, 9.2803, 9.2803)* CHOOSE(CONTROL!$C$21, $C$9, 100%, $E$9)</f>
        <v>9.2803000000000004</v>
      </c>
      <c r="K333" s="54">
        <f>CHOOSE(CONTROL!$C$42, 9.2739, 9.2739) * CHOOSE(CONTROL!$C$21, $C$9, 100%, $E$9)</f>
        <v>9.2738999999999994</v>
      </c>
      <c r="L333" s="10">
        <f>CHOOSE(CONTROL!$C$42, 10.0941, 10.0941) * CHOOSE(CONTROL!$C$21, $C$9, 100%, $E$9)</f>
        <v>10.094099999999999</v>
      </c>
      <c r="M333" s="10">
        <f>CHOOSE(CONTROL!$C$42, 9.2004, 9.2004) * CHOOSE(CONTROL!$C$21, $C$9, 100%, $E$9)</f>
        <v>9.2004000000000001</v>
      </c>
      <c r="N333" s="10">
        <f>CHOOSE(CONTROL!$C$42, 9.2185, 9.2185) * CHOOSE(CONTROL!$C$21, $C$9, 100%, $E$9)</f>
        <v>9.2185000000000006</v>
      </c>
      <c r="O333" s="10">
        <f>CHOOSE(CONTROL!$C$42, 9.425, 9.425) * CHOOSE(CONTROL!$C$21, $C$9, 100%, $E$9)</f>
        <v>9.4250000000000007</v>
      </c>
      <c r="P333" s="10">
        <f>CHOOSE(CONTROL!$C$42, 9.198, 9.198) * CHOOSE(CONTROL!$C$21, $C$9, 100%, $E$9)</f>
        <v>9.1980000000000004</v>
      </c>
      <c r="Q333" s="10">
        <f>CHOOSE(CONTROL!$C$42, 10.0203, 10.0203) * CHOOSE(CONTROL!$C$21, $C$9, 100%, $E$9)</f>
        <v>10.020300000000001</v>
      </c>
      <c r="R333" s="10">
        <f>CHOOSE(CONTROL!$C$42, 10.6323, 10.6323) * CHOOSE(CONTROL!$C$21, $C$9, 100%, $E$9)</f>
        <v>10.632300000000001</v>
      </c>
      <c r="S333" s="10">
        <f>CHOOSE(CONTROL!$C$42, 9.0278, 9.0278) * CHOOSE(CONTROL!$C$21, $C$9, 100%, $E$9)</f>
        <v>9.0277999999999992</v>
      </c>
      <c r="T333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333" s="58">
        <f>(1000*CHOOSE(CONTROL!$C$42, 695, 695)*CHOOSE(CONTROL!$C$42, 0.5599, 0.5599)*CHOOSE(CONTROL!$C$42, 30, 30))/1000000</f>
        <v>11.673914999999997</v>
      </c>
      <c r="V333" s="58">
        <f>(1000*CHOOSE(CONTROL!$C$42, 500, 500)*CHOOSE(CONTROL!$C$42, 0.275, 0.275)*CHOOSE(CONTROL!$C$42, 30, 30))/1000000</f>
        <v>4.125</v>
      </c>
      <c r="W333" s="58">
        <f>(1000*CHOOSE(CONTROL!$C$42, 0.1146, 0.1146)*CHOOSE(CONTROL!$C$42, 121.5, 121.5)*CHOOSE(CONTROL!$C$42, 30, 30))/1000000</f>
        <v>0.417717</v>
      </c>
      <c r="X333" s="58">
        <f>(30*0.1790888*245000/1000000)+(30*0.2374*100000/1000000)</f>
        <v>2.0285026799999999</v>
      </c>
      <c r="Y333" s="58"/>
      <c r="Z333" s="10"/>
      <c r="AA333" s="57"/>
      <c r="AB333" s="51">
        <f>(B333*194.205+C333*267.466+D333*133.845+E333*53.484+F333*40+G333*185+H333*0+I333*100+J333*300)/(194.205+267.466+133.845+53.484+0+40+185+100+300)</f>
        <v>9.3248535383045539</v>
      </c>
      <c r="AC333" s="27">
        <f>(M333*'RAP TEMPLATE-GAS AVAILABILITY'!O332+N333*'RAP TEMPLATE-GAS AVAILABILITY'!P332+O333*'RAP TEMPLATE-GAS AVAILABILITY'!Q332+P333*'RAP TEMPLATE-GAS AVAILABILITY'!R332)/('RAP TEMPLATE-GAS AVAILABILITY'!O332+'RAP TEMPLATE-GAS AVAILABILITY'!P332+'RAP TEMPLATE-GAS AVAILABILITY'!Q332+'RAP TEMPLATE-GAS AVAILABILITY'!R332)</f>
        <v>9.267238848920865</v>
      </c>
    </row>
    <row r="334" spans="1:29" ht="15.75" x14ac:dyDescent="0.25">
      <c r="A334" s="14">
        <v>51440</v>
      </c>
      <c r="B334" s="10">
        <f>CHOOSE(CONTROL!$C$42, 9.11, 9.11) * CHOOSE(CONTROL!$C$21, $C$9, 100%, $E$9)</f>
        <v>9.11</v>
      </c>
      <c r="C334" s="10">
        <f>CHOOSE(CONTROL!$C$42, 9.1152, 9.1152) * CHOOSE(CONTROL!$C$21, $C$9, 100%, $E$9)</f>
        <v>9.1151999999999997</v>
      </c>
      <c r="D334" s="10">
        <f>CHOOSE(CONTROL!$C$42, 9.2987, 9.2987) * CHOOSE(CONTROL!$C$21, $C$9, 100%, $E$9)</f>
        <v>9.2987000000000002</v>
      </c>
      <c r="E334" s="10">
        <f>CHOOSE(CONTROL!$C$42, 9.3275, 9.3275) * CHOOSE(CONTROL!$C$21, $C$9, 100%, $E$9)</f>
        <v>9.3275000000000006</v>
      </c>
      <c r="F334" s="10">
        <f>CHOOSE(CONTROL!$C$42, 9.0983, 9.0983)*CHOOSE(CONTROL!$C$21, $C$9, 100%, $E$9)</f>
        <v>9.0983000000000001</v>
      </c>
      <c r="G334" s="10">
        <f>CHOOSE(CONTROL!$C$42, 9.1162, 9.1162)*CHOOSE(CONTROL!$C$21, $C$9, 100%, $E$9)</f>
        <v>9.1161999999999992</v>
      </c>
      <c r="H334" s="10">
        <f>CHOOSE(CONTROL!$C$42, 9.318, 9.318) * CHOOSE(CONTROL!$C$21, $C$9, 100%, $E$9)</f>
        <v>9.3179999999999996</v>
      </c>
      <c r="I334" s="10">
        <f>CHOOSE(CONTROL!$C$42, 9.0886, 9.0886)* CHOOSE(CONTROL!$C$21, $C$9, 100%, $E$9)</f>
        <v>9.0885999999999996</v>
      </c>
      <c r="J334" s="10">
        <f>CHOOSE(CONTROL!$C$42, 9.0913, 9.0913)* CHOOSE(CONTROL!$C$21, $C$9, 100%, $E$9)</f>
        <v>9.0913000000000004</v>
      </c>
      <c r="K334" s="54">
        <f>CHOOSE(CONTROL!$C$42, 9.0847, 9.0847) * CHOOSE(CONTROL!$C$21, $C$9, 100%, $E$9)</f>
        <v>9.0846999999999998</v>
      </c>
      <c r="L334" s="10">
        <f>CHOOSE(CONTROL!$C$42, 9.905, 9.905) * CHOOSE(CONTROL!$C$21, $C$9, 100%, $E$9)</f>
        <v>9.9049999999999994</v>
      </c>
      <c r="M334" s="10">
        <f>CHOOSE(CONTROL!$C$42, 9.0134, 9.0134) * CHOOSE(CONTROL!$C$21, $C$9, 100%, $E$9)</f>
        <v>9.0134000000000007</v>
      </c>
      <c r="N334" s="10">
        <f>CHOOSE(CONTROL!$C$42, 9.0311, 9.0311) * CHOOSE(CONTROL!$C$21, $C$9, 100%, $E$9)</f>
        <v>9.0311000000000003</v>
      </c>
      <c r="O334" s="10">
        <f>CHOOSE(CONTROL!$C$42, 9.2378, 9.2378) * CHOOSE(CONTROL!$C$21, $C$9, 100%, $E$9)</f>
        <v>9.2378</v>
      </c>
      <c r="P334" s="10">
        <f>CHOOSE(CONTROL!$C$42, 9.0108, 9.0108) * CHOOSE(CONTROL!$C$21, $C$9, 100%, $E$9)</f>
        <v>9.0107999999999997</v>
      </c>
      <c r="Q334" s="10">
        <f>CHOOSE(CONTROL!$C$42, 9.8331, 9.8331) * CHOOSE(CONTROL!$C$21, $C$9, 100%, $E$9)</f>
        <v>9.8331</v>
      </c>
      <c r="R334" s="10">
        <f>CHOOSE(CONTROL!$C$42, 10.4447, 10.4447) * CHOOSE(CONTROL!$C$21, $C$9, 100%, $E$9)</f>
        <v>10.444699999999999</v>
      </c>
      <c r="S334" s="10">
        <f>CHOOSE(CONTROL!$C$42, 8.8442, 8.8442) * CHOOSE(CONTROL!$C$21, $C$9, 100%, $E$9)</f>
        <v>8.8442000000000007</v>
      </c>
      <c r="T334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34" s="58">
        <f>(1000*CHOOSE(CONTROL!$C$42, 695, 695)*CHOOSE(CONTROL!$C$42, 0.5599, 0.5599)*CHOOSE(CONTROL!$C$42, 31, 31))/1000000</f>
        <v>12.063045499999998</v>
      </c>
      <c r="V334" s="58">
        <f>(1000*CHOOSE(CONTROL!$C$42, 500, 500)*CHOOSE(CONTROL!$C$42, 0.275, 0.275)*CHOOSE(CONTROL!$C$42, 31, 31))/1000000</f>
        <v>4.2625000000000002</v>
      </c>
      <c r="W334" s="58">
        <f>(1000*CHOOSE(CONTROL!$C$42, 0.1146, 0.1146)*CHOOSE(CONTROL!$C$42, 121.5, 121.5)*CHOOSE(CONTROL!$C$42, 31, 31))/1000000</f>
        <v>0.43164089999999994</v>
      </c>
      <c r="X334" s="58">
        <f>(31*0.1790888*245000/1000000)+(31*0.2374*100000/1000000)</f>
        <v>2.0961194359999999</v>
      </c>
      <c r="Y334" s="58"/>
      <c r="Z334" s="10"/>
      <c r="AA334" s="57"/>
      <c r="AB334" s="51">
        <f>(B334*131.881+C334*277.167+D334*79.08+E334*125.872+F334*40+G334*185+H334*0+I334*100+J334*300)/(131.881+277.167+79.08+125.872+0+40+185+100+300)</f>
        <v>9.139596307021792</v>
      </c>
      <c r="AC334" s="27">
        <f>(M334*'RAP TEMPLATE-GAS AVAILABILITY'!O333+N334*'RAP TEMPLATE-GAS AVAILABILITY'!P333+O334*'RAP TEMPLATE-GAS AVAILABILITY'!Q333+P334*'RAP TEMPLATE-GAS AVAILABILITY'!R333)/('RAP TEMPLATE-GAS AVAILABILITY'!O333+'RAP TEMPLATE-GAS AVAILABILITY'!P333+'RAP TEMPLATE-GAS AVAILABILITY'!Q333+'RAP TEMPLATE-GAS AVAILABILITY'!R333)</f>
        <v>9.0800618705035969</v>
      </c>
    </row>
    <row r="335" spans="1:29" ht="15.75" x14ac:dyDescent="0.25">
      <c r="A335" s="14">
        <v>51470</v>
      </c>
      <c r="B335" s="10">
        <f>CHOOSE(CONTROL!$C$42, 9.3495, 9.3495) * CHOOSE(CONTROL!$C$21, $C$9, 100%, $E$9)</f>
        <v>9.3495000000000008</v>
      </c>
      <c r="C335" s="10">
        <f>CHOOSE(CONTROL!$C$42, 9.3545, 9.3545) * CHOOSE(CONTROL!$C$21, $C$9, 100%, $E$9)</f>
        <v>9.3544999999999998</v>
      </c>
      <c r="D335" s="10">
        <f>CHOOSE(CONTROL!$C$42, 9.3841, 9.3841) * CHOOSE(CONTROL!$C$21, $C$9, 100%, $E$9)</f>
        <v>9.3841000000000001</v>
      </c>
      <c r="E335" s="10">
        <f>CHOOSE(CONTROL!$C$42, 9.4178, 9.4178) * CHOOSE(CONTROL!$C$21, $C$9, 100%, $E$9)</f>
        <v>9.4177999999999997</v>
      </c>
      <c r="F335" s="10">
        <f>CHOOSE(CONTROL!$C$42, 9.3353, 9.3353)*CHOOSE(CONTROL!$C$21, $C$9, 100%, $E$9)</f>
        <v>9.3353000000000002</v>
      </c>
      <c r="G335" s="10">
        <f>CHOOSE(CONTROL!$C$42, 9.3533, 9.3533)*CHOOSE(CONTROL!$C$21, $C$9, 100%, $E$9)</f>
        <v>9.3533000000000008</v>
      </c>
      <c r="H335" s="10">
        <f>CHOOSE(CONTROL!$C$42, 9.407, 9.407) * CHOOSE(CONTROL!$C$21, $C$9, 100%, $E$9)</f>
        <v>9.407</v>
      </c>
      <c r="I335" s="10">
        <f>CHOOSE(CONTROL!$C$42, 9.3157, 9.3157)* CHOOSE(CONTROL!$C$21, $C$9, 100%, $E$9)</f>
        <v>9.3156999999999996</v>
      </c>
      <c r="J335" s="10">
        <f>CHOOSE(CONTROL!$C$42, 9.3283, 9.3283)* CHOOSE(CONTROL!$C$21, $C$9, 100%, $E$9)</f>
        <v>9.3283000000000005</v>
      </c>
      <c r="K335" s="54">
        <f>CHOOSE(CONTROL!$C$42, 9.3118, 9.3118) * CHOOSE(CONTROL!$C$21, $C$9, 100%, $E$9)</f>
        <v>9.3117999999999999</v>
      </c>
      <c r="L335" s="10">
        <f>CHOOSE(CONTROL!$C$42, 9.994, 9.994) * CHOOSE(CONTROL!$C$21, $C$9, 100%, $E$9)</f>
        <v>9.9939999999999998</v>
      </c>
      <c r="M335" s="10">
        <f>CHOOSE(CONTROL!$C$42, 9.2479, 9.2479) * CHOOSE(CONTROL!$C$21, $C$9, 100%, $E$9)</f>
        <v>9.2478999999999996</v>
      </c>
      <c r="N335" s="10">
        <f>CHOOSE(CONTROL!$C$42, 9.2658, 9.2658) * CHOOSE(CONTROL!$C$21, $C$9, 100%, $E$9)</f>
        <v>9.2658000000000005</v>
      </c>
      <c r="O335" s="10">
        <f>CHOOSE(CONTROL!$C$42, 9.3259, 9.3259) * CHOOSE(CONTROL!$C$21, $C$9, 100%, $E$9)</f>
        <v>9.3259000000000007</v>
      </c>
      <c r="P335" s="10">
        <f>CHOOSE(CONTROL!$C$42, 9.2355, 9.2355) * CHOOSE(CONTROL!$C$21, $C$9, 100%, $E$9)</f>
        <v>9.2355</v>
      </c>
      <c r="Q335" s="10">
        <f>CHOOSE(CONTROL!$C$42, 9.9212, 9.9212) * CHOOSE(CONTROL!$C$21, $C$9, 100%, $E$9)</f>
        <v>9.9212000000000007</v>
      </c>
      <c r="R335" s="10">
        <f>CHOOSE(CONTROL!$C$42, 10.533, 10.533) * CHOOSE(CONTROL!$C$21, $C$9, 100%, $E$9)</f>
        <v>10.532999999999999</v>
      </c>
      <c r="S335" s="10">
        <f>CHOOSE(CONTROL!$C$42, 9.0772, 9.0772) * CHOOSE(CONTROL!$C$21, $C$9, 100%, $E$9)</f>
        <v>9.0771999999999995</v>
      </c>
      <c r="T335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35" s="58">
        <f>(1000*CHOOSE(CONTROL!$C$42, 695, 695)*CHOOSE(CONTROL!$C$42, 0.5599, 0.5599)*CHOOSE(CONTROL!$C$42, 30, 30))/1000000</f>
        <v>11.673914999999997</v>
      </c>
      <c r="V335" s="58">
        <f>(1000*CHOOSE(CONTROL!$C$42, 500, 500)*CHOOSE(CONTROL!$C$42, 0.275, 0.275)*CHOOSE(CONTROL!$C$42, 30, 30))/1000000</f>
        <v>4.125</v>
      </c>
      <c r="W335" s="58">
        <f>(1000*CHOOSE(CONTROL!$C$42, 0.1146, 0.1146)*CHOOSE(CONTROL!$C$42, 121.5, 121.5)*CHOOSE(CONTROL!$C$42, 30, 30))/1000000</f>
        <v>0.417717</v>
      </c>
      <c r="X335" s="58">
        <f>(30*0.1790888*100000/1000000)+(30*0.2374*100000/1000000)</f>
        <v>1.2494664</v>
      </c>
      <c r="Y335" s="58"/>
      <c r="Z335" s="10"/>
      <c r="AA335" s="57"/>
      <c r="AB335" s="51">
        <f>(B335*122.58+C335*297.941+D335*89.177+E335*40.302+F335*40+G335*160+H335*0+I335*100+J335*300)/(122.58+297.941+89.177+40.302+0+40+160+100+300)</f>
        <v>9.3474372659130438</v>
      </c>
      <c r="AC335" s="27">
        <f>(M335*'RAP TEMPLATE-GAS AVAILABILITY'!O334+N335*'RAP TEMPLATE-GAS AVAILABILITY'!P334+O335*'RAP TEMPLATE-GAS AVAILABILITY'!Q334+P335*'RAP TEMPLATE-GAS AVAILABILITY'!R334)/('RAP TEMPLATE-GAS AVAILABILITY'!O334+'RAP TEMPLATE-GAS AVAILABILITY'!P334+'RAP TEMPLATE-GAS AVAILABILITY'!Q334+'RAP TEMPLATE-GAS AVAILABILITY'!R334)</f>
        <v>9.2824985611510797</v>
      </c>
    </row>
    <row r="336" spans="1:29" ht="15.75" x14ac:dyDescent="0.25">
      <c r="A336" s="14">
        <v>51501</v>
      </c>
      <c r="B336" s="10">
        <f>CHOOSE(CONTROL!$C$42, 9.9867, 9.9867) * CHOOSE(CONTROL!$C$21, $C$9, 100%, $E$9)</f>
        <v>9.9867000000000008</v>
      </c>
      <c r="C336" s="10">
        <f>CHOOSE(CONTROL!$C$42, 9.9917, 9.9917) * CHOOSE(CONTROL!$C$21, $C$9, 100%, $E$9)</f>
        <v>9.9916999999999998</v>
      </c>
      <c r="D336" s="10">
        <f>CHOOSE(CONTROL!$C$42, 10.0213, 10.0213) * CHOOSE(CONTROL!$C$21, $C$9, 100%, $E$9)</f>
        <v>10.0213</v>
      </c>
      <c r="E336" s="10">
        <f>CHOOSE(CONTROL!$C$42, 10.0551, 10.0551) * CHOOSE(CONTROL!$C$21, $C$9, 100%, $E$9)</f>
        <v>10.055099999999999</v>
      </c>
      <c r="F336" s="10">
        <f>CHOOSE(CONTROL!$C$42, 9.974, 9.974)*CHOOSE(CONTROL!$C$21, $C$9, 100%, $E$9)</f>
        <v>9.9740000000000002</v>
      </c>
      <c r="G336" s="10">
        <f>CHOOSE(CONTROL!$C$42, 9.9925, 9.9925)*CHOOSE(CONTROL!$C$21, $C$9, 100%, $E$9)</f>
        <v>9.9924999999999997</v>
      </c>
      <c r="H336" s="10">
        <f>CHOOSE(CONTROL!$C$42, 10.0443, 10.0443) * CHOOSE(CONTROL!$C$21, $C$9, 100%, $E$9)</f>
        <v>10.0443</v>
      </c>
      <c r="I336" s="10">
        <f>CHOOSE(CONTROL!$C$42, 9.9529, 9.9529)* CHOOSE(CONTROL!$C$21, $C$9, 100%, $E$9)</f>
        <v>9.9528999999999996</v>
      </c>
      <c r="J336" s="10">
        <f>CHOOSE(CONTROL!$C$42, 9.967, 9.967)* CHOOSE(CONTROL!$C$21, $C$9, 100%, $E$9)</f>
        <v>9.9670000000000005</v>
      </c>
      <c r="K336" s="54">
        <f>CHOOSE(CONTROL!$C$42, 9.949, 9.949) * CHOOSE(CONTROL!$C$21, $C$9, 100%, $E$9)</f>
        <v>9.9489999999999998</v>
      </c>
      <c r="L336" s="10">
        <f>CHOOSE(CONTROL!$C$42, 10.6313, 10.6313) * CHOOSE(CONTROL!$C$21, $C$9, 100%, $E$9)</f>
        <v>10.6313</v>
      </c>
      <c r="M336" s="10">
        <f>CHOOSE(CONTROL!$C$42, 9.8803, 9.8803) * CHOOSE(CONTROL!$C$21, $C$9, 100%, $E$9)</f>
        <v>9.8803000000000001</v>
      </c>
      <c r="N336" s="10">
        <f>CHOOSE(CONTROL!$C$42, 9.8986, 9.8986) * CHOOSE(CONTROL!$C$21, $C$9, 100%, $E$9)</f>
        <v>9.8986000000000001</v>
      </c>
      <c r="O336" s="10">
        <f>CHOOSE(CONTROL!$C$42, 9.9567, 9.9567) * CHOOSE(CONTROL!$C$21, $C$9, 100%, $E$9)</f>
        <v>9.9566999999999997</v>
      </c>
      <c r="P336" s="10">
        <f>CHOOSE(CONTROL!$C$42, 9.8663, 9.8663) * CHOOSE(CONTROL!$C$21, $C$9, 100%, $E$9)</f>
        <v>9.8663000000000007</v>
      </c>
      <c r="Q336" s="10">
        <f>CHOOSE(CONTROL!$C$42, 10.552, 10.552) * CHOOSE(CONTROL!$C$21, $C$9, 100%, $E$9)</f>
        <v>10.552</v>
      </c>
      <c r="R336" s="10">
        <f>CHOOSE(CONTROL!$C$42, 11.1654, 11.1654) * CHOOSE(CONTROL!$C$21, $C$9, 100%, $E$9)</f>
        <v>11.1654</v>
      </c>
      <c r="S336" s="10">
        <f>CHOOSE(CONTROL!$C$42, 9.696, 9.696) * CHOOSE(CONTROL!$C$21, $C$9, 100%, $E$9)</f>
        <v>9.6959999999999997</v>
      </c>
      <c r="T336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36" s="58">
        <f>(1000*CHOOSE(CONTROL!$C$42, 695, 695)*CHOOSE(CONTROL!$C$42, 0.5599, 0.5599)*CHOOSE(CONTROL!$C$42, 31, 31))/1000000</f>
        <v>12.063045499999998</v>
      </c>
      <c r="V336" s="58">
        <f>(1000*CHOOSE(CONTROL!$C$42, 500, 500)*CHOOSE(CONTROL!$C$42, 0.275, 0.275)*CHOOSE(CONTROL!$C$42, 31, 31))/1000000</f>
        <v>4.2625000000000002</v>
      </c>
      <c r="W336" s="58">
        <f>(1000*CHOOSE(CONTROL!$C$42, 0.1146, 0.1146)*CHOOSE(CONTROL!$C$42, 121.5, 121.5)*CHOOSE(CONTROL!$C$42, 31, 31))/1000000</f>
        <v>0.43164089999999994</v>
      </c>
      <c r="X336" s="58">
        <f>(31*0.1790888*100000/1000000)+(31*0.2374*100000/1000000)</f>
        <v>1.2911152800000001</v>
      </c>
      <c r="Y336" s="58"/>
      <c r="Z336" s="10"/>
      <c r="AA336" s="57"/>
      <c r="AB336" s="51">
        <f>(B336*122.58+C336*297.941+D336*89.177+E336*40.302+F336*40+G336*160+H336*0+I336*100+J336*300)/(122.58+297.941+89.177+40.302+0+40+160+100+300)</f>
        <v>9.9853625095652188</v>
      </c>
      <c r="AC336" s="27">
        <f>(M336*'RAP TEMPLATE-GAS AVAILABILITY'!O335+N336*'RAP TEMPLATE-GAS AVAILABILITY'!P335+O336*'RAP TEMPLATE-GAS AVAILABILITY'!Q335+P336*'RAP TEMPLATE-GAS AVAILABILITY'!R335)/('RAP TEMPLATE-GAS AVAILABILITY'!O335+'RAP TEMPLATE-GAS AVAILABILITY'!P335+'RAP TEMPLATE-GAS AVAILABILITY'!Q335+'RAP TEMPLATE-GAS AVAILABILITY'!R335)</f>
        <v>9.9139661870503595</v>
      </c>
    </row>
    <row r="337" spans="1:29" ht="15.75" x14ac:dyDescent="0.25">
      <c r="A337" s="14">
        <v>51532</v>
      </c>
      <c r="B337" s="10">
        <f>CHOOSE(CONTROL!$C$42, 10.6606, 10.6606) * CHOOSE(CONTROL!$C$21, $C$9, 100%, $E$9)</f>
        <v>10.660600000000001</v>
      </c>
      <c r="C337" s="10">
        <f>CHOOSE(CONTROL!$C$42, 10.6655, 10.6655) * CHOOSE(CONTROL!$C$21, $C$9, 100%, $E$9)</f>
        <v>10.6655</v>
      </c>
      <c r="D337" s="10">
        <f>CHOOSE(CONTROL!$C$42, 10.7157, 10.7157) * CHOOSE(CONTROL!$C$21, $C$9, 100%, $E$9)</f>
        <v>10.7157</v>
      </c>
      <c r="E337" s="10">
        <f>CHOOSE(CONTROL!$C$42, 10.7495, 10.7495) * CHOOSE(CONTROL!$C$21, $C$9, 100%, $E$9)</f>
        <v>10.749499999999999</v>
      </c>
      <c r="F337" s="10">
        <f>CHOOSE(CONTROL!$C$42, 10.626, 10.626)*CHOOSE(CONTROL!$C$21, $C$9, 100%, $E$9)</f>
        <v>10.625999999999999</v>
      </c>
      <c r="G337" s="10">
        <f>CHOOSE(CONTROL!$C$42, 10.6435, 10.6435)*CHOOSE(CONTROL!$C$21, $C$9, 100%, $E$9)</f>
        <v>10.6435</v>
      </c>
      <c r="H337" s="10">
        <f>CHOOSE(CONTROL!$C$42, 10.7387, 10.7387) * CHOOSE(CONTROL!$C$21, $C$9, 100%, $E$9)</f>
        <v>10.7387</v>
      </c>
      <c r="I337" s="10">
        <f>CHOOSE(CONTROL!$C$42, 10.6345, 10.6345)* CHOOSE(CONTROL!$C$21, $C$9, 100%, $E$9)</f>
        <v>10.634499999999999</v>
      </c>
      <c r="J337" s="10">
        <f>CHOOSE(CONTROL!$C$42, 10.619, 10.619)* CHOOSE(CONTROL!$C$21, $C$9, 100%, $E$9)</f>
        <v>10.619</v>
      </c>
      <c r="K337" s="54">
        <f>CHOOSE(CONTROL!$C$42, 10.6306, 10.6306) * CHOOSE(CONTROL!$C$21, $C$9, 100%, $E$9)</f>
        <v>10.630599999999999</v>
      </c>
      <c r="L337" s="10">
        <f>CHOOSE(CONTROL!$C$42, 11.3257, 11.3257) * CHOOSE(CONTROL!$C$21, $C$9, 100%, $E$9)</f>
        <v>11.325699999999999</v>
      </c>
      <c r="M337" s="10">
        <f>CHOOSE(CONTROL!$C$42, 10.5256, 10.5256) * CHOOSE(CONTROL!$C$21, $C$9, 100%, $E$9)</f>
        <v>10.525600000000001</v>
      </c>
      <c r="N337" s="10">
        <f>CHOOSE(CONTROL!$C$42, 10.543, 10.543) * CHOOSE(CONTROL!$C$21, $C$9, 100%, $E$9)</f>
        <v>10.542999999999999</v>
      </c>
      <c r="O337" s="10">
        <f>CHOOSE(CONTROL!$C$42, 10.6442, 10.6442) * CHOOSE(CONTROL!$C$21, $C$9, 100%, $E$9)</f>
        <v>10.6442</v>
      </c>
      <c r="P337" s="10">
        <f>CHOOSE(CONTROL!$C$42, 10.541, 10.541) * CHOOSE(CONTROL!$C$21, $C$9, 100%, $E$9)</f>
        <v>10.541</v>
      </c>
      <c r="Q337" s="10">
        <f>CHOOSE(CONTROL!$C$42, 11.2395, 11.2395) * CHOOSE(CONTROL!$C$21, $C$9, 100%, $E$9)</f>
        <v>11.2395</v>
      </c>
      <c r="R337" s="10">
        <f>CHOOSE(CONTROL!$C$42, 11.8546, 11.8546) * CHOOSE(CONTROL!$C$21, $C$9, 100%, $E$9)</f>
        <v>11.8546</v>
      </c>
      <c r="S337" s="10">
        <f>CHOOSE(CONTROL!$C$42, 10.3504, 10.3504) * CHOOSE(CONTROL!$C$21, $C$9, 100%, $E$9)</f>
        <v>10.3504</v>
      </c>
      <c r="T337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37" s="58">
        <f>(1000*CHOOSE(CONTROL!$C$42, 695, 695)*CHOOSE(CONTROL!$C$42, 0.5599, 0.5599)*CHOOSE(CONTROL!$C$42, 31, 31))/1000000</f>
        <v>12.063045499999998</v>
      </c>
      <c r="V337" s="58">
        <f>(1000*CHOOSE(CONTROL!$C$42, 500, 500)*CHOOSE(CONTROL!$C$42, 0.275, 0.275)*CHOOSE(CONTROL!$C$42, 31, 31))/1000000</f>
        <v>4.2625000000000002</v>
      </c>
      <c r="W337" s="58">
        <f>(1000*CHOOSE(CONTROL!$C$42, 0.1146, 0.1146)*CHOOSE(CONTROL!$C$42, 121.5, 121.5)*CHOOSE(CONTROL!$C$42, 31, 31))/1000000</f>
        <v>0.43164089999999994</v>
      </c>
      <c r="X337" s="58">
        <f>(31*0.1790888*100000/1000000)+(31*0.2374*100000/1000000)</f>
        <v>1.2911152800000001</v>
      </c>
      <c r="Y337" s="58"/>
      <c r="Z337" s="10"/>
      <c r="AA337" s="57"/>
      <c r="AB337" s="51">
        <f>(B337*122.58+C337*297.941+D337*89.177+E337*40.302+F337*40+G337*160+H337*0+I337*100+J337*300)/(122.58+297.941+89.177+40.302+0+40+160+100+300)</f>
        <v>10.652553401217389</v>
      </c>
      <c r="AC337" s="27">
        <f>(M337*'RAP TEMPLATE-GAS AVAILABILITY'!O336+N337*'RAP TEMPLATE-GAS AVAILABILITY'!P336+O337*'RAP TEMPLATE-GAS AVAILABILITY'!Q336+P337*'RAP TEMPLATE-GAS AVAILABILITY'!R336)/('RAP TEMPLATE-GAS AVAILABILITY'!O336+'RAP TEMPLATE-GAS AVAILABILITY'!P336+'RAP TEMPLATE-GAS AVAILABILITY'!Q336+'RAP TEMPLATE-GAS AVAILABILITY'!R336)</f>
        <v>10.582571223021583</v>
      </c>
    </row>
    <row r="338" spans="1:29" ht="15.75" x14ac:dyDescent="0.25">
      <c r="A338" s="14">
        <v>51560</v>
      </c>
      <c r="B338" s="10">
        <f>CHOOSE(CONTROL!$C$42, 10.8503, 10.8503) * CHOOSE(CONTROL!$C$21, $C$9, 100%, $E$9)</f>
        <v>10.850300000000001</v>
      </c>
      <c r="C338" s="10">
        <f>CHOOSE(CONTROL!$C$42, 10.8553, 10.8553) * CHOOSE(CONTROL!$C$21, $C$9, 100%, $E$9)</f>
        <v>10.8553</v>
      </c>
      <c r="D338" s="10">
        <f>CHOOSE(CONTROL!$C$42, 10.9724, 10.9724) * CHOOSE(CONTROL!$C$21, $C$9, 100%, $E$9)</f>
        <v>10.9724</v>
      </c>
      <c r="E338" s="10">
        <f>CHOOSE(CONTROL!$C$42, 11.0062, 11.0062) * CHOOSE(CONTROL!$C$21, $C$9, 100%, $E$9)</f>
        <v>11.0062</v>
      </c>
      <c r="F338" s="10">
        <f>CHOOSE(CONTROL!$C$42, 10.9279, 10.9279)*CHOOSE(CONTROL!$C$21, $C$9, 100%, $E$9)</f>
        <v>10.927899999999999</v>
      </c>
      <c r="G338" s="10">
        <f>CHOOSE(CONTROL!$C$42, 10.9498, 10.9498)*CHOOSE(CONTROL!$C$21, $C$9, 100%, $E$9)</f>
        <v>10.9498</v>
      </c>
      <c r="H338" s="10">
        <f>CHOOSE(CONTROL!$C$42, 10.9954, 10.9954) * CHOOSE(CONTROL!$C$21, $C$9, 100%, $E$9)</f>
        <v>10.9954</v>
      </c>
      <c r="I338" s="10">
        <f>CHOOSE(CONTROL!$C$42, 10.886, 10.886)* CHOOSE(CONTROL!$C$21, $C$9, 100%, $E$9)</f>
        <v>10.885999999999999</v>
      </c>
      <c r="J338" s="10">
        <f>CHOOSE(CONTROL!$C$42, 10.9209, 10.9209)* CHOOSE(CONTROL!$C$21, $C$9, 100%, $E$9)</f>
        <v>10.9209</v>
      </c>
      <c r="K338" s="54">
        <f>CHOOSE(CONTROL!$C$42, 10.8821, 10.8821) * CHOOSE(CONTROL!$C$21, $C$9, 100%, $E$9)</f>
        <v>10.882099999999999</v>
      </c>
      <c r="L338" s="10">
        <f>CHOOSE(CONTROL!$C$42, 11.5824, 11.5824) * CHOOSE(CONTROL!$C$21, $C$9, 100%, $E$9)</f>
        <v>11.5824</v>
      </c>
      <c r="M338" s="10">
        <f>CHOOSE(CONTROL!$C$42, 10.8245, 10.8245) * CHOOSE(CONTROL!$C$21, $C$9, 100%, $E$9)</f>
        <v>10.8245</v>
      </c>
      <c r="N338" s="10">
        <f>CHOOSE(CONTROL!$C$42, 10.8462, 10.8462) * CHOOSE(CONTROL!$C$21, $C$9, 100%, $E$9)</f>
        <v>10.8462</v>
      </c>
      <c r="O338" s="10">
        <f>CHOOSE(CONTROL!$C$42, 10.8982, 10.8982) * CHOOSE(CONTROL!$C$21, $C$9, 100%, $E$9)</f>
        <v>10.898199999999999</v>
      </c>
      <c r="P338" s="10">
        <f>CHOOSE(CONTROL!$C$42, 10.79, 10.79) * CHOOSE(CONTROL!$C$21, $C$9, 100%, $E$9)</f>
        <v>10.79</v>
      </c>
      <c r="Q338" s="10">
        <f>CHOOSE(CONTROL!$C$42, 11.4935, 11.4935) * CHOOSE(CONTROL!$C$21, $C$9, 100%, $E$9)</f>
        <v>11.493499999999999</v>
      </c>
      <c r="R338" s="10">
        <f>CHOOSE(CONTROL!$C$42, 12.1093, 12.1093) * CHOOSE(CONTROL!$C$21, $C$9, 100%, $E$9)</f>
        <v>12.109299999999999</v>
      </c>
      <c r="S338" s="10">
        <f>CHOOSE(CONTROL!$C$42, 10.5346, 10.5346) * CHOOSE(CONTROL!$C$21, $C$9, 100%, $E$9)</f>
        <v>10.534599999999999</v>
      </c>
      <c r="T338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338" s="58">
        <f>(1000*CHOOSE(CONTROL!$C$42, 695, 695)*CHOOSE(CONTROL!$C$42, 0.5599, 0.5599)*CHOOSE(CONTROL!$C$42, 28, 28))/1000000</f>
        <v>10.895653999999999</v>
      </c>
      <c r="V338" s="58">
        <f>(1000*CHOOSE(CONTROL!$C$42, 500, 500)*CHOOSE(CONTROL!$C$42, 0.275, 0.275)*CHOOSE(CONTROL!$C$42, 28, 28))/1000000</f>
        <v>3.85</v>
      </c>
      <c r="W338" s="58">
        <f>(1000*CHOOSE(CONTROL!$C$42, 0.1146, 0.1146)*CHOOSE(CONTROL!$C$42, 121.5, 121.5)*CHOOSE(CONTROL!$C$42, 28, 28))/1000000</f>
        <v>0.38986920000000003</v>
      </c>
      <c r="X338" s="58">
        <f>(28*0.1790888*100000/1000000)+(28*0.2374*100000/1000000)</f>
        <v>1.16616864</v>
      </c>
      <c r="Y338" s="58"/>
      <c r="Z338" s="10"/>
      <c r="AA338" s="57"/>
      <c r="AB338" s="51">
        <f>(B338*122.58+C338*297.941+D338*89.177+E338*40.302+F338*40+G338*160+H338*0+I338*100+J338*300)/(122.58+297.941+89.177+40.302+0+40+160+100+300)</f>
        <v>10.904591563913044</v>
      </c>
      <c r="AC338" s="27">
        <f>(M338*'RAP TEMPLATE-GAS AVAILABILITY'!O337+N338*'RAP TEMPLATE-GAS AVAILABILITY'!P337+O338*'RAP TEMPLATE-GAS AVAILABILITY'!Q337+P338*'RAP TEMPLATE-GAS AVAILABILITY'!R337)/('RAP TEMPLATE-GAS AVAILABILITY'!O337+'RAP TEMPLATE-GAS AVAILABILITY'!P337+'RAP TEMPLATE-GAS AVAILABILITY'!Q337+'RAP TEMPLATE-GAS AVAILABILITY'!R337)</f>
        <v>10.854188489208633</v>
      </c>
    </row>
    <row r="339" spans="1:29" ht="15.75" x14ac:dyDescent="0.25">
      <c r="A339" s="14">
        <v>51591</v>
      </c>
      <c r="B339" s="10">
        <f>CHOOSE(CONTROL!$C$42, 10.5423, 10.5423) * CHOOSE(CONTROL!$C$21, $C$9, 100%, $E$9)</f>
        <v>10.542299999999999</v>
      </c>
      <c r="C339" s="10">
        <f>CHOOSE(CONTROL!$C$42, 10.5473, 10.5473) * CHOOSE(CONTROL!$C$21, $C$9, 100%, $E$9)</f>
        <v>10.5473</v>
      </c>
      <c r="D339" s="10">
        <f>CHOOSE(CONTROL!$C$42, 10.6387, 10.6387) * CHOOSE(CONTROL!$C$21, $C$9, 100%, $E$9)</f>
        <v>10.6387</v>
      </c>
      <c r="E339" s="10">
        <f>CHOOSE(CONTROL!$C$42, 10.6725, 10.6725) * CHOOSE(CONTROL!$C$21, $C$9, 100%, $E$9)</f>
        <v>10.672499999999999</v>
      </c>
      <c r="F339" s="10">
        <f>CHOOSE(CONTROL!$C$42, 10.5722, 10.5722)*CHOOSE(CONTROL!$C$21, $C$9, 100%, $E$9)</f>
        <v>10.5722</v>
      </c>
      <c r="G339" s="10">
        <f>CHOOSE(CONTROL!$C$42, 10.5917, 10.5917)*CHOOSE(CONTROL!$C$21, $C$9, 100%, $E$9)</f>
        <v>10.591699999999999</v>
      </c>
      <c r="H339" s="10">
        <f>CHOOSE(CONTROL!$C$42, 10.6617, 10.6617) * CHOOSE(CONTROL!$C$21, $C$9, 100%, $E$9)</f>
        <v>10.6617</v>
      </c>
      <c r="I339" s="10">
        <f>CHOOSE(CONTROL!$C$42, 10.5652, 10.5652)* CHOOSE(CONTROL!$C$21, $C$9, 100%, $E$9)</f>
        <v>10.565200000000001</v>
      </c>
      <c r="J339" s="10">
        <f>CHOOSE(CONTROL!$C$42, 10.5652, 10.5652)* CHOOSE(CONTROL!$C$21, $C$9, 100%, $E$9)</f>
        <v>10.565200000000001</v>
      </c>
      <c r="K339" s="54">
        <f>CHOOSE(CONTROL!$C$42, 10.5613, 10.5613) * CHOOSE(CONTROL!$C$21, $C$9, 100%, $E$9)</f>
        <v>10.561299999999999</v>
      </c>
      <c r="L339" s="10">
        <f>CHOOSE(CONTROL!$C$42, 11.2487, 11.2487) * CHOOSE(CONTROL!$C$21, $C$9, 100%, $E$9)</f>
        <v>11.248699999999999</v>
      </c>
      <c r="M339" s="10">
        <f>CHOOSE(CONTROL!$C$42, 10.4724, 10.4724) * CHOOSE(CONTROL!$C$21, $C$9, 100%, $E$9)</f>
        <v>10.4724</v>
      </c>
      <c r="N339" s="10">
        <f>CHOOSE(CONTROL!$C$42, 10.4917, 10.4917) * CHOOSE(CONTROL!$C$21, $C$9, 100%, $E$9)</f>
        <v>10.4917</v>
      </c>
      <c r="O339" s="10">
        <f>CHOOSE(CONTROL!$C$42, 10.5679, 10.5679) * CHOOSE(CONTROL!$C$21, $C$9, 100%, $E$9)</f>
        <v>10.5679</v>
      </c>
      <c r="P339" s="10">
        <f>CHOOSE(CONTROL!$C$42, 10.4724, 10.4724) * CHOOSE(CONTROL!$C$21, $C$9, 100%, $E$9)</f>
        <v>10.4724</v>
      </c>
      <c r="Q339" s="10">
        <f>CHOOSE(CONTROL!$C$42, 11.1632, 11.1632) * CHOOSE(CONTROL!$C$21, $C$9, 100%, $E$9)</f>
        <v>11.1632</v>
      </c>
      <c r="R339" s="10">
        <f>CHOOSE(CONTROL!$C$42, 11.7781, 11.7781) * CHOOSE(CONTROL!$C$21, $C$9, 100%, $E$9)</f>
        <v>11.7781</v>
      </c>
      <c r="S339" s="10">
        <f>CHOOSE(CONTROL!$C$42, 10.2355, 10.2355) * CHOOSE(CONTROL!$C$21, $C$9, 100%, $E$9)</f>
        <v>10.2355</v>
      </c>
      <c r="T339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39" s="58">
        <f>(1000*CHOOSE(CONTROL!$C$42, 695, 695)*CHOOSE(CONTROL!$C$42, 0.5599, 0.5599)*CHOOSE(CONTROL!$C$42, 31, 31))/1000000</f>
        <v>12.063045499999998</v>
      </c>
      <c r="V339" s="58">
        <f>(1000*CHOOSE(CONTROL!$C$42, 500, 500)*CHOOSE(CONTROL!$C$42, 0.275, 0.275)*CHOOSE(CONTROL!$C$42, 31, 31))/1000000</f>
        <v>4.2625000000000002</v>
      </c>
      <c r="W339" s="58">
        <f>(1000*CHOOSE(CONTROL!$C$42, 0.1146, 0.1146)*CHOOSE(CONTROL!$C$42, 121.5, 121.5)*CHOOSE(CONTROL!$C$42, 31, 31))/1000000</f>
        <v>0.43164089999999994</v>
      </c>
      <c r="X339" s="58">
        <f>(31*0.1790888*100000/1000000)+(31*0.2374*100000/1000000)</f>
        <v>1.2911152800000001</v>
      </c>
      <c r="Y339" s="58"/>
      <c r="Z339" s="10"/>
      <c r="AA339" s="57"/>
      <c r="AB339" s="51">
        <f>(B339*122.58+C339*297.941+D339*89.177+E339*40.302+F339*40+G339*160+H339*0+I339*100+J339*300)/(122.58+297.941+89.177+40.302+0+40+160+100+300)</f>
        <v>10.571511902782609</v>
      </c>
      <c r="AC339" s="27">
        <f>(M339*'RAP TEMPLATE-GAS AVAILABILITY'!O338+N339*'RAP TEMPLATE-GAS AVAILABILITY'!P338+O339*'RAP TEMPLATE-GAS AVAILABILITY'!Q338+P339*'RAP TEMPLATE-GAS AVAILABILITY'!R338)/('RAP TEMPLATE-GAS AVAILABILITY'!O338+'RAP TEMPLATE-GAS AVAILABILITY'!P338+'RAP TEMPLATE-GAS AVAILABILITY'!Q338+'RAP TEMPLATE-GAS AVAILABILITY'!R338)</f>
        <v>10.516794964028778</v>
      </c>
    </row>
    <row r="340" spans="1:29" ht="15.75" x14ac:dyDescent="0.25">
      <c r="A340" s="14">
        <v>51621</v>
      </c>
      <c r="B340" s="10">
        <f>CHOOSE(CONTROL!$C$42, 10.5116, 10.5116) * CHOOSE(CONTROL!$C$21, $C$9, 100%, $E$9)</f>
        <v>10.5116</v>
      </c>
      <c r="C340" s="10">
        <f>CHOOSE(CONTROL!$C$42, 10.5159, 10.5159) * CHOOSE(CONTROL!$C$21, $C$9, 100%, $E$9)</f>
        <v>10.5159</v>
      </c>
      <c r="D340" s="10">
        <f>CHOOSE(CONTROL!$C$42, 10.6976, 10.6976) * CHOOSE(CONTROL!$C$21, $C$9, 100%, $E$9)</f>
        <v>10.6976</v>
      </c>
      <c r="E340" s="10">
        <f>CHOOSE(CONTROL!$C$42, 10.7294, 10.7294) * CHOOSE(CONTROL!$C$21, $C$9, 100%, $E$9)</f>
        <v>10.7294</v>
      </c>
      <c r="F340" s="10">
        <f>CHOOSE(CONTROL!$C$42, 10.4999, 10.4999)*CHOOSE(CONTROL!$C$21, $C$9, 100%, $E$9)</f>
        <v>10.4999</v>
      </c>
      <c r="G340" s="10">
        <f>CHOOSE(CONTROL!$C$42, 10.5179, 10.5179)*CHOOSE(CONTROL!$C$21, $C$9, 100%, $E$9)</f>
        <v>10.517899999999999</v>
      </c>
      <c r="H340" s="10">
        <f>CHOOSE(CONTROL!$C$42, 10.7192, 10.7192) * CHOOSE(CONTROL!$C$21, $C$9, 100%, $E$9)</f>
        <v>10.719200000000001</v>
      </c>
      <c r="I340" s="10">
        <f>CHOOSE(CONTROL!$C$42, 10.4898, 10.4898)* CHOOSE(CONTROL!$C$21, $C$9, 100%, $E$9)</f>
        <v>10.489800000000001</v>
      </c>
      <c r="J340" s="10">
        <f>CHOOSE(CONTROL!$C$42, 10.4929, 10.4929)* CHOOSE(CONTROL!$C$21, $C$9, 100%, $E$9)</f>
        <v>10.492900000000001</v>
      </c>
      <c r="K340" s="54">
        <f>CHOOSE(CONTROL!$C$42, 10.4859, 10.4859) * CHOOSE(CONTROL!$C$21, $C$9, 100%, $E$9)</f>
        <v>10.485900000000001</v>
      </c>
      <c r="L340" s="10">
        <f>CHOOSE(CONTROL!$C$42, 11.3062, 11.3062) * CHOOSE(CONTROL!$C$21, $C$9, 100%, $E$9)</f>
        <v>11.3062</v>
      </c>
      <c r="M340" s="10">
        <f>CHOOSE(CONTROL!$C$42, 10.4008, 10.4008) * CHOOSE(CONTROL!$C$21, $C$9, 100%, $E$9)</f>
        <v>10.4008</v>
      </c>
      <c r="N340" s="10">
        <f>CHOOSE(CONTROL!$C$42, 10.4186, 10.4186) * CHOOSE(CONTROL!$C$21, $C$9, 100%, $E$9)</f>
        <v>10.4186</v>
      </c>
      <c r="O340" s="10">
        <f>CHOOSE(CONTROL!$C$42, 10.6248, 10.6248) * CHOOSE(CONTROL!$C$21, $C$9, 100%, $E$9)</f>
        <v>10.6248</v>
      </c>
      <c r="P340" s="10">
        <f>CHOOSE(CONTROL!$C$42, 10.3978, 10.3978) * CHOOSE(CONTROL!$C$21, $C$9, 100%, $E$9)</f>
        <v>10.3978</v>
      </c>
      <c r="Q340" s="10">
        <f>CHOOSE(CONTROL!$C$42, 11.2201, 11.2201) * CHOOSE(CONTROL!$C$21, $C$9, 100%, $E$9)</f>
        <v>11.2201</v>
      </c>
      <c r="R340" s="10">
        <f>CHOOSE(CONTROL!$C$42, 11.8352, 11.8352) * CHOOSE(CONTROL!$C$21, $C$9, 100%, $E$9)</f>
        <v>11.8352</v>
      </c>
      <c r="S340" s="10">
        <f>CHOOSE(CONTROL!$C$42, 10.2049, 10.2049) * CHOOSE(CONTROL!$C$21, $C$9, 100%, $E$9)</f>
        <v>10.2049</v>
      </c>
      <c r="T340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340" s="58">
        <f>(1000*CHOOSE(CONTROL!$C$42, 695, 695)*CHOOSE(CONTROL!$C$42, 0.5599, 0.5599)*CHOOSE(CONTROL!$C$42, 30, 30))/1000000</f>
        <v>11.673914999999997</v>
      </c>
      <c r="V340" s="58">
        <f>(1000*CHOOSE(CONTROL!$C$42, 500, 500)*CHOOSE(CONTROL!$C$42, 0.275, 0.275)*CHOOSE(CONTROL!$C$42, 30, 30))/1000000</f>
        <v>4.125</v>
      </c>
      <c r="W340" s="58">
        <f>(1000*CHOOSE(CONTROL!$C$42, 0.1146, 0.1146)*CHOOSE(CONTROL!$C$42, 121.5, 121.5)*CHOOSE(CONTROL!$C$42, 30, 30))/1000000</f>
        <v>0.417717</v>
      </c>
      <c r="X340" s="58">
        <f>(30*0.1790888*245000/1000000)+(30*0.2374*100000/1000000)</f>
        <v>2.0285026799999999</v>
      </c>
      <c r="Y340" s="58"/>
      <c r="Z340" s="10"/>
      <c r="AA340" s="57"/>
      <c r="AB340" s="51">
        <f>(B340*141.293+C340*267.993+D340*115.016+E340*89.698+F340*40+G340*185+H340*0+I340*100+J340*300)/(141.293+267.993+115.016+89.698+0+40+185+100+300)</f>
        <v>10.539839766182405</v>
      </c>
      <c r="AC340" s="27">
        <f>(M340*'RAP TEMPLATE-GAS AVAILABILITY'!O339+N340*'RAP TEMPLATE-GAS AVAILABILITY'!P339+O340*'RAP TEMPLATE-GAS AVAILABILITY'!Q339+P340*'RAP TEMPLATE-GAS AVAILABILITY'!R339)/('RAP TEMPLATE-GAS AVAILABILITY'!O339+'RAP TEMPLATE-GAS AVAILABILITY'!P339+'RAP TEMPLATE-GAS AVAILABILITY'!Q339+'RAP TEMPLATE-GAS AVAILABILITY'!R339)</f>
        <v>10.467315107913668</v>
      </c>
    </row>
    <row r="341" spans="1:29" ht="15.75" x14ac:dyDescent="0.25">
      <c r="A341" s="14">
        <v>51652</v>
      </c>
      <c r="B341" s="10">
        <f>CHOOSE(CONTROL!$C$42, 10.6061, 10.6061) * CHOOSE(CONTROL!$C$21, $C$9, 100%, $E$9)</f>
        <v>10.6061</v>
      </c>
      <c r="C341" s="10">
        <f>CHOOSE(CONTROL!$C$42, 10.614, 10.614) * CHOOSE(CONTROL!$C$21, $C$9, 100%, $E$9)</f>
        <v>10.614000000000001</v>
      </c>
      <c r="D341" s="10">
        <f>CHOOSE(CONTROL!$C$42, 10.7926, 10.7926) * CHOOSE(CONTROL!$C$21, $C$9, 100%, $E$9)</f>
        <v>10.7926</v>
      </c>
      <c r="E341" s="10">
        <f>CHOOSE(CONTROL!$C$42, 10.8237, 10.8237) * CHOOSE(CONTROL!$C$21, $C$9, 100%, $E$9)</f>
        <v>10.823700000000001</v>
      </c>
      <c r="F341" s="10">
        <f>CHOOSE(CONTROL!$C$42, 10.5923, 10.5923)*CHOOSE(CONTROL!$C$21, $C$9, 100%, $E$9)</f>
        <v>10.5923</v>
      </c>
      <c r="G341" s="10">
        <f>CHOOSE(CONTROL!$C$42, 10.6105, 10.6105)*CHOOSE(CONTROL!$C$21, $C$9, 100%, $E$9)</f>
        <v>10.6105</v>
      </c>
      <c r="H341" s="10">
        <f>CHOOSE(CONTROL!$C$42, 10.8123, 10.8123) * CHOOSE(CONTROL!$C$21, $C$9, 100%, $E$9)</f>
        <v>10.8123</v>
      </c>
      <c r="I341" s="10">
        <f>CHOOSE(CONTROL!$C$42, 10.583, 10.583)* CHOOSE(CONTROL!$C$21, $C$9, 100%, $E$9)</f>
        <v>10.583</v>
      </c>
      <c r="J341" s="10">
        <f>CHOOSE(CONTROL!$C$42, 10.5853, 10.5853)* CHOOSE(CONTROL!$C$21, $C$9, 100%, $E$9)</f>
        <v>10.5853</v>
      </c>
      <c r="K341" s="54">
        <f>CHOOSE(CONTROL!$C$42, 10.5791, 10.5791) * CHOOSE(CONTROL!$C$21, $C$9, 100%, $E$9)</f>
        <v>10.5791</v>
      </c>
      <c r="L341" s="10">
        <f>CHOOSE(CONTROL!$C$42, 11.3993, 11.3993) * CHOOSE(CONTROL!$C$21, $C$9, 100%, $E$9)</f>
        <v>11.3993</v>
      </c>
      <c r="M341" s="10">
        <f>CHOOSE(CONTROL!$C$42, 10.4923, 10.4923) * CHOOSE(CONTROL!$C$21, $C$9, 100%, $E$9)</f>
        <v>10.4923</v>
      </c>
      <c r="N341" s="10">
        <f>CHOOSE(CONTROL!$C$42, 10.5103, 10.5103) * CHOOSE(CONTROL!$C$21, $C$9, 100%, $E$9)</f>
        <v>10.510300000000001</v>
      </c>
      <c r="O341" s="10">
        <f>CHOOSE(CONTROL!$C$42, 10.717, 10.717) * CHOOSE(CONTROL!$C$21, $C$9, 100%, $E$9)</f>
        <v>10.717000000000001</v>
      </c>
      <c r="P341" s="10">
        <f>CHOOSE(CONTROL!$C$42, 10.49, 10.49) * CHOOSE(CONTROL!$C$21, $C$9, 100%, $E$9)</f>
        <v>10.49</v>
      </c>
      <c r="Q341" s="10">
        <f>CHOOSE(CONTROL!$C$42, 11.3123, 11.3123) * CHOOSE(CONTROL!$C$21, $C$9, 100%, $E$9)</f>
        <v>11.3123</v>
      </c>
      <c r="R341" s="10">
        <f>CHOOSE(CONTROL!$C$42, 11.9276, 11.9276) * CHOOSE(CONTROL!$C$21, $C$9, 100%, $E$9)</f>
        <v>11.9276</v>
      </c>
      <c r="S341" s="10">
        <f>CHOOSE(CONTROL!$C$42, 10.2953, 10.2953) * CHOOSE(CONTROL!$C$21, $C$9, 100%, $E$9)</f>
        <v>10.295299999999999</v>
      </c>
      <c r="T341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341" s="58">
        <f>(1000*CHOOSE(CONTROL!$C$42, 695, 695)*CHOOSE(CONTROL!$C$42, 0.5599, 0.5599)*CHOOSE(CONTROL!$C$42, 31, 31))/1000000</f>
        <v>12.063045499999998</v>
      </c>
      <c r="V341" s="58">
        <f>(1000*CHOOSE(CONTROL!$C$42, 500, 500)*CHOOSE(CONTROL!$C$42, 0.275, 0.275)*CHOOSE(CONTROL!$C$42, 31, 31))/1000000</f>
        <v>4.2625000000000002</v>
      </c>
      <c r="W341" s="58">
        <f>(1000*CHOOSE(CONTROL!$C$42, 0.1146, 0.1146)*CHOOSE(CONTROL!$C$42, 121.5, 121.5)*CHOOSE(CONTROL!$C$42, 31, 31))/1000000</f>
        <v>0.43164089999999994</v>
      </c>
      <c r="X341" s="58">
        <f>(31*0.1790888*245000/1000000)+(31*0.2374*100000/1000000)</f>
        <v>2.0961194359999999</v>
      </c>
      <c r="Y341" s="58"/>
      <c r="Z341" s="10"/>
      <c r="AA341" s="57"/>
      <c r="AB341" s="51">
        <f>(B341*194.205+C341*267.466+D341*133.845+E341*53.484+F341*40+G341*185+H341*0+I341*100+J341*300)/(194.205+267.466+133.845+53.484+0+40+185+100+300)</f>
        <v>10.629981626609103</v>
      </c>
      <c r="AC341" s="27">
        <f>(M341*'RAP TEMPLATE-GAS AVAILABILITY'!O340+N341*'RAP TEMPLATE-GAS AVAILABILITY'!P340+O341*'RAP TEMPLATE-GAS AVAILABILITY'!Q340+P341*'RAP TEMPLATE-GAS AVAILABILITY'!R340)/('RAP TEMPLATE-GAS AVAILABILITY'!O340+'RAP TEMPLATE-GAS AVAILABILITY'!P340+'RAP TEMPLATE-GAS AVAILABILITY'!Q340+'RAP TEMPLATE-GAS AVAILABILITY'!R340)</f>
        <v>10.559158273381295</v>
      </c>
    </row>
    <row r="342" spans="1:29" ht="15.75" x14ac:dyDescent="0.25">
      <c r="A342" s="14">
        <v>51682</v>
      </c>
      <c r="B342" s="10">
        <f>CHOOSE(CONTROL!$C$42, 10.9068, 10.9068) * CHOOSE(CONTROL!$C$21, $C$9, 100%, $E$9)</f>
        <v>10.9068</v>
      </c>
      <c r="C342" s="10">
        <f>CHOOSE(CONTROL!$C$42, 10.9147, 10.9147) * CHOOSE(CONTROL!$C$21, $C$9, 100%, $E$9)</f>
        <v>10.9147</v>
      </c>
      <c r="D342" s="10">
        <f>CHOOSE(CONTROL!$C$42, 11.0933, 11.0933) * CHOOSE(CONTROL!$C$21, $C$9, 100%, $E$9)</f>
        <v>11.093299999999999</v>
      </c>
      <c r="E342" s="10">
        <f>CHOOSE(CONTROL!$C$42, 11.1244, 11.1244) * CHOOSE(CONTROL!$C$21, $C$9, 100%, $E$9)</f>
        <v>11.1244</v>
      </c>
      <c r="F342" s="10">
        <f>CHOOSE(CONTROL!$C$42, 10.8932, 10.8932)*CHOOSE(CONTROL!$C$21, $C$9, 100%, $E$9)</f>
        <v>10.8932</v>
      </c>
      <c r="G342" s="10">
        <f>CHOOSE(CONTROL!$C$42, 10.9115, 10.9115)*CHOOSE(CONTROL!$C$21, $C$9, 100%, $E$9)</f>
        <v>10.9115</v>
      </c>
      <c r="H342" s="10">
        <f>CHOOSE(CONTROL!$C$42, 11.113, 11.113) * CHOOSE(CONTROL!$C$21, $C$9, 100%, $E$9)</f>
        <v>11.113</v>
      </c>
      <c r="I342" s="10">
        <f>CHOOSE(CONTROL!$C$42, 10.8837, 10.8837)* CHOOSE(CONTROL!$C$21, $C$9, 100%, $E$9)</f>
        <v>10.883699999999999</v>
      </c>
      <c r="J342" s="10">
        <f>CHOOSE(CONTROL!$C$42, 10.8862, 10.8862)* CHOOSE(CONTROL!$C$21, $C$9, 100%, $E$9)</f>
        <v>10.886200000000001</v>
      </c>
      <c r="K342" s="54">
        <f>CHOOSE(CONTROL!$C$42, 10.8798, 10.8798) * CHOOSE(CONTROL!$C$21, $C$9, 100%, $E$9)</f>
        <v>10.879799999999999</v>
      </c>
      <c r="L342" s="10">
        <f>CHOOSE(CONTROL!$C$42, 11.7, 11.7) * CHOOSE(CONTROL!$C$21, $C$9, 100%, $E$9)</f>
        <v>11.7</v>
      </c>
      <c r="M342" s="10">
        <f>CHOOSE(CONTROL!$C$42, 10.7902, 10.7902) * CHOOSE(CONTROL!$C$21, $C$9, 100%, $E$9)</f>
        <v>10.7902</v>
      </c>
      <c r="N342" s="10">
        <f>CHOOSE(CONTROL!$C$42, 10.8083, 10.8083) * CHOOSE(CONTROL!$C$21, $C$9, 100%, $E$9)</f>
        <v>10.808299999999999</v>
      </c>
      <c r="O342" s="10">
        <f>CHOOSE(CONTROL!$C$42, 11.0147, 11.0147) * CHOOSE(CONTROL!$C$21, $C$9, 100%, $E$9)</f>
        <v>11.014699999999999</v>
      </c>
      <c r="P342" s="10">
        <f>CHOOSE(CONTROL!$C$42, 10.7877, 10.7877) * CHOOSE(CONTROL!$C$21, $C$9, 100%, $E$9)</f>
        <v>10.787699999999999</v>
      </c>
      <c r="Q342" s="10">
        <f>CHOOSE(CONTROL!$C$42, 11.61, 11.61) * CHOOSE(CONTROL!$C$21, $C$9, 100%, $E$9)</f>
        <v>11.61</v>
      </c>
      <c r="R342" s="10">
        <f>CHOOSE(CONTROL!$C$42, 12.226, 12.226) * CHOOSE(CONTROL!$C$21, $C$9, 100%, $E$9)</f>
        <v>12.226000000000001</v>
      </c>
      <c r="S342" s="10">
        <f>CHOOSE(CONTROL!$C$42, 10.5873, 10.5873) * CHOOSE(CONTROL!$C$21, $C$9, 100%, $E$9)</f>
        <v>10.587300000000001</v>
      </c>
      <c r="T342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342" s="58">
        <f>(1000*CHOOSE(CONTROL!$C$42, 695, 695)*CHOOSE(CONTROL!$C$42, 0.5599, 0.5599)*CHOOSE(CONTROL!$C$42, 30, 30))/1000000</f>
        <v>11.673914999999997</v>
      </c>
      <c r="V342" s="58">
        <f>(1000*CHOOSE(CONTROL!$C$42, 500, 500)*CHOOSE(CONTROL!$C$42, 0.275, 0.275)*CHOOSE(CONTROL!$C$42, 30, 30))/1000000</f>
        <v>4.125</v>
      </c>
      <c r="W342" s="58">
        <f>(1000*CHOOSE(CONTROL!$C$42, 0.1146, 0.1146)*CHOOSE(CONTROL!$C$42, 121.5, 121.5)*CHOOSE(CONTROL!$C$42, 30, 30))/1000000</f>
        <v>0.417717</v>
      </c>
      <c r="X342" s="58">
        <f>(30*0.1790888*245000/1000000)+(30*0.2374*100000/1000000)</f>
        <v>2.0285026799999999</v>
      </c>
      <c r="Y342" s="58"/>
      <c r="Z342" s="10"/>
      <c r="AA342" s="57"/>
      <c r="AB342" s="51">
        <f>(B342*194.205+C342*267.466+D342*133.845+E342*53.484+F342*40+G342*185+H342*0+I342*100+J342*300)/(194.205+267.466+133.845+53.484+0+40+185+100+300)</f>
        <v>10.930778565384616</v>
      </c>
      <c r="AC342" s="27">
        <f>(M342*'RAP TEMPLATE-GAS AVAILABILITY'!O341+N342*'RAP TEMPLATE-GAS AVAILABILITY'!P341+O342*'RAP TEMPLATE-GAS AVAILABILITY'!Q341+P342*'RAP TEMPLATE-GAS AVAILABILITY'!R341)/('RAP TEMPLATE-GAS AVAILABILITY'!O341+'RAP TEMPLATE-GAS AVAILABILITY'!P341+'RAP TEMPLATE-GAS AVAILABILITY'!Q341+'RAP TEMPLATE-GAS AVAILABILITY'!R341)</f>
        <v>10.8569964028777</v>
      </c>
    </row>
    <row r="343" spans="1:29" ht="15.75" x14ac:dyDescent="0.25">
      <c r="A343" s="14">
        <v>51713</v>
      </c>
      <c r="B343" s="10">
        <f>CHOOSE(CONTROL!$C$42, 10.6977, 10.6977) * CHOOSE(CONTROL!$C$21, $C$9, 100%, $E$9)</f>
        <v>10.697699999999999</v>
      </c>
      <c r="C343" s="10">
        <f>CHOOSE(CONTROL!$C$42, 10.7056, 10.7056) * CHOOSE(CONTROL!$C$21, $C$9, 100%, $E$9)</f>
        <v>10.7056</v>
      </c>
      <c r="D343" s="10">
        <f>CHOOSE(CONTROL!$C$42, 10.8841, 10.8841) * CHOOSE(CONTROL!$C$21, $C$9, 100%, $E$9)</f>
        <v>10.8841</v>
      </c>
      <c r="E343" s="10">
        <f>CHOOSE(CONTROL!$C$42, 10.9153, 10.9153) * CHOOSE(CONTROL!$C$21, $C$9, 100%, $E$9)</f>
        <v>10.9153</v>
      </c>
      <c r="F343" s="10">
        <f>CHOOSE(CONTROL!$C$42, 10.6844, 10.6844)*CHOOSE(CONTROL!$C$21, $C$9, 100%, $E$9)</f>
        <v>10.6844</v>
      </c>
      <c r="G343" s="10">
        <f>CHOOSE(CONTROL!$C$42, 10.7027, 10.7027)*CHOOSE(CONTROL!$C$21, $C$9, 100%, $E$9)</f>
        <v>10.7027</v>
      </c>
      <c r="H343" s="10">
        <f>CHOOSE(CONTROL!$C$42, 10.9039, 10.9039) * CHOOSE(CONTROL!$C$21, $C$9, 100%, $E$9)</f>
        <v>10.9039</v>
      </c>
      <c r="I343" s="10">
        <f>CHOOSE(CONTROL!$C$42, 10.6745, 10.6745)* CHOOSE(CONTROL!$C$21, $C$9, 100%, $E$9)</f>
        <v>10.6745</v>
      </c>
      <c r="J343" s="10">
        <f>CHOOSE(CONTROL!$C$42, 10.6774, 10.6774)* CHOOSE(CONTROL!$C$21, $C$9, 100%, $E$9)</f>
        <v>10.6774</v>
      </c>
      <c r="K343" s="54">
        <f>CHOOSE(CONTROL!$C$42, 10.6706, 10.6706) * CHOOSE(CONTROL!$C$21, $C$9, 100%, $E$9)</f>
        <v>10.6706</v>
      </c>
      <c r="L343" s="10">
        <f>CHOOSE(CONTROL!$C$42, 11.4909, 11.4909) * CHOOSE(CONTROL!$C$21, $C$9, 100%, $E$9)</f>
        <v>11.4909</v>
      </c>
      <c r="M343" s="10">
        <f>CHOOSE(CONTROL!$C$42, 10.5834, 10.5834) * CHOOSE(CONTROL!$C$21, $C$9, 100%, $E$9)</f>
        <v>10.583399999999999</v>
      </c>
      <c r="N343" s="10">
        <f>CHOOSE(CONTROL!$C$42, 10.6016, 10.6016) * CHOOSE(CONTROL!$C$21, $C$9, 100%, $E$9)</f>
        <v>10.601599999999999</v>
      </c>
      <c r="O343" s="10">
        <f>CHOOSE(CONTROL!$C$42, 10.8077, 10.8077) * CHOOSE(CONTROL!$C$21, $C$9, 100%, $E$9)</f>
        <v>10.807700000000001</v>
      </c>
      <c r="P343" s="10">
        <f>CHOOSE(CONTROL!$C$42, 10.5807, 10.5807) * CHOOSE(CONTROL!$C$21, $C$9, 100%, $E$9)</f>
        <v>10.5807</v>
      </c>
      <c r="Q343" s="10">
        <f>CHOOSE(CONTROL!$C$42, 11.403, 11.403) * CHOOSE(CONTROL!$C$21, $C$9, 100%, $E$9)</f>
        <v>11.403</v>
      </c>
      <c r="R343" s="10">
        <f>CHOOSE(CONTROL!$C$42, 12.0185, 12.0185) * CHOOSE(CONTROL!$C$21, $C$9, 100%, $E$9)</f>
        <v>12.0185</v>
      </c>
      <c r="S343" s="10">
        <f>CHOOSE(CONTROL!$C$42, 10.3843, 10.3843) * CHOOSE(CONTROL!$C$21, $C$9, 100%, $E$9)</f>
        <v>10.3843</v>
      </c>
      <c r="T343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343" s="58">
        <f>(1000*CHOOSE(CONTROL!$C$42, 695, 695)*CHOOSE(CONTROL!$C$42, 0.5599, 0.5599)*CHOOSE(CONTROL!$C$42, 31, 31))/1000000</f>
        <v>12.063045499999998</v>
      </c>
      <c r="V343" s="58">
        <f>(1000*CHOOSE(CONTROL!$C$42, 500, 500)*CHOOSE(CONTROL!$C$42, 0.275, 0.275)*CHOOSE(CONTROL!$C$42, 31, 31))/1000000</f>
        <v>4.2625000000000002</v>
      </c>
      <c r="W343" s="58">
        <f>(1000*CHOOSE(CONTROL!$C$42, 0.1146, 0.1146)*CHOOSE(CONTROL!$C$42, 121.5, 121.5)*CHOOSE(CONTROL!$C$42, 31, 31))/1000000</f>
        <v>0.43164089999999994</v>
      </c>
      <c r="X343" s="58">
        <f>(31*0.1790888*245000/1000000)+(31*0.2374*100000/1000000)</f>
        <v>2.0961194359999999</v>
      </c>
      <c r="Y343" s="58"/>
      <c r="Z343" s="10"/>
      <c r="AA343" s="57"/>
      <c r="AB343" s="51">
        <f>(B343*194.205+C343*267.466+D343*133.845+E343*53.484+F343*40+G343*185+H343*0+I343*100+J343*300)/(194.205+267.466+133.845+53.484+0+40+185+100+300)</f>
        <v>10.721783836577711</v>
      </c>
      <c r="AC343" s="27">
        <f>(M343*'RAP TEMPLATE-GAS AVAILABILITY'!O342+N343*'RAP TEMPLATE-GAS AVAILABILITY'!P342+O343*'RAP TEMPLATE-GAS AVAILABILITY'!Q342+P343*'RAP TEMPLATE-GAS AVAILABILITY'!R342)/('RAP TEMPLATE-GAS AVAILABILITY'!O342+'RAP TEMPLATE-GAS AVAILABILITY'!P342+'RAP TEMPLATE-GAS AVAILABILITY'!Q342+'RAP TEMPLATE-GAS AVAILABILITY'!R342)</f>
        <v>10.6501345323741</v>
      </c>
    </row>
    <row r="344" spans="1:29" ht="15.75" x14ac:dyDescent="0.25">
      <c r="A344" s="14">
        <v>51744</v>
      </c>
      <c r="B344" s="10">
        <f>CHOOSE(CONTROL!$C$42, 10.1695, 10.1695) * CHOOSE(CONTROL!$C$21, $C$9, 100%, $E$9)</f>
        <v>10.169499999999999</v>
      </c>
      <c r="C344" s="10">
        <f>CHOOSE(CONTROL!$C$42, 10.1774, 10.1774) * CHOOSE(CONTROL!$C$21, $C$9, 100%, $E$9)</f>
        <v>10.1774</v>
      </c>
      <c r="D344" s="10">
        <f>CHOOSE(CONTROL!$C$42, 10.356, 10.356) * CHOOSE(CONTROL!$C$21, $C$9, 100%, $E$9)</f>
        <v>10.356</v>
      </c>
      <c r="E344" s="10">
        <f>CHOOSE(CONTROL!$C$42, 10.3871, 10.3871) * CHOOSE(CONTROL!$C$21, $C$9, 100%, $E$9)</f>
        <v>10.3871</v>
      </c>
      <c r="F344" s="10">
        <f>CHOOSE(CONTROL!$C$42, 10.1562, 10.1562)*CHOOSE(CONTROL!$C$21, $C$9, 100%, $E$9)</f>
        <v>10.1562</v>
      </c>
      <c r="G344" s="10">
        <f>CHOOSE(CONTROL!$C$42, 10.1745, 10.1745)*CHOOSE(CONTROL!$C$21, $C$9, 100%, $E$9)</f>
        <v>10.1745</v>
      </c>
      <c r="H344" s="10">
        <f>CHOOSE(CONTROL!$C$42, 10.3757, 10.3757) * CHOOSE(CONTROL!$C$21, $C$9, 100%, $E$9)</f>
        <v>10.3757</v>
      </c>
      <c r="I344" s="10">
        <f>CHOOSE(CONTROL!$C$42, 10.1464, 10.1464)* CHOOSE(CONTROL!$C$21, $C$9, 100%, $E$9)</f>
        <v>10.1464</v>
      </c>
      <c r="J344" s="10">
        <f>CHOOSE(CONTROL!$C$42, 10.1492, 10.1492)* CHOOSE(CONTROL!$C$21, $C$9, 100%, $E$9)</f>
        <v>10.1492</v>
      </c>
      <c r="K344" s="54">
        <f>CHOOSE(CONTROL!$C$42, 10.1425, 10.1425) * CHOOSE(CONTROL!$C$21, $C$9, 100%, $E$9)</f>
        <v>10.1425</v>
      </c>
      <c r="L344" s="10">
        <f>CHOOSE(CONTROL!$C$42, 10.9627, 10.9627) * CHOOSE(CONTROL!$C$21, $C$9, 100%, $E$9)</f>
        <v>10.9627</v>
      </c>
      <c r="M344" s="10">
        <f>CHOOSE(CONTROL!$C$42, 10.0606, 10.0606) * CHOOSE(CONTROL!$C$21, $C$9, 100%, $E$9)</f>
        <v>10.060600000000001</v>
      </c>
      <c r="N344" s="10">
        <f>CHOOSE(CONTROL!$C$42, 10.0787, 10.0787) * CHOOSE(CONTROL!$C$21, $C$9, 100%, $E$9)</f>
        <v>10.0787</v>
      </c>
      <c r="O344" s="10">
        <f>CHOOSE(CONTROL!$C$42, 10.2849, 10.2849) * CHOOSE(CONTROL!$C$21, $C$9, 100%, $E$9)</f>
        <v>10.2849</v>
      </c>
      <c r="P344" s="10">
        <f>CHOOSE(CONTROL!$C$42, 10.0579, 10.0579) * CHOOSE(CONTROL!$C$21, $C$9, 100%, $E$9)</f>
        <v>10.0579</v>
      </c>
      <c r="Q344" s="10">
        <f>CHOOSE(CONTROL!$C$42, 10.8802, 10.8802) * CHOOSE(CONTROL!$C$21, $C$9, 100%, $E$9)</f>
        <v>10.8802</v>
      </c>
      <c r="R344" s="10">
        <f>CHOOSE(CONTROL!$C$42, 11.4944, 11.4944) * CHOOSE(CONTROL!$C$21, $C$9, 100%, $E$9)</f>
        <v>11.494400000000001</v>
      </c>
      <c r="S344" s="10">
        <f>CHOOSE(CONTROL!$C$42, 9.8714, 9.8714) * CHOOSE(CONTROL!$C$21, $C$9, 100%, $E$9)</f>
        <v>9.8713999999999995</v>
      </c>
      <c r="T344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344" s="58">
        <f>(1000*CHOOSE(CONTROL!$C$42, 695, 695)*CHOOSE(CONTROL!$C$42, 0.5599, 0.5599)*CHOOSE(CONTROL!$C$42, 31, 31))/1000000</f>
        <v>12.063045499999998</v>
      </c>
      <c r="V344" s="58">
        <f>(1000*CHOOSE(CONTROL!$C$42, 500, 500)*CHOOSE(CONTROL!$C$42, 0.275, 0.275)*CHOOSE(CONTROL!$C$42, 31, 31))/1000000</f>
        <v>4.2625000000000002</v>
      </c>
      <c r="W344" s="58">
        <f>(1000*CHOOSE(CONTROL!$C$42, 0.1146, 0.1146)*CHOOSE(CONTROL!$C$42, 121.5, 121.5)*CHOOSE(CONTROL!$C$42, 31, 31))/1000000</f>
        <v>0.43164089999999994</v>
      </c>
      <c r="X344" s="58">
        <f>(31*0.1790888*245000/1000000)+(31*0.2374*100000/1000000)</f>
        <v>2.0961194359999999</v>
      </c>
      <c r="Y344" s="58"/>
      <c r="Z344" s="10"/>
      <c r="AA344" s="57"/>
      <c r="AB344" s="51">
        <f>(B344*194.205+C344*267.466+D344*133.845+E344*53.484+F344*40+G344*185+H344*0+I344*100+J344*300)/(194.205+267.466+133.845+53.484+0+40+185+100+300)</f>
        <v>10.193602191758242</v>
      </c>
      <c r="AC344" s="27">
        <f>(M344*'RAP TEMPLATE-GAS AVAILABILITY'!O343+N344*'RAP TEMPLATE-GAS AVAILABILITY'!P343+O344*'RAP TEMPLATE-GAS AVAILABILITY'!Q343+P344*'RAP TEMPLATE-GAS AVAILABILITY'!R343)/('RAP TEMPLATE-GAS AVAILABILITY'!O343+'RAP TEMPLATE-GAS AVAILABILITY'!P343+'RAP TEMPLATE-GAS AVAILABILITY'!Q343+'RAP TEMPLATE-GAS AVAILABILITY'!R343)</f>
        <v>10.127311510791367</v>
      </c>
    </row>
    <row r="345" spans="1:29" ht="15.75" x14ac:dyDescent="0.25">
      <c r="A345" s="14">
        <v>51774</v>
      </c>
      <c r="B345" s="10">
        <f>CHOOSE(CONTROL!$C$42, 9.5242, 9.5242) * CHOOSE(CONTROL!$C$21, $C$9, 100%, $E$9)</f>
        <v>9.5242000000000004</v>
      </c>
      <c r="C345" s="10">
        <f>CHOOSE(CONTROL!$C$42, 9.5322, 9.5322) * CHOOSE(CONTROL!$C$21, $C$9, 100%, $E$9)</f>
        <v>9.5321999999999996</v>
      </c>
      <c r="D345" s="10">
        <f>CHOOSE(CONTROL!$C$42, 9.7107, 9.7107) * CHOOSE(CONTROL!$C$21, $C$9, 100%, $E$9)</f>
        <v>9.7106999999999992</v>
      </c>
      <c r="E345" s="10">
        <f>CHOOSE(CONTROL!$C$42, 9.7418, 9.7418) * CHOOSE(CONTROL!$C$21, $C$9, 100%, $E$9)</f>
        <v>9.7417999999999996</v>
      </c>
      <c r="F345" s="10">
        <f>CHOOSE(CONTROL!$C$42, 9.5106, 9.5106)*CHOOSE(CONTROL!$C$21, $C$9, 100%, $E$9)</f>
        <v>9.5106000000000002</v>
      </c>
      <c r="G345" s="10">
        <f>CHOOSE(CONTROL!$C$42, 9.5288, 9.5288)*CHOOSE(CONTROL!$C$21, $C$9, 100%, $E$9)</f>
        <v>9.5288000000000004</v>
      </c>
      <c r="H345" s="10">
        <f>CHOOSE(CONTROL!$C$42, 9.7305, 9.7305) * CHOOSE(CONTROL!$C$21, $C$9, 100%, $E$9)</f>
        <v>9.7304999999999993</v>
      </c>
      <c r="I345" s="10">
        <f>CHOOSE(CONTROL!$C$42, 9.5011, 9.5011)* CHOOSE(CONTROL!$C$21, $C$9, 100%, $E$9)</f>
        <v>9.5010999999999992</v>
      </c>
      <c r="J345" s="10">
        <f>CHOOSE(CONTROL!$C$42, 9.5036, 9.5036)* CHOOSE(CONTROL!$C$21, $C$9, 100%, $E$9)</f>
        <v>9.5036000000000005</v>
      </c>
      <c r="K345" s="54">
        <f>CHOOSE(CONTROL!$C$42, 9.4972, 9.4972) * CHOOSE(CONTROL!$C$21, $C$9, 100%, $E$9)</f>
        <v>9.4971999999999994</v>
      </c>
      <c r="L345" s="10">
        <f>CHOOSE(CONTROL!$C$42, 10.3175, 10.3175) * CHOOSE(CONTROL!$C$21, $C$9, 100%, $E$9)</f>
        <v>10.317500000000001</v>
      </c>
      <c r="M345" s="10">
        <f>CHOOSE(CONTROL!$C$42, 9.4215, 9.4215) * CHOOSE(CONTROL!$C$21, $C$9, 100%, $E$9)</f>
        <v>9.4215</v>
      </c>
      <c r="N345" s="10">
        <f>CHOOSE(CONTROL!$C$42, 9.4396, 9.4396) * CHOOSE(CONTROL!$C$21, $C$9, 100%, $E$9)</f>
        <v>9.4396000000000004</v>
      </c>
      <c r="O345" s="10">
        <f>CHOOSE(CONTROL!$C$42, 9.6461, 9.6461) * CHOOSE(CONTROL!$C$21, $C$9, 100%, $E$9)</f>
        <v>9.6461000000000006</v>
      </c>
      <c r="P345" s="10">
        <f>CHOOSE(CONTROL!$C$42, 9.4191, 9.4191) * CHOOSE(CONTROL!$C$21, $C$9, 100%, $E$9)</f>
        <v>9.4191000000000003</v>
      </c>
      <c r="Q345" s="10">
        <f>CHOOSE(CONTROL!$C$42, 10.2414, 10.2414) * CHOOSE(CONTROL!$C$21, $C$9, 100%, $E$9)</f>
        <v>10.241400000000001</v>
      </c>
      <c r="R345" s="10">
        <f>CHOOSE(CONTROL!$C$42, 10.854, 10.854) * CHOOSE(CONTROL!$C$21, $C$9, 100%, $E$9)</f>
        <v>10.853999999999999</v>
      </c>
      <c r="S345" s="10">
        <f>CHOOSE(CONTROL!$C$42, 9.2447, 9.2447) * CHOOSE(CONTROL!$C$21, $C$9, 100%, $E$9)</f>
        <v>9.2446999999999999</v>
      </c>
      <c r="T345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345" s="58">
        <f>(1000*CHOOSE(CONTROL!$C$42, 695, 695)*CHOOSE(CONTROL!$C$42, 0.5599, 0.5599)*CHOOSE(CONTROL!$C$42, 30, 30))/1000000</f>
        <v>11.673914999999997</v>
      </c>
      <c r="V345" s="58">
        <f>(1000*CHOOSE(CONTROL!$C$42, 500, 500)*CHOOSE(CONTROL!$C$42, 0.275, 0.275)*CHOOSE(CONTROL!$C$42, 30, 30))/1000000</f>
        <v>4.125</v>
      </c>
      <c r="W345" s="58">
        <f>(1000*CHOOSE(CONTROL!$C$42, 0.1146, 0.1146)*CHOOSE(CONTROL!$C$42, 121.5, 121.5)*CHOOSE(CONTROL!$C$42, 30, 30))/1000000</f>
        <v>0.417717</v>
      </c>
      <c r="X345" s="58">
        <f>(30*0.1790888*245000/1000000)+(30*0.2374*100000/1000000)</f>
        <v>2.0285026799999999</v>
      </c>
      <c r="Y345" s="58"/>
      <c r="Z345" s="10"/>
      <c r="AA345" s="57"/>
      <c r="AB345" s="51">
        <f>(B345*194.205+C345*267.466+D345*133.845+E345*53.484+F345*40+G345*185+H345*0+I345*100+J345*300)/(194.205+267.466+133.845+53.484+0+40+185+100+300)</f>
        <v>9.5481850383830462</v>
      </c>
      <c r="AC345" s="27">
        <f>(M345*'RAP TEMPLATE-GAS AVAILABILITY'!O344+N345*'RAP TEMPLATE-GAS AVAILABILITY'!P344+O345*'RAP TEMPLATE-GAS AVAILABILITY'!Q344+P345*'RAP TEMPLATE-GAS AVAILABILITY'!R344)/('RAP TEMPLATE-GAS AVAILABILITY'!O344+'RAP TEMPLATE-GAS AVAILABILITY'!P344+'RAP TEMPLATE-GAS AVAILABILITY'!Q344+'RAP TEMPLATE-GAS AVAILABILITY'!R344)</f>
        <v>9.4883388489208649</v>
      </c>
    </row>
    <row r="346" spans="1:29" ht="15.75" x14ac:dyDescent="0.25">
      <c r="A346" s="14">
        <v>51805</v>
      </c>
      <c r="B346" s="10">
        <f>CHOOSE(CONTROL!$C$42, 9.3288, 9.3288) * CHOOSE(CONTROL!$C$21, $C$9, 100%, $E$9)</f>
        <v>9.3287999999999993</v>
      </c>
      <c r="C346" s="10">
        <f>CHOOSE(CONTROL!$C$42, 9.334, 9.334) * CHOOSE(CONTROL!$C$21, $C$9, 100%, $E$9)</f>
        <v>9.3339999999999996</v>
      </c>
      <c r="D346" s="10">
        <f>CHOOSE(CONTROL!$C$42, 9.5175, 9.5175) * CHOOSE(CONTROL!$C$21, $C$9, 100%, $E$9)</f>
        <v>9.5175000000000001</v>
      </c>
      <c r="E346" s="10">
        <f>CHOOSE(CONTROL!$C$42, 9.5463, 9.5463) * CHOOSE(CONTROL!$C$21, $C$9, 100%, $E$9)</f>
        <v>9.5463000000000005</v>
      </c>
      <c r="F346" s="10">
        <f>CHOOSE(CONTROL!$C$42, 9.3171, 9.3171)*CHOOSE(CONTROL!$C$21, $C$9, 100%, $E$9)</f>
        <v>9.3170999999999999</v>
      </c>
      <c r="G346" s="10">
        <f>CHOOSE(CONTROL!$C$42, 9.335, 9.335)*CHOOSE(CONTROL!$C$21, $C$9, 100%, $E$9)</f>
        <v>9.3350000000000009</v>
      </c>
      <c r="H346" s="10">
        <f>CHOOSE(CONTROL!$C$42, 9.5368, 9.5368) * CHOOSE(CONTROL!$C$21, $C$9, 100%, $E$9)</f>
        <v>9.5367999999999995</v>
      </c>
      <c r="I346" s="10">
        <f>CHOOSE(CONTROL!$C$42, 9.3074, 9.3074)* CHOOSE(CONTROL!$C$21, $C$9, 100%, $E$9)</f>
        <v>9.3073999999999995</v>
      </c>
      <c r="J346" s="10">
        <f>CHOOSE(CONTROL!$C$42, 9.3101, 9.3101)* CHOOSE(CONTROL!$C$21, $C$9, 100%, $E$9)</f>
        <v>9.3101000000000003</v>
      </c>
      <c r="K346" s="54">
        <f>CHOOSE(CONTROL!$C$42, 9.3036, 9.3036) * CHOOSE(CONTROL!$C$21, $C$9, 100%, $E$9)</f>
        <v>9.3035999999999994</v>
      </c>
      <c r="L346" s="10">
        <f>CHOOSE(CONTROL!$C$42, 10.1238, 10.1238) * CHOOSE(CONTROL!$C$21, $C$9, 100%, $E$9)</f>
        <v>10.123799999999999</v>
      </c>
      <c r="M346" s="10">
        <f>CHOOSE(CONTROL!$C$42, 9.23, 9.23) * CHOOSE(CONTROL!$C$21, $C$9, 100%, $E$9)</f>
        <v>9.23</v>
      </c>
      <c r="N346" s="10">
        <f>CHOOSE(CONTROL!$C$42, 9.2477, 9.2477) * CHOOSE(CONTROL!$C$21, $C$9, 100%, $E$9)</f>
        <v>9.2477</v>
      </c>
      <c r="O346" s="10">
        <f>CHOOSE(CONTROL!$C$42, 9.4544, 9.4544) * CHOOSE(CONTROL!$C$21, $C$9, 100%, $E$9)</f>
        <v>9.4543999999999997</v>
      </c>
      <c r="P346" s="10">
        <f>CHOOSE(CONTROL!$C$42, 9.2274, 9.2274) * CHOOSE(CONTROL!$C$21, $C$9, 100%, $E$9)</f>
        <v>9.2273999999999994</v>
      </c>
      <c r="Q346" s="10">
        <f>CHOOSE(CONTROL!$C$42, 10.0497, 10.0497) * CHOOSE(CONTROL!$C$21, $C$9, 100%, $E$9)</f>
        <v>10.0497</v>
      </c>
      <c r="R346" s="10">
        <f>CHOOSE(CONTROL!$C$42, 10.6618, 10.6618) * CHOOSE(CONTROL!$C$21, $C$9, 100%, $E$9)</f>
        <v>10.661799999999999</v>
      </c>
      <c r="S346" s="10">
        <f>CHOOSE(CONTROL!$C$42, 9.0567, 9.0567) * CHOOSE(CONTROL!$C$21, $C$9, 100%, $E$9)</f>
        <v>9.0566999999999993</v>
      </c>
      <c r="T346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46" s="58">
        <f>(1000*CHOOSE(CONTROL!$C$42, 695, 695)*CHOOSE(CONTROL!$C$42, 0.5599, 0.5599)*CHOOSE(CONTROL!$C$42, 31, 31))/1000000</f>
        <v>12.063045499999998</v>
      </c>
      <c r="V346" s="58">
        <f>(1000*CHOOSE(CONTROL!$C$42, 500, 500)*CHOOSE(CONTROL!$C$42, 0.275, 0.275)*CHOOSE(CONTROL!$C$42, 31, 31))/1000000</f>
        <v>4.2625000000000002</v>
      </c>
      <c r="W346" s="58">
        <f>(1000*CHOOSE(CONTROL!$C$42, 0.1146, 0.1146)*CHOOSE(CONTROL!$C$42, 121.5, 121.5)*CHOOSE(CONTROL!$C$42, 31, 31))/1000000</f>
        <v>0.43164089999999994</v>
      </c>
      <c r="X346" s="58">
        <f>(31*0.1790888*245000/1000000)+(31*0.2374*100000/1000000)</f>
        <v>2.0961194359999999</v>
      </c>
      <c r="Y346" s="58"/>
      <c r="Z346" s="10"/>
      <c r="AA346" s="57"/>
      <c r="AB346" s="51">
        <f>(B346*131.881+C346*277.167+D346*79.08+E346*125.872+F346*40+G346*185+H346*0+I346*100+J346*300)/(131.881+277.167+79.08+125.872+0+40+185+100+300)</f>
        <v>9.3583963070217919</v>
      </c>
      <c r="AC346" s="27">
        <f>(M346*'RAP TEMPLATE-GAS AVAILABILITY'!O345+N346*'RAP TEMPLATE-GAS AVAILABILITY'!P345+O346*'RAP TEMPLATE-GAS AVAILABILITY'!Q345+P346*'RAP TEMPLATE-GAS AVAILABILITY'!R345)/('RAP TEMPLATE-GAS AVAILABILITY'!O345+'RAP TEMPLATE-GAS AVAILABILITY'!P345+'RAP TEMPLATE-GAS AVAILABILITY'!Q345+'RAP TEMPLATE-GAS AVAILABILITY'!R345)</f>
        <v>9.2966618705035984</v>
      </c>
    </row>
    <row r="347" spans="1:29" ht="15.75" x14ac:dyDescent="0.25">
      <c r="A347" s="14">
        <v>51835</v>
      </c>
      <c r="B347" s="10">
        <f>CHOOSE(CONTROL!$C$42, 9.5741, 9.5741) * CHOOSE(CONTROL!$C$21, $C$9, 100%, $E$9)</f>
        <v>9.5740999999999996</v>
      </c>
      <c r="C347" s="10">
        <f>CHOOSE(CONTROL!$C$42, 9.579, 9.579) * CHOOSE(CONTROL!$C$21, $C$9, 100%, $E$9)</f>
        <v>9.5790000000000006</v>
      </c>
      <c r="D347" s="10">
        <f>CHOOSE(CONTROL!$C$42, 9.6086, 9.6086) * CHOOSE(CONTROL!$C$21, $C$9, 100%, $E$9)</f>
        <v>9.6085999999999991</v>
      </c>
      <c r="E347" s="10">
        <f>CHOOSE(CONTROL!$C$42, 9.6424, 9.6424) * CHOOSE(CONTROL!$C$21, $C$9, 100%, $E$9)</f>
        <v>9.6424000000000003</v>
      </c>
      <c r="F347" s="10">
        <f>CHOOSE(CONTROL!$C$42, 9.5598, 9.5598)*CHOOSE(CONTROL!$C$21, $C$9, 100%, $E$9)</f>
        <v>9.5597999999999992</v>
      </c>
      <c r="G347" s="10">
        <f>CHOOSE(CONTROL!$C$42, 9.5779, 9.5779)*CHOOSE(CONTROL!$C$21, $C$9, 100%, $E$9)</f>
        <v>9.5778999999999996</v>
      </c>
      <c r="H347" s="10">
        <f>CHOOSE(CONTROL!$C$42, 9.6316, 9.6316) * CHOOSE(CONTROL!$C$21, $C$9, 100%, $E$9)</f>
        <v>9.6316000000000006</v>
      </c>
      <c r="I347" s="10">
        <f>CHOOSE(CONTROL!$C$42, 9.5403, 9.5403)* CHOOSE(CONTROL!$C$21, $C$9, 100%, $E$9)</f>
        <v>9.5403000000000002</v>
      </c>
      <c r="J347" s="10">
        <f>CHOOSE(CONTROL!$C$42, 9.5528, 9.5528)* CHOOSE(CONTROL!$C$21, $C$9, 100%, $E$9)</f>
        <v>9.5527999999999995</v>
      </c>
      <c r="K347" s="54">
        <f>CHOOSE(CONTROL!$C$42, 9.5364, 9.5364) * CHOOSE(CONTROL!$C$21, $C$9, 100%, $E$9)</f>
        <v>9.5364000000000004</v>
      </c>
      <c r="L347" s="10">
        <f>CHOOSE(CONTROL!$C$42, 10.2186, 10.2186) * CHOOSE(CONTROL!$C$21, $C$9, 100%, $E$9)</f>
        <v>10.2186</v>
      </c>
      <c r="M347" s="10">
        <f>CHOOSE(CONTROL!$C$42, 9.4703, 9.4703) * CHOOSE(CONTROL!$C$21, $C$9, 100%, $E$9)</f>
        <v>9.4702999999999999</v>
      </c>
      <c r="N347" s="10">
        <f>CHOOSE(CONTROL!$C$42, 9.4881, 9.4881) * CHOOSE(CONTROL!$C$21, $C$9, 100%, $E$9)</f>
        <v>9.4880999999999993</v>
      </c>
      <c r="O347" s="10">
        <f>CHOOSE(CONTROL!$C$42, 9.5482, 9.5482) * CHOOSE(CONTROL!$C$21, $C$9, 100%, $E$9)</f>
        <v>9.5481999999999996</v>
      </c>
      <c r="P347" s="10">
        <f>CHOOSE(CONTROL!$C$42, 9.4578, 9.4578) * CHOOSE(CONTROL!$C$21, $C$9, 100%, $E$9)</f>
        <v>9.4578000000000007</v>
      </c>
      <c r="Q347" s="10">
        <f>CHOOSE(CONTROL!$C$42, 10.1435, 10.1435) * CHOOSE(CONTROL!$C$21, $C$9, 100%, $E$9)</f>
        <v>10.1435</v>
      </c>
      <c r="R347" s="10">
        <f>CHOOSE(CONTROL!$C$42, 10.7559, 10.7559) * CHOOSE(CONTROL!$C$21, $C$9, 100%, $E$9)</f>
        <v>10.7559</v>
      </c>
      <c r="S347" s="10">
        <f>CHOOSE(CONTROL!$C$42, 9.2953, 9.2953) * CHOOSE(CONTROL!$C$21, $C$9, 100%, $E$9)</f>
        <v>9.2952999999999992</v>
      </c>
      <c r="T347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47" s="58">
        <f>(1000*CHOOSE(CONTROL!$C$42, 695, 695)*CHOOSE(CONTROL!$C$42, 0.5599, 0.5599)*CHOOSE(CONTROL!$C$42, 30, 30))/1000000</f>
        <v>11.673914999999997</v>
      </c>
      <c r="V347" s="58">
        <f>(1000*CHOOSE(CONTROL!$C$42, 500, 500)*CHOOSE(CONTROL!$C$42, 0.275, 0.275)*CHOOSE(CONTROL!$C$42, 30, 30))/1000000</f>
        <v>4.125</v>
      </c>
      <c r="W347" s="58">
        <f>(1000*CHOOSE(CONTROL!$C$42, 0.1146, 0.1146)*CHOOSE(CONTROL!$C$42, 121.5, 121.5)*CHOOSE(CONTROL!$C$42, 30, 30))/1000000</f>
        <v>0.417717</v>
      </c>
      <c r="X347" s="58">
        <f>(30*0.1790888*100000/1000000)+(30*0.2374*100000/1000000)</f>
        <v>1.2494664</v>
      </c>
      <c r="Y347" s="58"/>
      <c r="Z347" s="10"/>
      <c r="AA347" s="57"/>
      <c r="AB347" s="51">
        <f>(B347*122.58+C347*297.941+D347*89.177+E347*40.302+F347*40+G347*160+H347*0+I347*100+J347*300)/(122.58+297.941+89.177+40.302+0+40+160+100+300)</f>
        <v>9.5719740382608691</v>
      </c>
      <c r="AC347" s="27">
        <f>(M347*'RAP TEMPLATE-GAS AVAILABILITY'!O346+N347*'RAP TEMPLATE-GAS AVAILABILITY'!P346+O347*'RAP TEMPLATE-GAS AVAILABILITY'!Q346+P347*'RAP TEMPLATE-GAS AVAILABILITY'!R346)/('RAP TEMPLATE-GAS AVAILABILITY'!O346+'RAP TEMPLATE-GAS AVAILABILITY'!P346+'RAP TEMPLATE-GAS AVAILABILITY'!Q346+'RAP TEMPLATE-GAS AVAILABILITY'!R346)</f>
        <v>9.5048330935251784</v>
      </c>
    </row>
    <row r="348" spans="1:29" ht="15.75" x14ac:dyDescent="0.25">
      <c r="A348" s="14">
        <v>51866</v>
      </c>
      <c r="B348" s="10">
        <f>CHOOSE(CONTROL!$C$42, 10.2266, 10.2266) * CHOOSE(CONTROL!$C$21, $C$9, 100%, $E$9)</f>
        <v>10.226599999999999</v>
      </c>
      <c r="C348" s="10">
        <f>CHOOSE(CONTROL!$C$42, 10.2316, 10.2316) * CHOOSE(CONTROL!$C$21, $C$9, 100%, $E$9)</f>
        <v>10.2316</v>
      </c>
      <c r="D348" s="10">
        <f>CHOOSE(CONTROL!$C$42, 10.2612, 10.2612) * CHOOSE(CONTROL!$C$21, $C$9, 100%, $E$9)</f>
        <v>10.261200000000001</v>
      </c>
      <c r="E348" s="10">
        <f>CHOOSE(CONTROL!$C$42, 10.295, 10.295) * CHOOSE(CONTROL!$C$21, $C$9, 100%, $E$9)</f>
        <v>10.295</v>
      </c>
      <c r="F348" s="10">
        <f>CHOOSE(CONTROL!$C$42, 10.2139, 10.2139)*CHOOSE(CONTROL!$C$21, $C$9, 100%, $E$9)</f>
        <v>10.213900000000001</v>
      </c>
      <c r="G348" s="10">
        <f>CHOOSE(CONTROL!$C$42, 10.2324, 10.2324)*CHOOSE(CONTROL!$C$21, $C$9, 100%, $E$9)</f>
        <v>10.2324</v>
      </c>
      <c r="H348" s="10">
        <f>CHOOSE(CONTROL!$C$42, 10.2842, 10.2842) * CHOOSE(CONTROL!$C$21, $C$9, 100%, $E$9)</f>
        <v>10.2842</v>
      </c>
      <c r="I348" s="10">
        <f>CHOOSE(CONTROL!$C$42, 10.1928, 10.1928)* CHOOSE(CONTROL!$C$21, $C$9, 100%, $E$9)</f>
        <v>10.1928</v>
      </c>
      <c r="J348" s="10">
        <f>CHOOSE(CONTROL!$C$42, 10.2069, 10.2069)* CHOOSE(CONTROL!$C$21, $C$9, 100%, $E$9)</f>
        <v>10.206899999999999</v>
      </c>
      <c r="K348" s="54">
        <f>CHOOSE(CONTROL!$C$42, 10.1889, 10.1889) * CHOOSE(CONTROL!$C$21, $C$9, 100%, $E$9)</f>
        <v>10.1889</v>
      </c>
      <c r="L348" s="10">
        <f>CHOOSE(CONTROL!$C$42, 10.8712, 10.8712) * CHOOSE(CONTROL!$C$21, $C$9, 100%, $E$9)</f>
        <v>10.8712</v>
      </c>
      <c r="M348" s="10">
        <f>CHOOSE(CONTROL!$C$42, 10.1178, 10.1178) * CHOOSE(CONTROL!$C$21, $C$9, 100%, $E$9)</f>
        <v>10.117800000000001</v>
      </c>
      <c r="N348" s="10">
        <f>CHOOSE(CONTROL!$C$42, 10.136, 10.136) * CHOOSE(CONTROL!$C$21, $C$9, 100%, $E$9)</f>
        <v>10.135999999999999</v>
      </c>
      <c r="O348" s="10">
        <f>CHOOSE(CONTROL!$C$42, 10.1942, 10.1942) * CHOOSE(CONTROL!$C$21, $C$9, 100%, $E$9)</f>
        <v>10.1942</v>
      </c>
      <c r="P348" s="10">
        <f>CHOOSE(CONTROL!$C$42, 10.1038, 10.1038) * CHOOSE(CONTROL!$C$21, $C$9, 100%, $E$9)</f>
        <v>10.1038</v>
      </c>
      <c r="Q348" s="10">
        <f>CHOOSE(CONTROL!$C$42, 10.7895, 10.7895) * CHOOSE(CONTROL!$C$21, $C$9, 100%, $E$9)</f>
        <v>10.7895</v>
      </c>
      <c r="R348" s="10">
        <f>CHOOSE(CONTROL!$C$42, 11.4035, 11.4035) * CHOOSE(CONTROL!$C$21, $C$9, 100%, $E$9)</f>
        <v>11.403499999999999</v>
      </c>
      <c r="S348" s="10">
        <f>CHOOSE(CONTROL!$C$42, 9.9289, 9.9289) * CHOOSE(CONTROL!$C$21, $C$9, 100%, $E$9)</f>
        <v>9.9289000000000005</v>
      </c>
      <c r="T348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48" s="58">
        <f>(1000*CHOOSE(CONTROL!$C$42, 695, 695)*CHOOSE(CONTROL!$C$42, 0.5599, 0.5599)*CHOOSE(CONTROL!$C$42, 31, 31))/1000000</f>
        <v>12.063045499999998</v>
      </c>
      <c r="V348" s="58">
        <f>(1000*CHOOSE(CONTROL!$C$42, 500, 500)*CHOOSE(CONTROL!$C$42, 0.275, 0.275)*CHOOSE(CONTROL!$C$42, 31, 31))/1000000</f>
        <v>4.2625000000000002</v>
      </c>
      <c r="W348" s="58">
        <f>(1000*CHOOSE(CONTROL!$C$42, 0.1146, 0.1146)*CHOOSE(CONTROL!$C$42, 121.5, 121.5)*CHOOSE(CONTROL!$C$42, 31, 31))/1000000</f>
        <v>0.43164089999999994</v>
      </c>
      <c r="X348" s="58">
        <f>(31*0.1790888*100000/1000000)+(31*0.2374*100000/1000000)</f>
        <v>1.2911152800000001</v>
      </c>
      <c r="Y348" s="58"/>
      <c r="Z348" s="10"/>
      <c r="AA348" s="57"/>
      <c r="AB348" s="51">
        <f>(B348*122.58+C348*297.941+D348*89.177+E348*40.302+F348*40+G348*160+H348*0+I348*100+J348*300)/(122.58+297.941+89.177+40.302+0+40+160+100+300)</f>
        <v>10.225262509565217</v>
      </c>
      <c r="AC348" s="27">
        <f>(M348*'RAP TEMPLATE-GAS AVAILABILITY'!O347+N348*'RAP TEMPLATE-GAS AVAILABILITY'!P347+O348*'RAP TEMPLATE-GAS AVAILABILITY'!Q347+P348*'RAP TEMPLATE-GAS AVAILABILITY'!R347)/('RAP TEMPLATE-GAS AVAILABILITY'!O347+'RAP TEMPLATE-GAS AVAILABILITY'!P347+'RAP TEMPLATE-GAS AVAILABILITY'!Q347+'RAP TEMPLATE-GAS AVAILABILITY'!R347)</f>
        <v>10.151460431654677</v>
      </c>
    </row>
    <row r="349" spans="1:29" ht="15.75" x14ac:dyDescent="0.25">
      <c r="A349" s="14">
        <v>51897</v>
      </c>
      <c r="B349" s="10">
        <f>CHOOSE(CONTROL!$C$42, 10.9167, 10.9167) * CHOOSE(CONTROL!$C$21, $C$9, 100%, $E$9)</f>
        <v>10.916700000000001</v>
      </c>
      <c r="C349" s="10">
        <f>CHOOSE(CONTROL!$C$42, 10.9216, 10.9216) * CHOOSE(CONTROL!$C$21, $C$9, 100%, $E$9)</f>
        <v>10.9216</v>
      </c>
      <c r="D349" s="10">
        <f>CHOOSE(CONTROL!$C$42, 10.9718, 10.9718) * CHOOSE(CONTROL!$C$21, $C$9, 100%, $E$9)</f>
        <v>10.9718</v>
      </c>
      <c r="E349" s="10">
        <f>CHOOSE(CONTROL!$C$42, 11.0056, 11.0056) * CHOOSE(CONTROL!$C$21, $C$9, 100%, $E$9)</f>
        <v>11.005599999999999</v>
      </c>
      <c r="F349" s="10">
        <f>CHOOSE(CONTROL!$C$42, 10.882, 10.882)*CHOOSE(CONTROL!$C$21, $C$9, 100%, $E$9)</f>
        <v>10.882</v>
      </c>
      <c r="G349" s="10">
        <f>CHOOSE(CONTROL!$C$42, 10.8996, 10.8996)*CHOOSE(CONTROL!$C$21, $C$9, 100%, $E$9)</f>
        <v>10.8996</v>
      </c>
      <c r="H349" s="10">
        <f>CHOOSE(CONTROL!$C$42, 10.9948, 10.9948) * CHOOSE(CONTROL!$C$21, $C$9, 100%, $E$9)</f>
        <v>10.9948</v>
      </c>
      <c r="I349" s="10">
        <f>CHOOSE(CONTROL!$C$42, 10.8906, 10.8906)* CHOOSE(CONTROL!$C$21, $C$9, 100%, $E$9)</f>
        <v>10.890599999999999</v>
      </c>
      <c r="J349" s="10">
        <f>CHOOSE(CONTROL!$C$42, 10.875, 10.875)* CHOOSE(CONTROL!$C$21, $C$9, 100%, $E$9)</f>
        <v>10.875</v>
      </c>
      <c r="K349" s="54">
        <f>CHOOSE(CONTROL!$C$42, 10.8867, 10.8867) * CHOOSE(CONTROL!$C$21, $C$9, 100%, $E$9)</f>
        <v>10.886699999999999</v>
      </c>
      <c r="L349" s="10">
        <f>CHOOSE(CONTROL!$C$42, 11.5818, 11.5818) * CHOOSE(CONTROL!$C$21, $C$9, 100%, $E$9)</f>
        <v>11.581799999999999</v>
      </c>
      <c r="M349" s="10">
        <f>CHOOSE(CONTROL!$C$42, 10.7791, 10.7791) * CHOOSE(CONTROL!$C$21, $C$9, 100%, $E$9)</f>
        <v>10.7791</v>
      </c>
      <c r="N349" s="10">
        <f>CHOOSE(CONTROL!$C$42, 10.7965, 10.7965) * CHOOSE(CONTROL!$C$21, $C$9, 100%, $E$9)</f>
        <v>10.7965</v>
      </c>
      <c r="O349" s="10">
        <f>CHOOSE(CONTROL!$C$42, 10.8977, 10.8977) * CHOOSE(CONTROL!$C$21, $C$9, 100%, $E$9)</f>
        <v>10.8977</v>
      </c>
      <c r="P349" s="10">
        <f>CHOOSE(CONTROL!$C$42, 10.7945, 10.7945) * CHOOSE(CONTROL!$C$21, $C$9, 100%, $E$9)</f>
        <v>10.794499999999999</v>
      </c>
      <c r="Q349" s="10">
        <f>CHOOSE(CONTROL!$C$42, 11.493, 11.493) * CHOOSE(CONTROL!$C$21, $C$9, 100%, $E$9)</f>
        <v>11.493</v>
      </c>
      <c r="R349" s="10">
        <f>CHOOSE(CONTROL!$C$42, 12.1087, 12.1087) * CHOOSE(CONTROL!$C$21, $C$9, 100%, $E$9)</f>
        <v>12.108700000000001</v>
      </c>
      <c r="S349" s="10">
        <f>CHOOSE(CONTROL!$C$42, 10.599, 10.599) * CHOOSE(CONTROL!$C$21, $C$9, 100%, $E$9)</f>
        <v>10.599</v>
      </c>
      <c r="T349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49" s="58">
        <f>(1000*CHOOSE(CONTROL!$C$42, 695, 695)*CHOOSE(CONTROL!$C$42, 0.5599, 0.5599)*CHOOSE(CONTROL!$C$42, 31, 31))/1000000</f>
        <v>12.063045499999998</v>
      </c>
      <c r="V349" s="58">
        <f>(1000*CHOOSE(CONTROL!$C$42, 500, 500)*CHOOSE(CONTROL!$C$42, 0.275, 0.275)*CHOOSE(CONTROL!$C$42, 31, 31))/1000000</f>
        <v>4.2625000000000002</v>
      </c>
      <c r="W349" s="58">
        <f>(1000*CHOOSE(CONTROL!$C$42, 0.1146, 0.1146)*CHOOSE(CONTROL!$C$42, 121.5, 121.5)*CHOOSE(CONTROL!$C$42, 31, 31))/1000000</f>
        <v>0.43164089999999994</v>
      </c>
      <c r="X349" s="58">
        <f>(31*0.1790888*100000/1000000)+(31*0.2374*100000/1000000)</f>
        <v>1.2911152800000001</v>
      </c>
      <c r="Y349" s="58"/>
      <c r="Z349" s="10"/>
      <c r="AA349" s="57"/>
      <c r="AB349" s="51">
        <f>(B349*122.58+C349*297.941+D349*89.177+E349*40.302+F349*40+G349*160+H349*0+I349*100+J349*300)/(122.58+297.941+89.177+40.302+0+40+160+100+300)</f>
        <v>10.908623836</v>
      </c>
      <c r="AC349" s="27">
        <f>(M349*'RAP TEMPLATE-GAS AVAILABILITY'!O348+N349*'RAP TEMPLATE-GAS AVAILABILITY'!P348+O349*'RAP TEMPLATE-GAS AVAILABILITY'!Q348+P349*'RAP TEMPLATE-GAS AVAILABILITY'!R348)/('RAP TEMPLATE-GAS AVAILABILITY'!O348+'RAP TEMPLATE-GAS AVAILABILITY'!P348+'RAP TEMPLATE-GAS AVAILABILITY'!Q348+'RAP TEMPLATE-GAS AVAILABILITY'!R348)</f>
        <v>10.836071223021584</v>
      </c>
    </row>
    <row r="350" spans="1:29" ht="15.75" x14ac:dyDescent="0.25">
      <c r="A350" s="14">
        <v>51925</v>
      </c>
      <c r="B350" s="10">
        <f>CHOOSE(CONTROL!$C$42, 11.1109, 11.1109) * CHOOSE(CONTROL!$C$21, $C$9, 100%, $E$9)</f>
        <v>11.110900000000001</v>
      </c>
      <c r="C350" s="10">
        <f>CHOOSE(CONTROL!$C$42, 11.1159, 11.1159) * CHOOSE(CONTROL!$C$21, $C$9, 100%, $E$9)</f>
        <v>11.1159</v>
      </c>
      <c r="D350" s="10">
        <f>CHOOSE(CONTROL!$C$42, 11.233, 11.233) * CHOOSE(CONTROL!$C$21, $C$9, 100%, $E$9)</f>
        <v>11.233000000000001</v>
      </c>
      <c r="E350" s="10">
        <f>CHOOSE(CONTROL!$C$42, 11.2668, 11.2668) * CHOOSE(CONTROL!$C$21, $C$9, 100%, $E$9)</f>
        <v>11.2668</v>
      </c>
      <c r="F350" s="10">
        <f>CHOOSE(CONTROL!$C$42, 11.1885, 11.1885)*CHOOSE(CONTROL!$C$21, $C$9, 100%, $E$9)</f>
        <v>11.188499999999999</v>
      </c>
      <c r="G350" s="10">
        <f>CHOOSE(CONTROL!$C$42, 11.2104, 11.2104)*CHOOSE(CONTROL!$C$21, $C$9, 100%, $E$9)</f>
        <v>11.2104</v>
      </c>
      <c r="H350" s="10">
        <f>CHOOSE(CONTROL!$C$42, 11.256, 11.256) * CHOOSE(CONTROL!$C$21, $C$9, 100%, $E$9)</f>
        <v>11.256</v>
      </c>
      <c r="I350" s="10">
        <f>CHOOSE(CONTROL!$C$42, 11.1466, 11.1466)* CHOOSE(CONTROL!$C$21, $C$9, 100%, $E$9)</f>
        <v>11.146599999999999</v>
      </c>
      <c r="J350" s="10">
        <f>CHOOSE(CONTROL!$C$42, 11.1815, 11.1815)* CHOOSE(CONTROL!$C$21, $C$9, 100%, $E$9)</f>
        <v>11.1815</v>
      </c>
      <c r="K350" s="54">
        <f>CHOOSE(CONTROL!$C$42, 11.1427, 11.1427) * CHOOSE(CONTROL!$C$21, $C$9, 100%, $E$9)</f>
        <v>11.1427</v>
      </c>
      <c r="L350" s="10">
        <f>CHOOSE(CONTROL!$C$42, 11.843, 11.843) * CHOOSE(CONTROL!$C$21, $C$9, 100%, $E$9)</f>
        <v>11.843</v>
      </c>
      <c r="M350" s="10">
        <f>CHOOSE(CONTROL!$C$42, 11.0825, 11.0825) * CHOOSE(CONTROL!$C$21, $C$9, 100%, $E$9)</f>
        <v>11.0825</v>
      </c>
      <c r="N350" s="10">
        <f>CHOOSE(CONTROL!$C$42, 11.1042, 11.1042) * CHOOSE(CONTROL!$C$21, $C$9, 100%, $E$9)</f>
        <v>11.104200000000001</v>
      </c>
      <c r="O350" s="10">
        <f>CHOOSE(CONTROL!$C$42, 11.1562, 11.1562) * CHOOSE(CONTROL!$C$21, $C$9, 100%, $E$9)</f>
        <v>11.1562</v>
      </c>
      <c r="P350" s="10">
        <f>CHOOSE(CONTROL!$C$42, 11.048, 11.048) * CHOOSE(CONTROL!$C$21, $C$9, 100%, $E$9)</f>
        <v>11.048</v>
      </c>
      <c r="Q350" s="10">
        <f>CHOOSE(CONTROL!$C$42, 11.7515, 11.7515) * CHOOSE(CONTROL!$C$21, $C$9, 100%, $E$9)</f>
        <v>11.7515</v>
      </c>
      <c r="R350" s="10">
        <f>CHOOSE(CONTROL!$C$42, 12.3679, 12.3679) * CHOOSE(CONTROL!$C$21, $C$9, 100%, $E$9)</f>
        <v>12.367900000000001</v>
      </c>
      <c r="S350" s="10">
        <f>CHOOSE(CONTROL!$C$42, 10.7877, 10.7877) * CHOOSE(CONTROL!$C$21, $C$9, 100%, $E$9)</f>
        <v>10.787699999999999</v>
      </c>
      <c r="T350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350" s="58">
        <f>(1000*CHOOSE(CONTROL!$C$42, 695, 695)*CHOOSE(CONTROL!$C$42, 0.5599, 0.5599)*CHOOSE(CONTROL!$C$42, 28, 28))/1000000</f>
        <v>10.895653999999999</v>
      </c>
      <c r="V350" s="58">
        <f>(1000*CHOOSE(CONTROL!$C$42, 500, 500)*CHOOSE(CONTROL!$C$42, 0.275, 0.275)*CHOOSE(CONTROL!$C$42, 28, 28))/1000000</f>
        <v>3.85</v>
      </c>
      <c r="W350" s="58">
        <f>(1000*CHOOSE(CONTROL!$C$42, 0.1146, 0.1146)*CHOOSE(CONTROL!$C$42, 121.5, 121.5)*CHOOSE(CONTROL!$C$42, 28, 28))/1000000</f>
        <v>0.38986920000000003</v>
      </c>
      <c r="X350" s="58">
        <f>(28*0.1790888*100000/1000000)+(28*0.2374*100000/1000000)</f>
        <v>1.16616864</v>
      </c>
      <c r="Y350" s="58"/>
      <c r="Z350" s="10"/>
      <c r="AA350" s="57"/>
      <c r="AB350" s="51">
        <f>(B350*122.58+C350*297.941+D350*89.177+E350*40.302+F350*40+G350*160+H350*0+I350*100+J350*300)/(122.58+297.941+89.177+40.302+0+40+160+100+300)</f>
        <v>11.165191563913044</v>
      </c>
      <c r="AC350" s="27">
        <f>(M350*'RAP TEMPLATE-GAS AVAILABILITY'!O349+N350*'RAP TEMPLATE-GAS AVAILABILITY'!P349+O350*'RAP TEMPLATE-GAS AVAILABILITY'!Q349+P350*'RAP TEMPLATE-GAS AVAILABILITY'!R349)/('RAP TEMPLATE-GAS AVAILABILITY'!O349+'RAP TEMPLATE-GAS AVAILABILITY'!P349+'RAP TEMPLATE-GAS AVAILABILITY'!Q349+'RAP TEMPLATE-GAS AVAILABILITY'!R349)</f>
        <v>11.112188489208634</v>
      </c>
    </row>
    <row r="351" spans="1:29" ht="15.75" x14ac:dyDescent="0.25">
      <c r="A351" s="14">
        <v>51956</v>
      </c>
      <c r="B351" s="10">
        <f>CHOOSE(CONTROL!$C$42, 10.7956, 10.7956) * CHOOSE(CONTROL!$C$21, $C$9, 100%, $E$9)</f>
        <v>10.7956</v>
      </c>
      <c r="C351" s="10">
        <f>CHOOSE(CONTROL!$C$42, 10.8005, 10.8005) * CHOOSE(CONTROL!$C$21, $C$9, 100%, $E$9)</f>
        <v>10.8005</v>
      </c>
      <c r="D351" s="10">
        <f>CHOOSE(CONTROL!$C$42, 10.8919, 10.8919) * CHOOSE(CONTROL!$C$21, $C$9, 100%, $E$9)</f>
        <v>10.8919</v>
      </c>
      <c r="E351" s="10">
        <f>CHOOSE(CONTROL!$C$42, 10.9257, 10.9257) * CHOOSE(CONTROL!$C$21, $C$9, 100%, $E$9)</f>
        <v>10.925700000000001</v>
      </c>
      <c r="F351" s="10">
        <f>CHOOSE(CONTROL!$C$42, 10.8254, 10.8254)*CHOOSE(CONTROL!$C$21, $C$9, 100%, $E$9)</f>
        <v>10.8254</v>
      </c>
      <c r="G351" s="10">
        <f>CHOOSE(CONTROL!$C$42, 10.8449, 10.8449)*CHOOSE(CONTROL!$C$21, $C$9, 100%, $E$9)</f>
        <v>10.844900000000001</v>
      </c>
      <c r="H351" s="10">
        <f>CHOOSE(CONTROL!$C$42, 10.9149, 10.9149) * CHOOSE(CONTROL!$C$21, $C$9, 100%, $E$9)</f>
        <v>10.914899999999999</v>
      </c>
      <c r="I351" s="10">
        <f>CHOOSE(CONTROL!$C$42, 10.8184, 10.8184)* CHOOSE(CONTROL!$C$21, $C$9, 100%, $E$9)</f>
        <v>10.8184</v>
      </c>
      <c r="J351" s="10">
        <f>CHOOSE(CONTROL!$C$42, 10.8184, 10.8184)* CHOOSE(CONTROL!$C$21, $C$9, 100%, $E$9)</f>
        <v>10.8184</v>
      </c>
      <c r="K351" s="54">
        <f>CHOOSE(CONTROL!$C$42, 10.8145, 10.8145) * CHOOSE(CONTROL!$C$21, $C$9, 100%, $E$9)</f>
        <v>10.814500000000001</v>
      </c>
      <c r="L351" s="10">
        <f>CHOOSE(CONTROL!$C$42, 11.5019, 11.5019) * CHOOSE(CONTROL!$C$21, $C$9, 100%, $E$9)</f>
        <v>11.501899999999999</v>
      </c>
      <c r="M351" s="10">
        <f>CHOOSE(CONTROL!$C$42, 10.7231, 10.7231) * CHOOSE(CONTROL!$C$21, $C$9, 100%, $E$9)</f>
        <v>10.723100000000001</v>
      </c>
      <c r="N351" s="10">
        <f>CHOOSE(CONTROL!$C$42, 10.7424, 10.7424) * CHOOSE(CONTROL!$C$21, $C$9, 100%, $E$9)</f>
        <v>10.7424</v>
      </c>
      <c r="O351" s="10">
        <f>CHOOSE(CONTROL!$C$42, 10.8186, 10.8186) * CHOOSE(CONTROL!$C$21, $C$9, 100%, $E$9)</f>
        <v>10.8186</v>
      </c>
      <c r="P351" s="10">
        <f>CHOOSE(CONTROL!$C$42, 10.7231, 10.7231) * CHOOSE(CONTROL!$C$21, $C$9, 100%, $E$9)</f>
        <v>10.723100000000001</v>
      </c>
      <c r="Q351" s="10">
        <f>CHOOSE(CONTROL!$C$42, 11.4139, 11.4139) * CHOOSE(CONTROL!$C$21, $C$9, 100%, $E$9)</f>
        <v>11.4139</v>
      </c>
      <c r="R351" s="10">
        <f>CHOOSE(CONTROL!$C$42, 12.0294, 12.0294) * CHOOSE(CONTROL!$C$21, $C$9, 100%, $E$9)</f>
        <v>12.029400000000001</v>
      </c>
      <c r="S351" s="10">
        <f>CHOOSE(CONTROL!$C$42, 10.4815, 10.4815) * CHOOSE(CONTROL!$C$21, $C$9, 100%, $E$9)</f>
        <v>10.4815</v>
      </c>
      <c r="T351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51" s="58">
        <f>(1000*CHOOSE(CONTROL!$C$42, 695, 695)*CHOOSE(CONTROL!$C$42, 0.5599, 0.5599)*CHOOSE(CONTROL!$C$42, 31, 31))/1000000</f>
        <v>12.063045499999998</v>
      </c>
      <c r="V351" s="58">
        <f>(1000*CHOOSE(CONTROL!$C$42, 500, 500)*CHOOSE(CONTROL!$C$42, 0.275, 0.275)*CHOOSE(CONTROL!$C$42, 31, 31))/1000000</f>
        <v>4.2625000000000002</v>
      </c>
      <c r="W351" s="58">
        <f>(1000*CHOOSE(CONTROL!$C$42, 0.1146, 0.1146)*CHOOSE(CONTROL!$C$42, 121.5, 121.5)*CHOOSE(CONTROL!$C$42, 31, 31))/1000000</f>
        <v>0.43164089999999994</v>
      </c>
      <c r="X351" s="58">
        <f>(31*0.1790888*100000/1000000)+(31*0.2374*100000/1000000)</f>
        <v>1.2911152800000001</v>
      </c>
      <c r="Y351" s="58"/>
      <c r="Z351" s="10"/>
      <c r="AA351" s="57"/>
      <c r="AB351" s="51">
        <f>(B351*122.58+C351*297.941+D351*89.177+E351*40.302+F351*40+G351*160+H351*0+I351*100+J351*300)/(122.58+297.941+89.177+40.302+0+40+160+100+300)</f>
        <v>10.824722561913044</v>
      </c>
      <c r="AC351" s="27">
        <f>(M351*'RAP TEMPLATE-GAS AVAILABILITY'!O350+N351*'RAP TEMPLATE-GAS AVAILABILITY'!P350+O351*'RAP TEMPLATE-GAS AVAILABILITY'!Q350+P351*'RAP TEMPLATE-GAS AVAILABILITY'!R350)/('RAP TEMPLATE-GAS AVAILABILITY'!O350+'RAP TEMPLATE-GAS AVAILABILITY'!P350+'RAP TEMPLATE-GAS AVAILABILITY'!Q350+'RAP TEMPLATE-GAS AVAILABILITY'!R350)</f>
        <v>10.767494964028776</v>
      </c>
    </row>
    <row r="352" spans="1:29" ht="15.75" x14ac:dyDescent="0.25">
      <c r="A352" s="14">
        <v>51986</v>
      </c>
      <c r="B352" s="10">
        <f>CHOOSE(CONTROL!$C$42, 10.764, 10.764) * CHOOSE(CONTROL!$C$21, $C$9, 100%, $E$9)</f>
        <v>10.763999999999999</v>
      </c>
      <c r="C352" s="10">
        <f>CHOOSE(CONTROL!$C$42, 10.7684, 10.7684) * CHOOSE(CONTROL!$C$21, $C$9, 100%, $E$9)</f>
        <v>10.7684</v>
      </c>
      <c r="D352" s="10">
        <f>CHOOSE(CONTROL!$C$42, 10.9501, 10.9501) * CHOOSE(CONTROL!$C$21, $C$9, 100%, $E$9)</f>
        <v>10.950100000000001</v>
      </c>
      <c r="E352" s="10">
        <f>CHOOSE(CONTROL!$C$42, 10.9819, 10.9819) * CHOOSE(CONTROL!$C$21, $C$9, 100%, $E$9)</f>
        <v>10.9819</v>
      </c>
      <c r="F352" s="10">
        <f>CHOOSE(CONTROL!$C$42, 10.7524, 10.7524)*CHOOSE(CONTROL!$C$21, $C$9, 100%, $E$9)</f>
        <v>10.7524</v>
      </c>
      <c r="G352" s="10">
        <f>CHOOSE(CONTROL!$C$42, 10.7704, 10.7704)*CHOOSE(CONTROL!$C$21, $C$9, 100%, $E$9)</f>
        <v>10.7704</v>
      </c>
      <c r="H352" s="10">
        <f>CHOOSE(CONTROL!$C$42, 10.9717, 10.9717) * CHOOSE(CONTROL!$C$21, $C$9, 100%, $E$9)</f>
        <v>10.9717</v>
      </c>
      <c r="I352" s="10">
        <f>CHOOSE(CONTROL!$C$42, 10.7423, 10.7423)* CHOOSE(CONTROL!$C$21, $C$9, 100%, $E$9)</f>
        <v>10.7423</v>
      </c>
      <c r="J352" s="10">
        <f>CHOOSE(CONTROL!$C$42, 10.7454, 10.7454)* CHOOSE(CONTROL!$C$21, $C$9, 100%, $E$9)</f>
        <v>10.7454</v>
      </c>
      <c r="K352" s="54">
        <f>CHOOSE(CONTROL!$C$42, 10.7384, 10.7384) * CHOOSE(CONTROL!$C$21, $C$9, 100%, $E$9)</f>
        <v>10.7384</v>
      </c>
      <c r="L352" s="10">
        <f>CHOOSE(CONTROL!$C$42, 11.5587, 11.5587) * CHOOSE(CONTROL!$C$21, $C$9, 100%, $E$9)</f>
        <v>11.5587</v>
      </c>
      <c r="M352" s="10">
        <f>CHOOSE(CONTROL!$C$42, 10.6508, 10.6508) * CHOOSE(CONTROL!$C$21, $C$9, 100%, $E$9)</f>
        <v>10.6508</v>
      </c>
      <c r="N352" s="10">
        <f>CHOOSE(CONTROL!$C$42, 10.6686, 10.6686) * CHOOSE(CONTROL!$C$21, $C$9, 100%, $E$9)</f>
        <v>10.6686</v>
      </c>
      <c r="O352" s="10">
        <f>CHOOSE(CONTROL!$C$42, 10.8748, 10.8748) * CHOOSE(CONTROL!$C$21, $C$9, 100%, $E$9)</f>
        <v>10.8748</v>
      </c>
      <c r="P352" s="10">
        <f>CHOOSE(CONTROL!$C$42, 10.6478, 10.6478) * CHOOSE(CONTROL!$C$21, $C$9, 100%, $E$9)</f>
        <v>10.6478</v>
      </c>
      <c r="Q352" s="10">
        <f>CHOOSE(CONTROL!$C$42, 11.4701, 11.4701) * CHOOSE(CONTROL!$C$21, $C$9, 100%, $E$9)</f>
        <v>11.4701</v>
      </c>
      <c r="R352" s="10">
        <f>CHOOSE(CONTROL!$C$42, 12.0857, 12.0857) * CHOOSE(CONTROL!$C$21, $C$9, 100%, $E$9)</f>
        <v>12.085699999999999</v>
      </c>
      <c r="S352" s="10">
        <f>CHOOSE(CONTROL!$C$42, 10.4501, 10.4501) * CHOOSE(CONTROL!$C$21, $C$9, 100%, $E$9)</f>
        <v>10.450100000000001</v>
      </c>
      <c r="T352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352" s="58">
        <f>(1000*CHOOSE(CONTROL!$C$42, 695, 695)*CHOOSE(CONTROL!$C$42, 0.5599, 0.5599)*CHOOSE(CONTROL!$C$42, 30, 30))/1000000</f>
        <v>11.673914999999997</v>
      </c>
      <c r="V352" s="58">
        <f>(1000*CHOOSE(CONTROL!$C$42, 500, 500)*CHOOSE(CONTROL!$C$42, 0.275, 0.275)*CHOOSE(CONTROL!$C$42, 30, 30))/1000000</f>
        <v>4.125</v>
      </c>
      <c r="W352" s="58">
        <f>(1000*CHOOSE(CONTROL!$C$42, 0.1146, 0.1146)*CHOOSE(CONTROL!$C$42, 121.5, 121.5)*CHOOSE(CONTROL!$C$42, 30, 30))/1000000</f>
        <v>0.417717</v>
      </c>
      <c r="X352" s="58">
        <f>(30*0.1790888*245000/1000000)+(30*0.2374*100000/1000000)</f>
        <v>2.0285026799999999</v>
      </c>
      <c r="Y352" s="58"/>
      <c r="Z352" s="10"/>
      <c r="AA352" s="57"/>
      <c r="AB352" s="51">
        <f>(B352*141.293+C352*267.993+D352*115.016+E352*89.698+F352*40+G352*185+H352*0+I352*100+J352*300)/(141.293+267.993+115.016+89.698+0+40+185+100+300)</f>
        <v>10.792328362389023</v>
      </c>
      <c r="AC352" s="27">
        <f>(M352*'RAP TEMPLATE-GAS AVAILABILITY'!O351+N352*'RAP TEMPLATE-GAS AVAILABILITY'!P351+O352*'RAP TEMPLATE-GAS AVAILABILITY'!Q351+P352*'RAP TEMPLATE-GAS AVAILABILITY'!R351)/('RAP TEMPLATE-GAS AVAILABILITY'!O351+'RAP TEMPLATE-GAS AVAILABILITY'!P351+'RAP TEMPLATE-GAS AVAILABILITY'!Q351+'RAP TEMPLATE-GAS AVAILABILITY'!R351)</f>
        <v>10.717315107913668</v>
      </c>
    </row>
    <row r="353" spans="1:29" ht="15.75" x14ac:dyDescent="0.25">
      <c r="A353" s="14">
        <v>52017</v>
      </c>
      <c r="B353" s="10">
        <f>CHOOSE(CONTROL!$C$42, 10.8608, 10.8608) * CHOOSE(CONTROL!$C$21, $C$9, 100%, $E$9)</f>
        <v>10.860799999999999</v>
      </c>
      <c r="C353" s="10">
        <f>CHOOSE(CONTROL!$C$42, 10.8687, 10.8687) * CHOOSE(CONTROL!$C$21, $C$9, 100%, $E$9)</f>
        <v>10.8687</v>
      </c>
      <c r="D353" s="10">
        <f>CHOOSE(CONTROL!$C$42, 11.0473, 11.0473) * CHOOSE(CONTROL!$C$21, $C$9, 100%, $E$9)</f>
        <v>11.0473</v>
      </c>
      <c r="E353" s="10">
        <f>CHOOSE(CONTROL!$C$42, 11.0784, 11.0784) * CHOOSE(CONTROL!$C$21, $C$9, 100%, $E$9)</f>
        <v>11.0784</v>
      </c>
      <c r="F353" s="10">
        <f>CHOOSE(CONTROL!$C$42, 10.847, 10.847)*CHOOSE(CONTROL!$C$21, $C$9, 100%, $E$9)</f>
        <v>10.847</v>
      </c>
      <c r="G353" s="10">
        <f>CHOOSE(CONTROL!$C$42, 10.8652, 10.8652)*CHOOSE(CONTROL!$C$21, $C$9, 100%, $E$9)</f>
        <v>10.8652</v>
      </c>
      <c r="H353" s="10">
        <f>CHOOSE(CONTROL!$C$42, 11.067, 11.067) * CHOOSE(CONTROL!$C$21, $C$9, 100%, $E$9)</f>
        <v>11.067</v>
      </c>
      <c r="I353" s="10">
        <f>CHOOSE(CONTROL!$C$42, 10.8377, 10.8377)* CHOOSE(CONTROL!$C$21, $C$9, 100%, $E$9)</f>
        <v>10.8377</v>
      </c>
      <c r="J353" s="10">
        <f>CHOOSE(CONTROL!$C$42, 10.84, 10.84)* CHOOSE(CONTROL!$C$21, $C$9, 100%, $E$9)</f>
        <v>10.84</v>
      </c>
      <c r="K353" s="54">
        <f>CHOOSE(CONTROL!$C$42, 10.8338, 10.8338) * CHOOSE(CONTROL!$C$21, $C$9, 100%, $E$9)</f>
        <v>10.8338</v>
      </c>
      <c r="L353" s="10">
        <f>CHOOSE(CONTROL!$C$42, 11.654, 11.654) * CHOOSE(CONTROL!$C$21, $C$9, 100%, $E$9)</f>
        <v>11.654</v>
      </c>
      <c r="M353" s="10">
        <f>CHOOSE(CONTROL!$C$42, 10.7444, 10.7444) * CHOOSE(CONTROL!$C$21, $C$9, 100%, $E$9)</f>
        <v>10.744400000000001</v>
      </c>
      <c r="N353" s="10">
        <f>CHOOSE(CONTROL!$C$42, 10.7624, 10.7624) * CHOOSE(CONTROL!$C$21, $C$9, 100%, $E$9)</f>
        <v>10.7624</v>
      </c>
      <c r="O353" s="10">
        <f>CHOOSE(CONTROL!$C$42, 10.9692, 10.9692) * CHOOSE(CONTROL!$C$21, $C$9, 100%, $E$9)</f>
        <v>10.969200000000001</v>
      </c>
      <c r="P353" s="10">
        <f>CHOOSE(CONTROL!$C$42, 10.7422, 10.7422) * CHOOSE(CONTROL!$C$21, $C$9, 100%, $E$9)</f>
        <v>10.7422</v>
      </c>
      <c r="Q353" s="10">
        <f>CHOOSE(CONTROL!$C$42, 11.5645, 11.5645) * CHOOSE(CONTROL!$C$21, $C$9, 100%, $E$9)</f>
        <v>11.564500000000001</v>
      </c>
      <c r="R353" s="10">
        <f>CHOOSE(CONTROL!$C$42, 12.1804, 12.1804) * CHOOSE(CONTROL!$C$21, $C$9, 100%, $E$9)</f>
        <v>12.180400000000001</v>
      </c>
      <c r="S353" s="10">
        <f>CHOOSE(CONTROL!$C$42, 10.5427, 10.5427) * CHOOSE(CONTROL!$C$21, $C$9, 100%, $E$9)</f>
        <v>10.5427</v>
      </c>
      <c r="T353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353" s="58">
        <f>(1000*CHOOSE(CONTROL!$C$42, 695, 695)*CHOOSE(CONTROL!$C$42, 0.5599, 0.5599)*CHOOSE(CONTROL!$C$42, 31, 31))/1000000</f>
        <v>12.063045499999998</v>
      </c>
      <c r="V353" s="58">
        <f>(1000*CHOOSE(CONTROL!$C$42, 500, 500)*CHOOSE(CONTROL!$C$42, 0.275, 0.275)*CHOOSE(CONTROL!$C$42, 31, 31))/1000000</f>
        <v>4.2625000000000002</v>
      </c>
      <c r="W353" s="58">
        <f>(1000*CHOOSE(CONTROL!$C$42, 0.1146, 0.1146)*CHOOSE(CONTROL!$C$42, 121.5, 121.5)*CHOOSE(CONTROL!$C$42, 31, 31))/1000000</f>
        <v>0.43164089999999994</v>
      </c>
      <c r="X353" s="58">
        <f>(31*0.1790888*245000/1000000)+(31*0.2374*100000/1000000)</f>
        <v>2.0961194359999999</v>
      </c>
      <c r="Y353" s="58"/>
      <c r="Z353" s="10"/>
      <c r="AA353" s="57"/>
      <c r="AB353" s="51">
        <f>(B353*194.205+C353*267.466+D353*133.845+E353*53.484+F353*40+G353*185+H353*0+I353*100+J353*300)/(194.205+267.466+133.845+53.484+0+40+185+100+300)</f>
        <v>10.884681626609105</v>
      </c>
      <c r="AC353" s="27">
        <f>(M353*'RAP TEMPLATE-GAS AVAILABILITY'!O352+N353*'RAP TEMPLATE-GAS AVAILABILITY'!P352+O353*'RAP TEMPLATE-GAS AVAILABILITY'!Q352+P353*'RAP TEMPLATE-GAS AVAILABILITY'!R352)/('RAP TEMPLATE-GAS AVAILABILITY'!O352+'RAP TEMPLATE-GAS AVAILABILITY'!P352+'RAP TEMPLATE-GAS AVAILABILITY'!Q352+'RAP TEMPLATE-GAS AVAILABILITY'!R352)</f>
        <v>10.811300719424461</v>
      </c>
    </row>
    <row r="354" spans="1:29" ht="15.75" x14ac:dyDescent="0.25">
      <c r="A354" s="14">
        <v>52047</v>
      </c>
      <c r="B354" s="10">
        <f>CHOOSE(CONTROL!$C$42, 11.1687, 11.1687) * CHOOSE(CONTROL!$C$21, $C$9, 100%, $E$9)</f>
        <v>11.168699999999999</v>
      </c>
      <c r="C354" s="10">
        <f>CHOOSE(CONTROL!$C$42, 11.1766, 11.1766) * CHOOSE(CONTROL!$C$21, $C$9, 100%, $E$9)</f>
        <v>11.176600000000001</v>
      </c>
      <c r="D354" s="10">
        <f>CHOOSE(CONTROL!$C$42, 11.3552, 11.3552) * CHOOSE(CONTROL!$C$21, $C$9, 100%, $E$9)</f>
        <v>11.3552</v>
      </c>
      <c r="E354" s="10">
        <f>CHOOSE(CONTROL!$C$42, 11.3863, 11.3863) * CHOOSE(CONTROL!$C$21, $C$9, 100%, $E$9)</f>
        <v>11.3863</v>
      </c>
      <c r="F354" s="10">
        <f>CHOOSE(CONTROL!$C$42, 11.1552, 11.1552)*CHOOSE(CONTROL!$C$21, $C$9, 100%, $E$9)</f>
        <v>11.155200000000001</v>
      </c>
      <c r="G354" s="10">
        <f>CHOOSE(CONTROL!$C$42, 11.1734, 11.1734)*CHOOSE(CONTROL!$C$21, $C$9, 100%, $E$9)</f>
        <v>11.173400000000001</v>
      </c>
      <c r="H354" s="10">
        <f>CHOOSE(CONTROL!$C$42, 11.375, 11.375) * CHOOSE(CONTROL!$C$21, $C$9, 100%, $E$9)</f>
        <v>11.375</v>
      </c>
      <c r="I354" s="10">
        <f>CHOOSE(CONTROL!$C$42, 11.1456, 11.1456)* CHOOSE(CONTROL!$C$21, $C$9, 100%, $E$9)</f>
        <v>11.1456</v>
      </c>
      <c r="J354" s="10">
        <f>CHOOSE(CONTROL!$C$42, 11.1482, 11.1482)* CHOOSE(CONTROL!$C$21, $C$9, 100%, $E$9)</f>
        <v>11.148199999999999</v>
      </c>
      <c r="K354" s="54">
        <f>CHOOSE(CONTROL!$C$42, 11.1417, 11.1417) * CHOOSE(CONTROL!$C$21, $C$9, 100%, $E$9)</f>
        <v>11.1417</v>
      </c>
      <c r="L354" s="10">
        <f>CHOOSE(CONTROL!$C$42, 11.962, 11.962) * CHOOSE(CONTROL!$C$21, $C$9, 100%, $E$9)</f>
        <v>11.962</v>
      </c>
      <c r="M354" s="10">
        <f>CHOOSE(CONTROL!$C$42, 11.0495, 11.0495) * CHOOSE(CONTROL!$C$21, $C$9, 100%, $E$9)</f>
        <v>11.0495</v>
      </c>
      <c r="N354" s="10">
        <f>CHOOSE(CONTROL!$C$42, 11.0675, 11.0675) * CHOOSE(CONTROL!$C$21, $C$9, 100%, $E$9)</f>
        <v>11.067500000000001</v>
      </c>
      <c r="O354" s="10">
        <f>CHOOSE(CONTROL!$C$42, 11.274, 11.274) * CHOOSE(CONTROL!$C$21, $C$9, 100%, $E$9)</f>
        <v>11.273999999999999</v>
      </c>
      <c r="P354" s="10">
        <f>CHOOSE(CONTROL!$C$42, 11.047, 11.047) * CHOOSE(CONTROL!$C$21, $C$9, 100%, $E$9)</f>
        <v>11.047000000000001</v>
      </c>
      <c r="Q354" s="10">
        <f>CHOOSE(CONTROL!$C$42, 11.8693, 11.8693) * CHOOSE(CONTROL!$C$21, $C$9, 100%, $E$9)</f>
        <v>11.869300000000001</v>
      </c>
      <c r="R354" s="10">
        <f>CHOOSE(CONTROL!$C$42, 12.486, 12.486) * CHOOSE(CONTROL!$C$21, $C$9, 100%, $E$9)</f>
        <v>12.486000000000001</v>
      </c>
      <c r="S354" s="10">
        <f>CHOOSE(CONTROL!$C$42, 10.8417, 10.8417) * CHOOSE(CONTROL!$C$21, $C$9, 100%, $E$9)</f>
        <v>10.841699999999999</v>
      </c>
      <c r="T354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354" s="58">
        <f>(1000*CHOOSE(CONTROL!$C$42, 695, 695)*CHOOSE(CONTROL!$C$42, 0.5599, 0.5599)*CHOOSE(CONTROL!$C$42, 30, 30))/1000000</f>
        <v>11.673914999999997</v>
      </c>
      <c r="V354" s="58">
        <f>(1000*CHOOSE(CONTROL!$C$42, 500, 500)*CHOOSE(CONTROL!$C$42, 0.275, 0.275)*CHOOSE(CONTROL!$C$42, 30, 30))/1000000</f>
        <v>4.125</v>
      </c>
      <c r="W354" s="58">
        <f>(1000*CHOOSE(CONTROL!$C$42, 0.1146, 0.1146)*CHOOSE(CONTROL!$C$42, 121.5, 121.5)*CHOOSE(CONTROL!$C$42, 30, 30))/1000000</f>
        <v>0.417717</v>
      </c>
      <c r="X354" s="58">
        <f>(30*0.1790888*245000/1000000)+(30*0.2374*100000/1000000)</f>
        <v>2.0285026799999999</v>
      </c>
      <c r="Y354" s="58"/>
      <c r="Z354" s="10"/>
      <c r="AA354" s="57"/>
      <c r="AB354" s="51">
        <f>(B354*194.205+C354*267.466+D354*133.845+E354*53.484+F354*40+G354*185+H354*0+I354*100+J354*300)/(194.205+267.466+133.845+53.484+0+40+185+100+300)</f>
        <v>11.19270525298273</v>
      </c>
      <c r="AC354" s="27">
        <f>(M354*'RAP TEMPLATE-GAS AVAILABILITY'!O353+N354*'RAP TEMPLATE-GAS AVAILABILITY'!P353+O354*'RAP TEMPLATE-GAS AVAILABILITY'!Q353+P354*'RAP TEMPLATE-GAS AVAILABILITY'!R353)/('RAP TEMPLATE-GAS AVAILABILITY'!O353+'RAP TEMPLATE-GAS AVAILABILITY'!P353+'RAP TEMPLATE-GAS AVAILABILITY'!Q353+'RAP TEMPLATE-GAS AVAILABILITY'!R353)</f>
        <v>11.116273381294965</v>
      </c>
    </row>
    <row r="355" spans="1:29" ht="15.75" x14ac:dyDescent="0.25">
      <c r="A355" s="14">
        <v>52078</v>
      </c>
      <c r="B355" s="10">
        <f>CHOOSE(CONTROL!$C$42, 10.9546, 10.9546) * CHOOSE(CONTROL!$C$21, $C$9, 100%, $E$9)</f>
        <v>10.954599999999999</v>
      </c>
      <c r="C355" s="10">
        <f>CHOOSE(CONTROL!$C$42, 10.9625, 10.9625) * CHOOSE(CONTROL!$C$21, $C$9, 100%, $E$9)</f>
        <v>10.9625</v>
      </c>
      <c r="D355" s="10">
        <f>CHOOSE(CONTROL!$C$42, 11.141, 11.141) * CHOOSE(CONTROL!$C$21, $C$9, 100%, $E$9)</f>
        <v>11.141</v>
      </c>
      <c r="E355" s="10">
        <f>CHOOSE(CONTROL!$C$42, 11.1722, 11.1722) * CHOOSE(CONTROL!$C$21, $C$9, 100%, $E$9)</f>
        <v>11.1722</v>
      </c>
      <c r="F355" s="10">
        <f>CHOOSE(CONTROL!$C$42, 10.9413, 10.9413)*CHOOSE(CONTROL!$C$21, $C$9, 100%, $E$9)</f>
        <v>10.9413</v>
      </c>
      <c r="G355" s="10">
        <f>CHOOSE(CONTROL!$C$42, 10.9596, 10.9596)*CHOOSE(CONTROL!$C$21, $C$9, 100%, $E$9)</f>
        <v>10.9596</v>
      </c>
      <c r="H355" s="10">
        <f>CHOOSE(CONTROL!$C$42, 11.1608, 11.1608) * CHOOSE(CONTROL!$C$21, $C$9, 100%, $E$9)</f>
        <v>11.1608</v>
      </c>
      <c r="I355" s="10">
        <f>CHOOSE(CONTROL!$C$42, 10.9314, 10.9314)* CHOOSE(CONTROL!$C$21, $C$9, 100%, $E$9)</f>
        <v>10.9314</v>
      </c>
      <c r="J355" s="10">
        <f>CHOOSE(CONTROL!$C$42, 10.9343, 10.9343)* CHOOSE(CONTROL!$C$21, $C$9, 100%, $E$9)</f>
        <v>10.9343</v>
      </c>
      <c r="K355" s="54">
        <f>CHOOSE(CONTROL!$C$42, 10.9275, 10.9275) * CHOOSE(CONTROL!$C$21, $C$9, 100%, $E$9)</f>
        <v>10.9275</v>
      </c>
      <c r="L355" s="10">
        <f>CHOOSE(CONTROL!$C$42, 11.7478, 11.7478) * CHOOSE(CONTROL!$C$21, $C$9, 100%, $E$9)</f>
        <v>11.7478</v>
      </c>
      <c r="M355" s="10">
        <f>CHOOSE(CONTROL!$C$42, 10.8378, 10.8378) * CHOOSE(CONTROL!$C$21, $C$9, 100%, $E$9)</f>
        <v>10.8378</v>
      </c>
      <c r="N355" s="10">
        <f>CHOOSE(CONTROL!$C$42, 10.8559, 10.8559) * CHOOSE(CONTROL!$C$21, $C$9, 100%, $E$9)</f>
        <v>10.8559</v>
      </c>
      <c r="O355" s="10">
        <f>CHOOSE(CONTROL!$C$42, 11.062, 11.062) * CHOOSE(CONTROL!$C$21, $C$9, 100%, $E$9)</f>
        <v>11.061999999999999</v>
      </c>
      <c r="P355" s="10">
        <f>CHOOSE(CONTROL!$C$42, 10.835, 10.835) * CHOOSE(CONTROL!$C$21, $C$9, 100%, $E$9)</f>
        <v>10.835000000000001</v>
      </c>
      <c r="Q355" s="10">
        <f>CHOOSE(CONTROL!$C$42, 11.6573, 11.6573) * CHOOSE(CONTROL!$C$21, $C$9, 100%, $E$9)</f>
        <v>11.657299999999999</v>
      </c>
      <c r="R355" s="10">
        <f>CHOOSE(CONTROL!$C$42, 12.2734, 12.2734) * CHOOSE(CONTROL!$C$21, $C$9, 100%, $E$9)</f>
        <v>12.273400000000001</v>
      </c>
      <c r="S355" s="10">
        <f>CHOOSE(CONTROL!$C$42, 10.6337, 10.6337) * CHOOSE(CONTROL!$C$21, $C$9, 100%, $E$9)</f>
        <v>10.633699999999999</v>
      </c>
      <c r="T355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355" s="58">
        <f>(1000*CHOOSE(CONTROL!$C$42, 695, 695)*CHOOSE(CONTROL!$C$42, 0.5599, 0.5599)*CHOOSE(CONTROL!$C$42, 31, 31))/1000000</f>
        <v>12.063045499999998</v>
      </c>
      <c r="V355" s="58">
        <f>(1000*CHOOSE(CONTROL!$C$42, 500, 500)*CHOOSE(CONTROL!$C$42, 0.275, 0.275)*CHOOSE(CONTROL!$C$42, 31, 31))/1000000</f>
        <v>4.2625000000000002</v>
      </c>
      <c r="W355" s="58">
        <f>(1000*CHOOSE(CONTROL!$C$42, 0.1146, 0.1146)*CHOOSE(CONTROL!$C$42, 121.5, 121.5)*CHOOSE(CONTROL!$C$42, 31, 31))/1000000</f>
        <v>0.43164089999999994</v>
      </c>
      <c r="X355" s="58">
        <f>(31*0.1790888*245000/1000000)+(31*0.2374*100000/1000000)</f>
        <v>2.0961194359999999</v>
      </c>
      <c r="Y355" s="58"/>
      <c r="Z355" s="10"/>
      <c r="AA355" s="57"/>
      <c r="AB355" s="51">
        <f>(B355*194.205+C355*267.466+D355*133.845+E355*53.484+F355*40+G355*185+H355*0+I355*100+J355*300)/(194.205+267.466+133.845+53.484+0+40+185+100+300)</f>
        <v>10.978683836577709</v>
      </c>
      <c r="AC355" s="27">
        <f>(M355*'RAP TEMPLATE-GAS AVAILABILITY'!O354+N355*'RAP TEMPLATE-GAS AVAILABILITY'!P354+O355*'RAP TEMPLATE-GAS AVAILABILITY'!Q354+P355*'RAP TEMPLATE-GAS AVAILABILITY'!R354)/('RAP TEMPLATE-GAS AVAILABILITY'!O354+'RAP TEMPLATE-GAS AVAILABILITY'!P354+'RAP TEMPLATE-GAS AVAILABILITY'!Q354+'RAP TEMPLATE-GAS AVAILABILITY'!R354)</f>
        <v>10.9044690647482</v>
      </c>
    </row>
    <row r="356" spans="1:29" ht="15.75" x14ac:dyDescent="0.25">
      <c r="A356" s="14">
        <v>52109</v>
      </c>
      <c r="B356" s="10">
        <f>CHOOSE(CONTROL!$C$42, 10.4137, 10.4137) * CHOOSE(CONTROL!$C$21, $C$9, 100%, $E$9)</f>
        <v>10.4137</v>
      </c>
      <c r="C356" s="10">
        <f>CHOOSE(CONTROL!$C$42, 10.4217, 10.4217) * CHOOSE(CONTROL!$C$21, $C$9, 100%, $E$9)</f>
        <v>10.4217</v>
      </c>
      <c r="D356" s="10">
        <f>CHOOSE(CONTROL!$C$42, 10.6002, 10.6002) * CHOOSE(CONTROL!$C$21, $C$9, 100%, $E$9)</f>
        <v>10.600199999999999</v>
      </c>
      <c r="E356" s="10">
        <f>CHOOSE(CONTROL!$C$42, 10.6313, 10.6313) * CHOOSE(CONTROL!$C$21, $C$9, 100%, $E$9)</f>
        <v>10.6313</v>
      </c>
      <c r="F356" s="10">
        <f>CHOOSE(CONTROL!$C$42, 10.4004, 10.4004)*CHOOSE(CONTROL!$C$21, $C$9, 100%, $E$9)</f>
        <v>10.400399999999999</v>
      </c>
      <c r="G356" s="10">
        <f>CHOOSE(CONTROL!$C$42, 10.4187, 10.4187)*CHOOSE(CONTROL!$C$21, $C$9, 100%, $E$9)</f>
        <v>10.418699999999999</v>
      </c>
      <c r="H356" s="10">
        <f>CHOOSE(CONTROL!$C$42, 10.62, 10.62) * CHOOSE(CONTROL!$C$21, $C$9, 100%, $E$9)</f>
        <v>10.62</v>
      </c>
      <c r="I356" s="10">
        <f>CHOOSE(CONTROL!$C$42, 10.3906, 10.3906)* CHOOSE(CONTROL!$C$21, $C$9, 100%, $E$9)</f>
        <v>10.390599999999999</v>
      </c>
      <c r="J356" s="10">
        <f>CHOOSE(CONTROL!$C$42, 10.3934, 10.3934)* CHOOSE(CONTROL!$C$21, $C$9, 100%, $E$9)</f>
        <v>10.3934</v>
      </c>
      <c r="K356" s="54">
        <f>CHOOSE(CONTROL!$C$42, 10.3867, 10.3867) * CHOOSE(CONTROL!$C$21, $C$9, 100%, $E$9)</f>
        <v>10.386699999999999</v>
      </c>
      <c r="L356" s="10">
        <f>CHOOSE(CONTROL!$C$42, 11.207, 11.207) * CHOOSE(CONTROL!$C$21, $C$9, 100%, $E$9)</f>
        <v>11.207000000000001</v>
      </c>
      <c r="M356" s="10">
        <f>CHOOSE(CONTROL!$C$42, 10.3023, 10.3023) * CHOOSE(CONTROL!$C$21, $C$9, 100%, $E$9)</f>
        <v>10.302300000000001</v>
      </c>
      <c r="N356" s="10">
        <f>CHOOSE(CONTROL!$C$42, 10.3204, 10.3204) * CHOOSE(CONTROL!$C$21, $C$9, 100%, $E$9)</f>
        <v>10.320399999999999</v>
      </c>
      <c r="O356" s="10">
        <f>CHOOSE(CONTROL!$C$42, 10.5266, 10.5266) * CHOOSE(CONTROL!$C$21, $C$9, 100%, $E$9)</f>
        <v>10.5266</v>
      </c>
      <c r="P356" s="10">
        <f>CHOOSE(CONTROL!$C$42, 10.2996, 10.2996) * CHOOSE(CONTROL!$C$21, $C$9, 100%, $E$9)</f>
        <v>10.2996</v>
      </c>
      <c r="Q356" s="10">
        <f>CHOOSE(CONTROL!$C$42, 11.1219, 11.1219) * CHOOSE(CONTROL!$C$21, $C$9, 100%, $E$9)</f>
        <v>11.1219</v>
      </c>
      <c r="R356" s="10">
        <f>CHOOSE(CONTROL!$C$42, 11.7367, 11.7367) * CHOOSE(CONTROL!$C$21, $C$9, 100%, $E$9)</f>
        <v>11.736700000000001</v>
      </c>
      <c r="S356" s="10">
        <f>CHOOSE(CONTROL!$C$42, 10.1085, 10.1085) * CHOOSE(CONTROL!$C$21, $C$9, 100%, $E$9)</f>
        <v>10.108499999999999</v>
      </c>
      <c r="T356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356" s="58">
        <f>(1000*CHOOSE(CONTROL!$C$42, 695, 695)*CHOOSE(CONTROL!$C$42, 0.5599, 0.5599)*CHOOSE(CONTROL!$C$42, 31, 31))/1000000</f>
        <v>12.063045499999998</v>
      </c>
      <c r="V356" s="58">
        <f>(1000*CHOOSE(CONTROL!$C$42, 500, 500)*CHOOSE(CONTROL!$C$42, 0.275, 0.275)*CHOOSE(CONTROL!$C$42, 31, 31))/1000000</f>
        <v>4.2625000000000002</v>
      </c>
      <c r="W356" s="58">
        <f>(1000*CHOOSE(CONTROL!$C$42, 0.1146, 0.1146)*CHOOSE(CONTROL!$C$42, 121.5, 121.5)*CHOOSE(CONTROL!$C$42, 31, 31))/1000000</f>
        <v>0.43164089999999994</v>
      </c>
      <c r="X356" s="58">
        <f>(31*0.1790888*245000/1000000)+(31*0.2374*100000/1000000)</f>
        <v>2.0961194359999999</v>
      </c>
      <c r="Y356" s="58"/>
      <c r="Z356" s="10"/>
      <c r="AA356" s="57"/>
      <c r="AB356" s="51">
        <f>(B356*194.205+C356*267.466+D356*133.845+E356*53.484+F356*40+G356*185+H356*0+I356*100+J356*300)/(194.205+267.466+133.845+53.484+0+40+185+100+300)</f>
        <v>10.437823185949764</v>
      </c>
      <c r="AC356" s="27">
        <f>(M356*'RAP TEMPLATE-GAS AVAILABILITY'!O355+N356*'RAP TEMPLATE-GAS AVAILABILITY'!P355+O356*'RAP TEMPLATE-GAS AVAILABILITY'!Q355+P356*'RAP TEMPLATE-GAS AVAILABILITY'!R355)/('RAP TEMPLATE-GAS AVAILABILITY'!O355+'RAP TEMPLATE-GAS AVAILABILITY'!P355+'RAP TEMPLATE-GAS AVAILABILITY'!Q355+'RAP TEMPLATE-GAS AVAILABILITY'!R355)</f>
        <v>10.369011510791367</v>
      </c>
    </row>
    <row r="357" spans="1:29" ht="15.75" x14ac:dyDescent="0.25">
      <c r="A357" s="14">
        <v>52139</v>
      </c>
      <c r="B357" s="10">
        <f>CHOOSE(CONTROL!$C$42, 9.7529, 9.7529) * CHOOSE(CONTROL!$C$21, $C$9, 100%, $E$9)</f>
        <v>9.7529000000000003</v>
      </c>
      <c r="C357" s="10">
        <f>CHOOSE(CONTROL!$C$42, 9.7609, 9.7609) * CHOOSE(CONTROL!$C$21, $C$9, 100%, $E$9)</f>
        <v>9.7608999999999995</v>
      </c>
      <c r="D357" s="10">
        <f>CHOOSE(CONTROL!$C$42, 9.9394, 9.9394) * CHOOSE(CONTROL!$C$21, $C$9, 100%, $E$9)</f>
        <v>9.9393999999999991</v>
      </c>
      <c r="E357" s="10">
        <f>CHOOSE(CONTROL!$C$42, 9.9705, 9.9705) * CHOOSE(CONTROL!$C$21, $C$9, 100%, $E$9)</f>
        <v>9.9704999999999995</v>
      </c>
      <c r="F357" s="10">
        <f>CHOOSE(CONTROL!$C$42, 9.7393, 9.7393)*CHOOSE(CONTROL!$C$21, $C$9, 100%, $E$9)</f>
        <v>9.7393000000000001</v>
      </c>
      <c r="G357" s="10">
        <f>CHOOSE(CONTROL!$C$42, 9.7575, 9.7575)*CHOOSE(CONTROL!$C$21, $C$9, 100%, $E$9)</f>
        <v>9.7575000000000003</v>
      </c>
      <c r="H357" s="10">
        <f>CHOOSE(CONTROL!$C$42, 9.9592, 9.9592) * CHOOSE(CONTROL!$C$21, $C$9, 100%, $E$9)</f>
        <v>9.9591999999999992</v>
      </c>
      <c r="I357" s="10">
        <f>CHOOSE(CONTROL!$C$42, 9.7298, 9.7298)* CHOOSE(CONTROL!$C$21, $C$9, 100%, $E$9)</f>
        <v>9.7297999999999991</v>
      </c>
      <c r="J357" s="10">
        <f>CHOOSE(CONTROL!$C$42, 9.7323, 9.7323)* CHOOSE(CONTROL!$C$21, $C$9, 100%, $E$9)</f>
        <v>9.7323000000000004</v>
      </c>
      <c r="K357" s="54">
        <f>CHOOSE(CONTROL!$C$42, 9.7259, 9.7259) * CHOOSE(CONTROL!$C$21, $C$9, 100%, $E$9)</f>
        <v>9.7258999999999993</v>
      </c>
      <c r="L357" s="10">
        <f>CHOOSE(CONTROL!$C$42, 10.5462, 10.5462) * CHOOSE(CONTROL!$C$21, $C$9, 100%, $E$9)</f>
        <v>10.546200000000001</v>
      </c>
      <c r="M357" s="10">
        <f>CHOOSE(CONTROL!$C$42, 9.6479, 9.6479) * CHOOSE(CONTROL!$C$21, $C$9, 100%, $E$9)</f>
        <v>9.6478999999999999</v>
      </c>
      <c r="N357" s="10">
        <f>CHOOSE(CONTROL!$C$42, 9.666, 9.666) * CHOOSE(CONTROL!$C$21, $C$9, 100%, $E$9)</f>
        <v>9.6660000000000004</v>
      </c>
      <c r="O357" s="10">
        <f>CHOOSE(CONTROL!$C$42, 9.8725, 9.8725) * CHOOSE(CONTROL!$C$21, $C$9, 100%, $E$9)</f>
        <v>9.8725000000000005</v>
      </c>
      <c r="P357" s="10">
        <f>CHOOSE(CONTROL!$C$42, 9.6455, 9.6455) * CHOOSE(CONTROL!$C$21, $C$9, 100%, $E$9)</f>
        <v>9.6455000000000002</v>
      </c>
      <c r="Q357" s="10">
        <f>CHOOSE(CONTROL!$C$42, 10.4678, 10.4678) * CHOOSE(CONTROL!$C$21, $C$9, 100%, $E$9)</f>
        <v>10.4678</v>
      </c>
      <c r="R357" s="10">
        <f>CHOOSE(CONTROL!$C$42, 11.081, 11.081) * CHOOSE(CONTROL!$C$21, $C$9, 100%, $E$9)</f>
        <v>11.081</v>
      </c>
      <c r="S357" s="10">
        <f>CHOOSE(CONTROL!$C$42, 9.4668, 9.4668) * CHOOSE(CONTROL!$C$21, $C$9, 100%, $E$9)</f>
        <v>9.4667999999999992</v>
      </c>
      <c r="T357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357" s="58">
        <f>(1000*CHOOSE(CONTROL!$C$42, 695, 695)*CHOOSE(CONTROL!$C$42, 0.5599, 0.5599)*CHOOSE(CONTROL!$C$42, 30, 30))/1000000</f>
        <v>11.673914999999997</v>
      </c>
      <c r="V357" s="58">
        <f>(1000*CHOOSE(CONTROL!$C$42, 500, 500)*CHOOSE(CONTROL!$C$42, 0.275, 0.275)*CHOOSE(CONTROL!$C$42, 30, 30))/1000000</f>
        <v>4.125</v>
      </c>
      <c r="W357" s="58">
        <f>(1000*CHOOSE(CONTROL!$C$42, 0.1146, 0.1146)*CHOOSE(CONTROL!$C$42, 121.5, 121.5)*CHOOSE(CONTROL!$C$42, 30, 30))/1000000</f>
        <v>0.417717</v>
      </c>
      <c r="X357" s="58">
        <f>(30*0.1790888*245000/1000000)+(30*0.2374*100000/1000000)</f>
        <v>2.0285026799999999</v>
      </c>
      <c r="Y357" s="58"/>
      <c r="Z357" s="10"/>
      <c r="AA357" s="57"/>
      <c r="AB357" s="51">
        <f>(B357*194.205+C357*267.466+D357*133.845+E357*53.484+F357*40+G357*185+H357*0+I357*100+J357*300)/(194.205+267.466+133.845+53.484+0+40+185+100+300)</f>
        <v>9.7768850383830461</v>
      </c>
      <c r="AC357" s="27">
        <f>(M357*'RAP TEMPLATE-GAS AVAILABILITY'!O356+N357*'RAP TEMPLATE-GAS AVAILABILITY'!P356+O357*'RAP TEMPLATE-GAS AVAILABILITY'!Q356+P357*'RAP TEMPLATE-GAS AVAILABILITY'!R356)/('RAP TEMPLATE-GAS AVAILABILITY'!O356+'RAP TEMPLATE-GAS AVAILABILITY'!P356+'RAP TEMPLATE-GAS AVAILABILITY'!Q356+'RAP TEMPLATE-GAS AVAILABILITY'!R356)</f>
        <v>9.7147388489208648</v>
      </c>
    </row>
    <row r="358" spans="1:29" ht="15.75" x14ac:dyDescent="0.25">
      <c r="A358" s="14">
        <v>52170</v>
      </c>
      <c r="B358" s="10">
        <f>CHOOSE(CONTROL!$C$42, 9.5529, 9.5529) * CHOOSE(CONTROL!$C$21, $C$9, 100%, $E$9)</f>
        <v>9.5528999999999993</v>
      </c>
      <c r="C358" s="10">
        <f>CHOOSE(CONTROL!$C$42, 9.5581, 9.5581) * CHOOSE(CONTROL!$C$21, $C$9, 100%, $E$9)</f>
        <v>9.5580999999999996</v>
      </c>
      <c r="D358" s="10">
        <f>CHOOSE(CONTROL!$C$42, 9.7416, 9.7416) * CHOOSE(CONTROL!$C$21, $C$9, 100%, $E$9)</f>
        <v>9.7416</v>
      </c>
      <c r="E358" s="10">
        <f>CHOOSE(CONTROL!$C$42, 9.7704, 9.7704) * CHOOSE(CONTROL!$C$21, $C$9, 100%, $E$9)</f>
        <v>9.7704000000000004</v>
      </c>
      <c r="F358" s="10">
        <f>CHOOSE(CONTROL!$C$42, 9.5412, 9.5412)*CHOOSE(CONTROL!$C$21, $C$9, 100%, $E$9)</f>
        <v>9.5411999999999999</v>
      </c>
      <c r="G358" s="10">
        <f>CHOOSE(CONTROL!$C$42, 9.5591, 9.5591)*CHOOSE(CONTROL!$C$21, $C$9, 100%, $E$9)</f>
        <v>9.5591000000000008</v>
      </c>
      <c r="H358" s="10">
        <f>CHOOSE(CONTROL!$C$42, 9.7609, 9.7609) * CHOOSE(CONTROL!$C$21, $C$9, 100%, $E$9)</f>
        <v>9.7608999999999995</v>
      </c>
      <c r="I358" s="10">
        <f>CHOOSE(CONTROL!$C$42, 9.5315, 9.5315)* CHOOSE(CONTROL!$C$21, $C$9, 100%, $E$9)</f>
        <v>9.5314999999999994</v>
      </c>
      <c r="J358" s="10">
        <f>CHOOSE(CONTROL!$C$42, 9.5342, 9.5342)* CHOOSE(CONTROL!$C$21, $C$9, 100%, $E$9)</f>
        <v>9.5342000000000002</v>
      </c>
      <c r="K358" s="54">
        <f>CHOOSE(CONTROL!$C$42, 9.5276, 9.5276) * CHOOSE(CONTROL!$C$21, $C$9, 100%, $E$9)</f>
        <v>9.5275999999999996</v>
      </c>
      <c r="L358" s="10">
        <f>CHOOSE(CONTROL!$C$42, 10.3479, 10.3479) * CHOOSE(CONTROL!$C$21, $C$9, 100%, $E$9)</f>
        <v>10.347899999999999</v>
      </c>
      <c r="M358" s="10">
        <f>CHOOSE(CONTROL!$C$42, 9.4518, 9.4518) * CHOOSE(CONTROL!$C$21, $C$9, 100%, $E$9)</f>
        <v>9.4518000000000004</v>
      </c>
      <c r="N358" s="10">
        <f>CHOOSE(CONTROL!$C$42, 9.4695, 9.4695) * CHOOSE(CONTROL!$C$21, $C$9, 100%, $E$9)</f>
        <v>9.4695</v>
      </c>
      <c r="O358" s="10">
        <f>CHOOSE(CONTROL!$C$42, 9.6762, 9.6762) * CHOOSE(CONTROL!$C$21, $C$9, 100%, $E$9)</f>
        <v>9.6761999999999997</v>
      </c>
      <c r="P358" s="10">
        <f>CHOOSE(CONTROL!$C$42, 9.4492, 9.4492) * CHOOSE(CONTROL!$C$21, $C$9, 100%, $E$9)</f>
        <v>9.4491999999999994</v>
      </c>
      <c r="Q358" s="10">
        <f>CHOOSE(CONTROL!$C$42, 10.2715, 10.2715) * CHOOSE(CONTROL!$C$21, $C$9, 100%, $E$9)</f>
        <v>10.2715</v>
      </c>
      <c r="R358" s="10">
        <f>CHOOSE(CONTROL!$C$42, 10.8842, 10.8842) * CHOOSE(CONTROL!$C$21, $C$9, 100%, $E$9)</f>
        <v>10.8842</v>
      </c>
      <c r="S358" s="10">
        <f>CHOOSE(CONTROL!$C$42, 9.2743, 9.2743) * CHOOSE(CONTROL!$C$21, $C$9, 100%, $E$9)</f>
        <v>9.2743000000000002</v>
      </c>
      <c r="T358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58" s="58">
        <f>(1000*CHOOSE(CONTROL!$C$42, 695, 695)*CHOOSE(CONTROL!$C$42, 0.5599, 0.5599)*CHOOSE(CONTROL!$C$42, 31, 31))/1000000</f>
        <v>12.063045499999998</v>
      </c>
      <c r="V358" s="58">
        <f>(1000*CHOOSE(CONTROL!$C$42, 500, 500)*CHOOSE(CONTROL!$C$42, 0.275, 0.275)*CHOOSE(CONTROL!$C$42, 31, 31))/1000000</f>
        <v>4.2625000000000002</v>
      </c>
      <c r="W358" s="58">
        <f>(1000*CHOOSE(CONTROL!$C$42, 0.1146, 0.1146)*CHOOSE(CONTROL!$C$42, 121.5, 121.5)*CHOOSE(CONTROL!$C$42, 31, 31))/1000000</f>
        <v>0.43164089999999994</v>
      </c>
      <c r="X358" s="58">
        <f>(31*0.1790888*245000/1000000)+(31*0.2374*100000/1000000)</f>
        <v>2.0961194359999999</v>
      </c>
      <c r="Y358" s="58"/>
      <c r="Z358" s="10"/>
      <c r="AA358" s="57"/>
      <c r="AB358" s="51">
        <f>(B358*131.881+C358*277.167+D358*79.08+E358*125.872+F358*40+G358*185+H358*0+I358*100+J358*300)/(131.881+277.167+79.08+125.872+0+40+185+100+300)</f>
        <v>9.5824963070217901</v>
      </c>
      <c r="AC358" s="27">
        <f>(M358*'RAP TEMPLATE-GAS AVAILABILITY'!O357+N358*'RAP TEMPLATE-GAS AVAILABILITY'!P357+O358*'RAP TEMPLATE-GAS AVAILABILITY'!Q357+P358*'RAP TEMPLATE-GAS AVAILABILITY'!R357)/('RAP TEMPLATE-GAS AVAILABILITY'!O357+'RAP TEMPLATE-GAS AVAILABILITY'!P357+'RAP TEMPLATE-GAS AVAILABILITY'!Q357+'RAP TEMPLATE-GAS AVAILABILITY'!R357)</f>
        <v>9.5184618705035966</v>
      </c>
    </row>
    <row r="359" spans="1:29" ht="15.75" x14ac:dyDescent="0.25">
      <c r="A359" s="14">
        <v>52200</v>
      </c>
      <c r="B359" s="10">
        <f>CHOOSE(CONTROL!$C$42, 9.804, 9.804) * CHOOSE(CONTROL!$C$21, $C$9, 100%, $E$9)</f>
        <v>9.8040000000000003</v>
      </c>
      <c r="C359" s="10">
        <f>CHOOSE(CONTROL!$C$42, 9.809, 9.809) * CHOOSE(CONTROL!$C$21, $C$9, 100%, $E$9)</f>
        <v>9.8089999999999993</v>
      </c>
      <c r="D359" s="10">
        <f>CHOOSE(CONTROL!$C$42, 9.8386, 9.8386) * CHOOSE(CONTROL!$C$21, $C$9, 100%, $E$9)</f>
        <v>9.8385999999999996</v>
      </c>
      <c r="E359" s="10">
        <f>CHOOSE(CONTROL!$C$42, 9.8724, 9.8724) * CHOOSE(CONTROL!$C$21, $C$9, 100%, $E$9)</f>
        <v>9.8724000000000007</v>
      </c>
      <c r="F359" s="10">
        <f>CHOOSE(CONTROL!$C$42, 9.7898, 9.7898)*CHOOSE(CONTROL!$C$21, $C$9, 100%, $E$9)</f>
        <v>9.7897999999999996</v>
      </c>
      <c r="G359" s="10">
        <f>CHOOSE(CONTROL!$C$42, 9.8078, 9.8078)*CHOOSE(CONTROL!$C$21, $C$9, 100%, $E$9)</f>
        <v>9.8078000000000003</v>
      </c>
      <c r="H359" s="10">
        <f>CHOOSE(CONTROL!$C$42, 9.8616, 9.8616) * CHOOSE(CONTROL!$C$21, $C$9, 100%, $E$9)</f>
        <v>9.8615999999999993</v>
      </c>
      <c r="I359" s="10">
        <f>CHOOSE(CONTROL!$C$42, 9.7702, 9.7702)* CHOOSE(CONTROL!$C$21, $C$9, 100%, $E$9)</f>
        <v>9.7702000000000009</v>
      </c>
      <c r="J359" s="10">
        <f>CHOOSE(CONTROL!$C$42, 9.7828, 9.7828)* CHOOSE(CONTROL!$C$21, $C$9, 100%, $E$9)</f>
        <v>9.7827999999999999</v>
      </c>
      <c r="K359" s="54">
        <f>CHOOSE(CONTROL!$C$42, 9.7663, 9.7663) * CHOOSE(CONTROL!$C$21, $C$9, 100%, $E$9)</f>
        <v>9.7662999999999993</v>
      </c>
      <c r="L359" s="10">
        <f>CHOOSE(CONTROL!$C$42, 10.4486, 10.4486) * CHOOSE(CONTROL!$C$21, $C$9, 100%, $E$9)</f>
        <v>10.448600000000001</v>
      </c>
      <c r="M359" s="10">
        <f>CHOOSE(CONTROL!$C$42, 9.6979, 9.6979) * CHOOSE(CONTROL!$C$21, $C$9, 100%, $E$9)</f>
        <v>9.6979000000000006</v>
      </c>
      <c r="N359" s="10">
        <f>CHOOSE(CONTROL!$C$42, 9.7158, 9.7158) * CHOOSE(CONTROL!$C$21, $C$9, 100%, $E$9)</f>
        <v>9.7157999999999998</v>
      </c>
      <c r="O359" s="10">
        <f>CHOOSE(CONTROL!$C$42, 9.7759, 9.7759) * CHOOSE(CONTROL!$C$21, $C$9, 100%, $E$9)</f>
        <v>9.7759</v>
      </c>
      <c r="P359" s="10">
        <f>CHOOSE(CONTROL!$C$42, 9.6855, 9.6855) * CHOOSE(CONTROL!$C$21, $C$9, 100%, $E$9)</f>
        <v>9.6854999999999993</v>
      </c>
      <c r="Q359" s="10">
        <f>CHOOSE(CONTROL!$C$42, 10.3712, 10.3712) * CHOOSE(CONTROL!$C$21, $C$9, 100%, $E$9)</f>
        <v>10.3712</v>
      </c>
      <c r="R359" s="10">
        <f>CHOOSE(CONTROL!$C$42, 10.9841, 10.9841) * CHOOSE(CONTROL!$C$21, $C$9, 100%, $E$9)</f>
        <v>10.9841</v>
      </c>
      <c r="S359" s="10">
        <f>CHOOSE(CONTROL!$C$42, 9.5186, 9.5186) * CHOOSE(CONTROL!$C$21, $C$9, 100%, $E$9)</f>
        <v>9.5185999999999993</v>
      </c>
      <c r="T359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59" s="58">
        <f>(1000*CHOOSE(CONTROL!$C$42, 695, 695)*CHOOSE(CONTROL!$C$42, 0.5599, 0.5599)*CHOOSE(CONTROL!$C$42, 30, 30))/1000000</f>
        <v>11.673914999999997</v>
      </c>
      <c r="V359" s="58">
        <f>(1000*CHOOSE(CONTROL!$C$42, 500, 500)*CHOOSE(CONTROL!$C$42, 0.275, 0.275)*CHOOSE(CONTROL!$C$42, 30, 30))/1000000</f>
        <v>4.125</v>
      </c>
      <c r="W359" s="58">
        <f>(1000*CHOOSE(CONTROL!$C$42, 0.1146, 0.1146)*CHOOSE(CONTROL!$C$42, 121.5, 121.5)*CHOOSE(CONTROL!$C$42, 30, 30))/1000000</f>
        <v>0.417717</v>
      </c>
      <c r="X359" s="58">
        <f>(30*0.1790888*100000/1000000)+(30*0.2374*100000/1000000)</f>
        <v>1.2494664</v>
      </c>
      <c r="Y359" s="58"/>
      <c r="Z359" s="10"/>
      <c r="AA359" s="57"/>
      <c r="AB359" s="51">
        <f>(B359*122.58+C359*297.941+D359*89.177+E359*40.302+F359*40+G359*160+H359*0+I359*100+J359*300)/(122.58+297.941+89.177+40.302+0+40+160+100+300)</f>
        <v>9.8019407704347827</v>
      </c>
      <c r="AC359" s="27">
        <f>(M359*'RAP TEMPLATE-GAS AVAILABILITY'!O358+N359*'RAP TEMPLATE-GAS AVAILABILITY'!P358+O359*'RAP TEMPLATE-GAS AVAILABILITY'!Q358+P359*'RAP TEMPLATE-GAS AVAILABILITY'!R358)/('RAP TEMPLATE-GAS AVAILABILITY'!O358+'RAP TEMPLATE-GAS AVAILABILITY'!P358+'RAP TEMPLATE-GAS AVAILABILITY'!Q358+'RAP TEMPLATE-GAS AVAILABILITY'!R358)</f>
        <v>9.732498561151079</v>
      </c>
    </row>
    <row r="360" spans="1:29" ht="15.75" x14ac:dyDescent="0.25">
      <c r="A360" s="14">
        <v>52231</v>
      </c>
      <c r="B360" s="10">
        <f>CHOOSE(CONTROL!$C$42, 10.4723, 10.4723) * CHOOSE(CONTROL!$C$21, $C$9, 100%, $E$9)</f>
        <v>10.472300000000001</v>
      </c>
      <c r="C360" s="10">
        <f>CHOOSE(CONTROL!$C$42, 10.4772, 10.4772) * CHOOSE(CONTROL!$C$21, $C$9, 100%, $E$9)</f>
        <v>10.4772</v>
      </c>
      <c r="D360" s="10">
        <f>CHOOSE(CONTROL!$C$42, 10.5068, 10.5068) * CHOOSE(CONTROL!$C$21, $C$9, 100%, $E$9)</f>
        <v>10.5068</v>
      </c>
      <c r="E360" s="10">
        <f>CHOOSE(CONTROL!$C$42, 10.5406, 10.5406) * CHOOSE(CONTROL!$C$21, $C$9, 100%, $E$9)</f>
        <v>10.5406</v>
      </c>
      <c r="F360" s="10">
        <f>CHOOSE(CONTROL!$C$42, 10.4596, 10.4596)*CHOOSE(CONTROL!$C$21, $C$9, 100%, $E$9)</f>
        <v>10.4596</v>
      </c>
      <c r="G360" s="10">
        <f>CHOOSE(CONTROL!$C$42, 10.478, 10.478)*CHOOSE(CONTROL!$C$21, $C$9, 100%, $E$9)</f>
        <v>10.478</v>
      </c>
      <c r="H360" s="10">
        <f>CHOOSE(CONTROL!$C$42, 10.5298, 10.5298) * CHOOSE(CONTROL!$C$21, $C$9, 100%, $E$9)</f>
        <v>10.5298</v>
      </c>
      <c r="I360" s="10">
        <f>CHOOSE(CONTROL!$C$42, 10.4384, 10.4384)* CHOOSE(CONTROL!$C$21, $C$9, 100%, $E$9)</f>
        <v>10.4384</v>
      </c>
      <c r="J360" s="10">
        <f>CHOOSE(CONTROL!$C$42, 10.4526, 10.4526)* CHOOSE(CONTROL!$C$21, $C$9, 100%, $E$9)</f>
        <v>10.4526</v>
      </c>
      <c r="K360" s="54">
        <f>CHOOSE(CONTROL!$C$42, 10.4346, 10.4346) * CHOOSE(CONTROL!$C$21, $C$9, 100%, $E$9)</f>
        <v>10.4346</v>
      </c>
      <c r="L360" s="10">
        <f>CHOOSE(CONTROL!$C$42, 11.1168, 11.1168) * CHOOSE(CONTROL!$C$21, $C$9, 100%, $E$9)</f>
        <v>11.1168</v>
      </c>
      <c r="M360" s="10">
        <f>CHOOSE(CONTROL!$C$42, 10.3609, 10.3609) * CHOOSE(CONTROL!$C$21, $C$9, 100%, $E$9)</f>
        <v>10.360900000000001</v>
      </c>
      <c r="N360" s="10">
        <f>CHOOSE(CONTROL!$C$42, 10.3792, 10.3792) * CHOOSE(CONTROL!$C$21, $C$9, 100%, $E$9)</f>
        <v>10.379200000000001</v>
      </c>
      <c r="O360" s="10">
        <f>CHOOSE(CONTROL!$C$42, 10.4374, 10.4374) * CHOOSE(CONTROL!$C$21, $C$9, 100%, $E$9)</f>
        <v>10.4374</v>
      </c>
      <c r="P360" s="10">
        <f>CHOOSE(CONTROL!$C$42, 10.347, 10.347) * CHOOSE(CONTROL!$C$21, $C$9, 100%, $E$9)</f>
        <v>10.347</v>
      </c>
      <c r="Q360" s="10">
        <f>CHOOSE(CONTROL!$C$42, 11.0327, 11.0327) * CHOOSE(CONTROL!$C$21, $C$9, 100%, $E$9)</f>
        <v>11.0327</v>
      </c>
      <c r="R360" s="10">
        <f>CHOOSE(CONTROL!$C$42, 11.6473, 11.6473) * CHOOSE(CONTROL!$C$21, $C$9, 100%, $E$9)</f>
        <v>11.6473</v>
      </c>
      <c r="S360" s="10">
        <f>CHOOSE(CONTROL!$C$42, 10.1675, 10.1675) * CHOOSE(CONTROL!$C$21, $C$9, 100%, $E$9)</f>
        <v>10.1675</v>
      </c>
      <c r="T360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60" s="58">
        <f>(1000*CHOOSE(CONTROL!$C$42, 695, 695)*CHOOSE(CONTROL!$C$42, 0.5599, 0.5599)*CHOOSE(CONTROL!$C$42, 31, 31))/1000000</f>
        <v>12.063045499999998</v>
      </c>
      <c r="V360" s="58">
        <f>(1000*CHOOSE(CONTROL!$C$42, 500, 500)*CHOOSE(CONTROL!$C$42, 0.275, 0.275)*CHOOSE(CONTROL!$C$42, 31, 31))/1000000</f>
        <v>4.2625000000000002</v>
      </c>
      <c r="W360" s="58">
        <f>(1000*CHOOSE(CONTROL!$C$42, 0.1146, 0.1146)*CHOOSE(CONTROL!$C$42, 121.5, 121.5)*CHOOSE(CONTROL!$C$42, 31, 31))/1000000</f>
        <v>0.43164089999999994</v>
      </c>
      <c r="X360" s="58">
        <f>(31*0.1790888*100000/1000000)+(31*0.2374*100000/1000000)</f>
        <v>1.2911152800000001</v>
      </c>
      <c r="Y360" s="58"/>
      <c r="Z360" s="10"/>
      <c r="AA360" s="57"/>
      <c r="AB360" s="51">
        <f>(B360*122.58+C360*297.941+D360*89.177+E360*40.302+F360*40+G360*160+H360*0+I360*100+J360*300)/(122.58+297.941+89.177+40.302+0+40+160+100+300)</f>
        <v>10.470902733913043</v>
      </c>
      <c r="AC360" s="27">
        <f>(M360*'RAP TEMPLATE-GAS AVAILABILITY'!O359+N360*'RAP TEMPLATE-GAS AVAILABILITY'!P359+O360*'RAP TEMPLATE-GAS AVAILABILITY'!Q359+P360*'RAP TEMPLATE-GAS AVAILABILITY'!R359)/('RAP TEMPLATE-GAS AVAILABILITY'!O359+'RAP TEMPLATE-GAS AVAILABILITY'!P359+'RAP TEMPLATE-GAS AVAILABILITY'!Q359+'RAP TEMPLATE-GAS AVAILABILITY'!R359)</f>
        <v>10.394625899280577</v>
      </c>
    </row>
    <row r="361" spans="1:29" ht="15.75" x14ac:dyDescent="0.25">
      <c r="A361" s="14">
        <v>52262</v>
      </c>
      <c r="B361" s="10">
        <f>CHOOSE(CONTROL!$C$42, 11.1789, 11.1789) * CHOOSE(CONTROL!$C$21, $C$9, 100%, $E$9)</f>
        <v>11.178900000000001</v>
      </c>
      <c r="C361" s="10">
        <f>CHOOSE(CONTROL!$C$42, 11.1838, 11.1838) * CHOOSE(CONTROL!$C$21, $C$9, 100%, $E$9)</f>
        <v>11.1838</v>
      </c>
      <c r="D361" s="10">
        <f>CHOOSE(CONTROL!$C$42, 11.2341, 11.2341) * CHOOSE(CONTROL!$C$21, $C$9, 100%, $E$9)</f>
        <v>11.2341</v>
      </c>
      <c r="E361" s="10">
        <f>CHOOSE(CONTROL!$C$42, 11.2678, 11.2678) * CHOOSE(CONTROL!$C$21, $C$9, 100%, $E$9)</f>
        <v>11.267799999999999</v>
      </c>
      <c r="F361" s="10">
        <f>CHOOSE(CONTROL!$C$42, 11.1443, 11.1443)*CHOOSE(CONTROL!$C$21, $C$9, 100%, $E$9)</f>
        <v>11.144299999999999</v>
      </c>
      <c r="G361" s="10">
        <f>CHOOSE(CONTROL!$C$42, 11.1618, 11.1618)*CHOOSE(CONTROL!$C$21, $C$9, 100%, $E$9)</f>
        <v>11.161799999999999</v>
      </c>
      <c r="H361" s="10">
        <f>CHOOSE(CONTROL!$C$42, 11.257, 11.257) * CHOOSE(CONTROL!$C$21, $C$9, 100%, $E$9)</f>
        <v>11.257</v>
      </c>
      <c r="I361" s="10">
        <f>CHOOSE(CONTROL!$C$42, 11.1528, 11.1528)* CHOOSE(CONTROL!$C$21, $C$9, 100%, $E$9)</f>
        <v>11.152799999999999</v>
      </c>
      <c r="J361" s="10">
        <f>CHOOSE(CONTROL!$C$42, 11.1373, 11.1373)* CHOOSE(CONTROL!$C$21, $C$9, 100%, $E$9)</f>
        <v>11.1373</v>
      </c>
      <c r="K361" s="54">
        <f>CHOOSE(CONTROL!$C$42, 11.1489, 11.1489) * CHOOSE(CONTROL!$C$21, $C$9, 100%, $E$9)</f>
        <v>11.148899999999999</v>
      </c>
      <c r="L361" s="10">
        <f>CHOOSE(CONTROL!$C$42, 11.844, 11.844) * CHOOSE(CONTROL!$C$21, $C$9, 100%, $E$9)</f>
        <v>11.843999999999999</v>
      </c>
      <c r="M361" s="10">
        <f>CHOOSE(CONTROL!$C$42, 11.0387, 11.0387) * CHOOSE(CONTROL!$C$21, $C$9, 100%, $E$9)</f>
        <v>11.0387</v>
      </c>
      <c r="N361" s="10">
        <f>CHOOSE(CONTROL!$C$42, 11.0561, 11.0561) * CHOOSE(CONTROL!$C$21, $C$9, 100%, $E$9)</f>
        <v>11.056100000000001</v>
      </c>
      <c r="O361" s="10">
        <f>CHOOSE(CONTROL!$C$42, 11.1572, 11.1572) * CHOOSE(CONTROL!$C$21, $C$9, 100%, $E$9)</f>
        <v>11.1572</v>
      </c>
      <c r="P361" s="10">
        <f>CHOOSE(CONTROL!$C$42, 11.0541, 11.0541) * CHOOSE(CONTROL!$C$21, $C$9, 100%, $E$9)</f>
        <v>11.0541</v>
      </c>
      <c r="Q361" s="10">
        <f>CHOOSE(CONTROL!$C$42, 11.7525, 11.7525) * CHOOSE(CONTROL!$C$21, $C$9, 100%, $E$9)</f>
        <v>11.7525</v>
      </c>
      <c r="R361" s="10">
        <f>CHOOSE(CONTROL!$C$42, 12.3689, 12.3689) * CHOOSE(CONTROL!$C$21, $C$9, 100%, $E$9)</f>
        <v>12.3689</v>
      </c>
      <c r="S361" s="10">
        <f>CHOOSE(CONTROL!$C$42, 10.8537, 10.8537) * CHOOSE(CONTROL!$C$21, $C$9, 100%, $E$9)</f>
        <v>10.8537</v>
      </c>
      <c r="T361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61" s="58">
        <f>(1000*CHOOSE(CONTROL!$C$42, 695, 695)*CHOOSE(CONTROL!$C$42, 0.5599, 0.5599)*CHOOSE(CONTROL!$C$42, 31, 31))/1000000</f>
        <v>12.063045499999998</v>
      </c>
      <c r="V361" s="58">
        <f>(1000*CHOOSE(CONTROL!$C$42, 500, 500)*CHOOSE(CONTROL!$C$42, 0.275, 0.275)*CHOOSE(CONTROL!$C$42, 31, 31))/1000000</f>
        <v>4.2625000000000002</v>
      </c>
      <c r="W361" s="58">
        <f>(1000*CHOOSE(CONTROL!$C$42, 0.1146, 0.1146)*CHOOSE(CONTROL!$C$42, 121.5, 121.5)*CHOOSE(CONTROL!$C$42, 31, 31))/1000000</f>
        <v>0.43164089999999994</v>
      </c>
      <c r="X361" s="58">
        <f>(31*0.1790888*100000/1000000)+(31*0.2374*100000/1000000)</f>
        <v>1.2911152800000001</v>
      </c>
      <c r="Y361" s="58"/>
      <c r="Z361" s="10"/>
      <c r="AA361" s="57"/>
      <c r="AB361" s="51">
        <f>(B361*122.58+C361*297.941+D361*89.177+E361*40.302+F361*40+G361*160+H361*0+I361*100+J361*300)/(122.58+297.941+89.177+40.302+0+40+160+100+300)</f>
        <v>11.17086115573913</v>
      </c>
      <c r="AC361" s="27">
        <f>(M361*'RAP TEMPLATE-GAS AVAILABILITY'!O360+N361*'RAP TEMPLATE-GAS AVAILABILITY'!P360+O361*'RAP TEMPLATE-GAS AVAILABILITY'!Q360+P361*'RAP TEMPLATE-GAS AVAILABILITY'!R360)/('RAP TEMPLATE-GAS AVAILABILITY'!O360+'RAP TEMPLATE-GAS AVAILABILITY'!P360+'RAP TEMPLATE-GAS AVAILABILITY'!Q360+'RAP TEMPLATE-GAS AVAILABILITY'!R360)</f>
        <v>11.095625899280575</v>
      </c>
    </row>
    <row r="362" spans="1:29" ht="15.75" x14ac:dyDescent="0.25">
      <c r="A362" s="14">
        <v>52290</v>
      </c>
      <c r="B362" s="10">
        <f>CHOOSE(CONTROL!$C$42, 11.3778, 11.3778) * CHOOSE(CONTROL!$C$21, $C$9, 100%, $E$9)</f>
        <v>11.377800000000001</v>
      </c>
      <c r="C362" s="10">
        <f>CHOOSE(CONTROL!$C$42, 11.3828, 11.3828) * CHOOSE(CONTROL!$C$21, $C$9, 100%, $E$9)</f>
        <v>11.3828</v>
      </c>
      <c r="D362" s="10">
        <f>CHOOSE(CONTROL!$C$42, 11.4999, 11.4999) * CHOOSE(CONTROL!$C$21, $C$9, 100%, $E$9)</f>
        <v>11.4999</v>
      </c>
      <c r="E362" s="10">
        <f>CHOOSE(CONTROL!$C$42, 11.5337, 11.5337) * CHOOSE(CONTROL!$C$21, $C$9, 100%, $E$9)</f>
        <v>11.5337</v>
      </c>
      <c r="F362" s="10">
        <f>CHOOSE(CONTROL!$C$42, 11.4554, 11.4554)*CHOOSE(CONTROL!$C$21, $C$9, 100%, $E$9)</f>
        <v>11.455399999999999</v>
      </c>
      <c r="G362" s="10">
        <f>CHOOSE(CONTROL!$C$42, 11.4773, 11.4773)*CHOOSE(CONTROL!$C$21, $C$9, 100%, $E$9)</f>
        <v>11.4773</v>
      </c>
      <c r="H362" s="10">
        <f>CHOOSE(CONTROL!$C$42, 11.5229, 11.5229) * CHOOSE(CONTROL!$C$21, $C$9, 100%, $E$9)</f>
        <v>11.5229</v>
      </c>
      <c r="I362" s="10">
        <f>CHOOSE(CONTROL!$C$42, 11.4135, 11.4135)* CHOOSE(CONTROL!$C$21, $C$9, 100%, $E$9)</f>
        <v>11.413500000000001</v>
      </c>
      <c r="J362" s="10">
        <f>CHOOSE(CONTROL!$C$42, 11.4484, 11.4484)* CHOOSE(CONTROL!$C$21, $C$9, 100%, $E$9)</f>
        <v>11.448399999999999</v>
      </c>
      <c r="K362" s="54">
        <f>CHOOSE(CONTROL!$C$42, 11.4096, 11.4096) * CHOOSE(CONTROL!$C$21, $C$9, 100%, $E$9)</f>
        <v>11.409599999999999</v>
      </c>
      <c r="L362" s="10">
        <f>CHOOSE(CONTROL!$C$42, 12.1099, 12.1099) * CHOOSE(CONTROL!$C$21, $C$9, 100%, $E$9)</f>
        <v>12.1099</v>
      </c>
      <c r="M362" s="10">
        <f>CHOOSE(CONTROL!$C$42, 11.3467, 11.3467) * CHOOSE(CONTROL!$C$21, $C$9, 100%, $E$9)</f>
        <v>11.3467</v>
      </c>
      <c r="N362" s="10">
        <f>CHOOSE(CONTROL!$C$42, 11.3684, 11.3684) * CHOOSE(CONTROL!$C$21, $C$9, 100%, $E$9)</f>
        <v>11.368399999999999</v>
      </c>
      <c r="O362" s="10">
        <f>CHOOSE(CONTROL!$C$42, 11.4204, 11.4204) * CHOOSE(CONTROL!$C$21, $C$9, 100%, $E$9)</f>
        <v>11.420400000000001</v>
      </c>
      <c r="P362" s="10">
        <f>CHOOSE(CONTROL!$C$42, 11.3122, 11.3122) * CHOOSE(CONTROL!$C$21, $C$9, 100%, $E$9)</f>
        <v>11.312200000000001</v>
      </c>
      <c r="Q362" s="10">
        <f>CHOOSE(CONTROL!$C$42, 12.0157, 12.0157) * CHOOSE(CONTROL!$C$21, $C$9, 100%, $E$9)</f>
        <v>12.015700000000001</v>
      </c>
      <c r="R362" s="10">
        <f>CHOOSE(CONTROL!$C$42, 12.6328, 12.6328) * CHOOSE(CONTROL!$C$21, $C$9, 100%, $E$9)</f>
        <v>12.6328</v>
      </c>
      <c r="S362" s="10">
        <f>CHOOSE(CONTROL!$C$42, 11.0469, 11.0469) * CHOOSE(CONTROL!$C$21, $C$9, 100%, $E$9)</f>
        <v>11.046900000000001</v>
      </c>
      <c r="T362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362" s="58">
        <f>(1000*CHOOSE(CONTROL!$C$42, 695, 695)*CHOOSE(CONTROL!$C$42, 0.5599, 0.5599)*CHOOSE(CONTROL!$C$42, 28, 28))/1000000</f>
        <v>10.895653999999999</v>
      </c>
      <c r="V362" s="58">
        <f>(1000*CHOOSE(CONTROL!$C$42, 500, 500)*CHOOSE(CONTROL!$C$42, 0.275, 0.275)*CHOOSE(CONTROL!$C$42, 28, 28))/1000000</f>
        <v>3.85</v>
      </c>
      <c r="W362" s="58">
        <f>(1000*CHOOSE(CONTROL!$C$42, 0.1146, 0.1146)*CHOOSE(CONTROL!$C$42, 121.5, 121.5)*CHOOSE(CONTROL!$C$42, 28, 28))/1000000</f>
        <v>0.38986920000000003</v>
      </c>
      <c r="X362" s="58">
        <f>(28*0.1790888*100000/1000000)+(28*0.2374*100000/1000000)</f>
        <v>1.16616864</v>
      </c>
      <c r="Y362" s="58"/>
      <c r="Z362" s="10"/>
      <c r="AA362" s="57"/>
      <c r="AB362" s="51">
        <f>(B362*122.58+C362*297.941+D362*89.177+E362*40.302+F362*40+G362*160+H362*0+I362*100+J362*300)/(122.58+297.941+89.177+40.302+0+40+160+100+300)</f>
        <v>11.432091563913044</v>
      </c>
      <c r="AC362" s="27">
        <f>(M362*'RAP TEMPLATE-GAS AVAILABILITY'!O361+N362*'RAP TEMPLATE-GAS AVAILABILITY'!P361+O362*'RAP TEMPLATE-GAS AVAILABILITY'!Q361+P362*'RAP TEMPLATE-GAS AVAILABILITY'!R361)/('RAP TEMPLATE-GAS AVAILABILITY'!O361+'RAP TEMPLATE-GAS AVAILABILITY'!P361+'RAP TEMPLATE-GAS AVAILABILITY'!Q361+'RAP TEMPLATE-GAS AVAILABILITY'!R361)</f>
        <v>11.376388489208635</v>
      </c>
    </row>
    <row r="363" spans="1:29" ht="15.75" x14ac:dyDescent="0.25">
      <c r="A363" s="14">
        <v>52321</v>
      </c>
      <c r="B363" s="10">
        <f>CHOOSE(CONTROL!$C$42, 11.0549, 11.0549) * CHOOSE(CONTROL!$C$21, $C$9, 100%, $E$9)</f>
        <v>11.0549</v>
      </c>
      <c r="C363" s="10">
        <f>CHOOSE(CONTROL!$C$42, 11.0599, 11.0599) * CHOOSE(CONTROL!$C$21, $C$9, 100%, $E$9)</f>
        <v>11.059900000000001</v>
      </c>
      <c r="D363" s="10">
        <f>CHOOSE(CONTROL!$C$42, 11.1512, 11.1512) * CHOOSE(CONTROL!$C$21, $C$9, 100%, $E$9)</f>
        <v>11.151199999999999</v>
      </c>
      <c r="E363" s="10">
        <f>CHOOSE(CONTROL!$C$42, 11.185, 11.185) * CHOOSE(CONTROL!$C$21, $C$9, 100%, $E$9)</f>
        <v>11.185</v>
      </c>
      <c r="F363" s="10">
        <f>CHOOSE(CONTROL!$C$42, 11.0847, 11.0847)*CHOOSE(CONTROL!$C$21, $C$9, 100%, $E$9)</f>
        <v>11.0847</v>
      </c>
      <c r="G363" s="10">
        <f>CHOOSE(CONTROL!$C$42, 11.1042, 11.1042)*CHOOSE(CONTROL!$C$21, $C$9, 100%, $E$9)</f>
        <v>11.104200000000001</v>
      </c>
      <c r="H363" s="10">
        <f>CHOOSE(CONTROL!$C$42, 11.1742, 11.1742) * CHOOSE(CONTROL!$C$21, $C$9, 100%, $E$9)</f>
        <v>11.174200000000001</v>
      </c>
      <c r="I363" s="10">
        <f>CHOOSE(CONTROL!$C$42, 11.0777, 11.0777)* CHOOSE(CONTROL!$C$21, $C$9, 100%, $E$9)</f>
        <v>11.0777</v>
      </c>
      <c r="J363" s="10">
        <f>CHOOSE(CONTROL!$C$42, 11.0777, 11.0777)* CHOOSE(CONTROL!$C$21, $C$9, 100%, $E$9)</f>
        <v>11.0777</v>
      </c>
      <c r="K363" s="54">
        <f>CHOOSE(CONTROL!$C$42, 11.0738, 11.0738) * CHOOSE(CONTROL!$C$21, $C$9, 100%, $E$9)</f>
        <v>11.0738</v>
      </c>
      <c r="L363" s="10">
        <f>CHOOSE(CONTROL!$C$42, 11.7612, 11.7612) * CHOOSE(CONTROL!$C$21, $C$9, 100%, $E$9)</f>
        <v>11.761200000000001</v>
      </c>
      <c r="M363" s="10">
        <f>CHOOSE(CONTROL!$C$42, 10.9798, 10.9798) * CHOOSE(CONTROL!$C$21, $C$9, 100%, $E$9)</f>
        <v>10.979799999999999</v>
      </c>
      <c r="N363" s="10">
        <f>CHOOSE(CONTROL!$C$42, 10.9991, 10.9991) * CHOOSE(CONTROL!$C$21, $C$9, 100%, $E$9)</f>
        <v>10.9991</v>
      </c>
      <c r="O363" s="10">
        <f>CHOOSE(CONTROL!$C$42, 11.0753, 11.0753) * CHOOSE(CONTROL!$C$21, $C$9, 100%, $E$9)</f>
        <v>11.0753</v>
      </c>
      <c r="P363" s="10">
        <f>CHOOSE(CONTROL!$C$42, 10.9798, 10.9798) * CHOOSE(CONTROL!$C$21, $C$9, 100%, $E$9)</f>
        <v>10.979799999999999</v>
      </c>
      <c r="Q363" s="10">
        <f>CHOOSE(CONTROL!$C$42, 11.6706, 11.6706) * CHOOSE(CONTROL!$C$21, $C$9, 100%, $E$9)</f>
        <v>11.6706</v>
      </c>
      <c r="R363" s="10">
        <f>CHOOSE(CONTROL!$C$42, 12.2868, 12.2868) * CHOOSE(CONTROL!$C$21, $C$9, 100%, $E$9)</f>
        <v>12.286799999999999</v>
      </c>
      <c r="S363" s="10">
        <f>CHOOSE(CONTROL!$C$42, 10.7333, 10.7333) * CHOOSE(CONTROL!$C$21, $C$9, 100%, $E$9)</f>
        <v>10.7333</v>
      </c>
      <c r="T363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63" s="58">
        <f>(1000*CHOOSE(CONTROL!$C$42, 695, 695)*CHOOSE(CONTROL!$C$42, 0.5599, 0.5599)*CHOOSE(CONTROL!$C$42, 31, 31))/1000000</f>
        <v>12.063045499999998</v>
      </c>
      <c r="V363" s="58">
        <f>(1000*CHOOSE(CONTROL!$C$42, 500, 500)*CHOOSE(CONTROL!$C$42, 0.275, 0.275)*CHOOSE(CONTROL!$C$42, 31, 31))/1000000</f>
        <v>4.2625000000000002</v>
      </c>
      <c r="W363" s="58">
        <f>(1000*CHOOSE(CONTROL!$C$42, 0.1146, 0.1146)*CHOOSE(CONTROL!$C$42, 121.5, 121.5)*CHOOSE(CONTROL!$C$42, 31, 31))/1000000</f>
        <v>0.43164089999999994</v>
      </c>
      <c r="X363" s="58">
        <f>(31*0.1790888*100000/1000000)+(31*0.2374*100000/1000000)</f>
        <v>1.2911152800000001</v>
      </c>
      <c r="Y363" s="58"/>
      <c r="Z363" s="10"/>
      <c r="AA363" s="57"/>
      <c r="AB363" s="51">
        <f>(B363*122.58+C363*297.941+D363*89.177+E363*40.302+F363*40+G363*160+H363*0+I363*100+J363*300)/(122.58+297.941+89.177+40.302+0+40+160+100+300)</f>
        <v>11.084048469826087</v>
      </c>
      <c r="AC363" s="27">
        <f>(M363*'RAP TEMPLATE-GAS AVAILABILITY'!O362+N363*'RAP TEMPLATE-GAS AVAILABILITY'!P362+O363*'RAP TEMPLATE-GAS AVAILABILITY'!Q362+P363*'RAP TEMPLATE-GAS AVAILABILITY'!R362)/('RAP TEMPLATE-GAS AVAILABILITY'!O362+'RAP TEMPLATE-GAS AVAILABILITY'!P362+'RAP TEMPLATE-GAS AVAILABILITY'!Q362+'RAP TEMPLATE-GAS AVAILABILITY'!R362)</f>
        <v>11.024194964028775</v>
      </c>
    </row>
    <row r="364" spans="1:29" ht="15.75" x14ac:dyDescent="0.25">
      <c r="A364" s="14">
        <v>52351</v>
      </c>
      <c r="B364" s="10">
        <f>CHOOSE(CONTROL!$C$42, 11.0226, 11.0226) * CHOOSE(CONTROL!$C$21, $C$9, 100%, $E$9)</f>
        <v>11.022600000000001</v>
      </c>
      <c r="C364" s="10">
        <f>CHOOSE(CONTROL!$C$42, 11.027, 11.027) * CHOOSE(CONTROL!$C$21, $C$9, 100%, $E$9)</f>
        <v>11.026999999999999</v>
      </c>
      <c r="D364" s="10">
        <f>CHOOSE(CONTROL!$C$42, 11.2086, 11.2086) * CHOOSE(CONTROL!$C$21, $C$9, 100%, $E$9)</f>
        <v>11.208600000000001</v>
      </c>
      <c r="E364" s="10">
        <f>CHOOSE(CONTROL!$C$42, 11.2404, 11.2404) * CHOOSE(CONTROL!$C$21, $C$9, 100%, $E$9)</f>
        <v>11.240399999999999</v>
      </c>
      <c r="F364" s="10">
        <f>CHOOSE(CONTROL!$C$42, 11.0109, 11.0109)*CHOOSE(CONTROL!$C$21, $C$9, 100%, $E$9)</f>
        <v>11.010899999999999</v>
      </c>
      <c r="G364" s="10">
        <f>CHOOSE(CONTROL!$C$42, 11.0289, 11.0289)*CHOOSE(CONTROL!$C$21, $C$9, 100%, $E$9)</f>
        <v>11.0289</v>
      </c>
      <c r="H364" s="10">
        <f>CHOOSE(CONTROL!$C$42, 11.2302, 11.2302) * CHOOSE(CONTROL!$C$21, $C$9, 100%, $E$9)</f>
        <v>11.2302</v>
      </c>
      <c r="I364" s="10">
        <f>CHOOSE(CONTROL!$C$42, 11.0009, 11.0009)* CHOOSE(CONTROL!$C$21, $C$9, 100%, $E$9)</f>
        <v>11.0009</v>
      </c>
      <c r="J364" s="10">
        <f>CHOOSE(CONTROL!$C$42, 11.0039, 11.0039)* CHOOSE(CONTROL!$C$21, $C$9, 100%, $E$9)</f>
        <v>11.0039</v>
      </c>
      <c r="K364" s="54">
        <f>CHOOSE(CONTROL!$C$42, 10.997, 10.997) * CHOOSE(CONTROL!$C$21, $C$9, 100%, $E$9)</f>
        <v>10.997</v>
      </c>
      <c r="L364" s="10">
        <f>CHOOSE(CONTROL!$C$42, 11.8172, 11.8172) * CHOOSE(CONTROL!$C$21, $C$9, 100%, $E$9)</f>
        <v>11.8172</v>
      </c>
      <c r="M364" s="10">
        <f>CHOOSE(CONTROL!$C$42, 10.9067, 10.9067) * CHOOSE(CONTROL!$C$21, $C$9, 100%, $E$9)</f>
        <v>10.906700000000001</v>
      </c>
      <c r="N364" s="10">
        <f>CHOOSE(CONTROL!$C$42, 10.9245, 10.9245) * CHOOSE(CONTROL!$C$21, $C$9, 100%, $E$9)</f>
        <v>10.9245</v>
      </c>
      <c r="O364" s="10">
        <f>CHOOSE(CONTROL!$C$42, 11.1307, 11.1307) * CHOOSE(CONTROL!$C$21, $C$9, 100%, $E$9)</f>
        <v>11.130699999999999</v>
      </c>
      <c r="P364" s="10">
        <f>CHOOSE(CONTROL!$C$42, 10.9037, 10.9037) * CHOOSE(CONTROL!$C$21, $C$9, 100%, $E$9)</f>
        <v>10.903700000000001</v>
      </c>
      <c r="Q364" s="10">
        <f>CHOOSE(CONTROL!$C$42, 11.726, 11.726) * CHOOSE(CONTROL!$C$21, $C$9, 100%, $E$9)</f>
        <v>11.726000000000001</v>
      </c>
      <c r="R364" s="10">
        <f>CHOOSE(CONTROL!$C$42, 12.3423, 12.3423) * CHOOSE(CONTROL!$C$21, $C$9, 100%, $E$9)</f>
        <v>12.3423</v>
      </c>
      <c r="S364" s="10">
        <f>CHOOSE(CONTROL!$C$42, 10.7011, 10.7011) * CHOOSE(CONTROL!$C$21, $C$9, 100%, $E$9)</f>
        <v>10.7011</v>
      </c>
      <c r="T364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364" s="58">
        <f>(1000*CHOOSE(CONTROL!$C$42, 695, 695)*CHOOSE(CONTROL!$C$42, 0.5599, 0.5599)*CHOOSE(CONTROL!$C$42, 30, 30))/1000000</f>
        <v>11.673914999999997</v>
      </c>
      <c r="V364" s="58">
        <f>(1000*CHOOSE(CONTROL!$C$42, 500, 500)*CHOOSE(CONTROL!$C$42, 0.275, 0.275)*CHOOSE(CONTROL!$C$42, 30, 30))/1000000</f>
        <v>4.125</v>
      </c>
      <c r="W364" s="58">
        <f>(1000*CHOOSE(CONTROL!$C$42, 0.1146, 0.1146)*CHOOSE(CONTROL!$C$42, 121.5, 121.5)*CHOOSE(CONTROL!$C$42, 30, 30))/1000000</f>
        <v>0.417717</v>
      </c>
      <c r="X364" s="58">
        <f>(30*0.1790888*245000/1000000)+(30*0.2374*100000/1000000)</f>
        <v>2.0285026799999999</v>
      </c>
      <c r="Y364" s="58"/>
      <c r="Z364" s="10"/>
      <c r="AA364" s="57"/>
      <c r="AB364" s="51">
        <f>(B364*141.293+C364*267.993+D364*115.016+E364*89.698+F364*40+G364*185+H364*0+I364*100+J364*300)/(141.293+267.993+115.016+89.698+0+40+185+100+300)</f>
        <v>11.050869466989507</v>
      </c>
      <c r="AC364" s="27">
        <f>(M364*'RAP TEMPLATE-GAS AVAILABILITY'!O363+N364*'RAP TEMPLATE-GAS AVAILABILITY'!P363+O364*'RAP TEMPLATE-GAS AVAILABILITY'!Q363+P364*'RAP TEMPLATE-GAS AVAILABILITY'!R363)/('RAP TEMPLATE-GAS AVAILABILITY'!O363+'RAP TEMPLATE-GAS AVAILABILITY'!P363+'RAP TEMPLATE-GAS AVAILABILITY'!Q363+'RAP TEMPLATE-GAS AVAILABILITY'!R363)</f>
        <v>10.973215107913669</v>
      </c>
    </row>
    <row r="365" spans="1:29" ht="15.75" x14ac:dyDescent="0.25">
      <c r="A365" s="14">
        <v>52382</v>
      </c>
      <c r="B365" s="10">
        <f>CHOOSE(CONTROL!$C$42, 11.1216, 11.1216) * CHOOSE(CONTROL!$C$21, $C$9, 100%, $E$9)</f>
        <v>11.121600000000001</v>
      </c>
      <c r="C365" s="10">
        <f>CHOOSE(CONTROL!$C$42, 11.1295, 11.1295) * CHOOSE(CONTROL!$C$21, $C$9, 100%, $E$9)</f>
        <v>11.1295</v>
      </c>
      <c r="D365" s="10">
        <f>CHOOSE(CONTROL!$C$42, 11.3081, 11.3081) * CHOOSE(CONTROL!$C$21, $C$9, 100%, $E$9)</f>
        <v>11.3081</v>
      </c>
      <c r="E365" s="10">
        <f>CHOOSE(CONTROL!$C$42, 11.3392, 11.3392) * CHOOSE(CONTROL!$C$21, $C$9, 100%, $E$9)</f>
        <v>11.3392</v>
      </c>
      <c r="F365" s="10">
        <f>CHOOSE(CONTROL!$C$42, 11.1078, 11.1078)*CHOOSE(CONTROL!$C$21, $C$9, 100%, $E$9)</f>
        <v>11.107799999999999</v>
      </c>
      <c r="G365" s="10">
        <f>CHOOSE(CONTROL!$C$42, 11.126, 11.126)*CHOOSE(CONTROL!$C$21, $C$9, 100%, $E$9)</f>
        <v>11.125999999999999</v>
      </c>
      <c r="H365" s="10">
        <f>CHOOSE(CONTROL!$C$42, 11.3278, 11.3278) * CHOOSE(CONTROL!$C$21, $C$9, 100%, $E$9)</f>
        <v>11.3278</v>
      </c>
      <c r="I365" s="10">
        <f>CHOOSE(CONTROL!$C$42, 11.0985, 11.0985)* CHOOSE(CONTROL!$C$21, $C$9, 100%, $E$9)</f>
        <v>11.0985</v>
      </c>
      <c r="J365" s="10">
        <f>CHOOSE(CONTROL!$C$42, 11.1008, 11.1008)* CHOOSE(CONTROL!$C$21, $C$9, 100%, $E$9)</f>
        <v>11.1008</v>
      </c>
      <c r="K365" s="54">
        <f>CHOOSE(CONTROL!$C$42, 11.0946, 11.0946) * CHOOSE(CONTROL!$C$21, $C$9, 100%, $E$9)</f>
        <v>11.0946</v>
      </c>
      <c r="L365" s="10">
        <f>CHOOSE(CONTROL!$C$42, 11.9148, 11.9148) * CHOOSE(CONTROL!$C$21, $C$9, 100%, $E$9)</f>
        <v>11.9148</v>
      </c>
      <c r="M365" s="10">
        <f>CHOOSE(CONTROL!$C$42, 11.0026, 11.0026) * CHOOSE(CONTROL!$C$21, $C$9, 100%, $E$9)</f>
        <v>11.002599999999999</v>
      </c>
      <c r="N365" s="10">
        <f>CHOOSE(CONTROL!$C$42, 11.0206, 11.0206) * CHOOSE(CONTROL!$C$21, $C$9, 100%, $E$9)</f>
        <v>11.0206</v>
      </c>
      <c r="O365" s="10">
        <f>CHOOSE(CONTROL!$C$42, 11.2274, 11.2274) * CHOOSE(CONTROL!$C$21, $C$9, 100%, $E$9)</f>
        <v>11.227399999999999</v>
      </c>
      <c r="P365" s="10">
        <f>CHOOSE(CONTROL!$C$42, 11.0004, 11.0004) * CHOOSE(CONTROL!$C$21, $C$9, 100%, $E$9)</f>
        <v>11.000400000000001</v>
      </c>
      <c r="Q365" s="10">
        <f>CHOOSE(CONTROL!$C$42, 11.8227, 11.8227) * CHOOSE(CONTROL!$C$21, $C$9, 100%, $E$9)</f>
        <v>11.822699999999999</v>
      </c>
      <c r="R365" s="10">
        <f>CHOOSE(CONTROL!$C$42, 12.4392, 12.4392) * CHOOSE(CONTROL!$C$21, $C$9, 100%, $E$9)</f>
        <v>12.4392</v>
      </c>
      <c r="S365" s="10">
        <f>CHOOSE(CONTROL!$C$42, 10.796, 10.796) * CHOOSE(CONTROL!$C$21, $C$9, 100%, $E$9)</f>
        <v>10.795999999999999</v>
      </c>
      <c r="T365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365" s="58">
        <f>(1000*CHOOSE(CONTROL!$C$42, 695, 695)*CHOOSE(CONTROL!$C$42, 0.5599, 0.5599)*CHOOSE(CONTROL!$C$42, 31, 31))/1000000</f>
        <v>12.063045499999998</v>
      </c>
      <c r="V365" s="58">
        <f>(1000*CHOOSE(CONTROL!$C$42, 500, 500)*CHOOSE(CONTROL!$C$42, 0.275, 0.275)*CHOOSE(CONTROL!$C$42, 31, 31))/1000000</f>
        <v>4.2625000000000002</v>
      </c>
      <c r="W365" s="58">
        <f>(1000*CHOOSE(CONTROL!$C$42, 0.1146, 0.1146)*CHOOSE(CONTROL!$C$42, 121.5, 121.5)*CHOOSE(CONTROL!$C$42, 31, 31))/1000000</f>
        <v>0.43164089999999994</v>
      </c>
      <c r="X365" s="58">
        <f>(31*0.1790888*245000/1000000)+(31*0.2374*100000/1000000)</f>
        <v>2.0961194359999999</v>
      </c>
      <c r="Y365" s="58"/>
      <c r="Z365" s="10"/>
      <c r="AA365" s="57"/>
      <c r="AB365" s="51">
        <f>(B365*194.205+C365*267.466+D365*133.845+E365*53.484+F365*40+G365*185+H365*0+I365*100+J365*300)/(194.205+267.466+133.845+53.484+0+40+185+100+300)</f>
        <v>11.145481626609106</v>
      </c>
      <c r="AC365" s="27">
        <f>(M365*'RAP TEMPLATE-GAS AVAILABILITY'!O364+N365*'RAP TEMPLATE-GAS AVAILABILITY'!P364+O365*'RAP TEMPLATE-GAS AVAILABILITY'!Q364+P365*'RAP TEMPLATE-GAS AVAILABILITY'!R364)/('RAP TEMPLATE-GAS AVAILABILITY'!O364+'RAP TEMPLATE-GAS AVAILABILITY'!P364+'RAP TEMPLATE-GAS AVAILABILITY'!Q364+'RAP TEMPLATE-GAS AVAILABILITY'!R364)</f>
        <v>11.069500719424461</v>
      </c>
    </row>
    <row r="366" spans="1:29" ht="15.75" x14ac:dyDescent="0.25">
      <c r="A366" s="14">
        <v>52412</v>
      </c>
      <c r="B366" s="10">
        <f>CHOOSE(CONTROL!$C$42, 11.437, 11.437) * CHOOSE(CONTROL!$C$21, $C$9, 100%, $E$9)</f>
        <v>11.436999999999999</v>
      </c>
      <c r="C366" s="10">
        <f>CHOOSE(CONTROL!$C$42, 11.4449, 11.4449) * CHOOSE(CONTROL!$C$21, $C$9, 100%, $E$9)</f>
        <v>11.444900000000001</v>
      </c>
      <c r="D366" s="10">
        <f>CHOOSE(CONTROL!$C$42, 11.6234, 11.6234) * CHOOSE(CONTROL!$C$21, $C$9, 100%, $E$9)</f>
        <v>11.6234</v>
      </c>
      <c r="E366" s="10">
        <f>CHOOSE(CONTROL!$C$42, 11.6545, 11.6545) * CHOOSE(CONTROL!$C$21, $C$9, 100%, $E$9)</f>
        <v>11.654500000000001</v>
      </c>
      <c r="F366" s="10">
        <f>CHOOSE(CONTROL!$C$42, 11.4234, 11.4234)*CHOOSE(CONTROL!$C$21, $C$9, 100%, $E$9)</f>
        <v>11.423400000000001</v>
      </c>
      <c r="G366" s="10">
        <f>CHOOSE(CONTROL!$C$42, 11.4416, 11.4416)*CHOOSE(CONTROL!$C$21, $C$9, 100%, $E$9)</f>
        <v>11.441599999999999</v>
      </c>
      <c r="H366" s="10">
        <f>CHOOSE(CONTROL!$C$42, 11.6432, 11.6432) * CHOOSE(CONTROL!$C$21, $C$9, 100%, $E$9)</f>
        <v>11.6432</v>
      </c>
      <c r="I366" s="10">
        <f>CHOOSE(CONTROL!$C$42, 11.4138, 11.4138)* CHOOSE(CONTROL!$C$21, $C$9, 100%, $E$9)</f>
        <v>11.4138</v>
      </c>
      <c r="J366" s="10">
        <f>CHOOSE(CONTROL!$C$42, 11.4164, 11.4164)* CHOOSE(CONTROL!$C$21, $C$9, 100%, $E$9)</f>
        <v>11.416399999999999</v>
      </c>
      <c r="K366" s="54">
        <f>CHOOSE(CONTROL!$C$42, 11.4099, 11.4099) * CHOOSE(CONTROL!$C$21, $C$9, 100%, $E$9)</f>
        <v>11.4099</v>
      </c>
      <c r="L366" s="10">
        <f>CHOOSE(CONTROL!$C$42, 12.2302, 12.2302) * CHOOSE(CONTROL!$C$21, $C$9, 100%, $E$9)</f>
        <v>12.2302</v>
      </c>
      <c r="M366" s="10">
        <f>CHOOSE(CONTROL!$C$42, 11.315, 11.315) * CHOOSE(CONTROL!$C$21, $C$9, 100%, $E$9)</f>
        <v>11.315</v>
      </c>
      <c r="N366" s="10">
        <f>CHOOSE(CONTROL!$C$42, 11.3331, 11.3331) * CHOOSE(CONTROL!$C$21, $C$9, 100%, $E$9)</f>
        <v>11.3331</v>
      </c>
      <c r="O366" s="10">
        <f>CHOOSE(CONTROL!$C$42, 11.5395, 11.5395) * CHOOSE(CONTROL!$C$21, $C$9, 100%, $E$9)</f>
        <v>11.5395</v>
      </c>
      <c r="P366" s="10">
        <f>CHOOSE(CONTROL!$C$42, 11.3125, 11.3125) * CHOOSE(CONTROL!$C$21, $C$9, 100%, $E$9)</f>
        <v>11.3125</v>
      </c>
      <c r="Q366" s="10">
        <f>CHOOSE(CONTROL!$C$42, 12.1348, 12.1348) * CHOOSE(CONTROL!$C$21, $C$9, 100%, $E$9)</f>
        <v>12.1348</v>
      </c>
      <c r="R366" s="10">
        <f>CHOOSE(CONTROL!$C$42, 12.7521, 12.7521) * CHOOSE(CONTROL!$C$21, $C$9, 100%, $E$9)</f>
        <v>12.7521</v>
      </c>
      <c r="S366" s="10">
        <f>CHOOSE(CONTROL!$C$42, 11.1022, 11.1022) * CHOOSE(CONTROL!$C$21, $C$9, 100%, $E$9)</f>
        <v>11.1022</v>
      </c>
      <c r="T366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366" s="58">
        <f>(1000*CHOOSE(CONTROL!$C$42, 695, 695)*CHOOSE(CONTROL!$C$42, 0.5599, 0.5599)*CHOOSE(CONTROL!$C$42, 30, 30))/1000000</f>
        <v>11.673914999999997</v>
      </c>
      <c r="V366" s="58">
        <f>(1000*CHOOSE(CONTROL!$C$42, 500, 500)*CHOOSE(CONTROL!$C$42, 0.275, 0.275)*CHOOSE(CONTROL!$C$42, 30, 30))/1000000</f>
        <v>4.125</v>
      </c>
      <c r="W366" s="58">
        <f>(1000*CHOOSE(CONTROL!$C$42, 0.1146, 0.1146)*CHOOSE(CONTROL!$C$42, 121.5, 121.5)*CHOOSE(CONTROL!$C$42, 30, 30))/1000000</f>
        <v>0.417717</v>
      </c>
      <c r="X366" s="58">
        <f>(30*0.1790888*245000/1000000)+(30*0.2374*100000/1000000)</f>
        <v>2.0285026799999999</v>
      </c>
      <c r="Y366" s="58"/>
      <c r="Z366" s="10"/>
      <c r="AA366" s="57"/>
      <c r="AB366" s="51">
        <f>(B366*194.205+C366*267.466+D366*133.845+E366*53.484+F366*40+G366*185+H366*0+I366*100+J366*300)/(194.205+267.466+133.845+53.484+0+40+185+100+300)</f>
        <v>11.46094149089482</v>
      </c>
      <c r="AC366" s="27">
        <f>(M366*'RAP TEMPLATE-GAS AVAILABILITY'!O365+N366*'RAP TEMPLATE-GAS AVAILABILITY'!P365+O366*'RAP TEMPLATE-GAS AVAILABILITY'!Q365+P366*'RAP TEMPLATE-GAS AVAILABILITY'!R365)/('RAP TEMPLATE-GAS AVAILABILITY'!O365+'RAP TEMPLATE-GAS AVAILABILITY'!P365+'RAP TEMPLATE-GAS AVAILABILITY'!Q365+'RAP TEMPLATE-GAS AVAILABILITY'!R365)</f>
        <v>11.381796402877699</v>
      </c>
    </row>
    <row r="367" spans="1:29" ht="15.75" x14ac:dyDescent="0.25">
      <c r="A367" s="14">
        <v>52443</v>
      </c>
      <c r="B367" s="10">
        <f>CHOOSE(CONTROL!$C$42, 11.2176, 11.2176) * CHOOSE(CONTROL!$C$21, $C$9, 100%, $E$9)</f>
        <v>11.217599999999999</v>
      </c>
      <c r="C367" s="10">
        <f>CHOOSE(CONTROL!$C$42, 11.2256, 11.2256) * CHOOSE(CONTROL!$C$21, $C$9, 100%, $E$9)</f>
        <v>11.2256</v>
      </c>
      <c r="D367" s="10">
        <f>CHOOSE(CONTROL!$C$42, 11.4041, 11.4041) * CHOOSE(CONTROL!$C$21, $C$9, 100%, $E$9)</f>
        <v>11.4041</v>
      </c>
      <c r="E367" s="10">
        <f>CHOOSE(CONTROL!$C$42, 11.4352, 11.4352) * CHOOSE(CONTROL!$C$21, $C$9, 100%, $E$9)</f>
        <v>11.4352</v>
      </c>
      <c r="F367" s="10">
        <f>CHOOSE(CONTROL!$C$42, 11.2044, 11.2044)*CHOOSE(CONTROL!$C$21, $C$9, 100%, $E$9)</f>
        <v>11.2044</v>
      </c>
      <c r="G367" s="10">
        <f>CHOOSE(CONTROL!$C$42, 11.2227, 11.2227)*CHOOSE(CONTROL!$C$21, $C$9, 100%, $E$9)</f>
        <v>11.2227</v>
      </c>
      <c r="H367" s="10">
        <f>CHOOSE(CONTROL!$C$42, 11.4239, 11.4239) * CHOOSE(CONTROL!$C$21, $C$9, 100%, $E$9)</f>
        <v>11.4239</v>
      </c>
      <c r="I367" s="10">
        <f>CHOOSE(CONTROL!$C$42, 11.1945, 11.1945)* CHOOSE(CONTROL!$C$21, $C$9, 100%, $E$9)</f>
        <v>11.1945</v>
      </c>
      <c r="J367" s="10">
        <f>CHOOSE(CONTROL!$C$42, 11.1974, 11.1974)* CHOOSE(CONTROL!$C$21, $C$9, 100%, $E$9)</f>
        <v>11.1974</v>
      </c>
      <c r="K367" s="54">
        <f>CHOOSE(CONTROL!$C$42, 11.1906, 11.1906) * CHOOSE(CONTROL!$C$21, $C$9, 100%, $E$9)</f>
        <v>11.1906</v>
      </c>
      <c r="L367" s="10">
        <f>CHOOSE(CONTROL!$C$42, 12.0109, 12.0109) * CHOOSE(CONTROL!$C$21, $C$9, 100%, $E$9)</f>
        <v>12.010899999999999</v>
      </c>
      <c r="M367" s="10">
        <f>CHOOSE(CONTROL!$C$42, 11.0982, 11.0982) * CHOOSE(CONTROL!$C$21, $C$9, 100%, $E$9)</f>
        <v>11.0982</v>
      </c>
      <c r="N367" s="10">
        <f>CHOOSE(CONTROL!$C$42, 11.1163, 11.1163) * CHOOSE(CONTROL!$C$21, $C$9, 100%, $E$9)</f>
        <v>11.116300000000001</v>
      </c>
      <c r="O367" s="10">
        <f>CHOOSE(CONTROL!$C$42, 11.3224, 11.3224) * CHOOSE(CONTROL!$C$21, $C$9, 100%, $E$9)</f>
        <v>11.3224</v>
      </c>
      <c r="P367" s="10">
        <f>CHOOSE(CONTROL!$C$42, 11.0954, 11.0954) * CHOOSE(CONTROL!$C$21, $C$9, 100%, $E$9)</f>
        <v>11.0954</v>
      </c>
      <c r="Q367" s="10">
        <f>CHOOSE(CONTROL!$C$42, 11.9177, 11.9177) * CHOOSE(CONTROL!$C$21, $C$9, 100%, $E$9)</f>
        <v>11.9177</v>
      </c>
      <c r="R367" s="10">
        <f>CHOOSE(CONTROL!$C$42, 12.5345, 12.5345) * CHOOSE(CONTROL!$C$21, $C$9, 100%, $E$9)</f>
        <v>12.5345</v>
      </c>
      <c r="S367" s="10">
        <f>CHOOSE(CONTROL!$C$42, 10.8892, 10.8892) * CHOOSE(CONTROL!$C$21, $C$9, 100%, $E$9)</f>
        <v>10.889200000000001</v>
      </c>
      <c r="T367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367" s="58">
        <f>(1000*CHOOSE(CONTROL!$C$42, 695, 695)*CHOOSE(CONTROL!$C$42, 0.5599, 0.5599)*CHOOSE(CONTROL!$C$42, 31, 31))/1000000</f>
        <v>12.063045499999998</v>
      </c>
      <c r="V367" s="58">
        <f>(1000*CHOOSE(CONTROL!$C$42, 500, 500)*CHOOSE(CONTROL!$C$42, 0.275, 0.275)*CHOOSE(CONTROL!$C$42, 31, 31))/1000000</f>
        <v>4.2625000000000002</v>
      </c>
      <c r="W367" s="58">
        <f>(1000*CHOOSE(CONTROL!$C$42, 0.1146, 0.1146)*CHOOSE(CONTROL!$C$42, 121.5, 121.5)*CHOOSE(CONTROL!$C$42, 31, 31))/1000000</f>
        <v>0.43164089999999994</v>
      </c>
      <c r="X367" s="58">
        <f>(31*0.1790888*245000/1000000)+(31*0.2374*100000/1000000)</f>
        <v>2.0961194359999999</v>
      </c>
      <c r="Y367" s="58"/>
      <c r="Z367" s="10"/>
      <c r="AA367" s="57"/>
      <c r="AB367" s="51">
        <f>(B367*194.205+C367*267.466+D367*133.845+E367*53.484+F367*40+G367*185+H367*0+I367*100+J367*300)/(194.205+267.466+133.845+53.484+0+40+185+100+300)</f>
        <v>11.241764394740972</v>
      </c>
      <c r="AC367" s="27">
        <f>(M367*'RAP TEMPLATE-GAS AVAILABILITY'!O366+N367*'RAP TEMPLATE-GAS AVAILABILITY'!P366+O367*'RAP TEMPLATE-GAS AVAILABILITY'!Q366+P367*'RAP TEMPLATE-GAS AVAILABILITY'!R366)/('RAP TEMPLATE-GAS AVAILABILITY'!O366+'RAP TEMPLATE-GAS AVAILABILITY'!P366+'RAP TEMPLATE-GAS AVAILABILITY'!Q366+'RAP TEMPLATE-GAS AVAILABILITY'!R366)</f>
        <v>11.164869064748201</v>
      </c>
    </row>
    <row r="368" spans="1:29" ht="15.75" x14ac:dyDescent="0.25">
      <c r="A368" s="14">
        <v>52474</v>
      </c>
      <c r="B368" s="10">
        <f>CHOOSE(CONTROL!$C$42, 10.6638, 10.6638) * CHOOSE(CONTROL!$C$21, $C$9, 100%, $E$9)</f>
        <v>10.6638</v>
      </c>
      <c r="C368" s="10">
        <f>CHOOSE(CONTROL!$C$42, 10.6717, 10.6717) * CHOOSE(CONTROL!$C$21, $C$9, 100%, $E$9)</f>
        <v>10.6717</v>
      </c>
      <c r="D368" s="10">
        <f>CHOOSE(CONTROL!$C$42, 10.8503, 10.8503) * CHOOSE(CONTROL!$C$21, $C$9, 100%, $E$9)</f>
        <v>10.850300000000001</v>
      </c>
      <c r="E368" s="10">
        <f>CHOOSE(CONTROL!$C$42, 10.8814, 10.8814) * CHOOSE(CONTROL!$C$21, $C$9, 100%, $E$9)</f>
        <v>10.881399999999999</v>
      </c>
      <c r="F368" s="10">
        <f>CHOOSE(CONTROL!$C$42, 10.6505, 10.6505)*CHOOSE(CONTROL!$C$21, $C$9, 100%, $E$9)</f>
        <v>10.650499999999999</v>
      </c>
      <c r="G368" s="10">
        <f>CHOOSE(CONTROL!$C$42, 10.6688, 10.6688)*CHOOSE(CONTROL!$C$21, $C$9, 100%, $E$9)</f>
        <v>10.668799999999999</v>
      </c>
      <c r="H368" s="10">
        <f>CHOOSE(CONTROL!$C$42, 10.87, 10.87) * CHOOSE(CONTROL!$C$21, $C$9, 100%, $E$9)</f>
        <v>10.87</v>
      </c>
      <c r="I368" s="10">
        <f>CHOOSE(CONTROL!$C$42, 10.6407, 10.6407)* CHOOSE(CONTROL!$C$21, $C$9, 100%, $E$9)</f>
        <v>10.640700000000001</v>
      </c>
      <c r="J368" s="10">
        <f>CHOOSE(CONTROL!$C$42, 10.6435, 10.6435)* CHOOSE(CONTROL!$C$21, $C$9, 100%, $E$9)</f>
        <v>10.6435</v>
      </c>
      <c r="K368" s="54">
        <f>CHOOSE(CONTROL!$C$42, 10.6368, 10.6368) * CHOOSE(CONTROL!$C$21, $C$9, 100%, $E$9)</f>
        <v>10.636799999999999</v>
      </c>
      <c r="L368" s="10">
        <f>CHOOSE(CONTROL!$C$42, 11.457, 11.457) * CHOOSE(CONTROL!$C$21, $C$9, 100%, $E$9)</f>
        <v>11.457000000000001</v>
      </c>
      <c r="M368" s="10">
        <f>CHOOSE(CONTROL!$C$42, 10.5499, 10.5499) * CHOOSE(CONTROL!$C$21, $C$9, 100%, $E$9)</f>
        <v>10.549899999999999</v>
      </c>
      <c r="N368" s="10">
        <f>CHOOSE(CONTROL!$C$42, 10.568, 10.568) * CHOOSE(CONTROL!$C$21, $C$9, 100%, $E$9)</f>
        <v>10.568</v>
      </c>
      <c r="O368" s="10">
        <f>CHOOSE(CONTROL!$C$42, 10.7742, 10.7742) * CHOOSE(CONTROL!$C$21, $C$9, 100%, $E$9)</f>
        <v>10.7742</v>
      </c>
      <c r="P368" s="10">
        <f>CHOOSE(CONTROL!$C$42, 10.5472, 10.5472) * CHOOSE(CONTROL!$C$21, $C$9, 100%, $E$9)</f>
        <v>10.5472</v>
      </c>
      <c r="Q368" s="10">
        <f>CHOOSE(CONTROL!$C$42, 11.3695, 11.3695) * CHOOSE(CONTROL!$C$21, $C$9, 100%, $E$9)</f>
        <v>11.3695</v>
      </c>
      <c r="R368" s="10">
        <f>CHOOSE(CONTROL!$C$42, 11.9849, 11.9849) * CHOOSE(CONTROL!$C$21, $C$9, 100%, $E$9)</f>
        <v>11.9849</v>
      </c>
      <c r="S368" s="10">
        <f>CHOOSE(CONTROL!$C$42, 10.3514, 10.3514) * CHOOSE(CONTROL!$C$21, $C$9, 100%, $E$9)</f>
        <v>10.3514</v>
      </c>
      <c r="T368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368" s="58">
        <f>(1000*CHOOSE(CONTROL!$C$42, 695, 695)*CHOOSE(CONTROL!$C$42, 0.5599, 0.5599)*CHOOSE(CONTROL!$C$42, 31, 31))/1000000</f>
        <v>12.063045499999998</v>
      </c>
      <c r="V368" s="58">
        <f>(1000*CHOOSE(CONTROL!$C$42, 500, 500)*CHOOSE(CONTROL!$C$42, 0.275, 0.275)*CHOOSE(CONTROL!$C$42, 31, 31))/1000000</f>
        <v>4.2625000000000002</v>
      </c>
      <c r="W368" s="58">
        <f>(1000*CHOOSE(CONTROL!$C$42, 0.1146, 0.1146)*CHOOSE(CONTROL!$C$42, 121.5, 121.5)*CHOOSE(CONTROL!$C$42, 31, 31))/1000000</f>
        <v>0.43164089999999994</v>
      </c>
      <c r="X368" s="58">
        <f>(31*0.1790888*245000/1000000)+(31*0.2374*100000/1000000)</f>
        <v>2.0961194359999999</v>
      </c>
      <c r="Y368" s="58"/>
      <c r="Z368" s="10"/>
      <c r="AA368" s="57"/>
      <c r="AB368" s="51">
        <f>(B368*194.205+C368*267.466+D368*133.845+E368*53.484+F368*40+G368*185+H368*0+I368*100+J368*300)/(194.205+267.466+133.845+53.484+0+40+185+100+300)</f>
        <v>10.687902191758239</v>
      </c>
      <c r="AC368" s="27">
        <f>(M368*'RAP TEMPLATE-GAS AVAILABILITY'!O367+N368*'RAP TEMPLATE-GAS AVAILABILITY'!P367+O368*'RAP TEMPLATE-GAS AVAILABILITY'!Q367+P368*'RAP TEMPLATE-GAS AVAILABILITY'!R367)/('RAP TEMPLATE-GAS AVAILABILITY'!O367+'RAP TEMPLATE-GAS AVAILABILITY'!P367+'RAP TEMPLATE-GAS AVAILABILITY'!Q367+'RAP TEMPLATE-GAS AVAILABILITY'!R367)</f>
        <v>10.616611510791367</v>
      </c>
    </row>
    <row r="369" spans="1:29" ht="15.75" x14ac:dyDescent="0.25">
      <c r="A369" s="14">
        <v>52504</v>
      </c>
      <c r="B369" s="10">
        <f>CHOOSE(CONTROL!$C$42, 9.9872, 9.9872) * CHOOSE(CONTROL!$C$21, $C$9, 100%, $E$9)</f>
        <v>9.9871999999999996</v>
      </c>
      <c r="C369" s="10">
        <f>CHOOSE(CONTROL!$C$42, 9.9951, 9.9951) * CHOOSE(CONTROL!$C$21, $C$9, 100%, $E$9)</f>
        <v>9.9951000000000008</v>
      </c>
      <c r="D369" s="10">
        <f>CHOOSE(CONTROL!$C$42, 10.1736, 10.1736) * CHOOSE(CONTROL!$C$21, $C$9, 100%, $E$9)</f>
        <v>10.1736</v>
      </c>
      <c r="E369" s="10">
        <f>CHOOSE(CONTROL!$C$42, 10.2047, 10.2047) * CHOOSE(CONTROL!$C$21, $C$9, 100%, $E$9)</f>
        <v>10.204700000000001</v>
      </c>
      <c r="F369" s="10">
        <f>CHOOSE(CONTROL!$C$42, 9.9735, 9.9735)*CHOOSE(CONTROL!$C$21, $C$9, 100%, $E$9)</f>
        <v>9.9734999999999996</v>
      </c>
      <c r="G369" s="10">
        <f>CHOOSE(CONTROL!$C$42, 9.9917, 9.9917)*CHOOSE(CONTROL!$C$21, $C$9, 100%, $E$9)</f>
        <v>9.9916999999999998</v>
      </c>
      <c r="H369" s="10">
        <f>CHOOSE(CONTROL!$C$42, 10.1934, 10.1934) * CHOOSE(CONTROL!$C$21, $C$9, 100%, $E$9)</f>
        <v>10.1934</v>
      </c>
      <c r="I369" s="10">
        <f>CHOOSE(CONTROL!$C$42, 9.964, 9.964)* CHOOSE(CONTROL!$C$21, $C$9, 100%, $E$9)</f>
        <v>9.9640000000000004</v>
      </c>
      <c r="J369" s="10">
        <f>CHOOSE(CONTROL!$C$42, 9.9665, 9.9665)* CHOOSE(CONTROL!$C$21, $C$9, 100%, $E$9)</f>
        <v>9.9664999999999999</v>
      </c>
      <c r="K369" s="54">
        <f>CHOOSE(CONTROL!$C$42, 9.9601, 9.9601) * CHOOSE(CONTROL!$C$21, $C$9, 100%, $E$9)</f>
        <v>9.9601000000000006</v>
      </c>
      <c r="L369" s="10">
        <f>CHOOSE(CONTROL!$C$42, 10.7804, 10.7804) * CHOOSE(CONTROL!$C$21, $C$9, 100%, $E$9)</f>
        <v>10.7804</v>
      </c>
      <c r="M369" s="10">
        <f>CHOOSE(CONTROL!$C$42, 9.8798, 9.8798) * CHOOSE(CONTROL!$C$21, $C$9, 100%, $E$9)</f>
        <v>9.8797999999999995</v>
      </c>
      <c r="N369" s="10">
        <f>CHOOSE(CONTROL!$C$42, 9.8978, 9.8978) * CHOOSE(CONTROL!$C$21, $C$9, 100%, $E$9)</f>
        <v>9.8978000000000002</v>
      </c>
      <c r="O369" s="10">
        <f>CHOOSE(CONTROL!$C$42, 10.1043, 10.1043) * CHOOSE(CONTROL!$C$21, $C$9, 100%, $E$9)</f>
        <v>10.1043</v>
      </c>
      <c r="P369" s="10">
        <f>CHOOSE(CONTROL!$C$42, 9.8773, 9.8773) * CHOOSE(CONTROL!$C$21, $C$9, 100%, $E$9)</f>
        <v>9.8773</v>
      </c>
      <c r="Q369" s="10">
        <f>CHOOSE(CONTROL!$C$42, 10.6996, 10.6996) * CHOOSE(CONTROL!$C$21, $C$9, 100%, $E$9)</f>
        <v>10.6996</v>
      </c>
      <c r="R369" s="10">
        <f>CHOOSE(CONTROL!$C$42, 11.3134, 11.3134) * CHOOSE(CONTROL!$C$21, $C$9, 100%, $E$9)</f>
        <v>11.3134</v>
      </c>
      <c r="S369" s="10">
        <f>CHOOSE(CONTROL!$C$42, 9.6943, 9.6943) * CHOOSE(CONTROL!$C$21, $C$9, 100%, $E$9)</f>
        <v>9.6943000000000001</v>
      </c>
      <c r="T369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369" s="58">
        <f>(1000*CHOOSE(CONTROL!$C$42, 695, 695)*CHOOSE(CONTROL!$C$42, 0.5599, 0.5599)*CHOOSE(CONTROL!$C$42, 30, 30))/1000000</f>
        <v>11.673914999999997</v>
      </c>
      <c r="V369" s="58">
        <f>(1000*CHOOSE(CONTROL!$C$42, 500, 500)*CHOOSE(CONTROL!$C$42, 0.275, 0.275)*CHOOSE(CONTROL!$C$42, 30, 30))/1000000</f>
        <v>4.125</v>
      </c>
      <c r="W369" s="58">
        <f>(1000*CHOOSE(CONTROL!$C$42, 0.1146, 0.1146)*CHOOSE(CONTROL!$C$42, 121.5, 121.5)*CHOOSE(CONTROL!$C$42, 30, 30))/1000000</f>
        <v>0.417717</v>
      </c>
      <c r="X369" s="58">
        <f>(30*0.1790888*245000/1000000)+(30*0.2374*100000/1000000)</f>
        <v>2.0285026799999999</v>
      </c>
      <c r="Y369" s="58"/>
      <c r="Z369" s="10"/>
      <c r="AA369" s="57"/>
      <c r="AB369" s="51">
        <f>(B369*194.205+C369*267.466+D369*133.845+E369*53.484+F369*40+G369*185+H369*0+I369*100+J369*300)/(194.205+267.466+133.845+53.484+0+40+185+100+300)</f>
        <v>10.011100282103609</v>
      </c>
      <c r="AC369" s="27">
        <f>(M369*'RAP TEMPLATE-GAS AVAILABILITY'!O368+N369*'RAP TEMPLATE-GAS AVAILABILITY'!P368+O369*'RAP TEMPLATE-GAS AVAILABILITY'!Q368+P369*'RAP TEMPLATE-GAS AVAILABILITY'!R368)/('RAP TEMPLATE-GAS AVAILABILITY'!O368+'RAP TEMPLATE-GAS AVAILABILITY'!P368+'RAP TEMPLATE-GAS AVAILABILITY'!Q368+'RAP TEMPLATE-GAS AVAILABILITY'!R368)</f>
        <v>9.9465733812949644</v>
      </c>
    </row>
    <row r="370" spans="1:29" ht="15.75" x14ac:dyDescent="0.25">
      <c r="A370" s="14">
        <v>52535</v>
      </c>
      <c r="B370" s="10">
        <f>CHOOSE(CONTROL!$C$42, 9.7823, 9.7823) * CHOOSE(CONTROL!$C$21, $C$9, 100%, $E$9)</f>
        <v>9.7822999999999993</v>
      </c>
      <c r="C370" s="10">
        <f>CHOOSE(CONTROL!$C$42, 9.7875, 9.7875) * CHOOSE(CONTROL!$C$21, $C$9, 100%, $E$9)</f>
        <v>9.7874999999999996</v>
      </c>
      <c r="D370" s="10">
        <f>CHOOSE(CONTROL!$C$42, 9.971, 9.971) * CHOOSE(CONTROL!$C$21, $C$9, 100%, $E$9)</f>
        <v>9.9710000000000001</v>
      </c>
      <c r="E370" s="10">
        <f>CHOOSE(CONTROL!$C$42, 9.9998, 9.9998) * CHOOSE(CONTROL!$C$21, $C$9, 100%, $E$9)</f>
        <v>9.9998000000000005</v>
      </c>
      <c r="F370" s="10">
        <f>CHOOSE(CONTROL!$C$42, 9.7707, 9.7707)*CHOOSE(CONTROL!$C$21, $C$9, 100%, $E$9)</f>
        <v>9.7706999999999997</v>
      </c>
      <c r="G370" s="10">
        <f>CHOOSE(CONTROL!$C$42, 9.7885, 9.7885)*CHOOSE(CONTROL!$C$21, $C$9, 100%, $E$9)</f>
        <v>9.7885000000000009</v>
      </c>
      <c r="H370" s="10">
        <f>CHOOSE(CONTROL!$C$42, 9.9903, 9.9903) * CHOOSE(CONTROL!$C$21, $C$9, 100%, $E$9)</f>
        <v>9.9902999999999995</v>
      </c>
      <c r="I370" s="10">
        <f>CHOOSE(CONTROL!$C$42, 9.761, 9.761)* CHOOSE(CONTROL!$C$21, $C$9, 100%, $E$9)</f>
        <v>9.7609999999999992</v>
      </c>
      <c r="J370" s="10">
        <f>CHOOSE(CONTROL!$C$42, 9.7637, 9.7637)* CHOOSE(CONTROL!$C$21, $C$9, 100%, $E$9)</f>
        <v>9.7637</v>
      </c>
      <c r="K370" s="54">
        <f>CHOOSE(CONTROL!$C$42, 9.7571, 9.7571) * CHOOSE(CONTROL!$C$21, $C$9, 100%, $E$9)</f>
        <v>9.7570999999999994</v>
      </c>
      <c r="L370" s="10">
        <f>CHOOSE(CONTROL!$C$42, 10.5773, 10.5773) * CHOOSE(CONTROL!$C$21, $C$9, 100%, $E$9)</f>
        <v>10.577299999999999</v>
      </c>
      <c r="M370" s="10">
        <f>CHOOSE(CONTROL!$C$42, 9.679, 9.679) * CHOOSE(CONTROL!$C$21, $C$9, 100%, $E$9)</f>
        <v>9.6790000000000003</v>
      </c>
      <c r="N370" s="10">
        <f>CHOOSE(CONTROL!$C$42, 9.6967, 9.6967) * CHOOSE(CONTROL!$C$21, $C$9, 100%, $E$9)</f>
        <v>9.6966999999999999</v>
      </c>
      <c r="O370" s="10">
        <f>CHOOSE(CONTROL!$C$42, 9.9033, 9.9033) * CHOOSE(CONTROL!$C$21, $C$9, 100%, $E$9)</f>
        <v>9.9032999999999998</v>
      </c>
      <c r="P370" s="10">
        <f>CHOOSE(CONTROL!$C$42, 9.6763, 9.6763) * CHOOSE(CONTROL!$C$21, $C$9, 100%, $E$9)</f>
        <v>9.6762999999999995</v>
      </c>
      <c r="Q370" s="10">
        <f>CHOOSE(CONTROL!$C$42, 10.4986, 10.4986) * CHOOSE(CONTROL!$C$21, $C$9, 100%, $E$9)</f>
        <v>10.4986</v>
      </c>
      <c r="R370" s="10">
        <f>CHOOSE(CONTROL!$C$42, 11.1119, 11.1119) * CHOOSE(CONTROL!$C$21, $C$9, 100%, $E$9)</f>
        <v>11.1119</v>
      </c>
      <c r="S370" s="10">
        <f>CHOOSE(CONTROL!$C$42, 9.4971, 9.4971) * CHOOSE(CONTROL!$C$21, $C$9, 100%, $E$9)</f>
        <v>9.4970999999999997</v>
      </c>
      <c r="T370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70" s="58">
        <f>(1000*CHOOSE(CONTROL!$C$42, 695, 695)*CHOOSE(CONTROL!$C$42, 0.5599, 0.5599)*CHOOSE(CONTROL!$C$42, 31, 31))/1000000</f>
        <v>12.063045499999998</v>
      </c>
      <c r="V370" s="58">
        <f>(1000*CHOOSE(CONTROL!$C$42, 500, 500)*CHOOSE(CONTROL!$C$42, 0.275, 0.275)*CHOOSE(CONTROL!$C$42, 31, 31))/1000000</f>
        <v>4.2625000000000002</v>
      </c>
      <c r="W370" s="58">
        <f>(1000*CHOOSE(CONTROL!$C$42, 0.1146, 0.1146)*CHOOSE(CONTROL!$C$42, 121.5, 121.5)*CHOOSE(CONTROL!$C$42, 31, 31))/1000000</f>
        <v>0.43164089999999994</v>
      </c>
      <c r="X370" s="58">
        <f>(31*0.1790888*245000/1000000)+(31*0.2374*100000/1000000)</f>
        <v>2.0961194359999999</v>
      </c>
      <c r="Y370" s="58"/>
      <c r="Z370" s="10"/>
      <c r="AA370" s="57"/>
      <c r="AB370" s="51">
        <f>(B370*131.881+C370*277.167+D370*79.08+E370*125.872+F370*40+G370*185+H370*0+I370*100+J370*300)/(131.881+277.167+79.08+125.872+0+40+185+100+300)</f>
        <v>9.8119318195318801</v>
      </c>
      <c r="AC370" s="27">
        <f>(M370*'RAP TEMPLATE-GAS AVAILABILITY'!O369+N370*'RAP TEMPLATE-GAS AVAILABILITY'!P369+O370*'RAP TEMPLATE-GAS AVAILABILITY'!Q369+P370*'RAP TEMPLATE-GAS AVAILABILITY'!R369)/('RAP TEMPLATE-GAS AVAILABILITY'!O369+'RAP TEMPLATE-GAS AVAILABILITY'!P369+'RAP TEMPLATE-GAS AVAILABILITY'!Q369+'RAP TEMPLATE-GAS AVAILABILITY'!R369)</f>
        <v>9.7456194244604308</v>
      </c>
    </row>
    <row r="371" spans="1:29" ht="15.75" x14ac:dyDescent="0.25">
      <c r="A371" s="14">
        <v>52565</v>
      </c>
      <c r="B371" s="10">
        <f>CHOOSE(CONTROL!$C$42, 10.0395, 10.0395) * CHOOSE(CONTROL!$C$21, $C$9, 100%, $E$9)</f>
        <v>10.0395</v>
      </c>
      <c r="C371" s="10">
        <f>CHOOSE(CONTROL!$C$42, 10.0445, 10.0445) * CHOOSE(CONTROL!$C$21, $C$9, 100%, $E$9)</f>
        <v>10.044499999999999</v>
      </c>
      <c r="D371" s="10">
        <f>CHOOSE(CONTROL!$C$42, 10.0741, 10.0741) * CHOOSE(CONTROL!$C$21, $C$9, 100%, $E$9)</f>
        <v>10.0741</v>
      </c>
      <c r="E371" s="10">
        <f>CHOOSE(CONTROL!$C$42, 10.1079, 10.1079) * CHOOSE(CONTROL!$C$21, $C$9, 100%, $E$9)</f>
        <v>10.107900000000001</v>
      </c>
      <c r="F371" s="10">
        <f>CHOOSE(CONTROL!$C$42, 10.0253, 10.0253)*CHOOSE(CONTROL!$C$21, $C$9, 100%, $E$9)</f>
        <v>10.0253</v>
      </c>
      <c r="G371" s="10">
        <f>CHOOSE(CONTROL!$C$42, 10.0433, 10.0433)*CHOOSE(CONTROL!$C$21, $C$9, 100%, $E$9)</f>
        <v>10.0433</v>
      </c>
      <c r="H371" s="10">
        <f>CHOOSE(CONTROL!$C$42, 10.0971, 10.0971) * CHOOSE(CONTROL!$C$21, $C$9, 100%, $E$9)</f>
        <v>10.097099999999999</v>
      </c>
      <c r="I371" s="10">
        <f>CHOOSE(CONTROL!$C$42, 10.0057, 10.0057)* CHOOSE(CONTROL!$C$21, $C$9, 100%, $E$9)</f>
        <v>10.005699999999999</v>
      </c>
      <c r="J371" s="10">
        <f>CHOOSE(CONTROL!$C$42, 10.0183, 10.0183)* CHOOSE(CONTROL!$C$21, $C$9, 100%, $E$9)</f>
        <v>10.0183</v>
      </c>
      <c r="K371" s="54">
        <f>CHOOSE(CONTROL!$C$42, 10.0018, 10.0018) * CHOOSE(CONTROL!$C$21, $C$9, 100%, $E$9)</f>
        <v>10.001799999999999</v>
      </c>
      <c r="L371" s="10">
        <f>CHOOSE(CONTROL!$C$42, 10.6841, 10.6841) * CHOOSE(CONTROL!$C$21, $C$9, 100%, $E$9)</f>
        <v>10.684100000000001</v>
      </c>
      <c r="M371" s="10">
        <f>CHOOSE(CONTROL!$C$42, 9.931, 9.931) * CHOOSE(CONTROL!$C$21, $C$9, 100%, $E$9)</f>
        <v>9.9309999999999992</v>
      </c>
      <c r="N371" s="10">
        <f>CHOOSE(CONTROL!$C$42, 9.9489, 9.9489) * CHOOSE(CONTROL!$C$21, $C$9, 100%, $E$9)</f>
        <v>9.9489000000000001</v>
      </c>
      <c r="O371" s="10">
        <f>CHOOSE(CONTROL!$C$42, 10.009, 10.009) * CHOOSE(CONTROL!$C$21, $C$9, 100%, $E$9)</f>
        <v>10.009</v>
      </c>
      <c r="P371" s="10">
        <f>CHOOSE(CONTROL!$C$42, 9.9186, 9.9186) * CHOOSE(CONTROL!$C$21, $C$9, 100%, $E$9)</f>
        <v>9.9185999999999996</v>
      </c>
      <c r="Q371" s="10">
        <f>CHOOSE(CONTROL!$C$42, 10.6043, 10.6043) * CHOOSE(CONTROL!$C$21, $C$9, 100%, $E$9)</f>
        <v>10.6043</v>
      </c>
      <c r="R371" s="10">
        <f>CHOOSE(CONTROL!$C$42, 11.2178, 11.2178) * CHOOSE(CONTROL!$C$21, $C$9, 100%, $E$9)</f>
        <v>11.2178</v>
      </c>
      <c r="S371" s="10">
        <f>CHOOSE(CONTROL!$C$42, 9.7473, 9.7473) * CHOOSE(CONTROL!$C$21, $C$9, 100%, $E$9)</f>
        <v>9.7472999999999992</v>
      </c>
      <c r="T371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71" s="58">
        <f>(1000*CHOOSE(CONTROL!$C$42, 695, 695)*CHOOSE(CONTROL!$C$42, 0.5599, 0.5599)*CHOOSE(CONTROL!$C$42, 30, 30))/1000000</f>
        <v>11.673914999999997</v>
      </c>
      <c r="V371" s="58">
        <f>(1000*CHOOSE(CONTROL!$C$42, 500, 500)*CHOOSE(CONTROL!$C$42, 0.275, 0.275)*CHOOSE(CONTROL!$C$42, 30, 30))/1000000</f>
        <v>4.125</v>
      </c>
      <c r="W371" s="58">
        <f>(1000*CHOOSE(CONTROL!$C$42, 0.1146, 0.1146)*CHOOSE(CONTROL!$C$42, 121.5, 121.5)*CHOOSE(CONTROL!$C$42, 30, 30))/1000000</f>
        <v>0.417717</v>
      </c>
      <c r="X371" s="58">
        <f>(30*0.1790888*100000/1000000)+(30*0.2374*100000/1000000)</f>
        <v>1.2494664</v>
      </c>
      <c r="Y371" s="58"/>
      <c r="Z371" s="10"/>
      <c r="AA371" s="57"/>
      <c r="AB371" s="51">
        <f>(B371*122.58+C371*297.941+D371*89.177+E371*40.302+F371*40+G371*160+H371*0+I371*100+J371*300)/(122.58+297.941+89.177+40.302+0+40+160+100+300)</f>
        <v>10.037440770434781</v>
      </c>
      <c r="AC371" s="27">
        <f>(M371*'RAP TEMPLATE-GAS AVAILABILITY'!O370+N371*'RAP TEMPLATE-GAS AVAILABILITY'!P370+O371*'RAP TEMPLATE-GAS AVAILABILITY'!Q370+P371*'RAP TEMPLATE-GAS AVAILABILITY'!R370)/('RAP TEMPLATE-GAS AVAILABILITY'!O370+'RAP TEMPLATE-GAS AVAILABILITY'!P370+'RAP TEMPLATE-GAS AVAILABILITY'!Q370+'RAP TEMPLATE-GAS AVAILABILITY'!R370)</f>
        <v>9.9655985611510776</v>
      </c>
    </row>
    <row r="372" spans="1:29" ht="15.75" x14ac:dyDescent="0.25">
      <c r="A372" s="14">
        <v>52596</v>
      </c>
      <c r="B372" s="10">
        <f>CHOOSE(CONTROL!$C$42, 10.7238, 10.7238) * CHOOSE(CONTROL!$C$21, $C$9, 100%, $E$9)</f>
        <v>10.723800000000001</v>
      </c>
      <c r="C372" s="10">
        <f>CHOOSE(CONTROL!$C$42, 10.7288, 10.7288) * CHOOSE(CONTROL!$C$21, $C$9, 100%, $E$9)</f>
        <v>10.7288</v>
      </c>
      <c r="D372" s="10">
        <f>CHOOSE(CONTROL!$C$42, 10.7584, 10.7584) * CHOOSE(CONTROL!$C$21, $C$9, 100%, $E$9)</f>
        <v>10.7584</v>
      </c>
      <c r="E372" s="10">
        <f>CHOOSE(CONTROL!$C$42, 10.7922, 10.7922) * CHOOSE(CONTROL!$C$21, $C$9, 100%, $E$9)</f>
        <v>10.792199999999999</v>
      </c>
      <c r="F372" s="10">
        <f>CHOOSE(CONTROL!$C$42, 10.7111, 10.7111)*CHOOSE(CONTROL!$C$21, $C$9, 100%, $E$9)</f>
        <v>10.7111</v>
      </c>
      <c r="G372" s="10">
        <f>CHOOSE(CONTROL!$C$42, 10.7296, 10.7296)*CHOOSE(CONTROL!$C$21, $C$9, 100%, $E$9)</f>
        <v>10.7296</v>
      </c>
      <c r="H372" s="10">
        <f>CHOOSE(CONTROL!$C$42, 10.7814, 10.7814) * CHOOSE(CONTROL!$C$21, $C$9, 100%, $E$9)</f>
        <v>10.7814</v>
      </c>
      <c r="I372" s="10">
        <f>CHOOSE(CONTROL!$C$42, 10.69, 10.69)* CHOOSE(CONTROL!$C$21, $C$9, 100%, $E$9)</f>
        <v>10.69</v>
      </c>
      <c r="J372" s="10">
        <f>CHOOSE(CONTROL!$C$42, 10.7041, 10.7041)* CHOOSE(CONTROL!$C$21, $C$9, 100%, $E$9)</f>
        <v>10.7041</v>
      </c>
      <c r="K372" s="54">
        <f>CHOOSE(CONTROL!$C$42, 10.6861, 10.6861) * CHOOSE(CONTROL!$C$21, $C$9, 100%, $E$9)</f>
        <v>10.6861</v>
      </c>
      <c r="L372" s="10">
        <f>CHOOSE(CONTROL!$C$42, 11.3684, 11.3684) * CHOOSE(CONTROL!$C$21, $C$9, 100%, $E$9)</f>
        <v>11.368399999999999</v>
      </c>
      <c r="M372" s="10">
        <f>CHOOSE(CONTROL!$C$42, 10.6099, 10.6099) * CHOOSE(CONTROL!$C$21, $C$9, 100%, $E$9)</f>
        <v>10.6099</v>
      </c>
      <c r="N372" s="10">
        <f>CHOOSE(CONTROL!$C$42, 10.6282, 10.6282) * CHOOSE(CONTROL!$C$21, $C$9, 100%, $E$9)</f>
        <v>10.6282</v>
      </c>
      <c r="O372" s="10">
        <f>CHOOSE(CONTROL!$C$42, 10.6864, 10.6864) * CHOOSE(CONTROL!$C$21, $C$9, 100%, $E$9)</f>
        <v>10.686400000000001</v>
      </c>
      <c r="P372" s="10">
        <f>CHOOSE(CONTROL!$C$42, 10.596, 10.596) * CHOOSE(CONTROL!$C$21, $C$9, 100%, $E$9)</f>
        <v>10.596</v>
      </c>
      <c r="Q372" s="10">
        <f>CHOOSE(CONTROL!$C$42, 11.2817, 11.2817) * CHOOSE(CONTROL!$C$21, $C$9, 100%, $E$9)</f>
        <v>11.281700000000001</v>
      </c>
      <c r="R372" s="10">
        <f>CHOOSE(CONTROL!$C$42, 11.8969, 11.8969) * CHOOSE(CONTROL!$C$21, $C$9, 100%, $E$9)</f>
        <v>11.8969</v>
      </c>
      <c r="S372" s="10">
        <f>CHOOSE(CONTROL!$C$42, 10.4118, 10.4118) * CHOOSE(CONTROL!$C$21, $C$9, 100%, $E$9)</f>
        <v>10.411799999999999</v>
      </c>
      <c r="T372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72" s="58">
        <f>(1000*CHOOSE(CONTROL!$C$42, 695, 695)*CHOOSE(CONTROL!$C$42, 0.5599, 0.5599)*CHOOSE(CONTROL!$C$42, 31, 31))/1000000</f>
        <v>12.063045499999998</v>
      </c>
      <c r="V372" s="58">
        <f>(1000*CHOOSE(CONTROL!$C$42, 500, 500)*CHOOSE(CONTROL!$C$42, 0.275, 0.275)*CHOOSE(CONTROL!$C$42, 31, 31))/1000000</f>
        <v>4.2625000000000002</v>
      </c>
      <c r="W372" s="58">
        <f>(1000*CHOOSE(CONTROL!$C$42, 0.1146, 0.1146)*CHOOSE(CONTROL!$C$42, 121.5, 121.5)*CHOOSE(CONTROL!$C$42, 31, 31))/1000000</f>
        <v>0.43164089999999994</v>
      </c>
      <c r="X372" s="58">
        <f>(31*0.1790888*100000/1000000)+(31*0.2374*100000/1000000)</f>
        <v>1.2911152800000001</v>
      </c>
      <c r="Y372" s="58"/>
      <c r="Z372" s="10"/>
      <c r="AA372" s="57"/>
      <c r="AB372" s="51">
        <f>(B372*122.58+C372*297.941+D372*89.177+E372*40.302+F372*40+G372*160+H372*0+I372*100+J372*300)/(122.58+297.941+89.177+40.302+0+40+160+100+300)</f>
        <v>10.722462509565217</v>
      </c>
      <c r="AC372" s="27">
        <f>(M372*'RAP TEMPLATE-GAS AVAILABILITY'!O371+N372*'RAP TEMPLATE-GAS AVAILABILITY'!P371+O372*'RAP TEMPLATE-GAS AVAILABILITY'!Q371+P372*'RAP TEMPLATE-GAS AVAILABILITY'!R371)/('RAP TEMPLATE-GAS AVAILABILITY'!O371+'RAP TEMPLATE-GAS AVAILABILITY'!P371+'RAP TEMPLATE-GAS AVAILABILITY'!Q371+'RAP TEMPLATE-GAS AVAILABILITY'!R371)</f>
        <v>10.643625899280575</v>
      </c>
    </row>
    <row r="373" spans="1:29" ht="15.75" x14ac:dyDescent="0.25">
      <c r="A373" s="14">
        <v>52627</v>
      </c>
      <c r="B373" s="10">
        <f>CHOOSE(CONTROL!$C$42, 11.4474, 11.4474) * CHOOSE(CONTROL!$C$21, $C$9, 100%, $E$9)</f>
        <v>11.4474</v>
      </c>
      <c r="C373" s="10">
        <f>CHOOSE(CONTROL!$C$42, 11.4524, 11.4524) * CHOOSE(CONTROL!$C$21, $C$9, 100%, $E$9)</f>
        <v>11.452400000000001</v>
      </c>
      <c r="D373" s="10">
        <f>CHOOSE(CONTROL!$C$42, 11.5026, 11.5026) * CHOOSE(CONTROL!$C$21, $C$9, 100%, $E$9)</f>
        <v>11.502599999999999</v>
      </c>
      <c r="E373" s="10">
        <f>CHOOSE(CONTROL!$C$42, 11.5364, 11.5364) * CHOOSE(CONTROL!$C$21, $C$9, 100%, $E$9)</f>
        <v>11.5364</v>
      </c>
      <c r="F373" s="10">
        <f>CHOOSE(CONTROL!$C$42, 11.4128, 11.4128)*CHOOSE(CONTROL!$C$21, $C$9, 100%, $E$9)</f>
        <v>11.412800000000001</v>
      </c>
      <c r="G373" s="10">
        <f>CHOOSE(CONTROL!$C$42, 11.4303, 11.4303)*CHOOSE(CONTROL!$C$21, $C$9, 100%, $E$9)</f>
        <v>11.430300000000001</v>
      </c>
      <c r="H373" s="10">
        <f>CHOOSE(CONTROL!$C$42, 11.5256, 11.5256) * CHOOSE(CONTROL!$C$21, $C$9, 100%, $E$9)</f>
        <v>11.525600000000001</v>
      </c>
      <c r="I373" s="10">
        <f>CHOOSE(CONTROL!$C$42, 11.4213, 11.4213)* CHOOSE(CONTROL!$C$21, $C$9, 100%, $E$9)</f>
        <v>11.4213</v>
      </c>
      <c r="J373" s="10">
        <f>CHOOSE(CONTROL!$C$42, 11.4058, 11.4058)* CHOOSE(CONTROL!$C$21, $C$9, 100%, $E$9)</f>
        <v>11.405799999999999</v>
      </c>
      <c r="K373" s="54">
        <f>CHOOSE(CONTROL!$C$42, 11.4174, 11.4174) * CHOOSE(CONTROL!$C$21, $C$9, 100%, $E$9)</f>
        <v>11.417400000000001</v>
      </c>
      <c r="L373" s="10">
        <f>CHOOSE(CONTROL!$C$42, 12.1126, 12.1126) * CHOOSE(CONTROL!$C$21, $C$9, 100%, $E$9)</f>
        <v>12.1126</v>
      </c>
      <c r="M373" s="10">
        <f>CHOOSE(CONTROL!$C$42, 11.3045, 11.3045) * CHOOSE(CONTROL!$C$21, $C$9, 100%, $E$9)</f>
        <v>11.304500000000001</v>
      </c>
      <c r="N373" s="10">
        <f>CHOOSE(CONTROL!$C$42, 11.3219, 11.3219) * CHOOSE(CONTROL!$C$21, $C$9, 100%, $E$9)</f>
        <v>11.321899999999999</v>
      </c>
      <c r="O373" s="10">
        <f>CHOOSE(CONTROL!$C$42, 11.4231, 11.4231) * CHOOSE(CONTROL!$C$21, $C$9, 100%, $E$9)</f>
        <v>11.4231</v>
      </c>
      <c r="P373" s="10">
        <f>CHOOSE(CONTROL!$C$42, 11.3199, 11.3199) * CHOOSE(CONTROL!$C$21, $C$9, 100%, $E$9)</f>
        <v>11.319900000000001</v>
      </c>
      <c r="Q373" s="10">
        <f>CHOOSE(CONTROL!$C$42, 12.0184, 12.0184) * CHOOSE(CONTROL!$C$21, $C$9, 100%, $E$9)</f>
        <v>12.0184</v>
      </c>
      <c r="R373" s="10">
        <f>CHOOSE(CONTROL!$C$42, 12.6354, 12.6354) * CHOOSE(CONTROL!$C$21, $C$9, 100%, $E$9)</f>
        <v>12.635400000000001</v>
      </c>
      <c r="S373" s="10">
        <f>CHOOSE(CONTROL!$C$42, 11.1145, 11.1145) * CHOOSE(CONTROL!$C$21, $C$9, 100%, $E$9)</f>
        <v>11.1145</v>
      </c>
      <c r="T373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73" s="58">
        <f>(1000*CHOOSE(CONTROL!$C$42, 695, 695)*CHOOSE(CONTROL!$C$42, 0.5599, 0.5599)*CHOOSE(CONTROL!$C$42, 31, 31))/1000000</f>
        <v>12.063045499999998</v>
      </c>
      <c r="V373" s="58">
        <f>(1000*CHOOSE(CONTROL!$C$42, 500, 500)*CHOOSE(CONTROL!$C$42, 0.275, 0.275)*CHOOSE(CONTROL!$C$42, 31, 31))/1000000</f>
        <v>4.2625000000000002</v>
      </c>
      <c r="W373" s="58">
        <f>(1000*CHOOSE(CONTROL!$C$42, 0.1146, 0.1146)*CHOOSE(CONTROL!$C$42, 121.5, 121.5)*CHOOSE(CONTROL!$C$42, 31, 31))/1000000</f>
        <v>0.43164089999999994</v>
      </c>
      <c r="X373" s="58">
        <f>(31*0.1790888*100000/1000000)+(31*0.2374*100000/1000000)</f>
        <v>1.2911152800000001</v>
      </c>
      <c r="Y373" s="58"/>
      <c r="Z373" s="10"/>
      <c r="AA373" s="57"/>
      <c r="AB373" s="51">
        <f>(B373*122.58+C373*297.941+D373*89.177+E373*40.302+F373*40+G373*160+H373*0+I373*100+J373*300)/(122.58+297.941+89.177+40.302+0+40+160+100+300)</f>
        <v>11.439390568173915</v>
      </c>
      <c r="AC373" s="27">
        <f>(M373*'RAP TEMPLATE-GAS AVAILABILITY'!O372+N373*'RAP TEMPLATE-GAS AVAILABILITY'!P372+O373*'RAP TEMPLATE-GAS AVAILABILITY'!Q372+P373*'RAP TEMPLATE-GAS AVAILABILITY'!R372)/('RAP TEMPLATE-GAS AVAILABILITY'!O372+'RAP TEMPLATE-GAS AVAILABILITY'!P372+'RAP TEMPLATE-GAS AVAILABILITY'!Q372+'RAP TEMPLATE-GAS AVAILABILITY'!R372)</f>
        <v>11.361471223021583</v>
      </c>
    </row>
    <row r="374" spans="1:29" ht="15.75" x14ac:dyDescent="0.25">
      <c r="A374" s="14">
        <v>52655</v>
      </c>
      <c r="B374" s="10">
        <f>CHOOSE(CONTROL!$C$42, 11.6511, 11.6511) * CHOOSE(CONTROL!$C$21, $C$9, 100%, $E$9)</f>
        <v>11.6511</v>
      </c>
      <c r="C374" s="10">
        <f>CHOOSE(CONTROL!$C$42, 11.6561, 11.6561) * CHOOSE(CONTROL!$C$21, $C$9, 100%, $E$9)</f>
        <v>11.6561</v>
      </c>
      <c r="D374" s="10">
        <f>CHOOSE(CONTROL!$C$42, 11.7732, 11.7732) * CHOOSE(CONTROL!$C$21, $C$9, 100%, $E$9)</f>
        <v>11.773199999999999</v>
      </c>
      <c r="E374" s="10">
        <f>CHOOSE(CONTROL!$C$42, 11.807, 11.807) * CHOOSE(CONTROL!$C$21, $C$9, 100%, $E$9)</f>
        <v>11.807</v>
      </c>
      <c r="F374" s="10">
        <f>CHOOSE(CONTROL!$C$42, 11.7287, 11.7287)*CHOOSE(CONTROL!$C$21, $C$9, 100%, $E$9)</f>
        <v>11.7287</v>
      </c>
      <c r="G374" s="10">
        <f>CHOOSE(CONTROL!$C$42, 11.7506, 11.7506)*CHOOSE(CONTROL!$C$21, $C$9, 100%, $E$9)</f>
        <v>11.7506</v>
      </c>
      <c r="H374" s="10">
        <f>CHOOSE(CONTROL!$C$42, 11.7962, 11.7962) * CHOOSE(CONTROL!$C$21, $C$9, 100%, $E$9)</f>
        <v>11.796200000000001</v>
      </c>
      <c r="I374" s="10">
        <f>CHOOSE(CONTROL!$C$42, 11.6868, 11.6868)* CHOOSE(CONTROL!$C$21, $C$9, 100%, $E$9)</f>
        <v>11.6868</v>
      </c>
      <c r="J374" s="10">
        <f>CHOOSE(CONTROL!$C$42, 11.7217, 11.7217)* CHOOSE(CONTROL!$C$21, $C$9, 100%, $E$9)</f>
        <v>11.7217</v>
      </c>
      <c r="K374" s="54">
        <f>CHOOSE(CONTROL!$C$42, 11.6829, 11.6829) * CHOOSE(CONTROL!$C$21, $C$9, 100%, $E$9)</f>
        <v>11.6829</v>
      </c>
      <c r="L374" s="10">
        <f>CHOOSE(CONTROL!$C$42, 12.3832, 12.3832) * CHOOSE(CONTROL!$C$21, $C$9, 100%, $E$9)</f>
        <v>12.3832</v>
      </c>
      <c r="M374" s="10">
        <f>CHOOSE(CONTROL!$C$42, 11.6173, 11.6173) * CHOOSE(CONTROL!$C$21, $C$9, 100%, $E$9)</f>
        <v>11.6173</v>
      </c>
      <c r="N374" s="10">
        <f>CHOOSE(CONTROL!$C$42, 11.639, 11.639) * CHOOSE(CONTROL!$C$21, $C$9, 100%, $E$9)</f>
        <v>11.638999999999999</v>
      </c>
      <c r="O374" s="10">
        <f>CHOOSE(CONTROL!$C$42, 11.691, 11.691) * CHOOSE(CONTROL!$C$21, $C$9, 100%, $E$9)</f>
        <v>11.691000000000001</v>
      </c>
      <c r="P374" s="10">
        <f>CHOOSE(CONTROL!$C$42, 11.5828, 11.5828) * CHOOSE(CONTROL!$C$21, $C$9, 100%, $E$9)</f>
        <v>11.582800000000001</v>
      </c>
      <c r="Q374" s="10">
        <f>CHOOSE(CONTROL!$C$42, 12.2863, 12.2863) * CHOOSE(CONTROL!$C$21, $C$9, 100%, $E$9)</f>
        <v>12.286300000000001</v>
      </c>
      <c r="R374" s="10">
        <f>CHOOSE(CONTROL!$C$42, 12.904, 12.904) * CHOOSE(CONTROL!$C$21, $C$9, 100%, $E$9)</f>
        <v>12.904</v>
      </c>
      <c r="S374" s="10">
        <f>CHOOSE(CONTROL!$C$42, 11.3123, 11.3123) * CHOOSE(CONTROL!$C$21, $C$9, 100%, $E$9)</f>
        <v>11.3123</v>
      </c>
      <c r="T374" s="5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374" s="58">
        <f>(1000*CHOOSE(CONTROL!$C$42, 695, 695)*CHOOSE(CONTROL!$C$42, 0.5599, 0.5599)*CHOOSE(CONTROL!$C$42, 29, 29))/1000000</f>
        <v>11.284784499999999</v>
      </c>
      <c r="V374" s="58">
        <f>(1000*CHOOSE(CONTROL!$C$42, 500, 500)*CHOOSE(CONTROL!$C$42, 0.275, 0.275)*CHOOSE(CONTROL!$C$42, 29, 29))/1000000</f>
        <v>3.9874999999999998</v>
      </c>
      <c r="W374" s="58">
        <f>(1000*CHOOSE(CONTROL!$C$42, 0.1146, 0.1146)*CHOOSE(CONTROL!$C$42, 121.5, 121.5)*CHOOSE(CONTROL!$C$42, 29, 29))/1000000</f>
        <v>0.40379309999999996</v>
      </c>
      <c r="X374" s="58">
        <f>(29*0.1790888*100000/1000000)+(29*0.2374*100000/1000000)</f>
        <v>1.2078175199999999</v>
      </c>
      <c r="Y374" s="58"/>
      <c r="Z374" s="10"/>
      <c r="AA374" s="57"/>
      <c r="AB374" s="51">
        <f>(B374*122.58+C374*297.941+D374*89.177+E374*40.302+F374*40+G374*160+H374*0+I374*100+J374*300)/(122.58+297.941+89.177+40.302+0+40+160+100+300)</f>
        <v>11.705391563913043</v>
      </c>
      <c r="AC374" s="27">
        <f>(M374*'RAP TEMPLATE-GAS AVAILABILITY'!O373+N374*'RAP TEMPLATE-GAS AVAILABILITY'!P373+O374*'RAP TEMPLATE-GAS AVAILABILITY'!Q373+P374*'RAP TEMPLATE-GAS AVAILABILITY'!R373)/('RAP TEMPLATE-GAS AVAILABILITY'!O373+'RAP TEMPLATE-GAS AVAILABILITY'!P373+'RAP TEMPLATE-GAS AVAILABILITY'!Q373+'RAP TEMPLATE-GAS AVAILABILITY'!R373)</f>
        <v>11.646988489208633</v>
      </c>
    </row>
    <row r="375" spans="1:29" ht="15.75" x14ac:dyDescent="0.25">
      <c r="A375" s="14">
        <v>52687</v>
      </c>
      <c r="B375" s="10">
        <f>CHOOSE(CONTROL!$C$42, 11.3204, 11.3204) * CHOOSE(CONTROL!$C$21, $C$9, 100%, $E$9)</f>
        <v>11.320399999999999</v>
      </c>
      <c r="C375" s="10">
        <f>CHOOSE(CONTROL!$C$42, 11.3254, 11.3254) * CHOOSE(CONTROL!$C$21, $C$9, 100%, $E$9)</f>
        <v>11.3254</v>
      </c>
      <c r="D375" s="10">
        <f>CHOOSE(CONTROL!$C$42, 11.4168, 11.4168) * CHOOSE(CONTROL!$C$21, $C$9, 100%, $E$9)</f>
        <v>11.4168</v>
      </c>
      <c r="E375" s="10">
        <f>CHOOSE(CONTROL!$C$42, 11.4506, 11.4506) * CHOOSE(CONTROL!$C$21, $C$9, 100%, $E$9)</f>
        <v>11.4506</v>
      </c>
      <c r="F375" s="10">
        <f>CHOOSE(CONTROL!$C$42, 11.3503, 11.3503)*CHOOSE(CONTROL!$C$21, $C$9, 100%, $E$9)</f>
        <v>11.350300000000001</v>
      </c>
      <c r="G375" s="10">
        <f>CHOOSE(CONTROL!$C$42, 11.3698, 11.3698)*CHOOSE(CONTROL!$C$21, $C$9, 100%, $E$9)</f>
        <v>11.3698</v>
      </c>
      <c r="H375" s="10">
        <f>CHOOSE(CONTROL!$C$42, 11.4398, 11.4398) * CHOOSE(CONTROL!$C$21, $C$9, 100%, $E$9)</f>
        <v>11.4398</v>
      </c>
      <c r="I375" s="10">
        <f>CHOOSE(CONTROL!$C$42, 11.3433, 11.3433)* CHOOSE(CONTROL!$C$21, $C$9, 100%, $E$9)</f>
        <v>11.343299999999999</v>
      </c>
      <c r="J375" s="10">
        <f>CHOOSE(CONTROL!$C$42, 11.3433, 11.3433)* CHOOSE(CONTROL!$C$21, $C$9, 100%, $E$9)</f>
        <v>11.343299999999999</v>
      </c>
      <c r="K375" s="54">
        <f>CHOOSE(CONTROL!$C$42, 11.3394, 11.3394) * CHOOSE(CONTROL!$C$21, $C$9, 100%, $E$9)</f>
        <v>11.339399999999999</v>
      </c>
      <c r="L375" s="10">
        <f>CHOOSE(CONTROL!$C$42, 12.0268, 12.0268) * CHOOSE(CONTROL!$C$21, $C$9, 100%, $E$9)</f>
        <v>12.0268</v>
      </c>
      <c r="M375" s="10">
        <f>CHOOSE(CONTROL!$C$42, 11.2426, 11.2426) * CHOOSE(CONTROL!$C$21, $C$9, 100%, $E$9)</f>
        <v>11.242599999999999</v>
      </c>
      <c r="N375" s="10">
        <f>CHOOSE(CONTROL!$C$42, 11.2619, 11.2619) * CHOOSE(CONTROL!$C$21, $C$9, 100%, $E$9)</f>
        <v>11.261900000000001</v>
      </c>
      <c r="O375" s="10">
        <f>CHOOSE(CONTROL!$C$42, 11.3382, 11.3382) * CHOOSE(CONTROL!$C$21, $C$9, 100%, $E$9)</f>
        <v>11.338200000000001</v>
      </c>
      <c r="P375" s="10">
        <f>CHOOSE(CONTROL!$C$42, 11.2427, 11.2427) * CHOOSE(CONTROL!$C$21, $C$9, 100%, $E$9)</f>
        <v>11.242699999999999</v>
      </c>
      <c r="Q375" s="10">
        <f>CHOOSE(CONTROL!$C$42, 11.9335, 11.9335) * CHOOSE(CONTROL!$C$21, $C$9, 100%, $E$9)</f>
        <v>11.9335</v>
      </c>
      <c r="R375" s="10">
        <f>CHOOSE(CONTROL!$C$42, 12.5503, 12.5503) * CHOOSE(CONTROL!$C$21, $C$9, 100%, $E$9)</f>
        <v>12.5503</v>
      </c>
      <c r="S375" s="10">
        <f>CHOOSE(CONTROL!$C$42, 10.9912, 10.9912) * CHOOSE(CONTROL!$C$21, $C$9, 100%, $E$9)</f>
        <v>10.991199999999999</v>
      </c>
      <c r="T375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75" s="58">
        <f>(1000*CHOOSE(CONTROL!$C$42, 695, 695)*CHOOSE(CONTROL!$C$42, 0.5599, 0.5599)*CHOOSE(CONTROL!$C$42, 31, 31))/1000000</f>
        <v>12.063045499999998</v>
      </c>
      <c r="V375" s="58">
        <f>(1000*CHOOSE(CONTROL!$C$42, 500, 500)*CHOOSE(CONTROL!$C$42, 0.275, 0.275)*CHOOSE(CONTROL!$C$42, 31, 31))/1000000</f>
        <v>4.2625000000000002</v>
      </c>
      <c r="W375" s="58">
        <f>(1000*CHOOSE(CONTROL!$C$42, 0.1146, 0.1146)*CHOOSE(CONTROL!$C$42, 121.5, 121.5)*CHOOSE(CONTROL!$C$42, 31, 31))/1000000</f>
        <v>0.43164089999999994</v>
      </c>
      <c r="X375" s="58">
        <f>(31*0.1790888*100000/1000000)+(31*0.2374*100000/1000000)</f>
        <v>1.2911152800000001</v>
      </c>
      <c r="Y375" s="58"/>
      <c r="Z375" s="10"/>
      <c r="AA375" s="57"/>
      <c r="AB375" s="51">
        <f>(B375*122.58+C375*297.941+D375*89.177+E375*40.302+F375*40+G375*160+H375*0+I375*100+J375*300)/(122.58+297.941+89.177+40.302+0+40+160+100+300)</f>
        <v>11.349611902782609</v>
      </c>
      <c r="AC375" s="27">
        <f>(M375*'RAP TEMPLATE-GAS AVAILABILITY'!O374+N375*'RAP TEMPLATE-GAS AVAILABILITY'!P374+O375*'RAP TEMPLATE-GAS AVAILABILITY'!Q374+P375*'RAP TEMPLATE-GAS AVAILABILITY'!R374)/('RAP TEMPLATE-GAS AVAILABILITY'!O374+'RAP TEMPLATE-GAS AVAILABILITY'!P374+'RAP TEMPLATE-GAS AVAILABILITY'!Q374+'RAP TEMPLATE-GAS AVAILABILITY'!R374)</f>
        <v>11.287054676258993</v>
      </c>
    </row>
    <row r="376" spans="1:29" ht="15.75" x14ac:dyDescent="0.25">
      <c r="A376" s="14">
        <v>52717</v>
      </c>
      <c r="B376" s="10">
        <f>CHOOSE(CONTROL!$C$42, 11.2873, 11.2873) * CHOOSE(CONTROL!$C$21, $C$9, 100%, $E$9)</f>
        <v>11.2873</v>
      </c>
      <c r="C376" s="10">
        <f>CHOOSE(CONTROL!$C$42, 11.2917, 11.2917) * CHOOSE(CONTROL!$C$21, $C$9, 100%, $E$9)</f>
        <v>11.291700000000001</v>
      </c>
      <c r="D376" s="10">
        <f>CHOOSE(CONTROL!$C$42, 11.4734, 11.4734) * CHOOSE(CONTROL!$C$21, $C$9, 100%, $E$9)</f>
        <v>11.4734</v>
      </c>
      <c r="E376" s="10">
        <f>CHOOSE(CONTROL!$C$42, 11.5052, 11.5052) * CHOOSE(CONTROL!$C$21, $C$9, 100%, $E$9)</f>
        <v>11.5052</v>
      </c>
      <c r="F376" s="10">
        <f>CHOOSE(CONTROL!$C$42, 11.2757, 11.2757)*CHOOSE(CONTROL!$C$21, $C$9, 100%, $E$9)</f>
        <v>11.275700000000001</v>
      </c>
      <c r="G376" s="10">
        <f>CHOOSE(CONTROL!$C$42, 11.2937, 11.2937)*CHOOSE(CONTROL!$C$21, $C$9, 100%, $E$9)</f>
        <v>11.293699999999999</v>
      </c>
      <c r="H376" s="10">
        <f>CHOOSE(CONTROL!$C$42, 11.495, 11.495) * CHOOSE(CONTROL!$C$21, $C$9, 100%, $E$9)</f>
        <v>11.494999999999999</v>
      </c>
      <c r="I376" s="10">
        <f>CHOOSE(CONTROL!$C$42, 11.2656, 11.2656)* CHOOSE(CONTROL!$C$21, $C$9, 100%, $E$9)</f>
        <v>11.265599999999999</v>
      </c>
      <c r="J376" s="10">
        <f>CHOOSE(CONTROL!$C$42, 11.2687, 11.2687)* CHOOSE(CONTROL!$C$21, $C$9, 100%, $E$9)</f>
        <v>11.268700000000001</v>
      </c>
      <c r="K376" s="54">
        <f>CHOOSE(CONTROL!$C$42, 11.2617, 11.2617) * CHOOSE(CONTROL!$C$21, $C$9, 100%, $E$9)</f>
        <v>11.261699999999999</v>
      </c>
      <c r="L376" s="10">
        <f>CHOOSE(CONTROL!$C$42, 12.082, 12.082) * CHOOSE(CONTROL!$C$21, $C$9, 100%, $E$9)</f>
        <v>12.082000000000001</v>
      </c>
      <c r="M376" s="10">
        <f>CHOOSE(CONTROL!$C$42, 11.1688, 11.1688) * CHOOSE(CONTROL!$C$21, $C$9, 100%, $E$9)</f>
        <v>11.168799999999999</v>
      </c>
      <c r="N376" s="10">
        <f>CHOOSE(CONTROL!$C$42, 11.1866, 11.1866) * CHOOSE(CONTROL!$C$21, $C$9, 100%, $E$9)</f>
        <v>11.1866</v>
      </c>
      <c r="O376" s="10">
        <f>CHOOSE(CONTROL!$C$42, 11.3928, 11.3928) * CHOOSE(CONTROL!$C$21, $C$9, 100%, $E$9)</f>
        <v>11.392799999999999</v>
      </c>
      <c r="P376" s="10">
        <f>CHOOSE(CONTROL!$C$42, 11.1658, 11.1658) * CHOOSE(CONTROL!$C$21, $C$9, 100%, $E$9)</f>
        <v>11.165800000000001</v>
      </c>
      <c r="Q376" s="10">
        <f>CHOOSE(CONTROL!$C$42, 11.9881, 11.9881) * CHOOSE(CONTROL!$C$21, $C$9, 100%, $E$9)</f>
        <v>11.988099999999999</v>
      </c>
      <c r="R376" s="10">
        <f>CHOOSE(CONTROL!$C$42, 12.6051, 12.6051) * CHOOSE(CONTROL!$C$21, $C$9, 100%, $E$9)</f>
        <v>12.6051</v>
      </c>
      <c r="S376" s="10">
        <f>CHOOSE(CONTROL!$C$42, 10.9582, 10.9582) * CHOOSE(CONTROL!$C$21, $C$9, 100%, $E$9)</f>
        <v>10.9582</v>
      </c>
      <c r="T376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376" s="58">
        <f>(1000*CHOOSE(CONTROL!$C$42, 695, 695)*CHOOSE(CONTROL!$C$42, 0.5599, 0.5599)*CHOOSE(CONTROL!$C$42, 30, 30))/1000000</f>
        <v>11.673914999999997</v>
      </c>
      <c r="V376" s="58">
        <f>(1000*CHOOSE(CONTROL!$C$42, 500, 500)*CHOOSE(CONTROL!$C$42, 0.275, 0.275)*CHOOSE(CONTROL!$C$42, 30, 30))/1000000</f>
        <v>4.125</v>
      </c>
      <c r="W376" s="58">
        <f>(1000*CHOOSE(CONTROL!$C$42, 0.1146, 0.1146)*CHOOSE(CONTROL!$C$42, 121.5, 121.5)*CHOOSE(CONTROL!$C$42, 30, 30))/1000000</f>
        <v>0.417717</v>
      </c>
      <c r="X376" s="58">
        <f>(30*0.1790888*245000/1000000)+(30*0.2374*100000/1000000)</f>
        <v>2.0285026799999999</v>
      </c>
      <c r="Y376" s="58"/>
      <c r="Z376" s="10"/>
      <c r="AA376" s="57"/>
      <c r="AB376" s="51">
        <f>(B376*141.293+C376*267.993+D376*115.016+E376*89.698+F376*40+G376*185+H376*0+I376*100+J376*300)/(141.293+267.993+115.016+89.698+0+40+185+100+300)</f>
        <v>11.315628362389024</v>
      </c>
      <c r="AC376" s="27">
        <f>(M376*'RAP TEMPLATE-GAS AVAILABILITY'!O375+N376*'RAP TEMPLATE-GAS AVAILABILITY'!P375+O376*'RAP TEMPLATE-GAS AVAILABILITY'!Q375+P376*'RAP TEMPLATE-GAS AVAILABILITY'!R375)/('RAP TEMPLATE-GAS AVAILABILITY'!O375+'RAP TEMPLATE-GAS AVAILABILITY'!P375+'RAP TEMPLATE-GAS AVAILABILITY'!Q375+'RAP TEMPLATE-GAS AVAILABILITY'!R375)</f>
        <v>11.235315107913669</v>
      </c>
    </row>
    <row r="377" spans="1:29" ht="15.75" x14ac:dyDescent="0.25">
      <c r="A377" s="14">
        <v>52748</v>
      </c>
      <c r="B377" s="10">
        <f>CHOOSE(CONTROL!$C$42, 11.3887, 11.3887) * CHOOSE(CONTROL!$C$21, $C$9, 100%, $E$9)</f>
        <v>11.3887</v>
      </c>
      <c r="C377" s="10">
        <f>CHOOSE(CONTROL!$C$42, 11.3966, 11.3966) * CHOOSE(CONTROL!$C$21, $C$9, 100%, $E$9)</f>
        <v>11.396599999999999</v>
      </c>
      <c r="D377" s="10">
        <f>CHOOSE(CONTROL!$C$42, 11.5752, 11.5752) * CHOOSE(CONTROL!$C$21, $C$9, 100%, $E$9)</f>
        <v>11.575200000000001</v>
      </c>
      <c r="E377" s="10">
        <f>CHOOSE(CONTROL!$C$42, 11.6063, 11.6063) * CHOOSE(CONTROL!$C$21, $C$9, 100%, $E$9)</f>
        <v>11.606299999999999</v>
      </c>
      <c r="F377" s="10">
        <f>CHOOSE(CONTROL!$C$42, 11.3749, 11.3749)*CHOOSE(CONTROL!$C$21, $C$9, 100%, $E$9)</f>
        <v>11.3749</v>
      </c>
      <c r="G377" s="10">
        <f>CHOOSE(CONTROL!$C$42, 11.3931, 11.3931)*CHOOSE(CONTROL!$C$21, $C$9, 100%, $E$9)</f>
        <v>11.3931</v>
      </c>
      <c r="H377" s="10">
        <f>CHOOSE(CONTROL!$C$42, 11.5949, 11.5949) * CHOOSE(CONTROL!$C$21, $C$9, 100%, $E$9)</f>
        <v>11.594900000000001</v>
      </c>
      <c r="I377" s="10">
        <f>CHOOSE(CONTROL!$C$42, 11.3656, 11.3656)* CHOOSE(CONTROL!$C$21, $C$9, 100%, $E$9)</f>
        <v>11.365600000000001</v>
      </c>
      <c r="J377" s="10">
        <f>CHOOSE(CONTROL!$C$42, 11.3679, 11.3679)* CHOOSE(CONTROL!$C$21, $C$9, 100%, $E$9)</f>
        <v>11.367900000000001</v>
      </c>
      <c r="K377" s="54">
        <f>CHOOSE(CONTROL!$C$42, 11.3617, 11.3617) * CHOOSE(CONTROL!$C$21, $C$9, 100%, $E$9)</f>
        <v>11.361700000000001</v>
      </c>
      <c r="L377" s="10">
        <f>CHOOSE(CONTROL!$C$42, 12.1819, 12.1819) * CHOOSE(CONTROL!$C$21, $C$9, 100%, $E$9)</f>
        <v>12.181900000000001</v>
      </c>
      <c r="M377" s="10">
        <f>CHOOSE(CONTROL!$C$42, 11.267, 11.267) * CHOOSE(CONTROL!$C$21, $C$9, 100%, $E$9)</f>
        <v>11.266999999999999</v>
      </c>
      <c r="N377" s="10">
        <f>CHOOSE(CONTROL!$C$42, 11.285, 11.285) * CHOOSE(CONTROL!$C$21, $C$9, 100%, $E$9)</f>
        <v>11.285</v>
      </c>
      <c r="O377" s="10">
        <f>CHOOSE(CONTROL!$C$42, 11.4918, 11.4918) * CHOOSE(CONTROL!$C$21, $C$9, 100%, $E$9)</f>
        <v>11.4918</v>
      </c>
      <c r="P377" s="10">
        <f>CHOOSE(CONTROL!$C$42, 11.2648, 11.2648) * CHOOSE(CONTROL!$C$21, $C$9, 100%, $E$9)</f>
        <v>11.264799999999999</v>
      </c>
      <c r="Q377" s="10">
        <f>CHOOSE(CONTROL!$C$42, 12.0871, 12.0871) * CHOOSE(CONTROL!$C$21, $C$9, 100%, $E$9)</f>
        <v>12.0871</v>
      </c>
      <c r="R377" s="10">
        <f>CHOOSE(CONTROL!$C$42, 12.7043, 12.7043) * CHOOSE(CONTROL!$C$21, $C$9, 100%, $E$9)</f>
        <v>12.7043</v>
      </c>
      <c r="S377" s="10">
        <f>CHOOSE(CONTROL!$C$42, 11.0553, 11.0553) * CHOOSE(CONTROL!$C$21, $C$9, 100%, $E$9)</f>
        <v>11.055300000000001</v>
      </c>
      <c r="T377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377" s="58">
        <f>(1000*CHOOSE(CONTROL!$C$42, 695, 695)*CHOOSE(CONTROL!$C$42, 0.5599, 0.5599)*CHOOSE(CONTROL!$C$42, 31, 31))/1000000</f>
        <v>12.063045499999998</v>
      </c>
      <c r="V377" s="58">
        <f>(1000*CHOOSE(CONTROL!$C$42, 500, 500)*CHOOSE(CONTROL!$C$42, 0.275, 0.275)*CHOOSE(CONTROL!$C$42, 31, 31))/1000000</f>
        <v>4.2625000000000002</v>
      </c>
      <c r="W377" s="58">
        <f>(1000*CHOOSE(CONTROL!$C$42, 0.1146, 0.1146)*CHOOSE(CONTROL!$C$42, 121.5, 121.5)*CHOOSE(CONTROL!$C$42, 31, 31))/1000000</f>
        <v>0.43164089999999994</v>
      </c>
      <c r="X377" s="58">
        <f>(31*0.1790888*245000/1000000)+(31*0.2374*100000/1000000)</f>
        <v>2.0961194359999999</v>
      </c>
      <c r="Y377" s="58"/>
      <c r="Z377" s="10"/>
      <c r="AA377" s="57"/>
      <c r="AB377" s="51">
        <f>(B377*194.205+C377*267.466+D377*133.845+E377*53.484+F377*40+G377*185+H377*0+I377*100+J377*300)/(194.205+267.466+133.845+53.484+0+40+185+100+300)</f>
        <v>11.412581626609105</v>
      </c>
      <c r="AC377" s="27">
        <f>(M377*'RAP TEMPLATE-GAS AVAILABILITY'!O376+N377*'RAP TEMPLATE-GAS AVAILABILITY'!P376+O377*'RAP TEMPLATE-GAS AVAILABILITY'!Q376+P377*'RAP TEMPLATE-GAS AVAILABILITY'!R376)/('RAP TEMPLATE-GAS AVAILABILITY'!O376+'RAP TEMPLATE-GAS AVAILABILITY'!P376+'RAP TEMPLATE-GAS AVAILABILITY'!Q376+'RAP TEMPLATE-GAS AVAILABILITY'!R376)</f>
        <v>11.333900719424459</v>
      </c>
    </row>
    <row r="378" spans="1:29" ht="15.75" x14ac:dyDescent="0.25">
      <c r="A378" s="14">
        <v>52778</v>
      </c>
      <c r="B378" s="10">
        <f>CHOOSE(CONTROL!$C$42, 11.7116, 11.7116) * CHOOSE(CONTROL!$C$21, $C$9, 100%, $E$9)</f>
        <v>11.711600000000001</v>
      </c>
      <c r="C378" s="10">
        <f>CHOOSE(CONTROL!$C$42, 11.7195, 11.7195) * CHOOSE(CONTROL!$C$21, $C$9, 100%, $E$9)</f>
        <v>11.7195</v>
      </c>
      <c r="D378" s="10">
        <f>CHOOSE(CONTROL!$C$42, 11.8981, 11.8981) * CHOOSE(CONTROL!$C$21, $C$9, 100%, $E$9)</f>
        <v>11.898099999999999</v>
      </c>
      <c r="E378" s="10">
        <f>CHOOSE(CONTROL!$C$42, 11.9292, 11.9292) * CHOOSE(CONTROL!$C$21, $C$9, 100%, $E$9)</f>
        <v>11.9292</v>
      </c>
      <c r="F378" s="10">
        <f>CHOOSE(CONTROL!$C$42, 11.6981, 11.6981)*CHOOSE(CONTROL!$C$21, $C$9, 100%, $E$9)</f>
        <v>11.6981</v>
      </c>
      <c r="G378" s="10">
        <f>CHOOSE(CONTROL!$C$42, 11.7163, 11.7163)*CHOOSE(CONTROL!$C$21, $C$9, 100%, $E$9)</f>
        <v>11.7163</v>
      </c>
      <c r="H378" s="10">
        <f>CHOOSE(CONTROL!$C$42, 11.9178, 11.9178) * CHOOSE(CONTROL!$C$21, $C$9, 100%, $E$9)</f>
        <v>11.9178</v>
      </c>
      <c r="I378" s="10">
        <f>CHOOSE(CONTROL!$C$42, 11.6885, 11.6885)* CHOOSE(CONTROL!$C$21, $C$9, 100%, $E$9)</f>
        <v>11.688499999999999</v>
      </c>
      <c r="J378" s="10">
        <f>CHOOSE(CONTROL!$C$42, 11.6911, 11.6911)* CHOOSE(CONTROL!$C$21, $C$9, 100%, $E$9)</f>
        <v>11.6911</v>
      </c>
      <c r="K378" s="54">
        <f>CHOOSE(CONTROL!$C$42, 11.6846, 11.6846) * CHOOSE(CONTROL!$C$21, $C$9, 100%, $E$9)</f>
        <v>11.6846</v>
      </c>
      <c r="L378" s="10">
        <f>CHOOSE(CONTROL!$C$42, 12.5048, 12.5048) * CHOOSE(CONTROL!$C$21, $C$9, 100%, $E$9)</f>
        <v>12.504799999999999</v>
      </c>
      <c r="M378" s="10">
        <f>CHOOSE(CONTROL!$C$42, 11.5869, 11.5869) * CHOOSE(CONTROL!$C$21, $C$9, 100%, $E$9)</f>
        <v>11.5869</v>
      </c>
      <c r="N378" s="10">
        <f>CHOOSE(CONTROL!$C$42, 11.605, 11.605) * CHOOSE(CONTROL!$C$21, $C$9, 100%, $E$9)</f>
        <v>11.605</v>
      </c>
      <c r="O378" s="10">
        <f>CHOOSE(CONTROL!$C$42, 11.8114, 11.8114) * CHOOSE(CONTROL!$C$21, $C$9, 100%, $E$9)</f>
        <v>11.811400000000001</v>
      </c>
      <c r="P378" s="10">
        <f>CHOOSE(CONTROL!$C$42, 11.5844, 11.5844) * CHOOSE(CONTROL!$C$21, $C$9, 100%, $E$9)</f>
        <v>11.5844</v>
      </c>
      <c r="Q378" s="10">
        <f>CHOOSE(CONTROL!$C$42, 12.4067, 12.4067) * CHOOSE(CONTROL!$C$21, $C$9, 100%, $E$9)</f>
        <v>12.406700000000001</v>
      </c>
      <c r="R378" s="10">
        <f>CHOOSE(CONTROL!$C$42, 13.0247, 13.0247) * CHOOSE(CONTROL!$C$21, $C$9, 100%, $E$9)</f>
        <v>13.024699999999999</v>
      </c>
      <c r="S378" s="10">
        <f>CHOOSE(CONTROL!$C$42, 11.3689, 11.3689) * CHOOSE(CONTROL!$C$21, $C$9, 100%, $E$9)</f>
        <v>11.3689</v>
      </c>
      <c r="T378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378" s="58">
        <f>(1000*CHOOSE(CONTROL!$C$42, 695, 695)*CHOOSE(CONTROL!$C$42, 0.5599, 0.5599)*CHOOSE(CONTROL!$C$42, 30, 30))/1000000</f>
        <v>11.673914999999997</v>
      </c>
      <c r="V378" s="58">
        <f>(1000*CHOOSE(CONTROL!$C$42, 500, 500)*CHOOSE(CONTROL!$C$42, 0.275, 0.275)*CHOOSE(CONTROL!$C$42, 30, 30))/1000000</f>
        <v>4.125</v>
      </c>
      <c r="W378" s="58">
        <f>(1000*CHOOSE(CONTROL!$C$42, 0.1146, 0.1146)*CHOOSE(CONTROL!$C$42, 121.5, 121.5)*CHOOSE(CONTROL!$C$42, 30, 30))/1000000</f>
        <v>0.417717</v>
      </c>
      <c r="X378" s="58">
        <f>(30*0.1790888*245000/1000000)+(30*0.2374*100000/1000000)</f>
        <v>2.0285026799999999</v>
      </c>
      <c r="Y378" s="58"/>
      <c r="Z378" s="10"/>
      <c r="AA378" s="57"/>
      <c r="AB378" s="51">
        <f>(B378*194.205+C378*267.466+D378*133.845+E378*53.484+F378*40+G378*185+H378*0+I378*100+J378*300)/(194.205+267.466+133.845+53.484+0+40+185+100+300)</f>
        <v>11.735605252982731</v>
      </c>
      <c r="AC378" s="27">
        <f>(M378*'RAP TEMPLATE-GAS AVAILABILITY'!O377+N378*'RAP TEMPLATE-GAS AVAILABILITY'!P377+O378*'RAP TEMPLATE-GAS AVAILABILITY'!Q377+P378*'RAP TEMPLATE-GAS AVAILABILITY'!R377)/('RAP TEMPLATE-GAS AVAILABILITY'!O377+'RAP TEMPLATE-GAS AVAILABILITY'!P377+'RAP TEMPLATE-GAS AVAILABILITY'!Q377+'RAP TEMPLATE-GAS AVAILABILITY'!R377)</f>
        <v>11.653696402877697</v>
      </c>
    </row>
    <row r="379" spans="1:29" ht="15.75" x14ac:dyDescent="0.25">
      <c r="A379" s="14">
        <v>52809</v>
      </c>
      <c r="B379" s="10">
        <f>CHOOSE(CONTROL!$C$42, 11.487, 11.487) * CHOOSE(CONTROL!$C$21, $C$9, 100%, $E$9)</f>
        <v>11.487</v>
      </c>
      <c r="C379" s="10">
        <f>CHOOSE(CONTROL!$C$42, 11.495, 11.495) * CHOOSE(CONTROL!$C$21, $C$9, 100%, $E$9)</f>
        <v>11.494999999999999</v>
      </c>
      <c r="D379" s="10">
        <f>CHOOSE(CONTROL!$C$42, 11.6735, 11.6735) * CHOOSE(CONTROL!$C$21, $C$9, 100%, $E$9)</f>
        <v>11.673500000000001</v>
      </c>
      <c r="E379" s="10">
        <f>CHOOSE(CONTROL!$C$42, 11.7046, 11.7046) * CHOOSE(CONTROL!$C$21, $C$9, 100%, $E$9)</f>
        <v>11.704599999999999</v>
      </c>
      <c r="F379" s="10">
        <f>CHOOSE(CONTROL!$C$42, 11.4738, 11.4738)*CHOOSE(CONTROL!$C$21, $C$9, 100%, $E$9)</f>
        <v>11.473800000000001</v>
      </c>
      <c r="G379" s="10">
        <f>CHOOSE(CONTROL!$C$42, 11.4921, 11.4921)*CHOOSE(CONTROL!$C$21, $C$9, 100%, $E$9)</f>
        <v>11.492100000000001</v>
      </c>
      <c r="H379" s="10">
        <f>CHOOSE(CONTROL!$C$42, 11.6933, 11.6933) * CHOOSE(CONTROL!$C$21, $C$9, 100%, $E$9)</f>
        <v>11.693300000000001</v>
      </c>
      <c r="I379" s="10">
        <f>CHOOSE(CONTROL!$C$42, 11.4639, 11.4639)* CHOOSE(CONTROL!$C$21, $C$9, 100%, $E$9)</f>
        <v>11.463900000000001</v>
      </c>
      <c r="J379" s="10">
        <f>CHOOSE(CONTROL!$C$42, 11.4668, 11.4668)* CHOOSE(CONTROL!$C$21, $C$9, 100%, $E$9)</f>
        <v>11.466799999999999</v>
      </c>
      <c r="K379" s="54">
        <f>CHOOSE(CONTROL!$C$42, 11.46, 11.46) * CHOOSE(CONTROL!$C$21, $C$9, 100%, $E$9)</f>
        <v>11.46</v>
      </c>
      <c r="L379" s="10">
        <f>CHOOSE(CONTROL!$C$42, 12.2803, 12.2803) * CHOOSE(CONTROL!$C$21, $C$9, 100%, $E$9)</f>
        <v>12.2803</v>
      </c>
      <c r="M379" s="10">
        <f>CHOOSE(CONTROL!$C$42, 11.3649, 11.3649) * CHOOSE(CONTROL!$C$21, $C$9, 100%, $E$9)</f>
        <v>11.3649</v>
      </c>
      <c r="N379" s="10">
        <f>CHOOSE(CONTROL!$C$42, 11.383, 11.383) * CHOOSE(CONTROL!$C$21, $C$9, 100%, $E$9)</f>
        <v>11.382999999999999</v>
      </c>
      <c r="O379" s="10">
        <f>CHOOSE(CONTROL!$C$42, 11.5891, 11.5891) * CHOOSE(CONTROL!$C$21, $C$9, 100%, $E$9)</f>
        <v>11.5891</v>
      </c>
      <c r="P379" s="10">
        <f>CHOOSE(CONTROL!$C$42, 11.3621, 11.3621) * CHOOSE(CONTROL!$C$21, $C$9, 100%, $E$9)</f>
        <v>11.3621</v>
      </c>
      <c r="Q379" s="10">
        <f>CHOOSE(CONTROL!$C$42, 12.1844, 12.1844) * CHOOSE(CONTROL!$C$21, $C$9, 100%, $E$9)</f>
        <v>12.1844</v>
      </c>
      <c r="R379" s="10">
        <f>CHOOSE(CONTROL!$C$42, 12.8018, 12.8018) * CHOOSE(CONTROL!$C$21, $C$9, 100%, $E$9)</f>
        <v>12.8018</v>
      </c>
      <c r="S379" s="10">
        <f>CHOOSE(CONTROL!$C$42, 11.1508, 11.1508) * CHOOSE(CONTROL!$C$21, $C$9, 100%, $E$9)</f>
        <v>11.1508</v>
      </c>
      <c r="T379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379" s="58">
        <f>(1000*CHOOSE(CONTROL!$C$42, 695, 695)*CHOOSE(CONTROL!$C$42, 0.5599, 0.5599)*CHOOSE(CONTROL!$C$42, 31, 31))/1000000</f>
        <v>12.063045499999998</v>
      </c>
      <c r="V379" s="58">
        <f>(1000*CHOOSE(CONTROL!$C$42, 500, 500)*CHOOSE(CONTROL!$C$42, 0.275, 0.275)*CHOOSE(CONTROL!$C$42, 31, 31))/1000000</f>
        <v>4.2625000000000002</v>
      </c>
      <c r="W379" s="58">
        <f>(1000*CHOOSE(CONTROL!$C$42, 0.1146, 0.1146)*CHOOSE(CONTROL!$C$42, 121.5, 121.5)*CHOOSE(CONTROL!$C$42, 31, 31))/1000000</f>
        <v>0.43164089999999994</v>
      </c>
      <c r="X379" s="58">
        <f>(31*0.1790888*245000/1000000)+(31*0.2374*100000/1000000)</f>
        <v>2.0961194359999999</v>
      </c>
      <c r="Y379" s="58"/>
      <c r="Z379" s="10"/>
      <c r="AA379" s="57"/>
      <c r="AB379" s="51">
        <f>(B379*194.205+C379*267.466+D379*133.845+E379*53.484+F379*40+G379*185+H379*0+I379*100+J379*300)/(194.205+267.466+133.845+53.484+0+40+185+100+300)</f>
        <v>11.511164394740973</v>
      </c>
      <c r="AC379" s="27">
        <f>(M379*'RAP TEMPLATE-GAS AVAILABILITY'!O378+N379*'RAP TEMPLATE-GAS AVAILABILITY'!P378+O379*'RAP TEMPLATE-GAS AVAILABILITY'!Q378+P379*'RAP TEMPLATE-GAS AVAILABILITY'!R378)/('RAP TEMPLATE-GAS AVAILABILITY'!O378+'RAP TEMPLATE-GAS AVAILABILITY'!P378+'RAP TEMPLATE-GAS AVAILABILITY'!Q378+'RAP TEMPLATE-GAS AVAILABILITY'!R378)</f>
        <v>11.431569064748201</v>
      </c>
    </row>
    <row r="380" spans="1:29" ht="15.75" x14ac:dyDescent="0.25">
      <c r="A380" s="14">
        <v>52840</v>
      </c>
      <c r="B380" s="10">
        <f>CHOOSE(CONTROL!$C$42, 10.9199, 10.9199) * CHOOSE(CONTROL!$C$21, $C$9, 100%, $E$9)</f>
        <v>10.9199</v>
      </c>
      <c r="C380" s="10">
        <f>CHOOSE(CONTROL!$C$42, 10.9278, 10.9278) * CHOOSE(CONTROL!$C$21, $C$9, 100%, $E$9)</f>
        <v>10.9278</v>
      </c>
      <c r="D380" s="10">
        <f>CHOOSE(CONTROL!$C$42, 11.1064, 11.1064) * CHOOSE(CONTROL!$C$21, $C$9, 100%, $E$9)</f>
        <v>11.106400000000001</v>
      </c>
      <c r="E380" s="10">
        <f>CHOOSE(CONTROL!$C$42, 11.1375, 11.1375) * CHOOSE(CONTROL!$C$21, $C$9, 100%, $E$9)</f>
        <v>11.137499999999999</v>
      </c>
      <c r="F380" s="10">
        <f>CHOOSE(CONTROL!$C$42, 10.9066, 10.9066)*CHOOSE(CONTROL!$C$21, $C$9, 100%, $E$9)</f>
        <v>10.906599999999999</v>
      </c>
      <c r="G380" s="10">
        <f>CHOOSE(CONTROL!$C$42, 10.9248, 10.9248)*CHOOSE(CONTROL!$C$21, $C$9, 100%, $E$9)</f>
        <v>10.924799999999999</v>
      </c>
      <c r="H380" s="10">
        <f>CHOOSE(CONTROL!$C$42, 11.1261, 11.1261) * CHOOSE(CONTROL!$C$21, $C$9, 100%, $E$9)</f>
        <v>11.126099999999999</v>
      </c>
      <c r="I380" s="10">
        <f>CHOOSE(CONTROL!$C$42, 10.8968, 10.8968)* CHOOSE(CONTROL!$C$21, $C$9, 100%, $E$9)</f>
        <v>10.896800000000001</v>
      </c>
      <c r="J380" s="10">
        <f>CHOOSE(CONTROL!$C$42, 10.8996, 10.8996)* CHOOSE(CONTROL!$C$21, $C$9, 100%, $E$9)</f>
        <v>10.8996</v>
      </c>
      <c r="K380" s="54">
        <f>CHOOSE(CONTROL!$C$42, 10.8929, 10.8929) * CHOOSE(CONTROL!$C$21, $C$9, 100%, $E$9)</f>
        <v>10.892899999999999</v>
      </c>
      <c r="L380" s="10">
        <f>CHOOSE(CONTROL!$C$42, 11.7131, 11.7131) * CHOOSE(CONTROL!$C$21, $C$9, 100%, $E$9)</f>
        <v>11.713100000000001</v>
      </c>
      <c r="M380" s="10">
        <f>CHOOSE(CONTROL!$C$42, 10.8034, 10.8034) * CHOOSE(CONTROL!$C$21, $C$9, 100%, $E$9)</f>
        <v>10.8034</v>
      </c>
      <c r="N380" s="10">
        <f>CHOOSE(CONTROL!$C$42, 10.8215, 10.8215) * CHOOSE(CONTROL!$C$21, $C$9, 100%, $E$9)</f>
        <v>10.8215</v>
      </c>
      <c r="O380" s="10">
        <f>CHOOSE(CONTROL!$C$42, 11.0277, 11.0277) * CHOOSE(CONTROL!$C$21, $C$9, 100%, $E$9)</f>
        <v>11.027699999999999</v>
      </c>
      <c r="P380" s="10">
        <f>CHOOSE(CONTROL!$C$42, 10.8007, 10.8007) * CHOOSE(CONTROL!$C$21, $C$9, 100%, $E$9)</f>
        <v>10.800700000000001</v>
      </c>
      <c r="Q380" s="10">
        <f>CHOOSE(CONTROL!$C$42, 11.623, 11.623) * CHOOSE(CONTROL!$C$21, $C$9, 100%, $E$9)</f>
        <v>11.622999999999999</v>
      </c>
      <c r="R380" s="10">
        <f>CHOOSE(CONTROL!$C$42, 12.239, 12.239) * CHOOSE(CONTROL!$C$21, $C$9, 100%, $E$9)</f>
        <v>12.239000000000001</v>
      </c>
      <c r="S380" s="10">
        <f>CHOOSE(CONTROL!$C$42, 10.6001, 10.6001) * CHOOSE(CONTROL!$C$21, $C$9, 100%, $E$9)</f>
        <v>10.600099999999999</v>
      </c>
      <c r="T380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380" s="58">
        <f>(1000*CHOOSE(CONTROL!$C$42, 695, 695)*CHOOSE(CONTROL!$C$42, 0.5599, 0.5599)*CHOOSE(CONTROL!$C$42, 31, 31))/1000000</f>
        <v>12.063045499999998</v>
      </c>
      <c r="V380" s="58">
        <f>(1000*CHOOSE(CONTROL!$C$42, 500, 500)*CHOOSE(CONTROL!$C$42, 0.275, 0.275)*CHOOSE(CONTROL!$C$42, 31, 31))/1000000</f>
        <v>4.2625000000000002</v>
      </c>
      <c r="W380" s="58">
        <f>(1000*CHOOSE(CONTROL!$C$42, 0.1146, 0.1146)*CHOOSE(CONTROL!$C$42, 121.5, 121.5)*CHOOSE(CONTROL!$C$42, 31, 31))/1000000</f>
        <v>0.43164089999999994</v>
      </c>
      <c r="X380" s="58">
        <f>(31*0.1790888*245000/1000000)+(31*0.2374*100000/1000000)</f>
        <v>2.0961194359999999</v>
      </c>
      <c r="Y380" s="58"/>
      <c r="Z380" s="10"/>
      <c r="AA380" s="57"/>
      <c r="AB380" s="51">
        <f>(B380*194.205+C380*267.466+D380*133.845+E380*53.484+F380*40+G380*185+H380*0+I380*100+J380*300)/(194.205+267.466+133.845+53.484+0+40+185+100+300)</f>
        <v>10.94398767056515</v>
      </c>
      <c r="AC380" s="27">
        <f>(M380*'RAP TEMPLATE-GAS AVAILABILITY'!O379+N380*'RAP TEMPLATE-GAS AVAILABILITY'!P379+O380*'RAP TEMPLATE-GAS AVAILABILITY'!Q379+P380*'RAP TEMPLATE-GAS AVAILABILITY'!R379)/('RAP TEMPLATE-GAS AVAILABILITY'!O379+'RAP TEMPLATE-GAS AVAILABILITY'!P379+'RAP TEMPLATE-GAS AVAILABILITY'!Q379+'RAP TEMPLATE-GAS AVAILABILITY'!R379)</f>
        <v>10.870111510791366</v>
      </c>
    </row>
    <row r="381" spans="1:29" ht="15.75" x14ac:dyDescent="0.25">
      <c r="A381" s="14">
        <v>52870</v>
      </c>
      <c r="B381" s="10">
        <f>CHOOSE(CONTROL!$C$42, 10.227, 10.227) * CHOOSE(CONTROL!$C$21, $C$9, 100%, $E$9)</f>
        <v>10.227</v>
      </c>
      <c r="C381" s="10">
        <f>CHOOSE(CONTROL!$C$42, 10.2349, 10.2349) * CHOOSE(CONTROL!$C$21, $C$9, 100%, $E$9)</f>
        <v>10.2349</v>
      </c>
      <c r="D381" s="10">
        <f>CHOOSE(CONTROL!$C$42, 10.4134, 10.4134) * CHOOSE(CONTROL!$C$21, $C$9, 100%, $E$9)</f>
        <v>10.413399999999999</v>
      </c>
      <c r="E381" s="10">
        <f>CHOOSE(CONTROL!$C$42, 10.4446, 10.4446) * CHOOSE(CONTROL!$C$21, $C$9, 100%, $E$9)</f>
        <v>10.444599999999999</v>
      </c>
      <c r="F381" s="10">
        <f>CHOOSE(CONTROL!$C$42, 10.2133, 10.2133)*CHOOSE(CONTROL!$C$21, $C$9, 100%, $E$9)</f>
        <v>10.2133</v>
      </c>
      <c r="G381" s="10">
        <f>CHOOSE(CONTROL!$C$42, 10.2316, 10.2316)*CHOOSE(CONTROL!$C$21, $C$9, 100%, $E$9)</f>
        <v>10.2316</v>
      </c>
      <c r="H381" s="10">
        <f>CHOOSE(CONTROL!$C$42, 10.4332, 10.4332) * CHOOSE(CONTROL!$C$21, $C$9, 100%, $E$9)</f>
        <v>10.433199999999999</v>
      </c>
      <c r="I381" s="10">
        <f>CHOOSE(CONTROL!$C$42, 10.2039, 10.2039)* CHOOSE(CONTROL!$C$21, $C$9, 100%, $E$9)</f>
        <v>10.203900000000001</v>
      </c>
      <c r="J381" s="10">
        <f>CHOOSE(CONTROL!$C$42, 10.2063, 10.2063)* CHOOSE(CONTROL!$C$21, $C$9, 100%, $E$9)</f>
        <v>10.206300000000001</v>
      </c>
      <c r="K381" s="54">
        <f>CHOOSE(CONTROL!$C$42, 10.2, 10.2) * CHOOSE(CONTROL!$C$21, $C$9, 100%, $E$9)</f>
        <v>10.199999999999999</v>
      </c>
      <c r="L381" s="10">
        <f>CHOOSE(CONTROL!$C$42, 11.0202, 11.0202) * CHOOSE(CONTROL!$C$21, $C$9, 100%, $E$9)</f>
        <v>11.020200000000001</v>
      </c>
      <c r="M381" s="10">
        <f>CHOOSE(CONTROL!$C$42, 10.1172, 10.1172) * CHOOSE(CONTROL!$C$21, $C$9, 100%, $E$9)</f>
        <v>10.1172</v>
      </c>
      <c r="N381" s="10">
        <f>CHOOSE(CONTROL!$C$42, 10.1352, 10.1352) * CHOOSE(CONTROL!$C$21, $C$9, 100%, $E$9)</f>
        <v>10.135199999999999</v>
      </c>
      <c r="O381" s="10">
        <f>CHOOSE(CONTROL!$C$42, 10.3417, 10.3417) * CHOOSE(CONTROL!$C$21, $C$9, 100%, $E$9)</f>
        <v>10.341699999999999</v>
      </c>
      <c r="P381" s="10">
        <f>CHOOSE(CONTROL!$C$42, 10.1147, 10.1147) * CHOOSE(CONTROL!$C$21, $C$9, 100%, $E$9)</f>
        <v>10.114699999999999</v>
      </c>
      <c r="Q381" s="10">
        <f>CHOOSE(CONTROL!$C$42, 10.937, 10.937) * CHOOSE(CONTROL!$C$21, $C$9, 100%, $E$9)</f>
        <v>10.936999999999999</v>
      </c>
      <c r="R381" s="10">
        <f>CHOOSE(CONTROL!$C$42, 11.5514, 11.5514) * CHOOSE(CONTROL!$C$21, $C$9, 100%, $E$9)</f>
        <v>11.551399999999999</v>
      </c>
      <c r="S381" s="10">
        <f>CHOOSE(CONTROL!$C$42, 9.9272, 9.9272) * CHOOSE(CONTROL!$C$21, $C$9, 100%, $E$9)</f>
        <v>9.9271999999999991</v>
      </c>
      <c r="T381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381" s="58">
        <f>(1000*CHOOSE(CONTROL!$C$42, 695, 695)*CHOOSE(CONTROL!$C$42, 0.5599, 0.5599)*CHOOSE(CONTROL!$C$42, 30, 30))/1000000</f>
        <v>11.673914999999997</v>
      </c>
      <c r="V381" s="58">
        <f>(1000*CHOOSE(CONTROL!$C$42, 500, 500)*CHOOSE(CONTROL!$C$42, 0.275, 0.275)*CHOOSE(CONTROL!$C$42, 30, 30))/1000000</f>
        <v>4.125</v>
      </c>
      <c r="W381" s="58">
        <f>(1000*CHOOSE(CONTROL!$C$42, 0.1146, 0.1146)*CHOOSE(CONTROL!$C$42, 121.5, 121.5)*CHOOSE(CONTROL!$C$42, 30, 30))/1000000</f>
        <v>0.417717</v>
      </c>
      <c r="X381" s="58">
        <f>(30*0.1790888*245000/1000000)+(30*0.2374*100000/1000000)</f>
        <v>2.0285026799999999</v>
      </c>
      <c r="Y381" s="58"/>
      <c r="Z381" s="10"/>
      <c r="AA381" s="57"/>
      <c r="AB381" s="51">
        <f>(B381*194.205+C381*267.466+D381*133.845+E381*53.484+F381*40+G381*185+H381*0+I381*100+J381*300)/(194.205+267.466+133.845+53.484+0+40+185+100+300)</f>
        <v>10.250926850706437</v>
      </c>
      <c r="AC381" s="27">
        <f>(M381*'RAP TEMPLATE-GAS AVAILABILITY'!O380+N381*'RAP TEMPLATE-GAS AVAILABILITY'!P380+O381*'RAP TEMPLATE-GAS AVAILABILITY'!Q380+P381*'RAP TEMPLATE-GAS AVAILABILITY'!R380)/('RAP TEMPLATE-GAS AVAILABILITY'!O380+'RAP TEMPLATE-GAS AVAILABILITY'!P380+'RAP TEMPLATE-GAS AVAILABILITY'!Q380+'RAP TEMPLATE-GAS AVAILABILITY'!R380)</f>
        <v>10.183973381294964</v>
      </c>
    </row>
    <row r="382" spans="1:29" ht="15.75" x14ac:dyDescent="0.25">
      <c r="A382" s="14">
        <v>52901</v>
      </c>
      <c r="B382" s="10">
        <f>CHOOSE(CONTROL!$C$42, 10.0173, 10.0173) * CHOOSE(CONTROL!$C$21, $C$9, 100%, $E$9)</f>
        <v>10.017300000000001</v>
      </c>
      <c r="C382" s="10">
        <f>CHOOSE(CONTROL!$C$42, 10.0225, 10.0225) * CHOOSE(CONTROL!$C$21, $C$9, 100%, $E$9)</f>
        <v>10.022500000000001</v>
      </c>
      <c r="D382" s="10">
        <f>CHOOSE(CONTROL!$C$42, 10.206, 10.206) * CHOOSE(CONTROL!$C$21, $C$9, 100%, $E$9)</f>
        <v>10.206</v>
      </c>
      <c r="E382" s="10">
        <f>CHOOSE(CONTROL!$C$42, 10.2348, 10.2348) * CHOOSE(CONTROL!$C$21, $C$9, 100%, $E$9)</f>
        <v>10.2348</v>
      </c>
      <c r="F382" s="10">
        <f>CHOOSE(CONTROL!$C$42, 10.0056, 10.0056)*CHOOSE(CONTROL!$C$21, $C$9, 100%, $E$9)</f>
        <v>10.005599999999999</v>
      </c>
      <c r="G382" s="10">
        <f>CHOOSE(CONTROL!$C$42, 10.0235, 10.0235)*CHOOSE(CONTROL!$C$21, $C$9, 100%, $E$9)</f>
        <v>10.0235</v>
      </c>
      <c r="H382" s="10">
        <f>CHOOSE(CONTROL!$C$42, 10.2253, 10.2253) * CHOOSE(CONTROL!$C$21, $C$9, 100%, $E$9)</f>
        <v>10.225300000000001</v>
      </c>
      <c r="I382" s="10">
        <f>CHOOSE(CONTROL!$C$42, 9.9959, 9.9959)* CHOOSE(CONTROL!$C$21, $C$9, 100%, $E$9)</f>
        <v>9.9959000000000007</v>
      </c>
      <c r="J382" s="10">
        <f>CHOOSE(CONTROL!$C$42, 9.9986, 9.9986)* CHOOSE(CONTROL!$C$21, $C$9, 100%, $E$9)</f>
        <v>9.9985999999999997</v>
      </c>
      <c r="K382" s="54">
        <f>CHOOSE(CONTROL!$C$42, 9.992, 9.992) * CHOOSE(CONTROL!$C$21, $C$9, 100%, $E$9)</f>
        <v>9.9920000000000009</v>
      </c>
      <c r="L382" s="10">
        <f>CHOOSE(CONTROL!$C$42, 10.8123, 10.8123) * CHOOSE(CONTROL!$C$21, $C$9, 100%, $E$9)</f>
        <v>10.8123</v>
      </c>
      <c r="M382" s="10">
        <f>CHOOSE(CONTROL!$C$42, 9.9115, 9.9115) * CHOOSE(CONTROL!$C$21, $C$9, 100%, $E$9)</f>
        <v>9.9115000000000002</v>
      </c>
      <c r="N382" s="10">
        <f>CHOOSE(CONTROL!$C$42, 9.9292, 9.9292) * CHOOSE(CONTROL!$C$21, $C$9, 100%, $E$9)</f>
        <v>9.9291999999999998</v>
      </c>
      <c r="O382" s="10">
        <f>CHOOSE(CONTROL!$C$42, 10.1359, 10.1359) * CHOOSE(CONTROL!$C$21, $C$9, 100%, $E$9)</f>
        <v>10.135899999999999</v>
      </c>
      <c r="P382" s="10">
        <f>CHOOSE(CONTROL!$C$42, 9.9089, 9.9089) * CHOOSE(CONTROL!$C$21, $C$9, 100%, $E$9)</f>
        <v>9.9088999999999992</v>
      </c>
      <c r="Q382" s="10">
        <f>CHOOSE(CONTROL!$C$42, 10.7312, 10.7312) * CHOOSE(CONTROL!$C$21, $C$9, 100%, $E$9)</f>
        <v>10.731199999999999</v>
      </c>
      <c r="R382" s="10">
        <f>CHOOSE(CONTROL!$C$42, 11.345, 11.345) * CHOOSE(CONTROL!$C$21, $C$9, 100%, $E$9)</f>
        <v>11.345000000000001</v>
      </c>
      <c r="S382" s="10">
        <f>CHOOSE(CONTROL!$C$42, 9.7253, 9.7253) * CHOOSE(CONTROL!$C$21, $C$9, 100%, $E$9)</f>
        <v>9.7253000000000007</v>
      </c>
      <c r="T382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82" s="58">
        <f>(1000*CHOOSE(CONTROL!$C$42, 695, 695)*CHOOSE(CONTROL!$C$42, 0.5599, 0.5599)*CHOOSE(CONTROL!$C$42, 31, 31))/1000000</f>
        <v>12.063045499999998</v>
      </c>
      <c r="V382" s="58">
        <f>(1000*CHOOSE(CONTROL!$C$42, 500, 500)*CHOOSE(CONTROL!$C$42, 0.275, 0.275)*CHOOSE(CONTROL!$C$42, 31, 31))/1000000</f>
        <v>4.2625000000000002</v>
      </c>
      <c r="W382" s="58">
        <f>(1000*CHOOSE(CONTROL!$C$42, 0.1146, 0.1146)*CHOOSE(CONTROL!$C$42, 121.5, 121.5)*CHOOSE(CONTROL!$C$42, 31, 31))/1000000</f>
        <v>0.43164089999999994</v>
      </c>
      <c r="X382" s="58">
        <f>(31*0.1790888*245000/1000000)+(31*0.2374*100000/1000000)</f>
        <v>2.0961194359999999</v>
      </c>
      <c r="Y382" s="58"/>
      <c r="Z382" s="10"/>
      <c r="AA382" s="57"/>
      <c r="AB382" s="51">
        <f>(B382*131.881+C382*277.167+D382*79.08+E382*125.872+F382*40+G382*185+H382*0+I382*100+J382*300)/(131.881+277.167+79.08+125.872+0+40+185+100+300)</f>
        <v>10.046896307021791</v>
      </c>
      <c r="AC382" s="27">
        <f>(M382*'RAP TEMPLATE-GAS AVAILABILITY'!O381+N382*'RAP TEMPLATE-GAS AVAILABILITY'!P381+O382*'RAP TEMPLATE-GAS AVAILABILITY'!Q381+P382*'RAP TEMPLATE-GAS AVAILABILITY'!R381)/('RAP TEMPLATE-GAS AVAILABILITY'!O381+'RAP TEMPLATE-GAS AVAILABILITY'!P381+'RAP TEMPLATE-GAS AVAILABILITY'!Q381+'RAP TEMPLATE-GAS AVAILABILITY'!R381)</f>
        <v>9.9781618705035982</v>
      </c>
    </row>
    <row r="383" spans="1:29" ht="15.75" x14ac:dyDescent="0.25">
      <c r="A383" s="14">
        <v>52931</v>
      </c>
      <c r="B383" s="10">
        <f>CHOOSE(CONTROL!$C$42, 10.2807, 10.2807) * CHOOSE(CONTROL!$C$21, $C$9, 100%, $E$9)</f>
        <v>10.2807</v>
      </c>
      <c r="C383" s="10">
        <f>CHOOSE(CONTROL!$C$42, 10.2856, 10.2856) * CHOOSE(CONTROL!$C$21, $C$9, 100%, $E$9)</f>
        <v>10.285600000000001</v>
      </c>
      <c r="D383" s="10">
        <f>CHOOSE(CONTROL!$C$42, 10.3153, 10.3153) * CHOOSE(CONTROL!$C$21, $C$9, 100%, $E$9)</f>
        <v>10.315300000000001</v>
      </c>
      <c r="E383" s="10">
        <f>CHOOSE(CONTROL!$C$42, 10.349, 10.349) * CHOOSE(CONTROL!$C$21, $C$9, 100%, $E$9)</f>
        <v>10.349</v>
      </c>
      <c r="F383" s="10">
        <f>CHOOSE(CONTROL!$C$42, 10.2664, 10.2664)*CHOOSE(CONTROL!$C$21, $C$9, 100%, $E$9)</f>
        <v>10.266400000000001</v>
      </c>
      <c r="G383" s="10">
        <f>CHOOSE(CONTROL!$C$42, 10.2845, 10.2845)*CHOOSE(CONTROL!$C$21, $C$9, 100%, $E$9)</f>
        <v>10.2845</v>
      </c>
      <c r="H383" s="10">
        <f>CHOOSE(CONTROL!$C$42, 10.3382, 10.3382) * CHOOSE(CONTROL!$C$21, $C$9, 100%, $E$9)</f>
        <v>10.338200000000001</v>
      </c>
      <c r="I383" s="10">
        <f>CHOOSE(CONTROL!$C$42, 10.2469, 10.2469)* CHOOSE(CONTROL!$C$21, $C$9, 100%, $E$9)</f>
        <v>10.2469</v>
      </c>
      <c r="J383" s="10">
        <f>CHOOSE(CONTROL!$C$42, 10.2594, 10.2594)* CHOOSE(CONTROL!$C$21, $C$9, 100%, $E$9)</f>
        <v>10.259399999999999</v>
      </c>
      <c r="K383" s="54">
        <f>CHOOSE(CONTROL!$C$42, 10.243, 10.243) * CHOOSE(CONTROL!$C$21, $C$9, 100%, $E$9)</f>
        <v>10.243</v>
      </c>
      <c r="L383" s="10">
        <f>CHOOSE(CONTROL!$C$42, 10.9252, 10.9252) * CHOOSE(CONTROL!$C$21, $C$9, 100%, $E$9)</f>
        <v>10.9252</v>
      </c>
      <c r="M383" s="10">
        <f>CHOOSE(CONTROL!$C$42, 10.1697, 10.1697) * CHOOSE(CONTROL!$C$21, $C$9, 100%, $E$9)</f>
        <v>10.169700000000001</v>
      </c>
      <c r="N383" s="10">
        <f>CHOOSE(CONTROL!$C$42, 10.1876, 10.1876) * CHOOSE(CONTROL!$C$21, $C$9, 100%, $E$9)</f>
        <v>10.1876</v>
      </c>
      <c r="O383" s="10">
        <f>CHOOSE(CONTROL!$C$42, 10.2477, 10.2477) * CHOOSE(CONTROL!$C$21, $C$9, 100%, $E$9)</f>
        <v>10.2477</v>
      </c>
      <c r="P383" s="10">
        <f>CHOOSE(CONTROL!$C$42, 10.1573, 10.1573) * CHOOSE(CONTROL!$C$21, $C$9, 100%, $E$9)</f>
        <v>10.157299999999999</v>
      </c>
      <c r="Q383" s="10">
        <f>CHOOSE(CONTROL!$C$42, 10.843, 10.843) * CHOOSE(CONTROL!$C$21, $C$9, 100%, $E$9)</f>
        <v>10.843</v>
      </c>
      <c r="R383" s="10">
        <f>CHOOSE(CONTROL!$C$42, 11.4571, 11.4571) * CHOOSE(CONTROL!$C$21, $C$9, 100%, $E$9)</f>
        <v>11.457100000000001</v>
      </c>
      <c r="S383" s="10">
        <f>CHOOSE(CONTROL!$C$42, 9.9814, 9.9814) * CHOOSE(CONTROL!$C$21, $C$9, 100%, $E$9)</f>
        <v>9.9814000000000007</v>
      </c>
      <c r="T383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83" s="58">
        <f>(1000*CHOOSE(CONTROL!$C$42, 695, 695)*CHOOSE(CONTROL!$C$42, 0.5599, 0.5599)*CHOOSE(CONTROL!$C$42, 30, 30))/1000000</f>
        <v>11.673914999999997</v>
      </c>
      <c r="V383" s="58">
        <f>(1000*CHOOSE(CONTROL!$C$42, 500, 500)*CHOOSE(CONTROL!$C$42, 0.275, 0.275)*CHOOSE(CONTROL!$C$42, 30, 30))/1000000</f>
        <v>4.125</v>
      </c>
      <c r="W383" s="58">
        <f>(1000*CHOOSE(CONTROL!$C$42, 0.1146, 0.1146)*CHOOSE(CONTROL!$C$42, 121.5, 121.5)*CHOOSE(CONTROL!$C$42, 30, 30))/1000000</f>
        <v>0.417717</v>
      </c>
      <c r="X383" s="58">
        <f>(30*0.1790888*100000/1000000)+(30*0.2374*100000/1000000)</f>
        <v>1.2494664</v>
      </c>
      <c r="Y383" s="58"/>
      <c r="Z383" s="10"/>
      <c r="AA383" s="57"/>
      <c r="AB383" s="51">
        <f>(B383*122.58+C383*297.941+D383*89.177+E383*40.302+F383*40+G383*160+H383*0+I383*100+J383*300)/(122.58+297.941+89.177+40.302+0+40+160+100+300)</f>
        <v>10.27858179278261</v>
      </c>
      <c r="AC383" s="27">
        <f>(M383*'RAP TEMPLATE-GAS AVAILABILITY'!O382+N383*'RAP TEMPLATE-GAS AVAILABILITY'!P382+O383*'RAP TEMPLATE-GAS AVAILABILITY'!Q382+P383*'RAP TEMPLATE-GAS AVAILABILITY'!R382)/('RAP TEMPLATE-GAS AVAILABILITY'!O382+'RAP TEMPLATE-GAS AVAILABILITY'!P382+'RAP TEMPLATE-GAS AVAILABILITY'!Q382+'RAP TEMPLATE-GAS AVAILABILITY'!R382)</f>
        <v>10.204298561151077</v>
      </c>
    </row>
    <row r="384" spans="1:29" ht="15.75" x14ac:dyDescent="0.25">
      <c r="A384" s="14">
        <v>52962</v>
      </c>
      <c r="B384" s="10">
        <f>CHOOSE(CONTROL!$C$42, 10.9814, 10.9814) * CHOOSE(CONTROL!$C$21, $C$9, 100%, $E$9)</f>
        <v>10.981400000000001</v>
      </c>
      <c r="C384" s="10">
        <f>CHOOSE(CONTROL!$C$42, 10.9864, 10.9864) * CHOOSE(CONTROL!$C$21, $C$9, 100%, $E$9)</f>
        <v>10.9864</v>
      </c>
      <c r="D384" s="10">
        <f>CHOOSE(CONTROL!$C$42, 11.016, 11.016) * CHOOSE(CONTROL!$C$21, $C$9, 100%, $E$9)</f>
        <v>11.016</v>
      </c>
      <c r="E384" s="10">
        <f>CHOOSE(CONTROL!$C$42, 11.0498, 11.0498) * CHOOSE(CONTROL!$C$21, $C$9, 100%, $E$9)</f>
        <v>11.049799999999999</v>
      </c>
      <c r="F384" s="10">
        <f>CHOOSE(CONTROL!$C$42, 10.9687, 10.9687)*CHOOSE(CONTROL!$C$21, $C$9, 100%, $E$9)</f>
        <v>10.9687</v>
      </c>
      <c r="G384" s="10">
        <f>CHOOSE(CONTROL!$C$42, 10.9872, 10.9872)*CHOOSE(CONTROL!$C$21, $C$9, 100%, $E$9)</f>
        <v>10.9872</v>
      </c>
      <c r="H384" s="10">
        <f>CHOOSE(CONTROL!$C$42, 11.039, 11.039) * CHOOSE(CONTROL!$C$21, $C$9, 100%, $E$9)</f>
        <v>11.039</v>
      </c>
      <c r="I384" s="10">
        <f>CHOOSE(CONTROL!$C$42, 10.9476, 10.9476)* CHOOSE(CONTROL!$C$21, $C$9, 100%, $E$9)</f>
        <v>10.9476</v>
      </c>
      <c r="J384" s="10">
        <f>CHOOSE(CONTROL!$C$42, 10.9617, 10.9617)* CHOOSE(CONTROL!$C$21, $C$9, 100%, $E$9)</f>
        <v>10.9617</v>
      </c>
      <c r="K384" s="54">
        <f>CHOOSE(CONTROL!$C$42, 10.9437, 10.9437) * CHOOSE(CONTROL!$C$21, $C$9, 100%, $E$9)</f>
        <v>10.9437</v>
      </c>
      <c r="L384" s="10">
        <f>CHOOSE(CONTROL!$C$42, 11.626, 11.626) * CHOOSE(CONTROL!$C$21, $C$9, 100%, $E$9)</f>
        <v>11.625999999999999</v>
      </c>
      <c r="M384" s="10">
        <f>CHOOSE(CONTROL!$C$42, 10.8649, 10.8649) * CHOOSE(CONTROL!$C$21, $C$9, 100%, $E$9)</f>
        <v>10.8649</v>
      </c>
      <c r="N384" s="10">
        <f>CHOOSE(CONTROL!$C$42, 10.8832, 10.8832) * CHOOSE(CONTROL!$C$21, $C$9, 100%, $E$9)</f>
        <v>10.8832</v>
      </c>
      <c r="O384" s="10">
        <f>CHOOSE(CONTROL!$C$42, 10.9414, 10.9414) * CHOOSE(CONTROL!$C$21, $C$9, 100%, $E$9)</f>
        <v>10.9414</v>
      </c>
      <c r="P384" s="10">
        <f>CHOOSE(CONTROL!$C$42, 10.851, 10.851) * CHOOSE(CONTROL!$C$21, $C$9, 100%, $E$9)</f>
        <v>10.851000000000001</v>
      </c>
      <c r="Q384" s="10">
        <f>CHOOSE(CONTROL!$C$42, 11.5367, 11.5367) * CHOOSE(CONTROL!$C$21, $C$9, 100%, $E$9)</f>
        <v>11.5367</v>
      </c>
      <c r="R384" s="10">
        <f>CHOOSE(CONTROL!$C$42, 12.1525, 12.1525) * CHOOSE(CONTROL!$C$21, $C$9, 100%, $E$9)</f>
        <v>12.1525</v>
      </c>
      <c r="S384" s="10">
        <f>CHOOSE(CONTROL!$C$42, 10.6619, 10.6619) * CHOOSE(CONTROL!$C$21, $C$9, 100%, $E$9)</f>
        <v>10.661899999999999</v>
      </c>
      <c r="T384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84" s="58">
        <f>(1000*CHOOSE(CONTROL!$C$42, 695, 695)*CHOOSE(CONTROL!$C$42, 0.5599, 0.5599)*CHOOSE(CONTROL!$C$42, 31, 31))/1000000</f>
        <v>12.063045499999998</v>
      </c>
      <c r="V384" s="58">
        <f>(1000*CHOOSE(CONTROL!$C$42, 500, 500)*CHOOSE(CONTROL!$C$42, 0.275, 0.275)*CHOOSE(CONTROL!$C$42, 31, 31))/1000000</f>
        <v>4.2625000000000002</v>
      </c>
      <c r="W384" s="58">
        <f>(1000*CHOOSE(CONTROL!$C$42, 0.1146, 0.1146)*CHOOSE(CONTROL!$C$42, 121.5, 121.5)*CHOOSE(CONTROL!$C$42, 31, 31))/1000000</f>
        <v>0.43164089999999994</v>
      </c>
      <c r="X384" s="58">
        <f>(31*0.1790888*100000/1000000)+(31*0.2374*100000/1000000)</f>
        <v>1.2911152800000001</v>
      </c>
      <c r="Y384" s="58"/>
      <c r="Z384" s="10"/>
      <c r="AA384" s="57"/>
      <c r="AB384" s="51">
        <f>(B384*122.58+C384*297.941+D384*89.177+E384*40.302+F384*40+G384*160+H384*0+I384*100+J384*300)/(122.58+297.941+89.177+40.302+0+40+160+100+300)</f>
        <v>10.980062509565217</v>
      </c>
      <c r="AC384" s="27">
        <f>(M384*'RAP TEMPLATE-GAS AVAILABILITY'!O383+N384*'RAP TEMPLATE-GAS AVAILABILITY'!P383+O384*'RAP TEMPLATE-GAS AVAILABILITY'!Q383+P384*'RAP TEMPLATE-GAS AVAILABILITY'!R383)/('RAP TEMPLATE-GAS AVAILABILITY'!O383+'RAP TEMPLATE-GAS AVAILABILITY'!P383+'RAP TEMPLATE-GAS AVAILABILITY'!Q383+'RAP TEMPLATE-GAS AVAILABILITY'!R383)</f>
        <v>10.898625899280576</v>
      </c>
    </row>
    <row r="385" spans="1:29" ht="15.75" x14ac:dyDescent="0.25">
      <c r="A385" s="14">
        <v>52993</v>
      </c>
      <c r="B385" s="10">
        <f>CHOOSE(CONTROL!$C$42, 11.7224, 11.7224) * CHOOSE(CONTROL!$C$21, $C$9, 100%, $E$9)</f>
        <v>11.7224</v>
      </c>
      <c r="C385" s="10">
        <f>CHOOSE(CONTROL!$C$42, 11.7274, 11.7274) * CHOOSE(CONTROL!$C$21, $C$9, 100%, $E$9)</f>
        <v>11.727399999999999</v>
      </c>
      <c r="D385" s="10">
        <f>CHOOSE(CONTROL!$C$42, 11.7776, 11.7776) * CHOOSE(CONTROL!$C$21, $C$9, 100%, $E$9)</f>
        <v>11.7776</v>
      </c>
      <c r="E385" s="10">
        <f>CHOOSE(CONTROL!$C$42, 11.8113, 11.8113) * CHOOSE(CONTROL!$C$21, $C$9, 100%, $E$9)</f>
        <v>11.811299999999999</v>
      </c>
      <c r="F385" s="10">
        <f>CHOOSE(CONTROL!$C$42, 11.6878, 11.6878)*CHOOSE(CONTROL!$C$21, $C$9, 100%, $E$9)</f>
        <v>11.687799999999999</v>
      </c>
      <c r="G385" s="10">
        <f>CHOOSE(CONTROL!$C$42, 11.7053, 11.7053)*CHOOSE(CONTROL!$C$21, $C$9, 100%, $E$9)</f>
        <v>11.705299999999999</v>
      </c>
      <c r="H385" s="10">
        <f>CHOOSE(CONTROL!$C$42, 11.8005, 11.8005) * CHOOSE(CONTROL!$C$21, $C$9, 100%, $E$9)</f>
        <v>11.8005</v>
      </c>
      <c r="I385" s="10">
        <f>CHOOSE(CONTROL!$C$42, 11.6963, 11.6963)* CHOOSE(CONTROL!$C$21, $C$9, 100%, $E$9)</f>
        <v>11.696300000000001</v>
      </c>
      <c r="J385" s="10">
        <f>CHOOSE(CONTROL!$C$42, 11.6808, 11.6808)* CHOOSE(CONTROL!$C$21, $C$9, 100%, $E$9)</f>
        <v>11.6808</v>
      </c>
      <c r="K385" s="54">
        <f>CHOOSE(CONTROL!$C$42, 11.6924, 11.6924) * CHOOSE(CONTROL!$C$21, $C$9, 100%, $E$9)</f>
        <v>11.692399999999999</v>
      </c>
      <c r="L385" s="10">
        <f>CHOOSE(CONTROL!$C$42, 12.3875, 12.3875) * CHOOSE(CONTROL!$C$21, $C$9, 100%, $E$9)</f>
        <v>12.387499999999999</v>
      </c>
      <c r="M385" s="10">
        <f>CHOOSE(CONTROL!$C$42, 11.5767, 11.5767) * CHOOSE(CONTROL!$C$21, $C$9, 100%, $E$9)</f>
        <v>11.576700000000001</v>
      </c>
      <c r="N385" s="10">
        <f>CHOOSE(CONTROL!$C$42, 11.5941, 11.5941) * CHOOSE(CONTROL!$C$21, $C$9, 100%, $E$9)</f>
        <v>11.594099999999999</v>
      </c>
      <c r="O385" s="10">
        <f>CHOOSE(CONTROL!$C$42, 11.6953, 11.6953) * CHOOSE(CONTROL!$C$21, $C$9, 100%, $E$9)</f>
        <v>11.6953</v>
      </c>
      <c r="P385" s="10">
        <f>CHOOSE(CONTROL!$C$42, 11.5921, 11.5921) * CHOOSE(CONTROL!$C$21, $C$9, 100%, $E$9)</f>
        <v>11.5921</v>
      </c>
      <c r="Q385" s="10">
        <f>CHOOSE(CONTROL!$C$42, 12.2906, 12.2906) * CHOOSE(CONTROL!$C$21, $C$9, 100%, $E$9)</f>
        <v>12.2906</v>
      </c>
      <c r="R385" s="10">
        <f>CHOOSE(CONTROL!$C$42, 12.9083, 12.9083) * CHOOSE(CONTROL!$C$21, $C$9, 100%, $E$9)</f>
        <v>12.908300000000001</v>
      </c>
      <c r="S385" s="10">
        <f>CHOOSE(CONTROL!$C$42, 11.3815, 11.3815) * CHOOSE(CONTROL!$C$21, $C$9, 100%, $E$9)</f>
        <v>11.381500000000001</v>
      </c>
      <c r="T385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85" s="58">
        <f>(1000*CHOOSE(CONTROL!$C$42, 695, 695)*CHOOSE(CONTROL!$C$42, 0.5599, 0.5599)*CHOOSE(CONTROL!$C$42, 31, 31))/1000000</f>
        <v>12.063045499999998</v>
      </c>
      <c r="V385" s="58">
        <f>(1000*CHOOSE(CONTROL!$C$42, 500, 500)*CHOOSE(CONTROL!$C$42, 0.275, 0.275)*CHOOSE(CONTROL!$C$42, 31, 31))/1000000</f>
        <v>4.2625000000000002</v>
      </c>
      <c r="W385" s="58">
        <f>(1000*CHOOSE(CONTROL!$C$42, 0.1146, 0.1146)*CHOOSE(CONTROL!$C$42, 121.5, 121.5)*CHOOSE(CONTROL!$C$42, 31, 31))/1000000</f>
        <v>0.43164089999999994</v>
      </c>
      <c r="X385" s="58">
        <f>(31*0.1790888*100000/1000000)+(31*0.2374*100000/1000000)</f>
        <v>1.2911152800000001</v>
      </c>
      <c r="Y385" s="58"/>
      <c r="Z385" s="10"/>
      <c r="AA385" s="57"/>
      <c r="AB385" s="51">
        <f>(B385*122.58+C385*297.941+D385*89.177+E385*40.302+F385*40+G385*160+H385*0+I385*100+J385*300)/(122.58+297.941+89.177+40.302+0+40+160+100+300)</f>
        <v>11.714387063652174</v>
      </c>
      <c r="AC385" s="27">
        <f>(M385*'RAP TEMPLATE-GAS AVAILABILITY'!O384+N385*'RAP TEMPLATE-GAS AVAILABILITY'!P384+O385*'RAP TEMPLATE-GAS AVAILABILITY'!Q384+P385*'RAP TEMPLATE-GAS AVAILABILITY'!R384)/('RAP TEMPLATE-GAS AVAILABILITY'!O384+'RAP TEMPLATE-GAS AVAILABILITY'!P384+'RAP TEMPLATE-GAS AVAILABILITY'!Q384+'RAP TEMPLATE-GAS AVAILABILITY'!R384)</f>
        <v>11.633671223021583</v>
      </c>
    </row>
    <row r="386" spans="1:29" ht="15.75" x14ac:dyDescent="0.25">
      <c r="A386" s="14">
        <v>53021</v>
      </c>
      <c r="B386" s="10">
        <f>CHOOSE(CONTROL!$C$42, 11.931, 11.931) * CHOOSE(CONTROL!$C$21, $C$9, 100%, $E$9)</f>
        <v>11.930999999999999</v>
      </c>
      <c r="C386" s="10">
        <f>CHOOSE(CONTROL!$C$42, 11.936, 11.936) * CHOOSE(CONTROL!$C$21, $C$9, 100%, $E$9)</f>
        <v>11.936</v>
      </c>
      <c r="D386" s="10">
        <f>CHOOSE(CONTROL!$C$42, 12.0531, 12.0531) * CHOOSE(CONTROL!$C$21, $C$9, 100%, $E$9)</f>
        <v>12.053100000000001</v>
      </c>
      <c r="E386" s="10">
        <f>CHOOSE(CONTROL!$C$42, 12.0869, 12.0869) * CHOOSE(CONTROL!$C$21, $C$9, 100%, $E$9)</f>
        <v>12.0869</v>
      </c>
      <c r="F386" s="10">
        <f>CHOOSE(CONTROL!$C$42, 12.0086, 12.0086)*CHOOSE(CONTROL!$C$21, $C$9, 100%, $E$9)</f>
        <v>12.008599999999999</v>
      </c>
      <c r="G386" s="10">
        <f>CHOOSE(CONTROL!$C$42, 12.0305, 12.0305)*CHOOSE(CONTROL!$C$21, $C$9, 100%, $E$9)</f>
        <v>12.0305</v>
      </c>
      <c r="H386" s="10">
        <f>CHOOSE(CONTROL!$C$42, 12.0761, 12.0761) * CHOOSE(CONTROL!$C$21, $C$9, 100%, $E$9)</f>
        <v>12.0761</v>
      </c>
      <c r="I386" s="10">
        <f>CHOOSE(CONTROL!$C$42, 11.9667, 11.9667)* CHOOSE(CONTROL!$C$21, $C$9, 100%, $E$9)</f>
        <v>11.966699999999999</v>
      </c>
      <c r="J386" s="10">
        <f>CHOOSE(CONTROL!$C$42, 12.0016, 12.0016)* CHOOSE(CONTROL!$C$21, $C$9, 100%, $E$9)</f>
        <v>12.0016</v>
      </c>
      <c r="K386" s="54">
        <f>CHOOSE(CONTROL!$C$42, 11.9628, 11.9628) * CHOOSE(CONTROL!$C$21, $C$9, 100%, $E$9)</f>
        <v>11.9628</v>
      </c>
      <c r="L386" s="10">
        <f>CHOOSE(CONTROL!$C$42, 12.6631, 12.6631) * CHOOSE(CONTROL!$C$21, $C$9, 100%, $E$9)</f>
        <v>12.6631</v>
      </c>
      <c r="M386" s="10">
        <f>CHOOSE(CONTROL!$C$42, 11.8943, 11.8943) * CHOOSE(CONTROL!$C$21, $C$9, 100%, $E$9)</f>
        <v>11.894299999999999</v>
      </c>
      <c r="N386" s="10">
        <f>CHOOSE(CONTROL!$C$42, 11.916, 11.916) * CHOOSE(CONTROL!$C$21, $C$9, 100%, $E$9)</f>
        <v>11.916</v>
      </c>
      <c r="O386" s="10">
        <f>CHOOSE(CONTROL!$C$42, 11.968, 11.968) * CHOOSE(CONTROL!$C$21, $C$9, 100%, $E$9)</f>
        <v>11.968</v>
      </c>
      <c r="P386" s="10">
        <f>CHOOSE(CONTROL!$C$42, 11.8598, 11.8598) * CHOOSE(CONTROL!$C$21, $C$9, 100%, $E$9)</f>
        <v>11.8598</v>
      </c>
      <c r="Q386" s="10">
        <f>CHOOSE(CONTROL!$C$42, 12.5633, 12.5633) * CHOOSE(CONTROL!$C$21, $C$9, 100%, $E$9)</f>
        <v>12.5633</v>
      </c>
      <c r="R386" s="10">
        <f>CHOOSE(CONTROL!$C$42, 13.1818, 13.1818) * CHOOSE(CONTROL!$C$21, $C$9, 100%, $E$9)</f>
        <v>13.181800000000001</v>
      </c>
      <c r="S386" s="10">
        <f>CHOOSE(CONTROL!$C$42, 11.5841, 11.5841) * CHOOSE(CONTROL!$C$21, $C$9, 100%, $E$9)</f>
        <v>11.584099999999999</v>
      </c>
      <c r="T386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386" s="58">
        <f>(1000*CHOOSE(CONTROL!$C$42, 695, 695)*CHOOSE(CONTROL!$C$42, 0.5599, 0.5599)*CHOOSE(CONTROL!$C$42, 28, 28))/1000000</f>
        <v>10.895653999999999</v>
      </c>
      <c r="V386" s="58">
        <f>(1000*CHOOSE(CONTROL!$C$42, 500, 500)*CHOOSE(CONTROL!$C$42, 0.275, 0.275)*CHOOSE(CONTROL!$C$42, 28, 28))/1000000</f>
        <v>3.85</v>
      </c>
      <c r="W386" s="58">
        <f>(1000*CHOOSE(CONTROL!$C$42, 0.1146, 0.1146)*CHOOSE(CONTROL!$C$42, 121.5, 121.5)*CHOOSE(CONTROL!$C$42, 28, 28))/1000000</f>
        <v>0.38986920000000003</v>
      </c>
      <c r="X386" s="58">
        <f>(28*0.1790888*100000/1000000)+(28*0.2374*100000/1000000)</f>
        <v>1.16616864</v>
      </c>
      <c r="Y386" s="58"/>
      <c r="Z386" s="10"/>
      <c r="AA386" s="57"/>
      <c r="AB386" s="51">
        <f>(B386*122.58+C386*297.941+D386*89.177+E386*40.302+F386*40+G386*160+H386*0+I386*100+J386*300)/(122.58+297.941+89.177+40.302+0+40+160+100+300)</f>
        <v>11.985291563913044</v>
      </c>
      <c r="AC386" s="27">
        <f>(M386*'RAP TEMPLATE-GAS AVAILABILITY'!O385+N386*'RAP TEMPLATE-GAS AVAILABILITY'!P385+O386*'RAP TEMPLATE-GAS AVAILABILITY'!Q385+P386*'RAP TEMPLATE-GAS AVAILABILITY'!R385)/('RAP TEMPLATE-GAS AVAILABILITY'!O385+'RAP TEMPLATE-GAS AVAILABILITY'!P385+'RAP TEMPLATE-GAS AVAILABILITY'!Q385+'RAP TEMPLATE-GAS AVAILABILITY'!R385)</f>
        <v>11.923988489208634</v>
      </c>
    </row>
    <row r="387" spans="1:29" ht="15.75" x14ac:dyDescent="0.25">
      <c r="A387" s="14">
        <v>53052</v>
      </c>
      <c r="B387" s="10">
        <f>CHOOSE(CONTROL!$C$42, 11.5924, 11.5924) * CHOOSE(CONTROL!$C$21, $C$9, 100%, $E$9)</f>
        <v>11.5924</v>
      </c>
      <c r="C387" s="10">
        <f>CHOOSE(CONTROL!$C$42, 11.5973, 11.5973) * CHOOSE(CONTROL!$C$21, $C$9, 100%, $E$9)</f>
        <v>11.597300000000001</v>
      </c>
      <c r="D387" s="10">
        <f>CHOOSE(CONTROL!$C$42, 11.6887, 11.6887) * CHOOSE(CONTROL!$C$21, $C$9, 100%, $E$9)</f>
        <v>11.688700000000001</v>
      </c>
      <c r="E387" s="10">
        <f>CHOOSE(CONTROL!$C$42, 11.7225, 11.7225) * CHOOSE(CONTROL!$C$21, $C$9, 100%, $E$9)</f>
        <v>11.7225</v>
      </c>
      <c r="F387" s="10">
        <f>CHOOSE(CONTROL!$C$42, 11.6222, 11.6222)*CHOOSE(CONTROL!$C$21, $C$9, 100%, $E$9)</f>
        <v>11.622199999999999</v>
      </c>
      <c r="G387" s="10">
        <f>CHOOSE(CONTROL!$C$42, 11.6417, 11.6417)*CHOOSE(CONTROL!$C$21, $C$9, 100%, $E$9)</f>
        <v>11.6417</v>
      </c>
      <c r="H387" s="10">
        <f>CHOOSE(CONTROL!$C$42, 11.7117, 11.7117) * CHOOSE(CONTROL!$C$21, $C$9, 100%, $E$9)</f>
        <v>11.7117</v>
      </c>
      <c r="I387" s="10">
        <f>CHOOSE(CONTROL!$C$42, 11.6152, 11.6152)* CHOOSE(CONTROL!$C$21, $C$9, 100%, $E$9)</f>
        <v>11.6152</v>
      </c>
      <c r="J387" s="10">
        <f>CHOOSE(CONTROL!$C$42, 11.6152, 11.6152)* CHOOSE(CONTROL!$C$21, $C$9, 100%, $E$9)</f>
        <v>11.6152</v>
      </c>
      <c r="K387" s="54">
        <f>CHOOSE(CONTROL!$C$42, 11.6113, 11.6113) * CHOOSE(CONTROL!$C$21, $C$9, 100%, $E$9)</f>
        <v>11.6113</v>
      </c>
      <c r="L387" s="10">
        <f>CHOOSE(CONTROL!$C$42, 12.2987, 12.2987) * CHOOSE(CONTROL!$C$21, $C$9, 100%, $E$9)</f>
        <v>12.2987</v>
      </c>
      <c r="M387" s="10">
        <f>CHOOSE(CONTROL!$C$42, 11.5118, 11.5118) * CHOOSE(CONTROL!$C$21, $C$9, 100%, $E$9)</f>
        <v>11.511799999999999</v>
      </c>
      <c r="N387" s="10">
        <f>CHOOSE(CONTROL!$C$42, 11.5311, 11.5311) * CHOOSE(CONTROL!$C$21, $C$9, 100%, $E$9)</f>
        <v>11.5311</v>
      </c>
      <c r="O387" s="10">
        <f>CHOOSE(CONTROL!$C$42, 11.6073, 11.6073) * CHOOSE(CONTROL!$C$21, $C$9, 100%, $E$9)</f>
        <v>11.6073</v>
      </c>
      <c r="P387" s="10">
        <f>CHOOSE(CONTROL!$C$42, 11.5118, 11.5118) * CHOOSE(CONTROL!$C$21, $C$9, 100%, $E$9)</f>
        <v>11.511799999999999</v>
      </c>
      <c r="Q387" s="10">
        <f>CHOOSE(CONTROL!$C$42, 12.2026, 12.2026) * CHOOSE(CONTROL!$C$21, $C$9, 100%, $E$9)</f>
        <v>12.2026</v>
      </c>
      <c r="R387" s="10">
        <f>CHOOSE(CONTROL!$C$42, 12.8201, 12.8201) * CHOOSE(CONTROL!$C$21, $C$9, 100%, $E$9)</f>
        <v>12.8201</v>
      </c>
      <c r="S387" s="10">
        <f>CHOOSE(CONTROL!$C$42, 11.2552, 11.2552) * CHOOSE(CONTROL!$C$21, $C$9, 100%, $E$9)</f>
        <v>11.2552</v>
      </c>
      <c r="T387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87" s="58">
        <f>(1000*CHOOSE(CONTROL!$C$42, 695, 695)*CHOOSE(CONTROL!$C$42, 0.5599, 0.5599)*CHOOSE(CONTROL!$C$42, 31, 31))/1000000</f>
        <v>12.063045499999998</v>
      </c>
      <c r="V387" s="58">
        <f>(1000*CHOOSE(CONTROL!$C$42, 500, 500)*CHOOSE(CONTROL!$C$42, 0.275, 0.275)*CHOOSE(CONTROL!$C$42, 31, 31))/1000000</f>
        <v>4.2625000000000002</v>
      </c>
      <c r="W387" s="58">
        <f>(1000*CHOOSE(CONTROL!$C$42, 0.1146, 0.1146)*CHOOSE(CONTROL!$C$42, 121.5, 121.5)*CHOOSE(CONTROL!$C$42, 31, 31))/1000000</f>
        <v>0.43164089999999994</v>
      </c>
      <c r="X387" s="58">
        <f>(31*0.1790888*100000/1000000)+(31*0.2374*100000/1000000)</f>
        <v>1.2911152800000001</v>
      </c>
      <c r="Y387" s="58"/>
      <c r="Z387" s="10"/>
      <c r="AA387" s="57"/>
      <c r="AB387" s="51">
        <f>(B387*122.58+C387*297.941+D387*89.177+E387*40.302+F387*40+G387*160+H387*0+I387*100+J387*300)/(122.58+297.941+89.177+40.302+0+40+160+100+300)</f>
        <v>11.621522561913043</v>
      </c>
      <c r="AC387" s="27">
        <f>(M387*'RAP TEMPLATE-GAS AVAILABILITY'!O386+N387*'RAP TEMPLATE-GAS AVAILABILITY'!P386+O387*'RAP TEMPLATE-GAS AVAILABILITY'!Q386+P387*'RAP TEMPLATE-GAS AVAILABILITY'!R386)/('RAP TEMPLATE-GAS AVAILABILITY'!O386+'RAP TEMPLATE-GAS AVAILABILITY'!P386+'RAP TEMPLATE-GAS AVAILABILITY'!Q386+'RAP TEMPLATE-GAS AVAILABILITY'!R386)</f>
        <v>11.556194964028778</v>
      </c>
    </row>
    <row r="388" spans="1:29" ht="15.75" x14ac:dyDescent="0.25">
      <c r="A388" s="14">
        <v>53082</v>
      </c>
      <c r="B388" s="10">
        <f>CHOOSE(CONTROL!$C$42, 11.5585, 11.5585) * CHOOSE(CONTROL!$C$21, $C$9, 100%, $E$9)</f>
        <v>11.5585</v>
      </c>
      <c r="C388" s="10">
        <f>CHOOSE(CONTROL!$C$42, 11.5628, 11.5628) * CHOOSE(CONTROL!$C$21, $C$9, 100%, $E$9)</f>
        <v>11.562799999999999</v>
      </c>
      <c r="D388" s="10">
        <f>CHOOSE(CONTROL!$C$42, 11.7445, 11.7445) * CHOOSE(CONTROL!$C$21, $C$9, 100%, $E$9)</f>
        <v>11.7445</v>
      </c>
      <c r="E388" s="10">
        <f>CHOOSE(CONTROL!$C$42, 11.7763, 11.7763) * CHOOSE(CONTROL!$C$21, $C$9, 100%, $E$9)</f>
        <v>11.776300000000001</v>
      </c>
      <c r="F388" s="10">
        <f>CHOOSE(CONTROL!$C$42, 11.5468, 11.5468)*CHOOSE(CONTROL!$C$21, $C$9, 100%, $E$9)</f>
        <v>11.546799999999999</v>
      </c>
      <c r="G388" s="10">
        <f>CHOOSE(CONTROL!$C$42, 11.5648, 11.5648)*CHOOSE(CONTROL!$C$21, $C$9, 100%, $E$9)</f>
        <v>11.5648</v>
      </c>
      <c r="H388" s="10">
        <f>CHOOSE(CONTROL!$C$42, 11.7661, 11.7661) * CHOOSE(CONTROL!$C$21, $C$9, 100%, $E$9)</f>
        <v>11.7661</v>
      </c>
      <c r="I388" s="10">
        <f>CHOOSE(CONTROL!$C$42, 11.5367, 11.5367)* CHOOSE(CONTROL!$C$21, $C$9, 100%, $E$9)</f>
        <v>11.5367</v>
      </c>
      <c r="J388" s="10">
        <f>CHOOSE(CONTROL!$C$42, 11.5398, 11.5398)* CHOOSE(CONTROL!$C$21, $C$9, 100%, $E$9)</f>
        <v>11.5398</v>
      </c>
      <c r="K388" s="54">
        <f>CHOOSE(CONTROL!$C$42, 11.5328, 11.5328) * CHOOSE(CONTROL!$C$21, $C$9, 100%, $E$9)</f>
        <v>11.5328</v>
      </c>
      <c r="L388" s="10">
        <f>CHOOSE(CONTROL!$C$42, 12.3531, 12.3531) * CHOOSE(CONTROL!$C$21, $C$9, 100%, $E$9)</f>
        <v>12.3531</v>
      </c>
      <c r="M388" s="10">
        <f>CHOOSE(CONTROL!$C$42, 11.4372, 11.4372) * CHOOSE(CONTROL!$C$21, $C$9, 100%, $E$9)</f>
        <v>11.437200000000001</v>
      </c>
      <c r="N388" s="10">
        <f>CHOOSE(CONTROL!$C$42, 11.455, 11.455) * CHOOSE(CONTROL!$C$21, $C$9, 100%, $E$9)</f>
        <v>11.455</v>
      </c>
      <c r="O388" s="10">
        <f>CHOOSE(CONTROL!$C$42, 11.6612, 11.6612) * CHOOSE(CONTROL!$C$21, $C$9, 100%, $E$9)</f>
        <v>11.661199999999999</v>
      </c>
      <c r="P388" s="10">
        <f>CHOOSE(CONTROL!$C$42, 11.4342, 11.4342) * CHOOSE(CONTROL!$C$21, $C$9, 100%, $E$9)</f>
        <v>11.434200000000001</v>
      </c>
      <c r="Q388" s="10">
        <f>CHOOSE(CONTROL!$C$42, 12.2565, 12.2565) * CHOOSE(CONTROL!$C$21, $C$9, 100%, $E$9)</f>
        <v>12.256500000000001</v>
      </c>
      <c r="R388" s="10">
        <f>CHOOSE(CONTROL!$C$42, 12.8741, 12.8741) * CHOOSE(CONTROL!$C$21, $C$9, 100%, $E$9)</f>
        <v>12.8741</v>
      </c>
      <c r="S388" s="10">
        <f>CHOOSE(CONTROL!$C$42, 11.2215, 11.2215) * CHOOSE(CONTROL!$C$21, $C$9, 100%, $E$9)</f>
        <v>11.221500000000001</v>
      </c>
      <c r="T388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388" s="58">
        <f>(1000*CHOOSE(CONTROL!$C$42, 695, 695)*CHOOSE(CONTROL!$C$42, 0.5599, 0.5599)*CHOOSE(CONTROL!$C$42, 30, 30))/1000000</f>
        <v>11.673914999999997</v>
      </c>
      <c r="V388" s="58">
        <f>(1000*CHOOSE(CONTROL!$C$42, 500, 500)*CHOOSE(CONTROL!$C$42, 0.275, 0.275)*CHOOSE(CONTROL!$C$42, 30, 30))/1000000</f>
        <v>4.125</v>
      </c>
      <c r="W388" s="58">
        <f>(1000*CHOOSE(CONTROL!$C$42, 0.1146, 0.1146)*CHOOSE(CONTROL!$C$42, 121.5, 121.5)*CHOOSE(CONTROL!$C$42, 30, 30))/1000000</f>
        <v>0.417717</v>
      </c>
      <c r="X388" s="58">
        <f>(30*0.1790888*245000/1000000)+(30*0.2374*100000/1000000)</f>
        <v>2.0285026799999999</v>
      </c>
      <c r="Y388" s="58"/>
      <c r="Z388" s="10"/>
      <c r="AA388" s="57"/>
      <c r="AB388" s="51">
        <f>(B388*141.293+C388*267.993+D388*115.016+E388*89.698+F388*40+G388*185+H388*0+I388*100+J388*300)/(141.293+267.993+115.016+89.698+0+40+185+100+300)</f>
        <v>11.586739766182406</v>
      </c>
      <c r="AC388" s="27">
        <f>(M388*'RAP TEMPLATE-GAS AVAILABILITY'!O387+N388*'RAP TEMPLATE-GAS AVAILABILITY'!P387+O388*'RAP TEMPLATE-GAS AVAILABILITY'!Q387+P388*'RAP TEMPLATE-GAS AVAILABILITY'!R387)/('RAP TEMPLATE-GAS AVAILABILITY'!O387+'RAP TEMPLATE-GAS AVAILABILITY'!P387+'RAP TEMPLATE-GAS AVAILABILITY'!Q387+'RAP TEMPLATE-GAS AVAILABILITY'!R387)</f>
        <v>11.503715107913669</v>
      </c>
    </row>
    <row r="389" spans="1:29" ht="15.75" x14ac:dyDescent="0.25">
      <c r="A389" s="14">
        <v>53113</v>
      </c>
      <c r="B389" s="10">
        <f>CHOOSE(CONTROL!$C$42, 11.6622, 11.6622) * CHOOSE(CONTROL!$C$21, $C$9, 100%, $E$9)</f>
        <v>11.6622</v>
      </c>
      <c r="C389" s="10">
        <f>CHOOSE(CONTROL!$C$42, 11.6701, 11.6701) * CHOOSE(CONTROL!$C$21, $C$9, 100%, $E$9)</f>
        <v>11.6701</v>
      </c>
      <c r="D389" s="10">
        <f>CHOOSE(CONTROL!$C$42, 11.8487, 11.8487) * CHOOSE(CONTROL!$C$21, $C$9, 100%, $E$9)</f>
        <v>11.848699999999999</v>
      </c>
      <c r="E389" s="10">
        <f>CHOOSE(CONTROL!$C$42, 11.8798, 11.8798) * CHOOSE(CONTROL!$C$21, $C$9, 100%, $E$9)</f>
        <v>11.879799999999999</v>
      </c>
      <c r="F389" s="10">
        <f>CHOOSE(CONTROL!$C$42, 11.6484, 11.6484)*CHOOSE(CONTROL!$C$21, $C$9, 100%, $E$9)</f>
        <v>11.648400000000001</v>
      </c>
      <c r="G389" s="10">
        <f>CHOOSE(CONTROL!$C$42, 11.6666, 11.6666)*CHOOSE(CONTROL!$C$21, $C$9, 100%, $E$9)</f>
        <v>11.666600000000001</v>
      </c>
      <c r="H389" s="10">
        <f>CHOOSE(CONTROL!$C$42, 11.8684, 11.8684) * CHOOSE(CONTROL!$C$21, $C$9, 100%, $E$9)</f>
        <v>11.868399999999999</v>
      </c>
      <c r="I389" s="10">
        <f>CHOOSE(CONTROL!$C$42, 11.6391, 11.6391)* CHOOSE(CONTROL!$C$21, $C$9, 100%, $E$9)</f>
        <v>11.639099999999999</v>
      </c>
      <c r="J389" s="10">
        <f>CHOOSE(CONTROL!$C$42, 11.6414, 11.6414)* CHOOSE(CONTROL!$C$21, $C$9, 100%, $E$9)</f>
        <v>11.641400000000001</v>
      </c>
      <c r="K389" s="54">
        <f>CHOOSE(CONTROL!$C$42, 11.6352, 11.6352) * CHOOSE(CONTROL!$C$21, $C$9, 100%, $E$9)</f>
        <v>11.635199999999999</v>
      </c>
      <c r="L389" s="10">
        <f>CHOOSE(CONTROL!$C$42, 12.4554, 12.4554) * CHOOSE(CONTROL!$C$21, $C$9, 100%, $E$9)</f>
        <v>12.455399999999999</v>
      </c>
      <c r="M389" s="10">
        <f>CHOOSE(CONTROL!$C$42, 11.5378, 11.5378) * CHOOSE(CONTROL!$C$21, $C$9, 100%, $E$9)</f>
        <v>11.537800000000001</v>
      </c>
      <c r="N389" s="10">
        <f>CHOOSE(CONTROL!$C$42, 11.5557, 11.5557) * CHOOSE(CONTROL!$C$21, $C$9, 100%, $E$9)</f>
        <v>11.5557</v>
      </c>
      <c r="O389" s="10">
        <f>CHOOSE(CONTROL!$C$42, 11.7625, 11.7625) * CHOOSE(CONTROL!$C$21, $C$9, 100%, $E$9)</f>
        <v>11.762499999999999</v>
      </c>
      <c r="P389" s="10">
        <f>CHOOSE(CONTROL!$C$42, 11.5355, 11.5355) * CHOOSE(CONTROL!$C$21, $C$9, 100%, $E$9)</f>
        <v>11.535500000000001</v>
      </c>
      <c r="Q389" s="10">
        <f>CHOOSE(CONTROL!$C$42, 12.3578, 12.3578) * CHOOSE(CONTROL!$C$21, $C$9, 100%, $E$9)</f>
        <v>12.357799999999999</v>
      </c>
      <c r="R389" s="10">
        <f>CHOOSE(CONTROL!$C$42, 12.9757, 12.9757) * CHOOSE(CONTROL!$C$21, $C$9, 100%, $E$9)</f>
        <v>12.9757</v>
      </c>
      <c r="S389" s="10">
        <f>CHOOSE(CONTROL!$C$42, 11.3209, 11.3209) * CHOOSE(CONTROL!$C$21, $C$9, 100%, $E$9)</f>
        <v>11.3209</v>
      </c>
      <c r="T389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389" s="58">
        <f>(1000*CHOOSE(CONTROL!$C$42, 695, 695)*CHOOSE(CONTROL!$C$42, 0.5599, 0.5599)*CHOOSE(CONTROL!$C$42, 31, 31))/1000000</f>
        <v>12.063045499999998</v>
      </c>
      <c r="V389" s="58">
        <f>(1000*CHOOSE(CONTROL!$C$42, 500, 500)*CHOOSE(CONTROL!$C$42, 0.275, 0.275)*CHOOSE(CONTROL!$C$42, 31, 31))/1000000</f>
        <v>4.2625000000000002</v>
      </c>
      <c r="W389" s="58">
        <f>(1000*CHOOSE(CONTROL!$C$42, 0.1146, 0.1146)*CHOOSE(CONTROL!$C$42, 121.5, 121.5)*CHOOSE(CONTROL!$C$42, 31, 31))/1000000</f>
        <v>0.43164089999999994</v>
      </c>
      <c r="X389" s="58">
        <f>(31*0.1790888*245000/1000000)+(31*0.2374*100000/1000000)</f>
        <v>2.0961194359999999</v>
      </c>
      <c r="Y389" s="58"/>
      <c r="Z389" s="10"/>
      <c r="AA389" s="57"/>
      <c r="AB389" s="51">
        <f>(B389*194.205+C389*267.466+D389*133.845+E389*53.484+F389*40+G389*185+H389*0+I389*100+J389*300)/(194.205+267.466+133.845+53.484+0+40+185+100+300)</f>
        <v>11.686081626609104</v>
      </c>
      <c r="AC389" s="27">
        <f>(M389*'RAP TEMPLATE-GAS AVAILABILITY'!O388+N389*'RAP TEMPLATE-GAS AVAILABILITY'!P388+O389*'RAP TEMPLATE-GAS AVAILABILITY'!Q388+P389*'RAP TEMPLATE-GAS AVAILABILITY'!R388)/('RAP TEMPLATE-GAS AVAILABILITY'!O388+'RAP TEMPLATE-GAS AVAILABILITY'!P388+'RAP TEMPLATE-GAS AVAILABILITY'!Q388+'RAP TEMPLATE-GAS AVAILABILITY'!R388)</f>
        <v>11.604635251798562</v>
      </c>
    </row>
    <row r="390" spans="1:29" ht="15.75" x14ac:dyDescent="0.25">
      <c r="A390" s="14">
        <v>53143</v>
      </c>
      <c r="B390" s="10">
        <f>CHOOSE(CONTROL!$C$42, 11.9929, 11.9929) * CHOOSE(CONTROL!$C$21, $C$9, 100%, $E$9)</f>
        <v>11.992900000000001</v>
      </c>
      <c r="C390" s="10">
        <f>CHOOSE(CONTROL!$C$42, 12.0008, 12.0008) * CHOOSE(CONTROL!$C$21, $C$9, 100%, $E$9)</f>
        <v>12.0008</v>
      </c>
      <c r="D390" s="10">
        <f>CHOOSE(CONTROL!$C$42, 12.1793, 12.1793) * CHOOSE(CONTROL!$C$21, $C$9, 100%, $E$9)</f>
        <v>12.1793</v>
      </c>
      <c r="E390" s="10">
        <f>CHOOSE(CONTROL!$C$42, 12.2105, 12.2105) * CHOOSE(CONTROL!$C$21, $C$9, 100%, $E$9)</f>
        <v>12.2105</v>
      </c>
      <c r="F390" s="10">
        <f>CHOOSE(CONTROL!$C$42, 11.9793, 11.9793)*CHOOSE(CONTROL!$C$21, $C$9, 100%, $E$9)</f>
        <v>11.9793</v>
      </c>
      <c r="G390" s="10">
        <f>CHOOSE(CONTROL!$C$42, 11.9976, 11.9976)*CHOOSE(CONTROL!$C$21, $C$9, 100%, $E$9)</f>
        <v>11.9976</v>
      </c>
      <c r="H390" s="10">
        <f>CHOOSE(CONTROL!$C$42, 12.1991, 12.1991) * CHOOSE(CONTROL!$C$21, $C$9, 100%, $E$9)</f>
        <v>12.1991</v>
      </c>
      <c r="I390" s="10">
        <f>CHOOSE(CONTROL!$C$42, 11.9698, 11.9698)* CHOOSE(CONTROL!$C$21, $C$9, 100%, $E$9)</f>
        <v>11.969799999999999</v>
      </c>
      <c r="J390" s="10">
        <f>CHOOSE(CONTROL!$C$42, 11.9723, 11.9723)* CHOOSE(CONTROL!$C$21, $C$9, 100%, $E$9)</f>
        <v>11.972300000000001</v>
      </c>
      <c r="K390" s="54">
        <f>CHOOSE(CONTROL!$C$42, 11.9659, 11.9659) * CHOOSE(CONTROL!$C$21, $C$9, 100%, $E$9)</f>
        <v>11.9659</v>
      </c>
      <c r="L390" s="10">
        <f>CHOOSE(CONTROL!$C$42, 12.7861, 12.7861) * CHOOSE(CONTROL!$C$21, $C$9, 100%, $E$9)</f>
        <v>12.786099999999999</v>
      </c>
      <c r="M390" s="10">
        <f>CHOOSE(CONTROL!$C$42, 11.8653, 11.8653) * CHOOSE(CONTROL!$C$21, $C$9, 100%, $E$9)</f>
        <v>11.8653</v>
      </c>
      <c r="N390" s="10">
        <f>CHOOSE(CONTROL!$C$42, 11.8834, 11.8834) * CHOOSE(CONTROL!$C$21, $C$9, 100%, $E$9)</f>
        <v>11.8834</v>
      </c>
      <c r="O390" s="10">
        <f>CHOOSE(CONTROL!$C$42, 12.0898, 12.0898) * CHOOSE(CONTROL!$C$21, $C$9, 100%, $E$9)</f>
        <v>12.0898</v>
      </c>
      <c r="P390" s="10">
        <f>CHOOSE(CONTROL!$C$42, 11.8628, 11.8628) * CHOOSE(CONTROL!$C$21, $C$9, 100%, $E$9)</f>
        <v>11.8628</v>
      </c>
      <c r="Q390" s="10">
        <f>CHOOSE(CONTROL!$C$42, 12.6851, 12.6851) * CHOOSE(CONTROL!$C$21, $C$9, 100%, $E$9)</f>
        <v>12.6851</v>
      </c>
      <c r="R390" s="10">
        <f>CHOOSE(CONTROL!$C$42, 13.3038, 13.3038) * CHOOSE(CONTROL!$C$21, $C$9, 100%, $E$9)</f>
        <v>13.303800000000001</v>
      </c>
      <c r="S390" s="10">
        <f>CHOOSE(CONTROL!$C$42, 11.642, 11.642) * CHOOSE(CONTROL!$C$21, $C$9, 100%, $E$9)</f>
        <v>11.641999999999999</v>
      </c>
      <c r="T390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390" s="58">
        <f>(1000*CHOOSE(CONTROL!$C$42, 695, 695)*CHOOSE(CONTROL!$C$42, 0.5599, 0.5599)*CHOOSE(CONTROL!$C$42, 30, 30))/1000000</f>
        <v>11.673914999999997</v>
      </c>
      <c r="V390" s="58">
        <f>(1000*CHOOSE(CONTROL!$C$42, 500, 500)*CHOOSE(CONTROL!$C$42, 0.275, 0.275)*CHOOSE(CONTROL!$C$42, 30, 30))/1000000</f>
        <v>4.125</v>
      </c>
      <c r="W390" s="58">
        <f>(1000*CHOOSE(CONTROL!$C$42, 0.1146, 0.1146)*CHOOSE(CONTROL!$C$42, 121.5, 121.5)*CHOOSE(CONTROL!$C$42, 30, 30))/1000000</f>
        <v>0.417717</v>
      </c>
      <c r="X390" s="58">
        <f>(30*0.1790888*245000/1000000)+(30*0.2374*100000/1000000)</f>
        <v>2.0285026799999999</v>
      </c>
      <c r="Y390" s="58"/>
      <c r="Z390" s="10"/>
      <c r="AA390" s="57"/>
      <c r="AB390" s="51">
        <f>(B390*194.205+C390*267.466+D390*133.845+E390*53.484+F390*40+G390*185+H390*0+I390*100+J390*300)/(194.205+267.466+133.845+53.484+0+40+185+100+300)</f>
        <v>12.016868059497646</v>
      </c>
      <c r="AC390" s="27">
        <f>(M390*'RAP TEMPLATE-GAS AVAILABILITY'!O389+N390*'RAP TEMPLATE-GAS AVAILABILITY'!P389+O390*'RAP TEMPLATE-GAS AVAILABILITY'!Q389+P390*'RAP TEMPLATE-GAS AVAILABILITY'!R389)/('RAP TEMPLATE-GAS AVAILABILITY'!O389+'RAP TEMPLATE-GAS AVAILABILITY'!P389+'RAP TEMPLATE-GAS AVAILABILITY'!Q389+'RAP TEMPLATE-GAS AVAILABILITY'!R389)</f>
        <v>11.932096402877699</v>
      </c>
    </row>
    <row r="391" spans="1:29" ht="15.75" x14ac:dyDescent="0.25">
      <c r="A391" s="14">
        <v>53174</v>
      </c>
      <c r="B391" s="10">
        <f>CHOOSE(CONTROL!$C$42, 11.7629, 11.7629) * CHOOSE(CONTROL!$C$21, $C$9, 100%, $E$9)</f>
        <v>11.7629</v>
      </c>
      <c r="C391" s="10">
        <f>CHOOSE(CONTROL!$C$42, 11.7708, 11.7708) * CHOOSE(CONTROL!$C$21, $C$9, 100%, $E$9)</f>
        <v>11.770799999999999</v>
      </c>
      <c r="D391" s="10">
        <f>CHOOSE(CONTROL!$C$42, 11.9494, 11.9494) * CHOOSE(CONTROL!$C$21, $C$9, 100%, $E$9)</f>
        <v>11.949400000000001</v>
      </c>
      <c r="E391" s="10">
        <f>CHOOSE(CONTROL!$C$42, 11.9805, 11.9805) * CHOOSE(CONTROL!$C$21, $C$9, 100%, $E$9)</f>
        <v>11.980499999999999</v>
      </c>
      <c r="F391" s="10">
        <f>CHOOSE(CONTROL!$C$42, 11.7496, 11.7496)*CHOOSE(CONTROL!$C$21, $C$9, 100%, $E$9)</f>
        <v>11.749599999999999</v>
      </c>
      <c r="G391" s="10">
        <f>CHOOSE(CONTROL!$C$42, 11.7679, 11.7679)*CHOOSE(CONTROL!$C$21, $C$9, 100%, $E$9)</f>
        <v>11.767899999999999</v>
      </c>
      <c r="H391" s="10">
        <f>CHOOSE(CONTROL!$C$42, 11.9691, 11.9691) * CHOOSE(CONTROL!$C$21, $C$9, 100%, $E$9)</f>
        <v>11.969099999999999</v>
      </c>
      <c r="I391" s="10">
        <f>CHOOSE(CONTROL!$C$42, 11.7398, 11.7398)* CHOOSE(CONTROL!$C$21, $C$9, 100%, $E$9)</f>
        <v>11.739800000000001</v>
      </c>
      <c r="J391" s="10">
        <f>CHOOSE(CONTROL!$C$42, 11.7426, 11.7426)* CHOOSE(CONTROL!$C$21, $C$9, 100%, $E$9)</f>
        <v>11.742599999999999</v>
      </c>
      <c r="K391" s="54">
        <f>CHOOSE(CONTROL!$C$42, 11.7359, 11.7359) * CHOOSE(CONTROL!$C$21, $C$9, 100%, $E$9)</f>
        <v>11.735900000000001</v>
      </c>
      <c r="L391" s="10">
        <f>CHOOSE(CONTROL!$C$42, 12.5561, 12.5561) * CHOOSE(CONTROL!$C$21, $C$9, 100%, $E$9)</f>
        <v>12.556100000000001</v>
      </c>
      <c r="M391" s="10">
        <f>CHOOSE(CONTROL!$C$42, 11.6379, 11.6379) * CHOOSE(CONTROL!$C$21, $C$9, 100%, $E$9)</f>
        <v>11.6379</v>
      </c>
      <c r="N391" s="10">
        <f>CHOOSE(CONTROL!$C$42, 11.6561, 11.6561) * CHOOSE(CONTROL!$C$21, $C$9, 100%, $E$9)</f>
        <v>11.6561</v>
      </c>
      <c r="O391" s="10">
        <f>CHOOSE(CONTROL!$C$42, 11.8622, 11.8622) * CHOOSE(CONTROL!$C$21, $C$9, 100%, $E$9)</f>
        <v>11.8622</v>
      </c>
      <c r="P391" s="10">
        <f>CHOOSE(CONTROL!$C$42, 11.6352, 11.6352) * CHOOSE(CONTROL!$C$21, $C$9, 100%, $E$9)</f>
        <v>11.635199999999999</v>
      </c>
      <c r="Q391" s="10">
        <f>CHOOSE(CONTROL!$C$42, 12.4575, 12.4575) * CHOOSE(CONTROL!$C$21, $C$9, 100%, $E$9)</f>
        <v>12.4575</v>
      </c>
      <c r="R391" s="10">
        <f>CHOOSE(CONTROL!$C$42, 13.0756, 13.0756) * CHOOSE(CONTROL!$C$21, $C$9, 100%, $E$9)</f>
        <v>13.0756</v>
      </c>
      <c r="S391" s="10">
        <f>CHOOSE(CONTROL!$C$42, 11.4187, 11.4187) * CHOOSE(CONTROL!$C$21, $C$9, 100%, $E$9)</f>
        <v>11.418699999999999</v>
      </c>
      <c r="T391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391" s="58">
        <f>(1000*CHOOSE(CONTROL!$C$42, 695, 695)*CHOOSE(CONTROL!$C$42, 0.5599, 0.5599)*CHOOSE(CONTROL!$C$42, 31, 31))/1000000</f>
        <v>12.063045499999998</v>
      </c>
      <c r="V391" s="58">
        <f>(1000*CHOOSE(CONTROL!$C$42, 500, 500)*CHOOSE(CONTROL!$C$42, 0.275, 0.275)*CHOOSE(CONTROL!$C$42, 31, 31))/1000000</f>
        <v>4.2625000000000002</v>
      </c>
      <c r="W391" s="58">
        <f>(1000*CHOOSE(CONTROL!$C$42, 0.1146, 0.1146)*CHOOSE(CONTROL!$C$42, 121.5, 121.5)*CHOOSE(CONTROL!$C$42, 31, 31))/1000000</f>
        <v>0.43164089999999994</v>
      </c>
      <c r="X391" s="58">
        <f>(31*0.1790888*245000/1000000)+(31*0.2374*100000/1000000)</f>
        <v>2.0961194359999999</v>
      </c>
      <c r="Y391" s="58"/>
      <c r="Z391" s="10"/>
      <c r="AA391" s="57"/>
      <c r="AB391" s="51">
        <f>(B391*194.205+C391*267.466+D391*133.845+E391*53.484+F391*40+G391*185+H391*0+I391*100+J391*300)/(194.205+267.466+133.845+53.484+0+40+185+100+300)</f>
        <v>11.787002191758242</v>
      </c>
      <c r="AC391" s="27">
        <f>(M391*'RAP TEMPLATE-GAS AVAILABILITY'!O390+N391*'RAP TEMPLATE-GAS AVAILABILITY'!P390+O391*'RAP TEMPLATE-GAS AVAILABILITY'!Q390+P391*'RAP TEMPLATE-GAS AVAILABILITY'!R390)/('RAP TEMPLATE-GAS AVAILABILITY'!O390+'RAP TEMPLATE-GAS AVAILABILITY'!P390+'RAP TEMPLATE-GAS AVAILABILITY'!Q390+'RAP TEMPLATE-GAS AVAILABILITY'!R390)</f>
        <v>11.704634532374101</v>
      </c>
    </row>
    <row r="392" spans="1:29" ht="15.75" x14ac:dyDescent="0.25">
      <c r="A392" s="14">
        <v>53205</v>
      </c>
      <c r="B392" s="10">
        <f>CHOOSE(CONTROL!$C$42, 11.1822, 11.1822) * CHOOSE(CONTROL!$C$21, $C$9, 100%, $E$9)</f>
        <v>11.1822</v>
      </c>
      <c r="C392" s="10">
        <f>CHOOSE(CONTROL!$C$42, 11.1901, 11.1901) * CHOOSE(CONTROL!$C$21, $C$9, 100%, $E$9)</f>
        <v>11.190099999999999</v>
      </c>
      <c r="D392" s="10">
        <f>CHOOSE(CONTROL!$C$42, 11.3686, 11.3686) * CHOOSE(CONTROL!$C$21, $C$9, 100%, $E$9)</f>
        <v>11.368600000000001</v>
      </c>
      <c r="E392" s="10">
        <f>CHOOSE(CONTROL!$C$42, 11.3997, 11.3997) * CHOOSE(CONTROL!$C$21, $C$9, 100%, $E$9)</f>
        <v>11.399699999999999</v>
      </c>
      <c r="F392" s="10">
        <f>CHOOSE(CONTROL!$C$42, 11.1688, 11.1688)*CHOOSE(CONTROL!$C$21, $C$9, 100%, $E$9)</f>
        <v>11.168799999999999</v>
      </c>
      <c r="G392" s="10">
        <f>CHOOSE(CONTROL!$C$42, 11.1871, 11.1871)*CHOOSE(CONTROL!$C$21, $C$9, 100%, $E$9)</f>
        <v>11.187099999999999</v>
      </c>
      <c r="H392" s="10">
        <f>CHOOSE(CONTROL!$C$42, 11.3884, 11.3884) * CHOOSE(CONTROL!$C$21, $C$9, 100%, $E$9)</f>
        <v>11.388400000000001</v>
      </c>
      <c r="I392" s="10">
        <f>CHOOSE(CONTROL!$C$42, 11.159, 11.159)* CHOOSE(CONTROL!$C$21, $C$9, 100%, $E$9)</f>
        <v>11.159000000000001</v>
      </c>
      <c r="J392" s="10">
        <f>CHOOSE(CONTROL!$C$42, 11.1618, 11.1618)* CHOOSE(CONTROL!$C$21, $C$9, 100%, $E$9)</f>
        <v>11.161799999999999</v>
      </c>
      <c r="K392" s="54">
        <f>CHOOSE(CONTROL!$C$42, 11.1551, 11.1551) * CHOOSE(CONTROL!$C$21, $C$9, 100%, $E$9)</f>
        <v>11.155099999999999</v>
      </c>
      <c r="L392" s="10">
        <f>CHOOSE(CONTROL!$C$42, 11.9754, 11.9754) * CHOOSE(CONTROL!$C$21, $C$9, 100%, $E$9)</f>
        <v>11.9754</v>
      </c>
      <c r="M392" s="10">
        <f>CHOOSE(CONTROL!$C$42, 11.063, 11.063) * CHOOSE(CONTROL!$C$21, $C$9, 100%, $E$9)</f>
        <v>11.063000000000001</v>
      </c>
      <c r="N392" s="10">
        <f>CHOOSE(CONTROL!$C$42, 11.0811, 11.0811) * CHOOSE(CONTROL!$C$21, $C$9, 100%, $E$9)</f>
        <v>11.081099999999999</v>
      </c>
      <c r="O392" s="10">
        <f>CHOOSE(CONTROL!$C$42, 11.2873, 11.2873) * CHOOSE(CONTROL!$C$21, $C$9, 100%, $E$9)</f>
        <v>11.2873</v>
      </c>
      <c r="P392" s="10">
        <f>CHOOSE(CONTROL!$C$42, 11.0603, 11.0603) * CHOOSE(CONTROL!$C$21, $C$9, 100%, $E$9)</f>
        <v>11.0603</v>
      </c>
      <c r="Q392" s="10">
        <f>CHOOSE(CONTROL!$C$42, 11.8826, 11.8826) * CHOOSE(CONTROL!$C$21, $C$9, 100%, $E$9)</f>
        <v>11.8826</v>
      </c>
      <c r="R392" s="10">
        <f>CHOOSE(CONTROL!$C$42, 12.4993, 12.4993) * CHOOSE(CONTROL!$C$21, $C$9, 100%, $E$9)</f>
        <v>12.4993</v>
      </c>
      <c r="S392" s="10">
        <f>CHOOSE(CONTROL!$C$42, 10.8547, 10.8547) * CHOOSE(CONTROL!$C$21, $C$9, 100%, $E$9)</f>
        <v>10.854699999999999</v>
      </c>
      <c r="T392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392" s="58">
        <f>(1000*CHOOSE(CONTROL!$C$42, 695, 695)*CHOOSE(CONTROL!$C$42, 0.5599, 0.5599)*CHOOSE(CONTROL!$C$42, 31, 31))/1000000</f>
        <v>12.063045499999998</v>
      </c>
      <c r="V392" s="58">
        <f>(1000*CHOOSE(CONTROL!$C$42, 500, 500)*CHOOSE(CONTROL!$C$42, 0.275, 0.275)*CHOOSE(CONTROL!$C$42, 31, 31))/1000000</f>
        <v>4.2625000000000002</v>
      </c>
      <c r="W392" s="58">
        <f>(1000*CHOOSE(CONTROL!$C$42, 0.1146, 0.1146)*CHOOSE(CONTROL!$C$42, 121.5, 121.5)*CHOOSE(CONTROL!$C$42, 31, 31))/1000000</f>
        <v>0.43164089999999994</v>
      </c>
      <c r="X392" s="58">
        <f>(31*0.1790888*245000/1000000)+(31*0.2374*100000/1000000)</f>
        <v>2.0961194359999999</v>
      </c>
      <c r="Y392" s="58"/>
      <c r="Z392" s="10"/>
      <c r="AA392" s="57"/>
      <c r="AB392" s="51">
        <f>(B392*194.205+C392*267.466+D392*133.845+E392*53.484+F392*40+G392*185+H392*0+I392*100+J392*300)/(194.205+267.466+133.845+53.484+0+40+185+100+300)</f>
        <v>11.20623842967033</v>
      </c>
      <c r="AC392" s="27">
        <f>(M392*'RAP TEMPLATE-GAS AVAILABILITY'!O391+N392*'RAP TEMPLATE-GAS AVAILABILITY'!P391+O392*'RAP TEMPLATE-GAS AVAILABILITY'!Q391+P392*'RAP TEMPLATE-GAS AVAILABILITY'!R391)/('RAP TEMPLATE-GAS AVAILABILITY'!O391+'RAP TEMPLATE-GAS AVAILABILITY'!P391+'RAP TEMPLATE-GAS AVAILABILITY'!Q391+'RAP TEMPLATE-GAS AVAILABILITY'!R391)</f>
        <v>11.129711510791367</v>
      </c>
    </row>
    <row r="393" spans="1:29" ht="15.75" x14ac:dyDescent="0.25">
      <c r="A393" s="14">
        <v>53235</v>
      </c>
      <c r="B393" s="10">
        <f>CHOOSE(CONTROL!$C$42, 10.4726, 10.4726) * CHOOSE(CONTROL!$C$21, $C$9, 100%, $E$9)</f>
        <v>10.4726</v>
      </c>
      <c r="C393" s="10">
        <f>CHOOSE(CONTROL!$C$42, 10.4805, 10.4805) * CHOOSE(CONTROL!$C$21, $C$9, 100%, $E$9)</f>
        <v>10.480499999999999</v>
      </c>
      <c r="D393" s="10">
        <f>CHOOSE(CONTROL!$C$42, 10.659, 10.659) * CHOOSE(CONTROL!$C$21, $C$9, 100%, $E$9)</f>
        <v>10.659000000000001</v>
      </c>
      <c r="E393" s="10">
        <f>CHOOSE(CONTROL!$C$42, 10.6902, 10.6902) * CHOOSE(CONTROL!$C$21, $C$9, 100%, $E$9)</f>
        <v>10.690200000000001</v>
      </c>
      <c r="F393" s="10">
        <f>CHOOSE(CONTROL!$C$42, 10.4589, 10.4589)*CHOOSE(CONTROL!$C$21, $C$9, 100%, $E$9)</f>
        <v>10.4589</v>
      </c>
      <c r="G393" s="10">
        <f>CHOOSE(CONTROL!$C$42, 10.4772, 10.4772)*CHOOSE(CONTROL!$C$21, $C$9, 100%, $E$9)</f>
        <v>10.4772</v>
      </c>
      <c r="H393" s="10">
        <f>CHOOSE(CONTROL!$C$42, 10.6788, 10.6788) * CHOOSE(CONTROL!$C$21, $C$9, 100%, $E$9)</f>
        <v>10.678800000000001</v>
      </c>
      <c r="I393" s="10">
        <f>CHOOSE(CONTROL!$C$42, 10.4494, 10.4494)* CHOOSE(CONTROL!$C$21, $C$9, 100%, $E$9)</f>
        <v>10.449400000000001</v>
      </c>
      <c r="J393" s="10">
        <f>CHOOSE(CONTROL!$C$42, 10.4519, 10.4519)* CHOOSE(CONTROL!$C$21, $C$9, 100%, $E$9)</f>
        <v>10.4519</v>
      </c>
      <c r="K393" s="54">
        <f>CHOOSE(CONTROL!$C$42, 10.4456, 10.4456) * CHOOSE(CONTROL!$C$21, $C$9, 100%, $E$9)</f>
        <v>10.445600000000001</v>
      </c>
      <c r="L393" s="10">
        <f>CHOOSE(CONTROL!$C$42, 11.2658, 11.2658) * CHOOSE(CONTROL!$C$21, $C$9, 100%, $E$9)</f>
        <v>11.2658</v>
      </c>
      <c r="M393" s="10">
        <f>CHOOSE(CONTROL!$C$42, 10.3603, 10.3603) * CHOOSE(CONTROL!$C$21, $C$9, 100%, $E$9)</f>
        <v>10.360300000000001</v>
      </c>
      <c r="N393" s="10">
        <f>CHOOSE(CONTROL!$C$42, 10.3783, 10.3783) * CHOOSE(CONTROL!$C$21, $C$9, 100%, $E$9)</f>
        <v>10.378299999999999</v>
      </c>
      <c r="O393" s="10">
        <f>CHOOSE(CONTROL!$C$42, 10.5849, 10.5849) * CHOOSE(CONTROL!$C$21, $C$9, 100%, $E$9)</f>
        <v>10.584899999999999</v>
      </c>
      <c r="P393" s="10">
        <f>CHOOSE(CONTROL!$C$42, 10.3579, 10.3579) * CHOOSE(CONTROL!$C$21, $C$9, 100%, $E$9)</f>
        <v>10.357900000000001</v>
      </c>
      <c r="Q393" s="10">
        <f>CHOOSE(CONTROL!$C$42, 11.1802, 11.1802) * CHOOSE(CONTROL!$C$21, $C$9, 100%, $E$9)</f>
        <v>11.180199999999999</v>
      </c>
      <c r="R393" s="10">
        <f>CHOOSE(CONTROL!$C$42, 11.7951, 11.7951) * CHOOSE(CONTROL!$C$21, $C$9, 100%, $E$9)</f>
        <v>11.7951</v>
      </c>
      <c r="S393" s="10">
        <f>CHOOSE(CONTROL!$C$42, 10.1657, 10.1657) * CHOOSE(CONTROL!$C$21, $C$9, 100%, $E$9)</f>
        <v>10.165699999999999</v>
      </c>
      <c r="T393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393" s="58">
        <f>(1000*CHOOSE(CONTROL!$C$42, 695, 695)*CHOOSE(CONTROL!$C$42, 0.5599, 0.5599)*CHOOSE(CONTROL!$C$42, 30, 30))/1000000</f>
        <v>11.673914999999997</v>
      </c>
      <c r="V393" s="58">
        <f>(1000*CHOOSE(CONTROL!$C$42, 500, 500)*CHOOSE(CONTROL!$C$42, 0.275, 0.275)*CHOOSE(CONTROL!$C$42, 30, 30))/1000000</f>
        <v>4.125</v>
      </c>
      <c r="W393" s="58">
        <f>(1000*CHOOSE(CONTROL!$C$42, 0.1146, 0.1146)*CHOOSE(CONTROL!$C$42, 121.5, 121.5)*CHOOSE(CONTROL!$C$42, 30, 30))/1000000</f>
        <v>0.417717</v>
      </c>
      <c r="X393" s="58">
        <f>(30*0.1790888*245000/1000000)+(30*0.2374*100000/1000000)</f>
        <v>2.0285026799999999</v>
      </c>
      <c r="Y393" s="58"/>
      <c r="Z393" s="10"/>
      <c r="AA393" s="57"/>
      <c r="AB393" s="51">
        <f>(B393*194.205+C393*267.466+D393*133.845+E393*53.484+F393*40+G393*185+H393*0+I393*100+J393*300)/(194.205+267.466+133.845+53.484+0+40+185+100+300)</f>
        <v>10.496519001412871</v>
      </c>
      <c r="AC393" s="27">
        <f>(M393*'RAP TEMPLATE-GAS AVAILABILITY'!O392+N393*'RAP TEMPLATE-GAS AVAILABILITY'!P392+O393*'RAP TEMPLATE-GAS AVAILABILITY'!Q392+P393*'RAP TEMPLATE-GAS AVAILABILITY'!R392)/('RAP TEMPLATE-GAS AVAILABILITY'!O392+'RAP TEMPLATE-GAS AVAILABILITY'!P392+'RAP TEMPLATE-GAS AVAILABILITY'!Q392+'RAP TEMPLATE-GAS AVAILABILITY'!R392)</f>
        <v>10.427115827338129</v>
      </c>
    </row>
    <row r="394" spans="1:29" ht="15.75" x14ac:dyDescent="0.25">
      <c r="A394" s="14">
        <v>53266</v>
      </c>
      <c r="B394" s="10">
        <f>CHOOSE(CONTROL!$C$42, 10.2579, 10.2579) * CHOOSE(CONTROL!$C$21, $C$9, 100%, $E$9)</f>
        <v>10.257899999999999</v>
      </c>
      <c r="C394" s="10">
        <f>CHOOSE(CONTROL!$C$42, 10.2631, 10.2631) * CHOOSE(CONTROL!$C$21, $C$9, 100%, $E$9)</f>
        <v>10.2631</v>
      </c>
      <c r="D394" s="10">
        <f>CHOOSE(CONTROL!$C$42, 10.4466, 10.4466) * CHOOSE(CONTROL!$C$21, $C$9, 100%, $E$9)</f>
        <v>10.4466</v>
      </c>
      <c r="E394" s="10">
        <f>CHOOSE(CONTROL!$C$42, 10.4754, 10.4754) * CHOOSE(CONTROL!$C$21, $C$9, 100%, $E$9)</f>
        <v>10.4754</v>
      </c>
      <c r="F394" s="10">
        <f>CHOOSE(CONTROL!$C$42, 10.2462, 10.2462)*CHOOSE(CONTROL!$C$21, $C$9, 100%, $E$9)</f>
        <v>10.2462</v>
      </c>
      <c r="G394" s="10">
        <f>CHOOSE(CONTROL!$C$42, 10.2641, 10.2641)*CHOOSE(CONTROL!$C$21, $C$9, 100%, $E$9)</f>
        <v>10.264099999999999</v>
      </c>
      <c r="H394" s="10">
        <f>CHOOSE(CONTROL!$C$42, 10.4659, 10.4659) * CHOOSE(CONTROL!$C$21, $C$9, 100%, $E$9)</f>
        <v>10.4659</v>
      </c>
      <c r="I394" s="10">
        <f>CHOOSE(CONTROL!$C$42, 10.2365, 10.2365)* CHOOSE(CONTROL!$C$21, $C$9, 100%, $E$9)</f>
        <v>10.236499999999999</v>
      </c>
      <c r="J394" s="10">
        <f>CHOOSE(CONTROL!$C$42, 10.2392, 10.2392)* CHOOSE(CONTROL!$C$21, $C$9, 100%, $E$9)</f>
        <v>10.2392</v>
      </c>
      <c r="K394" s="54">
        <f>CHOOSE(CONTROL!$C$42, 10.2326, 10.2326) * CHOOSE(CONTROL!$C$21, $C$9, 100%, $E$9)</f>
        <v>10.2326</v>
      </c>
      <c r="L394" s="10">
        <f>CHOOSE(CONTROL!$C$42, 11.0529, 11.0529) * CHOOSE(CONTROL!$C$21, $C$9, 100%, $E$9)</f>
        <v>11.052899999999999</v>
      </c>
      <c r="M394" s="10">
        <f>CHOOSE(CONTROL!$C$42, 10.1497, 10.1497) * CHOOSE(CONTROL!$C$21, $C$9, 100%, $E$9)</f>
        <v>10.149699999999999</v>
      </c>
      <c r="N394" s="10">
        <f>CHOOSE(CONTROL!$C$42, 10.1674, 10.1674) * CHOOSE(CONTROL!$C$21, $C$9, 100%, $E$9)</f>
        <v>10.167400000000001</v>
      </c>
      <c r="O394" s="10">
        <f>CHOOSE(CONTROL!$C$42, 10.3741, 10.3741) * CHOOSE(CONTROL!$C$21, $C$9, 100%, $E$9)</f>
        <v>10.3741</v>
      </c>
      <c r="P394" s="10">
        <f>CHOOSE(CONTROL!$C$42, 10.1471, 10.1471) * CHOOSE(CONTROL!$C$21, $C$9, 100%, $E$9)</f>
        <v>10.1471</v>
      </c>
      <c r="Q394" s="10">
        <f>CHOOSE(CONTROL!$C$42, 10.9694, 10.9694) * CHOOSE(CONTROL!$C$21, $C$9, 100%, $E$9)</f>
        <v>10.9694</v>
      </c>
      <c r="R394" s="10">
        <f>CHOOSE(CONTROL!$C$42, 11.5838, 11.5838) * CHOOSE(CONTROL!$C$21, $C$9, 100%, $E$9)</f>
        <v>11.5838</v>
      </c>
      <c r="S394" s="10">
        <f>CHOOSE(CONTROL!$C$42, 9.9589, 9.9589) * CHOOSE(CONTROL!$C$21, $C$9, 100%, $E$9)</f>
        <v>9.9588999999999999</v>
      </c>
      <c r="T394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94" s="58">
        <f>(1000*CHOOSE(CONTROL!$C$42, 695, 695)*CHOOSE(CONTROL!$C$42, 0.5599, 0.5599)*CHOOSE(CONTROL!$C$42, 31, 31))/1000000</f>
        <v>12.063045499999998</v>
      </c>
      <c r="V394" s="58">
        <f>(1000*CHOOSE(CONTROL!$C$42, 500, 500)*CHOOSE(CONTROL!$C$42, 0.275, 0.275)*CHOOSE(CONTROL!$C$42, 31, 31))/1000000</f>
        <v>4.2625000000000002</v>
      </c>
      <c r="W394" s="58">
        <f>(1000*CHOOSE(CONTROL!$C$42, 0.1146, 0.1146)*CHOOSE(CONTROL!$C$42, 121.5, 121.5)*CHOOSE(CONTROL!$C$42, 31, 31))/1000000</f>
        <v>0.43164089999999994</v>
      </c>
      <c r="X394" s="58">
        <f>(31*0.1790888*245000/1000000)+(31*0.2374*100000/1000000)</f>
        <v>2.0961194359999999</v>
      </c>
      <c r="Y394" s="58"/>
      <c r="Z394" s="10"/>
      <c r="AA394" s="57"/>
      <c r="AB394" s="51">
        <f>(B394*131.881+C394*277.167+D394*79.08+E394*125.872+F394*40+G394*185+H394*0+I394*100+J394*300)/(131.881+277.167+79.08+125.872+0+40+185+100+300)</f>
        <v>10.287496307021792</v>
      </c>
      <c r="AC394" s="27">
        <f>(M394*'RAP TEMPLATE-GAS AVAILABILITY'!O393+N394*'RAP TEMPLATE-GAS AVAILABILITY'!P393+O394*'RAP TEMPLATE-GAS AVAILABILITY'!Q393+P394*'RAP TEMPLATE-GAS AVAILABILITY'!R393)/('RAP TEMPLATE-GAS AVAILABILITY'!O393+'RAP TEMPLATE-GAS AVAILABILITY'!P393+'RAP TEMPLATE-GAS AVAILABILITY'!Q393+'RAP TEMPLATE-GAS AVAILABILITY'!R393)</f>
        <v>10.216361870503597</v>
      </c>
    </row>
    <row r="395" spans="1:29" ht="15.75" x14ac:dyDescent="0.25">
      <c r="A395" s="14">
        <v>53296</v>
      </c>
      <c r="B395" s="10">
        <f>CHOOSE(CONTROL!$C$42, 10.5276, 10.5276) * CHOOSE(CONTROL!$C$21, $C$9, 100%, $E$9)</f>
        <v>10.5276</v>
      </c>
      <c r="C395" s="10">
        <f>CHOOSE(CONTROL!$C$42, 10.5326, 10.5326) * CHOOSE(CONTROL!$C$21, $C$9, 100%, $E$9)</f>
        <v>10.5326</v>
      </c>
      <c r="D395" s="10">
        <f>CHOOSE(CONTROL!$C$42, 10.5622, 10.5622) * CHOOSE(CONTROL!$C$21, $C$9, 100%, $E$9)</f>
        <v>10.562200000000001</v>
      </c>
      <c r="E395" s="10">
        <f>CHOOSE(CONTROL!$C$42, 10.596, 10.596) * CHOOSE(CONTROL!$C$21, $C$9, 100%, $E$9)</f>
        <v>10.596</v>
      </c>
      <c r="F395" s="10">
        <f>CHOOSE(CONTROL!$C$42, 10.5134, 10.5134)*CHOOSE(CONTROL!$C$21, $C$9, 100%, $E$9)</f>
        <v>10.513400000000001</v>
      </c>
      <c r="G395" s="10">
        <f>CHOOSE(CONTROL!$C$42, 10.5314, 10.5314)*CHOOSE(CONTROL!$C$21, $C$9, 100%, $E$9)</f>
        <v>10.5314</v>
      </c>
      <c r="H395" s="10">
        <f>CHOOSE(CONTROL!$C$42, 10.5852, 10.5852) * CHOOSE(CONTROL!$C$21, $C$9, 100%, $E$9)</f>
        <v>10.5852</v>
      </c>
      <c r="I395" s="10">
        <f>CHOOSE(CONTROL!$C$42, 10.4938, 10.4938)* CHOOSE(CONTROL!$C$21, $C$9, 100%, $E$9)</f>
        <v>10.4938</v>
      </c>
      <c r="J395" s="10">
        <f>CHOOSE(CONTROL!$C$42, 10.5064, 10.5064)* CHOOSE(CONTROL!$C$21, $C$9, 100%, $E$9)</f>
        <v>10.506399999999999</v>
      </c>
      <c r="K395" s="54">
        <f>CHOOSE(CONTROL!$C$42, 10.4899, 10.4899) * CHOOSE(CONTROL!$C$21, $C$9, 100%, $E$9)</f>
        <v>10.4899</v>
      </c>
      <c r="L395" s="10">
        <f>CHOOSE(CONTROL!$C$42, 11.1722, 11.1722) * CHOOSE(CONTROL!$C$21, $C$9, 100%, $E$9)</f>
        <v>11.1722</v>
      </c>
      <c r="M395" s="10">
        <f>CHOOSE(CONTROL!$C$42, 10.4142, 10.4142) * CHOOSE(CONTROL!$C$21, $C$9, 100%, $E$9)</f>
        <v>10.414199999999999</v>
      </c>
      <c r="N395" s="10">
        <f>CHOOSE(CONTROL!$C$42, 10.4321, 10.4321) * CHOOSE(CONTROL!$C$21, $C$9, 100%, $E$9)</f>
        <v>10.4321</v>
      </c>
      <c r="O395" s="10">
        <f>CHOOSE(CONTROL!$C$42, 10.4922, 10.4922) * CHOOSE(CONTROL!$C$21, $C$9, 100%, $E$9)</f>
        <v>10.4922</v>
      </c>
      <c r="P395" s="10">
        <f>CHOOSE(CONTROL!$C$42, 10.4018, 10.4018) * CHOOSE(CONTROL!$C$21, $C$9, 100%, $E$9)</f>
        <v>10.4018</v>
      </c>
      <c r="Q395" s="10">
        <f>CHOOSE(CONTROL!$C$42, 11.0875, 11.0875) * CHOOSE(CONTROL!$C$21, $C$9, 100%, $E$9)</f>
        <v>11.0875</v>
      </c>
      <c r="R395" s="10">
        <f>CHOOSE(CONTROL!$C$42, 11.7022, 11.7022) * CHOOSE(CONTROL!$C$21, $C$9, 100%, $E$9)</f>
        <v>11.702199999999999</v>
      </c>
      <c r="S395" s="10">
        <f>CHOOSE(CONTROL!$C$42, 10.2213, 10.2213) * CHOOSE(CONTROL!$C$21, $C$9, 100%, $E$9)</f>
        <v>10.221299999999999</v>
      </c>
      <c r="T395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95" s="58">
        <f>(1000*CHOOSE(CONTROL!$C$42, 695, 695)*CHOOSE(CONTROL!$C$42, 0.5599, 0.5599)*CHOOSE(CONTROL!$C$42, 30, 30))/1000000</f>
        <v>11.673914999999997</v>
      </c>
      <c r="V395" s="58">
        <f>(1000*CHOOSE(CONTROL!$C$42, 500, 500)*CHOOSE(CONTROL!$C$42, 0.275, 0.275)*CHOOSE(CONTROL!$C$42, 30, 30))/1000000</f>
        <v>4.125</v>
      </c>
      <c r="W395" s="58">
        <f>(1000*CHOOSE(CONTROL!$C$42, 0.1146, 0.1146)*CHOOSE(CONTROL!$C$42, 121.5, 121.5)*CHOOSE(CONTROL!$C$42, 30, 30))/1000000</f>
        <v>0.417717</v>
      </c>
      <c r="X395" s="58">
        <f>(30*0.1790888*100000/1000000)+(30*0.2374*100000/1000000)</f>
        <v>1.2494664</v>
      </c>
      <c r="Y395" s="58"/>
      <c r="Z395" s="10"/>
      <c r="AA395" s="57"/>
      <c r="AB395" s="51">
        <f>(B395*122.58+C395*297.941+D395*89.177+E395*40.302+F395*40+G395*160+H395*0+I395*100+J395*300)/(122.58+297.941+89.177+40.302+0+40+160+100+300)</f>
        <v>10.525540770434782</v>
      </c>
      <c r="AC395" s="27">
        <f>(M395*'RAP TEMPLATE-GAS AVAILABILITY'!O394+N395*'RAP TEMPLATE-GAS AVAILABILITY'!P394+O395*'RAP TEMPLATE-GAS AVAILABILITY'!Q394+P395*'RAP TEMPLATE-GAS AVAILABILITY'!R394)/('RAP TEMPLATE-GAS AVAILABILITY'!O394+'RAP TEMPLATE-GAS AVAILABILITY'!P394+'RAP TEMPLATE-GAS AVAILABILITY'!Q394+'RAP TEMPLATE-GAS AVAILABILITY'!R394)</f>
        <v>10.448798561151081</v>
      </c>
    </row>
    <row r="396" spans="1:29" ht="15.75" x14ac:dyDescent="0.25">
      <c r="A396" s="14">
        <v>53327</v>
      </c>
      <c r="B396" s="10">
        <f>CHOOSE(CONTROL!$C$42, 11.2452, 11.2452) * CHOOSE(CONTROL!$C$21, $C$9, 100%, $E$9)</f>
        <v>11.245200000000001</v>
      </c>
      <c r="C396" s="10">
        <f>CHOOSE(CONTROL!$C$42, 11.2502, 11.2502) * CHOOSE(CONTROL!$C$21, $C$9, 100%, $E$9)</f>
        <v>11.2502</v>
      </c>
      <c r="D396" s="10">
        <f>CHOOSE(CONTROL!$C$42, 11.2798, 11.2798) * CHOOSE(CONTROL!$C$21, $C$9, 100%, $E$9)</f>
        <v>11.2798</v>
      </c>
      <c r="E396" s="10">
        <f>CHOOSE(CONTROL!$C$42, 11.3135, 11.3135) * CHOOSE(CONTROL!$C$21, $C$9, 100%, $E$9)</f>
        <v>11.313499999999999</v>
      </c>
      <c r="F396" s="10">
        <f>CHOOSE(CONTROL!$C$42, 11.2325, 11.2325)*CHOOSE(CONTROL!$C$21, $C$9, 100%, $E$9)</f>
        <v>11.2325</v>
      </c>
      <c r="G396" s="10">
        <f>CHOOSE(CONTROL!$C$42, 11.251, 11.251)*CHOOSE(CONTROL!$C$21, $C$9, 100%, $E$9)</f>
        <v>11.250999999999999</v>
      </c>
      <c r="H396" s="10">
        <f>CHOOSE(CONTROL!$C$42, 11.3027, 11.3027) * CHOOSE(CONTROL!$C$21, $C$9, 100%, $E$9)</f>
        <v>11.3027</v>
      </c>
      <c r="I396" s="10">
        <f>CHOOSE(CONTROL!$C$42, 11.2114, 11.2114)* CHOOSE(CONTROL!$C$21, $C$9, 100%, $E$9)</f>
        <v>11.211399999999999</v>
      </c>
      <c r="J396" s="10">
        <f>CHOOSE(CONTROL!$C$42, 11.2255, 11.2255)* CHOOSE(CONTROL!$C$21, $C$9, 100%, $E$9)</f>
        <v>11.2255</v>
      </c>
      <c r="K396" s="54">
        <f>CHOOSE(CONTROL!$C$42, 11.2075, 11.2075) * CHOOSE(CONTROL!$C$21, $C$9, 100%, $E$9)</f>
        <v>11.2075</v>
      </c>
      <c r="L396" s="10">
        <f>CHOOSE(CONTROL!$C$42, 11.8897, 11.8897) * CHOOSE(CONTROL!$C$21, $C$9, 100%, $E$9)</f>
        <v>11.889699999999999</v>
      </c>
      <c r="M396" s="10">
        <f>CHOOSE(CONTROL!$C$42, 11.126, 11.126) * CHOOSE(CONTROL!$C$21, $C$9, 100%, $E$9)</f>
        <v>11.125999999999999</v>
      </c>
      <c r="N396" s="10">
        <f>CHOOSE(CONTROL!$C$42, 11.1443, 11.1443) * CHOOSE(CONTROL!$C$21, $C$9, 100%, $E$9)</f>
        <v>11.144299999999999</v>
      </c>
      <c r="O396" s="10">
        <f>CHOOSE(CONTROL!$C$42, 11.2025, 11.2025) * CHOOSE(CONTROL!$C$21, $C$9, 100%, $E$9)</f>
        <v>11.202500000000001</v>
      </c>
      <c r="P396" s="10">
        <f>CHOOSE(CONTROL!$C$42, 11.1121, 11.1121) * CHOOSE(CONTROL!$C$21, $C$9, 100%, $E$9)</f>
        <v>11.1121</v>
      </c>
      <c r="Q396" s="10">
        <f>CHOOSE(CONTROL!$C$42, 11.7978, 11.7978) * CHOOSE(CONTROL!$C$21, $C$9, 100%, $E$9)</f>
        <v>11.797800000000001</v>
      </c>
      <c r="R396" s="10">
        <f>CHOOSE(CONTROL!$C$42, 12.4143, 12.4143) * CHOOSE(CONTROL!$C$21, $C$9, 100%, $E$9)</f>
        <v>12.414300000000001</v>
      </c>
      <c r="S396" s="10">
        <f>CHOOSE(CONTROL!$C$42, 10.9181, 10.9181) * CHOOSE(CONTROL!$C$21, $C$9, 100%, $E$9)</f>
        <v>10.918100000000001</v>
      </c>
      <c r="T396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96" s="58">
        <f>(1000*CHOOSE(CONTROL!$C$42, 695, 695)*CHOOSE(CONTROL!$C$42, 0.5599, 0.5599)*CHOOSE(CONTROL!$C$42, 31, 31))/1000000</f>
        <v>12.063045499999998</v>
      </c>
      <c r="V396" s="58">
        <f>(1000*CHOOSE(CONTROL!$C$42, 500, 500)*CHOOSE(CONTROL!$C$42, 0.275, 0.275)*CHOOSE(CONTROL!$C$42, 31, 31))/1000000</f>
        <v>4.2625000000000002</v>
      </c>
      <c r="W396" s="58">
        <f>(1000*CHOOSE(CONTROL!$C$42, 0.1146, 0.1146)*CHOOSE(CONTROL!$C$42, 121.5, 121.5)*CHOOSE(CONTROL!$C$42, 31, 31))/1000000</f>
        <v>0.43164089999999994</v>
      </c>
      <c r="X396" s="58">
        <f>(31*0.1790888*100000/1000000)+(31*0.2374*100000/1000000)</f>
        <v>1.2911152800000001</v>
      </c>
      <c r="Y396" s="58"/>
      <c r="Z396" s="10"/>
      <c r="AA396" s="57"/>
      <c r="AB396" s="51">
        <f>(B396*122.58+C396*297.941+D396*89.177+E396*40.302+F396*40+G396*160+H396*0+I396*100+J396*300)/(122.58+297.941+89.177+40.302+0+40+160+100+300)</f>
        <v>11.243859005043475</v>
      </c>
      <c r="AC396" s="27">
        <f>(M396*'RAP TEMPLATE-GAS AVAILABILITY'!O395+N396*'RAP TEMPLATE-GAS AVAILABILITY'!P395+O396*'RAP TEMPLATE-GAS AVAILABILITY'!Q395+P396*'RAP TEMPLATE-GAS AVAILABILITY'!R395)/('RAP TEMPLATE-GAS AVAILABILITY'!O395+'RAP TEMPLATE-GAS AVAILABILITY'!P395+'RAP TEMPLATE-GAS AVAILABILITY'!Q395+'RAP TEMPLATE-GAS AVAILABILITY'!R395)</f>
        <v>11.159725899280575</v>
      </c>
    </row>
    <row r="397" spans="1:29" ht="15.75" x14ac:dyDescent="0.25">
      <c r="A397" s="14">
        <v>53358</v>
      </c>
      <c r="B397" s="10">
        <f>CHOOSE(CONTROL!$C$42, 12.004, 12.004) * CHOOSE(CONTROL!$C$21, $C$9, 100%, $E$9)</f>
        <v>12.004</v>
      </c>
      <c r="C397" s="10">
        <f>CHOOSE(CONTROL!$C$42, 12.0089, 12.0089) * CHOOSE(CONTROL!$C$21, $C$9, 100%, $E$9)</f>
        <v>12.008900000000001</v>
      </c>
      <c r="D397" s="10">
        <f>CHOOSE(CONTROL!$C$42, 12.0591, 12.0591) * CHOOSE(CONTROL!$C$21, $C$9, 100%, $E$9)</f>
        <v>12.059100000000001</v>
      </c>
      <c r="E397" s="10">
        <f>CHOOSE(CONTROL!$C$42, 12.0929, 12.0929) * CHOOSE(CONTROL!$C$21, $C$9, 100%, $E$9)</f>
        <v>12.0929</v>
      </c>
      <c r="F397" s="10">
        <f>CHOOSE(CONTROL!$C$42, 11.9694, 11.9694)*CHOOSE(CONTROL!$C$21, $C$9, 100%, $E$9)</f>
        <v>11.9694</v>
      </c>
      <c r="G397" s="10">
        <f>CHOOSE(CONTROL!$C$42, 11.9869, 11.9869)*CHOOSE(CONTROL!$C$21, $C$9, 100%, $E$9)</f>
        <v>11.9869</v>
      </c>
      <c r="H397" s="10">
        <f>CHOOSE(CONTROL!$C$42, 12.0821, 12.0821) * CHOOSE(CONTROL!$C$21, $C$9, 100%, $E$9)</f>
        <v>12.082100000000001</v>
      </c>
      <c r="I397" s="10">
        <f>CHOOSE(CONTROL!$C$42, 11.9779, 11.9779)* CHOOSE(CONTROL!$C$21, $C$9, 100%, $E$9)</f>
        <v>11.9779</v>
      </c>
      <c r="J397" s="10">
        <f>CHOOSE(CONTROL!$C$42, 11.9624, 11.9624)* CHOOSE(CONTROL!$C$21, $C$9, 100%, $E$9)</f>
        <v>11.962400000000001</v>
      </c>
      <c r="K397" s="54">
        <f>CHOOSE(CONTROL!$C$42, 11.974, 11.974) * CHOOSE(CONTROL!$C$21, $C$9, 100%, $E$9)</f>
        <v>11.974</v>
      </c>
      <c r="L397" s="10">
        <f>CHOOSE(CONTROL!$C$42, 12.6691, 12.6691) * CHOOSE(CONTROL!$C$21, $C$9, 100%, $E$9)</f>
        <v>12.6691</v>
      </c>
      <c r="M397" s="10">
        <f>CHOOSE(CONTROL!$C$42, 11.8555, 11.8555) * CHOOSE(CONTROL!$C$21, $C$9, 100%, $E$9)</f>
        <v>11.855499999999999</v>
      </c>
      <c r="N397" s="10">
        <f>CHOOSE(CONTROL!$C$42, 11.8728, 11.8728) * CHOOSE(CONTROL!$C$21, $C$9, 100%, $E$9)</f>
        <v>11.8728</v>
      </c>
      <c r="O397" s="10">
        <f>CHOOSE(CONTROL!$C$42, 11.974, 11.974) * CHOOSE(CONTROL!$C$21, $C$9, 100%, $E$9)</f>
        <v>11.974</v>
      </c>
      <c r="P397" s="10">
        <f>CHOOSE(CONTROL!$C$42, 11.8709, 11.8709) * CHOOSE(CONTROL!$C$21, $C$9, 100%, $E$9)</f>
        <v>11.870900000000001</v>
      </c>
      <c r="Q397" s="10">
        <f>CHOOSE(CONTROL!$C$42, 12.5693, 12.5693) * CHOOSE(CONTROL!$C$21, $C$9, 100%, $E$9)</f>
        <v>12.5693</v>
      </c>
      <c r="R397" s="10">
        <f>CHOOSE(CONTROL!$C$42, 13.1877, 13.1877) * CHOOSE(CONTROL!$C$21, $C$9, 100%, $E$9)</f>
        <v>13.1877</v>
      </c>
      <c r="S397" s="10">
        <f>CHOOSE(CONTROL!$C$42, 11.6549, 11.6549) * CHOOSE(CONTROL!$C$21, $C$9, 100%, $E$9)</f>
        <v>11.6549</v>
      </c>
      <c r="T397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97" s="58">
        <f>(1000*CHOOSE(CONTROL!$C$42, 695, 695)*CHOOSE(CONTROL!$C$42, 0.5599, 0.5599)*CHOOSE(CONTROL!$C$42, 31, 31))/1000000</f>
        <v>12.063045499999998</v>
      </c>
      <c r="V397" s="58">
        <f>(1000*CHOOSE(CONTROL!$C$42, 500, 500)*CHOOSE(CONTROL!$C$42, 0.275, 0.275)*CHOOSE(CONTROL!$C$42, 31, 31))/1000000</f>
        <v>4.2625000000000002</v>
      </c>
      <c r="W397" s="58">
        <f>(1000*CHOOSE(CONTROL!$C$42, 0.1146, 0.1146)*CHOOSE(CONTROL!$C$42, 121.5, 121.5)*CHOOSE(CONTROL!$C$42, 31, 31))/1000000</f>
        <v>0.43164089999999994</v>
      </c>
      <c r="X397" s="58">
        <f>(31*0.1790888*100000/1000000)+(31*0.2374*100000/1000000)</f>
        <v>1.2911152800000001</v>
      </c>
      <c r="Y397" s="58"/>
      <c r="Z397" s="10"/>
      <c r="AA397" s="57"/>
      <c r="AB397" s="51">
        <f>(B397*122.58+C397*297.941+D397*89.177+E397*40.302+F397*40+G397*160+H397*0+I397*100+J397*300)/(122.58+297.941+89.177+40.302+0+40+160+100+300)</f>
        <v>11.995953401217394</v>
      </c>
      <c r="AC397" s="27">
        <f>(M397*'RAP TEMPLATE-GAS AVAILABILITY'!O396+N397*'RAP TEMPLATE-GAS AVAILABILITY'!P396+O397*'RAP TEMPLATE-GAS AVAILABILITY'!Q396+P397*'RAP TEMPLATE-GAS AVAILABILITY'!R396)/('RAP TEMPLATE-GAS AVAILABILITY'!O396+'RAP TEMPLATE-GAS AVAILABILITY'!P396+'RAP TEMPLATE-GAS AVAILABILITY'!Q396+'RAP TEMPLATE-GAS AVAILABILITY'!R396)</f>
        <v>11.912420143884891</v>
      </c>
    </row>
    <row r="398" spans="1:29" ht="15.75" x14ac:dyDescent="0.25">
      <c r="A398" s="14">
        <v>53386</v>
      </c>
      <c r="B398" s="10">
        <f>CHOOSE(CONTROL!$C$42, 12.2176, 12.2176) * CHOOSE(CONTROL!$C$21, $C$9, 100%, $E$9)</f>
        <v>12.217599999999999</v>
      </c>
      <c r="C398" s="10">
        <f>CHOOSE(CONTROL!$C$42, 12.2226, 12.2226) * CHOOSE(CONTROL!$C$21, $C$9, 100%, $E$9)</f>
        <v>12.2226</v>
      </c>
      <c r="D398" s="10">
        <f>CHOOSE(CONTROL!$C$42, 12.3397, 12.3397) * CHOOSE(CONTROL!$C$21, $C$9, 100%, $E$9)</f>
        <v>12.339700000000001</v>
      </c>
      <c r="E398" s="10">
        <f>CHOOSE(CONTROL!$C$42, 12.3735, 12.3735) * CHOOSE(CONTROL!$C$21, $C$9, 100%, $E$9)</f>
        <v>12.3735</v>
      </c>
      <c r="F398" s="10">
        <f>CHOOSE(CONTROL!$C$42, 12.2952, 12.2952)*CHOOSE(CONTROL!$C$21, $C$9, 100%, $E$9)</f>
        <v>12.295199999999999</v>
      </c>
      <c r="G398" s="10">
        <f>CHOOSE(CONTROL!$C$42, 12.3171, 12.3171)*CHOOSE(CONTROL!$C$21, $C$9, 100%, $E$9)</f>
        <v>12.3171</v>
      </c>
      <c r="H398" s="10">
        <f>CHOOSE(CONTROL!$C$42, 12.3627, 12.3627) * CHOOSE(CONTROL!$C$21, $C$9, 100%, $E$9)</f>
        <v>12.3627</v>
      </c>
      <c r="I398" s="10">
        <f>CHOOSE(CONTROL!$C$42, 12.2533, 12.2533)* CHOOSE(CONTROL!$C$21, $C$9, 100%, $E$9)</f>
        <v>12.253299999999999</v>
      </c>
      <c r="J398" s="10">
        <f>CHOOSE(CONTROL!$C$42, 12.2882, 12.2882)* CHOOSE(CONTROL!$C$21, $C$9, 100%, $E$9)</f>
        <v>12.2882</v>
      </c>
      <c r="K398" s="54">
        <f>CHOOSE(CONTROL!$C$42, 12.2494, 12.2494) * CHOOSE(CONTROL!$C$21, $C$9, 100%, $E$9)</f>
        <v>12.2494</v>
      </c>
      <c r="L398" s="10">
        <f>CHOOSE(CONTROL!$C$42, 12.9497, 12.9497) * CHOOSE(CONTROL!$C$21, $C$9, 100%, $E$9)</f>
        <v>12.9497</v>
      </c>
      <c r="M398" s="10">
        <f>CHOOSE(CONTROL!$C$42, 12.178, 12.178) * CHOOSE(CONTROL!$C$21, $C$9, 100%, $E$9)</f>
        <v>12.178000000000001</v>
      </c>
      <c r="N398" s="10">
        <f>CHOOSE(CONTROL!$C$42, 12.1997, 12.1997) * CHOOSE(CONTROL!$C$21, $C$9, 100%, $E$9)</f>
        <v>12.1997</v>
      </c>
      <c r="O398" s="10">
        <f>CHOOSE(CONTROL!$C$42, 12.2518, 12.2518) * CHOOSE(CONTROL!$C$21, $C$9, 100%, $E$9)</f>
        <v>12.251799999999999</v>
      </c>
      <c r="P398" s="10">
        <f>CHOOSE(CONTROL!$C$42, 12.1435, 12.1435) * CHOOSE(CONTROL!$C$21, $C$9, 100%, $E$9)</f>
        <v>12.1435</v>
      </c>
      <c r="Q398" s="10">
        <f>CHOOSE(CONTROL!$C$42, 12.8471, 12.8471) * CHOOSE(CONTROL!$C$21, $C$9, 100%, $E$9)</f>
        <v>12.847099999999999</v>
      </c>
      <c r="R398" s="10">
        <f>CHOOSE(CONTROL!$C$42, 13.4662, 13.4662) * CHOOSE(CONTROL!$C$21, $C$9, 100%, $E$9)</f>
        <v>13.466200000000001</v>
      </c>
      <c r="S398" s="10">
        <f>CHOOSE(CONTROL!$C$42, 11.8624, 11.8624) * CHOOSE(CONTROL!$C$21, $C$9, 100%, $E$9)</f>
        <v>11.862399999999999</v>
      </c>
      <c r="T398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398" s="58">
        <f>(1000*CHOOSE(CONTROL!$C$42, 695, 695)*CHOOSE(CONTROL!$C$42, 0.5599, 0.5599)*CHOOSE(CONTROL!$C$42, 28, 28))/1000000</f>
        <v>10.895653999999999</v>
      </c>
      <c r="V398" s="58">
        <f>(1000*CHOOSE(CONTROL!$C$42, 500, 500)*CHOOSE(CONTROL!$C$42, 0.275, 0.275)*CHOOSE(CONTROL!$C$42, 28, 28))/1000000</f>
        <v>3.85</v>
      </c>
      <c r="W398" s="58">
        <f>(1000*CHOOSE(CONTROL!$C$42, 0.1146, 0.1146)*CHOOSE(CONTROL!$C$42, 121.5, 121.5)*CHOOSE(CONTROL!$C$42, 28, 28))/1000000</f>
        <v>0.38986920000000003</v>
      </c>
      <c r="X398" s="58">
        <f>(28*0.1790888*100000/1000000)+(28*0.2374*100000/1000000)</f>
        <v>1.16616864</v>
      </c>
      <c r="Y398" s="58"/>
      <c r="Z398" s="10"/>
      <c r="AA398" s="57"/>
      <c r="AB398" s="51">
        <f>(B398*122.58+C398*297.941+D398*89.177+E398*40.302+F398*40+G398*160+H398*0+I398*100+J398*300)/(122.58+297.941+89.177+40.302+0+40+160+100+300)</f>
        <v>12.271891563913046</v>
      </c>
      <c r="AC398" s="27">
        <f>(M398*'RAP TEMPLATE-GAS AVAILABILITY'!O397+N398*'RAP TEMPLATE-GAS AVAILABILITY'!P397+O398*'RAP TEMPLATE-GAS AVAILABILITY'!Q397+P398*'RAP TEMPLATE-GAS AVAILABILITY'!R397)/('RAP TEMPLATE-GAS AVAILABILITY'!O397+'RAP TEMPLATE-GAS AVAILABILITY'!P397+'RAP TEMPLATE-GAS AVAILABILITY'!Q397+'RAP TEMPLATE-GAS AVAILABILITY'!R397)</f>
        <v>12.207733812949641</v>
      </c>
    </row>
    <row r="399" spans="1:29" ht="15.75" x14ac:dyDescent="0.25">
      <c r="A399" s="14">
        <v>53417</v>
      </c>
      <c r="B399" s="10">
        <f>CHOOSE(CONTROL!$C$42, 11.8708, 11.8708) * CHOOSE(CONTROL!$C$21, $C$9, 100%, $E$9)</f>
        <v>11.870799999999999</v>
      </c>
      <c r="C399" s="10">
        <f>CHOOSE(CONTROL!$C$42, 11.8758, 11.8758) * CHOOSE(CONTROL!$C$21, $C$9, 100%, $E$9)</f>
        <v>11.8758</v>
      </c>
      <c r="D399" s="10">
        <f>CHOOSE(CONTROL!$C$42, 11.9672, 11.9672) * CHOOSE(CONTROL!$C$21, $C$9, 100%, $E$9)</f>
        <v>11.9672</v>
      </c>
      <c r="E399" s="10">
        <f>CHOOSE(CONTROL!$C$42, 12.001, 12.001) * CHOOSE(CONTROL!$C$21, $C$9, 100%, $E$9)</f>
        <v>12.000999999999999</v>
      </c>
      <c r="F399" s="10">
        <f>CHOOSE(CONTROL!$C$42, 11.9007, 11.9007)*CHOOSE(CONTROL!$C$21, $C$9, 100%, $E$9)</f>
        <v>11.900700000000001</v>
      </c>
      <c r="G399" s="10">
        <f>CHOOSE(CONTROL!$C$42, 11.9202, 11.9202)*CHOOSE(CONTROL!$C$21, $C$9, 100%, $E$9)</f>
        <v>11.920199999999999</v>
      </c>
      <c r="H399" s="10">
        <f>CHOOSE(CONTROL!$C$42, 11.9902, 11.9902) * CHOOSE(CONTROL!$C$21, $C$9, 100%, $E$9)</f>
        <v>11.9902</v>
      </c>
      <c r="I399" s="10">
        <f>CHOOSE(CONTROL!$C$42, 11.8937, 11.8937)* CHOOSE(CONTROL!$C$21, $C$9, 100%, $E$9)</f>
        <v>11.893700000000001</v>
      </c>
      <c r="J399" s="10">
        <f>CHOOSE(CONTROL!$C$42, 11.8937, 11.8937)* CHOOSE(CONTROL!$C$21, $C$9, 100%, $E$9)</f>
        <v>11.893700000000001</v>
      </c>
      <c r="K399" s="54">
        <f>CHOOSE(CONTROL!$C$42, 11.8898, 11.8898) * CHOOSE(CONTROL!$C$21, $C$9, 100%, $E$9)</f>
        <v>11.889799999999999</v>
      </c>
      <c r="L399" s="10">
        <f>CHOOSE(CONTROL!$C$42, 12.5772, 12.5772) * CHOOSE(CONTROL!$C$21, $C$9, 100%, $E$9)</f>
        <v>12.577199999999999</v>
      </c>
      <c r="M399" s="10">
        <f>CHOOSE(CONTROL!$C$42, 11.7875, 11.7875) * CHOOSE(CONTROL!$C$21, $C$9, 100%, $E$9)</f>
        <v>11.7875</v>
      </c>
      <c r="N399" s="10">
        <f>CHOOSE(CONTROL!$C$42, 11.8068, 11.8068) * CHOOSE(CONTROL!$C$21, $C$9, 100%, $E$9)</f>
        <v>11.806800000000001</v>
      </c>
      <c r="O399" s="10">
        <f>CHOOSE(CONTROL!$C$42, 11.883, 11.883) * CHOOSE(CONTROL!$C$21, $C$9, 100%, $E$9)</f>
        <v>11.882999999999999</v>
      </c>
      <c r="P399" s="10">
        <f>CHOOSE(CONTROL!$C$42, 11.7875, 11.7875) * CHOOSE(CONTROL!$C$21, $C$9, 100%, $E$9)</f>
        <v>11.7875</v>
      </c>
      <c r="Q399" s="10">
        <f>CHOOSE(CONTROL!$C$42, 12.4783, 12.4783) * CHOOSE(CONTROL!$C$21, $C$9, 100%, $E$9)</f>
        <v>12.478300000000001</v>
      </c>
      <c r="R399" s="10">
        <f>CHOOSE(CONTROL!$C$42, 13.0965, 13.0965) * CHOOSE(CONTROL!$C$21, $C$9, 100%, $E$9)</f>
        <v>13.096500000000001</v>
      </c>
      <c r="S399" s="10">
        <f>CHOOSE(CONTROL!$C$42, 11.5256, 11.5256) * CHOOSE(CONTROL!$C$21, $C$9, 100%, $E$9)</f>
        <v>11.525600000000001</v>
      </c>
      <c r="T399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99" s="58">
        <f>(1000*CHOOSE(CONTROL!$C$42, 695, 695)*CHOOSE(CONTROL!$C$42, 0.5599, 0.5599)*CHOOSE(CONTROL!$C$42, 31, 31))/1000000</f>
        <v>12.063045499999998</v>
      </c>
      <c r="V399" s="58">
        <f>(1000*CHOOSE(CONTROL!$C$42, 500, 500)*CHOOSE(CONTROL!$C$42, 0.275, 0.275)*CHOOSE(CONTROL!$C$42, 31, 31))/1000000</f>
        <v>4.2625000000000002</v>
      </c>
      <c r="W399" s="58">
        <f>(1000*CHOOSE(CONTROL!$C$42, 0.1146, 0.1146)*CHOOSE(CONTROL!$C$42, 121.5, 121.5)*CHOOSE(CONTROL!$C$42, 31, 31))/1000000</f>
        <v>0.43164089999999994</v>
      </c>
      <c r="X399" s="58">
        <f>(31*0.1790888*100000/1000000)+(31*0.2374*100000/1000000)</f>
        <v>1.2911152800000001</v>
      </c>
      <c r="Y399" s="58"/>
      <c r="Z399" s="10"/>
      <c r="AA399" s="57"/>
      <c r="AB399" s="51">
        <f>(B399*122.58+C399*297.941+D399*89.177+E399*40.302+F399*40+G399*160+H399*0+I399*100+J399*300)/(122.58+297.941+89.177+40.302+0+40+160+100+300)</f>
        <v>11.900011902782611</v>
      </c>
      <c r="AC399" s="27">
        <f>(M399*'RAP TEMPLATE-GAS AVAILABILITY'!O398+N399*'RAP TEMPLATE-GAS AVAILABILITY'!P398+O399*'RAP TEMPLATE-GAS AVAILABILITY'!Q398+P399*'RAP TEMPLATE-GAS AVAILABILITY'!R398)/('RAP TEMPLATE-GAS AVAILABILITY'!O398+'RAP TEMPLATE-GAS AVAILABILITY'!P398+'RAP TEMPLATE-GAS AVAILABILITY'!Q398+'RAP TEMPLATE-GAS AVAILABILITY'!R398)</f>
        <v>11.831894964028777</v>
      </c>
    </row>
    <row r="400" spans="1:29" ht="15.75" x14ac:dyDescent="0.25">
      <c r="A400" s="14">
        <v>53447</v>
      </c>
      <c r="B400" s="10">
        <f>CHOOSE(CONTROL!$C$42, 11.8361, 11.8361) * CHOOSE(CONTROL!$C$21, $C$9, 100%, $E$9)</f>
        <v>11.8361</v>
      </c>
      <c r="C400" s="10">
        <f>CHOOSE(CONTROL!$C$42, 11.8405, 11.8405) * CHOOSE(CONTROL!$C$21, $C$9, 100%, $E$9)</f>
        <v>11.8405</v>
      </c>
      <c r="D400" s="10">
        <f>CHOOSE(CONTROL!$C$42, 12.0221, 12.0221) * CHOOSE(CONTROL!$C$21, $C$9, 100%, $E$9)</f>
        <v>12.0221</v>
      </c>
      <c r="E400" s="10">
        <f>CHOOSE(CONTROL!$C$42, 12.0539, 12.0539) * CHOOSE(CONTROL!$C$21, $C$9, 100%, $E$9)</f>
        <v>12.053900000000001</v>
      </c>
      <c r="F400" s="10">
        <f>CHOOSE(CONTROL!$C$42, 11.8244, 11.8244)*CHOOSE(CONTROL!$C$21, $C$9, 100%, $E$9)</f>
        <v>11.824400000000001</v>
      </c>
      <c r="G400" s="10">
        <f>CHOOSE(CONTROL!$C$42, 11.8424, 11.8424)*CHOOSE(CONTROL!$C$21, $C$9, 100%, $E$9)</f>
        <v>11.8424</v>
      </c>
      <c r="H400" s="10">
        <f>CHOOSE(CONTROL!$C$42, 12.0437, 12.0437) * CHOOSE(CONTROL!$C$21, $C$9, 100%, $E$9)</f>
        <v>12.043699999999999</v>
      </c>
      <c r="I400" s="10">
        <f>CHOOSE(CONTROL!$C$42, 11.8144, 11.8144)* CHOOSE(CONTROL!$C$21, $C$9, 100%, $E$9)</f>
        <v>11.814399999999999</v>
      </c>
      <c r="J400" s="10">
        <f>CHOOSE(CONTROL!$C$42, 11.8174, 11.8174)* CHOOSE(CONTROL!$C$21, $C$9, 100%, $E$9)</f>
        <v>11.817399999999999</v>
      </c>
      <c r="K400" s="54">
        <f>CHOOSE(CONTROL!$C$42, 11.8105, 11.8105) * CHOOSE(CONTROL!$C$21, $C$9, 100%, $E$9)</f>
        <v>11.810499999999999</v>
      </c>
      <c r="L400" s="10">
        <f>CHOOSE(CONTROL!$C$42, 12.6307, 12.6307) * CHOOSE(CONTROL!$C$21, $C$9, 100%, $E$9)</f>
        <v>12.630699999999999</v>
      </c>
      <c r="M400" s="10">
        <f>CHOOSE(CONTROL!$C$42, 11.712, 11.712) * CHOOSE(CONTROL!$C$21, $C$9, 100%, $E$9)</f>
        <v>11.712</v>
      </c>
      <c r="N400" s="10">
        <f>CHOOSE(CONTROL!$C$42, 11.7298, 11.7298) * CHOOSE(CONTROL!$C$21, $C$9, 100%, $E$9)</f>
        <v>11.729799999999999</v>
      </c>
      <c r="O400" s="10">
        <f>CHOOSE(CONTROL!$C$42, 11.936, 11.936) * CHOOSE(CONTROL!$C$21, $C$9, 100%, $E$9)</f>
        <v>11.936</v>
      </c>
      <c r="P400" s="10">
        <f>CHOOSE(CONTROL!$C$42, 11.709, 11.709) * CHOOSE(CONTROL!$C$21, $C$9, 100%, $E$9)</f>
        <v>11.709</v>
      </c>
      <c r="Q400" s="10">
        <f>CHOOSE(CONTROL!$C$42, 12.5313, 12.5313) * CHOOSE(CONTROL!$C$21, $C$9, 100%, $E$9)</f>
        <v>12.5313</v>
      </c>
      <c r="R400" s="10">
        <f>CHOOSE(CONTROL!$C$42, 13.1496, 13.1496) * CHOOSE(CONTROL!$C$21, $C$9, 100%, $E$9)</f>
        <v>13.1496</v>
      </c>
      <c r="S400" s="10">
        <f>CHOOSE(CONTROL!$C$42, 11.4911, 11.4911) * CHOOSE(CONTROL!$C$21, $C$9, 100%, $E$9)</f>
        <v>11.491099999999999</v>
      </c>
      <c r="T400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00" s="58">
        <f>(1000*CHOOSE(CONTROL!$C$42, 695, 695)*CHOOSE(CONTROL!$C$42, 0.5599, 0.5599)*CHOOSE(CONTROL!$C$42, 30, 30))/1000000</f>
        <v>11.673914999999997</v>
      </c>
      <c r="V400" s="58">
        <f>(1000*CHOOSE(CONTROL!$C$42, 500, 500)*CHOOSE(CONTROL!$C$42, 0.275, 0.275)*CHOOSE(CONTROL!$C$42, 30, 30))/1000000</f>
        <v>4.125</v>
      </c>
      <c r="W400" s="58">
        <f>(1000*CHOOSE(CONTROL!$C$42, 0.1146, 0.1146)*CHOOSE(CONTROL!$C$42, 121.5, 121.5)*CHOOSE(CONTROL!$C$42, 30, 30))/1000000</f>
        <v>0.417717</v>
      </c>
      <c r="X400" s="58">
        <f>(30*0.1790888*245000/1000000)+(30*0.2374*100000/1000000)</f>
        <v>2.0285026799999999</v>
      </c>
      <c r="Y400" s="58"/>
      <c r="Z400" s="10"/>
      <c r="AA400" s="57"/>
      <c r="AB400" s="51">
        <f>(B400*141.293+C400*267.993+D400*115.016+E400*89.698+F400*40+G400*185+H400*0+I400*100+J400*300)/(141.293+267.993+115.016+89.698+0+40+185+100+300)</f>
        <v>11.864369466989507</v>
      </c>
      <c r="AC400" s="27">
        <f>(M400*'RAP TEMPLATE-GAS AVAILABILITY'!O399+N400*'RAP TEMPLATE-GAS AVAILABILITY'!P399+O400*'RAP TEMPLATE-GAS AVAILABILITY'!Q399+P400*'RAP TEMPLATE-GAS AVAILABILITY'!R399)/('RAP TEMPLATE-GAS AVAILABILITY'!O399+'RAP TEMPLATE-GAS AVAILABILITY'!P399+'RAP TEMPLATE-GAS AVAILABILITY'!Q399+'RAP TEMPLATE-GAS AVAILABILITY'!R399)</f>
        <v>11.778515107913668</v>
      </c>
    </row>
    <row r="401" spans="1:29" ht="15.75" x14ac:dyDescent="0.25">
      <c r="A401" s="14">
        <v>53478</v>
      </c>
      <c r="B401" s="10">
        <f>CHOOSE(CONTROL!$C$42, 11.9423, 11.9423) * CHOOSE(CONTROL!$C$21, $C$9, 100%, $E$9)</f>
        <v>11.942299999999999</v>
      </c>
      <c r="C401" s="10">
        <f>CHOOSE(CONTROL!$C$42, 11.9502, 11.9502) * CHOOSE(CONTROL!$C$21, $C$9, 100%, $E$9)</f>
        <v>11.950200000000001</v>
      </c>
      <c r="D401" s="10">
        <f>CHOOSE(CONTROL!$C$42, 12.1288, 12.1288) * CHOOSE(CONTROL!$C$21, $C$9, 100%, $E$9)</f>
        <v>12.1288</v>
      </c>
      <c r="E401" s="10">
        <f>CHOOSE(CONTROL!$C$42, 12.1599, 12.1599) * CHOOSE(CONTROL!$C$21, $C$9, 100%, $E$9)</f>
        <v>12.1599</v>
      </c>
      <c r="F401" s="10">
        <f>CHOOSE(CONTROL!$C$42, 11.9285, 11.9285)*CHOOSE(CONTROL!$C$21, $C$9, 100%, $E$9)</f>
        <v>11.9285</v>
      </c>
      <c r="G401" s="10">
        <f>CHOOSE(CONTROL!$C$42, 11.9467, 11.9467)*CHOOSE(CONTROL!$C$21, $C$9, 100%, $E$9)</f>
        <v>11.9467</v>
      </c>
      <c r="H401" s="10">
        <f>CHOOSE(CONTROL!$C$42, 12.1485, 12.1485) * CHOOSE(CONTROL!$C$21, $C$9, 100%, $E$9)</f>
        <v>12.1485</v>
      </c>
      <c r="I401" s="10">
        <f>CHOOSE(CONTROL!$C$42, 11.9192, 11.9192)* CHOOSE(CONTROL!$C$21, $C$9, 100%, $E$9)</f>
        <v>11.9192</v>
      </c>
      <c r="J401" s="10">
        <f>CHOOSE(CONTROL!$C$42, 11.9215, 11.9215)* CHOOSE(CONTROL!$C$21, $C$9, 100%, $E$9)</f>
        <v>11.9215</v>
      </c>
      <c r="K401" s="54">
        <f>CHOOSE(CONTROL!$C$42, 11.9153, 11.9153) * CHOOSE(CONTROL!$C$21, $C$9, 100%, $E$9)</f>
        <v>11.9153</v>
      </c>
      <c r="L401" s="10">
        <f>CHOOSE(CONTROL!$C$42, 12.7355, 12.7355) * CHOOSE(CONTROL!$C$21, $C$9, 100%, $E$9)</f>
        <v>12.7355</v>
      </c>
      <c r="M401" s="10">
        <f>CHOOSE(CONTROL!$C$42, 11.815, 11.815) * CHOOSE(CONTROL!$C$21, $C$9, 100%, $E$9)</f>
        <v>11.815</v>
      </c>
      <c r="N401" s="10">
        <f>CHOOSE(CONTROL!$C$42, 11.833, 11.833) * CHOOSE(CONTROL!$C$21, $C$9, 100%, $E$9)</f>
        <v>11.833</v>
      </c>
      <c r="O401" s="10">
        <f>CHOOSE(CONTROL!$C$42, 12.0398, 12.0398) * CHOOSE(CONTROL!$C$21, $C$9, 100%, $E$9)</f>
        <v>12.0398</v>
      </c>
      <c r="P401" s="10">
        <f>CHOOSE(CONTROL!$C$42, 11.8128, 11.8128) * CHOOSE(CONTROL!$C$21, $C$9, 100%, $E$9)</f>
        <v>11.812799999999999</v>
      </c>
      <c r="Q401" s="10">
        <f>CHOOSE(CONTROL!$C$42, 12.6351, 12.6351) * CHOOSE(CONTROL!$C$21, $C$9, 100%, $E$9)</f>
        <v>12.6351</v>
      </c>
      <c r="R401" s="10">
        <f>CHOOSE(CONTROL!$C$42, 13.2536, 13.2536) * CHOOSE(CONTROL!$C$21, $C$9, 100%, $E$9)</f>
        <v>13.2536</v>
      </c>
      <c r="S401" s="10">
        <f>CHOOSE(CONTROL!$C$42, 11.5929, 11.5929) * CHOOSE(CONTROL!$C$21, $C$9, 100%, $E$9)</f>
        <v>11.5929</v>
      </c>
      <c r="T401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01" s="58">
        <f>(1000*CHOOSE(CONTROL!$C$42, 695, 695)*CHOOSE(CONTROL!$C$42, 0.5599, 0.5599)*CHOOSE(CONTROL!$C$42, 31, 31))/1000000</f>
        <v>12.063045499999998</v>
      </c>
      <c r="V401" s="58">
        <f>(1000*CHOOSE(CONTROL!$C$42, 500, 500)*CHOOSE(CONTROL!$C$42, 0.275, 0.275)*CHOOSE(CONTROL!$C$42, 31, 31))/1000000</f>
        <v>4.2625000000000002</v>
      </c>
      <c r="W401" s="58">
        <f>(1000*CHOOSE(CONTROL!$C$42, 0.1146, 0.1146)*CHOOSE(CONTROL!$C$42, 121.5, 121.5)*CHOOSE(CONTROL!$C$42, 31, 31))/1000000</f>
        <v>0.43164089999999994</v>
      </c>
      <c r="X401" s="58">
        <f>(31*0.1790888*245000/1000000)+(31*0.2374*100000/1000000)</f>
        <v>2.0961194359999999</v>
      </c>
      <c r="Y401" s="58"/>
      <c r="Z401" s="10"/>
      <c r="AA401" s="57"/>
      <c r="AB401" s="51">
        <f>(B401*194.205+C401*267.466+D401*133.845+E401*53.484+F401*40+G401*185+H401*0+I401*100+J401*300)/(194.205+267.466+133.845+53.484+0+40+185+100+300)</f>
        <v>11.966181626609103</v>
      </c>
      <c r="AC401" s="27">
        <f>(M401*'RAP TEMPLATE-GAS AVAILABILITY'!O400+N401*'RAP TEMPLATE-GAS AVAILABILITY'!P400+O401*'RAP TEMPLATE-GAS AVAILABILITY'!Q400+P401*'RAP TEMPLATE-GAS AVAILABILITY'!R400)/('RAP TEMPLATE-GAS AVAILABILITY'!O400+'RAP TEMPLATE-GAS AVAILABILITY'!P400+'RAP TEMPLATE-GAS AVAILABILITY'!Q400+'RAP TEMPLATE-GAS AVAILABILITY'!R400)</f>
        <v>11.881900719424461</v>
      </c>
    </row>
    <row r="402" spans="1:29" ht="15.75" x14ac:dyDescent="0.25">
      <c r="A402" s="14">
        <v>53508</v>
      </c>
      <c r="B402" s="10">
        <f>CHOOSE(CONTROL!$C$42, 12.2809, 12.2809) * CHOOSE(CONTROL!$C$21, $C$9, 100%, $E$9)</f>
        <v>12.280900000000001</v>
      </c>
      <c r="C402" s="10">
        <f>CHOOSE(CONTROL!$C$42, 12.2888, 12.2888) * CHOOSE(CONTROL!$C$21, $C$9, 100%, $E$9)</f>
        <v>12.2888</v>
      </c>
      <c r="D402" s="10">
        <f>CHOOSE(CONTROL!$C$42, 12.4674, 12.4674) * CHOOSE(CONTROL!$C$21, $C$9, 100%, $E$9)</f>
        <v>12.4674</v>
      </c>
      <c r="E402" s="10">
        <f>CHOOSE(CONTROL!$C$42, 12.4985, 12.4985) * CHOOSE(CONTROL!$C$21, $C$9, 100%, $E$9)</f>
        <v>12.4985</v>
      </c>
      <c r="F402" s="10">
        <f>CHOOSE(CONTROL!$C$42, 12.2673, 12.2673)*CHOOSE(CONTROL!$C$21, $C$9, 100%, $E$9)</f>
        <v>12.267300000000001</v>
      </c>
      <c r="G402" s="10">
        <f>CHOOSE(CONTROL!$C$42, 12.2856, 12.2856)*CHOOSE(CONTROL!$C$21, $C$9, 100%, $E$9)</f>
        <v>12.285600000000001</v>
      </c>
      <c r="H402" s="10">
        <f>CHOOSE(CONTROL!$C$42, 12.4871, 12.4871) * CHOOSE(CONTROL!$C$21, $C$9, 100%, $E$9)</f>
        <v>12.4871</v>
      </c>
      <c r="I402" s="10">
        <f>CHOOSE(CONTROL!$C$42, 12.2578, 12.2578)* CHOOSE(CONTROL!$C$21, $C$9, 100%, $E$9)</f>
        <v>12.2578</v>
      </c>
      <c r="J402" s="10">
        <f>CHOOSE(CONTROL!$C$42, 12.2603, 12.2603)* CHOOSE(CONTROL!$C$21, $C$9, 100%, $E$9)</f>
        <v>12.260300000000001</v>
      </c>
      <c r="K402" s="54">
        <f>CHOOSE(CONTROL!$C$42, 12.2539, 12.2539) * CHOOSE(CONTROL!$C$21, $C$9, 100%, $E$9)</f>
        <v>12.2539</v>
      </c>
      <c r="L402" s="10">
        <f>CHOOSE(CONTROL!$C$42, 13.0741, 13.0741) * CHOOSE(CONTROL!$C$21, $C$9, 100%, $E$9)</f>
        <v>13.0741</v>
      </c>
      <c r="M402" s="10">
        <f>CHOOSE(CONTROL!$C$42, 12.1504, 12.1504) * CHOOSE(CONTROL!$C$21, $C$9, 100%, $E$9)</f>
        <v>12.150399999999999</v>
      </c>
      <c r="N402" s="10">
        <f>CHOOSE(CONTROL!$C$42, 12.1685, 12.1685) * CHOOSE(CONTROL!$C$21, $C$9, 100%, $E$9)</f>
        <v>12.1685</v>
      </c>
      <c r="O402" s="10">
        <f>CHOOSE(CONTROL!$C$42, 12.3749, 12.3749) * CHOOSE(CONTROL!$C$21, $C$9, 100%, $E$9)</f>
        <v>12.3749</v>
      </c>
      <c r="P402" s="10">
        <f>CHOOSE(CONTROL!$C$42, 12.1479, 12.1479) * CHOOSE(CONTROL!$C$21, $C$9, 100%, $E$9)</f>
        <v>12.1479</v>
      </c>
      <c r="Q402" s="10">
        <f>CHOOSE(CONTROL!$C$42, 12.9702, 12.9702) * CHOOSE(CONTROL!$C$21, $C$9, 100%, $E$9)</f>
        <v>12.9702</v>
      </c>
      <c r="R402" s="10">
        <f>CHOOSE(CONTROL!$C$42, 13.5897, 13.5897) * CHOOSE(CONTROL!$C$21, $C$9, 100%, $E$9)</f>
        <v>13.589700000000001</v>
      </c>
      <c r="S402" s="10">
        <f>CHOOSE(CONTROL!$C$42, 11.9217, 11.9217) * CHOOSE(CONTROL!$C$21, $C$9, 100%, $E$9)</f>
        <v>11.9217</v>
      </c>
      <c r="T402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02" s="58">
        <f>(1000*CHOOSE(CONTROL!$C$42, 695, 695)*CHOOSE(CONTROL!$C$42, 0.5599, 0.5599)*CHOOSE(CONTROL!$C$42, 30, 30))/1000000</f>
        <v>11.673914999999997</v>
      </c>
      <c r="V402" s="58">
        <f>(1000*CHOOSE(CONTROL!$C$42, 500, 500)*CHOOSE(CONTROL!$C$42, 0.275, 0.275)*CHOOSE(CONTROL!$C$42, 30, 30))/1000000</f>
        <v>4.125</v>
      </c>
      <c r="W402" s="58">
        <f>(1000*CHOOSE(CONTROL!$C$42, 0.1146, 0.1146)*CHOOSE(CONTROL!$C$42, 121.5, 121.5)*CHOOSE(CONTROL!$C$42, 30, 30))/1000000</f>
        <v>0.417717</v>
      </c>
      <c r="X402" s="58">
        <f>(30*0.1790888*245000/1000000)+(30*0.2374*100000/1000000)</f>
        <v>2.0285026799999999</v>
      </c>
      <c r="Y402" s="58"/>
      <c r="Z402" s="10"/>
      <c r="AA402" s="57"/>
      <c r="AB402" s="51">
        <f>(B402*194.205+C402*267.466+D402*133.845+E402*53.484+F402*40+G402*185+H402*0+I402*100+J402*300)/(194.205+267.466+133.845+53.484+0+40+185+100+300)</f>
        <v>12.304878565384618</v>
      </c>
      <c r="AC402" s="27">
        <f>(M402*'RAP TEMPLATE-GAS AVAILABILITY'!O401+N402*'RAP TEMPLATE-GAS AVAILABILITY'!P401+O402*'RAP TEMPLATE-GAS AVAILABILITY'!Q401+P402*'RAP TEMPLATE-GAS AVAILABILITY'!R401)/('RAP TEMPLATE-GAS AVAILABILITY'!O401+'RAP TEMPLATE-GAS AVAILABILITY'!P401+'RAP TEMPLATE-GAS AVAILABILITY'!Q401+'RAP TEMPLATE-GAS AVAILABILITY'!R401)</f>
        <v>12.217196402877697</v>
      </c>
    </row>
    <row r="403" spans="1:29" ht="15.75" x14ac:dyDescent="0.25">
      <c r="A403" s="14">
        <v>53539</v>
      </c>
      <c r="B403" s="10">
        <f>CHOOSE(CONTROL!$C$42, 12.0454, 12.0454) * CHOOSE(CONTROL!$C$21, $C$9, 100%, $E$9)</f>
        <v>12.045400000000001</v>
      </c>
      <c r="C403" s="10">
        <f>CHOOSE(CONTROL!$C$42, 12.0533, 12.0533) * CHOOSE(CONTROL!$C$21, $C$9, 100%, $E$9)</f>
        <v>12.0533</v>
      </c>
      <c r="D403" s="10">
        <f>CHOOSE(CONTROL!$C$42, 12.2319, 12.2319) * CHOOSE(CONTROL!$C$21, $C$9, 100%, $E$9)</f>
        <v>12.2319</v>
      </c>
      <c r="E403" s="10">
        <f>CHOOSE(CONTROL!$C$42, 12.263, 12.263) * CHOOSE(CONTROL!$C$21, $C$9, 100%, $E$9)</f>
        <v>12.263</v>
      </c>
      <c r="F403" s="10">
        <f>CHOOSE(CONTROL!$C$42, 12.0321, 12.0321)*CHOOSE(CONTROL!$C$21, $C$9, 100%, $E$9)</f>
        <v>12.0321</v>
      </c>
      <c r="G403" s="10">
        <f>CHOOSE(CONTROL!$C$42, 12.0504, 12.0504)*CHOOSE(CONTROL!$C$21, $C$9, 100%, $E$9)</f>
        <v>12.0504</v>
      </c>
      <c r="H403" s="10">
        <f>CHOOSE(CONTROL!$C$42, 12.2516, 12.2516) * CHOOSE(CONTROL!$C$21, $C$9, 100%, $E$9)</f>
        <v>12.2516</v>
      </c>
      <c r="I403" s="10">
        <f>CHOOSE(CONTROL!$C$42, 12.0223, 12.0223)* CHOOSE(CONTROL!$C$21, $C$9, 100%, $E$9)</f>
        <v>12.0223</v>
      </c>
      <c r="J403" s="10">
        <f>CHOOSE(CONTROL!$C$42, 12.0251, 12.0251)* CHOOSE(CONTROL!$C$21, $C$9, 100%, $E$9)</f>
        <v>12.0251</v>
      </c>
      <c r="K403" s="54">
        <f>CHOOSE(CONTROL!$C$42, 12.0184, 12.0184) * CHOOSE(CONTROL!$C$21, $C$9, 100%, $E$9)</f>
        <v>12.0184</v>
      </c>
      <c r="L403" s="10">
        <f>CHOOSE(CONTROL!$C$42, 12.8386, 12.8386) * CHOOSE(CONTROL!$C$21, $C$9, 100%, $E$9)</f>
        <v>12.8386</v>
      </c>
      <c r="M403" s="10">
        <f>CHOOSE(CONTROL!$C$42, 11.9176, 11.9176) * CHOOSE(CONTROL!$C$21, $C$9, 100%, $E$9)</f>
        <v>11.9176</v>
      </c>
      <c r="N403" s="10">
        <f>CHOOSE(CONTROL!$C$42, 11.9357, 11.9357) * CHOOSE(CONTROL!$C$21, $C$9, 100%, $E$9)</f>
        <v>11.935700000000001</v>
      </c>
      <c r="O403" s="10">
        <f>CHOOSE(CONTROL!$C$42, 12.1418, 12.1418) * CHOOSE(CONTROL!$C$21, $C$9, 100%, $E$9)</f>
        <v>12.1418</v>
      </c>
      <c r="P403" s="10">
        <f>CHOOSE(CONTROL!$C$42, 11.9148, 11.9148) * CHOOSE(CONTROL!$C$21, $C$9, 100%, $E$9)</f>
        <v>11.9148</v>
      </c>
      <c r="Q403" s="10">
        <f>CHOOSE(CONTROL!$C$42, 12.7371, 12.7371) * CHOOSE(CONTROL!$C$21, $C$9, 100%, $E$9)</f>
        <v>12.7371</v>
      </c>
      <c r="R403" s="10">
        <f>CHOOSE(CONTROL!$C$42, 13.356, 13.356) * CHOOSE(CONTROL!$C$21, $C$9, 100%, $E$9)</f>
        <v>13.356</v>
      </c>
      <c r="S403" s="10">
        <f>CHOOSE(CONTROL!$C$42, 11.693, 11.693) * CHOOSE(CONTROL!$C$21, $C$9, 100%, $E$9)</f>
        <v>11.693</v>
      </c>
      <c r="T403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03" s="58">
        <f>(1000*CHOOSE(CONTROL!$C$42, 695, 695)*CHOOSE(CONTROL!$C$42, 0.5599, 0.5599)*CHOOSE(CONTROL!$C$42, 31, 31))/1000000</f>
        <v>12.063045499999998</v>
      </c>
      <c r="V403" s="58">
        <f>(1000*CHOOSE(CONTROL!$C$42, 500, 500)*CHOOSE(CONTROL!$C$42, 0.275, 0.275)*CHOOSE(CONTROL!$C$42, 31, 31))/1000000</f>
        <v>4.2625000000000002</v>
      </c>
      <c r="W403" s="58">
        <f>(1000*CHOOSE(CONTROL!$C$42, 0.1146, 0.1146)*CHOOSE(CONTROL!$C$42, 121.5, 121.5)*CHOOSE(CONTROL!$C$42, 31, 31))/1000000</f>
        <v>0.43164089999999994</v>
      </c>
      <c r="X403" s="58">
        <f>(31*0.1790888*245000/1000000)+(31*0.2374*100000/1000000)</f>
        <v>2.0961194359999999</v>
      </c>
      <c r="Y403" s="58"/>
      <c r="Z403" s="10"/>
      <c r="AA403" s="57"/>
      <c r="AB403" s="51">
        <f>(B403*194.205+C403*267.466+D403*133.845+E403*53.484+F403*40+G403*185+H403*0+I403*100+J403*300)/(194.205+267.466+133.845+53.484+0+40+185+100+300)</f>
        <v>12.069502191758243</v>
      </c>
      <c r="AC403" s="27">
        <f>(M403*'RAP TEMPLATE-GAS AVAILABILITY'!O402+N403*'RAP TEMPLATE-GAS AVAILABILITY'!P402+O403*'RAP TEMPLATE-GAS AVAILABILITY'!Q402+P403*'RAP TEMPLATE-GAS AVAILABILITY'!R402)/('RAP TEMPLATE-GAS AVAILABILITY'!O402+'RAP TEMPLATE-GAS AVAILABILITY'!P402+'RAP TEMPLATE-GAS AVAILABILITY'!Q402+'RAP TEMPLATE-GAS AVAILABILITY'!R402)</f>
        <v>11.984269064748201</v>
      </c>
    </row>
    <row r="404" spans="1:29" ht="15.75" x14ac:dyDescent="0.25">
      <c r="A404" s="14">
        <v>53570</v>
      </c>
      <c r="B404" s="10">
        <f>CHOOSE(CONTROL!$C$42, 11.4507, 11.4507) * CHOOSE(CONTROL!$C$21, $C$9, 100%, $E$9)</f>
        <v>11.450699999999999</v>
      </c>
      <c r="C404" s="10">
        <f>CHOOSE(CONTROL!$C$42, 11.4586, 11.4586) * CHOOSE(CONTROL!$C$21, $C$9, 100%, $E$9)</f>
        <v>11.458600000000001</v>
      </c>
      <c r="D404" s="10">
        <f>CHOOSE(CONTROL!$C$42, 11.6371, 11.6371) * CHOOSE(CONTROL!$C$21, $C$9, 100%, $E$9)</f>
        <v>11.6371</v>
      </c>
      <c r="E404" s="10">
        <f>CHOOSE(CONTROL!$C$42, 11.6683, 11.6683) * CHOOSE(CONTROL!$C$21, $C$9, 100%, $E$9)</f>
        <v>11.6683</v>
      </c>
      <c r="F404" s="10">
        <f>CHOOSE(CONTROL!$C$42, 11.4373, 11.4373)*CHOOSE(CONTROL!$C$21, $C$9, 100%, $E$9)</f>
        <v>11.4373</v>
      </c>
      <c r="G404" s="10">
        <f>CHOOSE(CONTROL!$C$42, 11.4556, 11.4556)*CHOOSE(CONTROL!$C$21, $C$9, 100%, $E$9)</f>
        <v>11.4556</v>
      </c>
      <c r="H404" s="10">
        <f>CHOOSE(CONTROL!$C$42, 11.6569, 11.6569) * CHOOSE(CONTROL!$C$21, $C$9, 100%, $E$9)</f>
        <v>11.6569</v>
      </c>
      <c r="I404" s="10">
        <f>CHOOSE(CONTROL!$C$42, 11.4276, 11.4276)* CHOOSE(CONTROL!$C$21, $C$9, 100%, $E$9)</f>
        <v>11.4276</v>
      </c>
      <c r="J404" s="10">
        <f>CHOOSE(CONTROL!$C$42, 11.4303, 11.4303)* CHOOSE(CONTROL!$C$21, $C$9, 100%, $E$9)</f>
        <v>11.430300000000001</v>
      </c>
      <c r="K404" s="54">
        <f>CHOOSE(CONTROL!$C$42, 11.4237, 11.4237) * CHOOSE(CONTROL!$C$21, $C$9, 100%, $E$9)</f>
        <v>11.4237</v>
      </c>
      <c r="L404" s="10">
        <f>CHOOSE(CONTROL!$C$42, 12.2439, 12.2439) * CHOOSE(CONTROL!$C$21, $C$9, 100%, $E$9)</f>
        <v>12.2439</v>
      </c>
      <c r="M404" s="10">
        <f>CHOOSE(CONTROL!$C$42, 11.3288, 11.3288) * CHOOSE(CONTROL!$C$21, $C$9, 100%, $E$9)</f>
        <v>11.328799999999999</v>
      </c>
      <c r="N404" s="10">
        <f>CHOOSE(CONTROL!$C$42, 11.3469, 11.3469) * CHOOSE(CONTROL!$C$21, $C$9, 100%, $E$9)</f>
        <v>11.3469</v>
      </c>
      <c r="O404" s="10">
        <f>CHOOSE(CONTROL!$C$42, 11.5531, 11.5531) * CHOOSE(CONTROL!$C$21, $C$9, 100%, $E$9)</f>
        <v>11.553100000000001</v>
      </c>
      <c r="P404" s="10">
        <f>CHOOSE(CONTROL!$C$42, 11.3261, 11.3261) * CHOOSE(CONTROL!$C$21, $C$9, 100%, $E$9)</f>
        <v>11.3261</v>
      </c>
      <c r="Q404" s="10">
        <f>CHOOSE(CONTROL!$C$42, 12.1484, 12.1484) * CHOOSE(CONTROL!$C$21, $C$9, 100%, $E$9)</f>
        <v>12.148400000000001</v>
      </c>
      <c r="R404" s="10">
        <f>CHOOSE(CONTROL!$C$42, 12.7658, 12.7658) * CHOOSE(CONTROL!$C$21, $C$9, 100%, $E$9)</f>
        <v>12.7658</v>
      </c>
      <c r="S404" s="10">
        <f>CHOOSE(CONTROL!$C$42, 11.1155, 11.1155) * CHOOSE(CONTROL!$C$21, $C$9, 100%, $E$9)</f>
        <v>11.115500000000001</v>
      </c>
      <c r="T404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404" s="58">
        <f>(1000*CHOOSE(CONTROL!$C$42, 695, 695)*CHOOSE(CONTROL!$C$42, 0.5599, 0.5599)*CHOOSE(CONTROL!$C$42, 31, 31))/1000000</f>
        <v>12.063045499999998</v>
      </c>
      <c r="V404" s="58">
        <f>(1000*CHOOSE(CONTROL!$C$42, 500, 500)*CHOOSE(CONTROL!$C$42, 0.275, 0.275)*CHOOSE(CONTROL!$C$42, 31, 31))/1000000</f>
        <v>4.2625000000000002</v>
      </c>
      <c r="W404" s="58">
        <f>(1000*CHOOSE(CONTROL!$C$42, 0.1146, 0.1146)*CHOOSE(CONTROL!$C$42, 121.5, 121.5)*CHOOSE(CONTROL!$C$42, 31, 31))/1000000</f>
        <v>0.43164089999999994</v>
      </c>
      <c r="X404" s="58">
        <f>(31*0.1790888*245000/1000000)+(31*0.2374*100000/1000000)</f>
        <v>2.0961194359999999</v>
      </c>
      <c r="Y404" s="58"/>
      <c r="Z404" s="10"/>
      <c r="AA404" s="57"/>
      <c r="AB404" s="51">
        <f>(B404*194.205+C404*267.466+D404*133.845+E404*53.484+F404*40+G404*185+H404*0+I404*100+J404*300)/(194.205+267.466+133.845+53.484+0+40+185+100+300)</f>
        <v>11.474750477080063</v>
      </c>
      <c r="AC404" s="27">
        <f>(M404*'RAP TEMPLATE-GAS AVAILABILITY'!O403+N404*'RAP TEMPLATE-GAS AVAILABILITY'!P403+O404*'RAP TEMPLATE-GAS AVAILABILITY'!Q403+P404*'RAP TEMPLATE-GAS AVAILABILITY'!R403)/('RAP TEMPLATE-GAS AVAILABILITY'!O403+'RAP TEMPLATE-GAS AVAILABILITY'!P403+'RAP TEMPLATE-GAS AVAILABILITY'!Q403+'RAP TEMPLATE-GAS AVAILABILITY'!R403)</f>
        <v>11.395511510791366</v>
      </c>
    </row>
    <row r="405" spans="1:29" ht="15.75" x14ac:dyDescent="0.25">
      <c r="A405" s="14">
        <v>53600</v>
      </c>
      <c r="B405" s="10">
        <f>CHOOSE(CONTROL!$C$42, 10.7241, 10.7241) * CHOOSE(CONTROL!$C$21, $C$9, 100%, $E$9)</f>
        <v>10.7241</v>
      </c>
      <c r="C405" s="10">
        <f>CHOOSE(CONTROL!$C$42, 10.732, 10.732) * CHOOSE(CONTROL!$C$21, $C$9, 100%, $E$9)</f>
        <v>10.731999999999999</v>
      </c>
      <c r="D405" s="10">
        <f>CHOOSE(CONTROL!$C$42, 10.9105, 10.9105) * CHOOSE(CONTROL!$C$21, $C$9, 100%, $E$9)</f>
        <v>10.910500000000001</v>
      </c>
      <c r="E405" s="10">
        <f>CHOOSE(CONTROL!$C$42, 10.9417, 10.9417) * CHOOSE(CONTROL!$C$21, $C$9, 100%, $E$9)</f>
        <v>10.941700000000001</v>
      </c>
      <c r="F405" s="10">
        <f>CHOOSE(CONTROL!$C$42, 10.7104, 10.7104)*CHOOSE(CONTROL!$C$21, $C$9, 100%, $E$9)</f>
        <v>10.7104</v>
      </c>
      <c r="G405" s="10">
        <f>CHOOSE(CONTROL!$C$42, 10.7287, 10.7287)*CHOOSE(CONTROL!$C$21, $C$9, 100%, $E$9)</f>
        <v>10.7287</v>
      </c>
      <c r="H405" s="10">
        <f>CHOOSE(CONTROL!$C$42, 10.9303, 10.9303) * CHOOSE(CONTROL!$C$21, $C$9, 100%, $E$9)</f>
        <v>10.930300000000001</v>
      </c>
      <c r="I405" s="10">
        <f>CHOOSE(CONTROL!$C$42, 10.7009, 10.7009)* CHOOSE(CONTROL!$C$21, $C$9, 100%, $E$9)</f>
        <v>10.700900000000001</v>
      </c>
      <c r="J405" s="10">
        <f>CHOOSE(CONTROL!$C$42, 10.7034, 10.7034)* CHOOSE(CONTROL!$C$21, $C$9, 100%, $E$9)</f>
        <v>10.7034</v>
      </c>
      <c r="K405" s="54">
        <f>CHOOSE(CONTROL!$C$42, 10.697, 10.697) * CHOOSE(CONTROL!$C$21, $C$9, 100%, $E$9)</f>
        <v>10.696999999999999</v>
      </c>
      <c r="L405" s="10">
        <f>CHOOSE(CONTROL!$C$42, 11.5173, 11.5173) * CHOOSE(CONTROL!$C$21, $C$9, 100%, $E$9)</f>
        <v>11.517300000000001</v>
      </c>
      <c r="M405" s="10">
        <f>CHOOSE(CONTROL!$C$42, 10.6092, 10.6092) * CHOOSE(CONTROL!$C$21, $C$9, 100%, $E$9)</f>
        <v>10.6092</v>
      </c>
      <c r="N405" s="10">
        <f>CHOOSE(CONTROL!$C$42, 10.6273, 10.6273) * CHOOSE(CONTROL!$C$21, $C$9, 100%, $E$9)</f>
        <v>10.6273</v>
      </c>
      <c r="O405" s="10">
        <f>CHOOSE(CONTROL!$C$42, 10.8338, 10.8338) * CHOOSE(CONTROL!$C$21, $C$9, 100%, $E$9)</f>
        <v>10.8338</v>
      </c>
      <c r="P405" s="10">
        <f>CHOOSE(CONTROL!$C$42, 10.6068, 10.6068) * CHOOSE(CONTROL!$C$21, $C$9, 100%, $E$9)</f>
        <v>10.6068</v>
      </c>
      <c r="Q405" s="10">
        <f>CHOOSE(CONTROL!$C$42, 11.4291, 11.4291) * CHOOSE(CONTROL!$C$21, $C$9, 100%, $E$9)</f>
        <v>11.4291</v>
      </c>
      <c r="R405" s="10">
        <f>CHOOSE(CONTROL!$C$42, 12.0447, 12.0447) * CHOOSE(CONTROL!$C$21, $C$9, 100%, $E$9)</f>
        <v>12.044700000000001</v>
      </c>
      <c r="S405" s="10">
        <f>CHOOSE(CONTROL!$C$42, 10.4099, 10.4099) * CHOOSE(CONTROL!$C$21, $C$9, 100%, $E$9)</f>
        <v>10.4099</v>
      </c>
      <c r="T405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405" s="58">
        <f>(1000*CHOOSE(CONTROL!$C$42, 695, 695)*CHOOSE(CONTROL!$C$42, 0.5599, 0.5599)*CHOOSE(CONTROL!$C$42, 30, 30))/1000000</f>
        <v>11.673914999999997</v>
      </c>
      <c r="V405" s="58">
        <f>(1000*CHOOSE(CONTROL!$C$42, 500, 500)*CHOOSE(CONTROL!$C$42, 0.275, 0.275)*CHOOSE(CONTROL!$C$42, 30, 30))/1000000</f>
        <v>4.125</v>
      </c>
      <c r="W405" s="58">
        <f>(1000*CHOOSE(CONTROL!$C$42, 0.1146, 0.1146)*CHOOSE(CONTROL!$C$42, 121.5, 121.5)*CHOOSE(CONTROL!$C$42, 30, 30))/1000000</f>
        <v>0.417717</v>
      </c>
      <c r="X405" s="58">
        <f>(30*0.1790888*245000/1000000)+(30*0.2374*100000/1000000)</f>
        <v>2.0285026799999999</v>
      </c>
      <c r="Y405" s="58"/>
      <c r="Z405" s="10"/>
      <c r="AA405" s="57"/>
      <c r="AB405" s="51">
        <f>(B405*194.205+C405*267.466+D405*133.845+E405*53.484+F405*40+G405*185+H405*0+I405*100+J405*300)/(194.205+267.466+133.845+53.484+0+40+185+100+300)</f>
        <v>10.748019001412873</v>
      </c>
      <c r="AC405" s="27">
        <f>(M405*'RAP TEMPLATE-GAS AVAILABILITY'!O404+N405*'RAP TEMPLATE-GAS AVAILABILITY'!P404+O405*'RAP TEMPLATE-GAS AVAILABILITY'!Q404+P405*'RAP TEMPLATE-GAS AVAILABILITY'!R404)/('RAP TEMPLATE-GAS AVAILABILITY'!O404+'RAP TEMPLATE-GAS AVAILABILITY'!P404+'RAP TEMPLATE-GAS AVAILABILITY'!Q404+'RAP TEMPLATE-GAS AVAILABILITY'!R404)</f>
        <v>10.676038848920863</v>
      </c>
    </row>
    <row r="406" spans="1:29" ht="15.75" x14ac:dyDescent="0.25">
      <c r="A406" s="14">
        <v>53631</v>
      </c>
      <c r="B406" s="10">
        <f>CHOOSE(CONTROL!$C$42, 10.5043, 10.5043) * CHOOSE(CONTROL!$C$21, $C$9, 100%, $E$9)</f>
        <v>10.504300000000001</v>
      </c>
      <c r="C406" s="10">
        <f>CHOOSE(CONTROL!$C$42, 10.5095, 10.5095) * CHOOSE(CONTROL!$C$21, $C$9, 100%, $E$9)</f>
        <v>10.509499999999999</v>
      </c>
      <c r="D406" s="10">
        <f>CHOOSE(CONTROL!$C$42, 10.693, 10.693) * CHOOSE(CONTROL!$C$21, $C$9, 100%, $E$9)</f>
        <v>10.693</v>
      </c>
      <c r="E406" s="10">
        <f>CHOOSE(CONTROL!$C$42, 10.7218, 10.7218) * CHOOSE(CONTROL!$C$21, $C$9, 100%, $E$9)</f>
        <v>10.7218</v>
      </c>
      <c r="F406" s="10">
        <f>CHOOSE(CONTROL!$C$42, 10.4926, 10.4926)*CHOOSE(CONTROL!$C$21, $C$9, 100%, $E$9)</f>
        <v>10.492599999999999</v>
      </c>
      <c r="G406" s="10">
        <f>CHOOSE(CONTROL!$C$42, 10.5105, 10.5105)*CHOOSE(CONTROL!$C$21, $C$9, 100%, $E$9)</f>
        <v>10.5105</v>
      </c>
      <c r="H406" s="10">
        <f>CHOOSE(CONTROL!$C$42, 10.7123, 10.7123) * CHOOSE(CONTROL!$C$21, $C$9, 100%, $E$9)</f>
        <v>10.712300000000001</v>
      </c>
      <c r="I406" s="10">
        <f>CHOOSE(CONTROL!$C$42, 10.4829, 10.4829)* CHOOSE(CONTROL!$C$21, $C$9, 100%, $E$9)</f>
        <v>10.482900000000001</v>
      </c>
      <c r="J406" s="10">
        <f>CHOOSE(CONTROL!$C$42, 10.4856, 10.4856)* CHOOSE(CONTROL!$C$21, $C$9, 100%, $E$9)</f>
        <v>10.4856</v>
      </c>
      <c r="K406" s="54">
        <f>CHOOSE(CONTROL!$C$42, 10.479, 10.479) * CHOOSE(CONTROL!$C$21, $C$9, 100%, $E$9)</f>
        <v>10.478999999999999</v>
      </c>
      <c r="L406" s="10">
        <f>CHOOSE(CONTROL!$C$42, 11.2993, 11.2993) * CHOOSE(CONTROL!$C$21, $C$9, 100%, $E$9)</f>
        <v>11.299300000000001</v>
      </c>
      <c r="M406" s="10">
        <f>CHOOSE(CONTROL!$C$42, 10.3936, 10.3936) * CHOOSE(CONTROL!$C$21, $C$9, 100%, $E$9)</f>
        <v>10.393599999999999</v>
      </c>
      <c r="N406" s="10">
        <f>CHOOSE(CONTROL!$C$42, 10.4113, 10.4113) * CHOOSE(CONTROL!$C$21, $C$9, 100%, $E$9)</f>
        <v>10.411300000000001</v>
      </c>
      <c r="O406" s="10">
        <f>CHOOSE(CONTROL!$C$42, 10.618, 10.618) * CHOOSE(CONTROL!$C$21, $C$9, 100%, $E$9)</f>
        <v>10.618</v>
      </c>
      <c r="P406" s="10">
        <f>CHOOSE(CONTROL!$C$42, 10.391, 10.391) * CHOOSE(CONTROL!$C$21, $C$9, 100%, $E$9)</f>
        <v>10.391</v>
      </c>
      <c r="Q406" s="10">
        <f>CHOOSE(CONTROL!$C$42, 11.2133, 11.2133) * CHOOSE(CONTROL!$C$21, $C$9, 100%, $E$9)</f>
        <v>11.2133</v>
      </c>
      <c r="R406" s="10">
        <f>CHOOSE(CONTROL!$C$42, 11.8283, 11.8283) * CHOOSE(CONTROL!$C$21, $C$9, 100%, $E$9)</f>
        <v>11.8283</v>
      </c>
      <c r="S406" s="10">
        <f>CHOOSE(CONTROL!$C$42, 10.1982, 10.1982) * CHOOSE(CONTROL!$C$21, $C$9, 100%, $E$9)</f>
        <v>10.1982</v>
      </c>
      <c r="T406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06" s="58">
        <f>(1000*CHOOSE(CONTROL!$C$42, 695, 695)*CHOOSE(CONTROL!$C$42, 0.5599, 0.5599)*CHOOSE(CONTROL!$C$42, 31, 31))/1000000</f>
        <v>12.063045499999998</v>
      </c>
      <c r="V406" s="58">
        <f>(1000*CHOOSE(CONTROL!$C$42, 500, 500)*CHOOSE(CONTROL!$C$42, 0.275, 0.275)*CHOOSE(CONTROL!$C$42, 31, 31))/1000000</f>
        <v>4.2625000000000002</v>
      </c>
      <c r="W406" s="58">
        <f>(1000*CHOOSE(CONTROL!$C$42, 0.1146, 0.1146)*CHOOSE(CONTROL!$C$42, 121.5, 121.5)*CHOOSE(CONTROL!$C$42, 31, 31))/1000000</f>
        <v>0.43164089999999994</v>
      </c>
      <c r="X406" s="58">
        <f>(31*0.1790888*245000/1000000)+(31*0.2374*100000/1000000)</f>
        <v>2.0961194359999999</v>
      </c>
      <c r="Y406" s="58"/>
      <c r="Z406" s="10"/>
      <c r="AA406" s="57"/>
      <c r="AB406" s="51">
        <f>(B406*131.881+C406*277.167+D406*79.08+E406*125.872+F406*40+G406*185+H406*0+I406*100+J406*300)/(131.881+277.167+79.08+125.872+0+40+185+100+300)</f>
        <v>10.53389630702179</v>
      </c>
      <c r="AC406" s="27">
        <f>(M406*'RAP TEMPLATE-GAS AVAILABILITY'!O405+N406*'RAP TEMPLATE-GAS AVAILABILITY'!P405+O406*'RAP TEMPLATE-GAS AVAILABILITY'!Q405+P406*'RAP TEMPLATE-GAS AVAILABILITY'!R405)/('RAP TEMPLATE-GAS AVAILABILITY'!O405+'RAP TEMPLATE-GAS AVAILABILITY'!P405+'RAP TEMPLATE-GAS AVAILABILITY'!Q405+'RAP TEMPLATE-GAS AVAILABILITY'!R405)</f>
        <v>10.460261870503597</v>
      </c>
    </row>
    <row r="407" spans="1:29" ht="15.75" x14ac:dyDescent="0.25">
      <c r="A407" s="14">
        <v>53661</v>
      </c>
      <c r="B407" s="10">
        <f>CHOOSE(CONTROL!$C$42, 10.7805, 10.7805) * CHOOSE(CONTROL!$C$21, $C$9, 100%, $E$9)</f>
        <v>10.7805</v>
      </c>
      <c r="C407" s="10">
        <f>CHOOSE(CONTROL!$C$42, 10.7855, 10.7855) * CHOOSE(CONTROL!$C$21, $C$9, 100%, $E$9)</f>
        <v>10.785500000000001</v>
      </c>
      <c r="D407" s="10">
        <f>CHOOSE(CONTROL!$C$42, 10.8151, 10.8151) * CHOOSE(CONTROL!$C$21, $C$9, 100%, $E$9)</f>
        <v>10.815099999999999</v>
      </c>
      <c r="E407" s="10">
        <f>CHOOSE(CONTROL!$C$42, 10.8489, 10.8489) * CHOOSE(CONTROL!$C$21, $C$9, 100%, $E$9)</f>
        <v>10.8489</v>
      </c>
      <c r="F407" s="10">
        <f>CHOOSE(CONTROL!$C$42, 10.7663, 10.7663)*CHOOSE(CONTROL!$C$21, $C$9, 100%, $E$9)</f>
        <v>10.766299999999999</v>
      </c>
      <c r="G407" s="10">
        <f>CHOOSE(CONTROL!$C$42, 10.7843, 10.7843)*CHOOSE(CONTROL!$C$21, $C$9, 100%, $E$9)</f>
        <v>10.7843</v>
      </c>
      <c r="H407" s="10">
        <f>CHOOSE(CONTROL!$C$42, 10.8381, 10.8381) * CHOOSE(CONTROL!$C$21, $C$9, 100%, $E$9)</f>
        <v>10.838100000000001</v>
      </c>
      <c r="I407" s="10">
        <f>CHOOSE(CONTROL!$C$42, 10.7467, 10.7467)* CHOOSE(CONTROL!$C$21, $C$9, 100%, $E$9)</f>
        <v>10.746700000000001</v>
      </c>
      <c r="J407" s="10">
        <f>CHOOSE(CONTROL!$C$42, 10.7593, 10.7593)* CHOOSE(CONTROL!$C$21, $C$9, 100%, $E$9)</f>
        <v>10.7593</v>
      </c>
      <c r="K407" s="54">
        <f>CHOOSE(CONTROL!$C$42, 10.7428, 10.7428) * CHOOSE(CONTROL!$C$21, $C$9, 100%, $E$9)</f>
        <v>10.742800000000001</v>
      </c>
      <c r="L407" s="10">
        <f>CHOOSE(CONTROL!$C$42, 11.4251, 11.4251) * CHOOSE(CONTROL!$C$21, $C$9, 100%, $E$9)</f>
        <v>11.4251</v>
      </c>
      <c r="M407" s="10">
        <f>CHOOSE(CONTROL!$C$42, 10.6645, 10.6645) * CHOOSE(CONTROL!$C$21, $C$9, 100%, $E$9)</f>
        <v>10.6645</v>
      </c>
      <c r="N407" s="10">
        <f>CHOOSE(CONTROL!$C$42, 10.6824, 10.6824) * CHOOSE(CONTROL!$C$21, $C$9, 100%, $E$9)</f>
        <v>10.682399999999999</v>
      </c>
      <c r="O407" s="10">
        <f>CHOOSE(CONTROL!$C$42, 10.7425, 10.7425) * CHOOSE(CONTROL!$C$21, $C$9, 100%, $E$9)</f>
        <v>10.7425</v>
      </c>
      <c r="P407" s="10">
        <f>CHOOSE(CONTROL!$C$42, 10.6521, 10.6521) * CHOOSE(CONTROL!$C$21, $C$9, 100%, $E$9)</f>
        <v>10.652100000000001</v>
      </c>
      <c r="Q407" s="10">
        <f>CHOOSE(CONTROL!$C$42, 11.3378, 11.3378) * CHOOSE(CONTROL!$C$21, $C$9, 100%, $E$9)</f>
        <v>11.3378</v>
      </c>
      <c r="R407" s="10">
        <f>CHOOSE(CONTROL!$C$42, 11.9532, 11.9532) * CHOOSE(CONTROL!$C$21, $C$9, 100%, $E$9)</f>
        <v>11.953200000000001</v>
      </c>
      <c r="S407" s="10">
        <f>CHOOSE(CONTROL!$C$42, 10.4668, 10.4668) * CHOOSE(CONTROL!$C$21, $C$9, 100%, $E$9)</f>
        <v>10.466799999999999</v>
      </c>
      <c r="T407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07" s="58">
        <f>(1000*CHOOSE(CONTROL!$C$42, 695, 695)*CHOOSE(CONTROL!$C$42, 0.5599, 0.5599)*CHOOSE(CONTROL!$C$42, 30, 30))/1000000</f>
        <v>11.673914999999997</v>
      </c>
      <c r="V407" s="58">
        <f>(1000*CHOOSE(CONTROL!$C$42, 500, 500)*CHOOSE(CONTROL!$C$42, 0.275, 0.275)*CHOOSE(CONTROL!$C$42, 30, 30))/1000000</f>
        <v>4.125</v>
      </c>
      <c r="W407" s="58">
        <f>(1000*CHOOSE(CONTROL!$C$42, 0.1146, 0.1146)*CHOOSE(CONTROL!$C$42, 121.5, 121.5)*CHOOSE(CONTROL!$C$42, 30, 30))/1000000</f>
        <v>0.417717</v>
      </c>
      <c r="X407" s="58">
        <f>(30*0.1790888*100000/1000000)+(30*0.2374*100000/1000000)</f>
        <v>1.2494664</v>
      </c>
      <c r="Y407" s="58"/>
      <c r="Z407" s="10"/>
      <c r="AA407" s="57"/>
      <c r="AB407" s="51">
        <f>(B407*122.58+C407*297.941+D407*89.177+E407*40.302+F407*40+G407*160+H407*0+I407*100+J407*300)/(122.58+297.941+89.177+40.302+0+40+160+100+300)</f>
        <v>10.778440770434782</v>
      </c>
      <c r="AC407" s="27">
        <f>(M407*'RAP TEMPLATE-GAS AVAILABILITY'!O406+N407*'RAP TEMPLATE-GAS AVAILABILITY'!P406+O407*'RAP TEMPLATE-GAS AVAILABILITY'!Q406+P407*'RAP TEMPLATE-GAS AVAILABILITY'!R406)/('RAP TEMPLATE-GAS AVAILABILITY'!O406+'RAP TEMPLATE-GAS AVAILABILITY'!P406+'RAP TEMPLATE-GAS AVAILABILITY'!Q406+'RAP TEMPLATE-GAS AVAILABILITY'!R406)</f>
        <v>10.699098561151079</v>
      </c>
    </row>
    <row r="408" spans="1:29" ht="15.75" x14ac:dyDescent="0.25">
      <c r="A408" s="14">
        <v>53692</v>
      </c>
      <c r="B408" s="10">
        <f>CHOOSE(CONTROL!$C$42, 11.5153, 11.5153) * CHOOSE(CONTROL!$C$21, $C$9, 100%, $E$9)</f>
        <v>11.5153</v>
      </c>
      <c r="C408" s="10">
        <f>CHOOSE(CONTROL!$C$42, 11.5203, 11.5203) * CHOOSE(CONTROL!$C$21, $C$9, 100%, $E$9)</f>
        <v>11.520300000000001</v>
      </c>
      <c r="D408" s="10">
        <f>CHOOSE(CONTROL!$C$42, 11.5499, 11.5499) * CHOOSE(CONTROL!$C$21, $C$9, 100%, $E$9)</f>
        <v>11.549899999999999</v>
      </c>
      <c r="E408" s="10">
        <f>CHOOSE(CONTROL!$C$42, 11.5837, 11.5837) * CHOOSE(CONTROL!$C$21, $C$9, 100%, $E$9)</f>
        <v>11.5837</v>
      </c>
      <c r="F408" s="10">
        <f>CHOOSE(CONTROL!$C$42, 11.5026, 11.5026)*CHOOSE(CONTROL!$C$21, $C$9, 100%, $E$9)</f>
        <v>11.502599999999999</v>
      </c>
      <c r="G408" s="10">
        <f>CHOOSE(CONTROL!$C$42, 11.5211, 11.5211)*CHOOSE(CONTROL!$C$21, $C$9, 100%, $E$9)</f>
        <v>11.521100000000001</v>
      </c>
      <c r="H408" s="10">
        <f>CHOOSE(CONTROL!$C$42, 11.5729, 11.5729) * CHOOSE(CONTROL!$C$21, $C$9, 100%, $E$9)</f>
        <v>11.572900000000001</v>
      </c>
      <c r="I408" s="10">
        <f>CHOOSE(CONTROL!$C$42, 11.4815, 11.4815)* CHOOSE(CONTROL!$C$21, $C$9, 100%, $E$9)</f>
        <v>11.4815</v>
      </c>
      <c r="J408" s="10">
        <f>CHOOSE(CONTROL!$C$42, 11.4956, 11.4956)* CHOOSE(CONTROL!$C$21, $C$9, 100%, $E$9)</f>
        <v>11.4956</v>
      </c>
      <c r="K408" s="54">
        <f>CHOOSE(CONTROL!$C$42, 11.4776, 11.4776) * CHOOSE(CONTROL!$C$21, $C$9, 100%, $E$9)</f>
        <v>11.477600000000001</v>
      </c>
      <c r="L408" s="10">
        <f>CHOOSE(CONTROL!$C$42, 12.1599, 12.1599) * CHOOSE(CONTROL!$C$21, $C$9, 100%, $E$9)</f>
        <v>12.1599</v>
      </c>
      <c r="M408" s="10">
        <f>CHOOSE(CONTROL!$C$42, 11.3934, 11.3934) * CHOOSE(CONTROL!$C$21, $C$9, 100%, $E$9)</f>
        <v>11.3934</v>
      </c>
      <c r="N408" s="10">
        <f>CHOOSE(CONTROL!$C$42, 11.4117, 11.4117) * CHOOSE(CONTROL!$C$21, $C$9, 100%, $E$9)</f>
        <v>11.4117</v>
      </c>
      <c r="O408" s="10">
        <f>CHOOSE(CONTROL!$C$42, 11.4699, 11.4699) * CHOOSE(CONTROL!$C$21, $C$9, 100%, $E$9)</f>
        <v>11.469900000000001</v>
      </c>
      <c r="P408" s="10">
        <f>CHOOSE(CONTROL!$C$42, 11.3795, 11.3795) * CHOOSE(CONTROL!$C$21, $C$9, 100%, $E$9)</f>
        <v>11.3795</v>
      </c>
      <c r="Q408" s="10">
        <f>CHOOSE(CONTROL!$C$42, 12.0652, 12.0652) * CHOOSE(CONTROL!$C$21, $C$9, 100%, $E$9)</f>
        <v>12.065200000000001</v>
      </c>
      <c r="R408" s="10">
        <f>CHOOSE(CONTROL!$C$42, 12.6824, 12.6824) * CHOOSE(CONTROL!$C$21, $C$9, 100%, $E$9)</f>
        <v>12.682399999999999</v>
      </c>
      <c r="S408" s="10">
        <f>CHOOSE(CONTROL!$C$42, 11.1804, 11.1804) * CHOOSE(CONTROL!$C$21, $C$9, 100%, $E$9)</f>
        <v>11.180400000000001</v>
      </c>
      <c r="T408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08" s="58">
        <f>(1000*CHOOSE(CONTROL!$C$42, 695, 695)*CHOOSE(CONTROL!$C$42, 0.5599, 0.5599)*CHOOSE(CONTROL!$C$42, 31, 31))/1000000</f>
        <v>12.063045499999998</v>
      </c>
      <c r="V408" s="58">
        <f>(1000*CHOOSE(CONTROL!$C$42, 500, 500)*CHOOSE(CONTROL!$C$42, 0.275, 0.275)*CHOOSE(CONTROL!$C$42, 31, 31))/1000000</f>
        <v>4.2625000000000002</v>
      </c>
      <c r="W408" s="58">
        <f>(1000*CHOOSE(CONTROL!$C$42, 0.1146, 0.1146)*CHOOSE(CONTROL!$C$42, 121.5, 121.5)*CHOOSE(CONTROL!$C$42, 31, 31))/1000000</f>
        <v>0.43164089999999994</v>
      </c>
      <c r="X408" s="58">
        <f>(31*0.1790888*100000/1000000)+(31*0.2374*100000/1000000)</f>
        <v>1.2911152800000001</v>
      </c>
      <c r="Y408" s="58"/>
      <c r="Z408" s="10"/>
      <c r="AA408" s="57"/>
      <c r="AB408" s="51">
        <f>(B408*122.58+C408*297.941+D408*89.177+E408*40.302+F408*40+G408*160+H408*0+I408*100+J408*300)/(122.58+297.941+89.177+40.302+0+40+160+100+300)</f>
        <v>11.513962509565218</v>
      </c>
      <c r="AC408" s="27">
        <f>(M408*'RAP TEMPLATE-GAS AVAILABILITY'!O407+N408*'RAP TEMPLATE-GAS AVAILABILITY'!P407+O408*'RAP TEMPLATE-GAS AVAILABILITY'!Q407+P408*'RAP TEMPLATE-GAS AVAILABILITY'!R407)/('RAP TEMPLATE-GAS AVAILABILITY'!O407+'RAP TEMPLATE-GAS AVAILABILITY'!P407+'RAP TEMPLATE-GAS AVAILABILITY'!Q407+'RAP TEMPLATE-GAS AVAILABILITY'!R407)</f>
        <v>11.427125899280576</v>
      </c>
    </row>
    <row r="409" spans="1:29" ht="15.75" x14ac:dyDescent="0.25">
      <c r="A409" s="14">
        <v>53723</v>
      </c>
      <c r="B409" s="10">
        <f>CHOOSE(CONTROL!$C$42, 12.2923, 12.2923) * CHOOSE(CONTROL!$C$21, $C$9, 100%, $E$9)</f>
        <v>12.292299999999999</v>
      </c>
      <c r="C409" s="10">
        <f>CHOOSE(CONTROL!$C$42, 12.2973, 12.2973) * CHOOSE(CONTROL!$C$21, $C$9, 100%, $E$9)</f>
        <v>12.2973</v>
      </c>
      <c r="D409" s="10">
        <f>CHOOSE(CONTROL!$C$42, 12.3475, 12.3475) * CHOOSE(CONTROL!$C$21, $C$9, 100%, $E$9)</f>
        <v>12.3475</v>
      </c>
      <c r="E409" s="10">
        <f>CHOOSE(CONTROL!$C$42, 12.3813, 12.3813) * CHOOSE(CONTROL!$C$21, $C$9, 100%, $E$9)</f>
        <v>12.3813</v>
      </c>
      <c r="F409" s="10">
        <f>CHOOSE(CONTROL!$C$42, 12.2577, 12.2577)*CHOOSE(CONTROL!$C$21, $C$9, 100%, $E$9)</f>
        <v>12.2577</v>
      </c>
      <c r="G409" s="10">
        <f>CHOOSE(CONTROL!$C$42, 12.2753, 12.2753)*CHOOSE(CONTROL!$C$21, $C$9, 100%, $E$9)</f>
        <v>12.2753</v>
      </c>
      <c r="H409" s="10">
        <f>CHOOSE(CONTROL!$C$42, 12.3705, 12.3705) * CHOOSE(CONTROL!$C$21, $C$9, 100%, $E$9)</f>
        <v>12.3705</v>
      </c>
      <c r="I409" s="10">
        <f>CHOOSE(CONTROL!$C$42, 12.2662, 12.2662)* CHOOSE(CONTROL!$C$21, $C$9, 100%, $E$9)</f>
        <v>12.2662</v>
      </c>
      <c r="J409" s="10">
        <f>CHOOSE(CONTROL!$C$42, 12.2507, 12.2507)* CHOOSE(CONTROL!$C$21, $C$9, 100%, $E$9)</f>
        <v>12.2507</v>
      </c>
      <c r="K409" s="54">
        <f>CHOOSE(CONTROL!$C$42, 12.2623, 12.2623) * CHOOSE(CONTROL!$C$21, $C$9, 100%, $E$9)</f>
        <v>12.2623</v>
      </c>
      <c r="L409" s="10">
        <f>CHOOSE(CONTROL!$C$42, 12.9575, 12.9575) * CHOOSE(CONTROL!$C$21, $C$9, 100%, $E$9)</f>
        <v>12.9575</v>
      </c>
      <c r="M409" s="10">
        <f>CHOOSE(CONTROL!$C$42, 12.1409, 12.1409) * CHOOSE(CONTROL!$C$21, $C$9, 100%, $E$9)</f>
        <v>12.1409</v>
      </c>
      <c r="N409" s="10">
        <f>CHOOSE(CONTROL!$C$42, 12.1583, 12.1583) * CHOOSE(CONTROL!$C$21, $C$9, 100%, $E$9)</f>
        <v>12.158300000000001</v>
      </c>
      <c r="O409" s="10">
        <f>CHOOSE(CONTROL!$C$42, 12.2595, 12.2595) * CHOOSE(CONTROL!$C$21, $C$9, 100%, $E$9)</f>
        <v>12.259499999999999</v>
      </c>
      <c r="P409" s="10">
        <f>CHOOSE(CONTROL!$C$42, 12.1563, 12.1563) * CHOOSE(CONTROL!$C$21, $C$9, 100%, $E$9)</f>
        <v>12.1563</v>
      </c>
      <c r="Q409" s="10">
        <f>CHOOSE(CONTROL!$C$42, 12.8548, 12.8548) * CHOOSE(CONTROL!$C$21, $C$9, 100%, $E$9)</f>
        <v>12.854799999999999</v>
      </c>
      <c r="R409" s="10">
        <f>CHOOSE(CONTROL!$C$42, 13.4739, 13.4739) * CHOOSE(CONTROL!$C$21, $C$9, 100%, $E$9)</f>
        <v>13.4739</v>
      </c>
      <c r="S409" s="10">
        <f>CHOOSE(CONTROL!$C$42, 11.935, 11.935) * CHOOSE(CONTROL!$C$21, $C$9, 100%, $E$9)</f>
        <v>11.935</v>
      </c>
      <c r="T409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09" s="58">
        <f>(1000*CHOOSE(CONTROL!$C$42, 695, 695)*CHOOSE(CONTROL!$C$42, 0.5599, 0.5599)*CHOOSE(CONTROL!$C$42, 31, 31))/1000000</f>
        <v>12.063045499999998</v>
      </c>
      <c r="V409" s="58">
        <f>(1000*CHOOSE(CONTROL!$C$42, 500, 500)*CHOOSE(CONTROL!$C$42, 0.275, 0.275)*CHOOSE(CONTROL!$C$42, 31, 31))/1000000</f>
        <v>4.2625000000000002</v>
      </c>
      <c r="W409" s="58">
        <f>(1000*CHOOSE(CONTROL!$C$42, 0.1146, 0.1146)*CHOOSE(CONTROL!$C$42, 121.5, 121.5)*CHOOSE(CONTROL!$C$42, 31, 31))/1000000</f>
        <v>0.43164089999999994</v>
      </c>
      <c r="X409" s="58">
        <f>(31*0.1790888*100000/1000000)+(31*0.2374*100000/1000000)</f>
        <v>1.2911152800000001</v>
      </c>
      <c r="Y409" s="58"/>
      <c r="Z409" s="10"/>
      <c r="AA409" s="57"/>
      <c r="AB409" s="51">
        <f>(B409*122.58+C409*297.941+D409*89.177+E409*40.302+F409*40+G409*160+H409*0+I409*100+J409*300)/(122.58+297.941+89.177+40.302+0+40+160+100+300)</f>
        <v>12.284304481217388</v>
      </c>
      <c r="AC409" s="27">
        <f>(M409*'RAP TEMPLATE-GAS AVAILABILITY'!O408+N409*'RAP TEMPLATE-GAS AVAILABILITY'!P408+O409*'RAP TEMPLATE-GAS AVAILABILITY'!Q408+P409*'RAP TEMPLATE-GAS AVAILABILITY'!R408)/('RAP TEMPLATE-GAS AVAILABILITY'!O408+'RAP TEMPLATE-GAS AVAILABILITY'!P408+'RAP TEMPLATE-GAS AVAILABILITY'!Q408+'RAP TEMPLATE-GAS AVAILABILITY'!R408)</f>
        <v>12.197871223021581</v>
      </c>
    </row>
    <row r="410" spans="1:29" ht="15.75" x14ac:dyDescent="0.25">
      <c r="A410" s="14">
        <v>53751</v>
      </c>
      <c r="B410" s="10">
        <f>CHOOSE(CONTROL!$C$42, 12.5111, 12.5111) * CHOOSE(CONTROL!$C$21, $C$9, 100%, $E$9)</f>
        <v>12.511100000000001</v>
      </c>
      <c r="C410" s="10">
        <f>CHOOSE(CONTROL!$C$42, 12.5161, 12.5161) * CHOOSE(CONTROL!$C$21, $C$9, 100%, $E$9)</f>
        <v>12.5161</v>
      </c>
      <c r="D410" s="10">
        <f>CHOOSE(CONTROL!$C$42, 12.6332, 12.6332) * CHOOSE(CONTROL!$C$21, $C$9, 100%, $E$9)</f>
        <v>12.6332</v>
      </c>
      <c r="E410" s="10">
        <f>CHOOSE(CONTROL!$C$42, 12.667, 12.667) * CHOOSE(CONTROL!$C$21, $C$9, 100%, $E$9)</f>
        <v>12.667</v>
      </c>
      <c r="F410" s="10">
        <f>CHOOSE(CONTROL!$C$42, 12.5887, 12.5887)*CHOOSE(CONTROL!$C$21, $C$9, 100%, $E$9)</f>
        <v>12.588699999999999</v>
      </c>
      <c r="G410" s="10">
        <f>CHOOSE(CONTROL!$C$42, 12.6106, 12.6106)*CHOOSE(CONTROL!$C$21, $C$9, 100%, $E$9)</f>
        <v>12.6106</v>
      </c>
      <c r="H410" s="10">
        <f>CHOOSE(CONTROL!$C$42, 12.6562, 12.6562) * CHOOSE(CONTROL!$C$21, $C$9, 100%, $E$9)</f>
        <v>12.6562</v>
      </c>
      <c r="I410" s="10">
        <f>CHOOSE(CONTROL!$C$42, 12.5468, 12.5468)* CHOOSE(CONTROL!$C$21, $C$9, 100%, $E$9)</f>
        <v>12.546799999999999</v>
      </c>
      <c r="J410" s="10">
        <f>CHOOSE(CONTROL!$C$42, 12.5817, 12.5817)* CHOOSE(CONTROL!$C$21, $C$9, 100%, $E$9)</f>
        <v>12.5817</v>
      </c>
      <c r="K410" s="54">
        <f>CHOOSE(CONTROL!$C$42, 12.5429, 12.5429) * CHOOSE(CONTROL!$C$21, $C$9, 100%, $E$9)</f>
        <v>12.542899999999999</v>
      </c>
      <c r="L410" s="10">
        <f>CHOOSE(CONTROL!$C$42, 13.2432, 13.2432) * CHOOSE(CONTROL!$C$21, $C$9, 100%, $E$9)</f>
        <v>13.2432</v>
      </c>
      <c r="M410" s="10">
        <f>CHOOSE(CONTROL!$C$42, 12.4686, 12.4686) * CHOOSE(CONTROL!$C$21, $C$9, 100%, $E$9)</f>
        <v>12.4686</v>
      </c>
      <c r="N410" s="10">
        <f>CHOOSE(CONTROL!$C$42, 12.4902, 12.4902) * CHOOSE(CONTROL!$C$21, $C$9, 100%, $E$9)</f>
        <v>12.4902</v>
      </c>
      <c r="O410" s="10">
        <f>CHOOSE(CONTROL!$C$42, 12.5423, 12.5423) * CHOOSE(CONTROL!$C$21, $C$9, 100%, $E$9)</f>
        <v>12.542299999999999</v>
      </c>
      <c r="P410" s="10">
        <f>CHOOSE(CONTROL!$C$42, 12.434, 12.434) * CHOOSE(CONTROL!$C$21, $C$9, 100%, $E$9)</f>
        <v>12.433999999999999</v>
      </c>
      <c r="Q410" s="10">
        <f>CHOOSE(CONTROL!$C$42, 13.1376, 13.1376) * CHOOSE(CONTROL!$C$21, $C$9, 100%, $E$9)</f>
        <v>13.137600000000001</v>
      </c>
      <c r="R410" s="10">
        <f>CHOOSE(CONTROL!$C$42, 13.7574, 13.7574) * CHOOSE(CONTROL!$C$21, $C$9, 100%, $E$9)</f>
        <v>13.757400000000001</v>
      </c>
      <c r="S410" s="10">
        <f>CHOOSE(CONTROL!$C$42, 12.1474, 12.1474) * CHOOSE(CONTROL!$C$21, $C$9, 100%, $E$9)</f>
        <v>12.147399999999999</v>
      </c>
      <c r="T410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410" s="58">
        <f>(1000*CHOOSE(CONTROL!$C$42, 695, 695)*CHOOSE(CONTROL!$C$42, 0.5599, 0.5599)*CHOOSE(CONTROL!$C$42, 28, 28))/1000000</f>
        <v>10.895653999999999</v>
      </c>
      <c r="V410" s="58">
        <f>(1000*CHOOSE(CONTROL!$C$42, 500, 500)*CHOOSE(CONTROL!$C$42, 0.275, 0.275)*CHOOSE(CONTROL!$C$42, 28, 28))/1000000</f>
        <v>3.85</v>
      </c>
      <c r="W410" s="58">
        <f>(1000*CHOOSE(CONTROL!$C$42, 0.1146, 0.1146)*CHOOSE(CONTROL!$C$42, 121.5, 121.5)*CHOOSE(CONTROL!$C$42, 28, 28))/1000000</f>
        <v>0.38986920000000003</v>
      </c>
      <c r="X410" s="58">
        <f>(28*0.1790888*100000/1000000)+(28*0.2374*100000/1000000)</f>
        <v>1.16616864</v>
      </c>
      <c r="Y410" s="58"/>
      <c r="Z410" s="10"/>
      <c r="AA410" s="57"/>
      <c r="AB410" s="51">
        <f>(B410*122.58+C410*297.941+D410*89.177+E410*40.302+F410*40+G410*160+H410*0+I410*100+J410*300)/(122.58+297.941+89.177+40.302+0+40+160+100+300)</f>
        <v>12.565391563913044</v>
      </c>
      <c r="AC410" s="27">
        <f>(M410*'RAP TEMPLATE-GAS AVAILABILITY'!O409+N410*'RAP TEMPLATE-GAS AVAILABILITY'!P409+O410*'RAP TEMPLATE-GAS AVAILABILITY'!Q409+P410*'RAP TEMPLATE-GAS AVAILABILITY'!R409)/('RAP TEMPLATE-GAS AVAILABILITY'!O409+'RAP TEMPLATE-GAS AVAILABILITY'!P409+'RAP TEMPLATE-GAS AVAILABILITY'!Q409+'RAP TEMPLATE-GAS AVAILABILITY'!R409)</f>
        <v>12.498268345323742</v>
      </c>
    </row>
    <row r="411" spans="1:29" ht="15.75" x14ac:dyDescent="0.25">
      <c r="A411" s="14">
        <v>53782</v>
      </c>
      <c r="B411" s="10">
        <f>CHOOSE(CONTROL!$C$42, 12.156, 12.156) * CHOOSE(CONTROL!$C$21, $C$9, 100%, $E$9)</f>
        <v>12.156000000000001</v>
      </c>
      <c r="C411" s="10">
        <f>CHOOSE(CONTROL!$C$42, 12.1609, 12.1609) * CHOOSE(CONTROL!$C$21, $C$9, 100%, $E$9)</f>
        <v>12.1609</v>
      </c>
      <c r="D411" s="10">
        <f>CHOOSE(CONTROL!$C$42, 12.2523, 12.2523) * CHOOSE(CONTROL!$C$21, $C$9, 100%, $E$9)</f>
        <v>12.2523</v>
      </c>
      <c r="E411" s="10">
        <f>CHOOSE(CONTROL!$C$42, 12.2861, 12.2861) * CHOOSE(CONTROL!$C$21, $C$9, 100%, $E$9)</f>
        <v>12.286099999999999</v>
      </c>
      <c r="F411" s="10">
        <f>CHOOSE(CONTROL!$C$42, 12.1858, 12.1858)*CHOOSE(CONTROL!$C$21, $C$9, 100%, $E$9)</f>
        <v>12.1858</v>
      </c>
      <c r="G411" s="10">
        <f>CHOOSE(CONTROL!$C$42, 12.2053, 12.2053)*CHOOSE(CONTROL!$C$21, $C$9, 100%, $E$9)</f>
        <v>12.205299999999999</v>
      </c>
      <c r="H411" s="10">
        <f>CHOOSE(CONTROL!$C$42, 12.2753, 12.2753) * CHOOSE(CONTROL!$C$21, $C$9, 100%, $E$9)</f>
        <v>12.2753</v>
      </c>
      <c r="I411" s="10">
        <f>CHOOSE(CONTROL!$C$42, 12.1788, 12.1788)* CHOOSE(CONTROL!$C$21, $C$9, 100%, $E$9)</f>
        <v>12.178800000000001</v>
      </c>
      <c r="J411" s="10">
        <f>CHOOSE(CONTROL!$C$42, 12.1788, 12.1788)* CHOOSE(CONTROL!$C$21, $C$9, 100%, $E$9)</f>
        <v>12.178800000000001</v>
      </c>
      <c r="K411" s="54">
        <f>CHOOSE(CONTROL!$C$42, 12.1749, 12.1749) * CHOOSE(CONTROL!$C$21, $C$9, 100%, $E$9)</f>
        <v>12.174899999999999</v>
      </c>
      <c r="L411" s="10">
        <f>CHOOSE(CONTROL!$C$42, 12.8623, 12.8623) * CHOOSE(CONTROL!$C$21, $C$9, 100%, $E$9)</f>
        <v>12.862299999999999</v>
      </c>
      <c r="M411" s="10">
        <f>CHOOSE(CONTROL!$C$42, 12.0698, 12.0698) * CHOOSE(CONTROL!$C$21, $C$9, 100%, $E$9)</f>
        <v>12.069800000000001</v>
      </c>
      <c r="N411" s="10">
        <f>CHOOSE(CONTROL!$C$42, 12.0891, 12.0891) * CHOOSE(CONTROL!$C$21, $C$9, 100%, $E$9)</f>
        <v>12.0891</v>
      </c>
      <c r="O411" s="10">
        <f>CHOOSE(CONTROL!$C$42, 12.1653, 12.1653) * CHOOSE(CONTROL!$C$21, $C$9, 100%, $E$9)</f>
        <v>12.1653</v>
      </c>
      <c r="P411" s="10">
        <f>CHOOSE(CONTROL!$C$42, 12.0698, 12.0698) * CHOOSE(CONTROL!$C$21, $C$9, 100%, $E$9)</f>
        <v>12.069800000000001</v>
      </c>
      <c r="Q411" s="10">
        <f>CHOOSE(CONTROL!$C$42, 12.7606, 12.7606) * CHOOSE(CONTROL!$C$21, $C$9, 100%, $E$9)</f>
        <v>12.7606</v>
      </c>
      <c r="R411" s="10">
        <f>CHOOSE(CONTROL!$C$42, 13.3795, 13.3795) * CHOOSE(CONTROL!$C$21, $C$9, 100%, $E$9)</f>
        <v>13.3795</v>
      </c>
      <c r="S411" s="10">
        <f>CHOOSE(CONTROL!$C$42, 11.8026, 11.8026) * CHOOSE(CONTROL!$C$21, $C$9, 100%, $E$9)</f>
        <v>11.8026</v>
      </c>
      <c r="T411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411" s="58">
        <f>(1000*CHOOSE(CONTROL!$C$42, 695, 695)*CHOOSE(CONTROL!$C$42, 0.5599, 0.5599)*CHOOSE(CONTROL!$C$42, 31, 31))/1000000</f>
        <v>12.063045499999998</v>
      </c>
      <c r="V411" s="58">
        <f>(1000*CHOOSE(CONTROL!$C$42, 500, 500)*CHOOSE(CONTROL!$C$42, 0.275, 0.275)*CHOOSE(CONTROL!$C$42, 31, 31))/1000000</f>
        <v>4.2625000000000002</v>
      </c>
      <c r="W411" s="58">
        <f>(1000*CHOOSE(CONTROL!$C$42, 0.1146, 0.1146)*CHOOSE(CONTROL!$C$42, 121.5, 121.5)*CHOOSE(CONTROL!$C$42, 31, 31))/1000000</f>
        <v>0.43164089999999994</v>
      </c>
      <c r="X411" s="58">
        <f>(31*0.1790888*100000/1000000)+(31*0.2374*100000/1000000)</f>
        <v>1.2911152800000001</v>
      </c>
      <c r="Y411" s="58"/>
      <c r="Z411" s="10"/>
      <c r="AA411" s="57"/>
      <c r="AB411" s="51">
        <f>(B411*122.58+C411*297.941+D411*89.177+E411*40.302+F411*40+G411*160+H411*0+I411*100+J411*300)/(122.58+297.941+89.177+40.302+0+40+160+100+300)</f>
        <v>12.185122561913042</v>
      </c>
      <c r="AC411" s="27">
        <f>(M411*'RAP TEMPLATE-GAS AVAILABILITY'!O410+N411*'RAP TEMPLATE-GAS AVAILABILITY'!P410+O411*'RAP TEMPLATE-GAS AVAILABILITY'!Q410+P411*'RAP TEMPLATE-GAS AVAILABILITY'!R410)/('RAP TEMPLATE-GAS AVAILABILITY'!O410+'RAP TEMPLATE-GAS AVAILABILITY'!P410+'RAP TEMPLATE-GAS AVAILABILITY'!Q410+'RAP TEMPLATE-GAS AVAILABILITY'!R410)</f>
        <v>12.114194964028776</v>
      </c>
    </row>
    <row r="412" spans="1:29" ht="15.75" x14ac:dyDescent="0.25">
      <c r="A412" s="14">
        <v>53812</v>
      </c>
      <c r="B412" s="10">
        <f>CHOOSE(CONTROL!$C$42, 12.1204, 12.1204) * CHOOSE(CONTROL!$C$21, $C$9, 100%, $E$9)</f>
        <v>12.1204</v>
      </c>
      <c r="C412" s="10">
        <f>CHOOSE(CONTROL!$C$42, 12.1248, 12.1248) * CHOOSE(CONTROL!$C$21, $C$9, 100%, $E$9)</f>
        <v>12.1248</v>
      </c>
      <c r="D412" s="10">
        <f>CHOOSE(CONTROL!$C$42, 12.3064, 12.3064) * CHOOSE(CONTROL!$C$21, $C$9, 100%, $E$9)</f>
        <v>12.3064</v>
      </c>
      <c r="E412" s="10">
        <f>CHOOSE(CONTROL!$C$42, 12.3382, 12.3382) * CHOOSE(CONTROL!$C$21, $C$9, 100%, $E$9)</f>
        <v>12.338200000000001</v>
      </c>
      <c r="F412" s="10">
        <f>CHOOSE(CONTROL!$C$42, 12.1087, 12.1087)*CHOOSE(CONTROL!$C$21, $C$9, 100%, $E$9)</f>
        <v>12.108700000000001</v>
      </c>
      <c r="G412" s="10">
        <f>CHOOSE(CONTROL!$C$42, 12.1267, 12.1267)*CHOOSE(CONTROL!$C$21, $C$9, 100%, $E$9)</f>
        <v>12.1267</v>
      </c>
      <c r="H412" s="10">
        <f>CHOOSE(CONTROL!$C$42, 12.328, 12.328) * CHOOSE(CONTROL!$C$21, $C$9, 100%, $E$9)</f>
        <v>12.327999999999999</v>
      </c>
      <c r="I412" s="10">
        <f>CHOOSE(CONTROL!$C$42, 12.0987, 12.0987)* CHOOSE(CONTROL!$C$21, $C$9, 100%, $E$9)</f>
        <v>12.098699999999999</v>
      </c>
      <c r="J412" s="10">
        <f>CHOOSE(CONTROL!$C$42, 12.1017, 12.1017)* CHOOSE(CONTROL!$C$21, $C$9, 100%, $E$9)</f>
        <v>12.101699999999999</v>
      </c>
      <c r="K412" s="54">
        <f>CHOOSE(CONTROL!$C$42, 12.0948, 12.0948) * CHOOSE(CONTROL!$C$21, $C$9, 100%, $E$9)</f>
        <v>12.094799999999999</v>
      </c>
      <c r="L412" s="10">
        <f>CHOOSE(CONTROL!$C$42, 12.915, 12.915) * CHOOSE(CONTROL!$C$21, $C$9, 100%, $E$9)</f>
        <v>12.914999999999999</v>
      </c>
      <c r="M412" s="10">
        <f>CHOOSE(CONTROL!$C$42, 11.9934, 11.9934) * CHOOSE(CONTROL!$C$21, $C$9, 100%, $E$9)</f>
        <v>11.993399999999999</v>
      </c>
      <c r="N412" s="10">
        <f>CHOOSE(CONTROL!$C$42, 12.0112, 12.0112) * CHOOSE(CONTROL!$C$21, $C$9, 100%, $E$9)</f>
        <v>12.011200000000001</v>
      </c>
      <c r="O412" s="10">
        <f>CHOOSE(CONTROL!$C$42, 12.2174, 12.2174) * CHOOSE(CONTROL!$C$21, $C$9, 100%, $E$9)</f>
        <v>12.2174</v>
      </c>
      <c r="P412" s="10">
        <f>CHOOSE(CONTROL!$C$42, 11.9904, 11.9904) * CHOOSE(CONTROL!$C$21, $C$9, 100%, $E$9)</f>
        <v>11.990399999999999</v>
      </c>
      <c r="Q412" s="10">
        <f>CHOOSE(CONTROL!$C$42, 12.8127, 12.8127) * CHOOSE(CONTROL!$C$21, $C$9, 100%, $E$9)</f>
        <v>12.8127</v>
      </c>
      <c r="R412" s="10">
        <f>CHOOSE(CONTROL!$C$42, 13.4317, 13.4317) * CHOOSE(CONTROL!$C$21, $C$9, 100%, $E$9)</f>
        <v>13.431699999999999</v>
      </c>
      <c r="S412" s="10">
        <f>CHOOSE(CONTROL!$C$42, 11.7672, 11.7672) * CHOOSE(CONTROL!$C$21, $C$9, 100%, $E$9)</f>
        <v>11.767200000000001</v>
      </c>
      <c r="T412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12" s="58">
        <f>(1000*CHOOSE(CONTROL!$C$42, 695, 695)*CHOOSE(CONTROL!$C$42, 0.5599, 0.5599)*CHOOSE(CONTROL!$C$42, 30, 30))/1000000</f>
        <v>11.673914999999997</v>
      </c>
      <c r="V412" s="58">
        <f>(1000*CHOOSE(CONTROL!$C$42, 500, 500)*CHOOSE(CONTROL!$C$42, 0.275, 0.275)*CHOOSE(CONTROL!$C$42, 30, 30))/1000000</f>
        <v>4.125</v>
      </c>
      <c r="W412" s="58">
        <f>(1000*CHOOSE(CONTROL!$C$42, 0.1146, 0.1146)*CHOOSE(CONTROL!$C$42, 121.5, 121.5)*CHOOSE(CONTROL!$C$42, 30, 30))/1000000</f>
        <v>0.417717</v>
      </c>
      <c r="X412" s="58">
        <f>(30*0.1790888*245000/1000000)+(30*0.2374*100000/1000000)</f>
        <v>2.0285026799999999</v>
      </c>
      <c r="Y412" s="58"/>
      <c r="Z412" s="10"/>
      <c r="AA412" s="57"/>
      <c r="AB412" s="51">
        <f>(B412*141.293+C412*267.993+D412*115.016+E412*89.698+F412*40+G412*185+H412*0+I412*100+J412*300)/(141.293+267.993+115.016+89.698+0+40+185+100+300)</f>
        <v>12.148669466989507</v>
      </c>
      <c r="AC412" s="27">
        <f>(M412*'RAP TEMPLATE-GAS AVAILABILITY'!O411+N412*'RAP TEMPLATE-GAS AVAILABILITY'!P411+O412*'RAP TEMPLATE-GAS AVAILABILITY'!Q411+P412*'RAP TEMPLATE-GAS AVAILABILITY'!R411)/('RAP TEMPLATE-GAS AVAILABILITY'!O411+'RAP TEMPLATE-GAS AVAILABILITY'!P411+'RAP TEMPLATE-GAS AVAILABILITY'!Q411+'RAP TEMPLATE-GAS AVAILABILITY'!R411)</f>
        <v>12.059915107913669</v>
      </c>
    </row>
    <row r="413" spans="1:29" ht="15.75" x14ac:dyDescent="0.25">
      <c r="A413" s="14">
        <v>53843</v>
      </c>
      <c r="B413" s="10">
        <f>CHOOSE(CONTROL!$C$42, 12.2291, 12.2291) * CHOOSE(CONTROL!$C$21, $C$9, 100%, $E$9)</f>
        <v>12.229100000000001</v>
      </c>
      <c r="C413" s="10">
        <f>CHOOSE(CONTROL!$C$42, 12.237, 12.237) * CHOOSE(CONTROL!$C$21, $C$9, 100%, $E$9)</f>
        <v>12.237</v>
      </c>
      <c r="D413" s="10">
        <f>CHOOSE(CONTROL!$C$42, 12.4156, 12.4156) * CHOOSE(CONTROL!$C$21, $C$9, 100%, $E$9)</f>
        <v>12.4156</v>
      </c>
      <c r="E413" s="10">
        <f>CHOOSE(CONTROL!$C$42, 12.4467, 12.4467) * CHOOSE(CONTROL!$C$21, $C$9, 100%, $E$9)</f>
        <v>12.4467</v>
      </c>
      <c r="F413" s="10">
        <f>CHOOSE(CONTROL!$C$42, 12.2153, 12.2153)*CHOOSE(CONTROL!$C$21, $C$9, 100%, $E$9)</f>
        <v>12.215299999999999</v>
      </c>
      <c r="G413" s="10">
        <f>CHOOSE(CONTROL!$C$42, 12.2335, 12.2335)*CHOOSE(CONTROL!$C$21, $C$9, 100%, $E$9)</f>
        <v>12.233499999999999</v>
      </c>
      <c r="H413" s="10">
        <f>CHOOSE(CONTROL!$C$42, 12.4353, 12.4353) * CHOOSE(CONTROL!$C$21, $C$9, 100%, $E$9)</f>
        <v>12.4353</v>
      </c>
      <c r="I413" s="10">
        <f>CHOOSE(CONTROL!$C$42, 12.206, 12.206)* CHOOSE(CONTROL!$C$21, $C$9, 100%, $E$9)</f>
        <v>12.206</v>
      </c>
      <c r="J413" s="10">
        <f>CHOOSE(CONTROL!$C$42, 12.2083, 12.2083)* CHOOSE(CONTROL!$C$21, $C$9, 100%, $E$9)</f>
        <v>12.208299999999999</v>
      </c>
      <c r="K413" s="54">
        <f>CHOOSE(CONTROL!$C$42, 12.2021, 12.2021) * CHOOSE(CONTROL!$C$21, $C$9, 100%, $E$9)</f>
        <v>12.2021</v>
      </c>
      <c r="L413" s="10">
        <f>CHOOSE(CONTROL!$C$42, 13.0223, 13.0223) * CHOOSE(CONTROL!$C$21, $C$9, 100%, $E$9)</f>
        <v>13.0223</v>
      </c>
      <c r="M413" s="10">
        <f>CHOOSE(CONTROL!$C$42, 12.0989, 12.0989) * CHOOSE(CONTROL!$C$21, $C$9, 100%, $E$9)</f>
        <v>12.0989</v>
      </c>
      <c r="N413" s="10">
        <f>CHOOSE(CONTROL!$C$42, 12.1169, 12.1169) * CHOOSE(CONTROL!$C$21, $C$9, 100%, $E$9)</f>
        <v>12.116899999999999</v>
      </c>
      <c r="O413" s="10">
        <f>CHOOSE(CONTROL!$C$42, 12.3237, 12.3237) * CHOOSE(CONTROL!$C$21, $C$9, 100%, $E$9)</f>
        <v>12.323700000000001</v>
      </c>
      <c r="P413" s="10">
        <f>CHOOSE(CONTROL!$C$42, 12.0967, 12.0967) * CHOOSE(CONTROL!$C$21, $C$9, 100%, $E$9)</f>
        <v>12.0967</v>
      </c>
      <c r="Q413" s="10">
        <f>CHOOSE(CONTROL!$C$42, 12.919, 12.919) * CHOOSE(CONTROL!$C$21, $C$9, 100%, $E$9)</f>
        <v>12.919</v>
      </c>
      <c r="R413" s="10">
        <f>CHOOSE(CONTROL!$C$42, 13.5383, 13.5383) * CHOOSE(CONTROL!$C$21, $C$9, 100%, $E$9)</f>
        <v>13.5383</v>
      </c>
      <c r="S413" s="10">
        <f>CHOOSE(CONTROL!$C$42, 11.8714, 11.8714) * CHOOSE(CONTROL!$C$21, $C$9, 100%, $E$9)</f>
        <v>11.8714</v>
      </c>
      <c r="T413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13" s="58">
        <f>(1000*CHOOSE(CONTROL!$C$42, 695, 695)*CHOOSE(CONTROL!$C$42, 0.5599, 0.5599)*CHOOSE(CONTROL!$C$42, 31, 31))/1000000</f>
        <v>12.063045499999998</v>
      </c>
      <c r="V413" s="58">
        <f>(1000*CHOOSE(CONTROL!$C$42, 500, 500)*CHOOSE(CONTROL!$C$42, 0.275, 0.275)*CHOOSE(CONTROL!$C$42, 31, 31))/1000000</f>
        <v>4.2625000000000002</v>
      </c>
      <c r="W413" s="58">
        <f>(1000*CHOOSE(CONTROL!$C$42, 0.1146, 0.1146)*CHOOSE(CONTROL!$C$42, 121.5, 121.5)*CHOOSE(CONTROL!$C$42, 31, 31))/1000000</f>
        <v>0.43164089999999994</v>
      </c>
      <c r="X413" s="58">
        <f>(31*0.1790888*245000/1000000)+(31*0.2374*100000/1000000)</f>
        <v>2.0961194359999999</v>
      </c>
      <c r="Y413" s="58"/>
      <c r="Z413" s="10"/>
      <c r="AA413" s="57"/>
      <c r="AB413" s="51">
        <f>(B413*194.205+C413*267.466+D413*133.845+E413*53.484+F413*40+G413*185+H413*0+I413*100+J413*300)/(194.205+267.466+133.845+53.484+0+40+185+100+300)</f>
        <v>12.252981626609104</v>
      </c>
      <c r="AC413" s="27">
        <f>(M413*'RAP TEMPLATE-GAS AVAILABILITY'!O412+N413*'RAP TEMPLATE-GAS AVAILABILITY'!P412+O413*'RAP TEMPLATE-GAS AVAILABILITY'!Q412+P413*'RAP TEMPLATE-GAS AVAILABILITY'!R412)/('RAP TEMPLATE-GAS AVAILABILITY'!O412+'RAP TEMPLATE-GAS AVAILABILITY'!P412+'RAP TEMPLATE-GAS AVAILABILITY'!Q412+'RAP TEMPLATE-GAS AVAILABILITY'!R412)</f>
        <v>12.16580071942446</v>
      </c>
    </row>
    <row r="414" spans="1:29" ht="15.75" x14ac:dyDescent="0.25">
      <c r="A414" s="14">
        <v>53873</v>
      </c>
      <c r="B414" s="10">
        <f>CHOOSE(CONTROL!$C$42, 12.5759, 12.5759) * CHOOSE(CONTROL!$C$21, $C$9, 100%, $E$9)</f>
        <v>12.575900000000001</v>
      </c>
      <c r="C414" s="10">
        <f>CHOOSE(CONTROL!$C$42, 12.5838, 12.5838) * CHOOSE(CONTROL!$C$21, $C$9, 100%, $E$9)</f>
        <v>12.5838</v>
      </c>
      <c r="D414" s="10">
        <f>CHOOSE(CONTROL!$C$42, 12.7623, 12.7623) * CHOOSE(CONTROL!$C$21, $C$9, 100%, $E$9)</f>
        <v>12.7623</v>
      </c>
      <c r="E414" s="10">
        <f>CHOOSE(CONTROL!$C$42, 12.7934, 12.7934) * CHOOSE(CONTROL!$C$21, $C$9, 100%, $E$9)</f>
        <v>12.7934</v>
      </c>
      <c r="F414" s="10">
        <f>CHOOSE(CONTROL!$C$42, 12.5623, 12.5623)*CHOOSE(CONTROL!$C$21, $C$9, 100%, $E$9)</f>
        <v>12.5623</v>
      </c>
      <c r="G414" s="10">
        <f>CHOOSE(CONTROL!$C$42, 12.5805, 12.5805)*CHOOSE(CONTROL!$C$21, $C$9, 100%, $E$9)</f>
        <v>12.580500000000001</v>
      </c>
      <c r="H414" s="10">
        <f>CHOOSE(CONTROL!$C$42, 12.7821, 12.7821) * CHOOSE(CONTROL!$C$21, $C$9, 100%, $E$9)</f>
        <v>12.7821</v>
      </c>
      <c r="I414" s="10">
        <f>CHOOSE(CONTROL!$C$42, 12.5527, 12.5527)* CHOOSE(CONTROL!$C$21, $C$9, 100%, $E$9)</f>
        <v>12.5527</v>
      </c>
      <c r="J414" s="10">
        <f>CHOOSE(CONTROL!$C$42, 12.5553, 12.5553)* CHOOSE(CONTROL!$C$21, $C$9, 100%, $E$9)</f>
        <v>12.555300000000001</v>
      </c>
      <c r="K414" s="54">
        <f>CHOOSE(CONTROL!$C$42, 12.5488, 12.5488) * CHOOSE(CONTROL!$C$21, $C$9, 100%, $E$9)</f>
        <v>12.5488</v>
      </c>
      <c r="L414" s="10">
        <f>CHOOSE(CONTROL!$C$42, 13.3691, 13.3691) * CHOOSE(CONTROL!$C$21, $C$9, 100%, $E$9)</f>
        <v>13.3691</v>
      </c>
      <c r="M414" s="10">
        <f>CHOOSE(CONTROL!$C$42, 12.4424, 12.4424) * CHOOSE(CONTROL!$C$21, $C$9, 100%, $E$9)</f>
        <v>12.442399999999999</v>
      </c>
      <c r="N414" s="10">
        <f>CHOOSE(CONTROL!$C$42, 12.4605, 12.4605) * CHOOSE(CONTROL!$C$21, $C$9, 100%, $E$9)</f>
        <v>12.4605</v>
      </c>
      <c r="O414" s="10">
        <f>CHOOSE(CONTROL!$C$42, 12.6669, 12.6669) * CHOOSE(CONTROL!$C$21, $C$9, 100%, $E$9)</f>
        <v>12.6669</v>
      </c>
      <c r="P414" s="10">
        <f>CHOOSE(CONTROL!$C$42, 12.4399, 12.4399) * CHOOSE(CONTROL!$C$21, $C$9, 100%, $E$9)</f>
        <v>12.4399</v>
      </c>
      <c r="Q414" s="10">
        <f>CHOOSE(CONTROL!$C$42, 13.2622, 13.2622) * CHOOSE(CONTROL!$C$21, $C$9, 100%, $E$9)</f>
        <v>13.2622</v>
      </c>
      <c r="R414" s="10">
        <f>CHOOSE(CONTROL!$C$42, 13.8824, 13.8824) * CHOOSE(CONTROL!$C$21, $C$9, 100%, $E$9)</f>
        <v>13.882400000000001</v>
      </c>
      <c r="S414" s="10">
        <f>CHOOSE(CONTROL!$C$42, 12.2082, 12.2082) * CHOOSE(CONTROL!$C$21, $C$9, 100%, $E$9)</f>
        <v>12.2082</v>
      </c>
      <c r="T414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14" s="58">
        <f>(1000*CHOOSE(CONTROL!$C$42, 695, 695)*CHOOSE(CONTROL!$C$42, 0.5599, 0.5599)*CHOOSE(CONTROL!$C$42, 30, 30))/1000000</f>
        <v>11.673914999999997</v>
      </c>
      <c r="V414" s="58">
        <f>(1000*CHOOSE(CONTROL!$C$42, 500, 500)*CHOOSE(CONTROL!$C$42, 0.275, 0.275)*CHOOSE(CONTROL!$C$42, 30, 30))/1000000</f>
        <v>4.125</v>
      </c>
      <c r="W414" s="58">
        <f>(1000*CHOOSE(CONTROL!$C$42, 0.1146, 0.1146)*CHOOSE(CONTROL!$C$42, 121.5, 121.5)*CHOOSE(CONTROL!$C$42, 30, 30))/1000000</f>
        <v>0.417717</v>
      </c>
      <c r="X414" s="58">
        <f>(30*0.1790888*245000/1000000)+(30*0.2374*100000/1000000)</f>
        <v>2.0285026799999999</v>
      </c>
      <c r="Y414" s="58"/>
      <c r="Z414" s="10"/>
      <c r="AA414" s="57"/>
      <c r="AB414" s="51">
        <f>(B414*194.205+C414*267.466+D414*133.845+E414*53.484+F414*40+G414*185+H414*0+I414*100+J414*300)/(194.205+267.466+133.845+53.484+0+40+185+100+300)</f>
        <v>12.599841490894821</v>
      </c>
      <c r="AC414" s="27">
        <f>(M414*'RAP TEMPLATE-GAS AVAILABILITY'!O413+N414*'RAP TEMPLATE-GAS AVAILABILITY'!P413+O414*'RAP TEMPLATE-GAS AVAILABILITY'!Q413+P414*'RAP TEMPLATE-GAS AVAILABILITY'!R413)/('RAP TEMPLATE-GAS AVAILABILITY'!O413+'RAP TEMPLATE-GAS AVAILABILITY'!P413+'RAP TEMPLATE-GAS AVAILABILITY'!Q413+'RAP TEMPLATE-GAS AVAILABILITY'!R413)</f>
        <v>12.509196402877697</v>
      </c>
    </row>
    <row r="415" spans="1:29" ht="15.75" x14ac:dyDescent="0.25">
      <c r="A415" s="14">
        <v>53904</v>
      </c>
      <c r="B415" s="10">
        <f>CHOOSE(CONTROL!$C$42, 12.3347, 12.3347) * CHOOSE(CONTROL!$C$21, $C$9, 100%, $E$9)</f>
        <v>12.3347</v>
      </c>
      <c r="C415" s="10">
        <f>CHOOSE(CONTROL!$C$42, 12.3426, 12.3426) * CHOOSE(CONTROL!$C$21, $C$9, 100%, $E$9)</f>
        <v>12.342599999999999</v>
      </c>
      <c r="D415" s="10">
        <f>CHOOSE(CONTROL!$C$42, 12.5211, 12.5211) * CHOOSE(CONTROL!$C$21, $C$9, 100%, $E$9)</f>
        <v>12.521100000000001</v>
      </c>
      <c r="E415" s="10">
        <f>CHOOSE(CONTROL!$C$42, 12.5523, 12.5523) * CHOOSE(CONTROL!$C$21, $C$9, 100%, $E$9)</f>
        <v>12.552300000000001</v>
      </c>
      <c r="F415" s="10">
        <f>CHOOSE(CONTROL!$C$42, 12.3214, 12.3214)*CHOOSE(CONTROL!$C$21, $C$9, 100%, $E$9)</f>
        <v>12.321400000000001</v>
      </c>
      <c r="G415" s="10">
        <f>CHOOSE(CONTROL!$C$42, 12.3397, 12.3397)*CHOOSE(CONTROL!$C$21, $C$9, 100%, $E$9)</f>
        <v>12.339700000000001</v>
      </c>
      <c r="H415" s="10">
        <f>CHOOSE(CONTROL!$C$42, 12.5409, 12.5409) * CHOOSE(CONTROL!$C$21, $C$9, 100%, $E$9)</f>
        <v>12.540900000000001</v>
      </c>
      <c r="I415" s="10">
        <f>CHOOSE(CONTROL!$C$42, 12.3116, 12.3116)* CHOOSE(CONTROL!$C$21, $C$9, 100%, $E$9)</f>
        <v>12.3116</v>
      </c>
      <c r="J415" s="10">
        <f>CHOOSE(CONTROL!$C$42, 12.3144, 12.3144)* CHOOSE(CONTROL!$C$21, $C$9, 100%, $E$9)</f>
        <v>12.314399999999999</v>
      </c>
      <c r="K415" s="54">
        <f>CHOOSE(CONTROL!$C$42, 12.3077, 12.3077) * CHOOSE(CONTROL!$C$21, $C$9, 100%, $E$9)</f>
        <v>12.307700000000001</v>
      </c>
      <c r="L415" s="10">
        <f>CHOOSE(CONTROL!$C$42, 13.1279, 13.1279) * CHOOSE(CONTROL!$C$21, $C$9, 100%, $E$9)</f>
        <v>13.1279</v>
      </c>
      <c r="M415" s="10">
        <f>CHOOSE(CONTROL!$C$42, 12.204, 12.204) * CHOOSE(CONTROL!$C$21, $C$9, 100%, $E$9)</f>
        <v>12.204000000000001</v>
      </c>
      <c r="N415" s="10">
        <f>CHOOSE(CONTROL!$C$42, 12.2221, 12.2221) * CHOOSE(CONTROL!$C$21, $C$9, 100%, $E$9)</f>
        <v>12.222099999999999</v>
      </c>
      <c r="O415" s="10">
        <f>CHOOSE(CONTROL!$C$42, 12.4282, 12.4282) * CHOOSE(CONTROL!$C$21, $C$9, 100%, $E$9)</f>
        <v>12.4282</v>
      </c>
      <c r="P415" s="10">
        <f>CHOOSE(CONTROL!$C$42, 12.2012, 12.2012) * CHOOSE(CONTROL!$C$21, $C$9, 100%, $E$9)</f>
        <v>12.2012</v>
      </c>
      <c r="Q415" s="10">
        <f>CHOOSE(CONTROL!$C$42, 13.0235, 13.0235) * CHOOSE(CONTROL!$C$21, $C$9, 100%, $E$9)</f>
        <v>13.0235</v>
      </c>
      <c r="R415" s="10">
        <f>CHOOSE(CONTROL!$C$42, 13.643, 13.643) * CHOOSE(CONTROL!$C$21, $C$9, 100%, $E$9)</f>
        <v>13.643000000000001</v>
      </c>
      <c r="S415" s="10">
        <f>CHOOSE(CONTROL!$C$42, 11.974, 11.974) * CHOOSE(CONTROL!$C$21, $C$9, 100%, $E$9)</f>
        <v>11.974</v>
      </c>
      <c r="T415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15" s="58">
        <f>(1000*CHOOSE(CONTROL!$C$42, 695, 695)*CHOOSE(CONTROL!$C$42, 0.5599, 0.5599)*CHOOSE(CONTROL!$C$42, 31, 31))/1000000</f>
        <v>12.063045499999998</v>
      </c>
      <c r="V415" s="58">
        <f>(1000*CHOOSE(CONTROL!$C$42, 500, 500)*CHOOSE(CONTROL!$C$42, 0.275, 0.275)*CHOOSE(CONTROL!$C$42, 31, 31))/1000000</f>
        <v>4.2625000000000002</v>
      </c>
      <c r="W415" s="58">
        <f>(1000*CHOOSE(CONTROL!$C$42, 0.1146, 0.1146)*CHOOSE(CONTROL!$C$42, 121.5, 121.5)*CHOOSE(CONTROL!$C$42, 31, 31))/1000000</f>
        <v>0.43164089999999994</v>
      </c>
      <c r="X415" s="58">
        <f>(31*0.1790888*245000/1000000)+(31*0.2374*100000/1000000)</f>
        <v>2.0961194359999999</v>
      </c>
      <c r="Y415" s="58"/>
      <c r="Z415" s="10"/>
      <c r="AA415" s="57"/>
      <c r="AB415" s="51">
        <f>(B415*194.205+C415*267.466+D415*133.845+E415*53.484+F415*40+G415*185+H415*0+I415*100+J415*300)/(194.205+267.466+133.845+53.484+0+40+185+100+300)</f>
        <v>12.358791685871271</v>
      </c>
      <c r="AC415" s="27">
        <f>(M415*'RAP TEMPLATE-GAS AVAILABILITY'!O414+N415*'RAP TEMPLATE-GAS AVAILABILITY'!P414+O415*'RAP TEMPLATE-GAS AVAILABILITY'!Q414+P415*'RAP TEMPLATE-GAS AVAILABILITY'!R414)/('RAP TEMPLATE-GAS AVAILABILITY'!O414+'RAP TEMPLATE-GAS AVAILABILITY'!P414+'RAP TEMPLATE-GAS AVAILABILITY'!Q414+'RAP TEMPLATE-GAS AVAILABILITY'!R414)</f>
        <v>12.270669064748203</v>
      </c>
    </row>
    <row r="416" spans="1:29" ht="15.75" x14ac:dyDescent="0.25">
      <c r="A416" s="14">
        <v>53935</v>
      </c>
      <c r="B416" s="10">
        <f>CHOOSE(CONTROL!$C$42, 11.7257, 11.7257) * CHOOSE(CONTROL!$C$21, $C$9, 100%, $E$9)</f>
        <v>11.7257</v>
      </c>
      <c r="C416" s="10">
        <f>CHOOSE(CONTROL!$C$42, 11.7336, 11.7336) * CHOOSE(CONTROL!$C$21, $C$9, 100%, $E$9)</f>
        <v>11.733599999999999</v>
      </c>
      <c r="D416" s="10">
        <f>CHOOSE(CONTROL!$C$42, 11.9121, 11.9121) * CHOOSE(CONTROL!$C$21, $C$9, 100%, $E$9)</f>
        <v>11.912100000000001</v>
      </c>
      <c r="E416" s="10">
        <f>CHOOSE(CONTROL!$C$42, 11.9433, 11.9433) * CHOOSE(CONTROL!$C$21, $C$9, 100%, $E$9)</f>
        <v>11.943300000000001</v>
      </c>
      <c r="F416" s="10">
        <f>CHOOSE(CONTROL!$C$42, 11.7123, 11.7123)*CHOOSE(CONTROL!$C$21, $C$9, 100%, $E$9)</f>
        <v>11.712300000000001</v>
      </c>
      <c r="G416" s="10">
        <f>CHOOSE(CONTROL!$C$42, 11.7306, 11.7306)*CHOOSE(CONTROL!$C$21, $C$9, 100%, $E$9)</f>
        <v>11.730600000000001</v>
      </c>
      <c r="H416" s="10">
        <f>CHOOSE(CONTROL!$C$42, 11.9319, 11.9319) * CHOOSE(CONTROL!$C$21, $C$9, 100%, $E$9)</f>
        <v>11.931900000000001</v>
      </c>
      <c r="I416" s="10">
        <f>CHOOSE(CONTROL!$C$42, 11.7026, 11.7026)* CHOOSE(CONTROL!$C$21, $C$9, 100%, $E$9)</f>
        <v>11.7026</v>
      </c>
      <c r="J416" s="10">
        <f>CHOOSE(CONTROL!$C$42, 11.7053, 11.7053)* CHOOSE(CONTROL!$C$21, $C$9, 100%, $E$9)</f>
        <v>11.705299999999999</v>
      </c>
      <c r="K416" s="54">
        <f>CHOOSE(CONTROL!$C$42, 11.6987, 11.6987) * CHOOSE(CONTROL!$C$21, $C$9, 100%, $E$9)</f>
        <v>11.698700000000001</v>
      </c>
      <c r="L416" s="10">
        <f>CHOOSE(CONTROL!$C$42, 12.5189, 12.5189) * CHOOSE(CONTROL!$C$21, $C$9, 100%, $E$9)</f>
        <v>12.5189</v>
      </c>
      <c r="M416" s="10">
        <f>CHOOSE(CONTROL!$C$42, 11.601, 11.601) * CHOOSE(CONTROL!$C$21, $C$9, 100%, $E$9)</f>
        <v>11.601000000000001</v>
      </c>
      <c r="N416" s="10">
        <f>CHOOSE(CONTROL!$C$42, 11.6192, 11.6192) * CHOOSE(CONTROL!$C$21, $C$9, 100%, $E$9)</f>
        <v>11.619199999999999</v>
      </c>
      <c r="O416" s="10">
        <f>CHOOSE(CONTROL!$C$42, 11.8253, 11.8253) * CHOOSE(CONTROL!$C$21, $C$9, 100%, $E$9)</f>
        <v>11.8253</v>
      </c>
      <c r="P416" s="10">
        <f>CHOOSE(CONTROL!$C$42, 11.5983, 11.5983) * CHOOSE(CONTROL!$C$21, $C$9, 100%, $E$9)</f>
        <v>11.5983</v>
      </c>
      <c r="Q416" s="10">
        <f>CHOOSE(CONTROL!$C$42, 12.4206, 12.4206) * CHOOSE(CONTROL!$C$21, $C$9, 100%, $E$9)</f>
        <v>12.4206</v>
      </c>
      <c r="R416" s="10">
        <f>CHOOSE(CONTROL!$C$42, 13.0387, 13.0387) * CHOOSE(CONTROL!$C$21, $C$9, 100%, $E$9)</f>
        <v>13.0387</v>
      </c>
      <c r="S416" s="10">
        <f>CHOOSE(CONTROL!$C$42, 11.3826, 11.3826) * CHOOSE(CONTROL!$C$21, $C$9, 100%, $E$9)</f>
        <v>11.3826</v>
      </c>
      <c r="T416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416" s="58">
        <f>(1000*CHOOSE(CONTROL!$C$42, 695, 695)*CHOOSE(CONTROL!$C$42, 0.5599, 0.5599)*CHOOSE(CONTROL!$C$42, 31, 31))/1000000</f>
        <v>12.063045499999998</v>
      </c>
      <c r="V416" s="58">
        <f>(1000*CHOOSE(CONTROL!$C$42, 500, 500)*CHOOSE(CONTROL!$C$42, 0.275, 0.275)*CHOOSE(CONTROL!$C$42, 31, 31))/1000000</f>
        <v>4.2625000000000002</v>
      </c>
      <c r="W416" s="58">
        <f>(1000*CHOOSE(CONTROL!$C$42, 0.1146, 0.1146)*CHOOSE(CONTROL!$C$42, 121.5, 121.5)*CHOOSE(CONTROL!$C$42, 31, 31))/1000000</f>
        <v>0.43164089999999994</v>
      </c>
      <c r="X416" s="58">
        <f>(31*0.1790888*245000/1000000)+(31*0.2374*100000/1000000)</f>
        <v>2.0961194359999999</v>
      </c>
      <c r="Y416" s="58"/>
      <c r="Z416" s="10"/>
      <c r="AA416" s="57"/>
      <c r="AB416" s="51">
        <f>(B416*194.205+C416*267.466+D416*133.845+E416*53.484+F416*40+G416*185+H416*0+I416*100+J416*300)/(194.205+267.466+133.845+53.484+0+40+185+100+300)</f>
        <v>11.749750477080063</v>
      </c>
      <c r="AC416" s="27">
        <f>(M416*'RAP TEMPLATE-GAS AVAILABILITY'!O415+N416*'RAP TEMPLATE-GAS AVAILABILITY'!P415+O416*'RAP TEMPLATE-GAS AVAILABILITY'!Q415+P416*'RAP TEMPLATE-GAS AVAILABILITY'!R415)/('RAP TEMPLATE-GAS AVAILABILITY'!O415+'RAP TEMPLATE-GAS AVAILABILITY'!P415+'RAP TEMPLATE-GAS AVAILABILITY'!Q415+'RAP TEMPLATE-GAS AVAILABILITY'!R415)</f>
        <v>11.6677345323741</v>
      </c>
    </row>
    <row r="417" spans="1:29" ht="15.75" x14ac:dyDescent="0.25">
      <c r="A417" s="14">
        <v>53965</v>
      </c>
      <c r="B417" s="10">
        <f>CHOOSE(CONTROL!$C$42, 10.9816, 10.9816) * CHOOSE(CONTROL!$C$21, $C$9, 100%, $E$9)</f>
        <v>10.9816</v>
      </c>
      <c r="C417" s="10">
        <f>CHOOSE(CONTROL!$C$42, 10.9895, 10.9895) * CHOOSE(CONTROL!$C$21, $C$9, 100%, $E$9)</f>
        <v>10.9895</v>
      </c>
      <c r="D417" s="10">
        <f>CHOOSE(CONTROL!$C$42, 11.1681, 11.1681) * CHOOSE(CONTROL!$C$21, $C$9, 100%, $E$9)</f>
        <v>11.168100000000001</v>
      </c>
      <c r="E417" s="10">
        <f>CHOOSE(CONTROL!$C$42, 11.1992, 11.1992) * CHOOSE(CONTROL!$C$21, $C$9, 100%, $E$9)</f>
        <v>11.199199999999999</v>
      </c>
      <c r="F417" s="10">
        <f>CHOOSE(CONTROL!$C$42, 10.968, 10.968)*CHOOSE(CONTROL!$C$21, $C$9, 100%, $E$9)</f>
        <v>10.968</v>
      </c>
      <c r="G417" s="10">
        <f>CHOOSE(CONTROL!$C$42, 10.9862, 10.9862)*CHOOSE(CONTROL!$C$21, $C$9, 100%, $E$9)</f>
        <v>10.9862</v>
      </c>
      <c r="H417" s="10">
        <f>CHOOSE(CONTROL!$C$42, 11.1878, 11.1878) * CHOOSE(CONTROL!$C$21, $C$9, 100%, $E$9)</f>
        <v>11.187799999999999</v>
      </c>
      <c r="I417" s="10">
        <f>CHOOSE(CONTROL!$C$42, 10.9585, 10.9585)* CHOOSE(CONTROL!$C$21, $C$9, 100%, $E$9)</f>
        <v>10.958500000000001</v>
      </c>
      <c r="J417" s="10">
        <f>CHOOSE(CONTROL!$C$42, 10.961, 10.961)* CHOOSE(CONTROL!$C$21, $C$9, 100%, $E$9)</f>
        <v>10.961</v>
      </c>
      <c r="K417" s="54">
        <f>CHOOSE(CONTROL!$C$42, 10.9546, 10.9546) * CHOOSE(CONTROL!$C$21, $C$9, 100%, $E$9)</f>
        <v>10.954599999999999</v>
      </c>
      <c r="L417" s="10">
        <f>CHOOSE(CONTROL!$C$42, 11.7748, 11.7748) * CHOOSE(CONTROL!$C$21, $C$9, 100%, $E$9)</f>
        <v>11.774800000000001</v>
      </c>
      <c r="M417" s="10">
        <f>CHOOSE(CONTROL!$C$42, 10.8642, 10.8642) * CHOOSE(CONTROL!$C$21, $C$9, 100%, $E$9)</f>
        <v>10.8642</v>
      </c>
      <c r="N417" s="10">
        <f>CHOOSE(CONTROL!$C$42, 10.8822, 10.8822) * CHOOSE(CONTROL!$C$21, $C$9, 100%, $E$9)</f>
        <v>10.882199999999999</v>
      </c>
      <c r="O417" s="10">
        <f>CHOOSE(CONTROL!$C$42, 11.0888, 11.0888) * CHOOSE(CONTROL!$C$21, $C$9, 100%, $E$9)</f>
        <v>11.088800000000001</v>
      </c>
      <c r="P417" s="10">
        <f>CHOOSE(CONTROL!$C$42, 10.8618, 10.8618) * CHOOSE(CONTROL!$C$21, $C$9, 100%, $E$9)</f>
        <v>10.861800000000001</v>
      </c>
      <c r="Q417" s="10">
        <f>CHOOSE(CONTROL!$C$42, 11.6841, 11.6841) * CHOOSE(CONTROL!$C$21, $C$9, 100%, $E$9)</f>
        <v>11.684100000000001</v>
      </c>
      <c r="R417" s="10">
        <f>CHOOSE(CONTROL!$C$42, 12.3003, 12.3003) * CHOOSE(CONTROL!$C$21, $C$9, 100%, $E$9)</f>
        <v>12.3003</v>
      </c>
      <c r="S417" s="10">
        <f>CHOOSE(CONTROL!$C$42, 10.66, 10.66) * CHOOSE(CONTROL!$C$21, $C$9, 100%, $E$9)</f>
        <v>10.66</v>
      </c>
      <c r="T417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417" s="58">
        <f>(1000*CHOOSE(CONTROL!$C$42, 695, 695)*CHOOSE(CONTROL!$C$42, 0.5599, 0.5599)*CHOOSE(CONTROL!$C$42, 30, 30))/1000000</f>
        <v>11.673914999999997</v>
      </c>
      <c r="V417" s="58">
        <f>(1000*CHOOSE(CONTROL!$C$42, 500, 500)*CHOOSE(CONTROL!$C$42, 0.275, 0.275)*CHOOSE(CONTROL!$C$42, 30, 30))/1000000</f>
        <v>4.125</v>
      </c>
      <c r="W417" s="58">
        <f>(1000*CHOOSE(CONTROL!$C$42, 0.1146, 0.1146)*CHOOSE(CONTROL!$C$42, 121.5, 121.5)*CHOOSE(CONTROL!$C$42, 30, 30))/1000000</f>
        <v>0.417717</v>
      </c>
      <c r="X417" s="58">
        <f>(30*0.1790888*245000/1000000)+(30*0.2374*100000/1000000)</f>
        <v>2.0285026799999999</v>
      </c>
      <c r="Y417" s="58"/>
      <c r="Z417" s="10"/>
      <c r="AA417" s="57"/>
      <c r="AB417" s="51">
        <f>(B417*194.205+C417*267.466+D417*133.845+E417*53.484+F417*40+G417*185+H417*0+I417*100+J417*300)/(194.205+267.466+133.845+53.484+0+40+185+100+300)</f>
        <v>11.005564044191525</v>
      </c>
      <c r="AC417" s="27">
        <f>(M417*'RAP TEMPLATE-GAS AVAILABILITY'!O416+N417*'RAP TEMPLATE-GAS AVAILABILITY'!P416+O417*'RAP TEMPLATE-GAS AVAILABILITY'!Q416+P417*'RAP TEMPLATE-GAS AVAILABILITY'!R416)/('RAP TEMPLATE-GAS AVAILABILITY'!O416+'RAP TEMPLATE-GAS AVAILABILITY'!P416+'RAP TEMPLATE-GAS AVAILABILITY'!Q416+'RAP TEMPLATE-GAS AVAILABILITY'!R416)</f>
        <v>10.931015827338131</v>
      </c>
    </row>
    <row r="418" spans="1:29" ht="15.75" x14ac:dyDescent="0.25">
      <c r="A418" s="14">
        <v>53996</v>
      </c>
      <c r="B418" s="10">
        <f>CHOOSE(CONTROL!$C$42, 10.7566, 10.7566) * CHOOSE(CONTROL!$C$21, $C$9, 100%, $E$9)</f>
        <v>10.756600000000001</v>
      </c>
      <c r="C418" s="10">
        <f>CHOOSE(CONTROL!$C$42, 10.7618, 10.7618) * CHOOSE(CONTROL!$C$21, $C$9, 100%, $E$9)</f>
        <v>10.761799999999999</v>
      </c>
      <c r="D418" s="10">
        <f>CHOOSE(CONTROL!$C$42, 10.9453, 10.9453) * CHOOSE(CONTROL!$C$21, $C$9, 100%, $E$9)</f>
        <v>10.9453</v>
      </c>
      <c r="E418" s="10">
        <f>CHOOSE(CONTROL!$C$42, 10.9741, 10.9741) * CHOOSE(CONTROL!$C$21, $C$9, 100%, $E$9)</f>
        <v>10.9741</v>
      </c>
      <c r="F418" s="10">
        <f>CHOOSE(CONTROL!$C$42, 10.7449, 10.7449)*CHOOSE(CONTROL!$C$21, $C$9, 100%, $E$9)</f>
        <v>10.744899999999999</v>
      </c>
      <c r="G418" s="10">
        <f>CHOOSE(CONTROL!$C$42, 10.7628, 10.7628)*CHOOSE(CONTROL!$C$21, $C$9, 100%, $E$9)</f>
        <v>10.7628</v>
      </c>
      <c r="H418" s="10">
        <f>CHOOSE(CONTROL!$C$42, 10.9646, 10.9646) * CHOOSE(CONTROL!$C$21, $C$9, 100%, $E$9)</f>
        <v>10.964600000000001</v>
      </c>
      <c r="I418" s="10">
        <f>CHOOSE(CONTROL!$C$42, 10.7352, 10.7352)* CHOOSE(CONTROL!$C$21, $C$9, 100%, $E$9)</f>
        <v>10.735200000000001</v>
      </c>
      <c r="J418" s="10">
        <f>CHOOSE(CONTROL!$C$42, 10.7379, 10.7379)* CHOOSE(CONTROL!$C$21, $C$9, 100%, $E$9)</f>
        <v>10.7379</v>
      </c>
      <c r="K418" s="54">
        <f>CHOOSE(CONTROL!$C$42, 10.7313, 10.7313) * CHOOSE(CONTROL!$C$21, $C$9, 100%, $E$9)</f>
        <v>10.731299999999999</v>
      </c>
      <c r="L418" s="10">
        <f>CHOOSE(CONTROL!$C$42, 11.5516, 11.5516) * CHOOSE(CONTROL!$C$21, $C$9, 100%, $E$9)</f>
        <v>11.551600000000001</v>
      </c>
      <c r="M418" s="10">
        <f>CHOOSE(CONTROL!$C$42, 10.6434, 10.6434) * CHOOSE(CONTROL!$C$21, $C$9, 100%, $E$9)</f>
        <v>10.6434</v>
      </c>
      <c r="N418" s="10">
        <f>CHOOSE(CONTROL!$C$42, 10.6611, 10.6611) * CHOOSE(CONTROL!$C$21, $C$9, 100%, $E$9)</f>
        <v>10.661099999999999</v>
      </c>
      <c r="O418" s="10">
        <f>CHOOSE(CONTROL!$C$42, 10.8678, 10.8678) * CHOOSE(CONTROL!$C$21, $C$9, 100%, $E$9)</f>
        <v>10.867800000000001</v>
      </c>
      <c r="P418" s="10">
        <f>CHOOSE(CONTROL!$C$42, 10.6408, 10.6408) * CHOOSE(CONTROL!$C$21, $C$9, 100%, $E$9)</f>
        <v>10.6408</v>
      </c>
      <c r="Q418" s="10">
        <f>CHOOSE(CONTROL!$C$42, 11.4631, 11.4631) * CHOOSE(CONTROL!$C$21, $C$9, 100%, $E$9)</f>
        <v>11.463100000000001</v>
      </c>
      <c r="R418" s="10">
        <f>CHOOSE(CONTROL!$C$42, 12.0787, 12.0787) * CHOOSE(CONTROL!$C$21, $C$9, 100%, $E$9)</f>
        <v>12.0787</v>
      </c>
      <c r="S418" s="10">
        <f>CHOOSE(CONTROL!$C$42, 10.4432, 10.4432) * CHOOSE(CONTROL!$C$21, $C$9, 100%, $E$9)</f>
        <v>10.443199999999999</v>
      </c>
      <c r="T418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18" s="58">
        <f>(1000*CHOOSE(CONTROL!$C$42, 695, 695)*CHOOSE(CONTROL!$C$42, 0.5599, 0.5599)*CHOOSE(CONTROL!$C$42, 31, 31))/1000000</f>
        <v>12.063045499999998</v>
      </c>
      <c r="V418" s="58">
        <f>(1000*CHOOSE(CONTROL!$C$42, 500, 500)*CHOOSE(CONTROL!$C$42, 0.275, 0.275)*CHOOSE(CONTROL!$C$42, 31, 31))/1000000</f>
        <v>4.2625000000000002</v>
      </c>
      <c r="W418" s="58">
        <f>(1000*CHOOSE(CONTROL!$C$42, 0.1146, 0.1146)*CHOOSE(CONTROL!$C$42, 121.5, 121.5)*CHOOSE(CONTROL!$C$42, 31, 31))/1000000</f>
        <v>0.43164089999999994</v>
      </c>
      <c r="X418" s="58">
        <f>(31*0.1790888*245000/1000000)+(31*0.2374*100000/1000000)</f>
        <v>2.0961194359999999</v>
      </c>
      <c r="Y418" s="58"/>
      <c r="Z418" s="10"/>
      <c r="AA418" s="57"/>
      <c r="AB418" s="51">
        <f>(B418*131.881+C418*277.167+D418*79.08+E418*125.872+F418*40+G418*185+H418*0+I418*100+J418*300)/(131.881+277.167+79.08+125.872+0+40+185+100+300)</f>
        <v>10.786196307021791</v>
      </c>
      <c r="AC418" s="27">
        <f>(M418*'RAP TEMPLATE-GAS AVAILABILITY'!O417+N418*'RAP TEMPLATE-GAS AVAILABILITY'!P417+O418*'RAP TEMPLATE-GAS AVAILABILITY'!Q417+P418*'RAP TEMPLATE-GAS AVAILABILITY'!R417)/('RAP TEMPLATE-GAS AVAILABILITY'!O417+'RAP TEMPLATE-GAS AVAILABILITY'!P417+'RAP TEMPLATE-GAS AVAILABILITY'!Q417+'RAP TEMPLATE-GAS AVAILABILITY'!R417)</f>
        <v>10.710061870503598</v>
      </c>
    </row>
    <row r="419" spans="1:29" ht="15.75" x14ac:dyDescent="0.25">
      <c r="A419" s="14">
        <v>54026</v>
      </c>
      <c r="B419" s="10">
        <f>CHOOSE(CONTROL!$C$42, 11.0395, 11.0395) * CHOOSE(CONTROL!$C$21, $C$9, 100%, $E$9)</f>
        <v>11.0395</v>
      </c>
      <c r="C419" s="10">
        <f>CHOOSE(CONTROL!$C$42, 11.0444, 11.0444) * CHOOSE(CONTROL!$C$21, $C$9, 100%, $E$9)</f>
        <v>11.0444</v>
      </c>
      <c r="D419" s="10">
        <f>CHOOSE(CONTROL!$C$42, 11.074, 11.074) * CHOOSE(CONTROL!$C$21, $C$9, 100%, $E$9)</f>
        <v>11.074</v>
      </c>
      <c r="E419" s="10">
        <f>CHOOSE(CONTROL!$C$42, 11.1078, 11.1078) * CHOOSE(CONTROL!$C$21, $C$9, 100%, $E$9)</f>
        <v>11.107799999999999</v>
      </c>
      <c r="F419" s="10">
        <f>CHOOSE(CONTROL!$C$42, 11.0252, 11.0252)*CHOOSE(CONTROL!$C$21, $C$9, 100%, $E$9)</f>
        <v>11.0252</v>
      </c>
      <c r="G419" s="10">
        <f>CHOOSE(CONTROL!$C$42, 11.0433, 11.0433)*CHOOSE(CONTROL!$C$21, $C$9, 100%, $E$9)</f>
        <v>11.0433</v>
      </c>
      <c r="H419" s="10">
        <f>CHOOSE(CONTROL!$C$42, 11.097, 11.097) * CHOOSE(CONTROL!$C$21, $C$9, 100%, $E$9)</f>
        <v>11.097</v>
      </c>
      <c r="I419" s="10">
        <f>CHOOSE(CONTROL!$C$42, 11.0056, 11.0056)* CHOOSE(CONTROL!$C$21, $C$9, 100%, $E$9)</f>
        <v>11.005599999999999</v>
      </c>
      <c r="J419" s="10">
        <f>CHOOSE(CONTROL!$C$42, 11.0182, 11.0182)* CHOOSE(CONTROL!$C$21, $C$9, 100%, $E$9)</f>
        <v>11.0182</v>
      </c>
      <c r="K419" s="54">
        <f>CHOOSE(CONTROL!$C$42, 11.0018, 11.0018) * CHOOSE(CONTROL!$C$21, $C$9, 100%, $E$9)</f>
        <v>11.001799999999999</v>
      </c>
      <c r="L419" s="10">
        <f>CHOOSE(CONTROL!$C$42, 11.684, 11.684) * CHOOSE(CONTROL!$C$21, $C$9, 100%, $E$9)</f>
        <v>11.683999999999999</v>
      </c>
      <c r="M419" s="10">
        <f>CHOOSE(CONTROL!$C$42, 10.9209, 10.9209) * CHOOSE(CONTROL!$C$21, $C$9, 100%, $E$9)</f>
        <v>10.9209</v>
      </c>
      <c r="N419" s="10">
        <f>CHOOSE(CONTROL!$C$42, 10.9387, 10.9387) * CHOOSE(CONTROL!$C$21, $C$9, 100%, $E$9)</f>
        <v>10.938700000000001</v>
      </c>
      <c r="O419" s="10">
        <f>CHOOSE(CONTROL!$C$42, 10.9988, 10.9988) * CHOOSE(CONTROL!$C$21, $C$9, 100%, $E$9)</f>
        <v>10.998799999999999</v>
      </c>
      <c r="P419" s="10">
        <f>CHOOSE(CONTROL!$C$42, 10.9084, 10.9084) * CHOOSE(CONTROL!$C$21, $C$9, 100%, $E$9)</f>
        <v>10.9084</v>
      </c>
      <c r="Q419" s="10">
        <f>CHOOSE(CONTROL!$C$42, 11.5941, 11.5941) * CHOOSE(CONTROL!$C$21, $C$9, 100%, $E$9)</f>
        <v>11.594099999999999</v>
      </c>
      <c r="R419" s="10">
        <f>CHOOSE(CONTROL!$C$42, 12.2101, 12.2101) * CHOOSE(CONTROL!$C$21, $C$9, 100%, $E$9)</f>
        <v>12.210100000000001</v>
      </c>
      <c r="S419" s="10">
        <f>CHOOSE(CONTROL!$C$42, 10.7183, 10.7183) * CHOOSE(CONTROL!$C$21, $C$9, 100%, $E$9)</f>
        <v>10.718299999999999</v>
      </c>
      <c r="T419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19" s="58">
        <f>(1000*CHOOSE(CONTROL!$C$42, 695, 695)*CHOOSE(CONTROL!$C$42, 0.5599, 0.5599)*CHOOSE(CONTROL!$C$42, 30, 30))/1000000</f>
        <v>11.673914999999997</v>
      </c>
      <c r="V419" s="58">
        <f>(1000*CHOOSE(CONTROL!$C$42, 500, 500)*CHOOSE(CONTROL!$C$42, 0.275, 0.275)*CHOOSE(CONTROL!$C$42, 30, 30))/1000000</f>
        <v>4.125</v>
      </c>
      <c r="W419" s="58">
        <f>(1000*CHOOSE(CONTROL!$C$42, 0.1146, 0.1146)*CHOOSE(CONTROL!$C$42, 121.5, 121.5)*CHOOSE(CONTROL!$C$42, 30, 30))/1000000</f>
        <v>0.417717</v>
      </c>
      <c r="X419" s="58">
        <f>(30*0.1790888*100000/1000000)+(30*0.2374*100000/1000000)</f>
        <v>1.2494664</v>
      </c>
      <c r="Y419" s="58"/>
      <c r="Z419" s="10"/>
      <c r="AA419" s="57"/>
      <c r="AB419" s="51">
        <f>(B419*122.58+C419*297.941+D419*89.177+E419*40.302+F419*40+G419*160+H419*0+I419*100+J419*300)/(122.58+297.941+89.177+40.302+0+40+160+100+300)</f>
        <v>11.037365342608695</v>
      </c>
      <c r="AC419" s="27">
        <f>(M419*'RAP TEMPLATE-GAS AVAILABILITY'!O418+N419*'RAP TEMPLATE-GAS AVAILABILITY'!P418+O419*'RAP TEMPLATE-GAS AVAILABILITY'!Q418+P419*'RAP TEMPLATE-GAS AVAILABILITY'!R418)/('RAP TEMPLATE-GAS AVAILABILITY'!O418+'RAP TEMPLATE-GAS AVAILABILITY'!P418+'RAP TEMPLATE-GAS AVAILABILITY'!Q418+'RAP TEMPLATE-GAS AVAILABILITY'!R418)</f>
        <v>10.95543309352518</v>
      </c>
    </row>
    <row r="420" spans="1:29" ht="15.75" x14ac:dyDescent="0.25">
      <c r="A420" s="14">
        <v>54057</v>
      </c>
      <c r="B420" s="10">
        <f>CHOOSE(CONTROL!$C$42, 11.7919, 11.7919) * CHOOSE(CONTROL!$C$21, $C$9, 100%, $E$9)</f>
        <v>11.7919</v>
      </c>
      <c r="C420" s="10">
        <f>CHOOSE(CONTROL!$C$42, 11.7969, 11.7969) * CHOOSE(CONTROL!$C$21, $C$9, 100%, $E$9)</f>
        <v>11.796900000000001</v>
      </c>
      <c r="D420" s="10">
        <f>CHOOSE(CONTROL!$C$42, 11.8265, 11.8265) * CHOOSE(CONTROL!$C$21, $C$9, 100%, $E$9)</f>
        <v>11.826499999999999</v>
      </c>
      <c r="E420" s="10">
        <f>CHOOSE(CONTROL!$C$42, 11.8603, 11.8603) * CHOOSE(CONTROL!$C$21, $C$9, 100%, $E$9)</f>
        <v>11.860300000000001</v>
      </c>
      <c r="F420" s="10">
        <f>CHOOSE(CONTROL!$C$42, 11.7792, 11.7792)*CHOOSE(CONTROL!$C$21, $C$9, 100%, $E$9)</f>
        <v>11.779199999999999</v>
      </c>
      <c r="G420" s="10">
        <f>CHOOSE(CONTROL!$C$42, 11.7977, 11.7977)*CHOOSE(CONTROL!$C$21, $C$9, 100%, $E$9)</f>
        <v>11.797700000000001</v>
      </c>
      <c r="H420" s="10">
        <f>CHOOSE(CONTROL!$C$42, 11.8495, 11.8495) * CHOOSE(CONTROL!$C$21, $C$9, 100%, $E$9)</f>
        <v>11.849500000000001</v>
      </c>
      <c r="I420" s="10">
        <f>CHOOSE(CONTROL!$C$42, 11.7581, 11.7581)* CHOOSE(CONTROL!$C$21, $C$9, 100%, $E$9)</f>
        <v>11.758100000000001</v>
      </c>
      <c r="J420" s="10">
        <f>CHOOSE(CONTROL!$C$42, 11.7722, 11.7722)* CHOOSE(CONTROL!$C$21, $C$9, 100%, $E$9)</f>
        <v>11.7722</v>
      </c>
      <c r="K420" s="54">
        <f>CHOOSE(CONTROL!$C$42, 11.7542, 11.7542) * CHOOSE(CONTROL!$C$21, $C$9, 100%, $E$9)</f>
        <v>11.754200000000001</v>
      </c>
      <c r="L420" s="10">
        <f>CHOOSE(CONTROL!$C$42, 12.4365, 12.4365) * CHOOSE(CONTROL!$C$21, $C$9, 100%, $E$9)</f>
        <v>12.436500000000001</v>
      </c>
      <c r="M420" s="10">
        <f>CHOOSE(CONTROL!$C$42, 11.6673, 11.6673) * CHOOSE(CONTROL!$C$21, $C$9, 100%, $E$9)</f>
        <v>11.667299999999999</v>
      </c>
      <c r="N420" s="10">
        <f>CHOOSE(CONTROL!$C$42, 11.6855, 11.6855) * CHOOSE(CONTROL!$C$21, $C$9, 100%, $E$9)</f>
        <v>11.685499999999999</v>
      </c>
      <c r="O420" s="10">
        <f>CHOOSE(CONTROL!$C$42, 11.7437, 11.7437) * CHOOSE(CONTROL!$C$21, $C$9, 100%, $E$9)</f>
        <v>11.7437</v>
      </c>
      <c r="P420" s="10">
        <f>CHOOSE(CONTROL!$C$42, 11.6533, 11.6533) * CHOOSE(CONTROL!$C$21, $C$9, 100%, $E$9)</f>
        <v>11.6533</v>
      </c>
      <c r="Q420" s="10">
        <f>CHOOSE(CONTROL!$C$42, 12.339, 12.339) * CHOOSE(CONTROL!$C$21, $C$9, 100%, $E$9)</f>
        <v>12.339</v>
      </c>
      <c r="R420" s="10">
        <f>CHOOSE(CONTROL!$C$42, 12.9569, 12.9569) * CHOOSE(CONTROL!$C$21, $C$9, 100%, $E$9)</f>
        <v>12.956899999999999</v>
      </c>
      <c r="S420" s="10">
        <f>CHOOSE(CONTROL!$C$42, 11.449, 11.449) * CHOOSE(CONTROL!$C$21, $C$9, 100%, $E$9)</f>
        <v>11.449</v>
      </c>
      <c r="T420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20" s="58">
        <f>(1000*CHOOSE(CONTROL!$C$42, 695, 695)*CHOOSE(CONTROL!$C$42, 0.5599, 0.5599)*CHOOSE(CONTROL!$C$42, 31, 31))/1000000</f>
        <v>12.063045499999998</v>
      </c>
      <c r="V420" s="58">
        <f>(1000*CHOOSE(CONTROL!$C$42, 500, 500)*CHOOSE(CONTROL!$C$42, 0.275, 0.275)*CHOOSE(CONTROL!$C$42, 31, 31))/1000000</f>
        <v>4.2625000000000002</v>
      </c>
      <c r="W420" s="58">
        <f>(1000*CHOOSE(CONTROL!$C$42, 0.1146, 0.1146)*CHOOSE(CONTROL!$C$42, 121.5, 121.5)*CHOOSE(CONTROL!$C$42, 31, 31))/1000000</f>
        <v>0.43164089999999994</v>
      </c>
      <c r="X420" s="58">
        <f>(31*0.1790888*100000/1000000)+(31*0.2374*100000/1000000)</f>
        <v>1.2911152800000001</v>
      </c>
      <c r="Y420" s="58"/>
      <c r="Z420" s="10"/>
      <c r="AA420" s="57"/>
      <c r="AB420" s="51">
        <f>(B420*122.58+C420*297.941+D420*89.177+E420*40.302+F420*40+G420*160+H420*0+I420*100+J420*300)/(122.58+297.941+89.177+40.302+0+40+160+100+300)</f>
        <v>11.790562509565216</v>
      </c>
      <c r="AC420" s="27">
        <f>(M420*'RAP TEMPLATE-GAS AVAILABILITY'!O419+N420*'RAP TEMPLATE-GAS AVAILABILITY'!P419+O420*'RAP TEMPLATE-GAS AVAILABILITY'!Q419+P420*'RAP TEMPLATE-GAS AVAILABILITY'!R419)/('RAP TEMPLATE-GAS AVAILABILITY'!O419+'RAP TEMPLATE-GAS AVAILABILITY'!P419+'RAP TEMPLATE-GAS AVAILABILITY'!Q419+'RAP TEMPLATE-GAS AVAILABILITY'!R419)</f>
        <v>11.700960431654675</v>
      </c>
    </row>
    <row r="421" spans="1:29" ht="15.75" x14ac:dyDescent="0.25">
      <c r="A421" s="14">
        <v>54088</v>
      </c>
      <c r="B421" s="10">
        <f>CHOOSE(CONTROL!$C$42, 12.5876, 12.5876) * CHOOSE(CONTROL!$C$21, $C$9, 100%, $E$9)</f>
        <v>12.5876</v>
      </c>
      <c r="C421" s="10">
        <f>CHOOSE(CONTROL!$C$42, 12.5926, 12.5926) * CHOOSE(CONTROL!$C$21, $C$9, 100%, $E$9)</f>
        <v>12.592599999999999</v>
      </c>
      <c r="D421" s="10">
        <f>CHOOSE(CONTROL!$C$42, 12.6428, 12.6428) * CHOOSE(CONTROL!$C$21, $C$9, 100%, $E$9)</f>
        <v>12.642799999999999</v>
      </c>
      <c r="E421" s="10">
        <f>CHOOSE(CONTROL!$C$42, 12.6766, 12.6766) * CHOOSE(CONTROL!$C$21, $C$9, 100%, $E$9)</f>
        <v>12.676600000000001</v>
      </c>
      <c r="F421" s="10">
        <f>CHOOSE(CONTROL!$C$42, 12.553, 12.553)*CHOOSE(CONTROL!$C$21, $C$9, 100%, $E$9)</f>
        <v>12.553000000000001</v>
      </c>
      <c r="G421" s="10">
        <f>CHOOSE(CONTROL!$C$42, 12.5705, 12.5705)*CHOOSE(CONTROL!$C$21, $C$9, 100%, $E$9)</f>
        <v>12.570499999999999</v>
      </c>
      <c r="H421" s="10">
        <f>CHOOSE(CONTROL!$C$42, 12.6658, 12.6658) * CHOOSE(CONTROL!$C$21, $C$9, 100%, $E$9)</f>
        <v>12.665800000000001</v>
      </c>
      <c r="I421" s="10">
        <f>CHOOSE(CONTROL!$C$42, 12.5615, 12.5615)* CHOOSE(CONTROL!$C$21, $C$9, 100%, $E$9)</f>
        <v>12.561500000000001</v>
      </c>
      <c r="J421" s="10">
        <f>CHOOSE(CONTROL!$C$42, 12.546, 12.546)* CHOOSE(CONTROL!$C$21, $C$9, 100%, $E$9)</f>
        <v>12.545999999999999</v>
      </c>
      <c r="K421" s="54">
        <f>CHOOSE(CONTROL!$C$42, 12.5576, 12.5576) * CHOOSE(CONTROL!$C$21, $C$9, 100%, $E$9)</f>
        <v>12.557600000000001</v>
      </c>
      <c r="L421" s="10">
        <f>CHOOSE(CONTROL!$C$42, 13.2528, 13.2528) * CHOOSE(CONTROL!$C$21, $C$9, 100%, $E$9)</f>
        <v>13.252800000000001</v>
      </c>
      <c r="M421" s="10">
        <f>CHOOSE(CONTROL!$C$42, 12.4332, 12.4332) * CHOOSE(CONTROL!$C$21, $C$9, 100%, $E$9)</f>
        <v>12.433199999999999</v>
      </c>
      <c r="N421" s="10">
        <f>CHOOSE(CONTROL!$C$42, 12.4506, 12.4506) * CHOOSE(CONTROL!$C$21, $C$9, 100%, $E$9)</f>
        <v>12.4506</v>
      </c>
      <c r="O421" s="10">
        <f>CHOOSE(CONTROL!$C$42, 12.5518, 12.5518) * CHOOSE(CONTROL!$C$21, $C$9, 100%, $E$9)</f>
        <v>12.5518</v>
      </c>
      <c r="P421" s="10">
        <f>CHOOSE(CONTROL!$C$42, 12.4486, 12.4486) * CHOOSE(CONTROL!$C$21, $C$9, 100%, $E$9)</f>
        <v>12.448600000000001</v>
      </c>
      <c r="Q421" s="10">
        <f>CHOOSE(CONTROL!$C$42, 13.1471, 13.1471) * CHOOSE(CONTROL!$C$21, $C$9, 100%, $E$9)</f>
        <v>13.1471</v>
      </c>
      <c r="R421" s="10">
        <f>CHOOSE(CONTROL!$C$42, 13.7669, 13.7669) * CHOOSE(CONTROL!$C$21, $C$9, 100%, $E$9)</f>
        <v>13.7669</v>
      </c>
      <c r="S421" s="10">
        <f>CHOOSE(CONTROL!$C$42, 12.2217, 12.2217) * CHOOSE(CONTROL!$C$21, $C$9, 100%, $E$9)</f>
        <v>12.2217</v>
      </c>
      <c r="T421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21" s="58">
        <f>(1000*CHOOSE(CONTROL!$C$42, 695, 695)*CHOOSE(CONTROL!$C$42, 0.5599, 0.5599)*CHOOSE(CONTROL!$C$42, 31, 31))/1000000</f>
        <v>12.063045499999998</v>
      </c>
      <c r="V421" s="58">
        <f>(1000*CHOOSE(CONTROL!$C$42, 500, 500)*CHOOSE(CONTROL!$C$42, 0.275, 0.275)*CHOOSE(CONTROL!$C$42, 31, 31))/1000000</f>
        <v>4.2625000000000002</v>
      </c>
      <c r="W421" s="58">
        <f>(1000*CHOOSE(CONTROL!$C$42, 0.1146, 0.1146)*CHOOSE(CONTROL!$C$42, 121.5, 121.5)*CHOOSE(CONTROL!$C$42, 31, 31))/1000000</f>
        <v>0.43164089999999994</v>
      </c>
      <c r="X421" s="58">
        <f>(31*0.1790888*100000/1000000)+(31*0.2374*100000/1000000)</f>
        <v>1.2911152800000001</v>
      </c>
      <c r="Y421" s="58"/>
      <c r="Z421" s="10"/>
      <c r="AA421" s="57"/>
      <c r="AB421" s="51">
        <f>(B421*122.58+C421*297.941+D421*89.177+E421*40.302+F421*40+G421*160+H421*0+I421*100+J421*300)/(122.58+297.941+89.177+40.302+0+40+160+100+300)</f>
        <v>12.579590568173911</v>
      </c>
      <c r="AC421" s="27">
        <f>(M421*'RAP TEMPLATE-GAS AVAILABILITY'!O420+N421*'RAP TEMPLATE-GAS AVAILABILITY'!P420+O421*'RAP TEMPLATE-GAS AVAILABILITY'!Q420+P421*'RAP TEMPLATE-GAS AVAILABILITY'!R420)/('RAP TEMPLATE-GAS AVAILABILITY'!O420+'RAP TEMPLATE-GAS AVAILABILITY'!P420+'RAP TEMPLATE-GAS AVAILABILITY'!Q420+'RAP TEMPLATE-GAS AVAILABILITY'!R420)</f>
        <v>12.490171223021582</v>
      </c>
    </row>
    <row r="422" spans="1:29" ht="15.75" x14ac:dyDescent="0.25">
      <c r="A422" s="14">
        <v>54116</v>
      </c>
      <c r="B422" s="10">
        <f>CHOOSE(CONTROL!$C$42, 12.8116, 12.8116) * CHOOSE(CONTROL!$C$21, $C$9, 100%, $E$9)</f>
        <v>12.8116</v>
      </c>
      <c r="C422" s="10">
        <f>CHOOSE(CONTROL!$C$42, 12.8166, 12.8166) * CHOOSE(CONTROL!$C$21, $C$9, 100%, $E$9)</f>
        <v>12.816599999999999</v>
      </c>
      <c r="D422" s="10">
        <f>CHOOSE(CONTROL!$C$42, 12.9337, 12.9337) * CHOOSE(CONTROL!$C$21, $C$9, 100%, $E$9)</f>
        <v>12.9337</v>
      </c>
      <c r="E422" s="10">
        <f>CHOOSE(CONTROL!$C$42, 12.9675, 12.9675) * CHOOSE(CONTROL!$C$21, $C$9, 100%, $E$9)</f>
        <v>12.967499999999999</v>
      </c>
      <c r="F422" s="10">
        <f>CHOOSE(CONTROL!$C$42, 12.8892, 12.8892)*CHOOSE(CONTROL!$C$21, $C$9, 100%, $E$9)</f>
        <v>12.889200000000001</v>
      </c>
      <c r="G422" s="10">
        <f>CHOOSE(CONTROL!$C$42, 12.9111, 12.9111)*CHOOSE(CONTROL!$C$21, $C$9, 100%, $E$9)</f>
        <v>12.911099999999999</v>
      </c>
      <c r="H422" s="10">
        <f>CHOOSE(CONTROL!$C$42, 12.9567, 12.9567) * CHOOSE(CONTROL!$C$21, $C$9, 100%, $E$9)</f>
        <v>12.9567</v>
      </c>
      <c r="I422" s="10">
        <f>CHOOSE(CONTROL!$C$42, 12.8473, 12.8473)* CHOOSE(CONTROL!$C$21, $C$9, 100%, $E$9)</f>
        <v>12.847300000000001</v>
      </c>
      <c r="J422" s="10">
        <f>CHOOSE(CONTROL!$C$42, 12.8822, 12.8822)* CHOOSE(CONTROL!$C$21, $C$9, 100%, $E$9)</f>
        <v>12.882199999999999</v>
      </c>
      <c r="K422" s="54">
        <f>CHOOSE(CONTROL!$C$42, 12.8434, 12.8434) * CHOOSE(CONTROL!$C$21, $C$9, 100%, $E$9)</f>
        <v>12.843400000000001</v>
      </c>
      <c r="L422" s="10">
        <f>CHOOSE(CONTROL!$C$42, 13.5437, 13.5437) * CHOOSE(CONTROL!$C$21, $C$9, 100%, $E$9)</f>
        <v>13.543699999999999</v>
      </c>
      <c r="M422" s="10">
        <f>CHOOSE(CONTROL!$C$42, 12.7661, 12.7661) * CHOOSE(CONTROL!$C$21, $C$9, 100%, $E$9)</f>
        <v>12.7661</v>
      </c>
      <c r="N422" s="10">
        <f>CHOOSE(CONTROL!$C$42, 12.7877, 12.7877) * CHOOSE(CONTROL!$C$21, $C$9, 100%, $E$9)</f>
        <v>12.787699999999999</v>
      </c>
      <c r="O422" s="10">
        <f>CHOOSE(CONTROL!$C$42, 12.8398, 12.8398) * CHOOSE(CONTROL!$C$21, $C$9, 100%, $E$9)</f>
        <v>12.8398</v>
      </c>
      <c r="P422" s="10">
        <f>CHOOSE(CONTROL!$C$42, 12.7315, 12.7315) * CHOOSE(CONTROL!$C$21, $C$9, 100%, $E$9)</f>
        <v>12.7315</v>
      </c>
      <c r="Q422" s="10">
        <f>CHOOSE(CONTROL!$C$42, 13.4351, 13.4351) * CHOOSE(CONTROL!$C$21, $C$9, 100%, $E$9)</f>
        <v>13.4351</v>
      </c>
      <c r="R422" s="10">
        <f>CHOOSE(CONTROL!$C$42, 14.0557, 14.0557) * CHOOSE(CONTROL!$C$21, $C$9, 100%, $E$9)</f>
        <v>14.0557</v>
      </c>
      <c r="S422" s="10">
        <f>CHOOSE(CONTROL!$C$42, 12.4393, 12.4393) * CHOOSE(CONTROL!$C$21, $C$9, 100%, $E$9)</f>
        <v>12.439299999999999</v>
      </c>
      <c r="T422" s="5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422" s="58">
        <f>(1000*CHOOSE(CONTROL!$C$42, 695, 695)*CHOOSE(CONTROL!$C$42, 0.5599, 0.5599)*CHOOSE(CONTROL!$C$42, 29, 29))/1000000</f>
        <v>11.284784499999999</v>
      </c>
      <c r="V422" s="58">
        <f>(1000*CHOOSE(CONTROL!$C$42, 500, 500)*CHOOSE(CONTROL!$C$42, 0.275, 0.275)*CHOOSE(CONTROL!$C$42, 29, 29))/1000000</f>
        <v>3.9874999999999998</v>
      </c>
      <c r="W422" s="58">
        <f>(1000*CHOOSE(CONTROL!$C$42, 0.1146, 0.1146)*CHOOSE(CONTROL!$C$42, 121.5, 121.5)*CHOOSE(CONTROL!$C$42, 29, 29))/1000000</f>
        <v>0.40379309999999996</v>
      </c>
      <c r="X422" s="58">
        <f>(29*0.1790888*100000/1000000)+(29*0.2374*100000/1000000)</f>
        <v>1.2078175199999999</v>
      </c>
      <c r="Y422" s="58"/>
      <c r="Z422" s="10"/>
      <c r="AA422" s="57"/>
      <c r="AB422" s="51">
        <f>(B422*122.58+C422*297.941+D422*89.177+E422*40.302+F422*40+G422*160+H422*0+I422*100+J422*300)/(122.58+297.941+89.177+40.302+0+40+160+100+300)</f>
        <v>12.865891563913042</v>
      </c>
      <c r="AC422" s="27">
        <f>(M422*'RAP TEMPLATE-GAS AVAILABILITY'!O421+N422*'RAP TEMPLATE-GAS AVAILABILITY'!P421+O422*'RAP TEMPLATE-GAS AVAILABILITY'!Q421+P422*'RAP TEMPLATE-GAS AVAILABILITY'!R421)/('RAP TEMPLATE-GAS AVAILABILITY'!O421+'RAP TEMPLATE-GAS AVAILABILITY'!P421+'RAP TEMPLATE-GAS AVAILABILITY'!Q421+'RAP TEMPLATE-GAS AVAILABILITY'!R421)</f>
        <v>12.79576834532374</v>
      </c>
    </row>
    <row r="423" spans="1:29" ht="15.75" x14ac:dyDescent="0.25">
      <c r="A423" s="14">
        <v>54148</v>
      </c>
      <c r="B423" s="10">
        <f>CHOOSE(CONTROL!$C$42, 12.448, 12.448) * CHOOSE(CONTROL!$C$21, $C$9, 100%, $E$9)</f>
        <v>12.448</v>
      </c>
      <c r="C423" s="10">
        <f>CHOOSE(CONTROL!$C$42, 12.453, 12.453) * CHOOSE(CONTROL!$C$21, $C$9, 100%, $E$9)</f>
        <v>12.452999999999999</v>
      </c>
      <c r="D423" s="10">
        <f>CHOOSE(CONTROL!$C$42, 12.5443, 12.5443) * CHOOSE(CONTROL!$C$21, $C$9, 100%, $E$9)</f>
        <v>12.5443</v>
      </c>
      <c r="E423" s="10">
        <f>CHOOSE(CONTROL!$C$42, 12.5781, 12.5781) * CHOOSE(CONTROL!$C$21, $C$9, 100%, $E$9)</f>
        <v>12.578099999999999</v>
      </c>
      <c r="F423" s="10">
        <f>CHOOSE(CONTROL!$C$42, 12.4778, 12.4778)*CHOOSE(CONTROL!$C$21, $C$9, 100%, $E$9)</f>
        <v>12.4778</v>
      </c>
      <c r="G423" s="10">
        <f>CHOOSE(CONTROL!$C$42, 12.4973, 12.4973)*CHOOSE(CONTROL!$C$21, $C$9, 100%, $E$9)</f>
        <v>12.497299999999999</v>
      </c>
      <c r="H423" s="10">
        <f>CHOOSE(CONTROL!$C$42, 12.5673, 12.5673) * CHOOSE(CONTROL!$C$21, $C$9, 100%, $E$9)</f>
        <v>12.567299999999999</v>
      </c>
      <c r="I423" s="10">
        <f>CHOOSE(CONTROL!$C$42, 12.4708, 12.4708)* CHOOSE(CONTROL!$C$21, $C$9, 100%, $E$9)</f>
        <v>12.470800000000001</v>
      </c>
      <c r="J423" s="10">
        <f>CHOOSE(CONTROL!$C$42, 12.4708, 12.4708)* CHOOSE(CONTROL!$C$21, $C$9, 100%, $E$9)</f>
        <v>12.470800000000001</v>
      </c>
      <c r="K423" s="54">
        <f>CHOOSE(CONTROL!$C$42, 12.4669, 12.4669) * CHOOSE(CONTROL!$C$21, $C$9, 100%, $E$9)</f>
        <v>12.466900000000001</v>
      </c>
      <c r="L423" s="10">
        <f>CHOOSE(CONTROL!$C$42, 13.1543, 13.1543) * CHOOSE(CONTROL!$C$21, $C$9, 100%, $E$9)</f>
        <v>13.154299999999999</v>
      </c>
      <c r="M423" s="10">
        <f>CHOOSE(CONTROL!$C$42, 12.3588, 12.3588) * CHOOSE(CONTROL!$C$21, $C$9, 100%, $E$9)</f>
        <v>12.3588</v>
      </c>
      <c r="N423" s="10">
        <f>CHOOSE(CONTROL!$C$42, 12.3781, 12.3781) * CHOOSE(CONTROL!$C$21, $C$9, 100%, $E$9)</f>
        <v>12.3781</v>
      </c>
      <c r="O423" s="10">
        <f>CHOOSE(CONTROL!$C$42, 12.4543, 12.4543) * CHOOSE(CONTROL!$C$21, $C$9, 100%, $E$9)</f>
        <v>12.4543</v>
      </c>
      <c r="P423" s="10">
        <f>CHOOSE(CONTROL!$C$42, 12.3588, 12.3588) * CHOOSE(CONTROL!$C$21, $C$9, 100%, $E$9)</f>
        <v>12.3588</v>
      </c>
      <c r="Q423" s="10">
        <f>CHOOSE(CONTROL!$C$42, 13.0496, 13.0496) * CHOOSE(CONTROL!$C$21, $C$9, 100%, $E$9)</f>
        <v>13.0496</v>
      </c>
      <c r="R423" s="10">
        <f>CHOOSE(CONTROL!$C$42, 13.6692, 13.6692) * CHOOSE(CONTROL!$C$21, $C$9, 100%, $E$9)</f>
        <v>13.6692</v>
      </c>
      <c r="S423" s="10">
        <f>CHOOSE(CONTROL!$C$42, 12.0861, 12.0861) * CHOOSE(CONTROL!$C$21, $C$9, 100%, $E$9)</f>
        <v>12.0861</v>
      </c>
      <c r="T423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423" s="58">
        <f>(1000*CHOOSE(CONTROL!$C$42, 695, 695)*CHOOSE(CONTROL!$C$42, 0.5599, 0.5599)*CHOOSE(CONTROL!$C$42, 31, 31))/1000000</f>
        <v>12.063045499999998</v>
      </c>
      <c r="V423" s="58">
        <f>(1000*CHOOSE(CONTROL!$C$42, 500, 500)*CHOOSE(CONTROL!$C$42, 0.275, 0.275)*CHOOSE(CONTROL!$C$42, 31, 31))/1000000</f>
        <v>4.2625000000000002</v>
      </c>
      <c r="W423" s="58">
        <f>(1000*CHOOSE(CONTROL!$C$42, 0.1146, 0.1146)*CHOOSE(CONTROL!$C$42, 121.5, 121.5)*CHOOSE(CONTROL!$C$42, 31, 31))/1000000</f>
        <v>0.43164089999999994</v>
      </c>
      <c r="X423" s="58">
        <f>(31*0.1790888*100000/1000000)+(31*0.2374*100000/1000000)</f>
        <v>1.2911152800000001</v>
      </c>
      <c r="Y423" s="58"/>
      <c r="Z423" s="10"/>
      <c r="AA423" s="57"/>
      <c r="AB423" s="51">
        <f>(B423*122.58+C423*297.941+D423*89.177+E423*40.302+F423*40+G423*160+H423*0+I423*100+J423*300)/(122.58+297.941+89.177+40.302+0+40+160+100+300)</f>
        <v>12.477148469826087</v>
      </c>
      <c r="AC423" s="27">
        <f>(M423*'RAP TEMPLATE-GAS AVAILABILITY'!O422+N423*'RAP TEMPLATE-GAS AVAILABILITY'!P422+O423*'RAP TEMPLATE-GAS AVAILABILITY'!Q422+P423*'RAP TEMPLATE-GAS AVAILABILITY'!R422)/('RAP TEMPLATE-GAS AVAILABILITY'!O422+'RAP TEMPLATE-GAS AVAILABILITY'!P422+'RAP TEMPLATE-GAS AVAILABILITY'!Q422+'RAP TEMPLATE-GAS AVAILABILITY'!R422)</f>
        <v>12.403194964028776</v>
      </c>
    </row>
    <row r="424" spans="1:29" ht="15.75" x14ac:dyDescent="0.25">
      <c r="A424" s="14">
        <v>54178</v>
      </c>
      <c r="B424" s="10">
        <f>CHOOSE(CONTROL!$C$42, 12.4115, 12.4115) * CHOOSE(CONTROL!$C$21, $C$9, 100%, $E$9)</f>
        <v>12.4115</v>
      </c>
      <c r="C424" s="10">
        <f>CHOOSE(CONTROL!$C$42, 12.4159, 12.4159) * CHOOSE(CONTROL!$C$21, $C$9, 100%, $E$9)</f>
        <v>12.415900000000001</v>
      </c>
      <c r="D424" s="10">
        <f>CHOOSE(CONTROL!$C$42, 12.5976, 12.5976) * CHOOSE(CONTROL!$C$21, $C$9, 100%, $E$9)</f>
        <v>12.5976</v>
      </c>
      <c r="E424" s="10">
        <f>CHOOSE(CONTROL!$C$42, 12.6293, 12.6293) * CHOOSE(CONTROL!$C$21, $C$9, 100%, $E$9)</f>
        <v>12.629300000000001</v>
      </c>
      <c r="F424" s="10">
        <f>CHOOSE(CONTROL!$C$42, 12.3998, 12.3998)*CHOOSE(CONTROL!$C$21, $C$9, 100%, $E$9)</f>
        <v>12.399800000000001</v>
      </c>
      <c r="G424" s="10">
        <f>CHOOSE(CONTROL!$C$42, 12.4178, 12.4178)*CHOOSE(CONTROL!$C$21, $C$9, 100%, $E$9)</f>
        <v>12.4178</v>
      </c>
      <c r="H424" s="10">
        <f>CHOOSE(CONTROL!$C$42, 12.6191, 12.6191) * CHOOSE(CONTROL!$C$21, $C$9, 100%, $E$9)</f>
        <v>12.6191</v>
      </c>
      <c r="I424" s="10">
        <f>CHOOSE(CONTROL!$C$42, 12.3898, 12.3898)* CHOOSE(CONTROL!$C$21, $C$9, 100%, $E$9)</f>
        <v>12.389799999999999</v>
      </c>
      <c r="J424" s="10">
        <f>CHOOSE(CONTROL!$C$42, 12.3928, 12.3928)* CHOOSE(CONTROL!$C$21, $C$9, 100%, $E$9)</f>
        <v>12.392799999999999</v>
      </c>
      <c r="K424" s="54">
        <f>CHOOSE(CONTROL!$C$42, 12.3859, 12.3859) * CHOOSE(CONTROL!$C$21, $C$9, 100%, $E$9)</f>
        <v>12.385899999999999</v>
      </c>
      <c r="L424" s="10">
        <f>CHOOSE(CONTROL!$C$42, 13.2061, 13.2061) * CHOOSE(CONTROL!$C$21, $C$9, 100%, $E$9)</f>
        <v>13.206099999999999</v>
      </c>
      <c r="M424" s="10">
        <f>CHOOSE(CONTROL!$C$42, 12.2816, 12.2816) * CHOOSE(CONTROL!$C$21, $C$9, 100%, $E$9)</f>
        <v>12.281599999999999</v>
      </c>
      <c r="N424" s="10">
        <f>CHOOSE(CONTROL!$C$42, 12.2994, 12.2994) * CHOOSE(CONTROL!$C$21, $C$9, 100%, $E$9)</f>
        <v>12.2994</v>
      </c>
      <c r="O424" s="10">
        <f>CHOOSE(CONTROL!$C$42, 12.5056, 12.5056) * CHOOSE(CONTROL!$C$21, $C$9, 100%, $E$9)</f>
        <v>12.505599999999999</v>
      </c>
      <c r="P424" s="10">
        <f>CHOOSE(CONTROL!$C$42, 12.2786, 12.2786) * CHOOSE(CONTROL!$C$21, $C$9, 100%, $E$9)</f>
        <v>12.278600000000001</v>
      </c>
      <c r="Q424" s="10">
        <f>CHOOSE(CONTROL!$C$42, 13.1009, 13.1009) * CHOOSE(CONTROL!$C$21, $C$9, 100%, $E$9)</f>
        <v>13.100899999999999</v>
      </c>
      <c r="R424" s="10">
        <f>CHOOSE(CONTROL!$C$42, 13.7207, 13.7207) * CHOOSE(CONTROL!$C$21, $C$9, 100%, $E$9)</f>
        <v>13.720700000000001</v>
      </c>
      <c r="S424" s="10">
        <f>CHOOSE(CONTROL!$C$42, 12.0499, 12.0499) * CHOOSE(CONTROL!$C$21, $C$9, 100%, $E$9)</f>
        <v>12.049899999999999</v>
      </c>
      <c r="T424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24" s="58">
        <f>(1000*CHOOSE(CONTROL!$C$42, 695, 695)*CHOOSE(CONTROL!$C$42, 0.5599, 0.5599)*CHOOSE(CONTROL!$C$42, 30, 30))/1000000</f>
        <v>11.673914999999997</v>
      </c>
      <c r="V424" s="58">
        <f>(1000*CHOOSE(CONTROL!$C$42, 500, 500)*CHOOSE(CONTROL!$C$42, 0.275, 0.275)*CHOOSE(CONTROL!$C$42, 30, 30))/1000000</f>
        <v>4.125</v>
      </c>
      <c r="W424" s="58">
        <f>(1000*CHOOSE(CONTROL!$C$42, 0.1146, 0.1146)*CHOOSE(CONTROL!$C$42, 121.5, 121.5)*CHOOSE(CONTROL!$C$42, 30, 30))/1000000</f>
        <v>0.417717</v>
      </c>
      <c r="X424" s="58">
        <f>(30*0.1790888*245000/1000000)+(30*0.2374*100000/1000000)</f>
        <v>2.0285026799999999</v>
      </c>
      <c r="Y424" s="58"/>
      <c r="Z424" s="10"/>
      <c r="AA424" s="57"/>
      <c r="AB424" s="51">
        <f>(B424*141.293+C424*267.993+D424*115.016+E424*89.698+F424*40+G424*185+H424*0+I424*100+J424*300)/(141.293+267.993+115.016+89.698+0+40+185+100+300)</f>
        <v>12.439778749959645</v>
      </c>
      <c r="AC424" s="27">
        <f>(M424*'RAP TEMPLATE-GAS AVAILABILITY'!O423+N424*'RAP TEMPLATE-GAS AVAILABILITY'!P423+O424*'RAP TEMPLATE-GAS AVAILABILITY'!Q423+P424*'RAP TEMPLATE-GAS AVAILABILITY'!R423)/('RAP TEMPLATE-GAS AVAILABILITY'!O423+'RAP TEMPLATE-GAS AVAILABILITY'!P423+'RAP TEMPLATE-GAS AVAILABILITY'!Q423+'RAP TEMPLATE-GAS AVAILABILITY'!R423)</f>
        <v>12.348115107913669</v>
      </c>
    </row>
    <row r="425" spans="1:29" ht="15.75" x14ac:dyDescent="0.25">
      <c r="A425" s="14">
        <v>54209</v>
      </c>
      <c r="B425" s="10">
        <f>CHOOSE(CONTROL!$C$42, 12.5228, 12.5228) * CHOOSE(CONTROL!$C$21, $C$9, 100%, $E$9)</f>
        <v>12.5228</v>
      </c>
      <c r="C425" s="10">
        <f>CHOOSE(CONTROL!$C$42, 12.5307, 12.5307) * CHOOSE(CONTROL!$C$21, $C$9, 100%, $E$9)</f>
        <v>12.5307</v>
      </c>
      <c r="D425" s="10">
        <f>CHOOSE(CONTROL!$C$42, 12.7093, 12.7093) * CHOOSE(CONTROL!$C$21, $C$9, 100%, $E$9)</f>
        <v>12.709300000000001</v>
      </c>
      <c r="E425" s="10">
        <f>CHOOSE(CONTROL!$C$42, 12.7404, 12.7404) * CHOOSE(CONTROL!$C$21, $C$9, 100%, $E$9)</f>
        <v>12.740399999999999</v>
      </c>
      <c r="F425" s="10">
        <f>CHOOSE(CONTROL!$C$42, 12.509, 12.509)*CHOOSE(CONTROL!$C$21, $C$9, 100%, $E$9)</f>
        <v>12.509</v>
      </c>
      <c r="G425" s="10">
        <f>CHOOSE(CONTROL!$C$42, 12.5272, 12.5272)*CHOOSE(CONTROL!$C$21, $C$9, 100%, $E$9)</f>
        <v>12.527200000000001</v>
      </c>
      <c r="H425" s="10">
        <f>CHOOSE(CONTROL!$C$42, 12.729, 12.729) * CHOOSE(CONTROL!$C$21, $C$9, 100%, $E$9)</f>
        <v>12.728999999999999</v>
      </c>
      <c r="I425" s="10">
        <f>CHOOSE(CONTROL!$C$42, 12.4997, 12.4997)* CHOOSE(CONTROL!$C$21, $C$9, 100%, $E$9)</f>
        <v>12.499700000000001</v>
      </c>
      <c r="J425" s="10">
        <f>CHOOSE(CONTROL!$C$42, 12.502, 12.502)* CHOOSE(CONTROL!$C$21, $C$9, 100%, $E$9)</f>
        <v>12.502000000000001</v>
      </c>
      <c r="K425" s="54">
        <f>CHOOSE(CONTROL!$C$42, 12.4958, 12.4958) * CHOOSE(CONTROL!$C$21, $C$9, 100%, $E$9)</f>
        <v>12.495799999999999</v>
      </c>
      <c r="L425" s="10">
        <f>CHOOSE(CONTROL!$C$42, 13.316, 13.316) * CHOOSE(CONTROL!$C$21, $C$9, 100%, $E$9)</f>
        <v>13.316000000000001</v>
      </c>
      <c r="M425" s="10">
        <f>CHOOSE(CONTROL!$C$42, 12.3897, 12.3897) * CHOOSE(CONTROL!$C$21, $C$9, 100%, $E$9)</f>
        <v>12.389699999999999</v>
      </c>
      <c r="N425" s="10">
        <f>CHOOSE(CONTROL!$C$42, 12.4076, 12.4076) * CHOOSE(CONTROL!$C$21, $C$9, 100%, $E$9)</f>
        <v>12.4076</v>
      </c>
      <c r="O425" s="10">
        <f>CHOOSE(CONTROL!$C$42, 12.6144, 12.6144) * CHOOSE(CONTROL!$C$21, $C$9, 100%, $E$9)</f>
        <v>12.6144</v>
      </c>
      <c r="P425" s="10">
        <f>CHOOSE(CONTROL!$C$42, 12.3874, 12.3874) * CHOOSE(CONTROL!$C$21, $C$9, 100%, $E$9)</f>
        <v>12.3874</v>
      </c>
      <c r="Q425" s="10">
        <f>CHOOSE(CONTROL!$C$42, 13.2097, 13.2097) * CHOOSE(CONTROL!$C$21, $C$9, 100%, $E$9)</f>
        <v>13.2097</v>
      </c>
      <c r="R425" s="10">
        <f>CHOOSE(CONTROL!$C$42, 13.8297, 13.8297) * CHOOSE(CONTROL!$C$21, $C$9, 100%, $E$9)</f>
        <v>13.829700000000001</v>
      </c>
      <c r="S425" s="10">
        <f>CHOOSE(CONTROL!$C$42, 12.1567, 12.1567) * CHOOSE(CONTROL!$C$21, $C$9, 100%, $E$9)</f>
        <v>12.156700000000001</v>
      </c>
      <c r="T425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25" s="58">
        <f>(1000*CHOOSE(CONTROL!$C$42, 695, 695)*CHOOSE(CONTROL!$C$42, 0.5599, 0.5599)*CHOOSE(CONTROL!$C$42, 31, 31))/1000000</f>
        <v>12.063045499999998</v>
      </c>
      <c r="V425" s="58">
        <f>(1000*CHOOSE(CONTROL!$C$42, 500, 500)*CHOOSE(CONTROL!$C$42, 0.275, 0.275)*CHOOSE(CONTROL!$C$42, 31, 31))/1000000</f>
        <v>4.2625000000000002</v>
      </c>
      <c r="W425" s="58">
        <f>(1000*CHOOSE(CONTROL!$C$42, 0.1146, 0.1146)*CHOOSE(CONTROL!$C$42, 121.5, 121.5)*CHOOSE(CONTROL!$C$42, 31, 31))/1000000</f>
        <v>0.43164089999999994</v>
      </c>
      <c r="X425" s="58">
        <f>(31*0.1790888*245000/1000000)+(31*0.2374*100000/1000000)</f>
        <v>2.0961194359999999</v>
      </c>
      <c r="Y425" s="58"/>
      <c r="Z425" s="10"/>
      <c r="AA425" s="57"/>
      <c r="AB425" s="51">
        <f>(B425*194.205+C425*267.466+D425*133.845+E425*53.484+F425*40+G425*185+H425*0+I425*100+J425*300)/(194.205+267.466+133.845+53.484+0+40+185+100+300)</f>
        <v>12.546681626609104</v>
      </c>
      <c r="AC425" s="27">
        <f>(M425*'RAP TEMPLATE-GAS AVAILABILITY'!O424+N425*'RAP TEMPLATE-GAS AVAILABILITY'!P424+O425*'RAP TEMPLATE-GAS AVAILABILITY'!Q424+P425*'RAP TEMPLATE-GAS AVAILABILITY'!R424)/('RAP TEMPLATE-GAS AVAILABILITY'!O424+'RAP TEMPLATE-GAS AVAILABILITY'!P424+'RAP TEMPLATE-GAS AVAILABILITY'!Q424+'RAP TEMPLATE-GAS AVAILABILITY'!R424)</f>
        <v>12.456535251798561</v>
      </c>
    </row>
    <row r="426" spans="1:29" ht="15.75" x14ac:dyDescent="0.25">
      <c r="A426" s="14">
        <v>54239</v>
      </c>
      <c r="B426" s="10">
        <f>CHOOSE(CONTROL!$C$42, 12.8779, 12.8779) * CHOOSE(CONTROL!$C$21, $C$9, 100%, $E$9)</f>
        <v>12.8779</v>
      </c>
      <c r="C426" s="10">
        <f>CHOOSE(CONTROL!$C$42, 12.8858, 12.8858) * CHOOSE(CONTROL!$C$21, $C$9, 100%, $E$9)</f>
        <v>12.8858</v>
      </c>
      <c r="D426" s="10">
        <f>CHOOSE(CONTROL!$C$42, 13.0643, 13.0643) * CHOOSE(CONTROL!$C$21, $C$9, 100%, $E$9)</f>
        <v>13.064299999999999</v>
      </c>
      <c r="E426" s="10">
        <f>CHOOSE(CONTROL!$C$42, 13.0955, 13.0955) * CHOOSE(CONTROL!$C$21, $C$9, 100%, $E$9)</f>
        <v>13.095499999999999</v>
      </c>
      <c r="F426" s="10">
        <f>CHOOSE(CONTROL!$C$42, 12.8643, 12.8643)*CHOOSE(CONTROL!$C$21, $C$9, 100%, $E$9)</f>
        <v>12.8643</v>
      </c>
      <c r="G426" s="10">
        <f>CHOOSE(CONTROL!$C$42, 12.8826, 12.8826)*CHOOSE(CONTROL!$C$21, $C$9, 100%, $E$9)</f>
        <v>12.8826</v>
      </c>
      <c r="H426" s="10">
        <f>CHOOSE(CONTROL!$C$42, 13.0841, 13.0841) * CHOOSE(CONTROL!$C$21, $C$9, 100%, $E$9)</f>
        <v>13.084099999999999</v>
      </c>
      <c r="I426" s="10">
        <f>CHOOSE(CONTROL!$C$42, 12.8548, 12.8548)* CHOOSE(CONTROL!$C$21, $C$9, 100%, $E$9)</f>
        <v>12.854799999999999</v>
      </c>
      <c r="J426" s="10">
        <f>CHOOSE(CONTROL!$C$42, 12.8573, 12.8573)* CHOOSE(CONTROL!$C$21, $C$9, 100%, $E$9)</f>
        <v>12.8573</v>
      </c>
      <c r="K426" s="54">
        <f>CHOOSE(CONTROL!$C$42, 12.8509, 12.8509) * CHOOSE(CONTROL!$C$21, $C$9, 100%, $E$9)</f>
        <v>12.850899999999999</v>
      </c>
      <c r="L426" s="10">
        <f>CHOOSE(CONTROL!$C$42, 13.6711, 13.6711) * CHOOSE(CONTROL!$C$21, $C$9, 100%, $E$9)</f>
        <v>13.671099999999999</v>
      </c>
      <c r="M426" s="10">
        <f>CHOOSE(CONTROL!$C$42, 12.7414, 12.7414) * CHOOSE(CONTROL!$C$21, $C$9, 100%, $E$9)</f>
        <v>12.741400000000001</v>
      </c>
      <c r="N426" s="10">
        <f>CHOOSE(CONTROL!$C$42, 12.7594, 12.7594) * CHOOSE(CONTROL!$C$21, $C$9, 100%, $E$9)</f>
        <v>12.759399999999999</v>
      </c>
      <c r="O426" s="10">
        <f>CHOOSE(CONTROL!$C$42, 12.9659, 12.9659) * CHOOSE(CONTROL!$C$21, $C$9, 100%, $E$9)</f>
        <v>12.9659</v>
      </c>
      <c r="P426" s="10">
        <f>CHOOSE(CONTROL!$C$42, 12.7389, 12.7389) * CHOOSE(CONTROL!$C$21, $C$9, 100%, $E$9)</f>
        <v>12.738899999999999</v>
      </c>
      <c r="Q426" s="10">
        <f>CHOOSE(CONTROL!$C$42, 13.5612, 13.5612) * CHOOSE(CONTROL!$C$21, $C$9, 100%, $E$9)</f>
        <v>13.561199999999999</v>
      </c>
      <c r="R426" s="10">
        <f>CHOOSE(CONTROL!$C$42, 14.1821, 14.1821) * CHOOSE(CONTROL!$C$21, $C$9, 100%, $E$9)</f>
        <v>14.1821</v>
      </c>
      <c r="S426" s="10">
        <f>CHOOSE(CONTROL!$C$42, 12.5015, 12.5015) * CHOOSE(CONTROL!$C$21, $C$9, 100%, $E$9)</f>
        <v>12.5015</v>
      </c>
      <c r="T426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26" s="58">
        <f>(1000*CHOOSE(CONTROL!$C$42, 695, 695)*CHOOSE(CONTROL!$C$42, 0.5599, 0.5599)*CHOOSE(CONTROL!$C$42, 30, 30))/1000000</f>
        <v>11.673914999999997</v>
      </c>
      <c r="V426" s="58">
        <f>(1000*CHOOSE(CONTROL!$C$42, 500, 500)*CHOOSE(CONTROL!$C$42, 0.275, 0.275)*CHOOSE(CONTROL!$C$42, 30, 30))/1000000</f>
        <v>4.125</v>
      </c>
      <c r="W426" s="58">
        <f>(1000*CHOOSE(CONTROL!$C$42, 0.1146, 0.1146)*CHOOSE(CONTROL!$C$42, 121.5, 121.5)*CHOOSE(CONTROL!$C$42, 30, 30))/1000000</f>
        <v>0.417717</v>
      </c>
      <c r="X426" s="58">
        <f>(30*0.1790888*245000/1000000)+(30*0.2374*100000/1000000)</f>
        <v>2.0285026799999999</v>
      </c>
      <c r="Y426" s="58"/>
      <c r="Z426" s="10"/>
      <c r="AA426" s="57"/>
      <c r="AB426" s="51">
        <f>(B426*194.205+C426*267.466+D426*133.845+E426*53.484+F426*40+G426*185+H426*0+I426*100+J426*300)/(194.205+267.466+133.845+53.484+0+40+185+100+300)</f>
        <v>12.901868059497644</v>
      </c>
      <c r="AC426" s="27">
        <f>(M426*'RAP TEMPLATE-GAS AVAILABILITY'!O425+N426*'RAP TEMPLATE-GAS AVAILABILITY'!P425+O426*'RAP TEMPLATE-GAS AVAILABILITY'!Q425+P426*'RAP TEMPLATE-GAS AVAILABILITY'!R425)/('RAP TEMPLATE-GAS AVAILABILITY'!O425+'RAP TEMPLATE-GAS AVAILABILITY'!P425+'RAP TEMPLATE-GAS AVAILABILITY'!Q425+'RAP TEMPLATE-GAS AVAILABILITY'!R425)</f>
        <v>12.808173381294965</v>
      </c>
    </row>
    <row r="427" spans="1:29" ht="15.75" x14ac:dyDescent="0.25">
      <c r="A427" s="14">
        <v>54270</v>
      </c>
      <c r="B427" s="10">
        <f>CHOOSE(CONTROL!$C$42, 12.6309, 12.6309) * CHOOSE(CONTROL!$C$21, $C$9, 100%, $E$9)</f>
        <v>12.6309</v>
      </c>
      <c r="C427" s="10">
        <f>CHOOSE(CONTROL!$C$42, 12.6389, 12.6389) * CHOOSE(CONTROL!$C$21, $C$9, 100%, $E$9)</f>
        <v>12.6389</v>
      </c>
      <c r="D427" s="10">
        <f>CHOOSE(CONTROL!$C$42, 12.8174, 12.8174) * CHOOSE(CONTROL!$C$21, $C$9, 100%, $E$9)</f>
        <v>12.817399999999999</v>
      </c>
      <c r="E427" s="10">
        <f>CHOOSE(CONTROL!$C$42, 12.8485, 12.8485) * CHOOSE(CONTROL!$C$21, $C$9, 100%, $E$9)</f>
        <v>12.8485</v>
      </c>
      <c r="F427" s="10">
        <f>CHOOSE(CONTROL!$C$42, 12.6176, 12.6176)*CHOOSE(CONTROL!$C$21, $C$9, 100%, $E$9)</f>
        <v>12.617599999999999</v>
      </c>
      <c r="G427" s="10">
        <f>CHOOSE(CONTROL!$C$42, 12.636, 12.636)*CHOOSE(CONTROL!$C$21, $C$9, 100%, $E$9)</f>
        <v>12.635999999999999</v>
      </c>
      <c r="H427" s="10">
        <f>CHOOSE(CONTROL!$C$42, 12.8372, 12.8372) * CHOOSE(CONTROL!$C$21, $C$9, 100%, $E$9)</f>
        <v>12.837199999999999</v>
      </c>
      <c r="I427" s="10">
        <f>CHOOSE(CONTROL!$C$42, 12.6078, 12.6078)* CHOOSE(CONTROL!$C$21, $C$9, 100%, $E$9)</f>
        <v>12.607799999999999</v>
      </c>
      <c r="J427" s="10">
        <f>CHOOSE(CONTROL!$C$42, 12.6106, 12.6106)* CHOOSE(CONTROL!$C$21, $C$9, 100%, $E$9)</f>
        <v>12.6106</v>
      </c>
      <c r="K427" s="54">
        <f>CHOOSE(CONTROL!$C$42, 12.6039, 12.6039) * CHOOSE(CONTROL!$C$21, $C$9, 100%, $E$9)</f>
        <v>12.603899999999999</v>
      </c>
      <c r="L427" s="10">
        <f>CHOOSE(CONTROL!$C$42, 13.4242, 13.4242) * CHOOSE(CONTROL!$C$21, $C$9, 100%, $E$9)</f>
        <v>13.424200000000001</v>
      </c>
      <c r="M427" s="10">
        <f>CHOOSE(CONTROL!$C$42, 12.4972, 12.4972) * CHOOSE(CONTROL!$C$21, $C$9, 100%, $E$9)</f>
        <v>12.497199999999999</v>
      </c>
      <c r="N427" s="10">
        <f>CHOOSE(CONTROL!$C$42, 12.5153, 12.5153) * CHOOSE(CONTROL!$C$21, $C$9, 100%, $E$9)</f>
        <v>12.5153</v>
      </c>
      <c r="O427" s="10">
        <f>CHOOSE(CONTROL!$C$42, 12.7214, 12.7214) * CHOOSE(CONTROL!$C$21, $C$9, 100%, $E$9)</f>
        <v>12.721399999999999</v>
      </c>
      <c r="P427" s="10">
        <f>CHOOSE(CONTROL!$C$42, 12.4944, 12.4944) * CHOOSE(CONTROL!$C$21, $C$9, 100%, $E$9)</f>
        <v>12.494400000000001</v>
      </c>
      <c r="Q427" s="10">
        <f>CHOOSE(CONTROL!$C$42, 13.3167, 13.3167) * CHOOSE(CONTROL!$C$21, $C$9, 100%, $E$9)</f>
        <v>13.316700000000001</v>
      </c>
      <c r="R427" s="10">
        <f>CHOOSE(CONTROL!$C$42, 13.937, 13.937) * CHOOSE(CONTROL!$C$21, $C$9, 100%, $E$9)</f>
        <v>13.936999999999999</v>
      </c>
      <c r="S427" s="10">
        <f>CHOOSE(CONTROL!$C$42, 12.2617, 12.2617) * CHOOSE(CONTROL!$C$21, $C$9, 100%, $E$9)</f>
        <v>12.261699999999999</v>
      </c>
      <c r="T427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27" s="58">
        <f>(1000*CHOOSE(CONTROL!$C$42, 695, 695)*CHOOSE(CONTROL!$C$42, 0.5599, 0.5599)*CHOOSE(CONTROL!$C$42, 31, 31))/1000000</f>
        <v>12.063045499999998</v>
      </c>
      <c r="V427" s="58">
        <f>(1000*CHOOSE(CONTROL!$C$42, 500, 500)*CHOOSE(CONTROL!$C$42, 0.275, 0.275)*CHOOSE(CONTROL!$C$42, 31, 31))/1000000</f>
        <v>4.2625000000000002</v>
      </c>
      <c r="W427" s="58">
        <f>(1000*CHOOSE(CONTROL!$C$42, 0.1146, 0.1146)*CHOOSE(CONTROL!$C$42, 121.5, 121.5)*CHOOSE(CONTROL!$C$42, 31, 31))/1000000</f>
        <v>0.43164089999999994</v>
      </c>
      <c r="X427" s="58">
        <f>(31*0.1790888*245000/1000000)+(31*0.2374*100000/1000000)</f>
        <v>2.0961194359999999</v>
      </c>
      <c r="Y427" s="58"/>
      <c r="Z427" s="10"/>
      <c r="AA427" s="57"/>
      <c r="AB427" s="51">
        <f>(B427*194.205+C427*267.466+D427*133.845+E427*53.484+F427*40+G427*185+H427*0+I427*100+J427*300)/(194.205+267.466+133.845+53.484+0+40+185+100+300)</f>
        <v>12.655037707142856</v>
      </c>
      <c r="AC427" s="27">
        <f>(M427*'RAP TEMPLATE-GAS AVAILABILITY'!O426+N427*'RAP TEMPLATE-GAS AVAILABILITY'!P426+O427*'RAP TEMPLATE-GAS AVAILABILITY'!Q426+P427*'RAP TEMPLATE-GAS AVAILABILITY'!R426)/('RAP TEMPLATE-GAS AVAILABILITY'!O426+'RAP TEMPLATE-GAS AVAILABILITY'!P426+'RAP TEMPLATE-GAS AVAILABILITY'!Q426+'RAP TEMPLATE-GAS AVAILABILITY'!R426)</f>
        <v>12.5638690647482</v>
      </c>
    </row>
    <row r="428" spans="1:29" ht="15.75" x14ac:dyDescent="0.25">
      <c r="A428" s="14">
        <v>54301</v>
      </c>
      <c r="B428" s="10">
        <f>CHOOSE(CONTROL!$C$42, 12.0073, 12.0073) * CHOOSE(CONTROL!$C$21, $C$9, 100%, $E$9)</f>
        <v>12.007300000000001</v>
      </c>
      <c r="C428" s="10">
        <f>CHOOSE(CONTROL!$C$42, 12.0152, 12.0152) * CHOOSE(CONTROL!$C$21, $C$9, 100%, $E$9)</f>
        <v>12.0152</v>
      </c>
      <c r="D428" s="10">
        <f>CHOOSE(CONTROL!$C$42, 12.1937, 12.1937) * CHOOSE(CONTROL!$C$21, $C$9, 100%, $E$9)</f>
        <v>12.1937</v>
      </c>
      <c r="E428" s="10">
        <f>CHOOSE(CONTROL!$C$42, 12.2249, 12.2249) * CHOOSE(CONTROL!$C$21, $C$9, 100%, $E$9)</f>
        <v>12.2249</v>
      </c>
      <c r="F428" s="10">
        <f>CHOOSE(CONTROL!$C$42, 11.9939, 11.9939)*CHOOSE(CONTROL!$C$21, $C$9, 100%, $E$9)</f>
        <v>11.9939</v>
      </c>
      <c r="G428" s="10">
        <f>CHOOSE(CONTROL!$C$42, 12.0122, 12.0122)*CHOOSE(CONTROL!$C$21, $C$9, 100%, $E$9)</f>
        <v>12.0122</v>
      </c>
      <c r="H428" s="10">
        <f>CHOOSE(CONTROL!$C$42, 12.2135, 12.2135) * CHOOSE(CONTROL!$C$21, $C$9, 100%, $E$9)</f>
        <v>12.2135</v>
      </c>
      <c r="I428" s="10">
        <f>CHOOSE(CONTROL!$C$42, 11.9842, 11.9842)* CHOOSE(CONTROL!$C$21, $C$9, 100%, $E$9)</f>
        <v>11.9842</v>
      </c>
      <c r="J428" s="10">
        <f>CHOOSE(CONTROL!$C$42, 11.9869, 11.9869)* CHOOSE(CONTROL!$C$21, $C$9, 100%, $E$9)</f>
        <v>11.9869</v>
      </c>
      <c r="K428" s="54">
        <f>CHOOSE(CONTROL!$C$42, 11.9803, 11.9803) * CHOOSE(CONTROL!$C$21, $C$9, 100%, $E$9)</f>
        <v>11.9803</v>
      </c>
      <c r="L428" s="10">
        <f>CHOOSE(CONTROL!$C$42, 12.8005, 12.8005) * CHOOSE(CONTROL!$C$21, $C$9, 100%, $E$9)</f>
        <v>12.8005</v>
      </c>
      <c r="M428" s="10">
        <f>CHOOSE(CONTROL!$C$42, 11.8798, 11.8798) * CHOOSE(CONTROL!$C$21, $C$9, 100%, $E$9)</f>
        <v>11.879799999999999</v>
      </c>
      <c r="N428" s="10">
        <f>CHOOSE(CONTROL!$C$42, 11.8979, 11.8979) * CHOOSE(CONTROL!$C$21, $C$9, 100%, $E$9)</f>
        <v>11.8979</v>
      </c>
      <c r="O428" s="10">
        <f>CHOOSE(CONTROL!$C$42, 12.1041, 12.1041) * CHOOSE(CONTROL!$C$21, $C$9, 100%, $E$9)</f>
        <v>12.104100000000001</v>
      </c>
      <c r="P428" s="10">
        <f>CHOOSE(CONTROL!$C$42, 11.8771, 11.8771) * CHOOSE(CONTROL!$C$21, $C$9, 100%, $E$9)</f>
        <v>11.8771</v>
      </c>
      <c r="Q428" s="10">
        <f>CHOOSE(CONTROL!$C$42, 12.6994, 12.6994) * CHOOSE(CONTROL!$C$21, $C$9, 100%, $E$9)</f>
        <v>12.699400000000001</v>
      </c>
      <c r="R428" s="10">
        <f>CHOOSE(CONTROL!$C$42, 13.3181, 13.3181) * CHOOSE(CONTROL!$C$21, $C$9, 100%, $E$9)</f>
        <v>13.318099999999999</v>
      </c>
      <c r="S428" s="10">
        <f>CHOOSE(CONTROL!$C$42, 11.656, 11.656) * CHOOSE(CONTROL!$C$21, $C$9, 100%, $E$9)</f>
        <v>11.656000000000001</v>
      </c>
      <c r="T428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428" s="58">
        <f>(1000*CHOOSE(CONTROL!$C$42, 695, 695)*CHOOSE(CONTROL!$C$42, 0.5599, 0.5599)*CHOOSE(CONTROL!$C$42, 31, 31))/1000000</f>
        <v>12.063045499999998</v>
      </c>
      <c r="V428" s="58">
        <f>(1000*CHOOSE(CONTROL!$C$42, 500, 500)*CHOOSE(CONTROL!$C$42, 0.275, 0.275)*CHOOSE(CONTROL!$C$42, 31, 31))/1000000</f>
        <v>4.2625000000000002</v>
      </c>
      <c r="W428" s="58">
        <f>(1000*CHOOSE(CONTROL!$C$42, 0.1146, 0.1146)*CHOOSE(CONTROL!$C$42, 121.5, 121.5)*CHOOSE(CONTROL!$C$42, 31, 31))/1000000</f>
        <v>0.43164089999999994</v>
      </c>
      <c r="X428" s="58">
        <f>(31*0.1790888*245000/1000000)+(31*0.2374*100000/1000000)</f>
        <v>2.0961194359999999</v>
      </c>
      <c r="Y428" s="58"/>
      <c r="Z428" s="10"/>
      <c r="AA428" s="57"/>
      <c r="AB428" s="51">
        <f>(B428*194.205+C428*267.466+D428*133.845+E428*53.484+F428*40+G428*185+H428*0+I428*100+J428*300)/(194.205+267.466+133.845+53.484+0+40+185+100+300)</f>
        <v>12.031350477080062</v>
      </c>
      <c r="AC428" s="27">
        <f>(M428*'RAP TEMPLATE-GAS AVAILABILITY'!O427+N428*'RAP TEMPLATE-GAS AVAILABILITY'!P427+O428*'RAP TEMPLATE-GAS AVAILABILITY'!Q427+P428*'RAP TEMPLATE-GAS AVAILABILITY'!R427)/('RAP TEMPLATE-GAS AVAILABILITY'!O427+'RAP TEMPLATE-GAS AVAILABILITY'!P427+'RAP TEMPLATE-GAS AVAILABILITY'!Q427+'RAP TEMPLATE-GAS AVAILABILITY'!R427)</f>
        <v>11.946511510791366</v>
      </c>
    </row>
    <row r="429" spans="1:29" ht="15.75" x14ac:dyDescent="0.25">
      <c r="A429" s="14">
        <v>54331</v>
      </c>
      <c r="B429" s="10">
        <f>CHOOSE(CONTROL!$C$42, 11.2453, 11.2453) * CHOOSE(CONTROL!$C$21, $C$9, 100%, $E$9)</f>
        <v>11.2453</v>
      </c>
      <c r="C429" s="10">
        <f>CHOOSE(CONTROL!$C$42, 11.2533, 11.2533) * CHOOSE(CONTROL!$C$21, $C$9, 100%, $E$9)</f>
        <v>11.253299999999999</v>
      </c>
      <c r="D429" s="10">
        <f>CHOOSE(CONTROL!$C$42, 11.4318, 11.4318) * CHOOSE(CONTROL!$C$21, $C$9, 100%, $E$9)</f>
        <v>11.431800000000001</v>
      </c>
      <c r="E429" s="10">
        <f>CHOOSE(CONTROL!$C$42, 11.4629, 11.4629) * CHOOSE(CONTROL!$C$21, $C$9, 100%, $E$9)</f>
        <v>11.462899999999999</v>
      </c>
      <c r="F429" s="10">
        <f>CHOOSE(CONTROL!$C$42, 11.2317, 11.2317)*CHOOSE(CONTROL!$C$21, $C$9, 100%, $E$9)</f>
        <v>11.2317</v>
      </c>
      <c r="G429" s="10">
        <f>CHOOSE(CONTROL!$C$42, 11.2499, 11.2499)*CHOOSE(CONTROL!$C$21, $C$9, 100%, $E$9)</f>
        <v>11.2499</v>
      </c>
      <c r="H429" s="10">
        <f>CHOOSE(CONTROL!$C$42, 11.4516, 11.4516) * CHOOSE(CONTROL!$C$21, $C$9, 100%, $E$9)</f>
        <v>11.451599999999999</v>
      </c>
      <c r="I429" s="10">
        <f>CHOOSE(CONTROL!$C$42, 11.2222, 11.2222)* CHOOSE(CONTROL!$C$21, $C$9, 100%, $E$9)</f>
        <v>11.222200000000001</v>
      </c>
      <c r="J429" s="10">
        <f>CHOOSE(CONTROL!$C$42, 11.2247, 11.2247)* CHOOSE(CONTROL!$C$21, $C$9, 100%, $E$9)</f>
        <v>11.2247</v>
      </c>
      <c r="K429" s="54">
        <f>CHOOSE(CONTROL!$C$42, 11.2183, 11.2183) * CHOOSE(CONTROL!$C$21, $C$9, 100%, $E$9)</f>
        <v>11.218299999999999</v>
      </c>
      <c r="L429" s="10">
        <f>CHOOSE(CONTROL!$C$42, 12.0386, 12.0386) * CHOOSE(CONTROL!$C$21, $C$9, 100%, $E$9)</f>
        <v>12.038600000000001</v>
      </c>
      <c r="M429" s="10">
        <f>CHOOSE(CONTROL!$C$42, 11.1253, 11.1253) * CHOOSE(CONTROL!$C$21, $C$9, 100%, $E$9)</f>
        <v>11.125299999999999</v>
      </c>
      <c r="N429" s="10">
        <f>CHOOSE(CONTROL!$C$42, 11.1433, 11.1433) * CHOOSE(CONTROL!$C$21, $C$9, 100%, $E$9)</f>
        <v>11.1433</v>
      </c>
      <c r="O429" s="10">
        <f>CHOOSE(CONTROL!$C$42, 11.3498, 11.3498) * CHOOSE(CONTROL!$C$21, $C$9, 100%, $E$9)</f>
        <v>11.3498</v>
      </c>
      <c r="P429" s="10">
        <f>CHOOSE(CONTROL!$C$42, 11.1228, 11.1228) * CHOOSE(CONTROL!$C$21, $C$9, 100%, $E$9)</f>
        <v>11.1228</v>
      </c>
      <c r="Q429" s="10">
        <f>CHOOSE(CONTROL!$C$42, 11.9451, 11.9451) * CHOOSE(CONTROL!$C$21, $C$9, 100%, $E$9)</f>
        <v>11.9451</v>
      </c>
      <c r="R429" s="10">
        <f>CHOOSE(CONTROL!$C$42, 12.562, 12.562) * CHOOSE(CONTROL!$C$21, $C$9, 100%, $E$9)</f>
        <v>12.561999999999999</v>
      </c>
      <c r="S429" s="10">
        <f>CHOOSE(CONTROL!$C$42, 10.9161, 10.9161) * CHOOSE(CONTROL!$C$21, $C$9, 100%, $E$9)</f>
        <v>10.9161</v>
      </c>
      <c r="T429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429" s="58">
        <f>(1000*CHOOSE(CONTROL!$C$42, 695, 695)*CHOOSE(CONTROL!$C$42, 0.5599, 0.5599)*CHOOSE(CONTROL!$C$42, 30, 30))/1000000</f>
        <v>11.673914999999997</v>
      </c>
      <c r="V429" s="58">
        <f>(1000*CHOOSE(CONTROL!$C$42, 500, 500)*CHOOSE(CONTROL!$C$42, 0.275, 0.275)*CHOOSE(CONTROL!$C$42, 30, 30))/1000000</f>
        <v>4.125</v>
      </c>
      <c r="W429" s="58">
        <f>(1000*CHOOSE(CONTROL!$C$42, 0.1146, 0.1146)*CHOOSE(CONTROL!$C$42, 121.5, 121.5)*CHOOSE(CONTROL!$C$42, 30, 30))/1000000</f>
        <v>0.417717</v>
      </c>
      <c r="X429" s="58">
        <f>(30*0.1790888*245000/1000000)+(30*0.2374*100000/1000000)</f>
        <v>2.0285026799999999</v>
      </c>
      <c r="Y429" s="58"/>
      <c r="Z429" s="10"/>
      <c r="AA429" s="57"/>
      <c r="AB429" s="51">
        <f>(B429*194.205+C429*267.466+D429*133.845+E429*53.484+F429*40+G429*185+H429*0+I429*100+J429*300)/(194.205+267.466+133.845+53.484+0+40+185+100+300)</f>
        <v>11.269285038383044</v>
      </c>
      <c r="AC429" s="27">
        <f>(M429*'RAP TEMPLATE-GAS AVAILABILITY'!O428+N429*'RAP TEMPLATE-GAS AVAILABILITY'!P428+O429*'RAP TEMPLATE-GAS AVAILABILITY'!Q428+P429*'RAP TEMPLATE-GAS AVAILABILITY'!R428)/('RAP TEMPLATE-GAS AVAILABILITY'!O428+'RAP TEMPLATE-GAS AVAILABILITY'!P428+'RAP TEMPLATE-GAS AVAILABILITY'!Q428+'RAP TEMPLATE-GAS AVAILABILITY'!R428)</f>
        <v>11.192073381294964</v>
      </c>
    </row>
    <row r="430" spans="1:29" ht="15.75" x14ac:dyDescent="0.25">
      <c r="A430" s="14">
        <v>54362</v>
      </c>
      <c r="B430" s="10">
        <f>CHOOSE(CONTROL!$C$42, 11.015, 11.015) * CHOOSE(CONTROL!$C$21, $C$9, 100%, $E$9)</f>
        <v>11.015000000000001</v>
      </c>
      <c r="C430" s="10">
        <f>CHOOSE(CONTROL!$C$42, 11.0202, 11.0202) * CHOOSE(CONTROL!$C$21, $C$9, 100%, $E$9)</f>
        <v>11.020200000000001</v>
      </c>
      <c r="D430" s="10">
        <f>CHOOSE(CONTROL!$C$42, 11.2037, 11.2037) * CHOOSE(CONTROL!$C$21, $C$9, 100%, $E$9)</f>
        <v>11.2037</v>
      </c>
      <c r="E430" s="10">
        <f>CHOOSE(CONTROL!$C$42, 11.2325, 11.2325) * CHOOSE(CONTROL!$C$21, $C$9, 100%, $E$9)</f>
        <v>11.2325</v>
      </c>
      <c r="F430" s="10">
        <f>CHOOSE(CONTROL!$C$42, 11.0033, 11.0033)*CHOOSE(CONTROL!$C$21, $C$9, 100%, $E$9)</f>
        <v>11.003299999999999</v>
      </c>
      <c r="G430" s="10">
        <f>CHOOSE(CONTROL!$C$42, 11.0212, 11.0212)*CHOOSE(CONTROL!$C$21, $C$9, 100%, $E$9)</f>
        <v>11.0212</v>
      </c>
      <c r="H430" s="10">
        <f>CHOOSE(CONTROL!$C$42, 11.223, 11.223) * CHOOSE(CONTROL!$C$21, $C$9, 100%, $E$9)</f>
        <v>11.223000000000001</v>
      </c>
      <c r="I430" s="10">
        <f>CHOOSE(CONTROL!$C$42, 10.9936, 10.9936)* CHOOSE(CONTROL!$C$21, $C$9, 100%, $E$9)</f>
        <v>10.993600000000001</v>
      </c>
      <c r="J430" s="10">
        <f>CHOOSE(CONTROL!$C$42, 10.9963, 10.9963)* CHOOSE(CONTROL!$C$21, $C$9, 100%, $E$9)</f>
        <v>10.9963</v>
      </c>
      <c r="K430" s="54">
        <f>CHOOSE(CONTROL!$C$42, 10.9897, 10.9897) * CHOOSE(CONTROL!$C$21, $C$9, 100%, $E$9)</f>
        <v>10.989699999999999</v>
      </c>
      <c r="L430" s="10">
        <f>CHOOSE(CONTROL!$C$42, 11.81, 11.81) * CHOOSE(CONTROL!$C$21, $C$9, 100%, $E$9)</f>
        <v>11.81</v>
      </c>
      <c r="M430" s="10">
        <f>CHOOSE(CONTROL!$C$42, 10.8992, 10.8992) * CHOOSE(CONTROL!$C$21, $C$9, 100%, $E$9)</f>
        <v>10.8992</v>
      </c>
      <c r="N430" s="10">
        <f>CHOOSE(CONTROL!$C$42, 10.9169, 10.9169) * CHOOSE(CONTROL!$C$21, $C$9, 100%, $E$9)</f>
        <v>10.9169</v>
      </c>
      <c r="O430" s="10">
        <f>CHOOSE(CONTROL!$C$42, 11.1235, 11.1235) * CHOOSE(CONTROL!$C$21, $C$9, 100%, $E$9)</f>
        <v>11.1235</v>
      </c>
      <c r="P430" s="10">
        <f>CHOOSE(CONTROL!$C$42, 10.8965, 10.8965) * CHOOSE(CONTROL!$C$21, $C$9, 100%, $E$9)</f>
        <v>10.8965</v>
      </c>
      <c r="Q430" s="10">
        <f>CHOOSE(CONTROL!$C$42, 11.7188, 11.7188) * CHOOSE(CONTROL!$C$21, $C$9, 100%, $E$9)</f>
        <v>11.7188</v>
      </c>
      <c r="R430" s="10">
        <f>CHOOSE(CONTROL!$C$42, 12.3351, 12.3351) * CHOOSE(CONTROL!$C$21, $C$9, 100%, $E$9)</f>
        <v>12.335100000000001</v>
      </c>
      <c r="S430" s="10">
        <f>CHOOSE(CONTROL!$C$42, 10.6941, 10.6941) * CHOOSE(CONTROL!$C$21, $C$9, 100%, $E$9)</f>
        <v>10.694100000000001</v>
      </c>
      <c r="T430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30" s="58">
        <f>(1000*CHOOSE(CONTROL!$C$42, 695, 695)*CHOOSE(CONTROL!$C$42, 0.5599, 0.5599)*CHOOSE(CONTROL!$C$42, 31, 31))/1000000</f>
        <v>12.063045499999998</v>
      </c>
      <c r="V430" s="58">
        <f>(1000*CHOOSE(CONTROL!$C$42, 500, 500)*CHOOSE(CONTROL!$C$42, 0.275, 0.275)*CHOOSE(CONTROL!$C$42, 31, 31))/1000000</f>
        <v>4.2625000000000002</v>
      </c>
      <c r="W430" s="58">
        <f>(1000*CHOOSE(CONTROL!$C$42, 0.1146, 0.1146)*CHOOSE(CONTROL!$C$42, 121.5, 121.5)*CHOOSE(CONTROL!$C$42, 31, 31))/1000000</f>
        <v>0.43164089999999994</v>
      </c>
      <c r="X430" s="58">
        <f>(31*0.1790888*245000/1000000)+(31*0.2374*100000/1000000)</f>
        <v>2.0961194359999999</v>
      </c>
      <c r="Y430" s="58"/>
      <c r="Z430" s="10"/>
      <c r="AA430" s="57"/>
      <c r="AB430" s="51">
        <f>(B430*131.881+C430*277.167+D430*79.08+E430*125.872+F430*40+G430*185+H430*0+I430*100+J430*300)/(131.881+277.167+79.08+125.872+0+40+185+100+300)</f>
        <v>11.044596307021793</v>
      </c>
      <c r="AC430" s="27">
        <f>(M430*'RAP TEMPLATE-GAS AVAILABILITY'!O429+N430*'RAP TEMPLATE-GAS AVAILABILITY'!P429+O430*'RAP TEMPLATE-GAS AVAILABILITY'!Q429+P430*'RAP TEMPLATE-GAS AVAILABILITY'!R429)/('RAP TEMPLATE-GAS AVAILABILITY'!O429+'RAP TEMPLATE-GAS AVAILABILITY'!P429+'RAP TEMPLATE-GAS AVAILABILITY'!Q429+'RAP TEMPLATE-GAS AVAILABILITY'!R429)</f>
        <v>10.965819424460429</v>
      </c>
    </row>
    <row r="431" spans="1:29" ht="15.75" x14ac:dyDescent="0.25">
      <c r="A431" s="14">
        <v>54392</v>
      </c>
      <c r="B431" s="10">
        <f>CHOOSE(CONTROL!$C$42, 11.3047, 11.3047) * CHOOSE(CONTROL!$C$21, $C$9, 100%, $E$9)</f>
        <v>11.3047</v>
      </c>
      <c r="C431" s="10">
        <f>CHOOSE(CONTROL!$C$42, 11.3096, 11.3096) * CHOOSE(CONTROL!$C$21, $C$9, 100%, $E$9)</f>
        <v>11.3096</v>
      </c>
      <c r="D431" s="10">
        <f>CHOOSE(CONTROL!$C$42, 11.3392, 11.3392) * CHOOSE(CONTROL!$C$21, $C$9, 100%, $E$9)</f>
        <v>11.3392</v>
      </c>
      <c r="E431" s="10">
        <f>CHOOSE(CONTROL!$C$42, 11.373, 11.373) * CHOOSE(CONTROL!$C$21, $C$9, 100%, $E$9)</f>
        <v>11.372999999999999</v>
      </c>
      <c r="F431" s="10">
        <f>CHOOSE(CONTROL!$C$42, 11.2904, 11.2904)*CHOOSE(CONTROL!$C$21, $C$9, 100%, $E$9)</f>
        <v>11.2904</v>
      </c>
      <c r="G431" s="10">
        <f>CHOOSE(CONTROL!$C$42, 11.3085, 11.3085)*CHOOSE(CONTROL!$C$21, $C$9, 100%, $E$9)</f>
        <v>11.3085</v>
      </c>
      <c r="H431" s="10">
        <f>CHOOSE(CONTROL!$C$42, 11.3622, 11.3622) * CHOOSE(CONTROL!$C$21, $C$9, 100%, $E$9)</f>
        <v>11.3622</v>
      </c>
      <c r="I431" s="10">
        <f>CHOOSE(CONTROL!$C$42, 11.2708, 11.2708)* CHOOSE(CONTROL!$C$21, $C$9, 100%, $E$9)</f>
        <v>11.270799999999999</v>
      </c>
      <c r="J431" s="10">
        <f>CHOOSE(CONTROL!$C$42, 11.2834, 11.2834)* CHOOSE(CONTROL!$C$21, $C$9, 100%, $E$9)</f>
        <v>11.2834</v>
      </c>
      <c r="K431" s="54">
        <f>CHOOSE(CONTROL!$C$42, 11.2669, 11.2669) * CHOOSE(CONTROL!$C$21, $C$9, 100%, $E$9)</f>
        <v>11.2669</v>
      </c>
      <c r="L431" s="10">
        <f>CHOOSE(CONTROL!$C$42, 11.9492, 11.9492) * CHOOSE(CONTROL!$C$21, $C$9, 100%, $E$9)</f>
        <v>11.949199999999999</v>
      </c>
      <c r="M431" s="10">
        <f>CHOOSE(CONTROL!$C$42, 11.1834, 11.1834) * CHOOSE(CONTROL!$C$21, $C$9, 100%, $E$9)</f>
        <v>11.183400000000001</v>
      </c>
      <c r="N431" s="10">
        <f>CHOOSE(CONTROL!$C$42, 11.2012, 11.2012) * CHOOSE(CONTROL!$C$21, $C$9, 100%, $E$9)</f>
        <v>11.2012</v>
      </c>
      <c r="O431" s="10">
        <f>CHOOSE(CONTROL!$C$42, 11.2614, 11.2614) * CHOOSE(CONTROL!$C$21, $C$9, 100%, $E$9)</f>
        <v>11.2614</v>
      </c>
      <c r="P431" s="10">
        <f>CHOOSE(CONTROL!$C$42, 11.1709, 11.1709) * CHOOSE(CONTROL!$C$21, $C$9, 100%, $E$9)</f>
        <v>11.1709</v>
      </c>
      <c r="Q431" s="10">
        <f>CHOOSE(CONTROL!$C$42, 11.8567, 11.8567) * CHOOSE(CONTROL!$C$21, $C$9, 100%, $E$9)</f>
        <v>11.8567</v>
      </c>
      <c r="R431" s="10">
        <f>CHOOSE(CONTROL!$C$42, 12.4733, 12.4733) * CHOOSE(CONTROL!$C$21, $C$9, 100%, $E$9)</f>
        <v>12.4733</v>
      </c>
      <c r="S431" s="10">
        <f>CHOOSE(CONTROL!$C$42, 10.9758, 10.9758) * CHOOSE(CONTROL!$C$21, $C$9, 100%, $E$9)</f>
        <v>10.9758</v>
      </c>
      <c r="T431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31" s="58">
        <f>(1000*CHOOSE(CONTROL!$C$42, 695, 695)*CHOOSE(CONTROL!$C$42, 0.5599, 0.5599)*CHOOSE(CONTROL!$C$42, 30, 30))/1000000</f>
        <v>11.673914999999997</v>
      </c>
      <c r="V431" s="58">
        <f>(1000*CHOOSE(CONTROL!$C$42, 500, 500)*CHOOSE(CONTROL!$C$42, 0.275, 0.275)*CHOOSE(CONTROL!$C$42, 30, 30))/1000000</f>
        <v>4.125</v>
      </c>
      <c r="W431" s="58">
        <f>(1000*CHOOSE(CONTROL!$C$42, 0.1146, 0.1146)*CHOOSE(CONTROL!$C$42, 121.5, 121.5)*CHOOSE(CONTROL!$C$42, 30, 30))/1000000</f>
        <v>0.417717</v>
      </c>
      <c r="X431" s="58">
        <f>(30*0.1790888*100000/1000000)+(30*0.2374*100000/1000000)</f>
        <v>1.2494664</v>
      </c>
      <c r="Y431" s="58"/>
      <c r="Z431" s="10"/>
      <c r="AA431" s="57"/>
      <c r="AB431" s="51">
        <f>(B431*122.58+C431*297.941+D431*89.177+E431*40.302+F431*40+G431*160+H431*0+I431*100+J431*300)/(122.58+297.941+89.177+40.302+0+40+160+100+300)</f>
        <v>11.302565342608696</v>
      </c>
      <c r="AC431" s="27">
        <f>(M431*'RAP TEMPLATE-GAS AVAILABILITY'!O430+N431*'RAP TEMPLATE-GAS AVAILABILITY'!P430+O431*'RAP TEMPLATE-GAS AVAILABILITY'!Q430+P431*'RAP TEMPLATE-GAS AVAILABILITY'!R430)/('RAP TEMPLATE-GAS AVAILABILITY'!O430+'RAP TEMPLATE-GAS AVAILABILITY'!P430+'RAP TEMPLATE-GAS AVAILABILITY'!Q430+'RAP TEMPLATE-GAS AVAILABILITY'!R430)</f>
        <v>11.217978417266188</v>
      </c>
    </row>
    <row r="432" spans="1:29" ht="15.75" x14ac:dyDescent="0.25">
      <c r="A432" s="14">
        <v>54423</v>
      </c>
      <c r="B432" s="10">
        <f>CHOOSE(CONTROL!$C$42, 12.0752, 12.0752) * CHOOSE(CONTROL!$C$21, $C$9, 100%, $E$9)</f>
        <v>12.075200000000001</v>
      </c>
      <c r="C432" s="10">
        <f>CHOOSE(CONTROL!$C$42, 12.0801, 12.0801) * CHOOSE(CONTROL!$C$21, $C$9, 100%, $E$9)</f>
        <v>12.0801</v>
      </c>
      <c r="D432" s="10">
        <f>CHOOSE(CONTROL!$C$42, 12.1098, 12.1098) * CHOOSE(CONTROL!$C$21, $C$9, 100%, $E$9)</f>
        <v>12.1098</v>
      </c>
      <c r="E432" s="10">
        <f>CHOOSE(CONTROL!$C$42, 12.1435, 12.1435) * CHOOSE(CONTROL!$C$21, $C$9, 100%, $E$9)</f>
        <v>12.1435</v>
      </c>
      <c r="F432" s="10">
        <f>CHOOSE(CONTROL!$C$42, 12.0625, 12.0625)*CHOOSE(CONTROL!$C$21, $C$9, 100%, $E$9)</f>
        <v>12.0625</v>
      </c>
      <c r="G432" s="10">
        <f>CHOOSE(CONTROL!$C$42, 12.081, 12.081)*CHOOSE(CONTROL!$C$21, $C$9, 100%, $E$9)</f>
        <v>12.081</v>
      </c>
      <c r="H432" s="10">
        <f>CHOOSE(CONTROL!$C$42, 12.1327, 12.1327) * CHOOSE(CONTROL!$C$21, $C$9, 100%, $E$9)</f>
        <v>12.1327</v>
      </c>
      <c r="I432" s="10">
        <f>CHOOSE(CONTROL!$C$42, 12.0414, 12.0414)* CHOOSE(CONTROL!$C$21, $C$9, 100%, $E$9)</f>
        <v>12.041399999999999</v>
      </c>
      <c r="J432" s="10">
        <f>CHOOSE(CONTROL!$C$42, 12.0555, 12.0555)* CHOOSE(CONTROL!$C$21, $C$9, 100%, $E$9)</f>
        <v>12.0555</v>
      </c>
      <c r="K432" s="54">
        <f>CHOOSE(CONTROL!$C$42, 12.0375, 12.0375) * CHOOSE(CONTROL!$C$21, $C$9, 100%, $E$9)</f>
        <v>12.0375</v>
      </c>
      <c r="L432" s="10">
        <f>CHOOSE(CONTROL!$C$42, 12.7197, 12.7197) * CHOOSE(CONTROL!$C$21, $C$9, 100%, $E$9)</f>
        <v>12.7197</v>
      </c>
      <c r="M432" s="10">
        <f>CHOOSE(CONTROL!$C$42, 11.9477, 11.9477) * CHOOSE(CONTROL!$C$21, $C$9, 100%, $E$9)</f>
        <v>11.947699999999999</v>
      </c>
      <c r="N432" s="10">
        <f>CHOOSE(CONTROL!$C$42, 11.9659, 11.9659) * CHOOSE(CONTROL!$C$21, $C$9, 100%, $E$9)</f>
        <v>11.9659</v>
      </c>
      <c r="O432" s="10">
        <f>CHOOSE(CONTROL!$C$42, 12.0241, 12.0241) * CHOOSE(CONTROL!$C$21, $C$9, 100%, $E$9)</f>
        <v>12.024100000000001</v>
      </c>
      <c r="P432" s="10">
        <f>CHOOSE(CONTROL!$C$42, 11.9337, 11.9337) * CHOOSE(CONTROL!$C$21, $C$9, 100%, $E$9)</f>
        <v>11.9337</v>
      </c>
      <c r="Q432" s="10">
        <f>CHOOSE(CONTROL!$C$42, 12.6194, 12.6194) * CHOOSE(CONTROL!$C$21, $C$9, 100%, $E$9)</f>
        <v>12.619400000000001</v>
      </c>
      <c r="R432" s="10">
        <f>CHOOSE(CONTROL!$C$42, 13.238, 13.238) * CHOOSE(CONTROL!$C$21, $C$9, 100%, $E$9)</f>
        <v>13.238</v>
      </c>
      <c r="S432" s="10">
        <f>CHOOSE(CONTROL!$C$42, 11.7241, 11.7241) * CHOOSE(CONTROL!$C$21, $C$9, 100%, $E$9)</f>
        <v>11.7241</v>
      </c>
      <c r="T432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32" s="58">
        <f>(1000*CHOOSE(CONTROL!$C$42, 695, 695)*CHOOSE(CONTROL!$C$42, 0.5599, 0.5599)*CHOOSE(CONTROL!$C$42, 31, 31))/1000000</f>
        <v>12.063045499999998</v>
      </c>
      <c r="V432" s="58">
        <f>(1000*CHOOSE(CONTROL!$C$42, 500, 500)*CHOOSE(CONTROL!$C$42, 0.275, 0.275)*CHOOSE(CONTROL!$C$42, 31, 31))/1000000</f>
        <v>4.2625000000000002</v>
      </c>
      <c r="W432" s="58">
        <f>(1000*CHOOSE(CONTROL!$C$42, 0.1146, 0.1146)*CHOOSE(CONTROL!$C$42, 121.5, 121.5)*CHOOSE(CONTROL!$C$42, 31, 31))/1000000</f>
        <v>0.43164089999999994</v>
      </c>
      <c r="X432" s="58">
        <f>(31*0.1790888*100000/1000000)+(31*0.2374*100000/1000000)</f>
        <v>1.2911152800000001</v>
      </c>
      <c r="Y432" s="58"/>
      <c r="Z432" s="10"/>
      <c r="AA432" s="57"/>
      <c r="AB432" s="51">
        <f>(B432*122.58+C432*297.941+D432*89.177+E432*40.302+F432*40+G432*160+H432*0+I432*100+J432*300)/(122.58+297.941+89.177+40.302+0+40+160+100+300)</f>
        <v>12.073833097130434</v>
      </c>
      <c r="AC432" s="27">
        <f>(M432*'RAP TEMPLATE-GAS AVAILABILITY'!O431+N432*'RAP TEMPLATE-GAS AVAILABILITY'!P431+O432*'RAP TEMPLATE-GAS AVAILABILITY'!Q431+P432*'RAP TEMPLATE-GAS AVAILABILITY'!R431)/('RAP TEMPLATE-GAS AVAILABILITY'!O431+'RAP TEMPLATE-GAS AVAILABILITY'!P431+'RAP TEMPLATE-GAS AVAILABILITY'!Q431+'RAP TEMPLATE-GAS AVAILABILITY'!R431)</f>
        <v>11.981360431654677</v>
      </c>
    </row>
    <row r="433" spans="1:29" ht="15.75" x14ac:dyDescent="0.25">
      <c r="A433" s="14">
        <v>54454</v>
      </c>
      <c r="B433" s="10">
        <f>CHOOSE(CONTROL!$C$42, 12.89, 12.89) * CHOOSE(CONTROL!$C$21, $C$9, 100%, $E$9)</f>
        <v>12.89</v>
      </c>
      <c r="C433" s="10">
        <f>CHOOSE(CONTROL!$C$42, 12.895, 12.895) * CHOOSE(CONTROL!$C$21, $C$9, 100%, $E$9)</f>
        <v>12.895</v>
      </c>
      <c r="D433" s="10">
        <f>CHOOSE(CONTROL!$C$42, 12.9452, 12.9452) * CHOOSE(CONTROL!$C$21, $C$9, 100%, $E$9)</f>
        <v>12.9452</v>
      </c>
      <c r="E433" s="10">
        <f>CHOOSE(CONTROL!$C$42, 12.9789, 12.9789) * CHOOSE(CONTROL!$C$21, $C$9, 100%, $E$9)</f>
        <v>12.978899999999999</v>
      </c>
      <c r="F433" s="10">
        <f>CHOOSE(CONTROL!$C$42, 12.8554, 12.8554)*CHOOSE(CONTROL!$C$21, $C$9, 100%, $E$9)</f>
        <v>12.855399999999999</v>
      </c>
      <c r="G433" s="10">
        <f>CHOOSE(CONTROL!$C$42, 12.8729, 12.8729)*CHOOSE(CONTROL!$C$21, $C$9, 100%, $E$9)</f>
        <v>12.8729</v>
      </c>
      <c r="H433" s="10">
        <f>CHOOSE(CONTROL!$C$42, 12.9681, 12.9681) * CHOOSE(CONTROL!$C$21, $C$9, 100%, $E$9)</f>
        <v>12.9681</v>
      </c>
      <c r="I433" s="10">
        <f>CHOOSE(CONTROL!$C$42, 12.8639, 12.8639)* CHOOSE(CONTROL!$C$21, $C$9, 100%, $E$9)</f>
        <v>12.863899999999999</v>
      </c>
      <c r="J433" s="10">
        <f>CHOOSE(CONTROL!$C$42, 12.8484, 12.8484)* CHOOSE(CONTROL!$C$21, $C$9, 100%, $E$9)</f>
        <v>12.8484</v>
      </c>
      <c r="K433" s="54">
        <f>CHOOSE(CONTROL!$C$42, 12.86, 12.86) * CHOOSE(CONTROL!$C$21, $C$9, 100%, $E$9)</f>
        <v>12.86</v>
      </c>
      <c r="L433" s="10">
        <f>CHOOSE(CONTROL!$C$42, 13.5551, 13.5551) * CHOOSE(CONTROL!$C$21, $C$9, 100%, $E$9)</f>
        <v>13.555099999999999</v>
      </c>
      <c r="M433" s="10">
        <f>CHOOSE(CONTROL!$C$42, 12.7325, 12.7325) * CHOOSE(CONTROL!$C$21, $C$9, 100%, $E$9)</f>
        <v>12.7325</v>
      </c>
      <c r="N433" s="10">
        <f>CHOOSE(CONTROL!$C$42, 12.7499, 12.7499) * CHOOSE(CONTROL!$C$21, $C$9, 100%, $E$9)</f>
        <v>12.7499</v>
      </c>
      <c r="O433" s="10">
        <f>CHOOSE(CONTROL!$C$42, 12.8511, 12.8511) * CHOOSE(CONTROL!$C$21, $C$9, 100%, $E$9)</f>
        <v>12.851100000000001</v>
      </c>
      <c r="P433" s="10">
        <f>CHOOSE(CONTROL!$C$42, 12.7479, 12.7479) * CHOOSE(CONTROL!$C$21, $C$9, 100%, $E$9)</f>
        <v>12.7479</v>
      </c>
      <c r="Q433" s="10">
        <f>CHOOSE(CONTROL!$C$42, 13.4464, 13.4464) * CHOOSE(CONTROL!$C$21, $C$9, 100%, $E$9)</f>
        <v>13.446400000000001</v>
      </c>
      <c r="R433" s="10">
        <f>CHOOSE(CONTROL!$C$42, 14.067, 14.067) * CHOOSE(CONTROL!$C$21, $C$9, 100%, $E$9)</f>
        <v>14.067</v>
      </c>
      <c r="S433" s="10">
        <f>CHOOSE(CONTROL!$C$42, 12.5153, 12.5153) * CHOOSE(CONTROL!$C$21, $C$9, 100%, $E$9)</f>
        <v>12.5153</v>
      </c>
      <c r="T433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33" s="58">
        <f>(1000*CHOOSE(CONTROL!$C$42, 695, 695)*CHOOSE(CONTROL!$C$42, 0.5599, 0.5599)*CHOOSE(CONTROL!$C$42, 31, 31))/1000000</f>
        <v>12.063045499999998</v>
      </c>
      <c r="V433" s="58">
        <f>(1000*CHOOSE(CONTROL!$C$42, 500, 500)*CHOOSE(CONTROL!$C$42, 0.275, 0.275)*CHOOSE(CONTROL!$C$42, 31, 31))/1000000</f>
        <v>4.2625000000000002</v>
      </c>
      <c r="W433" s="58">
        <f>(1000*CHOOSE(CONTROL!$C$42, 0.1146, 0.1146)*CHOOSE(CONTROL!$C$42, 121.5, 121.5)*CHOOSE(CONTROL!$C$42, 31, 31))/1000000</f>
        <v>0.43164089999999994</v>
      </c>
      <c r="X433" s="58">
        <f>(31*0.1790888*100000/1000000)+(31*0.2374*100000/1000000)</f>
        <v>1.2911152800000001</v>
      </c>
      <c r="Y433" s="58"/>
      <c r="Z433" s="10"/>
      <c r="AA433" s="57"/>
      <c r="AB433" s="51">
        <f>(B433*122.58+C433*297.941+D433*89.177+E433*40.302+F433*40+G433*160+H433*0+I433*100+J433*300)/(122.58+297.941+89.177+40.302+0+40+160+100+300)</f>
        <v>12.881987063652174</v>
      </c>
      <c r="AC433" s="27">
        <f>(M433*'RAP TEMPLATE-GAS AVAILABILITY'!O432+N433*'RAP TEMPLATE-GAS AVAILABILITY'!P432+O433*'RAP TEMPLATE-GAS AVAILABILITY'!Q432+P433*'RAP TEMPLATE-GAS AVAILABILITY'!R432)/('RAP TEMPLATE-GAS AVAILABILITY'!O432+'RAP TEMPLATE-GAS AVAILABILITY'!P432+'RAP TEMPLATE-GAS AVAILABILITY'!Q432+'RAP TEMPLATE-GAS AVAILABILITY'!R432)</f>
        <v>12.789471223021581</v>
      </c>
    </row>
    <row r="434" spans="1:29" ht="15.75" x14ac:dyDescent="0.25">
      <c r="A434" s="14">
        <v>54482</v>
      </c>
      <c r="B434" s="10">
        <f>CHOOSE(CONTROL!$C$42, 13.1194, 13.1194) * CHOOSE(CONTROL!$C$21, $C$9, 100%, $E$9)</f>
        <v>13.119400000000001</v>
      </c>
      <c r="C434" s="10">
        <f>CHOOSE(CONTROL!$C$42, 13.1244, 13.1244) * CHOOSE(CONTROL!$C$21, $C$9, 100%, $E$9)</f>
        <v>13.1244</v>
      </c>
      <c r="D434" s="10">
        <f>CHOOSE(CONTROL!$C$42, 13.2415, 13.2415) * CHOOSE(CONTROL!$C$21, $C$9, 100%, $E$9)</f>
        <v>13.2415</v>
      </c>
      <c r="E434" s="10">
        <f>CHOOSE(CONTROL!$C$42, 13.2753, 13.2753) * CHOOSE(CONTROL!$C$21, $C$9, 100%, $E$9)</f>
        <v>13.2753</v>
      </c>
      <c r="F434" s="10">
        <f>CHOOSE(CONTROL!$C$42, 13.197, 13.197)*CHOOSE(CONTROL!$C$21, $C$9, 100%, $E$9)</f>
        <v>13.196999999999999</v>
      </c>
      <c r="G434" s="10">
        <f>CHOOSE(CONTROL!$C$42, 13.2189, 13.2189)*CHOOSE(CONTROL!$C$21, $C$9, 100%, $E$9)</f>
        <v>13.2189</v>
      </c>
      <c r="H434" s="10">
        <f>CHOOSE(CONTROL!$C$42, 13.2645, 13.2645) * CHOOSE(CONTROL!$C$21, $C$9, 100%, $E$9)</f>
        <v>13.2645</v>
      </c>
      <c r="I434" s="10">
        <f>CHOOSE(CONTROL!$C$42, 13.1551, 13.1551)* CHOOSE(CONTROL!$C$21, $C$9, 100%, $E$9)</f>
        <v>13.155099999999999</v>
      </c>
      <c r="J434" s="10">
        <f>CHOOSE(CONTROL!$C$42, 13.19, 13.19)* CHOOSE(CONTROL!$C$21, $C$9, 100%, $E$9)</f>
        <v>13.19</v>
      </c>
      <c r="K434" s="54">
        <f>CHOOSE(CONTROL!$C$42, 13.1512, 13.1512) * CHOOSE(CONTROL!$C$21, $C$9, 100%, $E$9)</f>
        <v>13.151199999999999</v>
      </c>
      <c r="L434" s="10">
        <f>CHOOSE(CONTROL!$C$42, 13.8515, 13.8515) * CHOOSE(CONTROL!$C$21, $C$9, 100%, $E$9)</f>
        <v>13.8515</v>
      </c>
      <c r="M434" s="10">
        <f>CHOOSE(CONTROL!$C$42, 13.0707, 13.0707) * CHOOSE(CONTROL!$C$21, $C$9, 100%, $E$9)</f>
        <v>13.0707</v>
      </c>
      <c r="N434" s="10">
        <f>CHOOSE(CONTROL!$C$42, 13.0924, 13.0924) * CHOOSE(CONTROL!$C$21, $C$9, 100%, $E$9)</f>
        <v>13.0924</v>
      </c>
      <c r="O434" s="10">
        <f>CHOOSE(CONTROL!$C$42, 13.1444, 13.1444) * CHOOSE(CONTROL!$C$21, $C$9, 100%, $E$9)</f>
        <v>13.144399999999999</v>
      </c>
      <c r="P434" s="10">
        <f>CHOOSE(CONTROL!$C$42, 13.0362, 13.0362) * CHOOSE(CONTROL!$C$21, $C$9, 100%, $E$9)</f>
        <v>13.036199999999999</v>
      </c>
      <c r="Q434" s="10">
        <f>CHOOSE(CONTROL!$C$42, 13.7397, 13.7397) * CHOOSE(CONTROL!$C$21, $C$9, 100%, $E$9)</f>
        <v>13.739699999999999</v>
      </c>
      <c r="R434" s="10">
        <f>CHOOSE(CONTROL!$C$42, 14.3611, 14.3611) * CHOOSE(CONTROL!$C$21, $C$9, 100%, $E$9)</f>
        <v>14.3611</v>
      </c>
      <c r="S434" s="10">
        <f>CHOOSE(CONTROL!$C$42, 12.7381, 12.7381) * CHOOSE(CONTROL!$C$21, $C$9, 100%, $E$9)</f>
        <v>12.738099999999999</v>
      </c>
      <c r="T434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434" s="58">
        <f>(1000*CHOOSE(CONTROL!$C$42, 695, 695)*CHOOSE(CONTROL!$C$42, 0.5599, 0.5599)*CHOOSE(CONTROL!$C$42, 28, 28))/1000000</f>
        <v>10.895653999999999</v>
      </c>
      <c r="V434" s="58">
        <f>(1000*CHOOSE(CONTROL!$C$42, 500, 500)*CHOOSE(CONTROL!$C$42, 0.275, 0.275)*CHOOSE(CONTROL!$C$42, 28, 28))/1000000</f>
        <v>3.85</v>
      </c>
      <c r="W434" s="58">
        <f>(1000*CHOOSE(CONTROL!$C$42, 0.1146, 0.1146)*CHOOSE(CONTROL!$C$42, 121.5, 121.5)*CHOOSE(CONTROL!$C$42, 28, 28))/1000000</f>
        <v>0.38986920000000003</v>
      </c>
      <c r="X434" s="58">
        <f>(28*0.1790888*100000/1000000)+(28*0.2374*100000/1000000)</f>
        <v>1.16616864</v>
      </c>
      <c r="Y434" s="58"/>
      <c r="Z434" s="10"/>
      <c r="AA434" s="57"/>
      <c r="AB434" s="51">
        <f>(B434*122.58+C434*297.941+D434*89.177+E434*40.302+F434*40+G434*160+H434*0+I434*100+J434*300)/(122.58+297.941+89.177+40.302+0+40+160+100+300)</f>
        <v>13.173691563913044</v>
      </c>
      <c r="AC434" s="27">
        <f>(M434*'RAP TEMPLATE-GAS AVAILABILITY'!O433+N434*'RAP TEMPLATE-GAS AVAILABILITY'!P433+O434*'RAP TEMPLATE-GAS AVAILABILITY'!Q433+P434*'RAP TEMPLATE-GAS AVAILABILITY'!R433)/('RAP TEMPLATE-GAS AVAILABILITY'!O433+'RAP TEMPLATE-GAS AVAILABILITY'!P433+'RAP TEMPLATE-GAS AVAILABILITY'!Q433+'RAP TEMPLATE-GAS AVAILABILITY'!R433)</f>
        <v>13.100388489208633</v>
      </c>
    </row>
    <row r="435" spans="1:29" ht="15.75" x14ac:dyDescent="0.25">
      <c r="A435" s="14">
        <v>54513</v>
      </c>
      <c r="B435" s="10">
        <f>CHOOSE(CONTROL!$C$42, 12.747, 12.747) * CHOOSE(CONTROL!$C$21, $C$9, 100%, $E$9)</f>
        <v>12.747</v>
      </c>
      <c r="C435" s="10">
        <f>CHOOSE(CONTROL!$C$42, 12.752, 12.752) * CHOOSE(CONTROL!$C$21, $C$9, 100%, $E$9)</f>
        <v>12.752000000000001</v>
      </c>
      <c r="D435" s="10">
        <f>CHOOSE(CONTROL!$C$42, 12.8434, 12.8434) * CHOOSE(CONTROL!$C$21, $C$9, 100%, $E$9)</f>
        <v>12.843400000000001</v>
      </c>
      <c r="E435" s="10">
        <f>CHOOSE(CONTROL!$C$42, 12.8771, 12.8771) * CHOOSE(CONTROL!$C$21, $C$9, 100%, $E$9)</f>
        <v>12.8771</v>
      </c>
      <c r="F435" s="10">
        <f>CHOOSE(CONTROL!$C$42, 12.7769, 12.7769)*CHOOSE(CONTROL!$C$21, $C$9, 100%, $E$9)</f>
        <v>12.776899999999999</v>
      </c>
      <c r="G435" s="10">
        <f>CHOOSE(CONTROL!$C$42, 12.7964, 12.7964)*CHOOSE(CONTROL!$C$21, $C$9, 100%, $E$9)</f>
        <v>12.7964</v>
      </c>
      <c r="H435" s="10">
        <f>CHOOSE(CONTROL!$C$42, 12.8663, 12.8663) * CHOOSE(CONTROL!$C$21, $C$9, 100%, $E$9)</f>
        <v>12.866300000000001</v>
      </c>
      <c r="I435" s="10">
        <f>CHOOSE(CONTROL!$C$42, 12.7698, 12.7698)* CHOOSE(CONTROL!$C$21, $C$9, 100%, $E$9)</f>
        <v>12.7698</v>
      </c>
      <c r="J435" s="10">
        <f>CHOOSE(CONTROL!$C$42, 12.7699, 12.7699)* CHOOSE(CONTROL!$C$21, $C$9, 100%, $E$9)</f>
        <v>12.7699</v>
      </c>
      <c r="K435" s="54">
        <f>CHOOSE(CONTROL!$C$42, 12.7659, 12.7659) * CHOOSE(CONTROL!$C$21, $C$9, 100%, $E$9)</f>
        <v>12.7659</v>
      </c>
      <c r="L435" s="10">
        <f>CHOOSE(CONTROL!$C$42, 13.4533, 13.4533) * CHOOSE(CONTROL!$C$21, $C$9, 100%, $E$9)</f>
        <v>13.4533</v>
      </c>
      <c r="M435" s="10">
        <f>CHOOSE(CONTROL!$C$42, 12.6548, 12.6548) * CHOOSE(CONTROL!$C$21, $C$9, 100%, $E$9)</f>
        <v>12.6548</v>
      </c>
      <c r="N435" s="10">
        <f>CHOOSE(CONTROL!$C$42, 12.6741, 12.6741) * CHOOSE(CONTROL!$C$21, $C$9, 100%, $E$9)</f>
        <v>12.674099999999999</v>
      </c>
      <c r="O435" s="10">
        <f>CHOOSE(CONTROL!$C$42, 12.7503, 12.7503) * CHOOSE(CONTROL!$C$21, $C$9, 100%, $E$9)</f>
        <v>12.750299999999999</v>
      </c>
      <c r="P435" s="10">
        <f>CHOOSE(CONTROL!$C$42, 12.6548, 12.6548) * CHOOSE(CONTROL!$C$21, $C$9, 100%, $E$9)</f>
        <v>12.6548</v>
      </c>
      <c r="Q435" s="10">
        <f>CHOOSE(CONTROL!$C$42, 13.3456, 13.3456) * CHOOSE(CONTROL!$C$21, $C$9, 100%, $E$9)</f>
        <v>13.345599999999999</v>
      </c>
      <c r="R435" s="10">
        <f>CHOOSE(CONTROL!$C$42, 13.966, 13.966) * CHOOSE(CONTROL!$C$21, $C$9, 100%, $E$9)</f>
        <v>13.965999999999999</v>
      </c>
      <c r="S435" s="10">
        <f>CHOOSE(CONTROL!$C$42, 12.3765, 12.3765) * CHOOSE(CONTROL!$C$21, $C$9, 100%, $E$9)</f>
        <v>12.3765</v>
      </c>
      <c r="T435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435" s="58">
        <f>(1000*CHOOSE(CONTROL!$C$42, 695, 695)*CHOOSE(CONTROL!$C$42, 0.5599, 0.5599)*CHOOSE(CONTROL!$C$42, 31, 31))/1000000</f>
        <v>12.063045499999998</v>
      </c>
      <c r="V435" s="58">
        <f>(1000*CHOOSE(CONTROL!$C$42, 500, 500)*CHOOSE(CONTROL!$C$42, 0.275, 0.275)*CHOOSE(CONTROL!$C$42, 31, 31))/1000000</f>
        <v>4.2625000000000002</v>
      </c>
      <c r="W435" s="58">
        <f>(1000*CHOOSE(CONTROL!$C$42, 0.1146, 0.1146)*CHOOSE(CONTROL!$C$42, 121.5, 121.5)*CHOOSE(CONTROL!$C$42, 31, 31))/1000000</f>
        <v>0.43164089999999994</v>
      </c>
      <c r="X435" s="58">
        <f>(31*0.1790888*100000/1000000)+(31*0.2374*100000/1000000)</f>
        <v>1.2911152800000001</v>
      </c>
      <c r="Y435" s="58"/>
      <c r="Z435" s="10"/>
      <c r="AA435" s="57"/>
      <c r="AB435" s="51">
        <f>(B435*122.58+C435*297.941+D435*89.177+E435*40.302+F435*40+G435*160+H435*0+I435*100+J435*300)/(122.58+297.941+89.177+40.302+0+40+160+100+300)</f>
        <v>12.776199702608695</v>
      </c>
      <c r="AC435" s="27">
        <f>(M435*'RAP TEMPLATE-GAS AVAILABILITY'!O434+N435*'RAP TEMPLATE-GAS AVAILABILITY'!P434+O435*'RAP TEMPLATE-GAS AVAILABILITY'!Q434+P435*'RAP TEMPLATE-GAS AVAILABILITY'!R434)/('RAP TEMPLATE-GAS AVAILABILITY'!O434+'RAP TEMPLATE-GAS AVAILABILITY'!P434+'RAP TEMPLATE-GAS AVAILABILITY'!Q434+'RAP TEMPLATE-GAS AVAILABILITY'!R434)</f>
        <v>12.699194964028775</v>
      </c>
    </row>
    <row r="436" spans="1:29" ht="15.75" x14ac:dyDescent="0.25">
      <c r="A436" s="14">
        <v>54543</v>
      </c>
      <c r="B436" s="10">
        <f>CHOOSE(CONTROL!$C$42, 12.7096, 12.7096) * CHOOSE(CONTROL!$C$21, $C$9, 100%, $E$9)</f>
        <v>12.7096</v>
      </c>
      <c r="C436" s="10">
        <f>CHOOSE(CONTROL!$C$42, 12.714, 12.714) * CHOOSE(CONTROL!$C$21, $C$9, 100%, $E$9)</f>
        <v>12.714</v>
      </c>
      <c r="D436" s="10">
        <f>CHOOSE(CONTROL!$C$42, 12.8957, 12.8957) * CHOOSE(CONTROL!$C$21, $C$9, 100%, $E$9)</f>
        <v>12.8957</v>
      </c>
      <c r="E436" s="10">
        <f>CHOOSE(CONTROL!$C$42, 12.9275, 12.9275) * CHOOSE(CONTROL!$C$21, $C$9, 100%, $E$9)</f>
        <v>12.9275</v>
      </c>
      <c r="F436" s="10">
        <f>CHOOSE(CONTROL!$C$42, 12.698, 12.698)*CHOOSE(CONTROL!$C$21, $C$9, 100%, $E$9)</f>
        <v>12.698</v>
      </c>
      <c r="G436" s="10">
        <f>CHOOSE(CONTROL!$C$42, 12.716, 12.716)*CHOOSE(CONTROL!$C$21, $C$9, 100%, $E$9)</f>
        <v>12.715999999999999</v>
      </c>
      <c r="H436" s="10">
        <f>CHOOSE(CONTROL!$C$42, 12.9173, 12.9173) * CHOOSE(CONTROL!$C$21, $C$9, 100%, $E$9)</f>
        <v>12.917299999999999</v>
      </c>
      <c r="I436" s="10">
        <f>CHOOSE(CONTROL!$C$42, 12.6879, 12.6879)* CHOOSE(CONTROL!$C$21, $C$9, 100%, $E$9)</f>
        <v>12.687900000000001</v>
      </c>
      <c r="J436" s="10">
        <f>CHOOSE(CONTROL!$C$42, 12.691, 12.691)* CHOOSE(CONTROL!$C$21, $C$9, 100%, $E$9)</f>
        <v>12.691000000000001</v>
      </c>
      <c r="K436" s="54">
        <f>CHOOSE(CONTROL!$C$42, 12.684, 12.684) * CHOOSE(CONTROL!$C$21, $C$9, 100%, $E$9)</f>
        <v>12.683999999999999</v>
      </c>
      <c r="L436" s="10">
        <f>CHOOSE(CONTROL!$C$42, 13.5043, 13.5043) * CHOOSE(CONTROL!$C$21, $C$9, 100%, $E$9)</f>
        <v>13.504300000000001</v>
      </c>
      <c r="M436" s="10">
        <f>CHOOSE(CONTROL!$C$42, 12.5767, 12.5767) * CHOOSE(CONTROL!$C$21, $C$9, 100%, $E$9)</f>
        <v>12.576700000000001</v>
      </c>
      <c r="N436" s="10">
        <f>CHOOSE(CONTROL!$C$42, 12.5945, 12.5945) * CHOOSE(CONTROL!$C$21, $C$9, 100%, $E$9)</f>
        <v>12.5945</v>
      </c>
      <c r="O436" s="10">
        <f>CHOOSE(CONTROL!$C$42, 12.8007, 12.8007) * CHOOSE(CONTROL!$C$21, $C$9, 100%, $E$9)</f>
        <v>12.800700000000001</v>
      </c>
      <c r="P436" s="10">
        <f>CHOOSE(CONTROL!$C$42, 12.5737, 12.5737) * CHOOSE(CONTROL!$C$21, $C$9, 100%, $E$9)</f>
        <v>12.573700000000001</v>
      </c>
      <c r="Q436" s="10">
        <f>CHOOSE(CONTROL!$C$42, 13.396, 13.396) * CHOOSE(CONTROL!$C$21, $C$9, 100%, $E$9)</f>
        <v>13.396000000000001</v>
      </c>
      <c r="R436" s="10">
        <f>CHOOSE(CONTROL!$C$42, 14.0165, 14.0165) * CHOOSE(CONTROL!$C$21, $C$9, 100%, $E$9)</f>
        <v>14.016500000000001</v>
      </c>
      <c r="S436" s="10">
        <f>CHOOSE(CONTROL!$C$42, 12.3394, 12.3394) * CHOOSE(CONTROL!$C$21, $C$9, 100%, $E$9)</f>
        <v>12.339399999999999</v>
      </c>
      <c r="T436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36" s="58">
        <f>(1000*CHOOSE(CONTROL!$C$42, 695, 695)*CHOOSE(CONTROL!$C$42, 0.5599, 0.5599)*CHOOSE(CONTROL!$C$42, 30, 30))/1000000</f>
        <v>11.673914999999997</v>
      </c>
      <c r="V436" s="58">
        <f>(1000*CHOOSE(CONTROL!$C$42, 500, 500)*CHOOSE(CONTROL!$C$42, 0.275, 0.275)*CHOOSE(CONTROL!$C$42, 30, 30))/1000000</f>
        <v>4.125</v>
      </c>
      <c r="W436" s="58">
        <f>(1000*CHOOSE(CONTROL!$C$42, 0.1146, 0.1146)*CHOOSE(CONTROL!$C$42, 121.5, 121.5)*CHOOSE(CONTROL!$C$42, 30, 30))/1000000</f>
        <v>0.417717</v>
      </c>
      <c r="X436" s="58">
        <f>(30*0.1790888*245000/1000000)+(30*0.2374*100000/1000000)</f>
        <v>2.0285026799999999</v>
      </c>
      <c r="Y436" s="58"/>
      <c r="Z436" s="10"/>
      <c r="AA436" s="57"/>
      <c r="AB436" s="51">
        <f>(B436*141.293+C436*267.993+D436*115.016+E436*89.698+F436*40+G436*185+H436*0+I436*100+J436*300)/(141.293+267.993+115.016+89.698+0+40+185+100+300)</f>
        <v>12.737928362389022</v>
      </c>
      <c r="AC436" s="27">
        <f>(M436*'RAP TEMPLATE-GAS AVAILABILITY'!O435+N436*'RAP TEMPLATE-GAS AVAILABILITY'!P435+O436*'RAP TEMPLATE-GAS AVAILABILITY'!Q435+P436*'RAP TEMPLATE-GAS AVAILABILITY'!R435)/('RAP TEMPLATE-GAS AVAILABILITY'!O435+'RAP TEMPLATE-GAS AVAILABILITY'!P435+'RAP TEMPLATE-GAS AVAILABILITY'!Q435+'RAP TEMPLATE-GAS AVAILABILITY'!R435)</f>
        <v>12.643215107913671</v>
      </c>
    </row>
    <row r="437" spans="1:29" ht="15.75" x14ac:dyDescent="0.25">
      <c r="A437" s="14">
        <v>54574</v>
      </c>
      <c r="B437" s="10">
        <f>CHOOSE(CONTROL!$C$42, 12.8236, 12.8236) * CHOOSE(CONTROL!$C$21, $C$9, 100%, $E$9)</f>
        <v>12.823600000000001</v>
      </c>
      <c r="C437" s="10">
        <f>CHOOSE(CONTROL!$C$42, 12.8315, 12.8315) * CHOOSE(CONTROL!$C$21, $C$9, 100%, $E$9)</f>
        <v>12.8315</v>
      </c>
      <c r="D437" s="10">
        <f>CHOOSE(CONTROL!$C$42, 13.01, 13.01) * CHOOSE(CONTROL!$C$21, $C$9, 100%, $E$9)</f>
        <v>13.01</v>
      </c>
      <c r="E437" s="10">
        <f>CHOOSE(CONTROL!$C$42, 13.0412, 13.0412) * CHOOSE(CONTROL!$C$21, $C$9, 100%, $E$9)</f>
        <v>13.0412</v>
      </c>
      <c r="F437" s="10">
        <f>CHOOSE(CONTROL!$C$42, 12.8098, 12.8098)*CHOOSE(CONTROL!$C$21, $C$9, 100%, $E$9)</f>
        <v>12.809799999999999</v>
      </c>
      <c r="G437" s="10">
        <f>CHOOSE(CONTROL!$C$42, 12.8279, 12.8279)*CHOOSE(CONTROL!$C$21, $C$9, 100%, $E$9)</f>
        <v>12.8279</v>
      </c>
      <c r="H437" s="10">
        <f>CHOOSE(CONTROL!$C$42, 13.0298, 13.0298) * CHOOSE(CONTROL!$C$21, $C$9, 100%, $E$9)</f>
        <v>13.0298</v>
      </c>
      <c r="I437" s="10">
        <f>CHOOSE(CONTROL!$C$42, 12.8004, 12.8004)* CHOOSE(CONTROL!$C$21, $C$9, 100%, $E$9)</f>
        <v>12.8004</v>
      </c>
      <c r="J437" s="10">
        <f>CHOOSE(CONTROL!$C$42, 12.8028, 12.8028)* CHOOSE(CONTROL!$C$21, $C$9, 100%, $E$9)</f>
        <v>12.8028</v>
      </c>
      <c r="K437" s="54">
        <f>CHOOSE(CONTROL!$C$42, 12.7966, 12.7966) * CHOOSE(CONTROL!$C$21, $C$9, 100%, $E$9)</f>
        <v>12.7966</v>
      </c>
      <c r="L437" s="10">
        <f>CHOOSE(CONTROL!$C$42, 13.6168, 13.6168) * CHOOSE(CONTROL!$C$21, $C$9, 100%, $E$9)</f>
        <v>13.6168</v>
      </c>
      <c r="M437" s="10">
        <f>CHOOSE(CONTROL!$C$42, 12.6874, 12.6874) * CHOOSE(CONTROL!$C$21, $C$9, 100%, $E$9)</f>
        <v>12.6874</v>
      </c>
      <c r="N437" s="10">
        <f>CHOOSE(CONTROL!$C$42, 12.7054, 12.7054) * CHOOSE(CONTROL!$C$21, $C$9, 100%, $E$9)</f>
        <v>12.705399999999999</v>
      </c>
      <c r="O437" s="10">
        <f>CHOOSE(CONTROL!$C$42, 12.9121, 12.9121) * CHOOSE(CONTROL!$C$21, $C$9, 100%, $E$9)</f>
        <v>12.912100000000001</v>
      </c>
      <c r="P437" s="10">
        <f>CHOOSE(CONTROL!$C$42, 12.6851, 12.6851) * CHOOSE(CONTROL!$C$21, $C$9, 100%, $E$9)</f>
        <v>12.6851</v>
      </c>
      <c r="Q437" s="10">
        <f>CHOOSE(CONTROL!$C$42, 13.5074, 13.5074) * CHOOSE(CONTROL!$C$21, $C$9, 100%, $E$9)</f>
        <v>13.507400000000001</v>
      </c>
      <c r="R437" s="10">
        <f>CHOOSE(CONTROL!$C$42, 14.1282, 14.1282) * CHOOSE(CONTROL!$C$21, $C$9, 100%, $E$9)</f>
        <v>14.1282</v>
      </c>
      <c r="S437" s="10">
        <f>CHOOSE(CONTROL!$C$42, 12.4487, 12.4487) * CHOOSE(CONTROL!$C$21, $C$9, 100%, $E$9)</f>
        <v>12.448700000000001</v>
      </c>
      <c r="T437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37" s="58">
        <f>(1000*CHOOSE(CONTROL!$C$42, 695, 695)*CHOOSE(CONTROL!$C$42, 0.5599, 0.5599)*CHOOSE(CONTROL!$C$42, 31, 31))/1000000</f>
        <v>12.063045499999998</v>
      </c>
      <c r="V437" s="58">
        <f>(1000*CHOOSE(CONTROL!$C$42, 500, 500)*CHOOSE(CONTROL!$C$42, 0.275, 0.275)*CHOOSE(CONTROL!$C$42, 31, 31))/1000000</f>
        <v>4.2625000000000002</v>
      </c>
      <c r="W437" s="58">
        <f>(1000*CHOOSE(CONTROL!$C$42, 0.1146, 0.1146)*CHOOSE(CONTROL!$C$42, 121.5, 121.5)*CHOOSE(CONTROL!$C$42, 31, 31))/1000000</f>
        <v>0.43164089999999994</v>
      </c>
      <c r="X437" s="58">
        <f>(31*0.1790888*245000/1000000)+(31*0.2374*100000/1000000)</f>
        <v>2.0961194359999999</v>
      </c>
      <c r="Y437" s="58"/>
      <c r="Z437" s="10"/>
      <c r="AA437" s="57"/>
      <c r="AB437" s="51">
        <f>(B437*194.205+C437*267.466+D437*133.845+E437*53.484+F437*40+G437*185+H437*0+I437*100+J437*300)/(194.205+267.466+133.845+53.484+0+40+185+100+300)</f>
        <v>12.847448750235479</v>
      </c>
      <c r="AC437" s="27">
        <f>(M437*'RAP TEMPLATE-GAS AVAILABILITY'!O436+N437*'RAP TEMPLATE-GAS AVAILABILITY'!P436+O437*'RAP TEMPLATE-GAS AVAILABILITY'!Q436+P437*'RAP TEMPLATE-GAS AVAILABILITY'!R436)/('RAP TEMPLATE-GAS AVAILABILITY'!O436+'RAP TEMPLATE-GAS AVAILABILITY'!P436+'RAP TEMPLATE-GAS AVAILABILITY'!Q436+'RAP TEMPLATE-GAS AVAILABILITY'!R436)</f>
        <v>12.754258273381296</v>
      </c>
    </row>
    <row r="438" spans="1:29" ht="15.75" x14ac:dyDescent="0.25">
      <c r="A438" s="14">
        <v>54604</v>
      </c>
      <c r="B438" s="10">
        <f>CHOOSE(CONTROL!$C$42, 13.1872, 13.1872) * CHOOSE(CONTROL!$C$21, $C$9, 100%, $E$9)</f>
        <v>13.187200000000001</v>
      </c>
      <c r="C438" s="10">
        <f>CHOOSE(CONTROL!$C$42, 13.1951, 13.1951) * CHOOSE(CONTROL!$C$21, $C$9, 100%, $E$9)</f>
        <v>13.1951</v>
      </c>
      <c r="D438" s="10">
        <f>CHOOSE(CONTROL!$C$42, 13.3736, 13.3736) * CHOOSE(CONTROL!$C$21, $C$9, 100%, $E$9)</f>
        <v>13.3736</v>
      </c>
      <c r="E438" s="10">
        <f>CHOOSE(CONTROL!$C$42, 13.4048, 13.4048) * CHOOSE(CONTROL!$C$21, $C$9, 100%, $E$9)</f>
        <v>13.4048</v>
      </c>
      <c r="F438" s="10">
        <f>CHOOSE(CONTROL!$C$42, 13.1736, 13.1736)*CHOOSE(CONTROL!$C$21, $C$9, 100%, $E$9)</f>
        <v>13.1736</v>
      </c>
      <c r="G438" s="10">
        <f>CHOOSE(CONTROL!$C$42, 13.1918, 13.1918)*CHOOSE(CONTROL!$C$21, $C$9, 100%, $E$9)</f>
        <v>13.191800000000001</v>
      </c>
      <c r="H438" s="10">
        <f>CHOOSE(CONTROL!$C$42, 13.3934, 13.3934) * CHOOSE(CONTROL!$C$21, $C$9, 100%, $E$9)</f>
        <v>13.3934</v>
      </c>
      <c r="I438" s="10">
        <f>CHOOSE(CONTROL!$C$42, 13.164, 13.164)* CHOOSE(CONTROL!$C$21, $C$9, 100%, $E$9)</f>
        <v>13.164</v>
      </c>
      <c r="J438" s="10">
        <f>CHOOSE(CONTROL!$C$42, 13.1666, 13.1666)* CHOOSE(CONTROL!$C$21, $C$9, 100%, $E$9)</f>
        <v>13.166600000000001</v>
      </c>
      <c r="K438" s="54">
        <f>CHOOSE(CONTROL!$C$42, 13.1602, 13.1602) * CHOOSE(CONTROL!$C$21, $C$9, 100%, $E$9)</f>
        <v>13.1602</v>
      </c>
      <c r="L438" s="10">
        <f>CHOOSE(CONTROL!$C$42, 13.9804, 13.9804) * CHOOSE(CONTROL!$C$21, $C$9, 100%, $E$9)</f>
        <v>13.980399999999999</v>
      </c>
      <c r="M438" s="10">
        <f>CHOOSE(CONTROL!$C$42, 13.0476, 13.0476) * CHOOSE(CONTROL!$C$21, $C$9, 100%, $E$9)</f>
        <v>13.047599999999999</v>
      </c>
      <c r="N438" s="10">
        <f>CHOOSE(CONTROL!$C$42, 13.0656, 13.0656) * CHOOSE(CONTROL!$C$21, $C$9, 100%, $E$9)</f>
        <v>13.0656</v>
      </c>
      <c r="O438" s="10">
        <f>CHOOSE(CONTROL!$C$42, 13.2721, 13.2721) * CHOOSE(CONTROL!$C$21, $C$9, 100%, $E$9)</f>
        <v>13.2721</v>
      </c>
      <c r="P438" s="10">
        <f>CHOOSE(CONTROL!$C$42, 13.0451, 13.0451) * CHOOSE(CONTROL!$C$21, $C$9, 100%, $E$9)</f>
        <v>13.0451</v>
      </c>
      <c r="Q438" s="10">
        <f>CHOOSE(CONTROL!$C$42, 13.8674, 13.8674) * CHOOSE(CONTROL!$C$21, $C$9, 100%, $E$9)</f>
        <v>13.8674</v>
      </c>
      <c r="R438" s="10">
        <f>CHOOSE(CONTROL!$C$42, 14.489, 14.489) * CHOOSE(CONTROL!$C$21, $C$9, 100%, $E$9)</f>
        <v>14.489000000000001</v>
      </c>
      <c r="S438" s="10">
        <f>CHOOSE(CONTROL!$C$42, 12.8018, 12.8018) * CHOOSE(CONTROL!$C$21, $C$9, 100%, $E$9)</f>
        <v>12.8018</v>
      </c>
      <c r="T438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38" s="58">
        <f>(1000*CHOOSE(CONTROL!$C$42, 695, 695)*CHOOSE(CONTROL!$C$42, 0.5599, 0.5599)*CHOOSE(CONTROL!$C$42, 30, 30))/1000000</f>
        <v>11.673914999999997</v>
      </c>
      <c r="V438" s="58">
        <f>(1000*CHOOSE(CONTROL!$C$42, 500, 500)*CHOOSE(CONTROL!$C$42, 0.275, 0.275)*CHOOSE(CONTROL!$C$42, 30, 30))/1000000</f>
        <v>4.125</v>
      </c>
      <c r="W438" s="58">
        <f>(1000*CHOOSE(CONTROL!$C$42, 0.1146, 0.1146)*CHOOSE(CONTROL!$C$42, 121.5, 121.5)*CHOOSE(CONTROL!$C$42, 30, 30))/1000000</f>
        <v>0.417717</v>
      </c>
      <c r="X438" s="58">
        <f>(30*0.1790888*245000/1000000)+(30*0.2374*100000/1000000)</f>
        <v>2.0285026799999999</v>
      </c>
      <c r="Y438" s="58"/>
      <c r="Z438" s="10"/>
      <c r="AA438" s="57"/>
      <c r="AB438" s="51">
        <f>(B438*194.205+C438*267.466+D438*133.845+E438*53.484+F438*40+G438*185+H438*0+I438*100+J438*300)/(194.205+267.466+133.845+53.484+0+40+185+100+300)</f>
        <v>13.211145689010989</v>
      </c>
      <c r="AC438" s="27">
        <f>(M438*'RAP TEMPLATE-GAS AVAILABILITY'!O437+N438*'RAP TEMPLATE-GAS AVAILABILITY'!P437+O438*'RAP TEMPLATE-GAS AVAILABILITY'!Q437+P438*'RAP TEMPLATE-GAS AVAILABILITY'!R437)/('RAP TEMPLATE-GAS AVAILABILITY'!O437+'RAP TEMPLATE-GAS AVAILABILITY'!P437+'RAP TEMPLATE-GAS AVAILABILITY'!Q437+'RAP TEMPLATE-GAS AVAILABILITY'!R437)</f>
        <v>13.114373381294964</v>
      </c>
    </row>
    <row r="439" spans="1:29" ht="15.75" x14ac:dyDescent="0.25">
      <c r="A439" s="14">
        <v>54635</v>
      </c>
      <c r="B439" s="10">
        <f>CHOOSE(CONTROL!$C$42, 12.9343, 12.9343) * CHOOSE(CONTROL!$C$21, $C$9, 100%, $E$9)</f>
        <v>12.9343</v>
      </c>
      <c r="C439" s="10">
        <f>CHOOSE(CONTROL!$C$42, 12.9422, 12.9422) * CHOOSE(CONTROL!$C$21, $C$9, 100%, $E$9)</f>
        <v>12.9422</v>
      </c>
      <c r="D439" s="10">
        <f>CHOOSE(CONTROL!$C$42, 13.1207, 13.1207) * CHOOSE(CONTROL!$C$21, $C$9, 100%, $E$9)</f>
        <v>13.120699999999999</v>
      </c>
      <c r="E439" s="10">
        <f>CHOOSE(CONTROL!$C$42, 13.1519, 13.1519) * CHOOSE(CONTROL!$C$21, $C$9, 100%, $E$9)</f>
        <v>13.151899999999999</v>
      </c>
      <c r="F439" s="10">
        <f>CHOOSE(CONTROL!$C$42, 12.921, 12.921)*CHOOSE(CONTROL!$C$21, $C$9, 100%, $E$9)</f>
        <v>12.920999999999999</v>
      </c>
      <c r="G439" s="10">
        <f>CHOOSE(CONTROL!$C$42, 12.9393, 12.9393)*CHOOSE(CONTROL!$C$21, $C$9, 100%, $E$9)</f>
        <v>12.939299999999999</v>
      </c>
      <c r="H439" s="10">
        <f>CHOOSE(CONTROL!$C$42, 13.1405, 13.1405) * CHOOSE(CONTROL!$C$21, $C$9, 100%, $E$9)</f>
        <v>13.140499999999999</v>
      </c>
      <c r="I439" s="10">
        <f>CHOOSE(CONTROL!$C$42, 12.9112, 12.9112)* CHOOSE(CONTROL!$C$21, $C$9, 100%, $E$9)</f>
        <v>12.911199999999999</v>
      </c>
      <c r="J439" s="10">
        <f>CHOOSE(CONTROL!$C$42, 12.914, 12.914)* CHOOSE(CONTROL!$C$21, $C$9, 100%, $E$9)</f>
        <v>12.914</v>
      </c>
      <c r="K439" s="54">
        <f>CHOOSE(CONTROL!$C$42, 12.9073, 12.9073) * CHOOSE(CONTROL!$C$21, $C$9, 100%, $E$9)</f>
        <v>12.907299999999999</v>
      </c>
      <c r="L439" s="10">
        <f>CHOOSE(CONTROL!$C$42, 13.7275, 13.7275) * CHOOSE(CONTROL!$C$21, $C$9, 100%, $E$9)</f>
        <v>13.727499999999999</v>
      </c>
      <c r="M439" s="10">
        <f>CHOOSE(CONTROL!$C$42, 12.7975, 12.7975) * CHOOSE(CONTROL!$C$21, $C$9, 100%, $E$9)</f>
        <v>12.797499999999999</v>
      </c>
      <c r="N439" s="10">
        <f>CHOOSE(CONTROL!$C$42, 12.8156, 12.8156) * CHOOSE(CONTROL!$C$21, $C$9, 100%, $E$9)</f>
        <v>12.8156</v>
      </c>
      <c r="O439" s="10">
        <f>CHOOSE(CONTROL!$C$42, 13.0217, 13.0217) * CHOOSE(CONTROL!$C$21, $C$9, 100%, $E$9)</f>
        <v>13.021699999999999</v>
      </c>
      <c r="P439" s="10">
        <f>CHOOSE(CONTROL!$C$42, 12.7947, 12.7947) * CHOOSE(CONTROL!$C$21, $C$9, 100%, $E$9)</f>
        <v>12.794700000000001</v>
      </c>
      <c r="Q439" s="10">
        <f>CHOOSE(CONTROL!$C$42, 13.617, 13.617) * CHOOSE(CONTROL!$C$21, $C$9, 100%, $E$9)</f>
        <v>13.617000000000001</v>
      </c>
      <c r="R439" s="10">
        <f>CHOOSE(CONTROL!$C$42, 14.2381, 14.2381) * CHOOSE(CONTROL!$C$21, $C$9, 100%, $E$9)</f>
        <v>14.238099999999999</v>
      </c>
      <c r="S439" s="10">
        <f>CHOOSE(CONTROL!$C$42, 12.5562, 12.5562) * CHOOSE(CONTROL!$C$21, $C$9, 100%, $E$9)</f>
        <v>12.5562</v>
      </c>
      <c r="T439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39" s="58">
        <f>(1000*CHOOSE(CONTROL!$C$42, 695, 695)*CHOOSE(CONTROL!$C$42, 0.5599, 0.5599)*CHOOSE(CONTROL!$C$42, 31, 31))/1000000</f>
        <v>12.063045499999998</v>
      </c>
      <c r="V439" s="58">
        <f>(1000*CHOOSE(CONTROL!$C$42, 500, 500)*CHOOSE(CONTROL!$C$42, 0.275, 0.275)*CHOOSE(CONTROL!$C$42, 31, 31))/1000000</f>
        <v>4.2625000000000002</v>
      </c>
      <c r="W439" s="58">
        <f>(1000*CHOOSE(CONTROL!$C$42, 0.1146, 0.1146)*CHOOSE(CONTROL!$C$42, 121.5, 121.5)*CHOOSE(CONTROL!$C$42, 31, 31))/1000000</f>
        <v>0.43164089999999994</v>
      </c>
      <c r="X439" s="58">
        <f>(31*0.1790888*245000/1000000)+(31*0.2374*100000/1000000)</f>
        <v>2.0961194359999999</v>
      </c>
      <c r="Y439" s="58"/>
      <c r="Z439" s="10"/>
      <c r="AA439" s="57"/>
      <c r="AB439" s="51">
        <f>(B439*194.205+C439*267.466+D439*133.845+E439*53.484+F439*40+G439*185+H439*0+I439*100+J439*300)/(194.205+267.466+133.845+53.484+0+40+185+100+300)</f>
        <v>12.958391685871273</v>
      </c>
      <c r="AC439" s="27">
        <f>(M439*'RAP TEMPLATE-GAS AVAILABILITY'!O438+N439*'RAP TEMPLATE-GAS AVAILABILITY'!P438+O439*'RAP TEMPLATE-GAS AVAILABILITY'!Q438+P439*'RAP TEMPLATE-GAS AVAILABILITY'!R438)/('RAP TEMPLATE-GAS AVAILABILITY'!O438+'RAP TEMPLATE-GAS AVAILABILITY'!P438+'RAP TEMPLATE-GAS AVAILABILITY'!Q438+'RAP TEMPLATE-GAS AVAILABILITY'!R438)</f>
        <v>12.864169064748202</v>
      </c>
    </row>
    <row r="440" spans="1:29" ht="15.75" x14ac:dyDescent="0.25">
      <c r="A440" s="14">
        <v>54666</v>
      </c>
      <c r="B440" s="10">
        <f>CHOOSE(CONTROL!$C$42, 12.2957, 12.2957) * CHOOSE(CONTROL!$C$21, $C$9, 100%, $E$9)</f>
        <v>12.2957</v>
      </c>
      <c r="C440" s="10">
        <f>CHOOSE(CONTROL!$C$42, 12.3036, 12.3036) * CHOOSE(CONTROL!$C$21, $C$9, 100%, $E$9)</f>
        <v>12.303599999999999</v>
      </c>
      <c r="D440" s="10">
        <f>CHOOSE(CONTROL!$C$42, 12.4821, 12.4821) * CHOOSE(CONTROL!$C$21, $C$9, 100%, $E$9)</f>
        <v>12.482100000000001</v>
      </c>
      <c r="E440" s="10">
        <f>CHOOSE(CONTROL!$C$42, 12.5133, 12.5133) * CHOOSE(CONTROL!$C$21, $C$9, 100%, $E$9)</f>
        <v>12.513299999999999</v>
      </c>
      <c r="F440" s="10">
        <f>CHOOSE(CONTROL!$C$42, 12.2823, 12.2823)*CHOOSE(CONTROL!$C$21, $C$9, 100%, $E$9)</f>
        <v>12.282299999999999</v>
      </c>
      <c r="G440" s="10">
        <f>CHOOSE(CONTROL!$C$42, 12.3006, 12.3006)*CHOOSE(CONTROL!$C$21, $C$9, 100%, $E$9)</f>
        <v>12.300599999999999</v>
      </c>
      <c r="H440" s="10">
        <f>CHOOSE(CONTROL!$C$42, 12.5019, 12.5019) * CHOOSE(CONTROL!$C$21, $C$9, 100%, $E$9)</f>
        <v>12.501899999999999</v>
      </c>
      <c r="I440" s="10">
        <f>CHOOSE(CONTROL!$C$42, 12.2725, 12.2725)* CHOOSE(CONTROL!$C$21, $C$9, 100%, $E$9)</f>
        <v>12.272500000000001</v>
      </c>
      <c r="J440" s="10">
        <f>CHOOSE(CONTROL!$C$42, 12.2753, 12.2753)* CHOOSE(CONTROL!$C$21, $C$9, 100%, $E$9)</f>
        <v>12.2753</v>
      </c>
      <c r="K440" s="54">
        <f>CHOOSE(CONTROL!$C$42, 12.2686, 12.2686) * CHOOSE(CONTROL!$C$21, $C$9, 100%, $E$9)</f>
        <v>12.268599999999999</v>
      </c>
      <c r="L440" s="10">
        <f>CHOOSE(CONTROL!$C$42, 13.0889, 13.0889) * CHOOSE(CONTROL!$C$21, $C$9, 100%, $E$9)</f>
        <v>13.088900000000001</v>
      </c>
      <c r="M440" s="10">
        <f>CHOOSE(CONTROL!$C$42, 12.1653, 12.1653) * CHOOSE(CONTROL!$C$21, $C$9, 100%, $E$9)</f>
        <v>12.1653</v>
      </c>
      <c r="N440" s="10">
        <f>CHOOSE(CONTROL!$C$42, 12.1834, 12.1834) * CHOOSE(CONTROL!$C$21, $C$9, 100%, $E$9)</f>
        <v>12.183400000000001</v>
      </c>
      <c r="O440" s="10">
        <f>CHOOSE(CONTROL!$C$42, 12.3896, 12.3896) * CHOOSE(CONTROL!$C$21, $C$9, 100%, $E$9)</f>
        <v>12.3896</v>
      </c>
      <c r="P440" s="10">
        <f>CHOOSE(CONTROL!$C$42, 12.1626, 12.1626) * CHOOSE(CONTROL!$C$21, $C$9, 100%, $E$9)</f>
        <v>12.162599999999999</v>
      </c>
      <c r="Q440" s="10">
        <f>CHOOSE(CONTROL!$C$42, 12.9849, 12.9849) * CHOOSE(CONTROL!$C$21, $C$9, 100%, $E$9)</f>
        <v>12.9849</v>
      </c>
      <c r="R440" s="10">
        <f>CHOOSE(CONTROL!$C$42, 13.6043, 13.6043) * CHOOSE(CONTROL!$C$21, $C$9, 100%, $E$9)</f>
        <v>13.6043</v>
      </c>
      <c r="S440" s="10">
        <f>CHOOSE(CONTROL!$C$42, 11.9361, 11.9361) * CHOOSE(CONTROL!$C$21, $C$9, 100%, $E$9)</f>
        <v>11.9361</v>
      </c>
      <c r="T440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440" s="58">
        <f>(1000*CHOOSE(CONTROL!$C$42, 695, 695)*CHOOSE(CONTROL!$C$42, 0.5599, 0.5599)*CHOOSE(CONTROL!$C$42, 31, 31))/1000000</f>
        <v>12.063045499999998</v>
      </c>
      <c r="V440" s="58">
        <f>(1000*CHOOSE(CONTROL!$C$42, 500, 500)*CHOOSE(CONTROL!$C$42, 0.275, 0.275)*CHOOSE(CONTROL!$C$42, 31, 31))/1000000</f>
        <v>4.2625000000000002</v>
      </c>
      <c r="W440" s="58">
        <f>(1000*CHOOSE(CONTROL!$C$42, 0.1146, 0.1146)*CHOOSE(CONTROL!$C$42, 121.5, 121.5)*CHOOSE(CONTROL!$C$42, 31, 31))/1000000</f>
        <v>0.43164089999999994</v>
      </c>
      <c r="X440" s="58">
        <f>(31*0.1790888*245000/1000000)+(31*0.2374*100000/1000000)</f>
        <v>2.0961194359999999</v>
      </c>
      <c r="Y440" s="58"/>
      <c r="Z440" s="10"/>
      <c r="AA440" s="57"/>
      <c r="AB440" s="51">
        <f>(B440*194.205+C440*267.466+D440*133.845+E440*53.484+F440*40+G440*185+H440*0+I440*100+J440*300)/(194.205+267.466+133.845+53.484+0+40+185+100+300)</f>
        <v>12.3197426277865</v>
      </c>
      <c r="AC440" s="27">
        <f>(M440*'RAP TEMPLATE-GAS AVAILABILITY'!O439+N440*'RAP TEMPLATE-GAS AVAILABILITY'!P439+O440*'RAP TEMPLATE-GAS AVAILABILITY'!Q439+P440*'RAP TEMPLATE-GAS AVAILABILITY'!R439)/('RAP TEMPLATE-GAS AVAILABILITY'!O439+'RAP TEMPLATE-GAS AVAILABILITY'!P439+'RAP TEMPLATE-GAS AVAILABILITY'!Q439+'RAP TEMPLATE-GAS AVAILABILITY'!R439)</f>
        <v>12.232011510791367</v>
      </c>
    </row>
    <row r="441" spans="1:29" ht="15.75" x14ac:dyDescent="0.25">
      <c r="A441" s="14">
        <v>54696</v>
      </c>
      <c r="B441" s="10">
        <f>CHOOSE(CONTROL!$C$42, 11.5154, 11.5154) * CHOOSE(CONTROL!$C$21, $C$9, 100%, $E$9)</f>
        <v>11.5154</v>
      </c>
      <c r="C441" s="10">
        <f>CHOOSE(CONTROL!$C$42, 11.5233, 11.5233) * CHOOSE(CONTROL!$C$21, $C$9, 100%, $E$9)</f>
        <v>11.523300000000001</v>
      </c>
      <c r="D441" s="10">
        <f>CHOOSE(CONTROL!$C$42, 11.7018, 11.7018) * CHOOSE(CONTROL!$C$21, $C$9, 100%, $E$9)</f>
        <v>11.7018</v>
      </c>
      <c r="E441" s="10">
        <f>CHOOSE(CONTROL!$C$42, 11.733, 11.733) * CHOOSE(CONTROL!$C$21, $C$9, 100%, $E$9)</f>
        <v>11.733000000000001</v>
      </c>
      <c r="F441" s="10">
        <f>CHOOSE(CONTROL!$C$42, 11.5018, 11.5018)*CHOOSE(CONTROL!$C$21, $C$9, 100%, $E$9)</f>
        <v>11.501799999999999</v>
      </c>
      <c r="G441" s="10">
        <f>CHOOSE(CONTROL!$C$42, 11.52, 11.52)*CHOOSE(CONTROL!$C$21, $C$9, 100%, $E$9)</f>
        <v>11.52</v>
      </c>
      <c r="H441" s="10">
        <f>CHOOSE(CONTROL!$C$42, 11.7216, 11.7216) * CHOOSE(CONTROL!$C$21, $C$9, 100%, $E$9)</f>
        <v>11.7216</v>
      </c>
      <c r="I441" s="10">
        <f>CHOOSE(CONTROL!$C$42, 11.4923, 11.4923)* CHOOSE(CONTROL!$C$21, $C$9, 100%, $E$9)</f>
        <v>11.4923</v>
      </c>
      <c r="J441" s="10">
        <f>CHOOSE(CONTROL!$C$42, 11.4948, 11.4948)* CHOOSE(CONTROL!$C$21, $C$9, 100%, $E$9)</f>
        <v>11.4948</v>
      </c>
      <c r="K441" s="54">
        <f>CHOOSE(CONTROL!$C$42, 11.4884, 11.4884) * CHOOSE(CONTROL!$C$21, $C$9, 100%, $E$9)</f>
        <v>11.4884</v>
      </c>
      <c r="L441" s="10">
        <f>CHOOSE(CONTROL!$C$42, 12.3086, 12.3086) * CHOOSE(CONTROL!$C$21, $C$9, 100%, $E$9)</f>
        <v>12.3086</v>
      </c>
      <c r="M441" s="10">
        <f>CHOOSE(CONTROL!$C$42, 11.3926, 11.3926) * CHOOSE(CONTROL!$C$21, $C$9, 100%, $E$9)</f>
        <v>11.3926</v>
      </c>
      <c r="N441" s="10">
        <f>CHOOSE(CONTROL!$C$42, 11.4106, 11.4106) * CHOOSE(CONTROL!$C$21, $C$9, 100%, $E$9)</f>
        <v>11.410600000000001</v>
      </c>
      <c r="O441" s="10">
        <f>CHOOSE(CONTROL!$C$42, 11.6172, 11.6172) * CHOOSE(CONTROL!$C$21, $C$9, 100%, $E$9)</f>
        <v>11.6172</v>
      </c>
      <c r="P441" s="10">
        <f>CHOOSE(CONTROL!$C$42, 11.3902, 11.3902) * CHOOSE(CONTROL!$C$21, $C$9, 100%, $E$9)</f>
        <v>11.3902</v>
      </c>
      <c r="Q441" s="10">
        <f>CHOOSE(CONTROL!$C$42, 12.2125, 12.2125) * CHOOSE(CONTROL!$C$21, $C$9, 100%, $E$9)</f>
        <v>12.2125</v>
      </c>
      <c r="R441" s="10">
        <f>CHOOSE(CONTROL!$C$42, 12.83, 12.83) * CHOOSE(CONTROL!$C$21, $C$9, 100%, $E$9)</f>
        <v>12.83</v>
      </c>
      <c r="S441" s="10">
        <f>CHOOSE(CONTROL!$C$42, 11.1784, 11.1784) * CHOOSE(CONTROL!$C$21, $C$9, 100%, $E$9)</f>
        <v>11.1784</v>
      </c>
      <c r="T441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441" s="58">
        <f>(1000*CHOOSE(CONTROL!$C$42, 695, 695)*CHOOSE(CONTROL!$C$42, 0.5599, 0.5599)*CHOOSE(CONTROL!$C$42, 30, 30))/1000000</f>
        <v>11.673914999999997</v>
      </c>
      <c r="V441" s="58">
        <f>(1000*CHOOSE(CONTROL!$C$42, 500, 500)*CHOOSE(CONTROL!$C$42, 0.275, 0.275)*CHOOSE(CONTROL!$C$42, 30, 30))/1000000</f>
        <v>4.125</v>
      </c>
      <c r="W441" s="58">
        <f>(1000*CHOOSE(CONTROL!$C$42, 0.1146, 0.1146)*CHOOSE(CONTROL!$C$42, 121.5, 121.5)*CHOOSE(CONTROL!$C$42, 30, 30))/1000000</f>
        <v>0.417717</v>
      </c>
      <c r="X441" s="58">
        <f>(30*0.1790888*245000/1000000)+(30*0.2374*100000/1000000)</f>
        <v>2.0285026799999999</v>
      </c>
      <c r="Y441" s="58"/>
      <c r="Z441" s="10"/>
      <c r="AA441" s="57"/>
      <c r="AB441" s="51">
        <f>(B441*194.205+C441*267.466+D441*133.845+E441*53.484+F441*40+G441*185+H441*0+I441*100+J441*300)/(194.205+267.466+133.845+53.484+0+40+185+100+300)</f>
        <v>11.539353538304553</v>
      </c>
      <c r="AC441" s="27">
        <f>(M441*'RAP TEMPLATE-GAS AVAILABILITY'!O440+N441*'RAP TEMPLATE-GAS AVAILABILITY'!P440+O441*'RAP TEMPLATE-GAS AVAILABILITY'!Q440+P441*'RAP TEMPLATE-GAS AVAILABILITY'!R440)/('RAP TEMPLATE-GAS AVAILABILITY'!O440+'RAP TEMPLATE-GAS AVAILABILITY'!P440+'RAP TEMPLATE-GAS AVAILABILITY'!Q440+'RAP TEMPLATE-GAS AVAILABILITY'!R440)</f>
        <v>11.459415827338129</v>
      </c>
    </row>
    <row r="442" spans="1:29" ht="15.75" x14ac:dyDescent="0.25">
      <c r="A442" s="14">
        <v>54727</v>
      </c>
      <c r="B442" s="10">
        <f>CHOOSE(CONTROL!$C$42, 11.2796, 11.2796) * CHOOSE(CONTROL!$C$21, $C$9, 100%, $E$9)</f>
        <v>11.2796</v>
      </c>
      <c r="C442" s="10">
        <f>CHOOSE(CONTROL!$C$42, 11.2848, 11.2848) * CHOOSE(CONTROL!$C$21, $C$9, 100%, $E$9)</f>
        <v>11.284800000000001</v>
      </c>
      <c r="D442" s="10">
        <f>CHOOSE(CONTROL!$C$42, 11.4683, 11.4683) * CHOOSE(CONTROL!$C$21, $C$9, 100%, $E$9)</f>
        <v>11.468299999999999</v>
      </c>
      <c r="E442" s="10">
        <f>CHOOSE(CONTROL!$C$42, 11.4971, 11.4971) * CHOOSE(CONTROL!$C$21, $C$9, 100%, $E$9)</f>
        <v>11.4971</v>
      </c>
      <c r="F442" s="10">
        <f>CHOOSE(CONTROL!$C$42, 11.2679, 11.2679)*CHOOSE(CONTROL!$C$21, $C$9, 100%, $E$9)</f>
        <v>11.267899999999999</v>
      </c>
      <c r="G442" s="10">
        <f>CHOOSE(CONTROL!$C$42, 11.2858, 11.2858)*CHOOSE(CONTROL!$C$21, $C$9, 100%, $E$9)</f>
        <v>11.2858</v>
      </c>
      <c r="H442" s="10">
        <f>CHOOSE(CONTROL!$C$42, 11.4875, 11.4875) * CHOOSE(CONTROL!$C$21, $C$9, 100%, $E$9)</f>
        <v>11.487500000000001</v>
      </c>
      <c r="I442" s="10">
        <f>CHOOSE(CONTROL!$C$42, 11.2582, 11.2582)* CHOOSE(CONTROL!$C$21, $C$9, 100%, $E$9)</f>
        <v>11.2582</v>
      </c>
      <c r="J442" s="10">
        <f>CHOOSE(CONTROL!$C$42, 11.2609, 11.2609)* CHOOSE(CONTROL!$C$21, $C$9, 100%, $E$9)</f>
        <v>11.260899999999999</v>
      </c>
      <c r="K442" s="54">
        <f>CHOOSE(CONTROL!$C$42, 11.2543, 11.2543) * CHOOSE(CONTROL!$C$21, $C$9, 100%, $E$9)</f>
        <v>11.254300000000001</v>
      </c>
      <c r="L442" s="10">
        <f>CHOOSE(CONTROL!$C$42, 12.0745, 12.0745) * CHOOSE(CONTROL!$C$21, $C$9, 100%, $E$9)</f>
        <v>12.0745</v>
      </c>
      <c r="M442" s="10">
        <f>CHOOSE(CONTROL!$C$42, 11.1611, 11.1611) * CHOOSE(CONTROL!$C$21, $C$9, 100%, $E$9)</f>
        <v>11.161099999999999</v>
      </c>
      <c r="N442" s="10">
        <f>CHOOSE(CONTROL!$C$42, 11.1788, 11.1788) * CHOOSE(CONTROL!$C$21, $C$9, 100%, $E$9)</f>
        <v>11.178800000000001</v>
      </c>
      <c r="O442" s="10">
        <f>CHOOSE(CONTROL!$C$42, 11.3854, 11.3854) * CHOOSE(CONTROL!$C$21, $C$9, 100%, $E$9)</f>
        <v>11.385400000000001</v>
      </c>
      <c r="P442" s="10">
        <f>CHOOSE(CONTROL!$C$42, 11.1584, 11.1584) * CHOOSE(CONTROL!$C$21, $C$9, 100%, $E$9)</f>
        <v>11.1584</v>
      </c>
      <c r="Q442" s="10">
        <f>CHOOSE(CONTROL!$C$42, 11.9807, 11.9807) * CHOOSE(CONTROL!$C$21, $C$9, 100%, $E$9)</f>
        <v>11.980700000000001</v>
      </c>
      <c r="R442" s="10">
        <f>CHOOSE(CONTROL!$C$42, 12.5977, 12.5977) * CHOOSE(CONTROL!$C$21, $C$9, 100%, $E$9)</f>
        <v>12.5977</v>
      </c>
      <c r="S442" s="10">
        <f>CHOOSE(CONTROL!$C$42, 10.951, 10.951) * CHOOSE(CONTROL!$C$21, $C$9, 100%, $E$9)</f>
        <v>10.951000000000001</v>
      </c>
      <c r="T442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42" s="58">
        <f>(1000*CHOOSE(CONTROL!$C$42, 695, 695)*CHOOSE(CONTROL!$C$42, 0.5599, 0.5599)*CHOOSE(CONTROL!$C$42, 31, 31))/1000000</f>
        <v>12.063045499999998</v>
      </c>
      <c r="V442" s="58">
        <f>(1000*CHOOSE(CONTROL!$C$42, 500, 500)*CHOOSE(CONTROL!$C$42, 0.275, 0.275)*CHOOSE(CONTROL!$C$42, 31, 31))/1000000</f>
        <v>4.2625000000000002</v>
      </c>
      <c r="W442" s="58">
        <f>(1000*CHOOSE(CONTROL!$C$42, 0.1146, 0.1146)*CHOOSE(CONTROL!$C$42, 121.5, 121.5)*CHOOSE(CONTROL!$C$42, 31, 31))/1000000</f>
        <v>0.43164089999999994</v>
      </c>
      <c r="X442" s="58">
        <f>(31*0.1790888*245000/1000000)+(31*0.2374*100000/1000000)</f>
        <v>2.0961194359999999</v>
      </c>
      <c r="Y442" s="58"/>
      <c r="Z442" s="10"/>
      <c r="AA442" s="57"/>
      <c r="AB442" s="51">
        <f>(B442*131.881+C442*277.167+D442*79.08+E442*125.872+F442*40+G442*185+H442*0+I442*100+J442*300)/(131.881+277.167+79.08+125.872+0+40+185+100+300)</f>
        <v>11.309196307021791</v>
      </c>
      <c r="AC442" s="27">
        <f>(M442*'RAP TEMPLATE-GAS AVAILABILITY'!O441+N442*'RAP TEMPLATE-GAS AVAILABILITY'!P441+O442*'RAP TEMPLATE-GAS AVAILABILITY'!Q441+P442*'RAP TEMPLATE-GAS AVAILABILITY'!R441)/('RAP TEMPLATE-GAS AVAILABILITY'!O441+'RAP TEMPLATE-GAS AVAILABILITY'!P441+'RAP TEMPLATE-GAS AVAILABILITY'!Q441+'RAP TEMPLATE-GAS AVAILABILITY'!R441)</f>
        <v>11.227719424460432</v>
      </c>
    </row>
    <row r="443" spans="1:29" ht="15.75" x14ac:dyDescent="0.25">
      <c r="A443" s="14">
        <v>54757</v>
      </c>
      <c r="B443" s="10">
        <f>CHOOSE(CONTROL!$C$42, 11.5762, 11.5762) * CHOOSE(CONTROL!$C$21, $C$9, 100%, $E$9)</f>
        <v>11.5762</v>
      </c>
      <c r="C443" s="10">
        <f>CHOOSE(CONTROL!$C$42, 11.5812, 11.5812) * CHOOSE(CONTROL!$C$21, $C$9, 100%, $E$9)</f>
        <v>11.581200000000001</v>
      </c>
      <c r="D443" s="10">
        <f>CHOOSE(CONTROL!$C$42, 11.6108, 11.6108) * CHOOSE(CONTROL!$C$21, $C$9, 100%, $E$9)</f>
        <v>11.610799999999999</v>
      </c>
      <c r="E443" s="10">
        <f>CHOOSE(CONTROL!$C$42, 11.6445, 11.6445) * CHOOSE(CONTROL!$C$21, $C$9, 100%, $E$9)</f>
        <v>11.644500000000001</v>
      </c>
      <c r="F443" s="10">
        <f>CHOOSE(CONTROL!$C$42, 11.562, 11.562)*CHOOSE(CONTROL!$C$21, $C$9, 100%, $E$9)</f>
        <v>11.561999999999999</v>
      </c>
      <c r="G443" s="10">
        <f>CHOOSE(CONTROL!$C$42, 11.58, 11.58)*CHOOSE(CONTROL!$C$21, $C$9, 100%, $E$9)</f>
        <v>11.58</v>
      </c>
      <c r="H443" s="10">
        <f>CHOOSE(CONTROL!$C$42, 11.6337, 11.6337) * CHOOSE(CONTROL!$C$21, $C$9, 100%, $E$9)</f>
        <v>11.633699999999999</v>
      </c>
      <c r="I443" s="10">
        <f>CHOOSE(CONTROL!$C$42, 11.5424, 11.5424)* CHOOSE(CONTROL!$C$21, $C$9, 100%, $E$9)</f>
        <v>11.542400000000001</v>
      </c>
      <c r="J443" s="10">
        <f>CHOOSE(CONTROL!$C$42, 11.555, 11.555)* CHOOSE(CONTROL!$C$21, $C$9, 100%, $E$9)</f>
        <v>11.555</v>
      </c>
      <c r="K443" s="54">
        <f>CHOOSE(CONTROL!$C$42, 11.5385, 11.5385) * CHOOSE(CONTROL!$C$21, $C$9, 100%, $E$9)</f>
        <v>11.538500000000001</v>
      </c>
      <c r="L443" s="10">
        <f>CHOOSE(CONTROL!$C$42, 12.2207, 12.2207) * CHOOSE(CONTROL!$C$21, $C$9, 100%, $E$9)</f>
        <v>12.220700000000001</v>
      </c>
      <c r="M443" s="10">
        <f>CHOOSE(CONTROL!$C$42, 11.4522, 11.4522) * CHOOSE(CONTROL!$C$21, $C$9, 100%, $E$9)</f>
        <v>11.452199999999999</v>
      </c>
      <c r="N443" s="10">
        <f>CHOOSE(CONTROL!$C$42, 11.47, 11.47) * CHOOSE(CONTROL!$C$21, $C$9, 100%, $E$9)</f>
        <v>11.47</v>
      </c>
      <c r="O443" s="10">
        <f>CHOOSE(CONTROL!$C$42, 11.5302, 11.5302) * CHOOSE(CONTROL!$C$21, $C$9, 100%, $E$9)</f>
        <v>11.530200000000001</v>
      </c>
      <c r="P443" s="10">
        <f>CHOOSE(CONTROL!$C$42, 11.4398, 11.4398) * CHOOSE(CONTROL!$C$21, $C$9, 100%, $E$9)</f>
        <v>11.4398</v>
      </c>
      <c r="Q443" s="10">
        <f>CHOOSE(CONTROL!$C$42, 12.1255, 12.1255) * CHOOSE(CONTROL!$C$21, $C$9, 100%, $E$9)</f>
        <v>12.125500000000001</v>
      </c>
      <c r="R443" s="10">
        <f>CHOOSE(CONTROL!$C$42, 12.7428, 12.7428) * CHOOSE(CONTROL!$C$21, $C$9, 100%, $E$9)</f>
        <v>12.742800000000001</v>
      </c>
      <c r="S443" s="10">
        <f>CHOOSE(CONTROL!$C$42, 11.2395, 11.2395) * CHOOSE(CONTROL!$C$21, $C$9, 100%, $E$9)</f>
        <v>11.2395</v>
      </c>
      <c r="T443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43" s="58">
        <f>(1000*CHOOSE(CONTROL!$C$42, 695, 695)*CHOOSE(CONTROL!$C$42, 0.5599, 0.5599)*CHOOSE(CONTROL!$C$42, 30, 30))/1000000</f>
        <v>11.673914999999997</v>
      </c>
      <c r="V443" s="58">
        <f>(1000*CHOOSE(CONTROL!$C$42, 500, 500)*CHOOSE(CONTROL!$C$42, 0.275, 0.275)*CHOOSE(CONTROL!$C$42, 30, 30))/1000000</f>
        <v>4.125</v>
      </c>
      <c r="W443" s="58">
        <f>(1000*CHOOSE(CONTROL!$C$42, 0.1146, 0.1146)*CHOOSE(CONTROL!$C$42, 121.5, 121.5)*CHOOSE(CONTROL!$C$42, 30, 30))/1000000</f>
        <v>0.417717</v>
      </c>
      <c r="X443" s="58">
        <f>(30*0.1790888*100000/1000000)+(30*0.2374*100000/1000000)</f>
        <v>1.2494664</v>
      </c>
      <c r="Y443" s="58"/>
      <c r="Z443" s="10"/>
      <c r="AA443" s="57"/>
      <c r="AB443" s="51">
        <f>(B443*122.58+C443*297.941+D443*89.177+E443*40.302+F443*40+G443*160+H443*0+I443*100+J443*300)/(122.58+297.941+89.177+40.302+0+40+160+100+300)</f>
        <v>11.574137265913043</v>
      </c>
      <c r="AC443" s="27">
        <f>(M443*'RAP TEMPLATE-GAS AVAILABILITY'!O442+N443*'RAP TEMPLATE-GAS AVAILABILITY'!P442+O443*'RAP TEMPLATE-GAS AVAILABILITY'!Q442+P443*'RAP TEMPLATE-GAS AVAILABILITY'!R442)/('RAP TEMPLATE-GAS AVAILABILITY'!O442+'RAP TEMPLATE-GAS AVAILABILITY'!P442+'RAP TEMPLATE-GAS AVAILABILITY'!Q442+'RAP TEMPLATE-GAS AVAILABILITY'!R442)</f>
        <v>11.486792805755396</v>
      </c>
    </row>
    <row r="444" spans="1:29" ht="15.75" x14ac:dyDescent="0.25">
      <c r="A444" s="14">
        <v>54788</v>
      </c>
      <c r="B444" s="10">
        <f>CHOOSE(CONTROL!$C$42, 12.3653, 12.3653) * CHOOSE(CONTROL!$C$21, $C$9, 100%, $E$9)</f>
        <v>12.3653</v>
      </c>
      <c r="C444" s="10">
        <f>CHOOSE(CONTROL!$C$42, 12.3702, 12.3702) * CHOOSE(CONTROL!$C$21, $C$9, 100%, $E$9)</f>
        <v>12.370200000000001</v>
      </c>
      <c r="D444" s="10">
        <f>CHOOSE(CONTROL!$C$42, 12.3998, 12.3998) * CHOOSE(CONTROL!$C$21, $C$9, 100%, $E$9)</f>
        <v>12.399800000000001</v>
      </c>
      <c r="E444" s="10">
        <f>CHOOSE(CONTROL!$C$42, 12.4336, 12.4336) * CHOOSE(CONTROL!$C$21, $C$9, 100%, $E$9)</f>
        <v>12.4336</v>
      </c>
      <c r="F444" s="10">
        <f>CHOOSE(CONTROL!$C$42, 12.3526, 12.3526)*CHOOSE(CONTROL!$C$21, $C$9, 100%, $E$9)</f>
        <v>12.352600000000001</v>
      </c>
      <c r="G444" s="10">
        <f>CHOOSE(CONTROL!$C$42, 12.371, 12.371)*CHOOSE(CONTROL!$C$21, $C$9, 100%, $E$9)</f>
        <v>12.371</v>
      </c>
      <c r="H444" s="10">
        <f>CHOOSE(CONTROL!$C$42, 12.4228, 12.4228) * CHOOSE(CONTROL!$C$21, $C$9, 100%, $E$9)</f>
        <v>12.422800000000001</v>
      </c>
      <c r="I444" s="10">
        <f>CHOOSE(CONTROL!$C$42, 12.3314, 12.3314)* CHOOSE(CONTROL!$C$21, $C$9, 100%, $E$9)</f>
        <v>12.3314</v>
      </c>
      <c r="J444" s="10">
        <f>CHOOSE(CONTROL!$C$42, 12.3456, 12.3456)* CHOOSE(CONTROL!$C$21, $C$9, 100%, $E$9)</f>
        <v>12.345599999999999</v>
      </c>
      <c r="K444" s="54">
        <f>CHOOSE(CONTROL!$C$42, 12.3275, 12.3275) * CHOOSE(CONTROL!$C$21, $C$9, 100%, $E$9)</f>
        <v>12.327500000000001</v>
      </c>
      <c r="L444" s="10">
        <f>CHOOSE(CONTROL!$C$42, 13.0098, 13.0098) * CHOOSE(CONTROL!$C$21, $C$9, 100%, $E$9)</f>
        <v>13.0098</v>
      </c>
      <c r="M444" s="10">
        <f>CHOOSE(CONTROL!$C$42, 12.2348, 12.2348) * CHOOSE(CONTROL!$C$21, $C$9, 100%, $E$9)</f>
        <v>12.2348</v>
      </c>
      <c r="N444" s="10">
        <f>CHOOSE(CONTROL!$C$42, 12.2531, 12.2531) * CHOOSE(CONTROL!$C$21, $C$9, 100%, $E$9)</f>
        <v>12.2531</v>
      </c>
      <c r="O444" s="10">
        <f>CHOOSE(CONTROL!$C$42, 12.3113, 12.3113) * CHOOSE(CONTROL!$C$21, $C$9, 100%, $E$9)</f>
        <v>12.311299999999999</v>
      </c>
      <c r="P444" s="10">
        <f>CHOOSE(CONTROL!$C$42, 12.2209, 12.2209) * CHOOSE(CONTROL!$C$21, $C$9, 100%, $E$9)</f>
        <v>12.2209</v>
      </c>
      <c r="Q444" s="10">
        <f>CHOOSE(CONTROL!$C$42, 12.9066, 12.9066) * CHOOSE(CONTROL!$C$21, $C$9, 100%, $E$9)</f>
        <v>12.906599999999999</v>
      </c>
      <c r="R444" s="10">
        <f>CHOOSE(CONTROL!$C$42, 13.5258, 13.5258) * CHOOSE(CONTROL!$C$21, $C$9, 100%, $E$9)</f>
        <v>13.5258</v>
      </c>
      <c r="S444" s="10">
        <f>CHOOSE(CONTROL!$C$42, 12.0058, 12.0058) * CHOOSE(CONTROL!$C$21, $C$9, 100%, $E$9)</f>
        <v>12.005800000000001</v>
      </c>
      <c r="T444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44" s="58">
        <f>(1000*CHOOSE(CONTROL!$C$42, 695, 695)*CHOOSE(CONTROL!$C$42, 0.5599, 0.5599)*CHOOSE(CONTROL!$C$42, 31, 31))/1000000</f>
        <v>12.063045499999998</v>
      </c>
      <c r="V444" s="58">
        <f>(1000*CHOOSE(CONTROL!$C$42, 500, 500)*CHOOSE(CONTROL!$C$42, 0.275, 0.275)*CHOOSE(CONTROL!$C$42, 31, 31))/1000000</f>
        <v>4.2625000000000002</v>
      </c>
      <c r="W444" s="58">
        <f>(1000*CHOOSE(CONTROL!$C$42, 0.1146, 0.1146)*CHOOSE(CONTROL!$C$42, 121.5, 121.5)*CHOOSE(CONTROL!$C$42, 31, 31))/1000000</f>
        <v>0.43164089999999994</v>
      </c>
      <c r="X444" s="58">
        <f>(31*0.1790888*100000/1000000)+(31*0.2374*100000/1000000)</f>
        <v>1.2911152800000001</v>
      </c>
      <c r="Y444" s="58"/>
      <c r="Z444" s="10"/>
      <c r="AA444" s="57"/>
      <c r="AB444" s="51">
        <f>(B444*122.58+C444*297.941+D444*89.177+E444*40.302+F444*40+G444*160+H444*0+I444*100+J444*300)/(122.58+297.941+89.177+40.302+0+40+160+100+300)</f>
        <v>12.363902733913042</v>
      </c>
      <c r="AC444" s="27">
        <f>(M444*'RAP TEMPLATE-GAS AVAILABILITY'!O443+N444*'RAP TEMPLATE-GAS AVAILABILITY'!P443+O444*'RAP TEMPLATE-GAS AVAILABILITY'!Q443+P444*'RAP TEMPLATE-GAS AVAILABILITY'!R443)/('RAP TEMPLATE-GAS AVAILABILITY'!O443+'RAP TEMPLATE-GAS AVAILABILITY'!P443+'RAP TEMPLATE-GAS AVAILABILITY'!Q443+'RAP TEMPLATE-GAS AVAILABILITY'!R443)</f>
        <v>12.268525899280576</v>
      </c>
    </row>
    <row r="445" spans="1:29" ht="15.75" x14ac:dyDescent="0.25">
      <c r="A445" s="14">
        <v>54819</v>
      </c>
      <c r="B445" s="10">
        <f>CHOOSE(CONTROL!$C$42, 13.1996, 13.1996) * CHOOSE(CONTROL!$C$21, $C$9, 100%, $E$9)</f>
        <v>13.1996</v>
      </c>
      <c r="C445" s="10">
        <f>CHOOSE(CONTROL!$C$42, 13.2046, 13.2046) * CHOOSE(CONTROL!$C$21, $C$9, 100%, $E$9)</f>
        <v>13.204599999999999</v>
      </c>
      <c r="D445" s="10">
        <f>CHOOSE(CONTROL!$C$42, 13.2548, 13.2548) * CHOOSE(CONTROL!$C$21, $C$9, 100%, $E$9)</f>
        <v>13.254799999999999</v>
      </c>
      <c r="E445" s="10">
        <f>CHOOSE(CONTROL!$C$42, 13.2886, 13.2886) * CHOOSE(CONTROL!$C$21, $C$9, 100%, $E$9)</f>
        <v>13.288600000000001</v>
      </c>
      <c r="F445" s="10">
        <f>CHOOSE(CONTROL!$C$42, 13.165, 13.165)*CHOOSE(CONTROL!$C$21, $C$9, 100%, $E$9)</f>
        <v>13.164999999999999</v>
      </c>
      <c r="G445" s="10">
        <f>CHOOSE(CONTROL!$C$42, 13.1826, 13.1826)*CHOOSE(CONTROL!$C$21, $C$9, 100%, $E$9)</f>
        <v>13.182600000000001</v>
      </c>
      <c r="H445" s="10">
        <f>CHOOSE(CONTROL!$C$42, 13.2778, 13.2778) * CHOOSE(CONTROL!$C$21, $C$9, 100%, $E$9)</f>
        <v>13.277799999999999</v>
      </c>
      <c r="I445" s="10">
        <f>CHOOSE(CONTROL!$C$42, 13.1735, 13.1735)* CHOOSE(CONTROL!$C$21, $C$9, 100%, $E$9)</f>
        <v>13.173500000000001</v>
      </c>
      <c r="J445" s="10">
        <f>CHOOSE(CONTROL!$C$42, 13.158, 13.158)* CHOOSE(CONTROL!$C$21, $C$9, 100%, $E$9)</f>
        <v>13.157999999999999</v>
      </c>
      <c r="K445" s="54">
        <f>CHOOSE(CONTROL!$C$42, 13.1696, 13.1696) * CHOOSE(CONTROL!$C$21, $C$9, 100%, $E$9)</f>
        <v>13.169600000000001</v>
      </c>
      <c r="L445" s="10">
        <f>CHOOSE(CONTROL!$C$42, 13.8648, 13.8648) * CHOOSE(CONTROL!$C$21, $C$9, 100%, $E$9)</f>
        <v>13.864800000000001</v>
      </c>
      <c r="M445" s="10">
        <f>CHOOSE(CONTROL!$C$42, 13.039, 13.039) * CHOOSE(CONTROL!$C$21, $C$9, 100%, $E$9)</f>
        <v>13.039</v>
      </c>
      <c r="N445" s="10">
        <f>CHOOSE(CONTROL!$C$42, 13.0564, 13.0564) * CHOOSE(CONTROL!$C$21, $C$9, 100%, $E$9)</f>
        <v>13.0564</v>
      </c>
      <c r="O445" s="10">
        <f>CHOOSE(CONTROL!$C$42, 13.1576, 13.1576) * CHOOSE(CONTROL!$C$21, $C$9, 100%, $E$9)</f>
        <v>13.1576</v>
      </c>
      <c r="P445" s="10">
        <f>CHOOSE(CONTROL!$C$42, 13.0545, 13.0545) * CHOOSE(CONTROL!$C$21, $C$9, 100%, $E$9)</f>
        <v>13.054500000000001</v>
      </c>
      <c r="Q445" s="10">
        <f>CHOOSE(CONTROL!$C$42, 13.7529, 13.7529) * CHOOSE(CONTROL!$C$21, $C$9, 100%, $E$9)</f>
        <v>13.7529</v>
      </c>
      <c r="R445" s="10">
        <f>CHOOSE(CONTROL!$C$42, 14.3743, 14.3743) * CHOOSE(CONTROL!$C$21, $C$9, 100%, $E$9)</f>
        <v>14.3743</v>
      </c>
      <c r="S445" s="10">
        <f>CHOOSE(CONTROL!$C$42, 12.816, 12.816) * CHOOSE(CONTROL!$C$21, $C$9, 100%, $E$9)</f>
        <v>12.816000000000001</v>
      </c>
      <c r="T445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45" s="58">
        <f>(1000*CHOOSE(CONTROL!$C$42, 695, 695)*CHOOSE(CONTROL!$C$42, 0.5599, 0.5599)*CHOOSE(CONTROL!$C$42, 31, 31))/1000000</f>
        <v>12.063045499999998</v>
      </c>
      <c r="V445" s="58">
        <f>(1000*CHOOSE(CONTROL!$C$42, 500, 500)*CHOOSE(CONTROL!$C$42, 0.275, 0.275)*CHOOSE(CONTROL!$C$42, 31, 31))/1000000</f>
        <v>4.2625000000000002</v>
      </c>
      <c r="W445" s="58">
        <f>(1000*CHOOSE(CONTROL!$C$42, 0.1146, 0.1146)*CHOOSE(CONTROL!$C$42, 121.5, 121.5)*CHOOSE(CONTROL!$C$42, 31, 31))/1000000</f>
        <v>0.43164089999999994</v>
      </c>
      <c r="X445" s="58">
        <f>(31*0.1790888*100000/1000000)+(31*0.2374*100000/1000000)</f>
        <v>1.2911152800000001</v>
      </c>
      <c r="Y445" s="58"/>
      <c r="Z445" s="10"/>
      <c r="AA445" s="57"/>
      <c r="AB445" s="51">
        <f>(B445*122.58+C445*297.941+D445*89.177+E445*40.302+F445*40+G445*160+H445*0+I445*100+J445*300)/(122.58+297.941+89.177+40.302+0+40+160+100+300)</f>
        <v>13.191604481217391</v>
      </c>
      <c r="AC445" s="27">
        <f>(M445*'RAP TEMPLATE-GAS AVAILABILITY'!O444+N445*'RAP TEMPLATE-GAS AVAILABILITY'!P444+O445*'RAP TEMPLATE-GAS AVAILABILITY'!Q444+P445*'RAP TEMPLATE-GAS AVAILABILITY'!R444)/('RAP TEMPLATE-GAS AVAILABILITY'!O444+'RAP TEMPLATE-GAS AVAILABILITY'!P444+'RAP TEMPLATE-GAS AVAILABILITY'!Q444+'RAP TEMPLATE-GAS AVAILABILITY'!R444)</f>
        <v>13.095985611510793</v>
      </c>
    </row>
    <row r="446" spans="1:29" ht="15.75" x14ac:dyDescent="0.25">
      <c r="A446" s="14">
        <v>54847</v>
      </c>
      <c r="B446" s="10">
        <f>CHOOSE(CONTROL!$C$42, 13.4346, 13.4346) * CHOOSE(CONTROL!$C$21, $C$9, 100%, $E$9)</f>
        <v>13.4346</v>
      </c>
      <c r="C446" s="10">
        <f>CHOOSE(CONTROL!$C$42, 13.4395, 13.4395) * CHOOSE(CONTROL!$C$21, $C$9, 100%, $E$9)</f>
        <v>13.439500000000001</v>
      </c>
      <c r="D446" s="10">
        <f>CHOOSE(CONTROL!$C$42, 13.5567, 13.5567) * CHOOSE(CONTROL!$C$21, $C$9, 100%, $E$9)</f>
        <v>13.556699999999999</v>
      </c>
      <c r="E446" s="10">
        <f>CHOOSE(CONTROL!$C$42, 13.5904, 13.5904) * CHOOSE(CONTROL!$C$21, $C$9, 100%, $E$9)</f>
        <v>13.590400000000001</v>
      </c>
      <c r="F446" s="10">
        <f>CHOOSE(CONTROL!$C$42, 13.5122, 13.5122)*CHOOSE(CONTROL!$C$21, $C$9, 100%, $E$9)</f>
        <v>13.5122</v>
      </c>
      <c r="G446" s="10">
        <f>CHOOSE(CONTROL!$C$42, 13.5341, 13.5341)*CHOOSE(CONTROL!$C$21, $C$9, 100%, $E$9)</f>
        <v>13.5341</v>
      </c>
      <c r="H446" s="10">
        <f>CHOOSE(CONTROL!$C$42, 13.5796, 13.5796) * CHOOSE(CONTROL!$C$21, $C$9, 100%, $E$9)</f>
        <v>13.579599999999999</v>
      </c>
      <c r="I446" s="10">
        <f>CHOOSE(CONTROL!$C$42, 13.4702, 13.4702)* CHOOSE(CONTROL!$C$21, $C$9, 100%, $E$9)</f>
        <v>13.4702</v>
      </c>
      <c r="J446" s="10">
        <f>CHOOSE(CONTROL!$C$42, 13.5052, 13.5052)* CHOOSE(CONTROL!$C$21, $C$9, 100%, $E$9)</f>
        <v>13.5052</v>
      </c>
      <c r="K446" s="54">
        <f>CHOOSE(CONTROL!$C$42, 13.4664, 13.4664) * CHOOSE(CONTROL!$C$21, $C$9, 100%, $E$9)</f>
        <v>13.4664</v>
      </c>
      <c r="L446" s="10">
        <f>CHOOSE(CONTROL!$C$42, 14.1666, 14.1666) * CHOOSE(CONTROL!$C$21, $C$9, 100%, $E$9)</f>
        <v>14.166600000000001</v>
      </c>
      <c r="M446" s="10">
        <f>CHOOSE(CONTROL!$C$42, 13.3827, 13.3827) * CHOOSE(CONTROL!$C$21, $C$9, 100%, $E$9)</f>
        <v>13.3827</v>
      </c>
      <c r="N446" s="10">
        <f>CHOOSE(CONTROL!$C$42, 13.4044, 13.4044) * CHOOSE(CONTROL!$C$21, $C$9, 100%, $E$9)</f>
        <v>13.404400000000001</v>
      </c>
      <c r="O446" s="10">
        <f>CHOOSE(CONTROL!$C$42, 13.4564, 13.4564) * CHOOSE(CONTROL!$C$21, $C$9, 100%, $E$9)</f>
        <v>13.4564</v>
      </c>
      <c r="P446" s="10">
        <f>CHOOSE(CONTROL!$C$42, 13.3482, 13.3482) * CHOOSE(CONTROL!$C$21, $C$9, 100%, $E$9)</f>
        <v>13.3482</v>
      </c>
      <c r="Q446" s="10">
        <f>CHOOSE(CONTROL!$C$42, 14.0517, 14.0517) * CHOOSE(CONTROL!$C$21, $C$9, 100%, $E$9)</f>
        <v>14.0517</v>
      </c>
      <c r="R446" s="10">
        <f>CHOOSE(CONTROL!$C$42, 14.6738, 14.6738) * CHOOSE(CONTROL!$C$21, $C$9, 100%, $E$9)</f>
        <v>14.6738</v>
      </c>
      <c r="S446" s="10">
        <f>CHOOSE(CONTROL!$C$42, 13.0442, 13.0442) * CHOOSE(CONTROL!$C$21, $C$9, 100%, $E$9)</f>
        <v>13.0442</v>
      </c>
      <c r="T446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446" s="58">
        <f>(1000*CHOOSE(CONTROL!$C$42, 695, 695)*CHOOSE(CONTROL!$C$42, 0.5599, 0.5599)*CHOOSE(CONTROL!$C$42, 28, 28))/1000000</f>
        <v>10.895653999999999</v>
      </c>
      <c r="V446" s="58">
        <f>(1000*CHOOSE(CONTROL!$C$42, 500, 500)*CHOOSE(CONTROL!$C$42, 0.275, 0.275)*CHOOSE(CONTROL!$C$42, 28, 28))/1000000</f>
        <v>3.85</v>
      </c>
      <c r="W446" s="58">
        <f>(1000*CHOOSE(CONTROL!$C$42, 0.1146, 0.1146)*CHOOSE(CONTROL!$C$42, 121.5, 121.5)*CHOOSE(CONTROL!$C$42, 28, 28))/1000000</f>
        <v>0.38986920000000003</v>
      </c>
      <c r="X446" s="58">
        <f>(28*0.1790888*100000/1000000)+(28*0.2374*100000/1000000)</f>
        <v>1.16616864</v>
      </c>
      <c r="Y446" s="58"/>
      <c r="Z446" s="10"/>
      <c r="AA446" s="57"/>
      <c r="AB446" s="51">
        <f>(B446*122.58+C446*297.941+D446*89.177+E446*40.302+F446*40+G446*160+H446*0+I446*100+J446*300)/(122.58+297.941+89.177+40.302+0+40+160+100+300)</f>
        <v>13.488853455826087</v>
      </c>
      <c r="AC446" s="27">
        <f>(M446*'RAP TEMPLATE-GAS AVAILABILITY'!O445+N446*'RAP TEMPLATE-GAS AVAILABILITY'!P445+O446*'RAP TEMPLATE-GAS AVAILABILITY'!Q445+P446*'RAP TEMPLATE-GAS AVAILABILITY'!R445)/('RAP TEMPLATE-GAS AVAILABILITY'!O445+'RAP TEMPLATE-GAS AVAILABILITY'!P445+'RAP TEMPLATE-GAS AVAILABILITY'!Q445+'RAP TEMPLATE-GAS AVAILABILITY'!R445)</f>
        <v>13.412388489208634</v>
      </c>
    </row>
    <row r="447" spans="1:29" ht="15.75" x14ac:dyDescent="0.25">
      <c r="A447" s="14">
        <v>54878</v>
      </c>
      <c r="B447" s="10">
        <f>CHOOSE(CONTROL!$C$42, 13.0532, 13.0532) * CHOOSE(CONTROL!$C$21, $C$9, 100%, $E$9)</f>
        <v>13.0532</v>
      </c>
      <c r="C447" s="10">
        <f>CHOOSE(CONTROL!$C$42, 13.0582, 13.0582) * CHOOSE(CONTROL!$C$21, $C$9, 100%, $E$9)</f>
        <v>13.058199999999999</v>
      </c>
      <c r="D447" s="10">
        <f>CHOOSE(CONTROL!$C$42, 13.1496, 13.1496) * CHOOSE(CONTROL!$C$21, $C$9, 100%, $E$9)</f>
        <v>13.1496</v>
      </c>
      <c r="E447" s="10">
        <f>CHOOSE(CONTROL!$C$42, 13.1834, 13.1834) * CHOOSE(CONTROL!$C$21, $C$9, 100%, $E$9)</f>
        <v>13.183400000000001</v>
      </c>
      <c r="F447" s="10">
        <f>CHOOSE(CONTROL!$C$42, 13.0831, 13.0831)*CHOOSE(CONTROL!$C$21, $C$9, 100%, $E$9)</f>
        <v>13.0831</v>
      </c>
      <c r="G447" s="10">
        <f>CHOOSE(CONTROL!$C$42, 13.1026, 13.1026)*CHOOSE(CONTROL!$C$21, $C$9, 100%, $E$9)</f>
        <v>13.102600000000001</v>
      </c>
      <c r="H447" s="10">
        <f>CHOOSE(CONTROL!$C$42, 13.1725, 13.1725) * CHOOSE(CONTROL!$C$21, $C$9, 100%, $E$9)</f>
        <v>13.172499999999999</v>
      </c>
      <c r="I447" s="10">
        <f>CHOOSE(CONTROL!$C$42, 13.076, 13.076)* CHOOSE(CONTROL!$C$21, $C$9, 100%, $E$9)</f>
        <v>13.076000000000001</v>
      </c>
      <c r="J447" s="10">
        <f>CHOOSE(CONTROL!$C$42, 13.0761, 13.0761)* CHOOSE(CONTROL!$C$21, $C$9, 100%, $E$9)</f>
        <v>13.0761</v>
      </c>
      <c r="K447" s="54">
        <f>CHOOSE(CONTROL!$C$42, 13.0721, 13.0721) * CHOOSE(CONTROL!$C$21, $C$9, 100%, $E$9)</f>
        <v>13.072100000000001</v>
      </c>
      <c r="L447" s="10">
        <f>CHOOSE(CONTROL!$C$42, 13.7595, 13.7595) * CHOOSE(CONTROL!$C$21, $C$9, 100%, $E$9)</f>
        <v>13.759499999999999</v>
      </c>
      <c r="M447" s="10">
        <f>CHOOSE(CONTROL!$C$42, 12.9579, 12.9579) * CHOOSE(CONTROL!$C$21, $C$9, 100%, $E$9)</f>
        <v>12.9579</v>
      </c>
      <c r="N447" s="10">
        <f>CHOOSE(CONTROL!$C$42, 12.9772, 12.9772) * CHOOSE(CONTROL!$C$21, $C$9, 100%, $E$9)</f>
        <v>12.9772</v>
      </c>
      <c r="O447" s="10">
        <f>CHOOSE(CONTROL!$C$42, 13.0534, 13.0534) * CHOOSE(CONTROL!$C$21, $C$9, 100%, $E$9)</f>
        <v>13.0534</v>
      </c>
      <c r="P447" s="10">
        <f>CHOOSE(CONTROL!$C$42, 12.9579, 12.9579) * CHOOSE(CONTROL!$C$21, $C$9, 100%, $E$9)</f>
        <v>12.9579</v>
      </c>
      <c r="Q447" s="10">
        <f>CHOOSE(CONTROL!$C$42, 13.6487, 13.6487) * CHOOSE(CONTROL!$C$21, $C$9, 100%, $E$9)</f>
        <v>13.6487</v>
      </c>
      <c r="R447" s="10">
        <f>CHOOSE(CONTROL!$C$42, 14.2699, 14.2699) * CHOOSE(CONTROL!$C$21, $C$9, 100%, $E$9)</f>
        <v>14.2699</v>
      </c>
      <c r="S447" s="10">
        <f>CHOOSE(CONTROL!$C$42, 12.6739, 12.6739) * CHOOSE(CONTROL!$C$21, $C$9, 100%, $E$9)</f>
        <v>12.6739</v>
      </c>
      <c r="T447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447" s="58">
        <f>(1000*CHOOSE(CONTROL!$C$42, 695, 695)*CHOOSE(CONTROL!$C$42, 0.5599, 0.5599)*CHOOSE(CONTROL!$C$42, 31, 31))/1000000</f>
        <v>12.063045499999998</v>
      </c>
      <c r="V447" s="58">
        <f>(1000*CHOOSE(CONTROL!$C$42, 500, 500)*CHOOSE(CONTROL!$C$42, 0.275, 0.275)*CHOOSE(CONTROL!$C$42, 31, 31))/1000000</f>
        <v>4.2625000000000002</v>
      </c>
      <c r="W447" s="58">
        <f>(1000*CHOOSE(CONTROL!$C$42, 0.1146, 0.1146)*CHOOSE(CONTROL!$C$42, 121.5, 121.5)*CHOOSE(CONTROL!$C$42, 31, 31))/1000000</f>
        <v>0.43164089999999994</v>
      </c>
      <c r="X447" s="58">
        <f>(31*0.1790888*100000/1000000)+(31*0.2374*100000/1000000)</f>
        <v>1.2911152800000001</v>
      </c>
      <c r="Y447" s="58"/>
      <c r="Z447" s="10"/>
      <c r="AA447" s="57"/>
      <c r="AB447" s="51">
        <f>(B447*122.58+C447*297.941+D447*89.177+E447*40.302+F447*40+G447*160+H447*0+I447*100+J447*300)/(122.58+297.941+89.177+40.302+0+40+160+100+300)</f>
        <v>13.082403207130435</v>
      </c>
      <c r="AC447" s="27">
        <f>(M447*'RAP TEMPLATE-GAS AVAILABILITY'!O446+N447*'RAP TEMPLATE-GAS AVAILABILITY'!P446+O447*'RAP TEMPLATE-GAS AVAILABILITY'!Q446+P447*'RAP TEMPLATE-GAS AVAILABILITY'!R446)/('RAP TEMPLATE-GAS AVAILABILITY'!O446+'RAP TEMPLATE-GAS AVAILABILITY'!P446+'RAP TEMPLATE-GAS AVAILABILITY'!Q446+'RAP TEMPLATE-GAS AVAILABILITY'!R446)</f>
        <v>13.002294964028779</v>
      </c>
    </row>
    <row r="448" spans="1:29" ht="15.75" x14ac:dyDescent="0.25">
      <c r="A448" s="14">
        <v>54908</v>
      </c>
      <c r="B448" s="10">
        <f>CHOOSE(CONTROL!$C$42, 13.0149, 13.0149) * CHOOSE(CONTROL!$C$21, $C$9, 100%, $E$9)</f>
        <v>13.014900000000001</v>
      </c>
      <c r="C448" s="10">
        <f>CHOOSE(CONTROL!$C$42, 13.0193, 13.0193) * CHOOSE(CONTROL!$C$21, $C$9, 100%, $E$9)</f>
        <v>13.019299999999999</v>
      </c>
      <c r="D448" s="10">
        <f>CHOOSE(CONTROL!$C$42, 13.201, 13.201) * CHOOSE(CONTROL!$C$21, $C$9, 100%, $E$9)</f>
        <v>13.201000000000001</v>
      </c>
      <c r="E448" s="10">
        <f>CHOOSE(CONTROL!$C$42, 13.2328, 13.2328) * CHOOSE(CONTROL!$C$21, $C$9, 100%, $E$9)</f>
        <v>13.232799999999999</v>
      </c>
      <c r="F448" s="10">
        <f>CHOOSE(CONTROL!$C$42, 13.0033, 13.0033)*CHOOSE(CONTROL!$C$21, $C$9, 100%, $E$9)</f>
        <v>13.003299999999999</v>
      </c>
      <c r="G448" s="10">
        <f>CHOOSE(CONTROL!$C$42, 13.0212, 13.0212)*CHOOSE(CONTROL!$C$21, $C$9, 100%, $E$9)</f>
        <v>13.0212</v>
      </c>
      <c r="H448" s="10">
        <f>CHOOSE(CONTROL!$C$42, 13.2225, 13.2225) * CHOOSE(CONTROL!$C$21, $C$9, 100%, $E$9)</f>
        <v>13.2225</v>
      </c>
      <c r="I448" s="10">
        <f>CHOOSE(CONTROL!$C$42, 12.9932, 12.9932)* CHOOSE(CONTROL!$C$21, $C$9, 100%, $E$9)</f>
        <v>12.9932</v>
      </c>
      <c r="J448" s="10">
        <f>CHOOSE(CONTROL!$C$42, 12.9963, 12.9963)* CHOOSE(CONTROL!$C$21, $C$9, 100%, $E$9)</f>
        <v>12.9963</v>
      </c>
      <c r="K448" s="54">
        <f>CHOOSE(CONTROL!$C$42, 12.9893, 12.9893) * CHOOSE(CONTROL!$C$21, $C$9, 100%, $E$9)</f>
        <v>12.9893</v>
      </c>
      <c r="L448" s="10">
        <f>CHOOSE(CONTROL!$C$42, 13.8095, 13.8095) * CHOOSE(CONTROL!$C$21, $C$9, 100%, $E$9)</f>
        <v>13.8095</v>
      </c>
      <c r="M448" s="10">
        <f>CHOOSE(CONTROL!$C$42, 12.8789, 12.8789) * CHOOSE(CONTROL!$C$21, $C$9, 100%, $E$9)</f>
        <v>12.8789</v>
      </c>
      <c r="N448" s="10">
        <f>CHOOSE(CONTROL!$C$42, 12.8967, 12.8967) * CHOOSE(CONTROL!$C$21, $C$9, 100%, $E$9)</f>
        <v>12.896699999999999</v>
      </c>
      <c r="O448" s="10">
        <f>CHOOSE(CONTROL!$C$42, 13.1029, 13.1029) * CHOOSE(CONTROL!$C$21, $C$9, 100%, $E$9)</f>
        <v>13.1029</v>
      </c>
      <c r="P448" s="10">
        <f>CHOOSE(CONTROL!$C$42, 12.8759, 12.8759) * CHOOSE(CONTROL!$C$21, $C$9, 100%, $E$9)</f>
        <v>12.8759</v>
      </c>
      <c r="Q448" s="10">
        <f>CHOOSE(CONTROL!$C$42, 13.6982, 13.6982) * CHOOSE(CONTROL!$C$21, $C$9, 100%, $E$9)</f>
        <v>13.6982</v>
      </c>
      <c r="R448" s="10">
        <f>CHOOSE(CONTROL!$C$42, 14.3195, 14.3195) * CHOOSE(CONTROL!$C$21, $C$9, 100%, $E$9)</f>
        <v>14.3195</v>
      </c>
      <c r="S448" s="10">
        <f>CHOOSE(CONTROL!$C$42, 12.6359, 12.6359) * CHOOSE(CONTROL!$C$21, $C$9, 100%, $E$9)</f>
        <v>12.635899999999999</v>
      </c>
      <c r="T448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48" s="58">
        <f>(1000*CHOOSE(CONTROL!$C$42, 695, 695)*CHOOSE(CONTROL!$C$42, 0.5599, 0.5599)*CHOOSE(CONTROL!$C$42, 30, 30))/1000000</f>
        <v>11.673914999999997</v>
      </c>
      <c r="V448" s="58">
        <f>(1000*CHOOSE(CONTROL!$C$42, 500, 500)*CHOOSE(CONTROL!$C$42, 0.275, 0.275)*CHOOSE(CONTROL!$C$42, 30, 30))/1000000</f>
        <v>4.125</v>
      </c>
      <c r="W448" s="58">
        <f>(1000*CHOOSE(CONTROL!$C$42, 0.1146, 0.1146)*CHOOSE(CONTROL!$C$42, 121.5, 121.5)*CHOOSE(CONTROL!$C$42, 30, 30))/1000000</f>
        <v>0.417717</v>
      </c>
      <c r="X448" s="58">
        <f>(30*0.1790888*245000/1000000)+(30*0.2374*100000/1000000)</f>
        <v>2.0285026799999999</v>
      </c>
      <c r="Y448" s="58"/>
      <c r="Z448" s="10"/>
      <c r="AA448" s="57"/>
      <c r="AB448" s="51">
        <f>(B448*141.293+C448*267.993+D448*115.016+E448*89.698+F448*40+G448*185+H448*0+I448*100+J448*300)/(141.293+267.993+115.016+89.698+0+40+185+100+300)</f>
        <v>13.043213430992736</v>
      </c>
      <c r="AC448" s="27">
        <f>(M448*'RAP TEMPLATE-GAS AVAILABILITY'!O447+N448*'RAP TEMPLATE-GAS AVAILABILITY'!P447+O448*'RAP TEMPLATE-GAS AVAILABILITY'!Q447+P448*'RAP TEMPLATE-GAS AVAILABILITY'!R447)/('RAP TEMPLATE-GAS AVAILABILITY'!O447+'RAP TEMPLATE-GAS AVAILABILITY'!P447+'RAP TEMPLATE-GAS AVAILABILITY'!Q447+'RAP TEMPLATE-GAS AVAILABILITY'!R447)</f>
        <v>12.94541510791367</v>
      </c>
    </row>
    <row r="449" spans="1:29" ht="15.75" x14ac:dyDescent="0.25">
      <c r="A449" s="14">
        <v>54939</v>
      </c>
      <c r="B449" s="10">
        <f>CHOOSE(CONTROL!$C$42, 13.1316, 13.1316) * CHOOSE(CONTROL!$C$21, $C$9, 100%, $E$9)</f>
        <v>13.131600000000001</v>
      </c>
      <c r="C449" s="10">
        <f>CHOOSE(CONTROL!$C$42, 13.1395, 13.1395) * CHOOSE(CONTROL!$C$21, $C$9, 100%, $E$9)</f>
        <v>13.1395</v>
      </c>
      <c r="D449" s="10">
        <f>CHOOSE(CONTROL!$C$42, 13.318, 13.318) * CHOOSE(CONTROL!$C$21, $C$9, 100%, $E$9)</f>
        <v>13.318</v>
      </c>
      <c r="E449" s="10">
        <f>CHOOSE(CONTROL!$C$42, 13.3491, 13.3491) * CHOOSE(CONTROL!$C$21, $C$9, 100%, $E$9)</f>
        <v>13.3491</v>
      </c>
      <c r="F449" s="10">
        <f>CHOOSE(CONTROL!$C$42, 13.1177, 13.1177)*CHOOSE(CONTROL!$C$21, $C$9, 100%, $E$9)</f>
        <v>13.117699999999999</v>
      </c>
      <c r="G449" s="10">
        <f>CHOOSE(CONTROL!$C$42, 13.1359, 13.1359)*CHOOSE(CONTROL!$C$21, $C$9, 100%, $E$9)</f>
        <v>13.135899999999999</v>
      </c>
      <c r="H449" s="10">
        <f>CHOOSE(CONTROL!$C$42, 13.3378, 13.3378) * CHOOSE(CONTROL!$C$21, $C$9, 100%, $E$9)</f>
        <v>13.3378</v>
      </c>
      <c r="I449" s="10">
        <f>CHOOSE(CONTROL!$C$42, 13.1084, 13.1084)* CHOOSE(CONTROL!$C$21, $C$9, 100%, $E$9)</f>
        <v>13.1084</v>
      </c>
      <c r="J449" s="10">
        <f>CHOOSE(CONTROL!$C$42, 13.1107, 13.1107)* CHOOSE(CONTROL!$C$21, $C$9, 100%, $E$9)</f>
        <v>13.1107</v>
      </c>
      <c r="K449" s="54">
        <f>CHOOSE(CONTROL!$C$42, 13.1045, 13.1045) * CHOOSE(CONTROL!$C$21, $C$9, 100%, $E$9)</f>
        <v>13.1045</v>
      </c>
      <c r="L449" s="10">
        <f>CHOOSE(CONTROL!$C$42, 13.9248, 13.9248) * CHOOSE(CONTROL!$C$21, $C$9, 100%, $E$9)</f>
        <v>13.924799999999999</v>
      </c>
      <c r="M449" s="10">
        <f>CHOOSE(CONTROL!$C$42, 12.9923, 12.9923) * CHOOSE(CONTROL!$C$21, $C$9, 100%, $E$9)</f>
        <v>12.9923</v>
      </c>
      <c r="N449" s="10">
        <f>CHOOSE(CONTROL!$C$42, 13.0102, 13.0102) * CHOOSE(CONTROL!$C$21, $C$9, 100%, $E$9)</f>
        <v>13.010199999999999</v>
      </c>
      <c r="O449" s="10">
        <f>CHOOSE(CONTROL!$C$42, 13.217, 13.217) * CHOOSE(CONTROL!$C$21, $C$9, 100%, $E$9)</f>
        <v>13.217000000000001</v>
      </c>
      <c r="P449" s="10">
        <f>CHOOSE(CONTROL!$C$42, 12.99, 12.99) * CHOOSE(CONTROL!$C$21, $C$9, 100%, $E$9)</f>
        <v>12.99</v>
      </c>
      <c r="Q449" s="10">
        <f>CHOOSE(CONTROL!$C$42, 13.8123, 13.8123) * CHOOSE(CONTROL!$C$21, $C$9, 100%, $E$9)</f>
        <v>13.8123</v>
      </c>
      <c r="R449" s="10">
        <f>CHOOSE(CONTROL!$C$42, 14.4338, 14.4338) * CHOOSE(CONTROL!$C$21, $C$9, 100%, $E$9)</f>
        <v>14.4338</v>
      </c>
      <c r="S449" s="10">
        <f>CHOOSE(CONTROL!$C$42, 12.7478, 12.7478) * CHOOSE(CONTROL!$C$21, $C$9, 100%, $E$9)</f>
        <v>12.7478</v>
      </c>
      <c r="T449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49" s="58">
        <f>(1000*CHOOSE(CONTROL!$C$42, 695, 695)*CHOOSE(CONTROL!$C$42, 0.5599, 0.5599)*CHOOSE(CONTROL!$C$42, 31, 31))/1000000</f>
        <v>12.063045499999998</v>
      </c>
      <c r="V449" s="58">
        <f>(1000*CHOOSE(CONTROL!$C$42, 500, 500)*CHOOSE(CONTROL!$C$42, 0.275, 0.275)*CHOOSE(CONTROL!$C$42, 31, 31))/1000000</f>
        <v>4.2625000000000002</v>
      </c>
      <c r="W449" s="58">
        <f>(1000*CHOOSE(CONTROL!$C$42, 0.1146, 0.1146)*CHOOSE(CONTROL!$C$42, 121.5, 121.5)*CHOOSE(CONTROL!$C$42, 31, 31))/1000000</f>
        <v>0.43164089999999994</v>
      </c>
      <c r="X449" s="58">
        <f>(31*0.1790888*245000/1000000)+(31*0.2374*100000/1000000)</f>
        <v>2.0961194359999999</v>
      </c>
      <c r="Y449" s="58"/>
      <c r="Z449" s="10"/>
      <c r="AA449" s="57"/>
      <c r="AB449" s="51">
        <f>(B449*194.205+C449*267.466+D449*133.845+E449*53.484+F449*40+G449*185+H449*0+I449*100+J449*300)/(194.205+267.466+133.845+53.484+0+40+185+100+300)</f>
        <v>13.155417864521194</v>
      </c>
      <c r="AC449" s="27">
        <f>(M449*'RAP TEMPLATE-GAS AVAILABILITY'!O448+N449*'RAP TEMPLATE-GAS AVAILABILITY'!P448+O449*'RAP TEMPLATE-GAS AVAILABILITY'!Q448+P449*'RAP TEMPLATE-GAS AVAILABILITY'!R448)/('RAP TEMPLATE-GAS AVAILABILITY'!O448+'RAP TEMPLATE-GAS AVAILABILITY'!P448+'RAP TEMPLATE-GAS AVAILABILITY'!Q448+'RAP TEMPLATE-GAS AVAILABILITY'!R448)</f>
        <v>13.059135251798562</v>
      </c>
    </row>
    <row r="450" spans="1:29" ht="15.75" x14ac:dyDescent="0.25">
      <c r="A450" s="14">
        <v>54969</v>
      </c>
      <c r="B450" s="10">
        <f>CHOOSE(CONTROL!$C$42, 13.5039, 13.5039) * CHOOSE(CONTROL!$C$21, $C$9, 100%, $E$9)</f>
        <v>13.5039</v>
      </c>
      <c r="C450" s="10">
        <f>CHOOSE(CONTROL!$C$42, 13.5118, 13.5118) * CHOOSE(CONTROL!$C$21, $C$9, 100%, $E$9)</f>
        <v>13.511799999999999</v>
      </c>
      <c r="D450" s="10">
        <f>CHOOSE(CONTROL!$C$42, 13.6903, 13.6903) * CHOOSE(CONTROL!$C$21, $C$9, 100%, $E$9)</f>
        <v>13.690300000000001</v>
      </c>
      <c r="E450" s="10">
        <f>CHOOSE(CONTROL!$C$42, 13.7215, 13.7215) * CHOOSE(CONTROL!$C$21, $C$9, 100%, $E$9)</f>
        <v>13.721500000000001</v>
      </c>
      <c r="F450" s="10">
        <f>CHOOSE(CONTROL!$C$42, 13.4903, 13.4903)*CHOOSE(CONTROL!$C$21, $C$9, 100%, $E$9)</f>
        <v>13.4903</v>
      </c>
      <c r="G450" s="10">
        <f>CHOOSE(CONTROL!$C$42, 13.5086, 13.5086)*CHOOSE(CONTROL!$C$21, $C$9, 100%, $E$9)</f>
        <v>13.508599999999999</v>
      </c>
      <c r="H450" s="10">
        <f>CHOOSE(CONTROL!$C$42, 13.7101, 13.7101) * CHOOSE(CONTROL!$C$21, $C$9, 100%, $E$9)</f>
        <v>13.710100000000001</v>
      </c>
      <c r="I450" s="10">
        <f>CHOOSE(CONTROL!$C$42, 13.4808, 13.4808)* CHOOSE(CONTROL!$C$21, $C$9, 100%, $E$9)</f>
        <v>13.4808</v>
      </c>
      <c r="J450" s="10">
        <f>CHOOSE(CONTROL!$C$42, 13.4833, 13.4833)* CHOOSE(CONTROL!$C$21, $C$9, 100%, $E$9)</f>
        <v>13.4833</v>
      </c>
      <c r="K450" s="54">
        <f>CHOOSE(CONTROL!$C$42, 13.4769, 13.4769) * CHOOSE(CONTROL!$C$21, $C$9, 100%, $E$9)</f>
        <v>13.476900000000001</v>
      </c>
      <c r="L450" s="10">
        <f>CHOOSE(CONTROL!$C$42, 14.2971, 14.2971) * CHOOSE(CONTROL!$C$21, $C$9, 100%, $E$9)</f>
        <v>14.2971</v>
      </c>
      <c r="M450" s="10">
        <f>CHOOSE(CONTROL!$C$42, 13.3611, 13.3611) * CHOOSE(CONTROL!$C$21, $C$9, 100%, $E$9)</f>
        <v>13.3611</v>
      </c>
      <c r="N450" s="10">
        <f>CHOOSE(CONTROL!$C$42, 13.3791, 13.3791) * CHOOSE(CONTROL!$C$21, $C$9, 100%, $E$9)</f>
        <v>13.379099999999999</v>
      </c>
      <c r="O450" s="10">
        <f>CHOOSE(CONTROL!$C$42, 13.5856, 13.5856) * CHOOSE(CONTROL!$C$21, $C$9, 100%, $E$9)</f>
        <v>13.585599999999999</v>
      </c>
      <c r="P450" s="10">
        <f>CHOOSE(CONTROL!$C$42, 13.3586, 13.3586) * CHOOSE(CONTROL!$C$21, $C$9, 100%, $E$9)</f>
        <v>13.358599999999999</v>
      </c>
      <c r="Q450" s="10">
        <f>CHOOSE(CONTROL!$C$42, 14.1809, 14.1809) * CHOOSE(CONTROL!$C$21, $C$9, 100%, $E$9)</f>
        <v>14.180899999999999</v>
      </c>
      <c r="R450" s="10">
        <f>CHOOSE(CONTROL!$C$42, 14.8033, 14.8033) * CHOOSE(CONTROL!$C$21, $C$9, 100%, $E$9)</f>
        <v>14.8033</v>
      </c>
      <c r="S450" s="10">
        <f>CHOOSE(CONTROL!$C$42, 13.1094, 13.1094) * CHOOSE(CONTROL!$C$21, $C$9, 100%, $E$9)</f>
        <v>13.109400000000001</v>
      </c>
      <c r="T450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50" s="58">
        <f>(1000*CHOOSE(CONTROL!$C$42, 695, 695)*CHOOSE(CONTROL!$C$42, 0.5599, 0.5599)*CHOOSE(CONTROL!$C$42, 30, 30))/1000000</f>
        <v>11.673914999999997</v>
      </c>
      <c r="V450" s="58">
        <f>(1000*CHOOSE(CONTROL!$C$42, 500, 500)*CHOOSE(CONTROL!$C$42, 0.275, 0.275)*CHOOSE(CONTROL!$C$42, 30, 30))/1000000</f>
        <v>4.125</v>
      </c>
      <c r="W450" s="58">
        <f>(1000*CHOOSE(CONTROL!$C$42, 0.1146, 0.1146)*CHOOSE(CONTROL!$C$42, 121.5, 121.5)*CHOOSE(CONTROL!$C$42, 30, 30))/1000000</f>
        <v>0.417717</v>
      </c>
      <c r="X450" s="58">
        <f>(30*0.1790888*245000/1000000)+(30*0.2374*100000/1000000)</f>
        <v>2.0285026799999999</v>
      </c>
      <c r="Y450" s="58"/>
      <c r="Z450" s="10"/>
      <c r="AA450" s="57"/>
      <c r="AB450" s="51">
        <f>(B450*194.205+C450*267.466+D450*133.845+E450*53.484+F450*40+G450*185+H450*0+I450*100+J450*300)/(194.205+267.466+133.845+53.484+0+40+185+100+300)</f>
        <v>13.527868059497644</v>
      </c>
      <c r="AC450" s="27">
        <f>(M450*'RAP TEMPLATE-GAS AVAILABILITY'!O449+N450*'RAP TEMPLATE-GAS AVAILABILITY'!P449+O450*'RAP TEMPLATE-GAS AVAILABILITY'!Q449+P450*'RAP TEMPLATE-GAS AVAILABILITY'!R449)/('RAP TEMPLATE-GAS AVAILABILITY'!O449+'RAP TEMPLATE-GAS AVAILABILITY'!P449+'RAP TEMPLATE-GAS AVAILABILITY'!Q449+'RAP TEMPLATE-GAS AVAILABILITY'!R449)</f>
        <v>13.427873381294964</v>
      </c>
    </row>
    <row r="451" spans="1:29" ht="15.75" x14ac:dyDescent="0.25">
      <c r="A451" s="14">
        <v>55000</v>
      </c>
      <c r="B451" s="10">
        <f>CHOOSE(CONTROL!$C$42, 13.2449, 13.2449) * CHOOSE(CONTROL!$C$21, $C$9, 100%, $E$9)</f>
        <v>13.244899999999999</v>
      </c>
      <c r="C451" s="10">
        <f>CHOOSE(CONTROL!$C$42, 13.2529, 13.2529) * CHOOSE(CONTROL!$C$21, $C$9, 100%, $E$9)</f>
        <v>13.2529</v>
      </c>
      <c r="D451" s="10">
        <f>CHOOSE(CONTROL!$C$42, 13.4314, 13.4314) * CHOOSE(CONTROL!$C$21, $C$9, 100%, $E$9)</f>
        <v>13.4314</v>
      </c>
      <c r="E451" s="10">
        <f>CHOOSE(CONTROL!$C$42, 13.4625, 13.4625) * CHOOSE(CONTROL!$C$21, $C$9, 100%, $E$9)</f>
        <v>13.4625</v>
      </c>
      <c r="F451" s="10">
        <f>CHOOSE(CONTROL!$C$42, 13.2316, 13.2316)*CHOOSE(CONTROL!$C$21, $C$9, 100%, $E$9)</f>
        <v>13.2316</v>
      </c>
      <c r="G451" s="10">
        <f>CHOOSE(CONTROL!$C$42, 13.25, 13.25)*CHOOSE(CONTROL!$C$21, $C$9, 100%, $E$9)</f>
        <v>13.25</v>
      </c>
      <c r="H451" s="10">
        <f>CHOOSE(CONTROL!$C$42, 13.4512, 13.4512) * CHOOSE(CONTROL!$C$21, $C$9, 100%, $E$9)</f>
        <v>13.4512</v>
      </c>
      <c r="I451" s="10">
        <f>CHOOSE(CONTROL!$C$42, 13.2218, 13.2218)* CHOOSE(CONTROL!$C$21, $C$9, 100%, $E$9)</f>
        <v>13.2218</v>
      </c>
      <c r="J451" s="10">
        <f>CHOOSE(CONTROL!$C$42, 13.2246, 13.2246)* CHOOSE(CONTROL!$C$21, $C$9, 100%, $E$9)</f>
        <v>13.224600000000001</v>
      </c>
      <c r="K451" s="54">
        <f>CHOOSE(CONTROL!$C$42, 13.2179, 13.2179) * CHOOSE(CONTROL!$C$21, $C$9, 100%, $E$9)</f>
        <v>13.2179</v>
      </c>
      <c r="L451" s="10">
        <f>CHOOSE(CONTROL!$C$42, 14.0382, 14.0382) * CHOOSE(CONTROL!$C$21, $C$9, 100%, $E$9)</f>
        <v>14.0382</v>
      </c>
      <c r="M451" s="10">
        <f>CHOOSE(CONTROL!$C$42, 13.105, 13.105) * CHOOSE(CONTROL!$C$21, $C$9, 100%, $E$9)</f>
        <v>13.105</v>
      </c>
      <c r="N451" s="10">
        <f>CHOOSE(CONTROL!$C$42, 13.1231, 13.1231) * CHOOSE(CONTROL!$C$21, $C$9, 100%, $E$9)</f>
        <v>13.123100000000001</v>
      </c>
      <c r="O451" s="10">
        <f>CHOOSE(CONTROL!$C$42, 13.3292, 13.3292) * CHOOSE(CONTROL!$C$21, $C$9, 100%, $E$9)</f>
        <v>13.3292</v>
      </c>
      <c r="P451" s="10">
        <f>CHOOSE(CONTROL!$C$42, 13.1022, 13.1022) * CHOOSE(CONTROL!$C$21, $C$9, 100%, $E$9)</f>
        <v>13.1022</v>
      </c>
      <c r="Q451" s="10">
        <f>CHOOSE(CONTROL!$C$42, 13.9245, 13.9245) * CHOOSE(CONTROL!$C$21, $C$9, 100%, $E$9)</f>
        <v>13.9245</v>
      </c>
      <c r="R451" s="10">
        <f>CHOOSE(CONTROL!$C$42, 14.5463, 14.5463) * CHOOSE(CONTROL!$C$21, $C$9, 100%, $E$9)</f>
        <v>14.5463</v>
      </c>
      <c r="S451" s="10">
        <f>CHOOSE(CONTROL!$C$42, 12.8579, 12.8579) * CHOOSE(CONTROL!$C$21, $C$9, 100%, $E$9)</f>
        <v>12.857900000000001</v>
      </c>
      <c r="T451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51" s="58">
        <f>(1000*CHOOSE(CONTROL!$C$42, 695, 695)*CHOOSE(CONTROL!$C$42, 0.5599, 0.5599)*CHOOSE(CONTROL!$C$42, 31, 31))/1000000</f>
        <v>12.063045499999998</v>
      </c>
      <c r="V451" s="58">
        <f>(1000*CHOOSE(CONTROL!$C$42, 500, 500)*CHOOSE(CONTROL!$C$42, 0.275, 0.275)*CHOOSE(CONTROL!$C$42, 31, 31))/1000000</f>
        <v>4.2625000000000002</v>
      </c>
      <c r="W451" s="58">
        <f>(1000*CHOOSE(CONTROL!$C$42, 0.1146, 0.1146)*CHOOSE(CONTROL!$C$42, 121.5, 121.5)*CHOOSE(CONTROL!$C$42, 31, 31))/1000000</f>
        <v>0.43164089999999994</v>
      </c>
      <c r="X451" s="58">
        <f>(31*0.1790888*245000/1000000)+(31*0.2374*100000/1000000)</f>
        <v>2.0961194359999999</v>
      </c>
      <c r="Y451" s="58"/>
      <c r="Z451" s="10"/>
      <c r="AA451" s="57"/>
      <c r="AB451" s="51">
        <f>(B451*194.205+C451*267.466+D451*133.845+E451*53.484+F451*40+G451*185+H451*0+I451*100+J451*300)/(194.205+267.466+133.845+53.484+0+40+185+100+300)</f>
        <v>13.269037707142855</v>
      </c>
      <c r="AC451" s="27">
        <f>(M451*'RAP TEMPLATE-GAS AVAILABILITY'!O450+N451*'RAP TEMPLATE-GAS AVAILABILITY'!P450+O451*'RAP TEMPLATE-GAS AVAILABILITY'!Q450+P451*'RAP TEMPLATE-GAS AVAILABILITY'!R450)/('RAP TEMPLATE-GAS AVAILABILITY'!O450+'RAP TEMPLATE-GAS AVAILABILITY'!P450+'RAP TEMPLATE-GAS AVAILABILITY'!Q450+'RAP TEMPLATE-GAS AVAILABILITY'!R450)</f>
        <v>13.171669064748201</v>
      </c>
    </row>
    <row r="452" spans="1:29" ht="15.75" x14ac:dyDescent="0.25">
      <c r="A452" s="14">
        <v>55031</v>
      </c>
      <c r="B452" s="10">
        <f>CHOOSE(CONTROL!$C$42, 12.591, 12.591) * CHOOSE(CONTROL!$C$21, $C$9, 100%, $E$9)</f>
        <v>12.590999999999999</v>
      </c>
      <c r="C452" s="10">
        <f>CHOOSE(CONTROL!$C$42, 12.5989, 12.5989) * CHOOSE(CONTROL!$C$21, $C$9, 100%, $E$9)</f>
        <v>12.5989</v>
      </c>
      <c r="D452" s="10">
        <f>CHOOSE(CONTROL!$C$42, 12.7774, 12.7774) * CHOOSE(CONTROL!$C$21, $C$9, 100%, $E$9)</f>
        <v>12.7774</v>
      </c>
      <c r="E452" s="10">
        <f>CHOOSE(CONTROL!$C$42, 12.8086, 12.8086) * CHOOSE(CONTROL!$C$21, $C$9, 100%, $E$9)</f>
        <v>12.8086</v>
      </c>
      <c r="F452" s="10">
        <f>CHOOSE(CONTROL!$C$42, 12.5776, 12.5776)*CHOOSE(CONTROL!$C$21, $C$9, 100%, $E$9)</f>
        <v>12.5776</v>
      </c>
      <c r="G452" s="10">
        <f>CHOOSE(CONTROL!$C$42, 12.5959, 12.5959)*CHOOSE(CONTROL!$C$21, $C$9, 100%, $E$9)</f>
        <v>12.5959</v>
      </c>
      <c r="H452" s="10">
        <f>CHOOSE(CONTROL!$C$42, 12.7972, 12.7972) * CHOOSE(CONTROL!$C$21, $C$9, 100%, $E$9)</f>
        <v>12.7972</v>
      </c>
      <c r="I452" s="10">
        <f>CHOOSE(CONTROL!$C$42, 12.5678, 12.5678)* CHOOSE(CONTROL!$C$21, $C$9, 100%, $E$9)</f>
        <v>12.5678</v>
      </c>
      <c r="J452" s="10">
        <f>CHOOSE(CONTROL!$C$42, 12.5706, 12.5706)* CHOOSE(CONTROL!$C$21, $C$9, 100%, $E$9)</f>
        <v>12.570600000000001</v>
      </c>
      <c r="K452" s="54">
        <f>CHOOSE(CONTROL!$C$42, 12.5639, 12.5639) * CHOOSE(CONTROL!$C$21, $C$9, 100%, $E$9)</f>
        <v>12.5639</v>
      </c>
      <c r="L452" s="10">
        <f>CHOOSE(CONTROL!$C$42, 13.3842, 13.3842) * CHOOSE(CONTROL!$C$21, $C$9, 100%, $E$9)</f>
        <v>13.3842</v>
      </c>
      <c r="M452" s="10">
        <f>CHOOSE(CONTROL!$C$42, 12.4576, 12.4576) * CHOOSE(CONTROL!$C$21, $C$9, 100%, $E$9)</f>
        <v>12.457599999999999</v>
      </c>
      <c r="N452" s="10">
        <f>CHOOSE(CONTROL!$C$42, 12.4757, 12.4757) * CHOOSE(CONTROL!$C$21, $C$9, 100%, $E$9)</f>
        <v>12.4757</v>
      </c>
      <c r="O452" s="10">
        <f>CHOOSE(CONTROL!$C$42, 12.6819, 12.6819) * CHOOSE(CONTROL!$C$21, $C$9, 100%, $E$9)</f>
        <v>12.681900000000001</v>
      </c>
      <c r="P452" s="10">
        <f>CHOOSE(CONTROL!$C$42, 12.4549, 12.4549) * CHOOSE(CONTROL!$C$21, $C$9, 100%, $E$9)</f>
        <v>12.4549</v>
      </c>
      <c r="Q452" s="10">
        <f>CHOOSE(CONTROL!$C$42, 13.2772, 13.2772) * CHOOSE(CONTROL!$C$21, $C$9, 100%, $E$9)</f>
        <v>13.277200000000001</v>
      </c>
      <c r="R452" s="10">
        <f>CHOOSE(CONTROL!$C$42, 13.8974, 13.8974) * CHOOSE(CONTROL!$C$21, $C$9, 100%, $E$9)</f>
        <v>13.897399999999999</v>
      </c>
      <c r="S452" s="10">
        <f>CHOOSE(CONTROL!$C$42, 12.2228, 12.2228) * CHOOSE(CONTROL!$C$21, $C$9, 100%, $E$9)</f>
        <v>12.222799999999999</v>
      </c>
      <c r="T452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452" s="58">
        <f>(1000*CHOOSE(CONTROL!$C$42, 695, 695)*CHOOSE(CONTROL!$C$42, 0.5599, 0.5599)*CHOOSE(CONTROL!$C$42, 31, 31))/1000000</f>
        <v>12.063045499999998</v>
      </c>
      <c r="V452" s="58">
        <f>(1000*CHOOSE(CONTROL!$C$42, 500, 500)*CHOOSE(CONTROL!$C$42, 0.275, 0.275)*CHOOSE(CONTROL!$C$42, 31, 31))/1000000</f>
        <v>4.2625000000000002</v>
      </c>
      <c r="W452" s="58">
        <f>(1000*CHOOSE(CONTROL!$C$42, 0.1146, 0.1146)*CHOOSE(CONTROL!$C$42, 121.5, 121.5)*CHOOSE(CONTROL!$C$42, 31, 31))/1000000</f>
        <v>0.43164089999999994</v>
      </c>
      <c r="X452" s="58">
        <f>(31*0.1790888*245000/1000000)+(31*0.2374*100000/1000000)</f>
        <v>2.0961194359999999</v>
      </c>
      <c r="Y452" s="58"/>
      <c r="Z452" s="10"/>
      <c r="AA452" s="57"/>
      <c r="AB452" s="51">
        <f>(B452*194.205+C452*267.466+D452*133.845+E452*53.484+F452*40+G452*185+H452*0+I452*100+J452*300)/(194.205+267.466+133.845+53.484+0+40+185+100+300)</f>
        <v>12.615042627786501</v>
      </c>
      <c r="AC452" s="27">
        <f>(M452*'RAP TEMPLATE-GAS AVAILABILITY'!O451+N452*'RAP TEMPLATE-GAS AVAILABILITY'!P451+O452*'RAP TEMPLATE-GAS AVAILABILITY'!Q451+P452*'RAP TEMPLATE-GAS AVAILABILITY'!R451)/('RAP TEMPLATE-GAS AVAILABILITY'!O451+'RAP TEMPLATE-GAS AVAILABILITY'!P451+'RAP TEMPLATE-GAS AVAILABILITY'!Q451+'RAP TEMPLATE-GAS AVAILABILITY'!R451)</f>
        <v>12.524311510791366</v>
      </c>
    </row>
    <row r="453" spans="1:29" ht="15.75" x14ac:dyDescent="0.25">
      <c r="A453" s="14">
        <v>55061</v>
      </c>
      <c r="B453" s="10">
        <f>CHOOSE(CONTROL!$C$42, 11.7919, 11.7919) * CHOOSE(CONTROL!$C$21, $C$9, 100%, $E$9)</f>
        <v>11.7919</v>
      </c>
      <c r="C453" s="10">
        <f>CHOOSE(CONTROL!$C$42, 11.7999, 11.7999) * CHOOSE(CONTROL!$C$21, $C$9, 100%, $E$9)</f>
        <v>11.799899999999999</v>
      </c>
      <c r="D453" s="10">
        <f>CHOOSE(CONTROL!$C$42, 11.9784, 11.9784) * CHOOSE(CONTROL!$C$21, $C$9, 100%, $E$9)</f>
        <v>11.978400000000001</v>
      </c>
      <c r="E453" s="10">
        <f>CHOOSE(CONTROL!$C$42, 12.0095, 12.0095) * CHOOSE(CONTROL!$C$21, $C$9, 100%, $E$9)</f>
        <v>12.009499999999999</v>
      </c>
      <c r="F453" s="10">
        <f>CHOOSE(CONTROL!$C$42, 11.7783, 11.7783)*CHOOSE(CONTROL!$C$21, $C$9, 100%, $E$9)</f>
        <v>11.7783</v>
      </c>
      <c r="G453" s="10">
        <f>CHOOSE(CONTROL!$C$42, 11.7965, 11.7965)*CHOOSE(CONTROL!$C$21, $C$9, 100%, $E$9)</f>
        <v>11.7965</v>
      </c>
      <c r="H453" s="10">
        <f>CHOOSE(CONTROL!$C$42, 11.9982, 11.9982) * CHOOSE(CONTROL!$C$21, $C$9, 100%, $E$9)</f>
        <v>11.998200000000001</v>
      </c>
      <c r="I453" s="10">
        <f>CHOOSE(CONTROL!$C$42, 11.7688, 11.7688)* CHOOSE(CONTROL!$C$21, $C$9, 100%, $E$9)</f>
        <v>11.768800000000001</v>
      </c>
      <c r="J453" s="10">
        <f>CHOOSE(CONTROL!$C$42, 11.7713, 11.7713)* CHOOSE(CONTROL!$C$21, $C$9, 100%, $E$9)</f>
        <v>11.7713</v>
      </c>
      <c r="K453" s="54">
        <f>CHOOSE(CONTROL!$C$42, 11.7649, 11.7649) * CHOOSE(CONTROL!$C$21, $C$9, 100%, $E$9)</f>
        <v>11.764900000000001</v>
      </c>
      <c r="L453" s="10">
        <f>CHOOSE(CONTROL!$C$42, 12.5852, 12.5852) * CHOOSE(CONTROL!$C$21, $C$9, 100%, $E$9)</f>
        <v>12.5852</v>
      </c>
      <c r="M453" s="10">
        <f>CHOOSE(CONTROL!$C$42, 11.6663, 11.6663) * CHOOSE(CONTROL!$C$21, $C$9, 100%, $E$9)</f>
        <v>11.6663</v>
      </c>
      <c r="N453" s="10">
        <f>CHOOSE(CONTROL!$C$42, 11.6844, 11.6844) * CHOOSE(CONTROL!$C$21, $C$9, 100%, $E$9)</f>
        <v>11.6844</v>
      </c>
      <c r="O453" s="10">
        <f>CHOOSE(CONTROL!$C$42, 11.8909, 11.8909) * CHOOSE(CONTROL!$C$21, $C$9, 100%, $E$9)</f>
        <v>11.8909</v>
      </c>
      <c r="P453" s="10">
        <f>CHOOSE(CONTROL!$C$42, 11.6639, 11.6639) * CHOOSE(CONTROL!$C$21, $C$9, 100%, $E$9)</f>
        <v>11.6639</v>
      </c>
      <c r="Q453" s="10">
        <f>CHOOSE(CONTROL!$C$42, 12.4862, 12.4862) * CHOOSE(CONTROL!$C$21, $C$9, 100%, $E$9)</f>
        <v>12.4862</v>
      </c>
      <c r="R453" s="10">
        <f>CHOOSE(CONTROL!$C$42, 13.1044, 13.1044) * CHOOSE(CONTROL!$C$21, $C$9, 100%, $E$9)</f>
        <v>13.1044</v>
      </c>
      <c r="S453" s="10">
        <f>CHOOSE(CONTROL!$C$42, 11.4469, 11.4469) * CHOOSE(CONTROL!$C$21, $C$9, 100%, $E$9)</f>
        <v>11.446899999999999</v>
      </c>
      <c r="T453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453" s="58">
        <f>(1000*CHOOSE(CONTROL!$C$42, 695, 695)*CHOOSE(CONTROL!$C$42, 0.5599, 0.5599)*CHOOSE(CONTROL!$C$42, 30, 30))/1000000</f>
        <v>11.673914999999997</v>
      </c>
      <c r="V453" s="58">
        <f>(1000*CHOOSE(CONTROL!$C$42, 500, 500)*CHOOSE(CONTROL!$C$42, 0.275, 0.275)*CHOOSE(CONTROL!$C$42, 30, 30))/1000000</f>
        <v>4.125</v>
      </c>
      <c r="W453" s="58">
        <f>(1000*CHOOSE(CONTROL!$C$42, 0.1146, 0.1146)*CHOOSE(CONTROL!$C$42, 121.5, 121.5)*CHOOSE(CONTROL!$C$42, 30, 30))/1000000</f>
        <v>0.417717</v>
      </c>
      <c r="X453" s="58">
        <f>(30*0.1790888*245000/1000000)+(30*0.2374*100000/1000000)</f>
        <v>2.0285026799999999</v>
      </c>
      <c r="Y453" s="58"/>
      <c r="Z453" s="10"/>
      <c r="AA453" s="57"/>
      <c r="AB453" s="51">
        <f>(B453*194.205+C453*267.466+D453*133.845+E453*53.484+F453*40+G453*185+H453*0+I453*100+J453*300)/(194.205+267.466+133.845+53.484+0+40+185+100+300)</f>
        <v>11.815885038383048</v>
      </c>
      <c r="AC453" s="27">
        <f>(M453*'RAP TEMPLATE-GAS AVAILABILITY'!O452+N453*'RAP TEMPLATE-GAS AVAILABILITY'!P452+O453*'RAP TEMPLATE-GAS AVAILABILITY'!Q452+P453*'RAP TEMPLATE-GAS AVAILABILITY'!R452)/('RAP TEMPLATE-GAS AVAILABILITY'!O452+'RAP TEMPLATE-GAS AVAILABILITY'!P452+'RAP TEMPLATE-GAS AVAILABILITY'!Q452+'RAP TEMPLATE-GAS AVAILABILITY'!R452)</f>
        <v>11.733138848920863</v>
      </c>
    </row>
    <row r="454" spans="1:29" ht="15.75" x14ac:dyDescent="0.25">
      <c r="A454" s="14">
        <v>55092</v>
      </c>
      <c r="B454" s="10">
        <f>CHOOSE(CONTROL!$C$42, 11.5505, 11.5505) * CHOOSE(CONTROL!$C$21, $C$9, 100%, $E$9)</f>
        <v>11.5505</v>
      </c>
      <c r="C454" s="10">
        <f>CHOOSE(CONTROL!$C$42, 11.5557, 11.5557) * CHOOSE(CONTROL!$C$21, $C$9, 100%, $E$9)</f>
        <v>11.5557</v>
      </c>
      <c r="D454" s="10">
        <f>CHOOSE(CONTROL!$C$42, 11.7392, 11.7392) * CHOOSE(CONTROL!$C$21, $C$9, 100%, $E$9)</f>
        <v>11.7392</v>
      </c>
      <c r="E454" s="10">
        <f>CHOOSE(CONTROL!$C$42, 11.768, 11.768) * CHOOSE(CONTROL!$C$21, $C$9, 100%, $E$9)</f>
        <v>11.768000000000001</v>
      </c>
      <c r="F454" s="10">
        <f>CHOOSE(CONTROL!$C$42, 11.5388, 11.5388)*CHOOSE(CONTROL!$C$21, $C$9, 100%, $E$9)</f>
        <v>11.5388</v>
      </c>
      <c r="G454" s="10">
        <f>CHOOSE(CONTROL!$C$42, 11.5567, 11.5567)*CHOOSE(CONTROL!$C$21, $C$9, 100%, $E$9)</f>
        <v>11.556699999999999</v>
      </c>
      <c r="H454" s="10">
        <f>CHOOSE(CONTROL!$C$42, 11.7585, 11.7585) * CHOOSE(CONTROL!$C$21, $C$9, 100%, $E$9)</f>
        <v>11.7585</v>
      </c>
      <c r="I454" s="10">
        <f>CHOOSE(CONTROL!$C$42, 11.5291, 11.5291)* CHOOSE(CONTROL!$C$21, $C$9, 100%, $E$9)</f>
        <v>11.5291</v>
      </c>
      <c r="J454" s="10">
        <f>CHOOSE(CONTROL!$C$42, 11.5318, 11.5318)* CHOOSE(CONTROL!$C$21, $C$9, 100%, $E$9)</f>
        <v>11.5318</v>
      </c>
      <c r="K454" s="54">
        <f>CHOOSE(CONTROL!$C$42, 11.5252, 11.5252) * CHOOSE(CONTROL!$C$21, $C$9, 100%, $E$9)</f>
        <v>11.5252</v>
      </c>
      <c r="L454" s="10">
        <f>CHOOSE(CONTROL!$C$42, 12.3455, 12.3455) * CHOOSE(CONTROL!$C$21, $C$9, 100%, $E$9)</f>
        <v>12.345499999999999</v>
      </c>
      <c r="M454" s="10">
        <f>CHOOSE(CONTROL!$C$42, 11.4293, 11.4293) * CHOOSE(CONTROL!$C$21, $C$9, 100%, $E$9)</f>
        <v>11.4293</v>
      </c>
      <c r="N454" s="10">
        <f>CHOOSE(CONTROL!$C$42, 11.447, 11.447) * CHOOSE(CONTROL!$C$21, $C$9, 100%, $E$9)</f>
        <v>11.446999999999999</v>
      </c>
      <c r="O454" s="10">
        <f>CHOOSE(CONTROL!$C$42, 11.6536, 11.6536) * CHOOSE(CONTROL!$C$21, $C$9, 100%, $E$9)</f>
        <v>11.653600000000001</v>
      </c>
      <c r="P454" s="10">
        <f>CHOOSE(CONTROL!$C$42, 11.4266, 11.4266) * CHOOSE(CONTROL!$C$21, $C$9, 100%, $E$9)</f>
        <v>11.426600000000001</v>
      </c>
      <c r="Q454" s="10">
        <f>CHOOSE(CONTROL!$C$42, 12.2489, 12.2489) * CHOOSE(CONTROL!$C$21, $C$9, 100%, $E$9)</f>
        <v>12.248900000000001</v>
      </c>
      <c r="R454" s="10">
        <f>CHOOSE(CONTROL!$C$42, 12.8666, 12.8666) * CHOOSE(CONTROL!$C$21, $C$9, 100%, $E$9)</f>
        <v>12.8666</v>
      </c>
      <c r="S454" s="10">
        <f>CHOOSE(CONTROL!$C$42, 11.2141, 11.2141) * CHOOSE(CONTROL!$C$21, $C$9, 100%, $E$9)</f>
        <v>11.2141</v>
      </c>
      <c r="T454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54" s="58">
        <f>(1000*CHOOSE(CONTROL!$C$42, 695, 695)*CHOOSE(CONTROL!$C$42, 0.5599, 0.5599)*CHOOSE(CONTROL!$C$42, 31, 31))/1000000</f>
        <v>12.063045499999998</v>
      </c>
      <c r="V454" s="58">
        <f>(1000*CHOOSE(CONTROL!$C$42, 500, 500)*CHOOSE(CONTROL!$C$42, 0.275, 0.275)*CHOOSE(CONTROL!$C$42, 31, 31))/1000000</f>
        <v>4.2625000000000002</v>
      </c>
      <c r="W454" s="58">
        <f>(1000*CHOOSE(CONTROL!$C$42, 0.1146, 0.1146)*CHOOSE(CONTROL!$C$42, 121.5, 121.5)*CHOOSE(CONTROL!$C$42, 31, 31))/1000000</f>
        <v>0.43164089999999994</v>
      </c>
      <c r="X454" s="58">
        <f>(31*0.1790888*245000/1000000)+(31*0.2374*100000/1000000)</f>
        <v>2.0961194359999999</v>
      </c>
      <c r="Y454" s="58"/>
      <c r="Z454" s="10"/>
      <c r="AA454" s="57"/>
      <c r="AB454" s="51">
        <f>(B454*131.881+C454*277.167+D454*79.08+E454*125.872+F454*40+G454*185+H454*0+I454*100+J454*300)/(131.881+277.167+79.08+125.872+0+40+185+100+300)</f>
        <v>11.58009630702179</v>
      </c>
      <c r="AC454" s="27">
        <f>(M454*'RAP TEMPLATE-GAS AVAILABILITY'!O453+N454*'RAP TEMPLATE-GAS AVAILABILITY'!P453+O454*'RAP TEMPLATE-GAS AVAILABILITY'!Q453+P454*'RAP TEMPLATE-GAS AVAILABILITY'!R453)/('RAP TEMPLATE-GAS AVAILABILITY'!O453+'RAP TEMPLATE-GAS AVAILABILITY'!P453+'RAP TEMPLATE-GAS AVAILABILITY'!Q453+'RAP TEMPLATE-GAS AVAILABILITY'!R453)</f>
        <v>11.495919424460432</v>
      </c>
    </row>
    <row r="455" spans="1:29" ht="15.75" x14ac:dyDescent="0.25">
      <c r="A455" s="14">
        <v>55122</v>
      </c>
      <c r="B455" s="10">
        <f>CHOOSE(CONTROL!$C$42, 11.8543, 11.8543) * CHOOSE(CONTROL!$C$21, $C$9, 100%, $E$9)</f>
        <v>11.8543</v>
      </c>
      <c r="C455" s="10">
        <f>CHOOSE(CONTROL!$C$42, 11.8592, 11.8592) * CHOOSE(CONTROL!$C$21, $C$9, 100%, $E$9)</f>
        <v>11.8592</v>
      </c>
      <c r="D455" s="10">
        <f>CHOOSE(CONTROL!$C$42, 11.8888, 11.8888) * CHOOSE(CONTROL!$C$21, $C$9, 100%, $E$9)</f>
        <v>11.8888</v>
      </c>
      <c r="E455" s="10">
        <f>CHOOSE(CONTROL!$C$42, 11.9226, 11.9226) * CHOOSE(CONTROL!$C$21, $C$9, 100%, $E$9)</f>
        <v>11.922599999999999</v>
      </c>
      <c r="F455" s="10">
        <f>CHOOSE(CONTROL!$C$42, 11.84, 11.84)*CHOOSE(CONTROL!$C$21, $C$9, 100%, $E$9)</f>
        <v>11.84</v>
      </c>
      <c r="G455" s="10">
        <f>CHOOSE(CONTROL!$C$42, 11.8581, 11.8581)*CHOOSE(CONTROL!$C$21, $C$9, 100%, $E$9)</f>
        <v>11.8581</v>
      </c>
      <c r="H455" s="10">
        <f>CHOOSE(CONTROL!$C$42, 11.9118, 11.9118) * CHOOSE(CONTROL!$C$21, $C$9, 100%, $E$9)</f>
        <v>11.911799999999999</v>
      </c>
      <c r="I455" s="10">
        <f>CHOOSE(CONTROL!$C$42, 11.8204, 11.8204)* CHOOSE(CONTROL!$C$21, $C$9, 100%, $E$9)</f>
        <v>11.820399999999999</v>
      </c>
      <c r="J455" s="10">
        <f>CHOOSE(CONTROL!$C$42, 11.833, 11.833)* CHOOSE(CONTROL!$C$21, $C$9, 100%, $E$9)</f>
        <v>11.833</v>
      </c>
      <c r="K455" s="54">
        <f>CHOOSE(CONTROL!$C$42, 11.8166, 11.8166) * CHOOSE(CONTROL!$C$21, $C$9, 100%, $E$9)</f>
        <v>11.816599999999999</v>
      </c>
      <c r="L455" s="10">
        <f>CHOOSE(CONTROL!$C$42, 12.4988, 12.4988) * CHOOSE(CONTROL!$C$21, $C$9, 100%, $E$9)</f>
        <v>12.498799999999999</v>
      </c>
      <c r="M455" s="10">
        <f>CHOOSE(CONTROL!$C$42, 11.7274, 11.7274) * CHOOSE(CONTROL!$C$21, $C$9, 100%, $E$9)</f>
        <v>11.727399999999999</v>
      </c>
      <c r="N455" s="10">
        <f>CHOOSE(CONTROL!$C$42, 11.7453, 11.7453) * CHOOSE(CONTROL!$C$21, $C$9, 100%, $E$9)</f>
        <v>11.7453</v>
      </c>
      <c r="O455" s="10">
        <f>CHOOSE(CONTROL!$C$42, 11.8054, 11.8054) * CHOOSE(CONTROL!$C$21, $C$9, 100%, $E$9)</f>
        <v>11.805400000000001</v>
      </c>
      <c r="P455" s="10">
        <f>CHOOSE(CONTROL!$C$42, 11.715, 11.715) * CHOOSE(CONTROL!$C$21, $C$9, 100%, $E$9)</f>
        <v>11.715</v>
      </c>
      <c r="Q455" s="10">
        <f>CHOOSE(CONTROL!$C$42, 12.4007, 12.4007) * CHOOSE(CONTROL!$C$21, $C$9, 100%, $E$9)</f>
        <v>12.400700000000001</v>
      </c>
      <c r="R455" s="10">
        <f>CHOOSE(CONTROL!$C$42, 13.0187, 13.0187) * CHOOSE(CONTROL!$C$21, $C$9, 100%, $E$9)</f>
        <v>13.018700000000001</v>
      </c>
      <c r="S455" s="10">
        <f>CHOOSE(CONTROL!$C$42, 11.5096, 11.5096) * CHOOSE(CONTROL!$C$21, $C$9, 100%, $E$9)</f>
        <v>11.509600000000001</v>
      </c>
      <c r="T455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55" s="58">
        <f>(1000*CHOOSE(CONTROL!$C$42, 695, 695)*CHOOSE(CONTROL!$C$42, 0.5599, 0.5599)*CHOOSE(CONTROL!$C$42, 30, 30))/1000000</f>
        <v>11.673914999999997</v>
      </c>
      <c r="V455" s="58">
        <f>(1000*CHOOSE(CONTROL!$C$42, 500, 500)*CHOOSE(CONTROL!$C$42, 0.275, 0.275)*CHOOSE(CONTROL!$C$42, 30, 30))/1000000</f>
        <v>4.125</v>
      </c>
      <c r="W455" s="58">
        <f>(1000*CHOOSE(CONTROL!$C$42, 0.1146, 0.1146)*CHOOSE(CONTROL!$C$42, 121.5, 121.5)*CHOOSE(CONTROL!$C$42, 30, 30))/1000000</f>
        <v>0.417717</v>
      </c>
      <c r="X455" s="58">
        <f>(30*0.1790888*100000/1000000)+(30*0.2374*100000/1000000)</f>
        <v>1.2494664</v>
      </c>
      <c r="Y455" s="58"/>
      <c r="Z455" s="10"/>
      <c r="AA455" s="57"/>
      <c r="AB455" s="51">
        <f>(B455*122.58+C455*297.941+D455*89.177+E455*40.302+F455*40+G455*160+H455*0+I455*100+J455*300)/(122.58+297.941+89.177+40.302+0+40+160+100+300)</f>
        <v>11.852165342608696</v>
      </c>
      <c r="AC455" s="27">
        <f>(M455*'RAP TEMPLATE-GAS AVAILABILITY'!O454+N455*'RAP TEMPLATE-GAS AVAILABILITY'!P454+O455*'RAP TEMPLATE-GAS AVAILABILITY'!Q454+P455*'RAP TEMPLATE-GAS AVAILABILITY'!R454)/('RAP TEMPLATE-GAS AVAILABILITY'!O454+'RAP TEMPLATE-GAS AVAILABILITY'!P454+'RAP TEMPLATE-GAS AVAILABILITY'!Q454+'RAP TEMPLATE-GAS AVAILABILITY'!R454)</f>
        <v>11.76199856115108</v>
      </c>
    </row>
    <row r="456" spans="1:29" ht="15.75" x14ac:dyDescent="0.25">
      <c r="A456" s="14">
        <v>55153</v>
      </c>
      <c r="B456" s="10">
        <f>CHOOSE(CONTROL!$C$42, 12.6623, 12.6623) * CHOOSE(CONTROL!$C$21, $C$9, 100%, $E$9)</f>
        <v>12.6623</v>
      </c>
      <c r="C456" s="10">
        <f>CHOOSE(CONTROL!$C$42, 12.6672, 12.6672) * CHOOSE(CONTROL!$C$21, $C$9, 100%, $E$9)</f>
        <v>12.667199999999999</v>
      </c>
      <c r="D456" s="10">
        <f>CHOOSE(CONTROL!$C$42, 12.6969, 12.6969) * CHOOSE(CONTROL!$C$21, $C$9, 100%, $E$9)</f>
        <v>12.696899999999999</v>
      </c>
      <c r="E456" s="10">
        <f>CHOOSE(CONTROL!$C$42, 12.7306, 12.7306) * CHOOSE(CONTROL!$C$21, $C$9, 100%, $E$9)</f>
        <v>12.730600000000001</v>
      </c>
      <c r="F456" s="10">
        <f>CHOOSE(CONTROL!$C$42, 12.6496, 12.6496)*CHOOSE(CONTROL!$C$21, $C$9, 100%, $E$9)</f>
        <v>12.6496</v>
      </c>
      <c r="G456" s="10">
        <f>CHOOSE(CONTROL!$C$42, 12.668, 12.668)*CHOOSE(CONTROL!$C$21, $C$9, 100%, $E$9)</f>
        <v>12.667999999999999</v>
      </c>
      <c r="H456" s="10">
        <f>CHOOSE(CONTROL!$C$42, 12.7198, 12.7198) * CHOOSE(CONTROL!$C$21, $C$9, 100%, $E$9)</f>
        <v>12.719799999999999</v>
      </c>
      <c r="I456" s="10">
        <f>CHOOSE(CONTROL!$C$42, 12.6285, 12.6285)* CHOOSE(CONTROL!$C$21, $C$9, 100%, $E$9)</f>
        <v>12.628500000000001</v>
      </c>
      <c r="J456" s="10">
        <f>CHOOSE(CONTROL!$C$42, 12.6426, 12.6426)* CHOOSE(CONTROL!$C$21, $C$9, 100%, $E$9)</f>
        <v>12.6426</v>
      </c>
      <c r="K456" s="54">
        <f>CHOOSE(CONTROL!$C$42, 12.6246, 12.6246) * CHOOSE(CONTROL!$C$21, $C$9, 100%, $E$9)</f>
        <v>12.624599999999999</v>
      </c>
      <c r="L456" s="10">
        <f>CHOOSE(CONTROL!$C$42, 13.3068, 13.3068) * CHOOSE(CONTROL!$C$21, $C$9, 100%, $E$9)</f>
        <v>13.306800000000001</v>
      </c>
      <c r="M456" s="10">
        <f>CHOOSE(CONTROL!$C$42, 12.5288, 12.5288) * CHOOSE(CONTROL!$C$21, $C$9, 100%, $E$9)</f>
        <v>12.5288</v>
      </c>
      <c r="N456" s="10">
        <f>CHOOSE(CONTROL!$C$42, 12.5471, 12.5471) * CHOOSE(CONTROL!$C$21, $C$9, 100%, $E$9)</f>
        <v>12.5471</v>
      </c>
      <c r="O456" s="10">
        <f>CHOOSE(CONTROL!$C$42, 12.6053, 12.6053) * CHOOSE(CONTROL!$C$21, $C$9, 100%, $E$9)</f>
        <v>12.6053</v>
      </c>
      <c r="P456" s="10">
        <f>CHOOSE(CONTROL!$C$42, 12.5149, 12.5149) * CHOOSE(CONTROL!$C$21, $C$9, 100%, $E$9)</f>
        <v>12.514900000000001</v>
      </c>
      <c r="Q456" s="10">
        <f>CHOOSE(CONTROL!$C$42, 13.2006, 13.2006) * CHOOSE(CONTROL!$C$21, $C$9, 100%, $E$9)</f>
        <v>13.2006</v>
      </c>
      <c r="R456" s="10">
        <f>CHOOSE(CONTROL!$C$42, 13.8206, 13.8206) * CHOOSE(CONTROL!$C$21, $C$9, 100%, $E$9)</f>
        <v>13.820600000000001</v>
      </c>
      <c r="S456" s="10">
        <f>CHOOSE(CONTROL!$C$42, 12.2942, 12.2942) * CHOOSE(CONTROL!$C$21, $C$9, 100%, $E$9)</f>
        <v>12.2942</v>
      </c>
      <c r="T456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56" s="58">
        <f>(1000*CHOOSE(CONTROL!$C$42, 695, 695)*CHOOSE(CONTROL!$C$42, 0.5599, 0.5599)*CHOOSE(CONTROL!$C$42, 31, 31))/1000000</f>
        <v>12.063045499999998</v>
      </c>
      <c r="V456" s="58">
        <f>(1000*CHOOSE(CONTROL!$C$42, 500, 500)*CHOOSE(CONTROL!$C$42, 0.275, 0.275)*CHOOSE(CONTROL!$C$42, 31, 31))/1000000</f>
        <v>4.2625000000000002</v>
      </c>
      <c r="W456" s="58">
        <f>(1000*CHOOSE(CONTROL!$C$42, 0.1146, 0.1146)*CHOOSE(CONTROL!$C$42, 121.5, 121.5)*CHOOSE(CONTROL!$C$42, 31, 31))/1000000</f>
        <v>0.43164089999999994</v>
      </c>
      <c r="X456" s="58">
        <f>(31*0.1790888*100000/1000000)+(31*0.2374*100000/1000000)</f>
        <v>1.2911152800000001</v>
      </c>
      <c r="Y456" s="58"/>
      <c r="Z456" s="10"/>
      <c r="AA456" s="57"/>
      <c r="AB456" s="51">
        <f>(B456*122.58+C456*297.941+D456*89.177+E456*40.302+F456*40+G456*160+H456*0+I456*100+J456*300)/(122.58+297.941+89.177+40.302+0+40+160+100+300)</f>
        <v>12.660919184086957</v>
      </c>
      <c r="AC456" s="27">
        <f>(M456*'RAP TEMPLATE-GAS AVAILABILITY'!O455+N456*'RAP TEMPLATE-GAS AVAILABILITY'!P455+O456*'RAP TEMPLATE-GAS AVAILABILITY'!Q455+P456*'RAP TEMPLATE-GAS AVAILABILITY'!R455)/('RAP TEMPLATE-GAS AVAILABILITY'!O455+'RAP TEMPLATE-GAS AVAILABILITY'!P455+'RAP TEMPLATE-GAS AVAILABILITY'!Q455+'RAP TEMPLATE-GAS AVAILABILITY'!R455)</f>
        <v>12.562525899280576</v>
      </c>
    </row>
    <row r="457" spans="1:29" ht="15.75" x14ac:dyDescent="0.25">
      <c r="A457" s="14">
        <v>55184</v>
      </c>
      <c r="B457" s="10">
        <f>CHOOSE(CONTROL!$C$42, 13.5167, 13.5167) * CHOOSE(CONTROL!$C$21, $C$9, 100%, $E$9)</f>
        <v>13.5167</v>
      </c>
      <c r="C457" s="10">
        <f>CHOOSE(CONTROL!$C$42, 13.5217, 13.5217) * CHOOSE(CONTROL!$C$21, $C$9, 100%, $E$9)</f>
        <v>13.521699999999999</v>
      </c>
      <c r="D457" s="10">
        <f>CHOOSE(CONTROL!$C$42, 13.5719, 13.5719) * CHOOSE(CONTROL!$C$21, $C$9, 100%, $E$9)</f>
        <v>13.571899999999999</v>
      </c>
      <c r="E457" s="10">
        <f>CHOOSE(CONTROL!$C$42, 13.6057, 13.6057) * CHOOSE(CONTROL!$C$21, $C$9, 100%, $E$9)</f>
        <v>13.605700000000001</v>
      </c>
      <c r="F457" s="10">
        <f>CHOOSE(CONTROL!$C$42, 13.4821, 13.4821)*CHOOSE(CONTROL!$C$21, $C$9, 100%, $E$9)</f>
        <v>13.482100000000001</v>
      </c>
      <c r="G457" s="10">
        <f>CHOOSE(CONTROL!$C$42, 13.4996, 13.4996)*CHOOSE(CONTROL!$C$21, $C$9, 100%, $E$9)</f>
        <v>13.499599999999999</v>
      </c>
      <c r="H457" s="10">
        <f>CHOOSE(CONTROL!$C$42, 13.5949, 13.5949) * CHOOSE(CONTROL!$C$21, $C$9, 100%, $E$9)</f>
        <v>13.594900000000001</v>
      </c>
      <c r="I457" s="10">
        <f>CHOOSE(CONTROL!$C$42, 13.4906, 13.4906)* CHOOSE(CONTROL!$C$21, $C$9, 100%, $E$9)</f>
        <v>13.490600000000001</v>
      </c>
      <c r="J457" s="10">
        <f>CHOOSE(CONTROL!$C$42, 13.4751, 13.4751)* CHOOSE(CONTROL!$C$21, $C$9, 100%, $E$9)</f>
        <v>13.475099999999999</v>
      </c>
      <c r="K457" s="54">
        <f>CHOOSE(CONTROL!$C$42, 13.4867, 13.4867) * CHOOSE(CONTROL!$C$21, $C$9, 100%, $E$9)</f>
        <v>13.486700000000001</v>
      </c>
      <c r="L457" s="10">
        <f>CHOOSE(CONTROL!$C$42, 14.1819, 14.1819) * CHOOSE(CONTROL!$C$21, $C$9, 100%, $E$9)</f>
        <v>14.181900000000001</v>
      </c>
      <c r="M457" s="10">
        <f>CHOOSE(CONTROL!$C$42, 13.3529, 13.3529) * CHOOSE(CONTROL!$C$21, $C$9, 100%, $E$9)</f>
        <v>13.3529</v>
      </c>
      <c r="N457" s="10">
        <f>CHOOSE(CONTROL!$C$42, 13.3703, 13.3703) * CHOOSE(CONTROL!$C$21, $C$9, 100%, $E$9)</f>
        <v>13.3703</v>
      </c>
      <c r="O457" s="10">
        <f>CHOOSE(CONTROL!$C$42, 13.4715, 13.4715) * CHOOSE(CONTROL!$C$21, $C$9, 100%, $E$9)</f>
        <v>13.471500000000001</v>
      </c>
      <c r="P457" s="10">
        <f>CHOOSE(CONTROL!$C$42, 13.3683, 13.3683) * CHOOSE(CONTROL!$C$21, $C$9, 100%, $E$9)</f>
        <v>13.3683</v>
      </c>
      <c r="Q457" s="10">
        <f>CHOOSE(CONTROL!$C$42, 14.0668, 14.0668) * CHOOSE(CONTROL!$C$21, $C$9, 100%, $E$9)</f>
        <v>14.066800000000001</v>
      </c>
      <c r="R457" s="10">
        <f>CHOOSE(CONTROL!$C$42, 14.6889, 14.6889) * CHOOSE(CONTROL!$C$21, $C$9, 100%, $E$9)</f>
        <v>14.6889</v>
      </c>
      <c r="S457" s="10">
        <f>CHOOSE(CONTROL!$C$42, 13.124, 13.124) * CHOOSE(CONTROL!$C$21, $C$9, 100%, $E$9)</f>
        <v>13.124000000000001</v>
      </c>
      <c r="T457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57" s="58">
        <f>(1000*CHOOSE(CONTROL!$C$42, 695, 695)*CHOOSE(CONTROL!$C$42, 0.5599, 0.5599)*CHOOSE(CONTROL!$C$42, 31, 31))/1000000</f>
        <v>12.063045499999998</v>
      </c>
      <c r="V457" s="58">
        <f>(1000*CHOOSE(CONTROL!$C$42, 500, 500)*CHOOSE(CONTROL!$C$42, 0.275, 0.275)*CHOOSE(CONTROL!$C$42, 31, 31))/1000000</f>
        <v>4.2625000000000002</v>
      </c>
      <c r="W457" s="58">
        <f>(1000*CHOOSE(CONTROL!$C$42, 0.1146, 0.1146)*CHOOSE(CONTROL!$C$42, 121.5, 121.5)*CHOOSE(CONTROL!$C$42, 31, 31))/1000000</f>
        <v>0.43164089999999994</v>
      </c>
      <c r="X457" s="58">
        <f>(31*0.1790888*100000/1000000)+(31*0.2374*100000/1000000)</f>
        <v>1.2911152800000001</v>
      </c>
      <c r="Y457" s="58"/>
      <c r="Z457" s="10"/>
      <c r="AA457" s="57"/>
      <c r="AB457" s="51">
        <f>(B457*122.58+C457*297.941+D457*89.177+E457*40.302+F457*40+G457*160+H457*0+I457*100+J457*300)/(122.58+297.941+89.177+40.302+0+40+160+100+300)</f>
        <v>13.508690568173913</v>
      </c>
      <c r="AC457" s="27">
        <f>(M457*'RAP TEMPLATE-GAS AVAILABILITY'!O456+N457*'RAP TEMPLATE-GAS AVAILABILITY'!P456+O457*'RAP TEMPLATE-GAS AVAILABILITY'!Q456+P457*'RAP TEMPLATE-GAS AVAILABILITY'!R456)/('RAP TEMPLATE-GAS AVAILABILITY'!O456+'RAP TEMPLATE-GAS AVAILABILITY'!P456+'RAP TEMPLATE-GAS AVAILABILITY'!Q456+'RAP TEMPLATE-GAS AVAILABILITY'!R456)</f>
        <v>13.409871223021581</v>
      </c>
    </row>
    <row r="458" spans="1:29" ht="15.75" x14ac:dyDescent="0.25">
      <c r="A458" s="14">
        <v>55212</v>
      </c>
      <c r="B458" s="10">
        <f>CHOOSE(CONTROL!$C$42, 13.7573, 13.7573) * CHOOSE(CONTROL!$C$21, $C$9, 100%, $E$9)</f>
        <v>13.757300000000001</v>
      </c>
      <c r="C458" s="10">
        <f>CHOOSE(CONTROL!$C$42, 13.7622, 13.7622) * CHOOSE(CONTROL!$C$21, $C$9, 100%, $E$9)</f>
        <v>13.7622</v>
      </c>
      <c r="D458" s="10">
        <f>CHOOSE(CONTROL!$C$42, 13.8794, 13.8794) * CHOOSE(CONTROL!$C$21, $C$9, 100%, $E$9)</f>
        <v>13.8794</v>
      </c>
      <c r="E458" s="10">
        <f>CHOOSE(CONTROL!$C$42, 13.9132, 13.9132) * CHOOSE(CONTROL!$C$21, $C$9, 100%, $E$9)</f>
        <v>13.9132</v>
      </c>
      <c r="F458" s="10">
        <f>CHOOSE(CONTROL!$C$42, 13.8349, 13.8349)*CHOOSE(CONTROL!$C$21, $C$9, 100%, $E$9)</f>
        <v>13.834899999999999</v>
      </c>
      <c r="G458" s="10">
        <f>CHOOSE(CONTROL!$C$42, 13.8568, 13.8568)*CHOOSE(CONTROL!$C$21, $C$9, 100%, $E$9)</f>
        <v>13.8568</v>
      </c>
      <c r="H458" s="10">
        <f>CHOOSE(CONTROL!$C$42, 13.9023, 13.9023) * CHOOSE(CONTROL!$C$21, $C$9, 100%, $E$9)</f>
        <v>13.9023</v>
      </c>
      <c r="I458" s="10">
        <f>CHOOSE(CONTROL!$C$42, 13.793, 13.793)* CHOOSE(CONTROL!$C$21, $C$9, 100%, $E$9)</f>
        <v>13.792999999999999</v>
      </c>
      <c r="J458" s="10">
        <f>CHOOSE(CONTROL!$C$42, 13.8279, 13.8279)* CHOOSE(CONTROL!$C$21, $C$9, 100%, $E$9)</f>
        <v>13.8279</v>
      </c>
      <c r="K458" s="54">
        <f>CHOOSE(CONTROL!$C$42, 13.7891, 13.7891) * CHOOSE(CONTROL!$C$21, $C$9, 100%, $E$9)</f>
        <v>13.789099999999999</v>
      </c>
      <c r="L458" s="10">
        <f>CHOOSE(CONTROL!$C$42, 14.4893, 14.4893) * CHOOSE(CONTROL!$C$21, $C$9, 100%, $E$9)</f>
        <v>14.4893</v>
      </c>
      <c r="M458" s="10">
        <f>CHOOSE(CONTROL!$C$42, 13.7022, 13.7022) * CHOOSE(CONTROL!$C$21, $C$9, 100%, $E$9)</f>
        <v>13.702199999999999</v>
      </c>
      <c r="N458" s="10">
        <f>CHOOSE(CONTROL!$C$42, 13.7238, 13.7238) * CHOOSE(CONTROL!$C$21, $C$9, 100%, $E$9)</f>
        <v>13.723800000000001</v>
      </c>
      <c r="O458" s="10">
        <f>CHOOSE(CONTROL!$C$42, 13.7759, 13.7759) * CHOOSE(CONTROL!$C$21, $C$9, 100%, $E$9)</f>
        <v>13.7759</v>
      </c>
      <c r="P458" s="10">
        <f>CHOOSE(CONTROL!$C$42, 13.6676, 13.6676) * CHOOSE(CONTROL!$C$21, $C$9, 100%, $E$9)</f>
        <v>13.6676</v>
      </c>
      <c r="Q458" s="10">
        <f>CHOOSE(CONTROL!$C$42, 14.3712, 14.3712) * CHOOSE(CONTROL!$C$21, $C$9, 100%, $E$9)</f>
        <v>14.3712</v>
      </c>
      <c r="R458" s="10">
        <f>CHOOSE(CONTROL!$C$42, 14.9941, 14.9941) * CHOOSE(CONTROL!$C$21, $C$9, 100%, $E$9)</f>
        <v>14.9941</v>
      </c>
      <c r="S458" s="10">
        <f>CHOOSE(CONTROL!$C$42, 13.3576, 13.3576) * CHOOSE(CONTROL!$C$21, $C$9, 100%, $E$9)</f>
        <v>13.3576</v>
      </c>
      <c r="T458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458" s="58">
        <f>(1000*CHOOSE(CONTROL!$C$42, 695, 695)*CHOOSE(CONTROL!$C$42, 0.5599, 0.5599)*CHOOSE(CONTROL!$C$42, 28, 28))/1000000</f>
        <v>10.895653999999999</v>
      </c>
      <c r="V458" s="58">
        <f>(1000*CHOOSE(CONTROL!$C$42, 500, 500)*CHOOSE(CONTROL!$C$42, 0.275, 0.275)*CHOOSE(CONTROL!$C$42, 28, 28))/1000000</f>
        <v>3.85</v>
      </c>
      <c r="W458" s="58">
        <f>(1000*CHOOSE(CONTROL!$C$42, 0.1146, 0.1146)*CHOOSE(CONTROL!$C$42, 121.5, 121.5)*CHOOSE(CONTROL!$C$42, 28, 28))/1000000</f>
        <v>0.38986920000000003</v>
      </c>
      <c r="X458" s="58">
        <f>(28*0.1790888*100000/1000000)+(28*0.2374*100000/1000000)</f>
        <v>1.16616864</v>
      </c>
      <c r="Y458" s="58"/>
      <c r="Z458" s="10"/>
      <c r="AA458" s="57"/>
      <c r="AB458" s="51">
        <f>(B458*122.58+C458*297.941+D458*89.177+E458*40.302+F458*40+G458*160+H458*0+I458*100+J458*300)/(122.58+297.941+89.177+40.302+0+40+160+100+300)</f>
        <v>13.811565655999999</v>
      </c>
      <c r="AC458" s="27">
        <f>(M458*'RAP TEMPLATE-GAS AVAILABILITY'!O457+N458*'RAP TEMPLATE-GAS AVAILABILITY'!P457+O458*'RAP TEMPLATE-GAS AVAILABILITY'!Q457+P458*'RAP TEMPLATE-GAS AVAILABILITY'!R457)/('RAP TEMPLATE-GAS AVAILABILITY'!O457+'RAP TEMPLATE-GAS AVAILABILITY'!P457+'RAP TEMPLATE-GAS AVAILABILITY'!Q457+'RAP TEMPLATE-GAS AVAILABILITY'!R457)</f>
        <v>13.73186834532374</v>
      </c>
    </row>
    <row r="459" spans="1:29" ht="15.75" x14ac:dyDescent="0.25">
      <c r="A459" s="14">
        <v>55243</v>
      </c>
      <c r="B459" s="10">
        <f>CHOOSE(CONTROL!$C$42, 13.3668, 13.3668) * CHOOSE(CONTROL!$C$21, $C$9, 100%, $E$9)</f>
        <v>13.3668</v>
      </c>
      <c r="C459" s="10">
        <f>CHOOSE(CONTROL!$C$42, 13.3717, 13.3717) * CHOOSE(CONTROL!$C$21, $C$9, 100%, $E$9)</f>
        <v>13.371700000000001</v>
      </c>
      <c r="D459" s="10">
        <f>CHOOSE(CONTROL!$C$42, 13.4631, 13.4631) * CHOOSE(CONTROL!$C$21, $C$9, 100%, $E$9)</f>
        <v>13.463100000000001</v>
      </c>
      <c r="E459" s="10">
        <f>CHOOSE(CONTROL!$C$42, 13.4969, 13.4969) * CHOOSE(CONTROL!$C$21, $C$9, 100%, $E$9)</f>
        <v>13.4969</v>
      </c>
      <c r="F459" s="10">
        <f>CHOOSE(CONTROL!$C$42, 13.3966, 13.3966)*CHOOSE(CONTROL!$C$21, $C$9, 100%, $E$9)</f>
        <v>13.396599999999999</v>
      </c>
      <c r="G459" s="10">
        <f>CHOOSE(CONTROL!$C$42, 13.4161, 13.4161)*CHOOSE(CONTROL!$C$21, $C$9, 100%, $E$9)</f>
        <v>13.4161</v>
      </c>
      <c r="H459" s="10">
        <f>CHOOSE(CONTROL!$C$42, 13.4861, 13.4861) * CHOOSE(CONTROL!$C$21, $C$9, 100%, $E$9)</f>
        <v>13.4861</v>
      </c>
      <c r="I459" s="10">
        <f>CHOOSE(CONTROL!$C$42, 13.3896, 13.3896)* CHOOSE(CONTROL!$C$21, $C$9, 100%, $E$9)</f>
        <v>13.3896</v>
      </c>
      <c r="J459" s="10">
        <f>CHOOSE(CONTROL!$C$42, 13.3896, 13.3896)* CHOOSE(CONTROL!$C$21, $C$9, 100%, $E$9)</f>
        <v>13.3896</v>
      </c>
      <c r="K459" s="54">
        <f>CHOOSE(CONTROL!$C$42, 13.3857, 13.3857) * CHOOSE(CONTROL!$C$21, $C$9, 100%, $E$9)</f>
        <v>13.3857</v>
      </c>
      <c r="L459" s="10">
        <f>CHOOSE(CONTROL!$C$42, 14.0731, 14.0731) * CHOOSE(CONTROL!$C$21, $C$9, 100%, $E$9)</f>
        <v>14.0731</v>
      </c>
      <c r="M459" s="10">
        <f>CHOOSE(CONTROL!$C$42, 13.2683, 13.2683) * CHOOSE(CONTROL!$C$21, $C$9, 100%, $E$9)</f>
        <v>13.2683</v>
      </c>
      <c r="N459" s="10">
        <f>CHOOSE(CONTROL!$C$42, 13.2876, 13.2876) * CHOOSE(CONTROL!$C$21, $C$9, 100%, $E$9)</f>
        <v>13.287599999999999</v>
      </c>
      <c r="O459" s="10">
        <f>CHOOSE(CONTROL!$C$42, 13.3638, 13.3638) * CHOOSE(CONTROL!$C$21, $C$9, 100%, $E$9)</f>
        <v>13.363799999999999</v>
      </c>
      <c r="P459" s="10">
        <f>CHOOSE(CONTROL!$C$42, 13.2683, 13.2683) * CHOOSE(CONTROL!$C$21, $C$9, 100%, $E$9)</f>
        <v>13.2683</v>
      </c>
      <c r="Q459" s="10">
        <f>CHOOSE(CONTROL!$C$42, 13.9591, 13.9591) * CHOOSE(CONTROL!$C$21, $C$9, 100%, $E$9)</f>
        <v>13.959099999999999</v>
      </c>
      <c r="R459" s="10">
        <f>CHOOSE(CONTROL!$C$42, 14.581, 14.581) * CHOOSE(CONTROL!$C$21, $C$9, 100%, $E$9)</f>
        <v>14.581</v>
      </c>
      <c r="S459" s="10">
        <f>CHOOSE(CONTROL!$C$42, 12.9784, 12.9784) * CHOOSE(CONTROL!$C$21, $C$9, 100%, $E$9)</f>
        <v>12.978400000000001</v>
      </c>
      <c r="T459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459" s="58">
        <f>(1000*CHOOSE(CONTROL!$C$42, 695, 695)*CHOOSE(CONTROL!$C$42, 0.5599, 0.5599)*CHOOSE(CONTROL!$C$42, 31, 31))/1000000</f>
        <v>12.063045499999998</v>
      </c>
      <c r="V459" s="58">
        <f>(1000*CHOOSE(CONTROL!$C$42, 500, 500)*CHOOSE(CONTROL!$C$42, 0.275, 0.275)*CHOOSE(CONTROL!$C$42, 31, 31))/1000000</f>
        <v>4.2625000000000002</v>
      </c>
      <c r="W459" s="58">
        <f>(1000*CHOOSE(CONTROL!$C$42, 0.1146, 0.1146)*CHOOSE(CONTROL!$C$42, 121.5, 121.5)*CHOOSE(CONTROL!$C$42, 31, 31))/1000000</f>
        <v>0.43164089999999994</v>
      </c>
      <c r="X459" s="58">
        <f>(31*0.1790888*100000/1000000)+(31*0.2374*100000/1000000)</f>
        <v>1.2911152800000001</v>
      </c>
      <c r="Y459" s="58"/>
      <c r="Z459" s="10"/>
      <c r="AA459" s="57"/>
      <c r="AB459" s="51">
        <f>(B459*122.58+C459*297.941+D459*89.177+E459*40.302+F459*40+G459*160+H459*0+I459*100+J459*300)/(122.58+297.941+89.177+40.302+0+40+160+100+300)</f>
        <v>13.395922561913043</v>
      </c>
      <c r="AC459" s="27">
        <f>(M459*'RAP TEMPLATE-GAS AVAILABILITY'!O458+N459*'RAP TEMPLATE-GAS AVAILABILITY'!P458+O459*'RAP TEMPLATE-GAS AVAILABILITY'!Q458+P459*'RAP TEMPLATE-GAS AVAILABILITY'!R458)/('RAP TEMPLATE-GAS AVAILABILITY'!O458+'RAP TEMPLATE-GAS AVAILABILITY'!P458+'RAP TEMPLATE-GAS AVAILABILITY'!Q458+'RAP TEMPLATE-GAS AVAILABILITY'!R458)</f>
        <v>13.312694964028777</v>
      </c>
    </row>
    <row r="460" spans="1:29" ht="15.75" x14ac:dyDescent="0.25">
      <c r="A460" s="14">
        <v>55273</v>
      </c>
      <c r="B460" s="10">
        <f>CHOOSE(CONTROL!$C$42, 13.3276, 13.3276) * CHOOSE(CONTROL!$C$21, $C$9, 100%, $E$9)</f>
        <v>13.3276</v>
      </c>
      <c r="C460" s="10">
        <f>CHOOSE(CONTROL!$C$42, 13.3319, 13.3319) * CHOOSE(CONTROL!$C$21, $C$9, 100%, $E$9)</f>
        <v>13.331899999999999</v>
      </c>
      <c r="D460" s="10">
        <f>CHOOSE(CONTROL!$C$42, 13.5136, 13.5136) * CHOOSE(CONTROL!$C$21, $C$9, 100%, $E$9)</f>
        <v>13.5136</v>
      </c>
      <c r="E460" s="10">
        <f>CHOOSE(CONTROL!$C$42, 13.5454, 13.5454) * CHOOSE(CONTROL!$C$21, $C$9, 100%, $E$9)</f>
        <v>13.545400000000001</v>
      </c>
      <c r="F460" s="10">
        <f>CHOOSE(CONTROL!$C$42, 13.3159, 13.3159)*CHOOSE(CONTROL!$C$21, $C$9, 100%, $E$9)</f>
        <v>13.315899999999999</v>
      </c>
      <c r="G460" s="10">
        <f>CHOOSE(CONTROL!$C$42, 13.3339, 13.3339)*CHOOSE(CONTROL!$C$21, $C$9, 100%, $E$9)</f>
        <v>13.3339</v>
      </c>
      <c r="H460" s="10">
        <f>CHOOSE(CONTROL!$C$42, 13.5352, 13.5352) * CHOOSE(CONTROL!$C$21, $C$9, 100%, $E$9)</f>
        <v>13.5352</v>
      </c>
      <c r="I460" s="10">
        <f>CHOOSE(CONTROL!$C$42, 13.3058, 13.3058)* CHOOSE(CONTROL!$C$21, $C$9, 100%, $E$9)</f>
        <v>13.3058</v>
      </c>
      <c r="J460" s="10">
        <f>CHOOSE(CONTROL!$C$42, 13.3089, 13.3089)* CHOOSE(CONTROL!$C$21, $C$9, 100%, $E$9)</f>
        <v>13.3089</v>
      </c>
      <c r="K460" s="54">
        <f>CHOOSE(CONTROL!$C$42, 13.3019, 13.3019) * CHOOSE(CONTROL!$C$21, $C$9, 100%, $E$9)</f>
        <v>13.3019</v>
      </c>
      <c r="L460" s="10">
        <f>CHOOSE(CONTROL!$C$42, 14.1222, 14.1222) * CHOOSE(CONTROL!$C$21, $C$9, 100%, $E$9)</f>
        <v>14.122199999999999</v>
      </c>
      <c r="M460" s="10">
        <f>CHOOSE(CONTROL!$C$42, 13.1884, 13.1884) * CHOOSE(CONTROL!$C$21, $C$9, 100%, $E$9)</f>
        <v>13.1884</v>
      </c>
      <c r="N460" s="10">
        <f>CHOOSE(CONTROL!$C$42, 13.2062, 13.2062) * CHOOSE(CONTROL!$C$21, $C$9, 100%, $E$9)</f>
        <v>13.206200000000001</v>
      </c>
      <c r="O460" s="10">
        <f>CHOOSE(CONTROL!$C$42, 13.4124, 13.4124) * CHOOSE(CONTROL!$C$21, $C$9, 100%, $E$9)</f>
        <v>13.4124</v>
      </c>
      <c r="P460" s="10">
        <f>CHOOSE(CONTROL!$C$42, 13.1854, 13.1854) * CHOOSE(CONTROL!$C$21, $C$9, 100%, $E$9)</f>
        <v>13.1854</v>
      </c>
      <c r="Q460" s="10">
        <f>CHOOSE(CONTROL!$C$42, 14.0077, 14.0077) * CHOOSE(CONTROL!$C$21, $C$9, 100%, $E$9)</f>
        <v>14.0077</v>
      </c>
      <c r="R460" s="10">
        <f>CHOOSE(CONTROL!$C$42, 14.6297, 14.6297) * CHOOSE(CONTROL!$C$21, $C$9, 100%, $E$9)</f>
        <v>14.6297</v>
      </c>
      <c r="S460" s="10">
        <f>CHOOSE(CONTROL!$C$42, 12.9395, 12.9395) * CHOOSE(CONTROL!$C$21, $C$9, 100%, $E$9)</f>
        <v>12.939500000000001</v>
      </c>
      <c r="T460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60" s="58">
        <f>(1000*CHOOSE(CONTROL!$C$42, 695, 695)*CHOOSE(CONTROL!$C$42, 0.5599, 0.5599)*CHOOSE(CONTROL!$C$42, 30, 30))/1000000</f>
        <v>11.673914999999997</v>
      </c>
      <c r="V460" s="58">
        <f>(1000*CHOOSE(CONTROL!$C$42, 500, 500)*CHOOSE(CONTROL!$C$42, 0.275, 0.275)*CHOOSE(CONTROL!$C$42, 30, 30))/1000000</f>
        <v>4.125</v>
      </c>
      <c r="W460" s="58">
        <f>(1000*CHOOSE(CONTROL!$C$42, 0.1146, 0.1146)*CHOOSE(CONTROL!$C$42, 121.5, 121.5)*CHOOSE(CONTROL!$C$42, 30, 30))/1000000</f>
        <v>0.417717</v>
      </c>
      <c r="X460" s="58">
        <f>(30*0.1790888*245000/1000000)+(30*0.2374*100000/1000000)</f>
        <v>2.0285026799999999</v>
      </c>
      <c r="Y460" s="58"/>
      <c r="Z460" s="10"/>
      <c r="AA460" s="57"/>
      <c r="AB460" s="51">
        <f>(B460*141.293+C460*267.993+D460*115.016+E460*89.698+F460*40+G460*185+H460*0+I460*100+J460*300)/(141.293+267.993+115.016+89.698+0+40+185+100+300)</f>
        <v>13.355839766182404</v>
      </c>
      <c r="AC460" s="27">
        <f>(M460*'RAP TEMPLATE-GAS AVAILABILITY'!O459+N460*'RAP TEMPLATE-GAS AVAILABILITY'!P459+O460*'RAP TEMPLATE-GAS AVAILABILITY'!Q459+P460*'RAP TEMPLATE-GAS AVAILABILITY'!R459)/('RAP TEMPLATE-GAS AVAILABILITY'!O459+'RAP TEMPLATE-GAS AVAILABILITY'!P459+'RAP TEMPLATE-GAS AVAILABILITY'!Q459+'RAP TEMPLATE-GAS AVAILABILITY'!R459)</f>
        <v>13.254915107913671</v>
      </c>
    </row>
    <row r="461" spans="1:29" ht="15.75" x14ac:dyDescent="0.25">
      <c r="A461" s="14">
        <v>55304</v>
      </c>
      <c r="B461" s="10">
        <f>CHOOSE(CONTROL!$C$42, 13.4469, 13.4469) * CHOOSE(CONTROL!$C$21, $C$9, 100%, $E$9)</f>
        <v>13.446899999999999</v>
      </c>
      <c r="C461" s="10">
        <f>CHOOSE(CONTROL!$C$42, 13.4549, 13.4549) * CHOOSE(CONTROL!$C$21, $C$9, 100%, $E$9)</f>
        <v>13.4549</v>
      </c>
      <c r="D461" s="10">
        <f>CHOOSE(CONTROL!$C$42, 13.6334, 13.6334) * CHOOSE(CONTROL!$C$21, $C$9, 100%, $E$9)</f>
        <v>13.6334</v>
      </c>
      <c r="E461" s="10">
        <f>CHOOSE(CONTROL!$C$42, 13.6645, 13.6645) * CHOOSE(CONTROL!$C$21, $C$9, 100%, $E$9)</f>
        <v>13.6645</v>
      </c>
      <c r="F461" s="10">
        <f>CHOOSE(CONTROL!$C$42, 13.4331, 13.4331)*CHOOSE(CONTROL!$C$21, $C$9, 100%, $E$9)</f>
        <v>13.4331</v>
      </c>
      <c r="G461" s="10">
        <f>CHOOSE(CONTROL!$C$42, 13.4513, 13.4513)*CHOOSE(CONTROL!$C$21, $C$9, 100%, $E$9)</f>
        <v>13.4513</v>
      </c>
      <c r="H461" s="10">
        <f>CHOOSE(CONTROL!$C$42, 13.6532, 13.6532) * CHOOSE(CONTROL!$C$21, $C$9, 100%, $E$9)</f>
        <v>13.6532</v>
      </c>
      <c r="I461" s="10">
        <f>CHOOSE(CONTROL!$C$42, 13.4238, 13.4238)* CHOOSE(CONTROL!$C$21, $C$9, 100%, $E$9)</f>
        <v>13.4238</v>
      </c>
      <c r="J461" s="10">
        <f>CHOOSE(CONTROL!$C$42, 13.4261, 13.4261)* CHOOSE(CONTROL!$C$21, $C$9, 100%, $E$9)</f>
        <v>13.4261</v>
      </c>
      <c r="K461" s="54">
        <f>CHOOSE(CONTROL!$C$42, 13.4199, 13.4199) * CHOOSE(CONTROL!$C$21, $C$9, 100%, $E$9)</f>
        <v>13.4199</v>
      </c>
      <c r="L461" s="10">
        <f>CHOOSE(CONTROL!$C$42, 14.2402, 14.2402) * CHOOSE(CONTROL!$C$21, $C$9, 100%, $E$9)</f>
        <v>14.2402</v>
      </c>
      <c r="M461" s="10">
        <f>CHOOSE(CONTROL!$C$42, 13.3045, 13.3045) * CHOOSE(CONTROL!$C$21, $C$9, 100%, $E$9)</f>
        <v>13.304500000000001</v>
      </c>
      <c r="N461" s="10">
        <f>CHOOSE(CONTROL!$C$42, 13.3224, 13.3224) * CHOOSE(CONTROL!$C$21, $C$9, 100%, $E$9)</f>
        <v>13.3224</v>
      </c>
      <c r="O461" s="10">
        <f>CHOOSE(CONTROL!$C$42, 13.5292, 13.5292) * CHOOSE(CONTROL!$C$21, $C$9, 100%, $E$9)</f>
        <v>13.529199999999999</v>
      </c>
      <c r="P461" s="10">
        <f>CHOOSE(CONTROL!$C$42, 13.3022, 13.3022) * CHOOSE(CONTROL!$C$21, $C$9, 100%, $E$9)</f>
        <v>13.302199999999999</v>
      </c>
      <c r="Q461" s="10">
        <f>CHOOSE(CONTROL!$C$42, 14.1245, 14.1245) * CHOOSE(CONTROL!$C$21, $C$9, 100%, $E$9)</f>
        <v>14.124499999999999</v>
      </c>
      <c r="R461" s="10">
        <f>CHOOSE(CONTROL!$C$42, 14.7468, 14.7468) * CHOOSE(CONTROL!$C$21, $C$9, 100%, $E$9)</f>
        <v>14.7468</v>
      </c>
      <c r="S461" s="10">
        <f>CHOOSE(CONTROL!$C$42, 13.0541, 13.0541) * CHOOSE(CONTROL!$C$21, $C$9, 100%, $E$9)</f>
        <v>13.0541</v>
      </c>
      <c r="T461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61" s="58">
        <f>(1000*CHOOSE(CONTROL!$C$42, 695, 695)*CHOOSE(CONTROL!$C$42, 0.5599, 0.5599)*CHOOSE(CONTROL!$C$42, 31, 31))/1000000</f>
        <v>12.063045499999998</v>
      </c>
      <c r="V461" s="58">
        <f>(1000*CHOOSE(CONTROL!$C$42, 500, 500)*CHOOSE(CONTROL!$C$42, 0.275, 0.275)*CHOOSE(CONTROL!$C$42, 31, 31))/1000000</f>
        <v>4.2625000000000002</v>
      </c>
      <c r="W461" s="58">
        <f>(1000*CHOOSE(CONTROL!$C$42, 0.1146, 0.1146)*CHOOSE(CONTROL!$C$42, 121.5, 121.5)*CHOOSE(CONTROL!$C$42, 31, 31))/1000000</f>
        <v>0.43164089999999994</v>
      </c>
      <c r="X461" s="58">
        <f>(31*0.1790888*245000/1000000)+(31*0.2374*100000/1000000)</f>
        <v>2.0961194359999999</v>
      </c>
      <c r="Y461" s="58"/>
      <c r="Z461" s="10"/>
      <c r="AA461" s="57"/>
      <c r="AB461" s="51">
        <f>(B461*194.205+C461*267.466+D461*133.845+E461*53.484+F461*40+G461*185+H461*0+I461*100+J461*300)/(194.205+267.466+133.845+53.484+0+40+185+100+300)</f>
        <v>13.47080262080063</v>
      </c>
      <c r="AC461" s="27">
        <f>(M461*'RAP TEMPLATE-GAS AVAILABILITY'!O460+N461*'RAP TEMPLATE-GAS AVAILABILITY'!P460+O461*'RAP TEMPLATE-GAS AVAILABILITY'!Q460+P461*'RAP TEMPLATE-GAS AVAILABILITY'!R460)/('RAP TEMPLATE-GAS AVAILABILITY'!O460+'RAP TEMPLATE-GAS AVAILABILITY'!P460+'RAP TEMPLATE-GAS AVAILABILITY'!Q460+'RAP TEMPLATE-GAS AVAILABILITY'!R460)</f>
        <v>13.371335251798561</v>
      </c>
    </row>
    <row r="462" spans="1:29" ht="15.75" x14ac:dyDescent="0.25">
      <c r="A462" s="14">
        <v>55334</v>
      </c>
      <c r="B462" s="10">
        <f>CHOOSE(CONTROL!$C$42, 13.8282, 13.8282) * CHOOSE(CONTROL!$C$21, $C$9, 100%, $E$9)</f>
        <v>13.828200000000001</v>
      </c>
      <c r="C462" s="10">
        <f>CHOOSE(CONTROL!$C$42, 13.8361, 13.8361) * CHOOSE(CONTROL!$C$21, $C$9, 100%, $E$9)</f>
        <v>13.8361</v>
      </c>
      <c r="D462" s="10">
        <f>CHOOSE(CONTROL!$C$42, 14.0147, 14.0147) * CHOOSE(CONTROL!$C$21, $C$9, 100%, $E$9)</f>
        <v>14.014699999999999</v>
      </c>
      <c r="E462" s="10">
        <f>CHOOSE(CONTROL!$C$42, 14.0458, 14.0458) * CHOOSE(CONTROL!$C$21, $C$9, 100%, $E$9)</f>
        <v>14.0458</v>
      </c>
      <c r="F462" s="10">
        <f>CHOOSE(CONTROL!$C$42, 13.8147, 13.8147)*CHOOSE(CONTROL!$C$21, $C$9, 100%, $E$9)</f>
        <v>13.8147</v>
      </c>
      <c r="G462" s="10">
        <f>CHOOSE(CONTROL!$C$42, 13.8329, 13.8329)*CHOOSE(CONTROL!$C$21, $C$9, 100%, $E$9)</f>
        <v>13.8329</v>
      </c>
      <c r="H462" s="10">
        <f>CHOOSE(CONTROL!$C$42, 14.0344, 14.0344) * CHOOSE(CONTROL!$C$21, $C$9, 100%, $E$9)</f>
        <v>14.0344</v>
      </c>
      <c r="I462" s="10">
        <f>CHOOSE(CONTROL!$C$42, 13.8051, 13.8051)* CHOOSE(CONTROL!$C$21, $C$9, 100%, $E$9)</f>
        <v>13.805099999999999</v>
      </c>
      <c r="J462" s="10">
        <f>CHOOSE(CONTROL!$C$42, 13.8077, 13.8077)* CHOOSE(CONTROL!$C$21, $C$9, 100%, $E$9)</f>
        <v>13.807700000000001</v>
      </c>
      <c r="K462" s="54">
        <f>CHOOSE(CONTROL!$C$42, 13.8012, 13.8012) * CHOOSE(CONTROL!$C$21, $C$9, 100%, $E$9)</f>
        <v>13.8012</v>
      </c>
      <c r="L462" s="10">
        <f>CHOOSE(CONTROL!$C$42, 14.6214, 14.6214) * CHOOSE(CONTROL!$C$21, $C$9, 100%, $E$9)</f>
        <v>14.6214</v>
      </c>
      <c r="M462" s="10">
        <f>CHOOSE(CONTROL!$C$42, 13.6821, 13.6821) * CHOOSE(CONTROL!$C$21, $C$9, 100%, $E$9)</f>
        <v>13.6821</v>
      </c>
      <c r="N462" s="10">
        <f>CHOOSE(CONTROL!$C$42, 13.7002, 13.7002) * CHOOSE(CONTROL!$C$21, $C$9, 100%, $E$9)</f>
        <v>13.700200000000001</v>
      </c>
      <c r="O462" s="10">
        <f>CHOOSE(CONTROL!$C$42, 13.9066, 13.9066) * CHOOSE(CONTROL!$C$21, $C$9, 100%, $E$9)</f>
        <v>13.906599999999999</v>
      </c>
      <c r="P462" s="10">
        <f>CHOOSE(CONTROL!$C$42, 13.6796, 13.6796) * CHOOSE(CONTROL!$C$21, $C$9, 100%, $E$9)</f>
        <v>13.679600000000001</v>
      </c>
      <c r="Q462" s="10">
        <f>CHOOSE(CONTROL!$C$42, 14.5019, 14.5019) * CHOOSE(CONTROL!$C$21, $C$9, 100%, $E$9)</f>
        <v>14.501899999999999</v>
      </c>
      <c r="R462" s="10">
        <f>CHOOSE(CONTROL!$C$42, 15.1252, 15.1252) * CHOOSE(CONTROL!$C$21, $C$9, 100%, $E$9)</f>
        <v>15.1252</v>
      </c>
      <c r="S462" s="10">
        <f>CHOOSE(CONTROL!$C$42, 13.4243, 13.4243) * CHOOSE(CONTROL!$C$21, $C$9, 100%, $E$9)</f>
        <v>13.424300000000001</v>
      </c>
      <c r="T462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62" s="58">
        <f>(1000*CHOOSE(CONTROL!$C$42, 695, 695)*CHOOSE(CONTROL!$C$42, 0.5599, 0.5599)*CHOOSE(CONTROL!$C$42, 30, 30))/1000000</f>
        <v>11.673914999999997</v>
      </c>
      <c r="V462" s="58">
        <f>(1000*CHOOSE(CONTROL!$C$42, 500, 500)*CHOOSE(CONTROL!$C$42, 0.275, 0.275)*CHOOSE(CONTROL!$C$42, 30, 30))/1000000</f>
        <v>4.125</v>
      </c>
      <c r="W462" s="58">
        <f>(1000*CHOOSE(CONTROL!$C$42, 0.1146, 0.1146)*CHOOSE(CONTROL!$C$42, 121.5, 121.5)*CHOOSE(CONTROL!$C$42, 30, 30))/1000000</f>
        <v>0.417717</v>
      </c>
      <c r="X462" s="58">
        <f>(30*0.1790888*245000/1000000)+(30*0.2374*100000/1000000)</f>
        <v>2.0285026799999999</v>
      </c>
      <c r="Y462" s="58"/>
      <c r="Z462" s="10"/>
      <c r="AA462" s="57"/>
      <c r="AB462" s="51">
        <f>(B462*194.205+C462*267.466+D462*133.845+E462*53.484+F462*40+G462*185+H462*0+I462*100+J462*300)/(194.205+267.466+133.845+53.484+0+40+185+100+300)</f>
        <v>13.852205252982731</v>
      </c>
      <c r="AC462" s="27">
        <f>(M462*'RAP TEMPLATE-GAS AVAILABILITY'!O461+N462*'RAP TEMPLATE-GAS AVAILABILITY'!P461+O462*'RAP TEMPLATE-GAS AVAILABILITY'!Q461+P462*'RAP TEMPLATE-GAS AVAILABILITY'!R461)/('RAP TEMPLATE-GAS AVAILABILITY'!O461+'RAP TEMPLATE-GAS AVAILABILITY'!P461+'RAP TEMPLATE-GAS AVAILABILITY'!Q461+'RAP TEMPLATE-GAS AVAILABILITY'!R461)</f>
        <v>13.748896402877698</v>
      </c>
    </row>
    <row r="463" spans="1:29" ht="15.75" x14ac:dyDescent="0.25">
      <c r="A463" s="14">
        <v>55365</v>
      </c>
      <c r="B463" s="10">
        <f>CHOOSE(CONTROL!$C$42, 13.563, 13.563) * CHOOSE(CONTROL!$C$21, $C$9, 100%, $E$9)</f>
        <v>13.563000000000001</v>
      </c>
      <c r="C463" s="10">
        <f>CHOOSE(CONTROL!$C$42, 13.571, 13.571) * CHOOSE(CONTROL!$C$21, $C$9, 100%, $E$9)</f>
        <v>13.571</v>
      </c>
      <c r="D463" s="10">
        <f>CHOOSE(CONTROL!$C$42, 13.7495, 13.7495) * CHOOSE(CONTROL!$C$21, $C$9, 100%, $E$9)</f>
        <v>13.749499999999999</v>
      </c>
      <c r="E463" s="10">
        <f>CHOOSE(CONTROL!$C$42, 13.7806, 13.7806) * CHOOSE(CONTROL!$C$21, $C$9, 100%, $E$9)</f>
        <v>13.7806</v>
      </c>
      <c r="F463" s="10">
        <f>CHOOSE(CONTROL!$C$42, 13.5498, 13.5498)*CHOOSE(CONTROL!$C$21, $C$9, 100%, $E$9)</f>
        <v>13.549799999999999</v>
      </c>
      <c r="G463" s="10">
        <f>CHOOSE(CONTROL!$C$42, 13.5681, 13.5681)*CHOOSE(CONTROL!$C$21, $C$9, 100%, $E$9)</f>
        <v>13.568099999999999</v>
      </c>
      <c r="H463" s="10">
        <f>CHOOSE(CONTROL!$C$42, 13.7693, 13.7693) * CHOOSE(CONTROL!$C$21, $C$9, 100%, $E$9)</f>
        <v>13.769299999999999</v>
      </c>
      <c r="I463" s="10">
        <f>CHOOSE(CONTROL!$C$42, 13.5399, 13.5399)* CHOOSE(CONTROL!$C$21, $C$9, 100%, $E$9)</f>
        <v>13.539899999999999</v>
      </c>
      <c r="J463" s="10">
        <f>CHOOSE(CONTROL!$C$42, 13.5428, 13.5428)* CHOOSE(CONTROL!$C$21, $C$9, 100%, $E$9)</f>
        <v>13.5428</v>
      </c>
      <c r="K463" s="54">
        <f>CHOOSE(CONTROL!$C$42, 13.536, 13.536) * CHOOSE(CONTROL!$C$21, $C$9, 100%, $E$9)</f>
        <v>13.536</v>
      </c>
      <c r="L463" s="10">
        <f>CHOOSE(CONTROL!$C$42, 14.3563, 14.3563) * CHOOSE(CONTROL!$C$21, $C$9, 100%, $E$9)</f>
        <v>14.356299999999999</v>
      </c>
      <c r="M463" s="10">
        <f>CHOOSE(CONTROL!$C$42, 13.4199, 13.4199) * CHOOSE(CONTROL!$C$21, $C$9, 100%, $E$9)</f>
        <v>13.4199</v>
      </c>
      <c r="N463" s="10">
        <f>CHOOSE(CONTROL!$C$42, 13.438, 13.438) * CHOOSE(CONTROL!$C$21, $C$9, 100%, $E$9)</f>
        <v>13.438000000000001</v>
      </c>
      <c r="O463" s="10">
        <f>CHOOSE(CONTROL!$C$42, 13.6441, 13.6441) * CHOOSE(CONTROL!$C$21, $C$9, 100%, $E$9)</f>
        <v>13.6441</v>
      </c>
      <c r="P463" s="10">
        <f>CHOOSE(CONTROL!$C$42, 13.4171, 13.4171) * CHOOSE(CONTROL!$C$21, $C$9, 100%, $E$9)</f>
        <v>13.4171</v>
      </c>
      <c r="Q463" s="10">
        <f>CHOOSE(CONTROL!$C$42, 14.2394, 14.2394) * CHOOSE(CONTROL!$C$21, $C$9, 100%, $E$9)</f>
        <v>14.2394</v>
      </c>
      <c r="R463" s="10">
        <f>CHOOSE(CONTROL!$C$42, 14.862, 14.862) * CHOOSE(CONTROL!$C$21, $C$9, 100%, $E$9)</f>
        <v>14.862</v>
      </c>
      <c r="S463" s="10">
        <f>CHOOSE(CONTROL!$C$42, 13.1668, 13.1668) * CHOOSE(CONTROL!$C$21, $C$9, 100%, $E$9)</f>
        <v>13.1668</v>
      </c>
      <c r="T463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63" s="58">
        <f>(1000*CHOOSE(CONTROL!$C$42, 695, 695)*CHOOSE(CONTROL!$C$42, 0.5599, 0.5599)*CHOOSE(CONTROL!$C$42, 31, 31))/1000000</f>
        <v>12.063045499999998</v>
      </c>
      <c r="V463" s="58">
        <f>(1000*CHOOSE(CONTROL!$C$42, 500, 500)*CHOOSE(CONTROL!$C$42, 0.275, 0.275)*CHOOSE(CONTROL!$C$42, 31, 31))/1000000</f>
        <v>4.2625000000000002</v>
      </c>
      <c r="W463" s="58">
        <f>(1000*CHOOSE(CONTROL!$C$42, 0.1146, 0.1146)*CHOOSE(CONTROL!$C$42, 121.5, 121.5)*CHOOSE(CONTROL!$C$42, 31, 31))/1000000</f>
        <v>0.43164089999999994</v>
      </c>
      <c r="X463" s="58">
        <f>(31*0.1790888*245000/1000000)+(31*0.2374*100000/1000000)</f>
        <v>2.0961194359999999</v>
      </c>
      <c r="Y463" s="58"/>
      <c r="Z463" s="10"/>
      <c r="AA463" s="57"/>
      <c r="AB463" s="51">
        <f>(B463*194.205+C463*267.466+D463*133.845+E463*53.484+F463*40+G463*185+H463*0+I463*100+J463*300)/(194.205+267.466+133.845+53.484+0+40+185+100+300)</f>
        <v>13.587164394740974</v>
      </c>
      <c r="AC463" s="27">
        <f>(M463*'RAP TEMPLATE-GAS AVAILABILITY'!O462+N463*'RAP TEMPLATE-GAS AVAILABILITY'!P462+O463*'RAP TEMPLATE-GAS AVAILABILITY'!Q462+P463*'RAP TEMPLATE-GAS AVAILABILITY'!R462)/('RAP TEMPLATE-GAS AVAILABILITY'!O462+'RAP TEMPLATE-GAS AVAILABILITY'!P462+'RAP TEMPLATE-GAS AVAILABILITY'!Q462+'RAP TEMPLATE-GAS AVAILABILITY'!R462)</f>
        <v>13.486569064748201</v>
      </c>
    </row>
    <row r="464" spans="1:29" ht="15.75" x14ac:dyDescent="0.25">
      <c r="A464" s="14">
        <v>55396</v>
      </c>
      <c r="B464" s="10">
        <f>CHOOSE(CONTROL!$C$42, 12.8934, 12.8934) * CHOOSE(CONTROL!$C$21, $C$9, 100%, $E$9)</f>
        <v>12.8934</v>
      </c>
      <c r="C464" s="10">
        <f>CHOOSE(CONTROL!$C$42, 12.9013, 12.9013) * CHOOSE(CONTROL!$C$21, $C$9, 100%, $E$9)</f>
        <v>12.901300000000001</v>
      </c>
      <c r="D464" s="10">
        <f>CHOOSE(CONTROL!$C$42, 13.0798, 13.0798) * CHOOSE(CONTROL!$C$21, $C$9, 100%, $E$9)</f>
        <v>13.079800000000001</v>
      </c>
      <c r="E464" s="10">
        <f>CHOOSE(CONTROL!$C$42, 13.111, 13.111) * CHOOSE(CONTROL!$C$21, $C$9, 100%, $E$9)</f>
        <v>13.111000000000001</v>
      </c>
      <c r="F464" s="10">
        <f>CHOOSE(CONTROL!$C$42, 12.88, 12.88)*CHOOSE(CONTROL!$C$21, $C$9, 100%, $E$9)</f>
        <v>12.88</v>
      </c>
      <c r="G464" s="10">
        <f>CHOOSE(CONTROL!$C$42, 12.8983, 12.8983)*CHOOSE(CONTROL!$C$21, $C$9, 100%, $E$9)</f>
        <v>12.898300000000001</v>
      </c>
      <c r="H464" s="10">
        <f>CHOOSE(CONTROL!$C$42, 13.0996, 13.0996) * CHOOSE(CONTROL!$C$21, $C$9, 100%, $E$9)</f>
        <v>13.099600000000001</v>
      </c>
      <c r="I464" s="10">
        <f>CHOOSE(CONTROL!$C$42, 12.8702, 12.8702)* CHOOSE(CONTROL!$C$21, $C$9, 100%, $E$9)</f>
        <v>12.870200000000001</v>
      </c>
      <c r="J464" s="10">
        <f>CHOOSE(CONTROL!$C$42, 12.873, 12.873)* CHOOSE(CONTROL!$C$21, $C$9, 100%, $E$9)</f>
        <v>12.872999999999999</v>
      </c>
      <c r="K464" s="54">
        <f>CHOOSE(CONTROL!$C$42, 12.8663, 12.8663) * CHOOSE(CONTROL!$C$21, $C$9, 100%, $E$9)</f>
        <v>12.866300000000001</v>
      </c>
      <c r="L464" s="10">
        <f>CHOOSE(CONTROL!$C$42, 13.6866, 13.6866) * CHOOSE(CONTROL!$C$21, $C$9, 100%, $E$9)</f>
        <v>13.6866</v>
      </c>
      <c r="M464" s="10">
        <f>CHOOSE(CONTROL!$C$42, 12.7569, 12.7569) * CHOOSE(CONTROL!$C$21, $C$9, 100%, $E$9)</f>
        <v>12.7569</v>
      </c>
      <c r="N464" s="10">
        <f>CHOOSE(CONTROL!$C$42, 12.775, 12.775) * CHOOSE(CONTROL!$C$21, $C$9, 100%, $E$9)</f>
        <v>12.775</v>
      </c>
      <c r="O464" s="10">
        <f>CHOOSE(CONTROL!$C$42, 12.9812, 12.9812) * CHOOSE(CONTROL!$C$21, $C$9, 100%, $E$9)</f>
        <v>12.981199999999999</v>
      </c>
      <c r="P464" s="10">
        <f>CHOOSE(CONTROL!$C$42, 12.7542, 12.7542) * CHOOSE(CONTROL!$C$21, $C$9, 100%, $E$9)</f>
        <v>12.754200000000001</v>
      </c>
      <c r="Q464" s="10">
        <f>CHOOSE(CONTROL!$C$42, 13.5765, 13.5765) * CHOOSE(CONTROL!$C$21, $C$9, 100%, $E$9)</f>
        <v>13.576499999999999</v>
      </c>
      <c r="R464" s="10">
        <f>CHOOSE(CONTROL!$C$42, 14.1975, 14.1975) * CHOOSE(CONTROL!$C$21, $C$9, 100%, $E$9)</f>
        <v>14.1975</v>
      </c>
      <c r="S464" s="10">
        <f>CHOOSE(CONTROL!$C$42, 12.5165, 12.5165) * CHOOSE(CONTROL!$C$21, $C$9, 100%, $E$9)</f>
        <v>12.516500000000001</v>
      </c>
      <c r="T464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464" s="58">
        <f>(1000*CHOOSE(CONTROL!$C$42, 695, 695)*CHOOSE(CONTROL!$C$42, 0.5599, 0.5599)*CHOOSE(CONTROL!$C$42, 31, 31))/1000000</f>
        <v>12.063045499999998</v>
      </c>
      <c r="V464" s="58">
        <f>(1000*CHOOSE(CONTROL!$C$42, 500, 500)*CHOOSE(CONTROL!$C$42, 0.275, 0.275)*CHOOSE(CONTROL!$C$42, 31, 31))/1000000</f>
        <v>4.2625000000000002</v>
      </c>
      <c r="W464" s="58">
        <f>(1000*CHOOSE(CONTROL!$C$42, 0.1146, 0.1146)*CHOOSE(CONTROL!$C$42, 121.5, 121.5)*CHOOSE(CONTROL!$C$42, 31, 31))/1000000</f>
        <v>0.43164089999999994</v>
      </c>
      <c r="X464" s="58">
        <f>(31*0.1790888*245000/1000000)+(31*0.2374*100000/1000000)</f>
        <v>2.0961194359999999</v>
      </c>
      <c r="Y464" s="58"/>
      <c r="Z464" s="10"/>
      <c r="AA464" s="57"/>
      <c r="AB464" s="51">
        <f>(B464*194.205+C464*267.466+D464*133.845+E464*53.484+F464*40+G464*185+H464*0+I464*100+J464*300)/(194.205+267.466+133.845+53.484+0+40+185+100+300)</f>
        <v>12.917442627786503</v>
      </c>
      <c r="AC464" s="27">
        <f>(M464*'RAP TEMPLATE-GAS AVAILABILITY'!O463+N464*'RAP TEMPLATE-GAS AVAILABILITY'!P463+O464*'RAP TEMPLATE-GAS AVAILABILITY'!Q463+P464*'RAP TEMPLATE-GAS AVAILABILITY'!R463)/('RAP TEMPLATE-GAS AVAILABILITY'!O463+'RAP TEMPLATE-GAS AVAILABILITY'!P463+'RAP TEMPLATE-GAS AVAILABILITY'!Q463+'RAP TEMPLATE-GAS AVAILABILITY'!R463)</f>
        <v>12.823611510791366</v>
      </c>
    </row>
    <row r="465" spans="1:29" ht="15.75" x14ac:dyDescent="0.25">
      <c r="A465" s="14">
        <v>55426</v>
      </c>
      <c r="B465" s="10">
        <f>CHOOSE(CONTROL!$C$42, 12.0751, 12.0751) * CHOOSE(CONTROL!$C$21, $C$9, 100%, $E$9)</f>
        <v>12.075100000000001</v>
      </c>
      <c r="C465" s="10">
        <f>CHOOSE(CONTROL!$C$42, 12.0831, 12.0831) * CHOOSE(CONTROL!$C$21, $C$9, 100%, $E$9)</f>
        <v>12.0831</v>
      </c>
      <c r="D465" s="10">
        <f>CHOOSE(CONTROL!$C$42, 12.2616, 12.2616) * CHOOSE(CONTROL!$C$21, $C$9, 100%, $E$9)</f>
        <v>12.2616</v>
      </c>
      <c r="E465" s="10">
        <f>CHOOSE(CONTROL!$C$42, 12.2927, 12.2927) * CHOOSE(CONTROL!$C$21, $C$9, 100%, $E$9)</f>
        <v>12.2927</v>
      </c>
      <c r="F465" s="10">
        <f>CHOOSE(CONTROL!$C$42, 12.0615, 12.0615)*CHOOSE(CONTROL!$C$21, $C$9, 100%, $E$9)</f>
        <v>12.061500000000001</v>
      </c>
      <c r="G465" s="10">
        <f>CHOOSE(CONTROL!$C$42, 12.0797, 12.0797)*CHOOSE(CONTROL!$C$21, $C$9, 100%, $E$9)</f>
        <v>12.079700000000001</v>
      </c>
      <c r="H465" s="10">
        <f>CHOOSE(CONTROL!$C$42, 12.2814, 12.2814) * CHOOSE(CONTROL!$C$21, $C$9, 100%, $E$9)</f>
        <v>12.2814</v>
      </c>
      <c r="I465" s="10">
        <f>CHOOSE(CONTROL!$C$42, 12.052, 12.052)* CHOOSE(CONTROL!$C$21, $C$9, 100%, $E$9)</f>
        <v>12.052</v>
      </c>
      <c r="J465" s="10">
        <f>CHOOSE(CONTROL!$C$42, 12.0545, 12.0545)* CHOOSE(CONTROL!$C$21, $C$9, 100%, $E$9)</f>
        <v>12.054500000000001</v>
      </c>
      <c r="K465" s="54">
        <f>CHOOSE(CONTROL!$C$42, 12.0481, 12.0481) * CHOOSE(CONTROL!$C$21, $C$9, 100%, $E$9)</f>
        <v>12.0481</v>
      </c>
      <c r="L465" s="10">
        <f>CHOOSE(CONTROL!$C$42, 12.8684, 12.8684) * CHOOSE(CONTROL!$C$21, $C$9, 100%, $E$9)</f>
        <v>12.868399999999999</v>
      </c>
      <c r="M465" s="10">
        <f>CHOOSE(CONTROL!$C$42, 11.9467, 11.9467) * CHOOSE(CONTROL!$C$21, $C$9, 100%, $E$9)</f>
        <v>11.9467</v>
      </c>
      <c r="N465" s="10">
        <f>CHOOSE(CONTROL!$C$42, 11.9647, 11.9647) * CHOOSE(CONTROL!$C$21, $C$9, 100%, $E$9)</f>
        <v>11.964700000000001</v>
      </c>
      <c r="O465" s="10">
        <f>CHOOSE(CONTROL!$C$42, 12.1713, 12.1713) * CHOOSE(CONTROL!$C$21, $C$9, 100%, $E$9)</f>
        <v>12.1713</v>
      </c>
      <c r="P465" s="10">
        <f>CHOOSE(CONTROL!$C$42, 11.9443, 11.9443) * CHOOSE(CONTROL!$C$21, $C$9, 100%, $E$9)</f>
        <v>11.9443</v>
      </c>
      <c r="Q465" s="10">
        <f>CHOOSE(CONTROL!$C$42, 12.7666, 12.7666) * CHOOSE(CONTROL!$C$21, $C$9, 100%, $E$9)</f>
        <v>12.7666</v>
      </c>
      <c r="R465" s="10">
        <f>CHOOSE(CONTROL!$C$42, 13.3855, 13.3855) * CHOOSE(CONTROL!$C$21, $C$9, 100%, $E$9)</f>
        <v>13.3855</v>
      </c>
      <c r="S465" s="10">
        <f>CHOOSE(CONTROL!$C$42, 11.7219, 11.7219) * CHOOSE(CONTROL!$C$21, $C$9, 100%, $E$9)</f>
        <v>11.7219</v>
      </c>
      <c r="T465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465" s="58">
        <f>(1000*CHOOSE(CONTROL!$C$42, 695, 695)*CHOOSE(CONTROL!$C$42, 0.5599, 0.5599)*CHOOSE(CONTROL!$C$42, 30, 30))/1000000</f>
        <v>11.673914999999997</v>
      </c>
      <c r="V465" s="58">
        <f>(1000*CHOOSE(CONTROL!$C$42, 500, 500)*CHOOSE(CONTROL!$C$42, 0.275, 0.275)*CHOOSE(CONTROL!$C$42, 30, 30))/1000000</f>
        <v>4.125</v>
      </c>
      <c r="W465" s="58">
        <f>(1000*CHOOSE(CONTROL!$C$42, 0.1146, 0.1146)*CHOOSE(CONTROL!$C$42, 121.5, 121.5)*CHOOSE(CONTROL!$C$42, 30, 30))/1000000</f>
        <v>0.417717</v>
      </c>
      <c r="X465" s="58">
        <f>(30*0.1790888*245000/1000000)+(30*0.2374*100000/1000000)</f>
        <v>2.0285026799999999</v>
      </c>
      <c r="Y465" s="58"/>
      <c r="Z465" s="10"/>
      <c r="AA465" s="57"/>
      <c r="AB465" s="51">
        <f>(B465*194.205+C465*267.466+D465*133.845+E465*53.484+F465*40+G465*185+H465*0+I465*100+J465*300)/(194.205+267.466+133.845+53.484+0+40+185+100+300)</f>
        <v>12.099085038383047</v>
      </c>
      <c r="AC465" s="27">
        <f>(M465*'RAP TEMPLATE-GAS AVAILABILITY'!O464+N465*'RAP TEMPLATE-GAS AVAILABILITY'!P464+O465*'RAP TEMPLATE-GAS AVAILABILITY'!Q464+P465*'RAP TEMPLATE-GAS AVAILABILITY'!R464)/('RAP TEMPLATE-GAS AVAILABILITY'!O464+'RAP TEMPLATE-GAS AVAILABILITY'!P464+'RAP TEMPLATE-GAS AVAILABILITY'!Q464+'RAP TEMPLATE-GAS AVAILABILITY'!R464)</f>
        <v>12.01351582733813</v>
      </c>
    </row>
    <row r="466" spans="1:29" ht="15.75" x14ac:dyDescent="0.25">
      <c r="A466" s="14">
        <v>55457</v>
      </c>
      <c r="B466" s="10">
        <f>CHOOSE(CONTROL!$C$42, 11.8279, 11.8279) * CHOOSE(CONTROL!$C$21, $C$9, 100%, $E$9)</f>
        <v>11.8279</v>
      </c>
      <c r="C466" s="10">
        <f>CHOOSE(CONTROL!$C$42, 11.8331, 11.8331) * CHOOSE(CONTROL!$C$21, $C$9, 100%, $E$9)</f>
        <v>11.8331</v>
      </c>
      <c r="D466" s="10">
        <f>CHOOSE(CONTROL!$C$42, 12.0166, 12.0166) * CHOOSE(CONTROL!$C$21, $C$9, 100%, $E$9)</f>
        <v>12.0166</v>
      </c>
      <c r="E466" s="10">
        <f>CHOOSE(CONTROL!$C$42, 12.0454, 12.0454) * CHOOSE(CONTROL!$C$21, $C$9, 100%, $E$9)</f>
        <v>12.045400000000001</v>
      </c>
      <c r="F466" s="10">
        <f>CHOOSE(CONTROL!$C$42, 11.8163, 11.8163)*CHOOSE(CONTROL!$C$21, $C$9, 100%, $E$9)</f>
        <v>11.8163</v>
      </c>
      <c r="G466" s="10">
        <f>CHOOSE(CONTROL!$C$42, 11.8341, 11.8341)*CHOOSE(CONTROL!$C$21, $C$9, 100%, $E$9)</f>
        <v>11.834099999999999</v>
      </c>
      <c r="H466" s="10">
        <f>CHOOSE(CONTROL!$C$42, 12.0359, 12.0359) * CHOOSE(CONTROL!$C$21, $C$9, 100%, $E$9)</f>
        <v>12.0359</v>
      </c>
      <c r="I466" s="10">
        <f>CHOOSE(CONTROL!$C$42, 11.8066, 11.8066)* CHOOSE(CONTROL!$C$21, $C$9, 100%, $E$9)</f>
        <v>11.8066</v>
      </c>
      <c r="J466" s="10">
        <f>CHOOSE(CONTROL!$C$42, 11.8093, 11.8093)* CHOOSE(CONTROL!$C$21, $C$9, 100%, $E$9)</f>
        <v>11.8093</v>
      </c>
      <c r="K466" s="54">
        <f>CHOOSE(CONTROL!$C$42, 11.8027, 11.8027) * CHOOSE(CONTROL!$C$21, $C$9, 100%, $E$9)</f>
        <v>11.8027</v>
      </c>
      <c r="L466" s="10">
        <f>CHOOSE(CONTROL!$C$42, 12.6229, 12.6229) * CHOOSE(CONTROL!$C$21, $C$9, 100%, $E$9)</f>
        <v>12.6229</v>
      </c>
      <c r="M466" s="10">
        <f>CHOOSE(CONTROL!$C$42, 11.7039, 11.7039) * CHOOSE(CONTROL!$C$21, $C$9, 100%, $E$9)</f>
        <v>11.703900000000001</v>
      </c>
      <c r="N466" s="10">
        <f>CHOOSE(CONTROL!$C$42, 11.7216, 11.7216) * CHOOSE(CONTROL!$C$21, $C$9, 100%, $E$9)</f>
        <v>11.7216</v>
      </c>
      <c r="O466" s="10">
        <f>CHOOSE(CONTROL!$C$42, 11.9283, 11.9283) * CHOOSE(CONTROL!$C$21, $C$9, 100%, $E$9)</f>
        <v>11.9283</v>
      </c>
      <c r="P466" s="10">
        <f>CHOOSE(CONTROL!$C$42, 11.7013, 11.7013) * CHOOSE(CONTROL!$C$21, $C$9, 100%, $E$9)</f>
        <v>11.7013</v>
      </c>
      <c r="Q466" s="10">
        <f>CHOOSE(CONTROL!$C$42, 12.5236, 12.5236) * CHOOSE(CONTROL!$C$21, $C$9, 100%, $E$9)</f>
        <v>12.5236</v>
      </c>
      <c r="R466" s="10">
        <f>CHOOSE(CONTROL!$C$42, 13.1419, 13.1419) * CHOOSE(CONTROL!$C$21, $C$9, 100%, $E$9)</f>
        <v>13.1419</v>
      </c>
      <c r="S466" s="10">
        <f>CHOOSE(CONTROL!$C$42, 11.4836, 11.4836) * CHOOSE(CONTROL!$C$21, $C$9, 100%, $E$9)</f>
        <v>11.483599999999999</v>
      </c>
      <c r="T466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66" s="58">
        <f>(1000*CHOOSE(CONTROL!$C$42, 695, 695)*CHOOSE(CONTROL!$C$42, 0.5599, 0.5599)*CHOOSE(CONTROL!$C$42, 31, 31))/1000000</f>
        <v>12.063045499999998</v>
      </c>
      <c r="V466" s="58">
        <f>(1000*CHOOSE(CONTROL!$C$42, 500, 500)*CHOOSE(CONTROL!$C$42, 0.275, 0.275)*CHOOSE(CONTROL!$C$42, 31, 31))/1000000</f>
        <v>4.2625000000000002</v>
      </c>
      <c r="W466" s="58">
        <f>(1000*CHOOSE(CONTROL!$C$42, 0.1146, 0.1146)*CHOOSE(CONTROL!$C$42, 121.5, 121.5)*CHOOSE(CONTROL!$C$42, 31, 31))/1000000</f>
        <v>0.43164089999999994</v>
      </c>
      <c r="X466" s="58">
        <f>(31*0.1790888*245000/1000000)+(31*0.2374*100000/1000000)</f>
        <v>2.0961194359999999</v>
      </c>
      <c r="Y466" s="58"/>
      <c r="Z466" s="10"/>
      <c r="AA466" s="57"/>
      <c r="AB466" s="51">
        <f>(B466*131.881+C466*277.167+D466*79.08+E466*125.872+F466*40+G466*185+H466*0+I466*100+J466*300)/(131.881+277.167+79.08+125.872+0+40+185+100+300)</f>
        <v>11.85753181953188</v>
      </c>
      <c r="AC466" s="27">
        <f>(M466*'RAP TEMPLATE-GAS AVAILABILITY'!O465+N466*'RAP TEMPLATE-GAS AVAILABILITY'!P465+O466*'RAP TEMPLATE-GAS AVAILABILITY'!Q465+P466*'RAP TEMPLATE-GAS AVAILABILITY'!R465)/('RAP TEMPLATE-GAS AVAILABILITY'!O465+'RAP TEMPLATE-GAS AVAILABILITY'!P465+'RAP TEMPLATE-GAS AVAILABILITY'!Q465+'RAP TEMPLATE-GAS AVAILABILITY'!R465)</f>
        <v>11.770561870503597</v>
      </c>
    </row>
    <row r="467" spans="1:29" ht="15.75" x14ac:dyDescent="0.25">
      <c r="A467" s="14">
        <v>55487</v>
      </c>
      <c r="B467" s="10">
        <f>CHOOSE(CONTROL!$C$42, 12.139, 12.139) * CHOOSE(CONTROL!$C$21, $C$9, 100%, $E$9)</f>
        <v>12.138999999999999</v>
      </c>
      <c r="C467" s="10">
        <f>CHOOSE(CONTROL!$C$42, 12.144, 12.144) * CHOOSE(CONTROL!$C$21, $C$9, 100%, $E$9)</f>
        <v>12.144</v>
      </c>
      <c r="D467" s="10">
        <f>CHOOSE(CONTROL!$C$42, 12.1736, 12.1736) * CHOOSE(CONTROL!$C$21, $C$9, 100%, $E$9)</f>
        <v>12.1736</v>
      </c>
      <c r="E467" s="10">
        <f>CHOOSE(CONTROL!$C$42, 12.2074, 12.2074) * CHOOSE(CONTROL!$C$21, $C$9, 100%, $E$9)</f>
        <v>12.2074</v>
      </c>
      <c r="F467" s="10">
        <f>CHOOSE(CONTROL!$C$42, 12.1248, 12.1248)*CHOOSE(CONTROL!$C$21, $C$9, 100%, $E$9)</f>
        <v>12.1248</v>
      </c>
      <c r="G467" s="10">
        <f>CHOOSE(CONTROL!$C$42, 12.1428, 12.1428)*CHOOSE(CONTROL!$C$21, $C$9, 100%, $E$9)</f>
        <v>12.142799999999999</v>
      </c>
      <c r="H467" s="10">
        <f>CHOOSE(CONTROL!$C$42, 12.1966, 12.1966) * CHOOSE(CONTROL!$C$21, $C$9, 100%, $E$9)</f>
        <v>12.1966</v>
      </c>
      <c r="I467" s="10">
        <f>CHOOSE(CONTROL!$C$42, 12.1052, 12.1052)* CHOOSE(CONTROL!$C$21, $C$9, 100%, $E$9)</f>
        <v>12.1052</v>
      </c>
      <c r="J467" s="10">
        <f>CHOOSE(CONTROL!$C$42, 12.1178, 12.1178)* CHOOSE(CONTROL!$C$21, $C$9, 100%, $E$9)</f>
        <v>12.117800000000001</v>
      </c>
      <c r="K467" s="54">
        <f>CHOOSE(CONTROL!$C$42, 12.1013, 12.1013) * CHOOSE(CONTROL!$C$21, $C$9, 100%, $E$9)</f>
        <v>12.1013</v>
      </c>
      <c r="L467" s="10">
        <f>CHOOSE(CONTROL!$C$42, 12.7836, 12.7836) * CHOOSE(CONTROL!$C$21, $C$9, 100%, $E$9)</f>
        <v>12.7836</v>
      </c>
      <c r="M467" s="10">
        <f>CHOOSE(CONTROL!$C$42, 12.0093, 12.0093) * CHOOSE(CONTROL!$C$21, $C$9, 100%, $E$9)</f>
        <v>12.0093</v>
      </c>
      <c r="N467" s="10">
        <f>CHOOSE(CONTROL!$C$42, 12.0272, 12.0272) * CHOOSE(CONTROL!$C$21, $C$9, 100%, $E$9)</f>
        <v>12.027200000000001</v>
      </c>
      <c r="O467" s="10">
        <f>CHOOSE(CONTROL!$C$42, 12.0873, 12.0873) * CHOOSE(CONTROL!$C$21, $C$9, 100%, $E$9)</f>
        <v>12.087300000000001</v>
      </c>
      <c r="P467" s="10">
        <f>CHOOSE(CONTROL!$C$42, 11.9969, 11.9969) * CHOOSE(CONTROL!$C$21, $C$9, 100%, $E$9)</f>
        <v>11.9969</v>
      </c>
      <c r="Q467" s="10">
        <f>CHOOSE(CONTROL!$C$42, 12.6826, 12.6826) * CHOOSE(CONTROL!$C$21, $C$9, 100%, $E$9)</f>
        <v>12.682600000000001</v>
      </c>
      <c r="R467" s="10">
        <f>CHOOSE(CONTROL!$C$42, 13.3013, 13.3013) * CHOOSE(CONTROL!$C$21, $C$9, 100%, $E$9)</f>
        <v>13.301299999999999</v>
      </c>
      <c r="S467" s="10">
        <f>CHOOSE(CONTROL!$C$42, 11.7861, 11.7861) * CHOOSE(CONTROL!$C$21, $C$9, 100%, $E$9)</f>
        <v>11.786099999999999</v>
      </c>
      <c r="T467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67" s="58">
        <f>(1000*CHOOSE(CONTROL!$C$42, 695, 695)*CHOOSE(CONTROL!$C$42, 0.5599, 0.5599)*CHOOSE(CONTROL!$C$42, 30, 30))/1000000</f>
        <v>11.673914999999997</v>
      </c>
      <c r="V467" s="58">
        <f>(1000*CHOOSE(CONTROL!$C$42, 500, 500)*CHOOSE(CONTROL!$C$42, 0.275, 0.275)*CHOOSE(CONTROL!$C$42, 30, 30))/1000000</f>
        <v>4.125</v>
      </c>
      <c r="W467" s="58">
        <f>(1000*CHOOSE(CONTROL!$C$42, 0.1146, 0.1146)*CHOOSE(CONTROL!$C$42, 121.5, 121.5)*CHOOSE(CONTROL!$C$42, 30, 30))/1000000</f>
        <v>0.417717</v>
      </c>
      <c r="X467" s="58">
        <f>(30*0.1790888*100000/1000000)+(30*0.2374*100000/1000000)</f>
        <v>1.2494664</v>
      </c>
      <c r="Y467" s="58"/>
      <c r="Z467" s="10"/>
      <c r="AA467" s="57"/>
      <c r="AB467" s="51">
        <f>(B467*122.58+C467*297.941+D467*89.177+E467*40.302+F467*40+G467*160+H467*0+I467*100+J467*300)/(122.58+297.941+89.177+40.302+0+40+160+100+300)</f>
        <v>12.136940770434784</v>
      </c>
      <c r="AC467" s="27">
        <f>(M467*'RAP TEMPLATE-GAS AVAILABILITY'!O466+N467*'RAP TEMPLATE-GAS AVAILABILITY'!P466+O467*'RAP TEMPLATE-GAS AVAILABILITY'!Q466+P467*'RAP TEMPLATE-GAS AVAILABILITY'!R466)/('RAP TEMPLATE-GAS AVAILABILITY'!O466+'RAP TEMPLATE-GAS AVAILABILITY'!P466+'RAP TEMPLATE-GAS AVAILABILITY'!Q466+'RAP TEMPLATE-GAS AVAILABILITY'!R466)</f>
        <v>12.04389856115108</v>
      </c>
    </row>
    <row r="468" spans="1:29" ht="15.75" x14ac:dyDescent="0.25">
      <c r="A468" s="14">
        <v>55518</v>
      </c>
      <c r="B468" s="10">
        <f>CHOOSE(CONTROL!$C$42, 12.9665, 12.9665) * CHOOSE(CONTROL!$C$21, $C$9, 100%, $E$9)</f>
        <v>12.9665</v>
      </c>
      <c r="C468" s="10">
        <f>CHOOSE(CONTROL!$C$42, 12.9714, 12.9714) * CHOOSE(CONTROL!$C$21, $C$9, 100%, $E$9)</f>
        <v>12.971399999999999</v>
      </c>
      <c r="D468" s="10">
        <f>CHOOSE(CONTROL!$C$42, 13.001, 13.001) * CHOOSE(CONTROL!$C$21, $C$9, 100%, $E$9)</f>
        <v>13.000999999999999</v>
      </c>
      <c r="E468" s="10">
        <f>CHOOSE(CONTROL!$C$42, 13.0348, 13.0348) * CHOOSE(CONTROL!$C$21, $C$9, 100%, $E$9)</f>
        <v>13.034800000000001</v>
      </c>
      <c r="F468" s="10">
        <f>CHOOSE(CONTROL!$C$42, 12.9538, 12.9538)*CHOOSE(CONTROL!$C$21, $C$9, 100%, $E$9)</f>
        <v>12.953799999999999</v>
      </c>
      <c r="G468" s="10">
        <f>CHOOSE(CONTROL!$C$42, 12.9722, 12.9722)*CHOOSE(CONTROL!$C$21, $C$9, 100%, $E$9)</f>
        <v>12.972200000000001</v>
      </c>
      <c r="H468" s="10">
        <f>CHOOSE(CONTROL!$C$42, 13.024, 13.024) * CHOOSE(CONTROL!$C$21, $C$9, 100%, $E$9)</f>
        <v>13.023999999999999</v>
      </c>
      <c r="I468" s="10">
        <f>CHOOSE(CONTROL!$C$42, 12.9326, 12.9326)* CHOOSE(CONTROL!$C$21, $C$9, 100%, $E$9)</f>
        <v>12.932600000000001</v>
      </c>
      <c r="J468" s="10">
        <f>CHOOSE(CONTROL!$C$42, 12.9468, 12.9468)* CHOOSE(CONTROL!$C$21, $C$9, 100%, $E$9)</f>
        <v>12.9468</v>
      </c>
      <c r="K468" s="54">
        <f>CHOOSE(CONTROL!$C$42, 12.9287, 12.9287) * CHOOSE(CONTROL!$C$21, $C$9, 100%, $E$9)</f>
        <v>12.928699999999999</v>
      </c>
      <c r="L468" s="10">
        <f>CHOOSE(CONTROL!$C$42, 13.611, 13.611) * CHOOSE(CONTROL!$C$21, $C$9, 100%, $E$9)</f>
        <v>13.611000000000001</v>
      </c>
      <c r="M468" s="10">
        <f>CHOOSE(CONTROL!$C$42, 12.8299, 12.8299) * CHOOSE(CONTROL!$C$21, $C$9, 100%, $E$9)</f>
        <v>12.8299</v>
      </c>
      <c r="N468" s="10">
        <f>CHOOSE(CONTROL!$C$42, 12.8482, 12.8482) * CHOOSE(CONTROL!$C$21, $C$9, 100%, $E$9)</f>
        <v>12.8482</v>
      </c>
      <c r="O468" s="10">
        <f>CHOOSE(CONTROL!$C$42, 12.9064, 12.9064) * CHOOSE(CONTROL!$C$21, $C$9, 100%, $E$9)</f>
        <v>12.9064</v>
      </c>
      <c r="P468" s="10">
        <f>CHOOSE(CONTROL!$C$42, 12.816, 12.816) * CHOOSE(CONTROL!$C$21, $C$9, 100%, $E$9)</f>
        <v>12.816000000000001</v>
      </c>
      <c r="Q468" s="10">
        <f>CHOOSE(CONTROL!$C$42, 13.5017, 13.5017) * CHOOSE(CONTROL!$C$21, $C$9, 100%, $E$9)</f>
        <v>13.5017</v>
      </c>
      <c r="R468" s="10">
        <f>CHOOSE(CONTROL!$C$42, 14.1224, 14.1224) * CHOOSE(CONTROL!$C$21, $C$9, 100%, $E$9)</f>
        <v>14.122400000000001</v>
      </c>
      <c r="S468" s="10">
        <f>CHOOSE(CONTROL!$C$42, 12.5896, 12.5896) * CHOOSE(CONTROL!$C$21, $C$9, 100%, $E$9)</f>
        <v>12.589600000000001</v>
      </c>
      <c r="T468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68" s="58">
        <f>(1000*CHOOSE(CONTROL!$C$42, 695, 695)*CHOOSE(CONTROL!$C$42, 0.5599, 0.5599)*CHOOSE(CONTROL!$C$42, 31, 31))/1000000</f>
        <v>12.063045499999998</v>
      </c>
      <c r="V468" s="58">
        <f>(1000*CHOOSE(CONTROL!$C$42, 500, 500)*CHOOSE(CONTROL!$C$42, 0.275, 0.275)*CHOOSE(CONTROL!$C$42, 31, 31))/1000000</f>
        <v>4.2625000000000002</v>
      </c>
      <c r="W468" s="58">
        <f>(1000*CHOOSE(CONTROL!$C$42, 0.1146, 0.1146)*CHOOSE(CONTROL!$C$42, 121.5, 121.5)*CHOOSE(CONTROL!$C$42, 31, 31))/1000000</f>
        <v>0.43164089999999994</v>
      </c>
      <c r="X468" s="58">
        <f>(31*0.1790888*100000/1000000)+(31*0.2374*100000/1000000)</f>
        <v>1.2911152800000001</v>
      </c>
      <c r="Y468" s="58"/>
      <c r="Z468" s="10"/>
      <c r="AA468" s="57"/>
      <c r="AB468" s="51">
        <f>(B468*122.58+C468*297.941+D468*89.177+E468*40.302+F468*40+G468*160+H468*0+I468*100+J468*300)/(122.58+297.941+89.177+40.302+0+40+160+100+300)</f>
        <v>12.965102733913044</v>
      </c>
      <c r="AC468" s="27">
        <f>(M468*'RAP TEMPLATE-GAS AVAILABILITY'!O467+N468*'RAP TEMPLATE-GAS AVAILABILITY'!P467+O468*'RAP TEMPLATE-GAS AVAILABILITY'!Q467+P468*'RAP TEMPLATE-GAS AVAILABILITY'!R467)/('RAP TEMPLATE-GAS AVAILABILITY'!O467+'RAP TEMPLATE-GAS AVAILABILITY'!P467+'RAP TEMPLATE-GAS AVAILABILITY'!Q467+'RAP TEMPLATE-GAS AVAILABILITY'!R467)</f>
        <v>12.863625899280574</v>
      </c>
    </row>
    <row r="469" spans="1:29" ht="15.75" x14ac:dyDescent="0.25">
      <c r="A469" s="14">
        <v>55549</v>
      </c>
      <c r="B469" s="10">
        <f>CHOOSE(CONTROL!$C$42, 13.8414, 13.8414) * CHOOSE(CONTROL!$C$21, $C$9, 100%, $E$9)</f>
        <v>13.8414</v>
      </c>
      <c r="C469" s="10">
        <f>CHOOSE(CONTROL!$C$42, 13.8464, 13.8464) * CHOOSE(CONTROL!$C$21, $C$9, 100%, $E$9)</f>
        <v>13.846399999999999</v>
      </c>
      <c r="D469" s="10">
        <f>CHOOSE(CONTROL!$C$42, 13.8966, 13.8966) * CHOOSE(CONTROL!$C$21, $C$9, 100%, $E$9)</f>
        <v>13.896599999999999</v>
      </c>
      <c r="E469" s="10">
        <f>CHOOSE(CONTROL!$C$42, 13.9304, 13.9304) * CHOOSE(CONTROL!$C$21, $C$9, 100%, $E$9)</f>
        <v>13.930400000000001</v>
      </c>
      <c r="F469" s="10">
        <f>CHOOSE(CONTROL!$C$42, 13.8068, 13.8068)*CHOOSE(CONTROL!$C$21, $C$9, 100%, $E$9)</f>
        <v>13.806800000000001</v>
      </c>
      <c r="G469" s="10">
        <f>CHOOSE(CONTROL!$C$42, 13.8243, 13.8243)*CHOOSE(CONTROL!$C$21, $C$9, 100%, $E$9)</f>
        <v>13.824299999999999</v>
      </c>
      <c r="H469" s="10">
        <f>CHOOSE(CONTROL!$C$42, 13.9196, 13.9196) * CHOOSE(CONTROL!$C$21, $C$9, 100%, $E$9)</f>
        <v>13.919600000000001</v>
      </c>
      <c r="I469" s="10">
        <f>CHOOSE(CONTROL!$C$42, 13.8153, 13.8153)* CHOOSE(CONTROL!$C$21, $C$9, 100%, $E$9)</f>
        <v>13.815300000000001</v>
      </c>
      <c r="J469" s="10">
        <f>CHOOSE(CONTROL!$C$42, 13.7998, 13.7998)* CHOOSE(CONTROL!$C$21, $C$9, 100%, $E$9)</f>
        <v>13.799799999999999</v>
      </c>
      <c r="K469" s="54">
        <f>CHOOSE(CONTROL!$C$42, 13.8114, 13.8114) * CHOOSE(CONTROL!$C$21, $C$9, 100%, $E$9)</f>
        <v>13.811400000000001</v>
      </c>
      <c r="L469" s="10">
        <f>CHOOSE(CONTROL!$C$42, 14.5066, 14.5066) * CHOOSE(CONTROL!$C$21, $C$9, 100%, $E$9)</f>
        <v>14.506600000000001</v>
      </c>
      <c r="M469" s="10">
        <f>CHOOSE(CONTROL!$C$42, 13.6743, 13.6743) * CHOOSE(CONTROL!$C$21, $C$9, 100%, $E$9)</f>
        <v>13.674300000000001</v>
      </c>
      <c r="N469" s="10">
        <f>CHOOSE(CONTROL!$C$42, 13.6917, 13.6917) * CHOOSE(CONTROL!$C$21, $C$9, 100%, $E$9)</f>
        <v>13.691700000000001</v>
      </c>
      <c r="O469" s="10">
        <f>CHOOSE(CONTROL!$C$42, 13.7929, 13.7929) * CHOOSE(CONTROL!$C$21, $C$9, 100%, $E$9)</f>
        <v>13.792899999999999</v>
      </c>
      <c r="P469" s="10">
        <f>CHOOSE(CONTROL!$C$42, 13.6898, 13.6898) * CHOOSE(CONTROL!$C$21, $C$9, 100%, $E$9)</f>
        <v>13.6898</v>
      </c>
      <c r="Q469" s="10">
        <f>CHOOSE(CONTROL!$C$42, 14.3882, 14.3882) * CHOOSE(CONTROL!$C$21, $C$9, 100%, $E$9)</f>
        <v>14.388199999999999</v>
      </c>
      <c r="R469" s="10">
        <f>CHOOSE(CONTROL!$C$42, 15.0112, 15.0112) * CHOOSE(CONTROL!$C$21, $C$9, 100%, $E$9)</f>
        <v>15.011200000000001</v>
      </c>
      <c r="S469" s="10">
        <f>CHOOSE(CONTROL!$C$42, 13.4393, 13.4393) * CHOOSE(CONTROL!$C$21, $C$9, 100%, $E$9)</f>
        <v>13.439299999999999</v>
      </c>
      <c r="T469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69" s="58">
        <f>(1000*CHOOSE(CONTROL!$C$42, 695, 695)*CHOOSE(CONTROL!$C$42, 0.5599, 0.5599)*CHOOSE(CONTROL!$C$42, 31, 31))/1000000</f>
        <v>12.063045499999998</v>
      </c>
      <c r="V469" s="58">
        <f>(1000*CHOOSE(CONTROL!$C$42, 500, 500)*CHOOSE(CONTROL!$C$42, 0.275, 0.275)*CHOOSE(CONTROL!$C$42, 31, 31))/1000000</f>
        <v>4.2625000000000002</v>
      </c>
      <c r="W469" s="58">
        <f>(1000*CHOOSE(CONTROL!$C$42, 0.1146, 0.1146)*CHOOSE(CONTROL!$C$42, 121.5, 121.5)*CHOOSE(CONTROL!$C$42, 31, 31))/1000000</f>
        <v>0.43164089999999994</v>
      </c>
      <c r="X469" s="58">
        <f>(31*0.1790888*100000/1000000)+(31*0.2374*100000/1000000)</f>
        <v>1.2911152800000001</v>
      </c>
      <c r="Y469" s="58"/>
      <c r="Z469" s="10"/>
      <c r="AA469" s="57"/>
      <c r="AB469" s="51">
        <f>(B469*122.58+C469*297.941+D469*89.177+E469*40.302+F469*40+G469*160+H469*0+I469*100+J469*300)/(122.58+297.941+89.177+40.302+0+40+160+100+300)</f>
        <v>13.833390568173915</v>
      </c>
      <c r="AC469" s="27">
        <f>(M469*'RAP TEMPLATE-GAS AVAILABILITY'!O468+N469*'RAP TEMPLATE-GAS AVAILABILITY'!P468+O469*'RAP TEMPLATE-GAS AVAILABILITY'!Q468+P469*'RAP TEMPLATE-GAS AVAILABILITY'!R468)/('RAP TEMPLATE-GAS AVAILABILITY'!O468+'RAP TEMPLATE-GAS AVAILABILITY'!P468+'RAP TEMPLATE-GAS AVAILABILITY'!Q468+'RAP TEMPLATE-GAS AVAILABILITY'!R468)</f>
        <v>13.731285611510792</v>
      </c>
    </row>
    <row r="470" spans="1:29" ht="15.75" x14ac:dyDescent="0.25">
      <c r="A470" s="14">
        <v>55577</v>
      </c>
      <c r="B470" s="10">
        <f>CHOOSE(CONTROL!$C$42, 14.0878, 14.0878) * CHOOSE(CONTROL!$C$21, $C$9, 100%, $E$9)</f>
        <v>14.0878</v>
      </c>
      <c r="C470" s="10">
        <f>CHOOSE(CONTROL!$C$42, 14.0927, 14.0927) * CHOOSE(CONTROL!$C$21, $C$9, 100%, $E$9)</f>
        <v>14.092700000000001</v>
      </c>
      <c r="D470" s="10">
        <f>CHOOSE(CONTROL!$C$42, 14.2099, 14.2099) * CHOOSE(CONTROL!$C$21, $C$9, 100%, $E$9)</f>
        <v>14.209899999999999</v>
      </c>
      <c r="E470" s="10">
        <f>CHOOSE(CONTROL!$C$42, 14.2436, 14.2436) * CHOOSE(CONTROL!$C$21, $C$9, 100%, $E$9)</f>
        <v>14.243600000000001</v>
      </c>
      <c r="F470" s="10">
        <f>CHOOSE(CONTROL!$C$42, 14.1654, 14.1654)*CHOOSE(CONTROL!$C$21, $C$9, 100%, $E$9)</f>
        <v>14.1654</v>
      </c>
      <c r="G470" s="10">
        <f>CHOOSE(CONTROL!$C$42, 14.1873, 14.1873)*CHOOSE(CONTROL!$C$21, $C$9, 100%, $E$9)</f>
        <v>14.1873</v>
      </c>
      <c r="H470" s="10">
        <f>CHOOSE(CONTROL!$C$42, 14.2328, 14.2328) * CHOOSE(CONTROL!$C$21, $C$9, 100%, $E$9)</f>
        <v>14.232799999999999</v>
      </c>
      <c r="I470" s="10">
        <f>CHOOSE(CONTROL!$C$42, 14.1234, 14.1234)* CHOOSE(CONTROL!$C$21, $C$9, 100%, $E$9)</f>
        <v>14.1234</v>
      </c>
      <c r="J470" s="10">
        <f>CHOOSE(CONTROL!$C$42, 14.1584, 14.1584)* CHOOSE(CONTROL!$C$21, $C$9, 100%, $E$9)</f>
        <v>14.1584</v>
      </c>
      <c r="K470" s="54">
        <f>CHOOSE(CONTROL!$C$42, 14.1196, 14.1196) * CHOOSE(CONTROL!$C$21, $C$9, 100%, $E$9)</f>
        <v>14.1196</v>
      </c>
      <c r="L470" s="10">
        <f>CHOOSE(CONTROL!$C$42, 14.8198, 14.8198) * CHOOSE(CONTROL!$C$21, $C$9, 100%, $E$9)</f>
        <v>14.819800000000001</v>
      </c>
      <c r="M470" s="10">
        <f>CHOOSE(CONTROL!$C$42, 14.0293, 14.0293) * CHOOSE(CONTROL!$C$21, $C$9, 100%, $E$9)</f>
        <v>14.029299999999999</v>
      </c>
      <c r="N470" s="10">
        <f>CHOOSE(CONTROL!$C$42, 14.051, 14.051) * CHOOSE(CONTROL!$C$21, $C$9, 100%, $E$9)</f>
        <v>14.051</v>
      </c>
      <c r="O470" s="10">
        <f>CHOOSE(CONTROL!$C$42, 14.103, 14.103) * CHOOSE(CONTROL!$C$21, $C$9, 100%, $E$9)</f>
        <v>14.103</v>
      </c>
      <c r="P470" s="10">
        <f>CHOOSE(CONTROL!$C$42, 13.9948, 13.9948) * CHOOSE(CONTROL!$C$21, $C$9, 100%, $E$9)</f>
        <v>13.9948</v>
      </c>
      <c r="Q470" s="10">
        <f>CHOOSE(CONTROL!$C$42, 14.6983, 14.6983) * CHOOSE(CONTROL!$C$21, $C$9, 100%, $E$9)</f>
        <v>14.6983</v>
      </c>
      <c r="R470" s="10">
        <f>CHOOSE(CONTROL!$C$42, 15.3221, 15.3221) * CHOOSE(CONTROL!$C$21, $C$9, 100%, $E$9)</f>
        <v>15.322100000000001</v>
      </c>
      <c r="S470" s="10">
        <f>CHOOSE(CONTROL!$C$42, 13.6785, 13.6785) * CHOOSE(CONTROL!$C$21, $C$9, 100%, $E$9)</f>
        <v>13.6785</v>
      </c>
      <c r="T470" s="5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470" s="58">
        <f>(1000*CHOOSE(CONTROL!$C$42, 695, 695)*CHOOSE(CONTROL!$C$42, 0.5599, 0.5599)*CHOOSE(CONTROL!$C$42, 29, 29))/1000000</f>
        <v>11.284784499999999</v>
      </c>
      <c r="V470" s="58">
        <f>(1000*CHOOSE(CONTROL!$C$42, 500, 500)*CHOOSE(CONTROL!$C$42, 0.275, 0.275)*CHOOSE(CONTROL!$C$42, 29, 29))/1000000</f>
        <v>3.9874999999999998</v>
      </c>
      <c r="W470" s="58">
        <f>(1000*CHOOSE(CONTROL!$C$42, 0.1146, 0.1146)*CHOOSE(CONTROL!$C$42, 121.5, 121.5)*CHOOSE(CONTROL!$C$42, 29, 29))/1000000</f>
        <v>0.40379309999999996</v>
      </c>
      <c r="X470" s="58">
        <f>(29*0.1790888*100000/1000000)+(29*0.2374*100000/1000000)</f>
        <v>1.2078175199999999</v>
      </c>
      <c r="Y470" s="58"/>
      <c r="Z470" s="10"/>
      <c r="AA470" s="57"/>
      <c r="AB470" s="51">
        <f>(B470*122.58+C470*297.941+D470*89.177+E470*40.302+F470*40+G470*160+H470*0+I470*100+J470*300)/(122.58+297.941+89.177+40.302+0+40+160+100+300)</f>
        <v>14.142053455826087</v>
      </c>
      <c r="AC470" s="27">
        <f>(M470*'RAP TEMPLATE-GAS AVAILABILITY'!O469+N470*'RAP TEMPLATE-GAS AVAILABILITY'!P469+O470*'RAP TEMPLATE-GAS AVAILABILITY'!Q469+P470*'RAP TEMPLATE-GAS AVAILABILITY'!R469)/('RAP TEMPLATE-GAS AVAILABILITY'!O469+'RAP TEMPLATE-GAS AVAILABILITY'!P469+'RAP TEMPLATE-GAS AVAILABILITY'!Q469+'RAP TEMPLATE-GAS AVAILABILITY'!R469)</f>
        <v>14.058988489208632</v>
      </c>
    </row>
    <row r="471" spans="1:29" ht="15.75" x14ac:dyDescent="0.25">
      <c r="A471" s="14">
        <v>55609</v>
      </c>
      <c r="B471" s="10">
        <f>CHOOSE(CONTROL!$C$42, 13.6879, 13.6879) * CHOOSE(CONTROL!$C$21, $C$9, 100%, $E$9)</f>
        <v>13.687900000000001</v>
      </c>
      <c r="C471" s="10">
        <f>CHOOSE(CONTROL!$C$42, 13.6928, 13.6928) * CHOOSE(CONTROL!$C$21, $C$9, 100%, $E$9)</f>
        <v>13.6928</v>
      </c>
      <c r="D471" s="10">
        <f>CHOOSE(CONTROL!$C$42, 13.7842, 13.7842) * CHOOSE(CONTROL!$C$21, $C$9, 100%, $E$9)</f>
        <v>13.7842</v>
      </c>
      <c r="E471" s="10">
        <f>CHOOSE(CONTROL!$C$42, 13.818, 13.818) * CHOOSE(CONTROL!$C$21, $C$9, 100%, $E$9)</f>
        <v>13.818</v>
      </c>
      <c r="F471" s="10">
        <f>CHOOSE(CONTROL!$C$42, 13.7177, 13.7177)*CHOOSE(CONTROL!$C$21, $C$9, 100%, $E$9)</f>
        <v>13.717700000000001</v>
      </c>
      <c r="G471" s="10">
        <f>CHOOSE(CONTROL!$C$42, 13.7372, 13.7372)*CHOOSE(CONTROL!$C$21, $C$9, 100%, $E$9)</f>
        <v>13.7372</v>
      </c>
      <c r="H471" s="10">
        <f>CHOOSE(CONTROL!$C$42, 13.8072, 13.8072) * CHOOSE(CONTROL!$C$21, $C$9, 100%, $E$9)</f>
        <v>13.8072</v>
      </c>
      <c r="I471" s="10">
        <f>CHOOSE(CONTROL!$C$42, 13.7107, 13.7107)* CHOOSE(CONTROL!$C$21, $C$9, 100%, $E$9)</f>
        <v>13.710699999999999</v>
      </c>
      <c r="J471" s="10">
        <f>CHOOSE(CONTROL!$C$42, 13.7107, 13.7107)* CHOOSE(CONTROL!$C$21, $C$9, 100%, $E$9)</f>
        <v>13.710699999999999</v>
      </c>
      <c r="K471" s="54">
        <f>CHOOSE(CONTROL!$C$42, 13.7068, 13.7068) * CHOOSE(CONTROL!$C$21, $C$9, 100%, $E$9)</f>
        <v>13.706799999999999</v>
      </c>
      <c r="L471" s="10">
        <f>CHOOSE(CONTROL!$C$42, 14.3942, 14.3942) * CHOOSE(CONTROL!$C$21, $C$9, 100%, $E$9)</f>
        <v>14.3942</v>
      </c>
      <c r="M471" s="10">
        <f>CHOOSE(CONTROL!$C$42, 13.5862, 13.5862) * CHOOSE(CONTROL!$C$21, $C$9, 100%, $E$9)</f>
        <v>13.5862</v>
      </c>
      <c r="N471" s="10">
        <f>CHOOSE(CONTROL!$C$42, 13.6055, 13.6055) * CHOOSE(CONTROL!$C$21, $C$9, 100%, $E$9)</f>
        <v>13.605499999999999</v>
      </c>
      <c r="O471" s="10">
        <f>CHOOSE(CONTROL!$C$42, 13.6817, 13.6817) * CHOOSE(CONTROL!$C$21, $C$9, 100%, $E$9)</f>
        <v>13.681699999999999</v>
      </c>
      <c r="P471" s="10">
        <f>CHOOSE(CONTROL!$C$42, 13.5862, 13.5862) * CHOOSE(CONTROL!$C$21, $C$9, 100%, $E$9)</f>
        <v>13.5862</v>
      </c>
      <c r="Q471" s="10">
        <f>CHOOSE(CONTROL!$C$42, 14.277, 14.277) * CHOOSE(CONTROL!$C$21, $C$9, 100%, $E$9)</f>
        <v>14.276999999999999</v>
      </c>
      <c r="R471" s="10">
        <f>CHOOSE(CONTROL!$C$42, 14.8997, 14.8997) * CHOOSE(CONTROL!$C$21, $C$9, 100%, $E$9)</f>
        <v>14.899699999999999</v>
      </c>
      <c r="S471" s="10">
        <f>CHOOSE(CONTROL!$C$42, 13.2902, 13.2902) * CHOOSE(CONTROL!$C$21, $C$9, 100%, $E$9)</f>
        <v>13.2902</v>
      </c>
      <c r="T471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471" s="58">
        <f>(1000*CHOOSE(CONTROL!$C$42, 695, 695)*CHOOSE(CONTROL!$C$42, 0.5599, 0.5599)*CHOOSE(CONTROL!$C$42, 31, 31))/1000000</f>
        <v>12.063045499999998</v>
      </c>
      <c r="V471" s="58">
        <f>(1000*CHOOSE(CONTROL!$C$42, 500, 500)*CHOOSE(CONTROL!$C$42, 0.275, 0.275)*CHOOSE(CONTROL!$C$42, 31, 31))/1000000</f>
        <v>4.2625000000000002</v>
      </c>
      <c r="W471" s="58">
        <f>(1000*CHOOSE(CONTROL!$C$42, 0.1146, 0.1146)*CHOOSE(CONTROL!$C$42, 121.5, 121.5)*CHOOSE(CONTROL!$C$42, 31, 31))/1000000</f>
        <v>0.43164089999999994</v>
      </c>
      <c r="X471" s="58">
        <f>(31*0.1790888*100000/1000000)+(31*0.2374*100000/1000000)</f>
        <v>1.2911152800000001</v>
      </c>
      <c r="Y471" s="58"/>
      <c r="Z471" s="10"/>
      <c r="AA471" s="57"/>
      <c r="AB471" s="51">
        <f>(B471*122.58+C471*297.941+D471*89.177+E471*40.302+F471*40+G471*160+H471*0+I471*100+J471*300)/(122.58+297.941+89.177+40.302+0+40+160+100+300)</f>
        <v>13.717022561913042</v>
      </c>
      <c r="AC471" s="27">
        <f>(M471*'RAP TEMPLATE-GAS AVAILABILITY'!O470+N471*'RAP TEMPLATE-GAS AVAILABILITY'!P470+O471*'RAP TEMPLATE-GAS AVAILABILITY'!Q470+P471*'RAP TEMPLATE-GAS AVAILABILITY'!R470)/('RAP TEMPLATE-GAS AVAILABILITY'!O470+'RAP TEMPLATE-GAS AVAILABILITY'!P470+'RAP TEMPLATE-GAS AVAILABILITY'!Q470+'RAP TEMPLATE-GAS AVAILABILITY'!R470)</f>
        <v>13.630594964028779</v>
      </c>
    </row>
    <row r="472" spans="1:29" ht="15.75" x14ac:dyDescent="0.25">
      <c r="A472" s="14">
        <v>55639</v>
      </c>
      <c r="B472" s="10">
        <f>CHOOSE(CONTROL!$C$42, 13.6477, 13.6477) * CHOOSE(CONTROL!$C$21, $C$9, 100%, $E$9)</f>
        <v>13.6477</v>
      </c>
      <c r="C472" s="10">
        <f>CHOOSE(CONTROL!$C$42, 13.6521, 13.6521) * CHOOSE(CONTROL!$C$21, $C$9, 100%, $E$9)</f>
        <v>13.652100000000001</v>
      </c>
      <c r="D472" s="10">
        <f>CHOOSE(CONTROL!$C$42, 13.8337, 13.8337) * CHOOSE(CONTROL!$C$21, $C$9, 100%, $E$9)</f>
        <v>13.8337</v>
      </c>
      <c r="E472" s="10">
        <f>CHOOSE(CONTROL!$C$42, 13.8655, 13.8655) * CHOOSE(CONTROL!$C$21, $C$9, 100%, $E$9)</f>
        <v>13.865500000000001</v>
      </c>
      <c r="F472" s="10">
        <f>CHOOSE(CONTROL!$C$42, 13.636, 13.636)*CHOOSE(CONTROL!$C$21, $C$9, 100%, $E$9)</f>
        <v>13.635999999999999</v>
      </c>
      <c r="G472" s="10">
        <f>CHOOSE(CONTROL!$C$42, 13.654, 13.654)*CHOOSE(CONTROL!$C$21, $C$9, 100%, $E$9)</f>
        <v>13.654</v>
      </c>
      <c r="H472" s="10">
        <f>CHOOSE(CONTROL!$C$42, 13.8553, 13.8553) * CHOOSE(CONTROL!$C$21, $C$9, 100%, $E$9)</f>
        <v>13.8553</v>
      </c>
      <c r="I472" s="10">
        <f>CHOOSE(CONTROL!$C$42, 13.626, 13.626)* CHOOSE(CONTROL!$C$21, $C$9, 100%, $E$9)</f>
        <v>13.625999999999999</v>
      </c>
      <c r="J472" s="10">
        <f>CHOOSE(CONTROL!$C$42, 13.629, 13.629)* CHOOSE(CONTROL!$C$21, $C$9, 100%, $E$9)</f>
        <v>13.629</v>
      </c>
      <c r="K472" s="54">
        <f>CHOOSE(CONTROL!$C$42, 13.6221, 13.6221) * CHOOSE(CONTROL!$C$21, $C$9, 100%, $E$9)</f>
        <v>13.6221</v>
      </c>
      <c r="L472" s="10">
        <f>CHOOSE(CONTROL!$C$42, 14.4423, 14.4423) * CHOOSE(CONTROL!$C$21, $C$9, 100%, $E$9)</f>
        <v>14.442299999999999</v>
      </c>
      <c r="M472" s="10">
        <f>CHOOSE(CONTROL!$C$42, 13.5053, 13.5053) * CHOOSE(CONTROL!$C$21, $C$9, 100%, $E$9)</f>
        <v>13.5053</v>
      </c>
      <c r="N472" s="10">
        <f>CHOOSE(CONTROL!$C$42, 13.5231, 13.5231) * CHOOSE(CONTROL!$C$21, $C$9, 100%, $E$9)</f>
        <v>13.523099999999999</v>
      </c>
      <c r="O472" s="10">
        <f>CHOOSE(CONTROL!$C$42, 13.7293, 13.7293) * CHOOSE(CONTROL!$C$21, $C$9, 100%, $E$9)</f>
        <v>13.7293</v>
      </c>
      <c r="P472" s="10">
        <f>CHOOSE(CONTROL!$C$42, 13.5023, 13.5023) * CHOOSE(CONTROL!$C$21, $C$9, 100%, $E$9)</f>
        <v>13.5023</v>
      </c>
      <c r="Q472" s="10">
        <f>CHOOSE(CONTROL!$C$42, 14.3246, 14.3246) * CHOOSE(CONTROL!$C$21, $C$9, 100%, $E$9)</f>
        <v>14.3246</v>
      </c>
      <c r="R472" s="10">
        <f>CHOOSE(CONTROL!$C$42, 14.9474, 14.9474) * CHOOSE(CONTROL!$C$21, $C$9, 100%, $E$9)</f>
        <v>14.9474</v>
      </c>
      <c r="S472" s="10">
        <f>CHOOSE(CONTROL!$C$42, 13.2504, 13.2504) * CHOOSE(CONTROL!$C$21, $C$9, 100%, $E$9)</f>
        <v>13.250400000000001</v>
      </c>
      <c r="T472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72" s="58">
        <f>(1000*CHOOSE(CONTROL!$C$42, 695, 695)*CHOOSE(CONTROL!$C$42, 0.5599, 0.5599)*CHOOSE(CONTROL!$C$42, 30, 30))/1000000</f>
        <v>11.673914999999997</v>
      </c>
      <c r="V472" s="58">
        <f>(1000*CHOOSE(CONTROL!$C$42, 500, 500)*CHOOSE(CONTROL!$C$42, 0.275, 0.275)*CHOOSE(CONTROL!$C$42, 30, 30))/1000000</f>
        <v>4.125</v>
      </c>
      <c r="W472" s="58">
        <f>(1000*CHOOSE(CONTROL!$C$42, 0.1146, 0.1146)*CHOOSE(CONTROL!$C$42, 121.5, 121.5)*CHOOSE(CONTROL!$C$42, 30, 30))/1000000</f>
        <v>0.417717</v>
      </c>
      <c r="X472" s="58">
        <f>(30*0.1790888*245000/1000000)+(30*0.2374*100000/1000000)</f>
        <v>2.0285026799999999</v>
      </c>
      <c r="Y472" s="58"/>
      <c r="Z472" s="10"/>
      <c r="AA472" s="57"/>
      <c r="AB472" s="51">
        <f>(B472*141.293+C472*267.993+D472*115.016+E472*89.698+F472*40+G472*185+H472*0+I472*100+J472*300)/(141.293+267.993+115.016+89.698+0+40+185+100+300)</f>
        <v>13.675969466989509</v>
      </c>
      <c r="AC472" s="27">
        <f>(M472*'RAP TEMPLATE-GAS AVAILABILITY'!O471+N472*'RAP TEMPLATE-GAS AVAILABILITY'!P471+O472*'RAP TEMPLATE-GAS AVAILABILITY'!Q471+P472*'RAP TEMPLATE-GAS AVAILABILITY'!R471)/('RAP TEMPLATE-GAS AVAILABILITY'!O471+'RAP TEMPLATE-GAS AVAILABILITY'!P471+'RAP TEMPLATE-GAS AVAILABILITY'!Q471+'RAP TEMPLATE-GAS AVAILABILITY'!R471)</f>
        <v>13.57181510791367</v>
      </c>
    </row>
    <row r="473" spans="1:29" ht="15.75" x14ac:dyDescent="0.25">
      <c r="A473" s="14">
        <v>55670</v>
      </c>
      <c r="B473" s="10">
        <f>CHOOSE(CONTROL!$C$42, 13.7699, 13.7699) * CHOOSE(CONTROL!$C$21, $C$9, 100%, $E$9)</f>
        <v>13.7699</v>
      </c>
      <c r="C473" s="10">
        <f>CHOOSE(CONTROL!$C$42, 13.7778, 13.7778) * CHOOSE(CONTROL!$C$21, $C$9, 100%, $E$9)</f>
        <v>13.777799999999999</v>
      </c>
      <c r="D473" s="10">
        <f>CHOOSE(CONTROL!$C$42, 13.9564, 13.9564) * CHOOSE(CONTROL!$C$21, $C$9, 100%, $E$9)</f>
        <v>13.9564</v>
      </c>
      <c r="E473" s="10">
        <f>CHOOSE(CONTROL!$C$42, 13.9875, 13.9875) * CHOOSE(CONTROL!$C$21, $C$9, 100%, $E$9)</f>
        <v>13.987500000000001</v>
      </c>
      <c r="F473" s="10">
        <f>CHOOSE(CONTROL!$C$42, 13.7561, 13.7561)*CHOOSE(CONTROL!$C$21, $C$9, 100%, $E$9)</f>
        <v>13.7561</v>
      </c>
      <c r="G473" s="10">
        <f>CHOOSE(CONTROL!$C$42, 13.7743, 13.7743)*CHOOSE(CONTROL!$C$21, $C$9, 100%, $E$9)</f>
        <v>13.7743</v>
      </c>
      <c r="H473" s="10">
        <f>CHOOSE(CONTROL!$C$42, 13.9761, 13.9761) * CHOOSE(CONTROL!$C$21, $C$9, 100%, $E$9)</f>
        <v>13.976100000000001</v>
      </c>
      <c r="I473" s="10">
        <f>CHOOSE(CONTROL!$C$42, 13.7468, 13.7468)* CHOOSE(CONTROL!$C$21, $C$9, 100%, $E$9)</f>
        <v>13.7468</v>
      </c>
      <c r="J473" s="10">
        <f>CHOOSE(CONTROL!$C$42, 13.7491, 13.7491)* CHOOSE(CONTROL!$C$21, $C$9, 100%, $E$9)</f>
        <v>13.7491</v>
      </c>
      <c r="K473" s="54">
        <f>CHOOSE(CONTROL!$C$42, 13.7429, 13.7429) * CHOOSE(CONTROL!$C$21, $C$9, 100%, $E$9)</f>
        <v>13.742900000000001</v>
      </c>
      <c r="L473" s="10">
        <f>CHOOSE(CONTROL!$C$42, 14.5631, 14.5631) * CHOOSE(CONTROL!$C$21, $C$9, 100%, $E$9)</f>
        <v>14.5631</v>
      </c>
      <c r="M473" s="10">
        <f>CHOOSE(CONTROL!$C$42, 13.6242, 13.6242) * CHOOSE(CONTROL!$C$21, $C$9, 100%, $E$9)</f>
        <v>13.6242</v>
      </c>
      <c r="N473" s="10">
        <f>CHOOSE(CONTROL!$C$42, 13.6421, 13.6421) * CHOOSE(CONTROL!$C$21, $C$9, 100%, $E$9)</f>
        <v>13.642099999999999</v>
      </c>
      <c r="O473" s="10">
        <f>CHOOSE(CONTROL!$C$42, 13.8489, 13.8489) * CHOOSE(CONTROL!$C$21, $C$9, 100%, $E$9)</f>
        <v>13.8489</v>
      </c>
      <c r="P473" s="10">
        <f>CHOOSE(CONTROL!$C$42, 13.6219, 13.6219) * CHOOSE(CONTROL!$C$21, $C$9, 100%, $E$9)</f>
        <v>13.6219</v>
      </c>
      <c r="Q473" s="10">
        <f>CHOOSE(CONTROL!$C$42, 14.4442, 14.4442) * CHOOSE(CONTROL!$C$21, $C$9, 100%, $E$9)</f>
        <v>14.4442</v>
      </c>
      <c r="R473" s="10">
        <f>CHOOSE(CONTROL!$C$42, 15.0673, 15.0673) * CHOOSE(CONTROL!$C$21, $C$9, 100%, $E$9)</f>
        <v>15.067299999999999</v>
      </c>
      <c r="S473" s="10">
        <f>CHOOSE(CONTROL!$C$42, 13.3677, 13.3677) * CHOOSE(CONTROL!$C$21, $C$9, 100%, $E$9)</f>
        <v>13.367699999999999</v>
      </c>
      <c r="T473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73" s="58">
        <f>(1000*CHOOSE(CONTROL!$C$42, 695, 695)*CHOOSE(CONTROL!$C$42, 0.5599, 0.5599)*CHOOSE(CONTROL!$C$42, 31, 31))/1000000</f>
        <v>12.063045499999998</v>
      </c>
      <c r="V473" s="58">
        <f>(1000*CHOOSE(CONTROL!$C$42, 500, 500)*CHOOSE(CONTROL!$C$42, 0.275, 0.275)*CHOOSE(CONTROL!$C$42, 31, 31))/1000000</f>
        <v>4.2625000000000002</v>
      </c>
      <c r="W473" s="58">
        <f>(1000*CHOOSE(CONTROL!$C$42, 0.1146, 0.1146)*CHOOSE(CONTROL!$C$42, 121.5, 121.5)*CHOOSE(CONTROL!$C$42, 31, 31))/1000000</f>
        <v>0.43164089999999994</v>
      </c>
      <c r="X473" s="58">
        <f>(31*0.1790888*245000/1000000)+(31*0.2374*100000/1000000)</f>
        <v>2.0961194359999999</v>
      </c>
      <c r="Y473" s="58"/>
      <c r="Z473" s="10"/>
      <c r="AA473" s="57"/>
      <c r="AB473" s="51">
        <f>(B473*194.205+C473*267.466+D473*133.845+E473*53.484+F473*40+G473*185+H473*0+I473*100+J473*300)/(194.205+267.466+133.845+53.484+0+40+185+100+300)</f>
        <v>13.793781626609105</v>
      </c>
      <c r="AC473" s="27">
        <f>(M473*'RAP TEMPLATE-GAS AVAILABILITY'!O472+N473*'RAP TEMPLATE-GAS AVAILABILITY'!P472+O473*'RAP TEMPLATE-GAS AVAILABILITY'!Q472+P473*'RAP TEMPLATE-GAS AVAILABILITY'!R472)/('RAP TEMPLATE-GAS AVAILABILITY'!O472+'RAP TEMPLATE-GAS AVAILABILITY'!P472+'RAP TEMPLATE-GAS AVAILABILITY'!Q472+'RAP TEMPLATE-GAS AVAILABILITY'!R472)</f>
        <v>13.691035251798562</v>
      </c>
    </row>
    <row r="474" spans="1:29" ht="15.75" x14ac:dyDescent="0.25">
      <c r="A474" s="14">
        <v>55700</v>
      </c>
      <c r="B474" s="10">
        <f>CHOOSE(CONTROL!$C$42, 14.1603, 14.1603) * CHOOSE(CONTROL!$C$21, $C$9, 100%, $E$9)</f>
        <v>14.160299999999999</v>
      </c>
      <c r="C474" s="10">
        <f>CHOOSE(CONTROL!$C$42, 14.1683, 14.1683) * CHOOSE(CONTROL!$C$21, $C$9, 100%, $E$9)</f>
        <v>14.1683</v>
      </c>
      <c r="D474" s="10">
        <f>CHOOSE(CONTROL!$C$42, 14.3468, 14.3468) * CHOOSE(CONTROL!$C$21, $C$9, 100%, $E$9)</f>
        <v>14.3468</v>
      </c>
      <c r="E474" s="10">
        <f>CHOOSE(CONTROL!$C$42, 14.3779, 14.3779) * CHOOSE(CONTROL!$C$21, $C$9, 100%, $E$9)</f>
        <v>14.3779</v>
      </c>
      <c r="F474" s="10">
        <f>CHOOSE(CONTROL!$C$42, 14.1468, 14.1468)*CHOOSE(CONTROL!$C$21, $C$9, 100%, $E$9)</f>
        <v>14.146800000000001</v>
      </c>
      <c r="G474" s="10">
        <f>CHOOSE(CONTROL!$C$42, 14.165, 14.165)*CHOOSE(CONTROL!$C$21, $C$9, 100%, $E$9)</f>
        <v>14.164999999999999</v>
      </c>
      <c r="H474" s="10">
        <f>CHOOSE(CONTROL!$C$42, 14.3666, 14.3666) * CHOOSE(CONTROL!$C$21, $C$9, 100%, $E$9)</f>
        <v>14.3666</v>
      </c>
      <c r="I474" s="10">
        <f>CHOOSE(CONTROL!$C$42, 14.1372, 14.1372)* CHOOSE(CONTROL!$C$21, $C$9, 100%, $E$9)</f>
        <v>14.1372</v>
      </c>
      <c r="J474" s="10">
        <f>CHOOSE(CONTROL!$C$42, 14.1398, 14.1398)* CHOOSE(CONTROL!$C$21, $C$9, 100%, $E$9)</f>
        <v>14.139799999999999</v>
      </c>
      <c r="K474" s="54">
        <f>CHOOSE(CONTROL!$C$42, 14.1333, 14.1333) * CHOOSE(CONTROL!$C$21, $C$9, 100%, $E$9)</f>
        <v>14.1333</v>
      </c>
      <c r="L474" s="10">
        <f>CHOOSE(CONTROL!$C$42, 14.9536, 14.9536) * CHOOSE(CONTROL!$C$21, $C$9, 100%, $E$9)</f>
        <v>14.9536</v>
      </c>
      <c r="M474" s="10">
        <f>CHOOSE(CONTROL!$C$42, 14.0109, 14.0109) * CHOOSE(CONTROL!$C$21, $C$9, 100%, $E$9)</f>
        <v>14.010899999999999</v>
      </c>
      <c r="N474" s="10">
        <f>CHOOSE(CONTROL!$C$42, 14.029, 14.029) * CHOOSE(CONTROL!$C$21, $C$9, 100%, $E$9)</f>
        <v>14.029</v>
      </c>
      <c r="O474" s="10">
        <f>CHOOSE(CONTROL!$C$42, 14.2354, 14.2354) * CHOOSE(CONTROL!$C$21, $C$9, 100%, $E$9)</f>
        <v>14.2354</v>
      </c>
      <c r="P474" s="10">
        <f>CHOOSE(CONTROL!$C$42, 14.0084, 14.0084) * CHOOSE(CONTROL!$C$21, $C$9, 100%, $E$9)</f>
        <v>14.0084</v>
      </c>
      <c r="Q474" s="10">
        <f>CHOOSE(CONTROL!$C$42, 14.8307, 14.8307) * CHOOSE(CONTROL!$C$21, $C$9, 100%, $E$9)</f>
        <v>14.8307</v>
      </c>
      <c r="R474" s="10">
        <f>CHOOSE(CONTROL!$C$42, 15.4548, 15.4548) * CHOOSE(CONTROL!$C$21, $C$9, 100%, $E$9)</f>
        <v>15.454800000000001</v>
      </c>
      <c r="S474" s="10">
        <f>CHOOSE(CONTROL!$C$42, 13.7469, 13.7469) * CHOOSE(CONTROL!$C$21, $C$9, 100%, $E$9)</f>
        <v>13.7469</v>
      </c>
      <c r="T474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74" s="58">
        <f>(1000*CHOOSE(CONTROL!$C$42, 695, 695)*CHOOSE(CONTROL!$C$42, 0.5599, 0.5599)*CHOOSE(CONTROL!$C$42, 30, 30))/1000000</f>
        <v>11.673914999999997</v>
      </c>
      <c r="V474" s="58">
        <f>(1000*CHOOSE(CONTROL!$C$42, 500, 500)*CHOOSE(CONTROL!$C$42, 0.275, 0.275)*CHOOSE(CONTROL!$C$42, 30, 30))/1000000</f>
        <v>4.125</v>
      </c>
      <c r="W474" s="58">
        <f>(1000*CHOOSE(CONTROL!$C$42, 0.1146, 0.1146)*CHOOSE(CONTROL!$C$42, 121.5, 121.5)*CHOOSE(CONTROL!$C$42, 30, 30))/1000000</f>
        <v>0.417717</v>
      </c>
      <c r="X474" s="58">
        <f>(30*0.1790888*245000/1000000)+(30*0.2374*100000/1000000)</f>
        <v>2.0285026799999999</v>
      </c>
      <c r="Y474" s="58"/>
      <c r="Z474" s="10"/>
      <c r="AA474" s="57"/>
      <c r="AB474" s="51">
        <f>(B474*194.205+C474*267.466+D474*133.845+E474*53.484+F474*40+G474*185+H474*0+I474*100+J474*300)/(194.205+267.466+133.845+53.484+0+40+185+100+300)</f>
        <v>14.184326247174253</v>
      </c>
      <c r="AC474" s="27">
        <f>(M474*'RAP TEMPLATE-GAS AVAILABILITY'!O473+N474*'RAP TEMPLATE-GAS AVAILABILITY'!P473+O474*'RAP TEMPLATE-GAS AVAILABILITY'!Q473+P474*'RAP TEMPLATE-GAS AVAILABILITY'!R473)/('RAP TEMPLATE-GAS AVAILABILITY'!O473+'RAP TEMPLATE-GAS AVAILABILITY'!P473+'RAP TEMPLATE-GAS AVAILABILITY'!Q473+'RAP TEMPLATE-GAS AVAILABILITY'!R473)</f>
        <v>14.077696402877697</v>
      </c>
    </row>
    <row r="475" spans="1:29" ht="15.75" x14ac:dyDescent="0.25">
      <c r="A475" s="14">
        <v>55731</v>
      </c>
      <c r="B475" s="10">
        <f>CHOOSE(CONTROL!$C$42, 13.8888, 13.8888) * CHOOSE(CONTROL!$C$21, $C$9, 100%, $E$9)</f>
        <v>13.8888</v>
      </c>
      <c r="C475" s="10">
        <f>CHOOSE(CONTROL!$C$42, 13.8967, 13.8967) * CHOOSE(CONTROL!$C$21, $C$9, 100%, $E$9)</f>
        <v>13.896699999999999</v>
      </c>
      <c r="D475" s="10">
        <f>CHOOSE(CONTROL!$C$42, 14.0752, 14.0752) * CHOOSE(CONTROL!$C$21, $C$9, 100%, $E$9)</f>
        <v>14.075200000000001</v>
      </c>
      <c r="E475" s="10">
        <f>CHOOSE(CONTROL!$C$42, 14.1064, 14.1064) * CHOOSE(CONTROL!$C$21, $C$9, 100%, $E$9)</f>
        <v>14.106400000000001</v>
      </c>
      <c r="F475" s="10">
        <f>CHOOSE(CONTROL!$C$42, 13.8755, 13.8755)*CHOOSE(CONTROL!$C$21, $C$9, 100%, $E$9)</f>
        <v>13.875500000000001</v>
      </c>
      <c r="G475" s="10">
        <f>CHOOSE(CONTROL!$C$42, 13.8938, 13.8938)*CHOOSE(CONTROL!$C$21, $C$9, 100%, $E$9)</f>
        <v>13.893800000000001</v>
      </c>
      <c r="H475" s="10">
        <f>CHOOSE(CONTROL!$C$42, 14.095, 14.095) * CHOOSE(CONTROL!$C$21, $C$9, 100%, $E$9)</f>
        <v>14.095000000000001</v>
      </c>
      <c r="I475" s="10">
        <f>CHOOSE(CONTROL!$C$42, 13.8657, 13.8657)* CHOOSE(CONTROL!$C$21, $C$9, 100%, $E$9)</f>
        <v>13.8657</v>
      </c>
      <c r="J475" s="10">
        <f>CHOOSE(CONTROL!$C$42, 13.8685, 13.8685)* CHOOSE(CONTROL!$C$21, $C$9, 100%, $E$9)</f>
        <v>13.868499999999999</v>
      </c>
      <c r="K475" s="54">
        <f>CHOOSE(CONTROL!$C$42, 13.8618, 13.8618) * CHOOSE(CONTROL!$C$21, $C$9, 100%, $E$9)</f>
        <v>13.861800000000001</v>
      </c>
      <c r="L475" s="10">
        <f>CHOOSE(CONTROL!$C$42, 14.682, 14.682) * CHOOSE(CONTROL!$C$21, $C$9, 100%, $E$9)</f>
        <v>14.682</v>
      </c>
      <c r="M475" s="10">
        <f>CHOOSE(CONTROL!$C$42, 13.7424, 13.7424) * CHOOSE(CONTROL!$C$21, $C$9, 100%, $E$9)</f>
        <v>13.7424</v>
      </c>
      <c r="N475" s="10">
        <f>CHOOSE(CONTROL!$C$42, 13.7605, 13.7605) * CHOOSE(CONTROL!$C$21, $C$9, 100%, $E$9)</f>
        <v>13.7605</v>
      </c>
      <c r="O475" s="10">
        <f>CHOOSE(CONTROL!$C$42, 13.9666, 13.9666) * CHOOSE(CONTROL!$C$21, $C$9, 100%, $E$9)</f>
        <v>13.9666</v>
      </c>
      <c r="P475" s="10">
        <f>CHOOSE(CONTROL!$C$42, 13.7396, 13.7396) * CHOOSE(CONTROL!$C$21, $C$9, 100%, $E$9)</f>
        <v>13.739599999999999</v>
      </c>
      <c r="Q475" s="10">
        <f>CHOOSE(CONTROL!$C$42, 14.5619, 14.5619) * CHOOSE(CONTROL!$C$21, $C$9, 100%, $E$9)</f>
        <v>14.5619</v>
      </c>
      <c r="R475" s="10">
        <f>CHOOSE(CONTROL!$C$42, 15.1853, 15.1853) * CHOOSE(CONTROL!$C$21, $C$9, 100%, $E$9)</f>
        <v>15.1853</v>
      </c>
      <c r="S475" s="10">
        <f>CHOOSE(CONTROL!$C$42, 13.4832, 13.4832) * CHOOSE(CONTROL!$C$21, $C$9, 100%, $E$9)</f>
        <v>13.4832</v>
      </c>
      <c r="T475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75" s="58">
        <f>(1000*CHOOSE(CONTROL!$C$42, 695, 695)*CHOOSE(CONTROL!$C$42, 0.5599, 0.5599)*CHOOSE(CONTROL!$C$42, 31, 31))/1000000</f>
        <v>12.063045499999998</v>
      </c>
      <c r="V475" s="58">
        <f>(1000*CHOOSE(CONTROL!$C$42, 500, 500)*CHOOSE(CONTROL!$C$42, 0.275, 0.275)*CHOOSE(CONTROL!$C$42, 31, 31))/1000000</f>
        <v>4.2625000000000002</v>
      </c>
      <c r="W475" s="58">
        <f>(1000*CHOOSE(CONTROL!$C$42, 0.1146, 0.1146)*CHOOSE(CONTROL!$C$42, 121.5, 121.5)*CHOOSE(CONTROL!$C$42, 31, 31))/1000000</f>
        <v>0.43164089999999994</v>
      </c>
      <c r="X475" s="58">
        <f>(31*0.1790888*245000/1000000)+(31*0.2374*100000/1000000)</f>
        <v>2.0961194359999999</v>
      </c>
      <c r="Y475" s="58"/>
      <c r="Z475" s="10"/>
      <c r="AA475" s="57"/>
      <c r="AB475" s="51">
        <f>(B475*194.205+C475*267.466+D475*133.845+E475*53.484+F475*40+G475*185+H475*0+I475*100+J475*300)/(194.205+267.466+133.845+53.484+0+40+185+100+300)</f>
        <v>13.912891685871271</v>
      </c>
      <c r="AC475" s="27">
        <f>(M475*'RAP TEMPLATE-GAS AVAILABILITY'!O474+N475*'RAP TEMPLATE-GAS AVAILABILITY'!P474+O475*'RAP TEMPLATE-GAS AVAILABILITY'!Q474+P475*'RAP TEMPLATE-GAS AVAILABILITY'!R474)/('RAP TEMPLATE-GAS AVAILABILITY'!O474+'RAP TEMPLATE-GAS AVAILABILITY'!P474+'RAP TEMPLATE-GAS AVAILABILITY'!Q474+'RAP TEMPLATE-GAS AVAILABILITY'!R474)</f>
        <v>13.809069064748201</v>
      </c>
    </row>
    <row r="476" spans="1:29" ht="15.75" x14ac:dyDescent="0.25">
      <c r="A476" s="14">
        <v>55762</v>
      </c>
      <c r="B476" s="10">
        <f>CHOOSE(CONTROL!$C$42, 13.203, 13.203) * CHOOSE(CONTROL!$C$21, $C$9, 100%, $E$9)</f>
        <v>13.202999999999999</v>
      </c>
      <c r="C476" s="10">
        <f>CHOOSE(CONTROL!$C$42, 13.2109, 13.2109) * CHOOSE(CONTROL!$C$21, $C$9, 100%, $E$9)</f>
        <v>13.210900000000001</v>
      </c>
      <c r="D476" s="10">
        <f>CHOOSE(CONTROL!$C$42, 13.3895, 13.3895) * CHOOSE(CONTROL!$C$21, $C$9, 100%, $E$9)</f>
        <v>13.3895</v>
      </c>
      <c r="E476" s="10">
        <f>CHOOSE(CONTROL!$C$42, 13.4206, 13.4206) * CHOOSE(CONTROL!$C$21, $C$9, 100%, $E$9)</f>
        <v>13.4206</v>
      </c>
      <c r="F476" s="10">
        <f>CHOOSE(CONTROL!$C$42, 13.1897, 13.1897)*CHOOSE(CONTROL!$C$21, $C$9, 100%, $E$9)</f>
        <v>13.1897</v>
      </c>
      <c r="G476" s="10">
        <f>CHOOSE(CONTROL!$C$42, 13.208, 13.208)*CHOOSE(CONTROL!$C$21, $C$9, 100%, $E$9)</f>
        <v>13.208</v>
      </c>
      <c r="H476" s="10">
        <f>CHOOSE(CONTROL!$C$42, 13.4092, 13.4092) * CHOOSE(CONTROL!$C$21, $C$9, 100%, $E$9)</f>
        <v>13.4092</v>
      </c>
      <c r="I476" s="10">
        <f>CHOOSE(CONTROL!$C$42, 13.1799, 13.1799)* CHOOSE(CONTROL!$C$21, $C$9, 100%, $E$9)</f>
        <v>13.1799</v>
      </c>
      <c r="J476" s="10">
        <f>CHOOSE(CONTROL!$C$42, 13.1827, 13.1827)* CHOOSE(CONTROL!$C$21, $C$9, 100%, $E$9)</f>
        <v>13.182700000000001</v>
      </c>
      <c r="K476" s="54">
        <f>CHOOSE(CONTROL!$C$42, 13.176, 13.176) * CHOOSE(CONTROL!$C$21, $C$9, 100%, $E$9)</f>
        <v>13.176</v>
      </c>
      <c r="L476" s="10">
        <f>CHOOSE(CONTROL!$C$42, 13.9962, 13.9962) * CHOOSE(CONTROL!$C$21, $C$9, 100%, $E$9)</f>
        <v>13.9962</v>
      </c>
      <c r="M476" s="10">
        <f>CHOOSE(CONTROL!$C$42, 13.0635, 13.0635) * CHOOSE(CONTROL!$C$21, $C$9, 100%, $E$9)</f>
        <v>13.063499999999999</v>
      </c>
      <c r="N476" s="10">
        <f>CHOOSE(CONTROL!$C$42, 13.0816, 13.0816) * CHOOSE(CONTROL!$C$21, $C$9, 100%, $E$9)</f>
        <v>13.0816</v>
      </c>
      <c r="O476" s="10">
        <f>CHOOSE(CONTROL!$C$42, 13.2877, 13.2877) * CHOOSE(CONTROL!$C$21, $C$9, 100%, $E$9)</f>
        <v>13.287699999999999</v>
      </c>
      <c r="P476" s="10">
        <f>CHOOSE(CONTROL!$C$42, 13.0608, 13.0608) * CHOOSE(CONTROL!$C$21, $C$9, 100%, $E$9)</f>
        <v>13.0608</v>
      </c>
      <c r="Q476" s="10">
        <f>CHOOSE(CONTROL!$C$42, 13.883, 13.883) * CHOOSE(CONTROL!$C$21, $C$9, 100%, $E$9)</f>
        <v>13.882999999999999</v>
      </c>
      <c r="R476" s="10">
        <f>CHOOSE(CONTROL!$C$42, 14.5048, 14.5048) * CHOOSE(CONTROL!$C$21, $C$9, 100%, $E$9)</f>
        <v>14.504799999999999</v>
      </c>
      <c r="S476" s="10">
        <f>CHOOSE(CONTROL!$C$42, 12.8172, 12.8172) * CHOOSE(CONTROL!$C$21, $C$9, 100%, $E$9)</f>
        <v>12.8172</v>
      </c>
      <c r="T476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476" s="58">
        <f>(1000*CHOOSE(CONTROL!$C$42, 695, 695)*CHOOSE(CONTROL!$C$42, 0.5599, 0.5599)*CHOOSE(CONTROL!$C$42, 31, 31))/1000000</f>
        <v>12.063045499999998</v>
      </c>
      <c r="V476" s="58">
        <f>(1000*CHOOSE(CONTROL!$C$42, 500, 500)*CHOOSE(CONTROL!$C$42, 0.275, 0.275)*CHOOSE(CONTROL!$C$42, 31, 31))/1000000</f>
        <v>4.2625000000000002</v>
      </c>
      <c r="W476" s="58">
        <f>(1000*CHOOSE(CONTROL!$C$42, 0.1146, 0.1146)*CHOOSE(CONTROL!$C$42, 121.5, 121.5)*CHOOSE(CONTROL!$C$42, 31, 31))/1000000</f>
        <v>0.43164089999999994</v>
      </c>
      <c r="X476" s="58">
        <f>(31*0.1790888*245000/1000000)+(31*0.2374*100000/1000000)</f>
        <v>2.0961194359999999</v>
      </c>
      <c r="Y476" s="58"/>
      <c r="Z476" s="10"/>
      <c r="AA476" s="57"/>
      <c r="AB476" s="51">
        <f>(B476*194.205+C476*267.466+D476*133.845+E476*53.484+F476*40+G476*185+H476*0+I476*100+J476*300)/(194.205+267.466+133.845+53.484+0+40+185+100+300)</f>
        <v>13.227102191758242</v>
      </c>
      <c r="AC476" s="27">
        <f>(M476*'RAP TEMPLATE-GAS AVAILABILITY'!O475+N476*'RAP TEMPLATE-GAS AVAILABILITY'!P475+O476*'RAP TEMPLATE-GAS AVAILABILITY'!Q475+P476*'RAP TEMPLATE-GAS AVAILABILITY'!R475)/('RAP TEMPLATE-GAS AVAILABILITY'!O475+'RAP TEMPLATE-GAS AVAILABILITY'!P475+'RAP TEMPLATE-GAS AVAILABILITY'!Q475+'RAP TEMPLATE-GAS AVAILABILITY'!R475)</f>
        <v>13.130183453237411</v>
      </c>
    </row>
    <row r="477" spans="1:29" ht="15.75" x14ac:dyDescent="0.25">
      <c r="A477" s="14">
        <v>55792</v>
      </c>
      <c r="B477" s="10">
        <f>CHOOSE(CONTROL!$C$42, 12.3651, 12.3651) * CHOOSE(CONTROL!$C$21, $C$9, 100%, $E$9)</f>
        <v>12.3651</v>
      </c>
      <c r="C477" s="10">
        <f>CHOOSE(CONTROL!$C$42, 12.3731, 12.3731) * CHOOSE(CONTROL!$C$21, $C$9, 100%, $E$9)</f>
        <v>12.373100000000001</v>
      </c>
      <c r="D477" s="10">
        <f>CHOOSE(CONTROL!$C$42, 12.5516, 12.5516) * CHOOSE(CONTROL!$C$21, $C$9, 100%, $E$9)</f>
        <v>12.551600000000001</v>
      </c>
      <c r="E477" s="10">
        <f>CHOOSE(CONTROL!$C$42, 12.5827, 12.5827) * CHOOSE(CONTROL!$C$21, $C$9, 100%, $E$9)</f>
        <v>12.582700000000001</v>
      </c>
      <c r="F477" s="10">
        <f>CHOOSE(CONTROL!$C$42, 12.3515, 12.3515)*CHOOSE(CONTROL!$C$21, $C$9, 100%, $E$9)</f>
        <v>12.3515</v>
      </c>
      <c r="G477" s="10">
        <f>CHOOSE(CONTROL!$C$42, 12.3697, 12.3697)*CHOOSE(CONTROL!$C$21, $C$9, 100%, $E$9)</f>
        <v>12.3697</v>
      </c>
      <c r="H477" s="10">
        <f>CHOOSE(CONTROL!$C$42, 12.5714, 12.5714) * CHOOSE(CONTROL!$C$21, $C$9, 100%, $E$9)</f>
        <v>12.571400000000001</v>
      </c>
      <c r="I477" s="10">
        <f>CHOOSE(CONTROL!$C$42, 12.342, 12.342)* CHOOSE(CONTROL!$C$21, $C$9, 100%, $E$9)</f>
        <v>12.342000000000001</v>
      </c>
      <c r="J477" s="10">
        <f>CHOOSE(CONTROL!$C$42, 12.3445, 12.3445)* CHOOSE(CONTROL!$C$21, $C$9, 100%, $E$9)</f>
        <v>12.3445</v>
      </c>
      <c r="K477" s="54">
        <f>CHOOSE(CONTROL!$C$42, 12.3381, 12.3381) * CHOOSE(CONTROL!$C$21, $C$9, 100%, $E$9)</f>
        <v>12.338100000000001</v>
      </c>
      <c r="L477" s="10">
        <f>CHOOSE(CONTROL!$C$42, 13.1584, 13.1584) * CHOOSE(CONTROL!$C$21, $C$9, 100%, $E$9)</f>
        <v>13.1584</v>
      </c>
      <c r="M477" s="10">
        <f>CHOOSE(CONTROL!$C$42, 12.2338, 12.2338) * CHOOSE(CONTROL!$C$21, $C$9, 100%, $E$9)</f>
        <v>12.2338</v>
      </c>
      <c r="N477" s="10">
        <f>CHOOSE(CONTROL!$C$42, 12.2518, 12.2518) * CHOOSE(CONTROL!$C$21, $C$9, 100%, $E$9)</f>
        <v>12.251799999999999</v>
      </c>
      <c r="O477" s="10">
        <f>CHOOSE(CONTROL!$C$42, 12.4583, 12.4583) * CHOOSE(CONTROL!$C$21, $C$9, 100%, $E$9)</f>
        <v>12.458299999999999</v>
      </c>
      <c r="P477" s="10">
        <f>CHOOSE(CONTROL!$C$42, 12.2313, 12.2313) * CHOOSE(CONTROL!$C$21, $C$9, 100%, $E$9)</f>
        <v>12.231299999999999</v>
      </c>
      <c r="Q477" s="10">
        <f>CHOOSE(CONTROL!$C$42, 13.0536, 13.0536) * CHOOSE(CONTROL!$C$21, $C$9, 100%, $E$9)</f>
        <v>13.053599999999999</v>
      </c>
      <c r="R477" s="10">
        <f>CHOOSE(CONTROL!$C$42, 13.6733, 13.6733) * CHOOSE(CONTROL!$C$21, $C$9, 100%, $E$9)</f>
        <v>13.673299999999999</v>
      </c>
      <c r="S477" s="10">
        <f>CHOOSE(CONTROL!$C$42, 12.0035, 12.0035) * CHOOSE(CONTROL!$C$21, $C$9, 100%, $E$9)</f>
        <v>12.003500000000001</v>
      </c>
      <c r="T477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477" s="58">
        <f>(1000*CHOOSE(CONTROL!$C$42, 695, 695)*CHOOSE(CONTROL!$C$42, 0.5599, 0.5599)*CHOOSE(CONTROL!$C$42, 30, 30))/1000000</f>
        <v>11.673914999999997</v>
      </c>
      <c r="V477" s="58">
        <f>(1000*CHOOSE(CONTROL!$C$42, 500, 500)*CHOOSE(CONTROL!$C$42, 0.275, 0.275)*CHOOSE(CONTROL!$C$42, 30, 30))/1000000</f>
        <v>4.125</v>
      </c>
      <c r="W477" s="58">
        <f>(1000*CHOOSE(CONTROL!$C$42, 0.1146, 0.1146)*CHOOSE(CONTROL!$C$42, 121.5, 121.5)*CHOOSE(CONTROL!$C$42, 30, 30))/1000000</f>
        <v>0.417717</v>
      </c>
      <c r="X477" s="58">
        <f>(30*0.1790888*245000/1000000)+(30*0.2374*100000/1000000)</f>
        <v>2.0285026799999999</v>
      </c>
      <c r="Y477" s="58"/>
      <c r="Z477" s="10"/>
      <c r="AA477" s="57"/>
      <c r="AB477" s="51">
        <f>(B477*194.205+C477*267.466+D477*133.845+E477*53.484+F477*40+G477*185+H477*0+I477*100+J477*300)/(194.205+267.466+133.845+53.484+0+40+185+100+300)</f>
        <v>12.389085038383046</v>
      </c>
      <c r="AC477" s="27">
        <f>(M477*'RAP TEMPLATE-GAS AVAILABILITY'!O476+N477*'RAP TEMPLATE-GAS AVAILABILITY'!P476+O477*'RAP TEMPLATE-GAS AVAILABILITY'!Q476+P477*'RAP TEMPLATE-GAS AVAILABILITY'!R476)/('RAP TEMPLATE-GAS AVAILABILITY'!O476+'RAP TEMPLATE-GAS AVAILABILITY'!P476+'RAP TEMPLATE-GAS AVAILABILITY'!Q476+'RAP TEMPLATE-GAS AVAILABILITY'!R476)</f>
        <v>12.300573381294964</v>
      </c>
    </row>
    <row r="478" spans="1:29" ht="15.75" x14ac:dyDescent="0.25">
      <c r="A478" s="14">
        <v>55823</v>
      </c>
      <c r="B478" s="10">
        <f>CHOOSE(CONTROL!$C$42, 12.112, 12.112) * CHOOSE(CONTROL!$C$21, $C$9, 100%, $E$9)</f>
        <v>12.112</v>
      </c>
      <c r="C478" s="10">
        <f>CHOOSE(CONTROL!$C$42, 12.1173, 12.1173) * CHOOSE(CONTROL!$C$21, $C$9, 100%, $E$9)</f>
        <v>12.1173</v>
      </c>
      <c r="D478" s="10">
        <f>CHOOSE(CONTROL!$C$42, 12.3008, 12.3008) * CHOOSE(CONTROL!$C$21, $C$9, 100%, $E$9)</f>
        <v>12.300800000000001</v>
      </c>
      <c r="E478" s="10">
        <f>CHOOSE(CONTROL!$C$42, 12.3296, 12.3296) * CHOOSE(CONTROL!$C$21, $C$9, 100%, $E$9)</f>
        <v>12.329599999999999</v>
      </c>
      <c r="F478" s="10">
        <f>CHOOSE(CONTROL!$C$42, 12.1004, 12.1004)*CHOOSE(CONTROL!$C$21, $C$9, 100%, $E$9)</f>
        <v>12.1004</v>
      </c>
      <c r="G478" s="10">
        <f>CHOOSE(CONTROL!$C$42, 12.1183, 12.1183)*CHOOSE(CONTROL!$C$21, $C$9, 100%, $E$9)</f>
        <v>12.1183</v>
      </c>
      <c r="H478" s="10">
        <f>CHOOSE(CONTROL!$C$42, 12.32, 12.32) * CHOOSE(CONTROL!$C$21, $C$9, 100%, $E$9)</f>
        <v>12.32</v>
      </c>
      <c r="I478" s="10">
        <f>CHOOSE(CONTROL!$C$42, 12.0907, 12.0907)* CHOOSE(CONTROL!$C$21, $C$9, 100%, $E$9)</f>
        <v>12.0907</v>
      </c>
      <c r="J478" s="10">
        <f>CHOOSE(CONTROL!$C$42, 12.0934, 12.0934)* CHOOSE(CONTROL!$C$21, $C$9, 100%, $E$9)</f>
        <v>12.093400000000001</v>
      </c>
      <c r="K478" s="54">
        <f>CHOOSE(CONTROL!$C$42, 12.0868, 12.0868) * CHOOSE(CONTROL!$C$21, $C$9, 100%, $E$9)</f>
        <v>12.0868</v>
      </c>
      <c r="L478" s="10">
        <f>CHOOSE(CONTROL!$C$42, 12.907, 12.907) * CHOOSE(CONTROL!$C$21, $C$9, 100%, $E$9)</f>
        <v>12.907</v>
      </c>
      <c r="M478" s="10">
        <f>CHOOSE(CONTROL!$C$42, 11.9852, 11.9852) * CHOOSE(CONTROL!$C$21, $C$9, 100%, $E$9)</f>
        <v>11.985200000000001</v>
      </c>
      <c r="N478" s="10">
        <f>CHOOSE(CONTROL!$C$42, 12.0029, 12.0029) * CHOOSE(CONTROL!$C$21, $C$9, 100%, $E$9)</f>
        <v>12.0029</v>
      </c>
      <c r="O478" s="10">
        <f>CHOOSE(CONTROL!$C$42, 12.2095, 12.2095) * CHOOSE(CONTROL!$C$21, $C$9, 100%, $E$9)</f>
        <v>12.2095</v>
      </c>
      <c r="P478" s="10">
        <f>CHOOSE(CONTROL!$C$42, 11.9825, 11.9825) * CHOOSE(CONTROL!$C$21, $C$9, 100%, $E$9)</f>
        <v>11.9825</v>
      </c>
      <c r="Q478" s="10">
        <f>CHOOSE(CONTROL!$C$42, 12.8048, 12.8048) * CHOOSE(CONTROL!$C$21, $C$9, 100%, $E$9)</f>
        <v>12.8048</v>
      </c>
      <c r="R478" s="10">
        <f>CHOOSE(CONTROL!$C$42, 13.4238, 13.4238) * CHOOSE(CONTROL!$C$21, $C$9, 100%, $E$9)</f>
        <v>13.4238</v>
      </c>
      <c r="S478" s="10">
        <f>CHOOSE(CONTROL!$C$42, 11.7595, 11.7595) * CHOOSE(CONTROL!$C$21, $C$9, 100%, $E$9)</f>
        <v>11.759499999999999</v>
      </c>
      <c r="T478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78" s="58">
        <f>(1000*CHOOSE(CONTROL!$C$42, 695, 695)*CHOOSE(CONTROL!$C$42, 0.5599, 0.5599)*CHOOSE(CONTROL!$C$42, 31, 31))/1000000</f>
        <v>12.063045499999998</v>
      </c>
      <c r="V478" s="58">
        <f>(1000*CHOOSE(CONTROL!$C$42, 500, 500)*CHOOSE(CONTROL!$C$42, 0.275, 0.275)*CHOOSE(CONTROL!$C$42, 31, 31))/1000000</f>
        <v>4.2625000000000002</v>
      </c>
      <c r="W478" s="58">
        <f>(1000*CHOOSE(CONTROL!$C$42, 0.1146, 0.1146)*CHOOSE(CONTROL!$C$42, 121.5, 121.5)*CHOOSE(CONTROL!$C$42, 31, 31))/1000000</f>
        <v>0.43164089999999994</v>
      </c>
      <c r="X478" s="58">
        <f>(31*0.1790888*245000/1000000)+(31*0.2374*100000/1000000)</f>
        <v>2.0961194359999999</v>
      </c>
      <c r="Y478" s="58"/>
      <c r="Z478" s="10"/>
      <c r="AA478" s="57"/>
      <c r="AB478" s="51">
        <f>(B478*131.881+C478*277.167+D478*79.08+E478*125.872+F478*40+G478*185+H478*0+I478*100+J478*300)/(131.881+277.167+79.08+125.872+0+40+185+100+300)</f>
        <v>12.141685662873284</v>
      </c>
      <c r="AC478" s="27">
        <f>(M478*'RAP TEMPLATE-GAS AVAILABILITY'!O477+N478*'RAP TEMPLATE-GAS AVAILABILITY'!P477+O478*'RAP TEMPLATE-GAS AVAILABILITY'!Q477+P478*'RAP TEMPLATE-GAS AVAILABILITY'!R477)/('RAP TEMPLATE-GAS AVAILABILITY'!O477+'RAP TEMPLATE-GAS AVAILABILITY'!P477+'RAP TEMPLATE-GAS AVAILABILITY'!Q477+'RAP TEMPLATE-GAS AVAILABILITY'!R477)</f>
        <v>12.051819424460433</v>
      </c>
    </row>
    <row r="479" spans="1:29" ht="15.75" x14ac:dyDescent="0.25">
      <c r="A479" s="14">
        <v>55853</v>
      </c>
      <c r="B479" s="10">
        <f>CHOOSE(CONTROL!$C$42, 12.4306, 12.4306) * CHOOSE(CONTROL!$C$21, $C$9, 100%, $E$9)</f>
        <v>12.4306</v>
      </c>
      <c r="C479" s="10">
        <f>CHOOSE(CONTROL!$C$42, 12.4356, 12.4356) * CHOOSE(CONTROL!$C$21, $C$9, 100%, $E$9)</f>
        <v>12.435600000000001</v>
      </c>
      <c r="D479" s="10">
        <f>CHOOSE(CONTROL!$C$42, 12.4652, 12.4652) * CHOOSE(CONTROL!$C$21, $C$9, 100%, $E$9)</f>
        <v>12.465199999999999</v>
      </c>
      <c r="E479" s="10">
        <f>CHOOSE(CONTROL!$C$42, 12.499, 12.499) * CHOOSE(CONTROL!$C$21, $C$9, 100%, $E$9)</f>
        <v>12.499000000000001</v>
      </c>
      <c r="F479" s="10">
        <f>CHOOSE(CONTROL!$C$42, 12.4164, 12.4164)*CHOOSE(CONTROL!$C$21, $C$9, 100%, $E$9)</f>
        <v>12.416399999999999</v>
      </c>
      <c r="G479" s="10">
        <f>CHOOSE(CONTROL!$C$42, 12.4344, 12.4344)*CHOOSE(CONTROL!$C$21, $C$9, 100%, $E$9)</f>
        <v>12.4344</v>
      </c>
      <c r="H479" s="10">
        <f>CHOOSE(CONTROL!$C$42, 12.4882, 12.4882) * CHOOSE(CONTROL!$C$21, $C$9, 100%, $E$9)</f>
        <v>12.488200000000001</v>
      </c>
      <c r="I479" s="10">
        <f>CHOOSE(CONTROL!$C$42, 12.3968, 12.3968)* CHOOSE(CONTROL!$C$21, $C$9, 100%, $E$9)</f>
        <v>12.396800000000001</v>
      </c>
      <c r="J479" s="10">
        <f>CHOOSE(CONTROL!$C$42, 12.4094, 12.4094)* CHOOSE(CONTROL!$C$21, $C$9, 100%, $E$9)</f>
        <v>12.4094</v>
      </c>
      <c r="K479" s="54">
        <f>CHOOSE(CONTROL!$C$42, 12.3929, 12.3929) * CHOOSE(CONTROL!$C$21, $C$9, 100%, $E$9)</f>
        <v>12.392899999999999</v>
      </c>
      <c r="L479" s="10">
        <f>CHOOSE(CONTROL!$C$42, 13.0752, 13.0752) * CHOOSE(CONTROL!$C$21, $C$9, 100%, $E$9)</f>
        <v>13.075200000000001</v>
      </c>
      <c r="M479" s="10">
        <f>CHOOSE(CONTROL!$C$42, 12.298, 12.298) * CHOOSE(CONTROL!$C$21, $C$9, 100%, $E$9)</f>
        <v>12.298</v>
      </c>
      <c r="N479" s="10">
        <f>CHOOSE(CONTROL!$C$42, 12.3158, 12.3158) * CHOOSE(CONTROL!$C$21, $C$9, 100%, $E$9)</f>
        <v>12.315799999999999</v>
      </c>
      <c r="O479" s="10">
        <f>CHOOSE(CONTROL!$C$42, 12.376, 12.376) * CHOOSE(CONTROL!$C$21, $C$9, 100%, $E$9)</f>
        <v>12.375999999999999</v>
      </c>
      <c r="P479" s="10">
        <f>CHOOSE(CONTROL!$C$42, 12.2856, 12.2856) * CHOOSE(CONTROL!$C$21, $C$9, 100%, $E$9)</f>
        <v>12.285600000000001</v>
      </c>
      <c r="Q479" s="10">
        <f>CHOOSE(CONTROL!$C$42, 12.9713, 12.9713) * CHOOSE(CONTROL!$C$21, $C$9, 100%, $E$9)</f>
        <v>12.971299999999999</v>
      </c>
      <c r="R479" s="10">
        <f>CHOOSE(CONTROL!$C$42, 13.5907, 13.5907) * CHOOSE(CONTROL!$C$21, $C$9, 100%, $E$9)</f>
        <v>13.5907</v>
      </c>
      <c r="S479" s="10">
        <f>CHOOSE(CONTROL!$C$42, 12.0692, 12.0692) * CHOOSE(CONTROL!$C$21, $C$9, 100%, $E$9)</f>
        <v>12.0692</v>
      </c>
      <c r="T479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79" s="58">
        <f>(1000*CHOOSE(CONTROL!$C$42, 695, 695)*CHOOSE(CONTROL!$C$42, 0.5599, 0.5599)*CHOOSE(CONTROL!$C$42, 30, 30))/1000000</f>
        <v>11.673914999999997</v>
      </c>
      <c r="V479" s="58">
        <f>(1000*CHOOSE(CONTROL!$C$42, 500, 500)*CHOOSE(CONTROL!$C$42, 0.275, 0.275)*CHOOSE(CONTROL!$C$42, 30, 30))/1000000</f>
        <v>4.125</v>
      </c>
      <c r="W479" s="58">
        <f>(1000*CHOOSE(CONTROL!$C$42, 0.1146, 0.1146)*CHOOSE(CONTROL!$C$42, 121.5, 121.5)*CHOOSE(CONTROL!$C$42, 30, 30))/1000000</f>
        <v>0.417717</v>
      </c>
      <c r="X479" s="58">
        <f>(30*0.1790888*100000/1000000)+(30*0.2374*100000/1000000)</f>
        <v>1.2494664</v>
      </c>
      <c r="Y479" s="58"/>
      <c r="Z479" s="10"/>
      <c r="AA479" s="57"/>
      <c r="AB479" s="51">
        <f>(B479*122.58+C479*297.941+D479*89.177+E479*40.302+F479*40+G479*160+H479*0+I479*100+J479*300)/(122.58+297.941+89.177+40.302+0+40+160+100+300)</f>
        <v>12.428540770434783</v>
      </c>
      <c r="AC479" s="27">
        <f>(M479*'RAP TEMPLATE-GAS AVAILABILITY'!O478+N479*'RAP TEMPLATE-GAS AVAILABILITY'!P478+O479*'RAP TEMPLATE-GAS AVAILABILITY'!Q478+P479*'RAP TEMPLATE-GAS AVAILABILITY'!R478)/('RAP TEMPLATE-GAS AVAILABILITY'!O478+'RAP TEMPLATE-GAS AVAILABILITY'!P478+'RAP TEMPLATE-GAS AVAILABILITY'!Q478+'RAP TEMPLATE-GAS AVAILABILITY'!R478)</f>
        <v>12.332592805755397</v>
      </c>
    </row>
    <row r="480" spans="1:29" ht="15.75" x14ac:dyDescent="0.25">
      <c r="A480" s="14">
        <v>55884</v>
      </c>
      <c r="B480" s="10">
        <f>CHOOSE(CONTROL!$C$42, 13.2779, 13.2779) * CHOOSE(CONTROL!$C$21, $C$9, 100%, $E$9)</f>
        <v>13.277900000000001</v>
      </c>
      <c r="C480" s="10">
        <f>CHOOSE(CONTROL!$C$42, 13.2829, 13.2829) * CHOOSE(CONTROL!$C$21, $C$9, 100%, $E$9)</f>
        <v>13.2829</v>
      </c>
      <c r="D480" s="10">
        <f>CHOOSE(CONTROL!$C$42, 13.3125, 13.3125) * CHOOSE(CONTROL!$C$21, $C$9, 100%, $E$9)</f>
        <v>13.3125</v>
      </c>
      <c r="E480" s="10">
        <f>CHOOSE(CONTROL!$C$42, 13.3463, 13.3463) * CHOOSE(CONTROL!$C$21, $C$9, 100%, $E$9)</f>
        <v>13.346299999999999</v>
      </c>
      <c r="F480" s="10">
        <f>CHOOSE(CONTROL!$C$42, 13.2652, 13.2652)*CHOOSE(CONTROL!$C$21, $C$9, 100%, $E$9)</f>
        <v>13.2652</v>
      </c>
      <c r="G480" s="10">
        <f>CHOOSE(CONTROL!$C$42, 13.2837, 13.2837)*CHOOSE(CONTROL!$C$21, $C$9, 100%, $E$9)</f>
        <v>13.2837</v>
      </c>
      <c r="H480" s="10">
        <f>CHOOSE(CONTROL!$C$42, 13.3355, 13.3355) * CHOOSE(CONTROL!$C$21, $C$9, 100%, $E$9)</f>
        <v>13.3355</v>
      </c>
      <c r="I480" s="10">
        <f>CHOOSE(CONTROL!$C$42, 13.2441, 13.2441)* CHOOSE(CONTROL!$C$21, $C$9, 100%, $E$9)</f>
        <v>13.2441</v>
      </c>
      <c r="J480" s="10">
        <f>CHOOSE(CONTROL!$C$42, 13.2582, 13.2582)* CHOOSE(CONTROL!$C$21, $C$9, 100%, $E$9)</f>
        <v>13.2582</v>
      </c>
      <c r="K480" s="54">
        <f>CHOOSE(CONTROL!$C$42, 13.2402, 13.2402) * CHOOSE(CONTROL!$C$21, $C$9, 100%, $E$9)</f>
        <v>13.2402</v>
      </c>
      <c r="L480" s="10">
        <f>CHOOSE(CONTROL!$C$42, 13.9225, 13.9225) * CHOOSE(CONTROL!$C$21, $C$9, 100%, $E$9)</f>
        <v>13.922499999999999</v>
      </c>
      <c r="M480" s="10">
        <f>CHOOSE(CONTROL!$C$42, 13.1383, 13.1383) * CHOOSE(CONTROL!$C$21, $C$9, 100%, $E$9)</f>
        <v>13.138299999999999</v>
      </c>
      <c r="N480" s="10">
        <f>CHOOSE(CONTROL!$C$42, 13.1565, 13.1565) * CHOOSE(CONTROL!$C$21, $C$9, 100%, $E$9)</f>
        <v>13.156499999999999</v>
      </c>
      <c r="O480" s="10">
        <f>CHOOSE(CONTROL!$C$42, 13.2147, 13.2147) * CHOOSE(CONTROL!$C$21, $C$9, 100%, $E$9)</f>
        <v>13.214700000000001</v>
      </c>
      <c r="P480" s="10">
        <f>CHOOSE(CONTROL!$C$42, 13.1243, 13.1243) * CHOOSE(CONTROL!$C$21, $C$9, 100%, $E$9)</f>
        <v>13.1243</v>
      </c>
      <c r="Q480" s="10">
        <f>CHOOSE(CONTROL!$C$42, 13.81, 13.81) * CHOOSE(CONTROL!$C$21, $C$9, 100%, $E$9)</f>
        <v>13.81</v>
      </c>
      <c r="R480" s="10">
        <f>CHOOSE(CONTROL!$C$42, 14.4315, 14.4315) * CHOOSE(CONTROL!$C$21, $C$9, 100%, $E$9)</f>
        <v>14.4315</v>
      </c>
      <c r="S480" s="10">
        <f>CHOOSE(CONTROL!$C$42, 12.8921, 12.8921) * CHOOSE(CONTROL!$C$21, $C$9, 100%, $E$9)</f>
        <v>12.892099999999999</v>
      </c>
      <c r="T480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80" s="58">
        <f>(1000*CHOOSE(CONTROL!$C$42, 695, 695)*CHOOSE(CONTROL!$C$42, 0.5599, 0.5599)*CHOOSE(CONTROL!$C$42, 31, 31))/1000000</f>
        <v>12.063045499999998</v>
      </c>
      <c r="V480" s="58">
        <f>(1000*CHOOSE(CONTROL!$C$42, 500, 500)*CHOOSE(CONTROL!$C$42, 0.275, 0.275)*CHOOSE(CONTROL!$C$42, 31, 31))/1000000</f>
        <v>4.2625000000000002</v>
      </c>
      <c r="W480" s="58">
        <f>(1000*CHOOSE(CONTROL!$C$42, 0.1146, 0.1146)*CHOOSE(CONTROL!$C$42, 121.5, 121.5)*CHOOSE(CONTROL!$C$42, 31, 31))/1000000</f>
        <v>0.43164089999999994</v>
      </c>
      <c r="X480" s="58">
        <f>(31*0.1790888*100000/1000000)+(31*0.2374*100000/1000000)</f>
        <v>1.2911152800000001</v>
      </c>
      <c r="Y480" s="58"/>
      <c r="Z480" s="10"/>
      <c r="AA480" s="57"/>
      <c r="AB480" s="51">
        <f>(B480*122.58+C480*297.941+D480*89.177+E480*40.302+F480*40+G480*160+H480*0+I480*100+J480*300)/(122.58+297.941+89.177+40.302+0+40+160+100+300)</f>
        <v>13.276562509565217</v>
      </c>
      <c r="AC480" s="27">
        <f>(M480*'RAP TEMPLATE-GAS AVAILABILITY'!O479+N480*'RAP TEMPLATE-GAS AVAILABILITY'!P479+O480*'RAP TEMPLATE-GAS AVAILABILITY'!Q479+P480*'RAP TEMPLATE-GAS AVAILABILITY'!R479)/('RAP TEMPLATE-GAS AVAILABILITY'!O479+'RAP TEMPLATE-GAS AVAILABILITY'!P479+'RAP TEMPLATE-GAS AVAILABILITY'!Q479+'RAP TEMPLATE-GAS AVAILABILITY'!R479)</f>
        <v>13.171960431654677</v>
      </c>
    </row>
    <row r="481" spans="1:29" ht="15.75" x14ac:dyDescent="0.25">
      <c r="A481" s="14">
        <v>55915</v>
      </c>
      <c r="B481" s="10">
        <f>CHOOSE(CONTROL!$C$42, 14.1739, 14.1739) * CHOOSE(CONTROL!$C$21, $C$9, 100%, $E$9)</f>
        <v>14.1739</v>
      </c>
      <c r="C481" s="10">
        <f>CHOOSE(CONTROL!$C$42, 14.1789, 14.1789) * CHOOSE(CONTROL!$C$21, $C$9, 100%, $E$9)</f>
        <v>14.178900000000001</v>
      </c>
      <c r="D481" s="10">
        <f>CHOOSE(CONTROL!$C$42, 14.2291, 14.2291) * CHOOSE(CONTROL!$C$21, $C$9, 100%, $E$9)</f>
        <v>14.229100000000001</v>
      </c>
      <c r="E481" s="10">
        <f>CHOOSE(CONTROL!$C$42, 14.2629, 14.2629) * CHOOSE(CONTROL!$C$21, $C$9, 100%, $E$9)</f>
        <v>14.2629</v>
      </c>
      <c r="F481" s="10">
        <f>CHOOSE(CONTROL!$C$42, 14.1393, 14.1393)*CHOOSE(CONTROL!$C$21, $C$9, 100%, $E$9)</f>
        <v>14.1393</v>
      </c>
      <c r="G481" s="10">
        <f>CHOOSE(CONTROL!$C$42, 14.1568, 14.1568)*CHOOSE(CONTROL!$C$21, $C$9, 100%, $E$9)</f>
        <v>14.1568</v>
      </c>
      <c r="H481" s="10">
        <f>CHOOSE(CONTROL!$C$42, 14.2521, 14.2521) * CHOOSE(CONTROL!$C$21, $C$9, 100%, $E$9)</f>
        <v>14.2521</v>
      </c>
      <c r="I481" s="10">
        <f>CHOOSE(CONTROL!$C$42, 14.1478, 14.1478)* CHOOSE(CONTROL!$C$21, $C$9, 100%, $E$9)</f>
        <v>14.1478</v>
      </c>
      <c r="J481" s="10">
        <f>CHOOSE(CONTROL!$C$42, 14.1323, 14.1323)* CHOOSE(CONTROL!$C$21, $C$9, 100%, $E$9)</f>
        <v>14.132300000000001</v>
      </c>
      <c r="K481" s="54">
        <f>CHOOSE(CONTROL!$C$42, 14.1439, 14.1439) * CHOOSE(CONTROL!$C$21, $C$9, 100%, $E$9)</f>
        <v>14.1439</v>
      </c>
      <c r="L481" s="10">
        <f>CHOOSE(CONTROL!$C$42, 14.8391, 14.8391) * CHOOSE(CONTROL!$C$21, $C$9, 100%, $E$9)</f>
        <v>14.8391</v>
      </c>
      <c r="M481" s="10">
        <f>CHOOSE(CONTROL!$C$42, 14.0035, 14.0035) * CHOOSE(CONTROL!$C$21, $C$9, 100%, $E$9)</f>
        <v>14.003500000000001</v>
      </c>
      <c r="N481" s="10">
        <f>CHOOSE(CONTROL!$C$42, 14.0209, 14.0209) * CHOOSE(CONTROL!$C$21, $C$9, 100%, $E$9)</f>
        <v>14.020899999999999</v>
      </c>
      <c r="O481" s="10">
        <f>CHOOSE(CONTROL!$C$42, 14.1221, 14.1221) * CHOOSE(CONTROL!$C$21, $C$9, 100%, $E$9)</f>
        <v>14.1221</v>
      </c>
      <c r="P481" s="10">
        <f>CHOOSE(CONTROL!$C$42, 14.0189, 14.0189) * CHOOSE(CONTROL!$C$21, $C$9, 100%, $E$9)</f>
        <v>14.0189</v>
      </c>
      <c r="Q481" s="10">
        <f>CHOOSE(CONTROL!$C$42, 14.7174, 14.7174) * CHOOSE(CONTROL!$C$21, $C$9, 100%, $E$9)</f>
        <v>14.7174</v>
      </c>
      <c r="R481" s="10">
        <f>CHOOSE(CONTROL!$C$42, 15.3411, 15.3411) * CHOOSE(CONTROL!$C$21, $C$9, 100%, $E$9)</f>
        <v>15.341100000000001</v>
      </c>
      <c r="S481" s="10">
        <f>CHOOSE(CONTROL!$C$42, 13.7622, 13.7622) * CHOOSE(CONTROL!$C$21, $C$9, 100%, $E$9)</f>
        <v>13.7622</v>
      </c>
      <c r="T481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81" s="58">
        <f>(1000*CHOOSE(CONTROL!$C$42, 695, 695)*CHOOSE(CONTROL!$C$42, 0.5599, 0.5599)*CHOOSE(CONTROL!$C$42, 31, 31))/1000000</f>
        <v>12.063045499999998</v>
      </c>
      <c r="V481" s="58">
        <f>(1000*CHOOSE(CONTROL!$C$42, 500, 500)*CHOOSE(CONTROL!$C$42, 0.275, 0.275)*CHOOSE(CONTROL!$C$42, 31, 31))/1000000</f>
        <v>4.2625000000000002</v>
      </c>
      <c r="W481" s="58">
        <f>(1000*CHOOSE(CONTROL!$C$42, 0.1146, 0.1146)*CHOOSE(CONTROL!$C$42, 121.5, 121.5)*CHOOSE(CONTROL!$C$42, 31, 31))/1000000</f>
        <v>0.43164089999999994</v>
      </c>
      <c r="X481" s="58">
        <f>(31*0.1790888*100000/1000000)+(31*0.2374*100000/1000000)</f>
        <v>1.2911152800000001</v>
      </c>
      <c r="Y481" s="58"/>
      <c r="Z481" s="10"/>
      <c r="AA481" s="57"/>
      <c r="AB481" s="51">
        <f>(B481*122.58+C481*297.941+D481*89.177+E481*40.302+F481*40+G481*160+H481*0+I481*100+J481*300)/(122.58+297.941+89.177+40.302+0+40+160+100+300)</f>
        <v>14.165890568173914</v>
      </c>
      <c r="AC481" s="27">
        <f>(M481*'RAP TEMPLATE-GAS AVAILABILITY'!O480+N481*'RAP TEMPLATE-GAS AVAILABILITY'!P480+O481*'RAP TEMPLATE-GAS AVAILABILITY'!Q480+P481*'RAP TEMPLATE-GAS AVAILABILITY'!R480)/('RAP TEMPLATE-GAS AVAILABILITY'!O480+'RAP TEMPLATE-GAS AVAILABILITY'!P480+'RAP TEMPLATE-GAS AVAILABILITY'!Q480+'RAP TEMPLATE-GAS AVAILABILITY'!R480)</f>
        <v>14.060471223021583</v>
      </c>
    </row>
    <row r="482" spans="1:29" ht="15.75" x14ac:dyDescent="0.25">
      <c r="A482" s="14">
        <v>55943</v>
      </c>
      <c r="B482" s="10">
        <f>CHOOSE(CONTROL!$C$42, 14.4262, 14.4262) * CHOOSE(CONTROL!$C$21, $C$9, 100%, $E$9)</f>
        <v>14.4262</v>
      </c>
      <c r="C482" s="10">
        <f>CHOOSE(CONTROL!$C$42, 14.4311, 14.4311) * CHOOSE(CONTROL!$C$21, $C$9, 100%, $E$9)</f>
        <v>14.431100000000001</v>
      </c>
      <c r="D482" s="10">
        <f>CHOOSE(CONTROL!$C$42, 14.5483, 14.5483) * CHOOSE(CONTROL!$C$21, $C$9, 100%, $E$9)</f>
        <v>14.548299999999999</v>
      </c>
      <c r="E482" s="10">
        <f>CHOOSE(CONTROL!$C$42, 14.5821, 14.5821) * CHOOSE(CONTROL!$C$21, $C$9, 100%, $E$9)</f>
        <v>14.582100000000001</v>
      </c>
      <c r="F482" s="10">
        <f>CHOOSE(CONTROL!$C$42, 14.5038, 14.5038)*CHOOSE(CONTROL!$C$21, $C$9, 100%, $E$9)</f>
        <v>14.5038</v>
      </c>
      <c r="G482" s="10">
        <f>CHOOSE(CONTROL!$C$42, 14.5257, 14.5257)*CHOOSE(CONTROL!$C$21, $C$9, 100%, $E$9)</f>
        <v>14.525700000000001</v>
      </c>
      <c r="H482" s="10">
        <f>CHOOSE(CONTROL!$C$42, 14.5713, 14.5713) * CHOOSE(CONTROL!$C$21, $C$9, 100%, $E$9)</f>
        <v>14.571300000000001</v>
      </c>
      <c r="I482" s="10">
        <f>CHOOSE(CONTROL!$C$42, 14.4619, 14.4619)* CHOOSE(CONTROL!$C$21, $C$9, 100%, $E$9)</f>
        <v>14.4619</v>
      </c>
      <c r="J482" s="10">
        <f>CHOOSE(CONTROL!$C$42, 14.4968, 14.4968)* CHOOSE(CONTROL!$C$21, $C$9, 100%, $E$9)</f>
        <v>14.4968</v>
      </c>
      <c r="K482" s="54">
        <f>CHOOSE(CONTROL!$C$42, 14.458, 14.458) * CHOOSE(CONTROL!$C$21, $C$9, 100%, $E$9)</f>
        <v>14.458</v>
      </c>
      <c r="L482" s="10">
        <f>CHOOSE(CONTROL!$C$42, 15.1583, 15.1583) * CHOOSE(CONTROL!$C$21, $C$9, 100%, $E$9)</f>
        <v>15.158300000000001</v>
      </c>
      <c r="M482" s="10">
        <f>CHOOSE(CONTROL!$C$42, 14.3643, 14.3643) * CHOOSE(CONTROL!$C$21, $C$9, 100%, $E$9)</f>
        <v>14.3643</v>
      </c>
      <c r="N482" s="10">
        <f>CHOOSE(CONTROL!$C$42, 14.386, 14.386) * CHOOSE(CONTROL!$C$21, $C$9, 100%, $E$9)</f>
        <v>14.385999999999999</v>
      </c>
      <c r="O482" s="10">
        <f>CHOOSE(CONTROL!$C$42, 14.438, 14.438) * CHOOSE(CONTROL!$C$21, $C$9, 100%, $E$9)</f>
        <v>14.438000000000001</v>
      </c>
      <c r="P482" s="10">
        <f>CHOOSE(CONTROL!$C$42, 14.3298, 14.3298) * CHOOSE(CONTROL!$C$21, $C$9, 100%, $E$9)</f>
        <v>14.329800000000001</v>
      </c>
      <c r="Q482" s="10">
        <f>CHOOSE(CONTROL!$C$42, 15.0333, 15.0333) * CHOOSE(CONTROL!$C$21, $C$9, 100%, $E$9)</f>
        <v>15.033300000000001</v>
      </c>
      <c r="R482" s="10">
        <f>CHOOSE(CONTROL!$C$42, 15.6579, 15.6579) * CHOOSE(CONTROL!$C$21, $C$9, 100%, $E$9)</f>
        <v>15.6579</v>
      </c>
      <c r="S482" s="10">
        <f>CHOOSE(CONTROL!$C$42, 14.0071, 14.0071) * CHOOSE(CONTROL!$C$21, $C$9, 100%, $E$9)</f>
        <v>14.007099999999999</v>
      </c>
      <c r="T482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482" s="58">
        <f>(1000*CHOOSE(CONTROL!$C$42, 695, 695)*CHOOSE(CONTROL!$C$42, 0.5599, 0.5599)*CHOOSE(CONTROL!$C$42, 28, 28))/1000000</f>
        <v>10.895653999999999</v>
      </c>
      <c r="V482" s="58">
        <f>(1000*CHOOSE(CONTROL!$C$42, 500, 500)*CHOOSE(CONTROL!$C$42, 0.275, 0.275)*CHOOSE(CONTROL!$C$42, 28, 28))/1000000</f>
        <v>3.85</v>
      </c>
      <c r="W482" s="58">
        <f>(1000*CHOOSE(CONTROL!$C$42, 0.1146, 0.1146)*CHOOSE(CONTROL!$C$42, 121.5, 121.5)*CHOOSE(CONTROL!$C$42, 28, 28))/1000000</f>
        <v>0.38986920000000003</v>
      </c>
      <c r="X482" s="58">
        <f>(28*0.1790888*100000/1000000)+(28*0.2374*100000/1000000)</f>
        <v>1.16616864</v>
      </c>
      <c r="Y482" s="58"/>
      <c r="Z482" s="10"/>
      <c r="AA482" s="57"/>
      <c r="AB482" s="51">
        <f>(B482*122.58+C482*297.941+D482*89.177+E482*40.302+F482*40+G482*160+H482*0+I482*100+J482*300)/(122.58+297.941+89.177+40.302+0+40+160+100+300)</f>
        <v>14.480465656</v>
      </c>
      <c r="AC482" s="27">
        <f>(M482*'RAP TEMPLATE-GAS AVAILABILITY'!O481+N482*'RAP TEMPLATE-GAS AVAILABILITY'!P481+O482*'RAP TEMPLATE-GAS AVAILABILITY'!Q481+P482*'RAP TEMPLATE-GAS AVAILABILITY'!R481)/('RAP TEMPLATE-GAS AVAILABILITY'!O481+'RAP TEMPLATE-GAS AVAILABILITY'!P481+'RAP TEMPLATE-GAS AVAILABILITY'!Q481+'RAP TEMPLATE-GAS AVAILABILITY'!R481)</f>
        <v>14.393988489208633</v>
      </c>
    </row>
    <row r="483" spans="1:29" ht="15.75" x14ac:dyDescent="0.25">
      <c r="A483" s="14">
        <v>55974</v>
      </c>
      <c r="B483" s="10">
        <f>CHOOSE(CONTROL!$C$42, 14.0167, 14.0167) * CHOOSE(CONTROL!$C$21, $C$9, 100%, $E$9)</f>
        <v>14.0167</v>
      </c>
      <c r="C483" s="10">
        <f>CHOOSE(CONTROL!$C$42, 14.0217, 14.0217) * CHOOSE(CONTROL!$C$21, $C$9, 100%, $E$9)</f>
        <v>14.021699999999999</v>
      </c>
      <c r="D483" s="10">
        <f>CHOOSE(CONTROL!$C$42, 14.113, 14.113) * CHOOSE(CONTROL!$C$21, $C$9, 100%, $E$9)</f>
        <v>14.113</v>
      </c>
      <c r="E483" s="10">
        <f>CHOOSE(CONTROL!$C$42, 14.1468, 14.1468) * CHOOSE(CONTROL!$C$21, $C$9, 100%, $E$9)</f>
        <v>14.146800000000001</v>
      </c>
      <c r="F483" s="10">
        <f>CHOOSE(CONTROL!$C$42, 14.0465, 14.0465)*CHOOSE(CONTROL!$C$21, $C$9, 100%, $E$9)</f>
        <v>14.0465</v>
      </c>
      <c r="G483" s="10">
        <f>CHOOSE(CONTROL!$C$42, 14.066, 14.066)*CHOOSE(CONTROL!$C$21, $C$9, 100%, $E$9)</f>
        <v>14.066000000000001</v>
      </c>
      <c r="H483" s="10">
        <f>CHOOSE(CONTROL!$C$42, 14.136, 14.136) * CHOOSE(CONTROL!$C$21, $C$9, 100%, $E$9)</f>
        <v>14.135999999999999</v>
      </c>
      <c r="I483" s="10">
        <f>CHOOSE(CONTROL!$C$42, 14.0395, 14.0395)* CHOOSE(CONTROL!$C$21, $C$9, 100%, $E$9)</f>
        <v>14.0395</v>
      </c>
      <c r="J483" s="10">
        <f>CHOOSE(CONTROL!$C$42, 14.0395, 14.0395)* CHOOSE(CONTROL!$C$21, $C$9, 100%, $E$9)</f>
        <v>14.0395</v>
      </c>
      <c r="K483" s="54">
        <f>CHOOSE(CONTROL!$C$42, 14.0356, 14.0356) * CHOOSE(CONTROL!$C$21, $C$9, 100%, $E$9)</f>
        <v>14.035600000000001</v>
      </c>
      <c r="L483" s="10">
        <f>CHOOSE(CONTROL!$C$42, 14.723, 14.723) * CHOOSE(CONTROL!$C$21, $C$9, 100%, $E$9)</f>
        <v>14.723000000000001</v>
      </c>
      <c r="M483" s="10">
        <f>CHOOSE(CONTROL!$C$42, 13.9117, 13.9117) * CHOOSE(CONTROL!$C$21, $C$9, 100%, $E$9)</f>
        <v>13.9117</v>
      </c>
      <c r="N483" s="10">
        <f>CHOOSE(CONTROL!$C$42, 13.931, 13.931) * CHOOSE(CONTROL!$C$21, $C$9, 100%, $E$9)</f>
        <v>13.930999999999999</v>
      </c>
      <c r="O483" s="10">
        <f>CHOOSE(CONTROL!$C$42, 14.0072, 14.0072) * CHOOSE(CONTROL!$C$21, $C$9, 100%, $E$9)</f>
        <v>14.007199999999999</v>
      </c>
      <c r="P483" s="10">
        <f>CHOOSE(CONTROL!$C$42, 13.9117, 13.9117) * CHOOSE(CONTROL!$C$21, $C$9, 100%, $E$9)</f>
        <v>13.9117</v>
      </c>
      <c r="Q483" s="10">
        <f>CHOOSE(CONTROL!$C$42, 14.6025, 14.6025) * CHOOSE(CONTROL!$C$21, $C$9, 100%, $E$9)</f>
        <v>14.602499999999999</v>
      </c>
      <c r="R483" s="10">
        <f>CHOOSE(CONTROL!$C$42, 15.226, 15.226) * CHOOSE(CONTROL!$C$21, $C$9, 100%, $E$9)</f>
        <v>15.226000000000001</v>
      </c>
      <c r="S483" s="10">
        <f>CHOOSE(CONTROL!$C$42, 13.6095, 13.6095) * CHOOSE(CONTROL!$C$21, $C$9, 100%, $E$9)</f>
        <v>13.609500000000001</v>
      </c>
      <c r="T483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483" s="58">
        <f>(1000*CHOOSE(CONTROL!$C$42, 695, 695)*CHOOSE(CONTROL!$C$42, 0.5599, 0.5599)*CHOOSE(CONTROL!$C$42, 31, 31))/1000000</f>
        <v>12.063045499999998</v>
      </c>
      <c r="V483" s="58">
        <f>(1000*CHOOSE(CONTROL!$C$42, 500, 500)*CHOOSE(CONTROL!$C$42, 0.275, 0.275)*CHOOSE(CONTROL!$C$42, 31, 31))/1000000</f>
        <v>4.2625000000000002</v>
      </c>
      <c r="W483" s="58">
        <f>(1000*CHOOSE(CONTROL!$C$42, 0.1146, 0.1146)*CHOOSE(CONTROL!$C$42, 121.5, 121.5)*CHOOSE(CONTROL!$C$42, 31, 31))/1000000</f>
        <v>0.43164089999999994</v>
      </c>
      <c r="X483" s="58">
        <f>(31*0.1790888*100000/1000000)+(31*0.2374*100000/1000000)</f>
        <v>1.2911152800000001</v>
      </c>
      <c r="Y483" s="58"/>
      <c r="Z483" s="10"/>
      <c r="AA483" s="57"/>
      <c r="AB483" s="51">
        <f>(B483*122.58+C483*297.941+D483*89.177+E483*40.302+F483*40+G483*160+H483*0+I483*100+J483*300)/(122.58+297.941+89.177+40.302+0+40+160+100+300)</f>
        <v>14.045848469826087</v>
      </c>
      <c r="AC483" s="27">
        <f>(M483*'RAP TEMPLATE-GAS AVAILABILITY'!O482+N483*'RAP TEMPLATE-GAS AVAILABILITY'!P482+O483*'RAP TEMPLATE-GAS AVAILABILITY'!Q482+P483*'RAP TEMPLATE-GAS AVAILABILITY'!R482)/('RAP TEMPLATE-GAS AVAILABILITY'!O482+'RAP TEMPLATE-GAS AVAILABILITY'!P482+'RAP TEMPLATE-GAS AVAILABILITY'!Q482+'RAP TEMPLATE-GAS AVAILABILITY'!R482)</f>
        <v>13.956094964028775</v>
      </c>
    </row>
    <row r="484" spans="1:29" ht="15.75" x14ac:dyDescent="0.25">
      <c r="A484" s="14">
        <v>56004</v>
      </c>
      <c r="B484" s="10">
        <f>CHOOSE(CONTROL!$C$42, 13.9755, 13.9755) * CHOOSE(CONTROL!$C$21, $C$9, 100%, $E$9)</f>
        <v>13.9755</v>
      </c>
      <c r="C484" s="10">
        <f>CHOOSE(CONTROL!$C$42, 13.9799, 13.9799) * CHOOSE(CONTROL!$C$21, $C$9, 100%, $E$9)</f>
        <v>13.979900000000001</v>
      </c>
      <c r="D484" s="10">
        <f>CHOOSE(CONTROL!$C$42, 14.1616, 14.1616) * CHOOSE(CONTROL!$C$21, $C$9, 100%, $E$9)</f>
        <v>14.1616</v>
      </c>
      <c r="E484" s="10">
        <f>CHOOSE(CONTROL!$C$42, 14.1934, 14.1934) * CHOOSE(CONTROL!$C$21, $C$9, 100%, $E$9)</f>
        <v>14.1934</v>
      </c>
      <c r="F484" s="10">
        <f>CHOOSE(CONTROL!$C$42, 13.9639, 13.9639)*CHOOSE(CONTROL!$C$21, $C$9, 100%, $E$9)</f>
        <v>13.963900000000001</v>
      </c>
      <c r="G484" s="10">
        <f>CHOOSE(CONTROL!$C$42, 13.9818, 13.9818)*CHOOSE(CONTROL!$C$21, $C$9, 100%, $E$9)</f>
        <v>13.9818</v>
      </c>
      <c r="H484" s="10">
        <f>CHOOSE(CONTROL!$C$42, 14.1831, 14.1831) * CHOOSE(CONTROL!$C$21, $C$9, 100%, $E$9)</f>
        <v>14.1831</v>
      </c>
      <c r="I484" s="10">
        <f>CHOOSE(CONTROL!$C$42, 13.9538, 13.9538)* CHOOSE(CONTROL!$C$21, $C$9, 100%, $E$9)</f>
        <v>13.953799999999999</v>
      </c>
      <c r="J484" s="10">
        <f>CHOOSE(CONTROL!$C$42, 13.9569, 13.9569)* CHOOSE(CONTROL!$C$21, $C$9, 100%, $E$9)</f>
        <v>13.956899999999999</v>
      </c>
      <c r="K484" s="54">
        <f>CHOOSE(CONTROL!$C$42, 13.9499, 13.9499) * CHOOSE(CONTROL!$C$21, $C$9, 100%, $E$9)</f>
        <v>13.9499</v>
      </c>
      <c r="L484" s="10">
        <f>CHOOSE(CONTROL!$C$42, 14.7701, 14.7701) * CHOOSE(CONTROL!$C$21, $C$9, 100%, $E$9)</f>
        <v>14.770099999999999</v>
      </c>
      <c r="M484" s="10">
        <f>CHOOSE(CONTROL!$C$42, 13.8298, 13.8298) * CHOOSE(CONTROL!$C$21, $C$9, 100%, $E$9)</f>
        <v>13.829800000000001</v>
      </c>
      <c r="N484" s="10">
        <f>CHOOSE(CONTROL!$C$42, 13.8476, 13.8476) * CHOOSE(CONTROL!$C$21, $C$9, 100%, $E$9)</f>
        <v>13.8476</v>
      </c>
      <c r="O484" s="10">
        <f>CHOOSE(CONTROL!$C$42, 14.0538, 14.0538) * CHOOSE(CONTROL!$C$21, $C$9, 100%, $E$9)</f>
        <v>14.053800000000001</v>
      </c>
      <c r="P484" s="10">
        <f>CHOOSE(CONTROL!$C$42, 13.8268, 13.8268) * CHOOSE(CONTROL!$C$21, $C$9, 100%, $E$9)</f>
        <v>13.8268</v>
      </c>
      <c r="Q484" s="10">
        <f>CHOOSE(CONTROL!$C$42, 14.6491, 14.6491) * CHOOSE(CONTROL!$C$21, $C$9, 100%, $E$9)</f>
        <v>14.649100000000001</v>
      </c>
      <c r="R484" s="10">
        <f>CHOOSE(CONTROL!$C$42, 15.2728, 15.2728) * CHOOSE(CONTROL!$C$21, $C$9, 100%, $E$9)</f>
        <v>15.2728</v>
      </c>
      <c r="S484" s="10">
        <f>CHOOSE(CONTROL!$C$42, 13.5687, 13.5687) * CHOOSE(CONTROL!$C$21, $C$9, 100%, $E$9)</f>
        <v>13.5687</v>
      </c>
      <c r="T484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84" s="58">
        <f>(1000*CHOOSE(CONTROL!$C$42, 695, 695)*CHOOSE(CONTROL!$C$42, 0.5599, 0.5599)*CHOOSE(CONTROL!$C$42, 30, 30))/1000000</f>
        <v>11.673914999999997</v>
      </c>
      <c r="V484" s="58">
        <f>(1000*CHOOSE(CONTROL!$C$42, 500, 500)*CHOOSE(CONTROL!$C$42, 0.275, 0.275)*CHOOSE(CONTROL!$C$42, 30, 30))/1000000</f>
        <v>4.125</v>
      </c>
      <c r="W484" s="58">
        <f>(1000*CHOOSE(CONTROL!$C$42, 0.1146, 0.1146)*CHOOSE(CONTROL!$C$42, 121.5, 121.5)*CHOOSE(CONTROL!$C$42, 30, 30))/1000000</f>
        <v>0.417717</v>
      </c>
      <c r="X484" s="58">
        <f>(30*0.1790888*245000/1000000)+(30*0.2374*100000/1000000)</f>
        <v>2.0285026799999999</v>
      </c>
      <c r="Y484" s="58"/>
      <c r="Z484" s="10"/>
      <c r="AA484" s="57"/>
      <c r="AB484" s="51">
        <f>(B484*141.293+C484*267.993+D484*115.016+E484*89.698+F484*40+G484*185+H484*0+I484*100+J484*300)/(141.293+267.993+115.016+89.698+0+40+185+100+300)</f>
        <v>14.003813430992736</v>
      </c>
      <c r="AC484" s="27">
        <f>(M484*'RAP TEMPLATE-GAS AVAILABILITY'!O483+N484*'RAP TEMPLATE-GAS AVAILABILITY'!P483+O484*'RAP TEMPLATE-GAS AVAILABILITY'!Q483+P484*'RAP TEMPLATE-GAS AVAILABILITY'!R483)/('RAP TEMPLATE-GAS AVAILABILITY'!O483+'RAP TEMPLATE-GAS AVAILABILITY'!P483+'RAP TEMPLATE-GAS AVAILABILITY'!Q483+'RAP TEMPLATE-GAS AVAILABILITY'!R483)</f>
        <v>13.896315107913669</v>
      </c>
    </row>
    <row r="485" spans="1:29" ht="15.75" x14ac:dyDescent="0.25">
      <c r="A485" s="14">
        <v>56035</v>
      </c>
      <c r="B485" s="10">
        <f>CHOOSE(CONTROL!$C$42, 14.1006, 14.1006) * CHOOSE(CONTROL!$C$21, $C$9, 100%, $E$9)</f>
        <v>14.1006</v>
      </c>
      <c r="C485" s="10">
        <f>CHOOSE(CONTROL!$C$42, 14.1085, 14.1085) * CHOOSE(CONTROL!$C$21, $C$9, 100%, $E$9)</f>
        <v>14.108499999999999</v>
      </c>
      <c r="D485" s="10">
        <f>CHOOSE(CONTROL!$C$42, 14.2871, 14.2871) * CHOOSE(CONTROL!$C$21, $C$9, 100%, $E$9)</f>
        <v>14.287100000000001</v>
      </c>
      <c r="E485" s="10">
        <f>CHOOSE(CONTROL!$C$42, 14.3182, 14.3182) * CHOOSE(CONTROL!$C$21, $C$9, 100%, $E$9)</f>
        <v>14.318199999999999</v>
      </c>
      <c r="F485" s="10">
        <f>CHOOSE(CONTROL!$C$42, 14.0868, 14.0868)*CHOOSE(CONTROL!$C$21, $C$9, 100%, $E$9)</f>
        <v>14.0868</v>
      </c>
      <c r="G485" s="10">
        <f>CHOOSE(CONTROL!$C$42, 14.105, 14.105)*CHOOSE(CONTROL!$C$21, $C$9, 100%, $E$9)</f>
        <v>14.105</v>
      </c>
      <c r="H485" s="10">
        <f>CHOOSE(CONTROL!$C$42, 14.3068, 14.3068) * CHOOSE(CONTROL!$C$21, $C$9, 100%, $E$9)</f>
        <v>14.306800000000001</v>
      </c>
      <c r="I485" s="10">
        <f>CHOOSE(CONTROL!$C$42, 14.0775, 14.0775)* CHOOSE(CONTROL!$C$21, $C$9, 100%, $E$9)</f>
        <v>14.077500000000001</v>
      </c>
      <c r="J485" s="10">
        <f>CHOOSE(CONTROL!$C$42, 14.0798, 14.0798)* CHOOSE(CONTROL!$C$21, $C$9, 100%, $E$9)</f>
        <v>14.079800000000001</v>
      </c>
      <c r="K485" s="54">
        <f>CHOOSE(CONTROL!$C$42, 14.0736, 14.0736) * CHOOSE(CONTROL!$C$21, $C$9, 100%, $E$9)</f>
        <v>14.073600000000001</v>
      </c>
      <c r="L485" s="10">
        <f>CHOOSE(CONTROL!$C$42, 14.8938, 14.8938) * CHOOSE(CONTROL!$C$21, $C$9, 100%, $E$9)</f>
        <v>14.893800000000001</v>
      </c>
      <c r="M485" s="10">
        <f>CHOOSE(CONTROL!$C$42, 13.9515, 13.9515) * CHOOSE(CONTROL!$C$21, $C$9, 100%, $E$9)</f>
        <v>13.951499999999999</v>
      </c>
      <c r="N485" s="10">
        <f>CHOOSE(CONTROL!$C$42, 13.9695, 13.9695) * CHOOSE(CONTROL!$C$21, $C$9, 100%, $E$9)</f>
        <v>13.9695</v>
      </c>
      <c r="O485" s="10">
        <f>CHOOSE(CONTROL!$C$42, 14.1763, 14.1763) * CHOOSE(CONTROL!$C$21, $C$9, 100%, $E$9)</f>
        <v>14.176299999999999</v>
      </c>
      <c r="P485" s="10">
        <f>CHOOSE(CONTROL!$C$42, 13.9493, 13.9493) * CHOOSE(CONTROL!$C$21, $C$9, 100%, $E$9)</f>
        <v>13.949299999999999</v>
      </c>
      <c r="Q485" s="10">
        <f>CHOOSE(CONTROL!$C$42, 14.7716, 14.7716) * CHOOSE(CONTROL!$C$21, $C$9, 100%, $E$9)</f>
        <v>14.771599999999999</v>
      </c>
      <c r="R485" s="10">
        <f>CHOOSE(CONTROL!$C$42, 15.3955, 15.3955) * CHOOSE(CONTROL!$C$21, $C$9, 100%, $E$9)</f>
        <v>15.3955</v>
      </c>
      <c r="S485" s="10">
        <f>CHOOSE(CONTROL!$C$42, 13.6889, 13.6889) * CHOOSE(CONTROL!$C$21, $C$9, 100%, $E$9)</f>
        <v>13.6889</v>
      </c>
      <c r="T485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85" s="58">
        <f>(1000*CHOOSE(CONTROL!$C$42, 695, 695)*CHOOSE(CONTROL!$C$42, 0.5599, 0.5599)*CHOOSE(CONTROL!$C$42, 31, 31))/1000000</f>
        <v>12.063045499999998</v>
      </c>
      <c r="V485" s="58">
        <f>(1000*CHOOSE(CONTROL!$C$42, 500, 500)*CHOOSE(CONTROL!$C$42, 0.275, 0.275)*CHOOSE(CONTROL!$C$42, 31, 31))/1000000</f>
        <v>4.2625000000000002</v>
      </c>
      <c r="W485" s="58">
        <f>(1000*CHOOSE(CONTROL!$C$42, 0.1146, 0.1146)*CHOOSE(CONTROL!$C$42, 121.5, 121.5)*CHOOSE(CONTROL!$C$42, 31, 31))/1000000</f>
        <v>0.43164089999999994</v>
      </c>
      <c r="X485" s="58">
        <f>(31*0.1790888*245000/1000000)+(31*0.2374*100000/1000000)</f>
        <v>2.0961194359999999</v>
      </c>
      <c r="Y485" s="58"/>
      <c r="Z485" s="10"/>
      <c r="AA485" s="57"/>
      <c r="AB485" s="51">
        <f>(B485*194.205+C485*267.466+D485*133.845+E485*53.484+F485*40+G485*185+H485*0+I485*100+J485*300)/(194.205+267.466+133.845+53.484+0+40+185+100+300)</f>
        <v>14.124481626609104</v>
      </c>
      <c r="AC485" s="27">
        <f>(M485*'RAP TEMPLATE-GAS AVAILABILITY'!O484+N485*'RAP TEMPLATE-GAS AVAILABILITY'!P484+O485*'RAP TEMPLATE-GAS AVAILABILITY'!Q484+P485*'RAP TEMPLATE-GAS AVAILABILITY'!R484)/('RAP TEMPLATE-GAS AVAILABILITY'!O484+'RAP TEMPLATE-GAS AVAILABILITY'!P484+'RAP TEMPLATE-GAS AVAILABILITY'!Q484+'RAP TEMPLATE-GAS AVAILABILITY'!R484)</f>
        <v>14.018400719424459</v>
      </c>
    </row>
    <row r="486" spans="1:29" ht="15.75" x14ac:dyDescent="0.25">
      <c r="A486" s="14">
        <v>56065</v>
      </c>
      <c r="B486" s="10">
        <f>CHOOSE(CONTROL!$C$42, 14.5005, 14.5005) * CHOOSE(CONTROL!$C$21, $C$9, 100%, $E$9)</f>
        <v>14.500500000000001</v>
      </c>
      <c r="C486" s="10">
        <f>CHOOSE(CONTROL!$C$42, 14.5084, 14.5084) * CHOOSE(CONTROL!$C$21, $C$9, 100%, $E$9)</f>
        <v>14.5084</v>
      </c>
      <c r="D486" s="10">
        <f>CHOOSE(CONTROL!$C$42, 14.6869, 14.6869) * CHOOSE(CONTROL!$C$21, $C$9, 100%, $E$9)</f>
        <v>14.6869</v>
      </c>
      <c r="E486" s="10">
        <f>CHOOSE(CONTROL!$C$42, 14.718, 14.718) * CHOOSE(CONTROL!$C$21, $C$9, 100%, $E$9)</f>
        <v>14.718</v>
      </c>
      <c r="F486" s="10">
        <f>CHOOSE(CONTROL!$C$42, 14.4869, 14.4869)*CHOOSE(CONTROL!$C$21, $C$9, 100%, $E$9)</f>
        <v>14.4869</v>
      </c>
      <c r="G486" s="10">
        <f>CHOOSE(CONTROL!$C$42, 14.5051, 14.5051)*CHOOSE(CONTROL!$C$21, $C$9, 100%, $E$9)</f>
        <v>14.505100000000001</v>
      </c>
      <c r="H486" s="10">
        <f>CHOOSE(CONTROL!$C$42, 14.7067, 14.7067) * CHOOSE(CONTROL!$C$21, $C$9, 100%, $E$9)</f>
        <v>14.7067</v>
      </c>
      <c r="I486" s="10">
        <f>CHOOSE(CONTROL!$C$42, 14.4773, 14.4773)* CHOOSE(CONTROL!$C$21, $C$9, 100%, $E$9)</f>
        <v>14.4773</v>
      </c>
      <c r="J486" s="10">
        <f>CHOOSE(CONTROL!$C$42, 14.4799, 14.4799)* CHOOSE(CONTROL!$C$21, $C$9, 100%, $E$9)</f>
        <v>14.479900000000001</v>
      </c>
      <c r="K486" s="54">
        <f>CHOOSE(CONTROL!$C$42, 14.4734, 14.4734) * CHOOSE(CONTROL!$C$21, $C$9, 100%, $E$9)</f>
        <v>14.4734</v>
      </c>
      <c r="L486" s="10">
        <f>CHOOSE(CONTROL!$C$42, 15.2937, 15.2937) * CHOOSE(CONTROL!$C$21, $C$9, 100%, $E$9)</f>
        <v>15.293699999999999</v>
      </c>
      <c r="M486" s="10">
        <f>CHOOSE(CONTROL!$C$42, 14.3476, 14.3476) * CHOOSE(CONTROL!$C$21, $C$9, 100%, $E$9)</f>
        <v>14.3476</v>
      </c>
      <c r="N486" s="10">
        <f>CHOOSE(CONTROL!$C$42, 14.3656, 14.3656) * CHOOSE(CONTROL!$C$21, $C$9, 100%, $E$9)</f>
        <v>14.365600000000001</v>
      </c>
      <c r="O486" s="10">
        <f>CHOOSE(CONTROL!$C$42, 14.5721, 14.5721) * CHOOSE(CONTROL!$C$21, $C$9, 100%, $E$9)</f>
        <v>14.572100000000001</v>
      </c>
      <c r="P486" s="10">
        <f>CHOOSE(CONTROL!$C$42, 14.3451, 14.3451) * CHOOSE(CONTROL!$C$21, $C$9, 100%, $E$9)</f>
        <v>14.3451</v>
      </c>
      <c r="Q486" s="10">
        <f>CHOOSE(CONTROL!$C$42, 15.1674, 15.1674) * CHOOSE(CONTROL!$C$21, $C$9, 100%, $E$9)</f>
        <v>15.167400000000001</v>
      </c>
      <c r="R486" s="10">
        <f>CHOOSE(CONTROL!$C$42, 15.7923, 15.7923) * CHOOSE(CONTROL!$C$21, $C$9, 100%, $E$9)</f>
        <v>15.792299999999999</v>
      </c>
      <c r="S486" s="10">
        <f>CHOOSE(CONTROL!$C$42, 14.0771, 14.0771) * CHOOSE(CONTROL!$C$21, $C$9, 100%, $E$9)</f>
        <v>14.0771</v>
      </c>
      <c r="T486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86" s="58">
        <f>(1000*CHOOSE(CONTROL!$C$42, 695, 695)*CHOOSE(CONTROL!$C$42, 0.5599, 0.5599)*CHOOSE(CONTROL!$C$42, 30, 30))/1000000</f>
        <v>11.673914999999997</v>
      </c>
      <c r="V486" s="58">
        <f>(1000*CHOOSE(CONTROL!$C$42, 500, 500)*CHOOSE(CONTROL!$C$42, 0.275, 0.275)*CHOOSE(CONTROL!$C$42, 30, 30))/1000000</f>
        <v>4.125</v>
      </c>
      <c r="W486" s="58">
        <f>(1000*CHOOSE(CONTROL!$C$42, 0.1146, 0.1146)*CHOOSE(CONTROL!$C$42, 121.5, 121.5)*CHOOSE(CONTROL!$C$42, 30, 30))/1000000</f>
        <v>0.417717</v>
      </c>
      <c r="X486" s="58">
        <f>(30*0.1790888*245000/1000000)+(30*0.2374*100000/1000000)</f>
        <v>2.0285026799999999</v>
      </c>
      <c r="Y486" s="58"/>
      <c r="Z486" s="10"/>
      <c r="AA486" s="57"/>
      <c r="AB486" s="51">
        <f>(B486*194.205+C486*267.466+D486*133.845+E486*53.484+F486*40+G486*185+H486*0+I486*100+J486*300)/(194.205+267.466+133.845+53.484+0+40+185+100+300)</f>
        <v>14.524441490894819</v>
      </c>
      <c r="AC486" s="27">
        <f>(M486*'RAP TEMPLATE-GAS AVAILABILITY'!O485+N486*'RAP TEMPLATE-GAS AVAILABILITY'!P485+O486*'RAP TEMPLATE-GAS AVAILABILITY'!Q485+P486*'RAP TEMPLATE-GAS AVAILABILITY'!R485)/('RAP TEMPLATE-GAS AVAILABILITY'!O485+'RAP TEMPLATE-GAS AVAILABILITY'!P485+'RAP TEMPLATE-GAS AVAILABILITY'!Q485+'RAP TEMPLATE-GAS AVAILABILITY'!R485)</f>
        <v>14.414373381294967</v>
      </c>
    </row>
    <row r="487" spans="1:29" ht="15.75" x14ac:dyDescent="0.25">
      <c r="A487" s="14">
        <v>56096</v>
      </c>
      <c r="B487" s="10">
        <f>CHOOSE(CONTROL!$C$42, 14.2224, 14.2224) * CHOOSE(CONTROL!$C$21, $C$9, 100%, $E$9)</f>
        <v>14.2224</v>
      </c>
      <c r="C487" s="10">
        <f>CHOOSE(CONTROL!$C$42, 14.2303, 14.2303) * CHOOSE(CONTROL!$C$21, $C$9, 100%, $E$9)</f>
        <v>14.2303</v>
      </c>
      <c r="D487" s="10">
        <f>CHOOSE(CONTROL!$C$42, 14.4088, 14.4088) * CHOOSE(CONTROL!$C$21, $C$9, 100%, $E$9)</f>
        <v>14.408799999999999</v>
      </c>
      <c r="E487" s="10">
        <f>CHOOSE(CONTROL!$C$42, 14.44, 14.44) * CHOOSE(CONTROL!$C$21, $C$9, 100%, $E$9)</f>
        <v>14.44</v>
      </c>
      <c r="F487" s="10">
        <f>CHOOSE(CONTROL!$C$42, 14.2091, 14.2091)*CHOOSE(CONTROL!$C$21, $C$9, 100%, $E$9)</f>
        <v>14.209099999999999</v>
      </c>
      <c r="G487" s="10">
        <f>CHOOSE(CONTROL!$C$42, 14.2274, 14.2274)*CHOOSE(CONTROL!$C$21, $C$9, 100%, $E$9)</f>
        <v>14.227399999999999</v>
      </c>
      <c r="H487" s="10">
        <f>CHOOSE(CONTROL!$C$42, 14.4286, 14.4286) * CHOOSE(CONTROL!$C$21, $C$9, 100%, $E$9)</f>
        <v>14.428599999999999</v>
      </c>
      <c r="I487" s="10">
        <f>CHOOSE(CONTROL!$C$42, 14.1992, 14.1992)* CHOOSE(CONTROL!$C$21, $C$9, 100%, $E$9)</f>
        <v>14.199199999999999</v>
      </c>
      <c r="J487" s="10">
        <f>CHOOSE(CONTROL!$C$42, 14.2021, 14.2021)* CHOOSE(CONTROL!$C$21, $C$9, 100%, $E$9)</f>
        <v>14.2021</v>
      </c>
      <c r="K487" s="54">
        <f>CHOOSE(CONTROL!$C$42, 14.1953, 14.1953) * CHOOSE(CONTROL!$C$21, $C$9, 100%, $E$9)</f>
        <v>14.1953</v>
      </c>
      <c r="L487" s="10">
        <f>CHOOSE(CONTROL!$C$42, 15.0156, 15.0156) * CHOOSE(CONTROL!$C$21, $C$9, 100%, $E$9)</f>
        <v>15.015599999999999</v>
      </c>
      <c r="M487" s="10">
        <f>CHOOSE(CONTROL!$C$42, 14.0726, 14.0726) * CHOOSE(CONTROL!$C$21, $C$9, 100%, $E$9)</f>
        <v>14.0726</v>
      </c>
      <c r="N487" s="10">
        <f>CHOOSE(CONTROL!$C$42, 14.0907, 14.0907) * CHOOSE(CONTROL!$C$21, $C$9, 100%, $E$9)</f>
        <v>14.0907</v>
      </c>
      <c r="O487" s="10">
        <f>CHOOSE(CONTROL!$C$42, 14.2968, 14.2968) * CHOOSE(CONTROL!$C$21, $C$9, 100%, $E$9)</f>
        <v>14.296799999999999</v>
      </c>
      <c r="P487" s="10">
        <f>CHOOSE(CONTROL!$C$42, 14.0698, 14.0698) * CHOOSE(CONTROL!$C$21, $C$9, 100%, $E$9)</f>
        <v>14.069800000000001</v>
      </c>
      <c r="Q487" s="10">
        <f>CHOOSE(CONTROL!$C$42, 14.8921, 14.8921) * CHOOSE(CONTROL!$C$21, $C$9, 100%, $E$9)</f>
        <v>14.892099999999999</v>
      </c>
      <c r="R487" s="10">
        <f>CHOOSE(CONTROL!$C$42, 15.5163, 15.5163) * CHOOSE(CONTROL!$C$21, $C$9, 100%, $E$9)</f>
        <v>15.516299999999999</v>
      </c>
      <c r="S487" s="10">
        <f>CHOOSE(CONTROL!$C$42, 13.8071, 13.8071) * CHOOSE(CONTROL!$C$21, $C$9, 100%, $E$9)</f>
        <v>13.8071</v>
      </c>
      <c r="T487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87" s="58">
        <f>(1000*CHOOSE(CONTROL!$C$42, 695, 695)*CHOOSE(CONTROL!$C$42, 0.5599, 0.5599)*CHOOSE(CONTROL!$C$42, 31, 31))/1000000</f>
        <v>12.063045499999998</v>
      </c>
      <c r="V487" s="58">
        <f>(1000*CHOOSE(CONTROL!$C$42, 500, 500)*CHOOSE(CONTROL!$C$42, 0.275, 0.275)*CHOOSE(CONTROL!$C$42, 31, 31))/1000000</f>
        <v>4.2625000000000002</v>
      </c>
      <c r="W487" s="58">
        <f>(1000*CHOOSE(CONTROL!$C$42, 0.1146, 0.1146)*CHOOSE(CONTROL!$C$42, 121.5, 121.5)*CHOOSE(CONTROL!$C$42, 31, 31))/1000000</f>
        <v>0.43164089999999994</v>
      </c>
      <c r="X487" s="58">
        <f>(31*0.1790888*245000/1000000)+(31*0.2374*100000/1000000)</f>
        <v>2.0961194359999999</v>
      </c>
      <c r="Y487" s="58"/>
      <c r="Z487" s="10"/>
      <c r="AA487" s="57"/>
      <c r="AB487" s="51">
        <f>(B487*194.205+C487*267.466+D487*133.845+E487*53.484+F487*40+G487*185+H487*0+I487*100+J487*300)/(194.205+267.466+133.845+53.484+0+40+185+100+300)</f>
        <v>14.246483836577706</v>
      </c>
      <c r="AC487" s="27">
        <f>(M487*'RAP TEMPLATE-GAS AVAILABILITY'!O486+N487*'RAP TEMPLATE-GAS AVAILABILITY'!P486+O487*'RAP TEMPLATE-GAS AVAILABILITY'!Q486+P487*'RAP TEMPLATE-GAS AVAILABILITY'!R486)/('RAP TEMPLATE-GAS AVAILABILITY'!O486+'RAP TEMPLATE-GAS AVAILABILITY'!P486+'RAP TEMPLATE-GAS AVAILABILITY'!Q486+'RAP TEMPLATE-GAS AVAILABILITY'!R486)</f>
        <v>14.1392690647482</v>
      </c>
    </row>
    <row r="488" spans="1:29" ht="15.75" x14ac:dyDescent="0.25">
      <c r="A488" s="14">
        <v>56127</v>
      </c>
      <c r="B488" s="10">
        <f>CHOOSE(CONTROL!$C$42, 13.5201, 13.5201) * CHOOSE(CONTROL!$C$21, $C$9, 100%, $E$9)</f>
        <v>13.520099999999999</v>
      </c>
      <c r="C488" s="10">
        <f>CHOOSE(CONTROL!$C$42, 13.528, 13.528) * CHOOSE(CONTROL!$C$21, $C$9, 100%, $E$9)</f>
        <v>13.528</v>
      </c>
      <c r="D488" s="10">
        <f>CHOOSE(CONTROL!$C$42, 13.7066, 13.7066) * CHOOSE(CONTROL!$C$21, $C$9, 100%, $E$9)</f>
        <v>13.7066</v>
      </c>
      <c r="E488" s="10">
        <f>CHOOSE(CONTROL!$C$42, 13.7377, 13.7377) * CHOOSE(CONTROL!$C$21, $C$9, 100%, $E$9)</f>
        <v>13.7377</v>
      </c>
      <c r="F488" s="10">
        <f>CHOOSE(CONTROL!$C$42, 13.5068, 13.5068)*CHOOSE(CONTROL!$C$21, $C$9, 100%, $E$9)</f>
        <v>13.5068</v>
      </c>
      <c r="G488" s="10">
        <f>CHOOSE(CONTROL!$C$42, 13.5251, 13.5251)*CHOOSE(CONTROL!$C$21, $C$9, 100%, $E$9)</f>
        <v>13.5251</v>
      </c>
      <c r="H488" s="10">
        <f>CHOOSE(CONTROL!$C$42, 13.7263, 13.7263) * CHOOSE(CONTROL!$C$21, $C$9, 100%, $E$9)</f>
        <v>13.7263</v>
      </c>
      <c r="I488" s="10">
        <f>CHOOSE(CONTROL!$C$42, 13.497, 13.497)* CHOOSE(CONTROL!$C$21, $C$9, 100%, $E$9)</f>
        <v>13.497</v>
      </c>
      <c r="J488" s="10">
        <f>CHOOSE(CONTROL!$C$42, 13.4998, 13.4998)* CHOOSE(CONTROL!$C$21, $C$9, 100%, $E$9)</f>
        <v>13.4998</v>
      </c>
      <c r="K488" s="54">
        <f>CHOOSE(CONTROL!$C$42, 13.4931, 13.4931) * CHOOSE(CONTROL!$C$21, $C$9, 100%, $E$9)</f>
        <v>13.4931</v>
      </c>
      <c r="L488" s="10">
        <f>CHOOSE(CONTROL!$C$42, 14.3133, 14.3133) * CHOOSE(CONTROL!$C$21, $C$9, 100%, $E$9)</f>
        <v>14.3133</v>
      </c>
      <c r="M488" s="10">
        <f>CHOOSE(CONTROL!$C$42, 13.3774, 13.3774) * CHOOSE(CONTROL!$C$21, $C$9, 100%, $E$9)</f>
        <v>13.3774</v>
      </c>
      <c r="N488" s="10">
        <f>CHOOSE(CONTROL!$C$42, 13.3955, 13.3955) * CHOOSE(CONTROL!$C$21, $C$9, 100%, $E$9)</f>
        <v>13.3955</v>
      </c>
      <c r="O488" s="10">
        <f>CHOOSE(CONTROL!$C$42, 13.6016, 13.6016) * CHOOSE(CONTROL!$C$21, $C$9, 100%, $E$9)</f>
        <v>13.601599999999999</v>
      </c>
      <c r="P488" s="10">
        <f>CHOOSE(CONTROL!$C$42, 13.3747, 13.3747) * CHOOSE(CONTROL!$C$21, $C$9, 100%, $E$9)</f>
        <v>13.374700000000001</v>
      </c>
      <c r="Q488" s="10">
        <f>CHOOSE(CONTROL!$C$42, 14.1969, 14.1969) * CHOOSE(CONTROL!$C$21, $C$9, 100%, $E$9)</f>
        <v>14.196899999999999</v>
      </c>
      <c r="R488" s="10">
        <f>CHOOSE(CONTROL!$C$42, 14.8194, 14.8194) * CHOOSE(CONTROL!$C$21, $C$9, 100%, $E$9)</f>
        <v>14.8194</v>
      </c>
      <c r="S488" s="10">
        <f>CHOOSE(CONTROL!$C$42, 13.1251, 13.1251) * CHOOSE(CONTROL!$C$21, $C$9, 100%, $E$9)</f>
        <v>13.1251</v>
      </c>
      <c r="T488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488" s="58">
        <f>(1000*CHOOSE(CONTROL!$C$42, 695, 695)*CHOOSE(CONTROL!$C$42, 0.5599, 0.5599)*CHOOSE(CONTROL!$C$42, 31, 31))/1000000</f>
        <v>12.063045499999998</v>
      </c>
      <c r="V488" s="58">
        <f>(1000*CHOOSE(CONTROL!$C$42, 500, 500)*CHOOSE(CONTROL!$C$42, 0.275, 0.275)*CHOOSE(CONTROL!$C$42, 31, 31))/1000000</f>
        <v>4.2625000000000002</v>
      </c>
      <c r="W488" s="58">
        <f>(1000*CHOOSE(CONTROL!$C$42, 0.1146, 0.1146)*CHOOSE(CONTROL!$C$42, 121.5, 121.5)*CHOOSE(CONTROL!$C$42, 31, 31))/1000000</f>
        <v>0.43164089999999994</v>
      </c>
      <c r="X488" s="58">
        <f>(31*0.1790888*245000/1000000)+(31*0.2374*100000/1000000)</f>
        <v>2.0961194359999999</v>
      </c>
      <c r="Y488" s="58"/>
      <c r="Z488" s="10"/>
      <c r="AA488" s="57"/>
      <c r="AB488" s="51">
        <f>(B488*194.205+C488*267.466+D488*133.845+E488*53.484+F488*40+G488*185+H488*0+I488*100+J488*300)/(194.205+267.466+133.845+53.484+0+40+185+100+300)</f>
        <v>13.544202191758242</v>
      </c>
      <c r="AC488" s="27">
        <f>(M488*'RAP TEMPLATE-GAS AVAILABILITY'!O487+N488*'RAP TEMPLATE-GAS AVAILABILITY'!P487+O488*'RAP TEMPLATE-GAS AVAILABILITY'!Q487+P488*'RAP TEMPLATE-GAS AVAILABILITY'!R487)/('RAP TEMPLATE-GAS AVAILABILITY'!O487+'RAP TEMPLATE-GAS AVAILABILITY'!P487+'RAP TEMPLATE-GAS AVAILABILITY'!Q487+'RAP TEMPLATE-GAS AVAILABILITY'!R487)</f>
        <v>13.444083453237409</v>
      </c>
    </row>
    <row r="489" spans="1:29" ht="15.75" x14ac:dyDescent="0.25">
      <c r="A489" s="14">
        <v>56157</v>
      </c>
      <c r="B489" s="10">
        <f>CHOOSE(CONTROL!$C$42, 12.6621, 12.6621) * CHOOSE(CONTROL!$C$21, $C$9, 100%, $E$9)</f>
        <v>12.662100000000001</v>
      </c>
      <c r="C489" s="10">
        <f>CHOOSE(CONTROL!$C$42, 12.67, 12.67) * CHOOSE(CONTROL!$C$21, $C$9, 100%, $E$9)</f>
        <v>12.67</v>
      </c>
      <c r="D489" s="10">
        <f>CHOOSE(CONTROL!$C$42, 12.8486, 12.8486) * CHOOSE(CONTROL!$C$21, $C$9, 100%, $E$9)</f>
        <v>12.848599999999999</v>
      </c>
      <c r="E489" s="10">
        <f>CHOOSE(CONTROL!$C$42, 12.8797, 12.8797) * CHOOSE(CONTROL!$C$21, $C$9, 100%, $E$9)</f>
        <v>12.8797</v>
      </c>
      <c r="F489" s="10">
        <f>CHOOSE(CONTROL!$C$42, 12.6485, 12.6485)*CHOOSE(CONTROL!$C$21, $C$9, 100%, $E$9)</f>
        <v>12.6485</v>
      </c>
      <c r="G489" s="10">
        <f>CHOOSE(CONTROL!$C$42, 12.6667, 12.6667)*CHOOSE(CONTROL!$C$21, $C$9, 100%, $E$9)</f>
        <v>12.666700000000001</v>
      </c>
      <c r="H489" s="10">
        <f>CHOOSE(CONTROL!$C$42, 12.8683, 12.8683) * CHOOSE(CONTROL!$C$21, $C$9, 100%, $E$9)</f>
        <v>12.8683</v>
      </c>
      <c r="I489" s="10">
        <f>CHOOSE(CONTROL!$C$42, 12.639, 12.639)* CHOOSE(CONTROL!$C$21, $C$9, 100%, $E$9)</f>
        <v>12.638999999999999</v>
      </c>
      <c r="J489" s="10">
        <f>CHOOSE(CONTROL!$C$42, 12.6415, 12.6415)* CHOOSE(CONTROL!$C$21, $C$9, 100%, $E$9)</f>
        <v>12.641500000000001</v>
      </c>
      <c r="K489" s="54">
        <f>CHOOSE(CONTROL!$C$42, 12.6351, 12.6351) * CHOOSE(CONTROL!$C$21, $C$9, 100%, $E$9)</f>
        <v>12.6351</v>
      </c>
      <c r="L489" s="10">
        <f>CHOOSE(CONTROL!$C$42, 13.4553, 13.4553) * CHOOSE(CONTROL!$C$21, $C$9, 100%, $E$9)</f>
        <v>13.455299999999999</v>
      </c>
      <c r="M489" s="10">
        <f>CHOOSE(CONTROL!$C$42, 12.5277, 12.5277) * CHOOSE(CONTROL!$C$21, $C$9, 100%, $E$9)</f>
        <v>12.527699999999999</v>
      </c>
      <c r="N489" s="10">
        <f>CHOOSE(CONTROL!$C$42, 12.5458, 12.5458) * CHOOSE(CONTROL!$C$21, $C$9, 100%, $E$9)</f>
        <v>12.5458</v>
      </c>
      <c r="O489" s="10">
        <f>CHOOSE(CONTROL!$C$42, 12.7523, 12.7523) * CHOOSE(CONTROL!$C$21, $C$9, 100%, $E$9)</f>
        <v>12.7523</v>
      </c>
      <c r="P489" s="10">
        <f>CHOOSE(CONTROL!$C$42, 12.5253, 12.5253) * CHOOSE(CONTROL!$C$21, $C$9, 100%, $E$9)</f>
        <v>12.5253</v>
      </c>
      <c r="Q489" s="10">
        <f>CHOOSE(CONTROL!$C$42, 13.3476, 13.3476) * CHOOSE(CONTROL!$C$21, $C$9, 100%, $E$9)</f>
        <v>13.3476</v>
      </c>
      <c r="R489" s="10">
        <f>CHOOSE(CONTROL!$C$42, 13.968, 13.968) * CHOOSE(CONTROL!$C$21, $C$9, 100%, $E$9)</f>
        <v>13.968</v>
      </c>
      <c r="S489" s="10">
        <f>CHOOSE(CONTROL!$C$42, 12.2919, 12.2919) * CHOOSE(CONTROL!$C$21, $C$9, 100%, $E$9)</f>
        <v>12.2919</v>
      </c>
      <c r="T489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489" s="58">
        <f>(1000*CHOOSE(CONTROL!$C$42, 695, 695)*CHOOSE(CONTROL!$C$42, 0.5599, 0.5599)*CHOOSE(CONTROL!$C$42, 30, 30))/1000000</f>
        <v>11.673914999999997</v>
      </c>
      <c r="V489" s="58">
        <f>(1000*CHOOSE(CONTROL!$C$42, 500, 500)*CHOOSE(CONTROL!$C$42, 0.275, 0.275)*CHOOSE(CONTROL!$C$42, 30, 30))/1000000</f>
        <v>4.125</v>
      </c>
      <c r="W489" s="58">
        <f>(1000*CHOOSE(CONTROL!$C$42, 0.1146, 0.1146)*CHOOSE(CONTROL!$C$42, 121.5, 121.5)*CHOOSE(CONTROL!$C$42, 30, 30))/1000000</f>
        <v>0.417717</v>
      </c>
      <c r="X489" s="58">
        <f>(30*0.1790888*245000/1000000)+(30*0.2374*100000/1000000)</f>
        <v>2.0285026799999999</v>
      </c>
      <c r="Y489" s="58"/>
      <c r="Z489" s="10"/>
      <c r="AA489" s="57"/>
      <c r="AB489" s="51">
        <f>(B489*194.205+C489*267.466+D489*133.845+E489*53.484+F489*40+G489*185+H489*0+I489*100+J489*300)/(194.205+267.466+133.845+53.484+0+40+185+100+300)</f>
        <v>12.686064044191523</v>
      </c>
      <c r="AC489" s="27">
        <f>(M489*'RAP TEMPLATE-GAS AVAILABILITY'!O488+N489*'RAP TEMPLATE-GAS AVAILABILITY'!P488+O489*'RAP TEMPLATE-GAS AVAILABILITY'!Q488+P489*'RAP TEMPLATE-GAS AVAILABILITY'!R488)/('RAP TEMPLATE-GAS AVAILABILITY'!O488+'RAP TEMPLATE-GAS AVAILABILITY'!P488+'RAP TEMPLATE-GAS AVAILABILITY'!Q488+'RAP TEMPLATE-GAS AVAILABILITY'!R488)</f>
        <v>12.594538848920863</v>
      </c>
    </row>
    <row r="490" spans="1:29" ht="15.75" x14ac:dyDescent="0.25">
      <c r="A490" s="14">
        <v>56188</v>
      </c>
      <c r="B490" s="10">
        <f>CHOOSE(CONTROL!$C$42, 12.403, 12.403) * CHOOSE(CONTROL!$C$21, $C$9, 100%, $E$9)</f>
        <v>12.403</v>
      </c>
      <c r="C490" s="10">
        <f>CHOOSE(CONTROL!$C$42, 12.4082, 12.4082) * CHOOSE(CONTROL!$C$21, $C$9, 100%, $E$9)</f>
        <v>12.408200000000001</v>
      </c>
      <c r="D490" s="10">
        <f>CHOOSE(CONTROL!$C$42, 12.5917, 12.5917) * CHOOSE(CONTROL!$C$21, $C$9, 100%, $E$9)</f>
        <v>12.591699999999999</v>
      </c>
      <c r="E490" s="10">
        <f>CHOOSE(CONTROL!$C$42, 12.6205, 12.6205) * CHOOSE(CONTROL!$C$21, $C$9, 100%, $E$9)</f>
        <v>12.6205</v>
      </c>
      <c r="F490" s="10">
        <f>CHOOSE(CONTROL!$C$42, 12.3913, 12.3913)*CHOOSE(CONTROL!$C$21, $C$9, 100%, $E$9)</f>
        <v>12.391299999999999</v>
      </c>
      <c r="G490" s="10">
        <f>CHOOSE(CONTROL!$C$42, 12.4092, 12.4092)*CHOOSE(CONTROL!$C$21, $C$9, 100%, $E$9)</f>
        <v>12.4092</v>
      </c>
      <c r="H490" s="10">
        <f>CHOOSE(CONTROL!$C$42, 12.611, 12.611) * CHOOSE(CONTROL!$C$21, $C$9, 100%, $E$9)</f>
        <v>12.611000000000001</v>
      </c>
      <c r="I490" s="10">
        <f>CHOOSE(CONTROL!$C$42, 12.3816, 12.3816)* CHOOSE(CONTROL!$C$21, $C$9, 100%, $E$9)</f>
        <v>12.381600000000001</v>
      </c>
      <c r="J490" s="10">
        <f>CHOOSE(CONTROL!$C$42, 12.3843, 12.3843)* CHOOSE(CONTROL!$C$21, $C$9, 100%, $E$9)</f>
        <v>12.3843</v>
      </c>
      <c r="K490" s="54">
        <f>CHOOSE(CONTROL!$C$42, 12.3777, 12.3777) * CHOOSE(CONTROL!$C$21, $C$9, 100%, $E$9)</f>
        <v>12.377700000000001</v>
      </c>
      <c r="L490" s="10">
        <f>CHOOSE(CONTROL!$C$42, 13.198, 13.198) * CHOOSE(CONTROL!$C$21, $C$9, 100%, $E$9)</f>
        <v>13.198</v>
      </c>
      <c r="M490" s="10">
        <f>CHOOSE(CONTROL!$C$42, 12.2732, 12.2732) * CHOOSE(CONTROL!$C$21, $C$9, 100%, $E$9)</f>
        <v>12.273199999999999</v>
      </c>
      <c r="N490" s="10">
        <f>CHOOSE(CONTROL!$C$42, 12.2909, 12.2909) * CHOOSE(CONTROL!$C$21, $C$9, 100%, $E$9)</f>
        <v>12.290900000000001</v>
      </c>
      <c r="O490" s="10">
        <f>CHOOSE(CONTROL!$C$42, 12.4975, 12.4975) * CHOOSE(CONTROL!$C$21, $C$9, 100%, $E$9)</f>
        <v>12.4975</v>
      </c>
      <c r="P490" s="10">
        <f>CHOOSE(CONTROL!$C$42, 12.2705, 12.2705) * CHOOSE(CONTROL!$C$21, $C$9, 100%, $E$9)</f>
        <v>12.2705</v>
      </c>
      <c r="Q490" s="10">
        <f>CHOOSE(CONTROL!$C$42, 13.0928, 13.0928) * CHOOSE(CONTROL!$C$21, $C$9, 100%, $E$9)</f>
        <v>13.0928</v>
      </c>
      <c r="R490" s="10">
        <f>CHOOSE(CONTROL!$C$42, 13.7126, 13.7126) * CHOOSE(CONTROL!$C$21, $C$9, 100%, $E$9)</f>
        <v>13.7126</v>
      </c>
      <c r="S490" s="10">
        <f>CHOOSE(CONTROL!$C$42, 12.042, 12.042) * CHOOSE(CONTROL!$C$21, $C$9, 100%, $E$9)</f>
        <v>12.042</v>
      </c>
      <c r="T490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90" s="58">
        <f>(1000*CHOOSE(CONTROL!$C$42, 695, 695)*CHOOSE(CONTROL!$C$42, 0.5599, 0.5599)*CHOOSE(CONTROL!$C$42, 31, 31))/1000000</f>
        <v>12.063045499999998</v>
      </c>
      <c r="V490" s="58">
        <f>(1000*CHOOSE(CONTROL!$C$42, 500, 500)*CHOOSE(CONTROL!$C$42, 0.275, 0.275)*CHOOSE(CONTROL!$C$42, 31, 31))/1000000</f>
        <v>4.2625000000000002</v>
      </c>
      <c r="W490" s="58">
        <f>(1000*CHOOSE(CONTROL!$C$42, 0.1146, 0.1146)*CHOOSE(CONTROL!$C$42, 121.5, 121.5)*CHOOSE(CONTROL!$C$42, 31, 31))/1000000</f>
        <v>0.43164089999999994</v>
      </c>
      <c r="X490" s="58">
        <f>(31*0.1790888*245000/1000000)+(31*0.2374*100000/1000000)</f>
        <v>2.0961194359999999</v>
      </c>
      <c r="Y490" s="58"/>
      <c r="Z490" s="10"/>
      <c r="AA490" s="57"/>
      <c r="AB490" s="51">
        <f>(B490*131.881+C490*277.167+D490*79.08+E490*125.872+F490*40+G490*185+H490*0+I490*100+J490*300)/(131.881+277.167+79.08+125.872+0+40+185+100+300)</f>
        <v>12.432596307021791</v>
      </c>
      <c r="AC490" s="27">
        <f>(M490*'RAP TEMPLATE-GAS AVAILABILITY'!O489+N490*'RAP TEMPLATE-GAS AVAILABILITY'!P489+O490*'RAP TEMPLATE-GAS AVAILABILITY'!Q489+P490*'RAP TEMPLATE-GAS AVAILABILITY'!R489)/('RAP TEMPLATE-GAS AVAILABILITY'!O489+'RAP TEMPLATE-GAS AVAILABILITY'!P489+'RAP TEMPLATE-GAS AVAILABILITY'!Q489+'RAP TEMPLATE-GAS AVAILABILITY'!R489)</f>
        <v>12.33981942446043</v>
      </c>
    </row>
    <row r="491" spans="1:29" ht="15.75" x14ac:dyDescent="0.25">
      <c r="A491" s="14">
        <v>56218</v>
      </c>
      <c r="B491" s="10">
        <f>CHOOSE(CONTROL!$C$42, 12.7292, 12.7292) * CHOOSE(CONTROL!$C$21, $C$9, 100%, $E$9)</f>
        <v>12.729200000000001</v>
      </c>
      <c r="C491" s="10">
        <f>CHOOSE(CONTROL!$C$42, 12.7342, 12.7342) * CHOOSE(CONTROL!$C$21, $C$9, 100%, $E$9)</f>
        <v>12.7342</v>
      </c>
      <c r="D491" s="10">
        <f>CHOOSE(CONTROL!$C$42, 12.7638, 12.7638) * CHOOSE(CONTROL!$C$21, $C$9, 100%, $E$9)</f>
        <v>12.7638</v>
      </c>
      <c r="E491" s="10">
        <f>CHOOSE(CONTROL!$C$42, 12.7976, 12.7976) * CHOOSE(CONTROL!$C$21, $C$9, 100%, $E$9)</f>
        <v>12.797599999999999</v>
      </c>
      <c r="F491" s="10">
        <f>CHOOSE(CONTROL!$C$42, 12.715, 12.715)*CHOOSE(CONTROL!$C$21, $C$9, 100%, $E$9)</f>
        <v>12.715</v>
      </c>
      <c r="G491" s="10">
        <f>CHOOSE(CONTROL!$C$42, 12.733, 12.733)*CHOOSE(CONTROL!$C$21, $C$9, 100%, $E$9)</f>
        <v>12.733000000000001</v>
      </c>
      <c r="H491" s="10">
        <f>CHOOSE(CONTROL!$C$42, 12.7868, 12.7868) * CHOOSE(CONTROL!$C$21, $C$9, 100%, $E$9)</f>
        <v>12.786799999999999</v>
      </c>
      <c r="I491" s="10">
        <f>CHOOSE(CONTROL!$C$42, 12.6954, 12.6954)* CHOOSE(CONTROL!$C$21, $C$9, 100%, $E$9)</f>
        <v>12.695399999999999</v>
      </c>
      <c r="J491" s="10">
        <f>CHOOSE(CONTROL!$C$42, 12.708, 12.708)* CHOOSE(CONTROL!$C$21, $C$9, 100%, $E$9)</f>
        <v>12.708</v>
      </c>
      <c r="K491" s="54">
        <f>CHOOSE(CONTROL!$C$42, 12.6915, 12.6915) * CHOOSE(CONTROL!$C$21, $C$9, 100%, $E$9)</f>
        <v>12.6915</v>
      </c>
      <c r="L491" s="10">
        <f>CHOOSE(CONTROL!$C$42, 13.3738, 13.3738) * CHOOSE(CONTROL!$C$21, $C$9, 100%, $E$9)</f>
        <v>13.373799999999999</v>
      </c>
      <c r="M491" s="10">
        <f>CHOOSE(CONTROL!$C$42, 12.5936, 12.5936) * CHOOSE(CONTROL!$C$21, $C$9, 100%, $E$9)</f>
        <v>12.5936</v>
      </c>
      <c r="N491" s="10">
        <f>CHOOSE(CONTROL!$C$42, 12.6114, 12.6114) * CHOOSE(CONTROL!$C$21, $C$9, 100%, $E$9)</f>
        <v>12.6114</v>
      </c>
      <c r="O491" s="10">
        <f>CHOOSE(CONTROL!$C$42, 12.6716, 12.6716) * CHOOSE(CONTROL!$C$21, $C$9, 100%, $E$9)</f>
        <v>12.6716</v>
      </c>
      <c r="P491" s="10">
        <f>CHOOSE(CONTROL!$C$42, 12.5812, 12.5812) * CHOOSE(CONTROL!$C$21, $C$9, 100%, $E$9)</f>
        <v>12.581200000000001</v>
      </c>
      <c r="Q491" s="10">
        <f>CHOOSE(CONTROL!$C$42, 13.2669, 13.2669) * CHOOSE(CONTROL!$C$21, $C$9, 100%, $E$9)</f>
        <v>13.2669</v>
      </c>
      <c r="R491" s="10">
        <f>CHOOSE(CONTROL!$C$42, 13.887, 13.887) * CHOOSE(CONTROL!$C$21, $C$9, 100%, $E$9)</f>
        <v>13.887</v>
      </c>
      <c r="S491" s="10">
        <f>CHOOSE(CONTROL!$C$42, 12.3592, 12.3592) * CHOOSE(CONTROL!$C$21, $C$9, 100%, $E$9)</f>
        <v>12.3592</v>
      </c>
      <c r="T491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91" s="58">
        <f>(1000*CHOOSE(CONTROL!$C$42, 695, 695)*CHOOSE(CONTROL!$C$42, 0.5599, 0.5599)*CHOOSE(CONTROL!$C$42, 30, 30))/1000000</f>
        <v>11.673914999999997</v>
      </c>
      <c r="V491" s="58">
        <f>(1000*CHOOSE(CONTROL!$C$42, 500, 500)*CHOOSE(CONTROL!$C$42, 0.275, 0.275)*CHOOSE(CONTROL!$C$42, 30, 30))/1000000</f>
        <v>4.125</v>
      </c>
      <c r="W491" s="58">
        <f>(1000*CHOOSE(CONTROL!$C$42, 0.1146, 0.1146)*CHOOSE(CONTROL!$C$42, 121.5, 121.5)*CHOOSE(CONTROL!$C$42, 30, 30))/1000000</f>
        <v>0.417717</v>
      </c>
      <c r="X491" s="58">
        <f>(30*0.1790888*100000/1000000)+(30*0.2374*100000/1000000)</f>
        <v>1.2494664</v>
      </c>
      <c r="Y491" s="58"/>
      <c r="Z491" s="10"/>
      <c r="AA491" s="57"/>
      <c r="AB491" s="51">
        <f>(B491*122.58+C491*297.941+D491*89.177+E491*40.302+F491*40+G491*160+H491*0+I491*100+J491*300)/(122.58+297.941+89.177+40.302+0+40+160+100+300)</f>
        <v>12.727140770434781</v>
      </c>
      <c r="AC491" s="27">
        <f>(M491*'RAP TEMPLATE-GAS AVAILABILITY'!O490+N491*'RAP TEMPLATE-GAS AVAILABILITY'!P490+O491*'RAP TEMPLATE-GAS AVAILABILITY'!Q490+P491*'RAP TEMPLATE-GAS AVAILABILITY'!R490)/('RAP TEMPLATE-GAS AVAILABILITY'!O490+'RAP TEMPLATE-GAS AVAILABILITY'!P490+'RAP TEMPLATE-GAS AVAILABILITY'!Q490+'RAP TEMPLATE-GAS AVAILABILITY'!R490)</f>
        <v>12.628192805755397</v>
      </c>
    </row>
    <row r="492" spans="1:29" ht="15.75" x14ac:dyDescent="0.25">
      <c r="A492" s="14">
        <v>56249</v>
      </c>
      <c r="B492" s="10">
        <f>CHOOSE(CONTROL!$C$42, 13.5969, 13.5969) * CHOOSE(CONTROL!$C$21, $C$9, 100%, $E$9)</f>
        <v>13.5969</v>
      </c>
      <c r="C492" s="10">
        <f>CHOOSE(CONTROL!$C$42, 13.6019, 13.6019) * CHOOSE(CONTROL!$C$21, $C$9, 100%, $E$9)</f>
        <v>13.601900000000001</v>
      </c>
      <c r="D492" s="10">
        <f>CHOOSE(CONTROL!$C$42, 13.6315, 13.6315) * CHOOSE(CONTROL!$C$21, $C$9, 100%, $E$9)</f>
        <v>13.631500000000001</v>
      </c>
      <c r="E492" s="10">
        <f>CHOOSE(CONTROL!$C$42, 13.6652, 13.6652) * CHOOSE(CONTROL!$C$21, $C$9, 100%, $E$9)</f>
        <v>13.6652</v>
      </c>
      <c r="F492" s="10">
        <f>CHOOSE(CONTROL!$C$42, 13.5842, 13.5842)*CHOOSE(CONTROL!$C$21, $C$9, 100%, $E$9)</f>
        <v>13.584199999999999</v>
      </c>
      <c r="G492" s="10">
        <f>CHOOSE(CONTROL!$C$42, 13.6027, 13.6027)*CHOOSE(CONTROL!$C$21, $C$9, 100%, $E$9)</f>
        <v>13.6027</v>
      </c>
      <c r="H492" s="10">
        <f>CHOOSE(CONTROL!$C$42, 13.6544, 13.6544) * CHOOSE(CONTROL!$C$21, $C$9, 100%, $E$9)</f>
        <v>13.654400000000001</v>
      </c>
      <c r="I492" s="10">
        <f>CHOOSE(CONTROL!$C$42, 13.5631, 13.5631)* CHOOSE(CONTROL!$C$21, $C$9, 100%, $E$9)</f>
        <v>13.5631</v>
      </c>
      <c r="J492" s="10">
        <f>CHOOSE(CONTROL!$C$42, 13.5772, 13.5772)* CHOOSE(CONTROL!$C$21, $C$9, 100%, $E$9)</f>
        <v>13.577199999999999</v>
      </c>
      <c r="K492" s="54">
        <f>CHOOSE(CONTROL!$C$42, 13.5592, 13.5592) * CHOOSE(CONTROL!$C$21, $C$9, 100%, $E$9)</f>
        <v>13.559200000000001</v>
      </c>
      <c r="L492" s="10">
        <f>CHOOSE(CONTROL!$C$42, 14.2414, 14.2414) * CHOOSE(CONTROL!$C$21, $C$9, 100%, $E$9)</f>
        <v>14.241400000000001</v>
      </c>
      <c r="M492" s="10">
        <f>CHOOSE(CONTROL!$C$42, 13.454, 13.454) * CHOOSE(CONTROL!$C$21, $C$9, 100%, $E$9)</f>
        <v>13.454000000000001</v>
      </c>
      <c r="N492" s="10">
        <f>CHOOSE(CONTROL!$C$42, 13.4723, 13.4723) * CHOOSE(CONTROL!$C$21, $C$9, 100%, $E$9)</f>
        <v>13.472300000000001</v>
      </c>
      <c r="O492" s="10">
        <f>CHOOSE(CONTROL!$C$42, 13.5305, 13.5305) * CHOOSE(CONTROL!$C$21, $C$9, 100%, $E$9)</f>
        <v>13.5305</v>
      </c>
      <c r="P492" s="10">
        <f>CHOOSE(CONTROL!$C$42, 13.4401, 13.4401) * CHOOSE(CONTROL!$C$21, $C$9, 100%, $E$9)</f>
        <v>13.440099999999999</v>
      </c>
      <c r="Q492" s="10">
        <f>CHOOSE(CONTROL!$C$42, 14.1258, 14.1258) * CHOOSE(CONTROL!$C$21, $C$9, 100%, $E$9)</f>
        <v>14.1258</v>
      </c>
      <c r="R492" s="10">
        <f>CHOOSE(CONTROL!$C$42, 14.7481, 14.7481) * CHOOSE(CONTROL!$C$21, $C$9, 100%, $E$9)</f>
        <v>14.748100000000001</v>
      </c>
      <c r="S492" s="10">
        <f>CHOOSE(CONTROL!$C$42, 13.2018, 13.2018) * CHOOSE(CONTROL!$C$21, $C$9, 100%, $E$9)</f>
        <v>13.2018</v>
      </c>
      <c r="T492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92" s="58">
        <f>(1000*CHOOSE(CONTROL!$C$42, 695, 695)*CHOOSE(CONTROL!$C$42, 0.5599, 0.5599)*CHOOSE(CONTROL!$C$42, 31, 31))/1000000</f>
        <v>12.063045499999998</v>
      </c>
      <c r="V492" s="58">
        <f>(1000*CHOOSE(CONTROL!$C$42, 500, 500)*CHOOSE(CONTROL!$C$42, 0.275, 0.275)*CHOOSE(CONTROL!$C$42, 31, 31))/1000000</f>
        <v>4.2625000000000002</v>
      </c>
      <c r="W492" s="58">
        <f>(1000*CHOOSE(CONTROL!$C$42, 0.1146, 0.1146)*CHOOSE(CONTROL!$C$42, 121.5, 121.5)*CHOOSE(CONTROL!$C$42, 31, 31))/1000000</f>
        <v>0.43164089999999994</v>
      </c>
      <c r="X492" s="58">
        <f>(31*0.1790888*100000/1000000)+(31*0.2374*100000/1000000)</f>
        <v>1.2911152800000001</v>
      </c>
      <c r="Y492" s="58"/>
      <c r="Z492" s="10"/>
      <c r="AA492" s="57"/>
      <c r="AB492" s="51">
        <f>(B492*122.58+C492*297.941+D492*89.177+E492*40.302+F492*40+G492*160+H492*0+I492*100+J492*300)/(122.58+297.941+89.177+40.302+0+40+160+100+300)</f>
        <v>13.595559005043478</v>
      </c>
      <c r="AC492" s="27">
        <f>(M492*'RAP TEMPLATE-GAS AVAILABILITY'!O491+N492*'RAP TEMPLATE-GAS AVAILABILITY'!P491+O492*'RAP TEMPLATE-GAS AVAILABILITY'!Q491+P492*'RAP TEMPLATE-GAS AVAILABILITY'!R491)/('RAP TEMPLATE-GAS AVAILABILITY'!O491+'RAP TEMPLATE-GAS AVAILABILITY'!P491+'RAP TEMPLATE-GAS AVAILABILITY'!Q491+'RAP TEMPLATE-GAS AVAILABILITY'!R491)</f>
        <v>13.487725899280575</v>
      </c>
    </row>
    <row r="493" spans="1:29" ht="15.75" x14ac:dyDescent="0.25">
      <c r="A493" s="14">
        <v>56280</v>
      </c>
      <c r="B493" s="10">
        <f>CHOOSE(CONTROL!$C$42, 14.5144, 14.5144) * CHOOSE(CONTROL!$C$21, $C$9, 100%, $E$9)</f>
        <v>14.5144</v>
      </c>
      <c r="C493" s="10">
        <f>CHOOSE(CONTROL!$C$42, 14.5194, 14.5194) * CHOOSE(CONTROL!$C$21, $C$9, 100%, $E$9)</f>
        <v>14.519399999999999</v>
      </c>
      <c r="D493" s="10">
        <f>CHOOSE(CONTROL!$C$42, 14.5696, 14.5696) * CHOOSE(CONTROL!$C$21, $C$9, 100%, $E$9)</f>
        <v>14.569599999999999</v>
      </c>
      <c r="E493" s="10">
        <f>CHOOSE(CONTROL!$C$42, 14.6033, 14.6033) * CHOOSE(CONTROL!$C$21, $C$9, 100%, $E$9)</f>
        <v>14.603300000000001</v>
      </c>
      <c r="F493" s="10">
        <f>CHOOSE(CONTROL!$C$42, 14.4798, 14.4798)*CHOOSE(CONTROL!$C$21, $C$9, 100%, $E$9)</f>
        <v>14.479799999999999</v>
      </c>
      <c r="G493" s="10">
        <f>CHOOSE(CONTROL!$C$42, 14.4973, 14.4973)*CHOOSE(CONTROL!$C$21, $C$9, 100%, $E$9)</f>
        <v>14.497299999999999</v>
      </c>
      <c r="H493" s="10">
        <f>CHOOSE(CONTROL!$C$42, 14.5925, 14.5925) * CHOOSE(CONTROL!$C$21, $C$9, 100%, $E$9)</f>
        <v>14.592499999999999</v>
      </c>
      <c r="I493" s="10">
        <f>CHOOSE(CONTROL!$C$42, 14.4883, 14.4883)* CHOOSE(CONTROL!$C$21, $C$9, 100%, $E$9)</f>
        <v>14.488300000000001</v>
      </c>
      <c r="J493" s="10">
        <f>CHOOSE(CONTROL!$C$42, 14.4728, 14.4728)* CHOOSE(CONTROL!$C$21, $C$9, 100%, $E$9)</f>
        <v>14.472799999999999</v>
      </c>
      <c r="K493" s="54">
        <f>CHOOSE(CONTROL!$C$42, 14.4844, 14.4844) * CHOOSE(CONTROL!$C$21, $C$9, 100%, $E$9)</f>
        <v>14.484400000000001</v>
      </c>
      <c r="L493" s="10">
        <f>CHOOSE(CONTROL!$C$42, 15.1795, 15.1795) * CHOOSE(CONTROL!$C$21, $C$9, 100%, $E$9)</f>
        <v>15.179500000000001</v>
      </c>
      <c r="M493" s="10">
        <f>CHOOSE(CONTROL!$C$42, 14.3405, 14.3405) * CHOOSE(CONTROL!$C$21, $C$9, 100%, $E$9)</f>
        <v>14.3405</v>
      </c>
      <c r="N493" s="10">
        <f>CHOOSE(CONTROL!$C$42, 14.3579, 14.3579) * CHOOSE(CONTROL!$C$21, $C$9, 100%, $E$9)</f>
        <v>14.357900000000001</v>
      </c>
      <c r="O493" s="10">
        <f>CHOOSE(CONTROL!$C$42, 14.4591, 14.4591) * CHOOSE(CONTROL!$C$21, $C$9, 100%, $E$9)</f>
        <v>14.459099999999999</v>
      </c>
      <c r="P493" s="10">
        <f>CHOOSE(CONTROL!$C$42, 14.356, 14.356) * CHOOSE(CONTROL!$C$21, $C$9, 100%, $E$9)</f>
        <v>14.356</v>
      </c>
      <c r="Q493" s="10">
        <f>CHOOSE(CONTROL!$C$42, 15.0544, 15.0544) * CHOOSE(CONTROL!$C$21, $C$9, 100%, $E$9)</f>
        <v>15.054399999999999</v>
      </c>
      <c r="R493" s="10">
        <f>CHOOSE(CONTROL!$C$42, 15.679, 15.679) * CHOOSE(CONTROL!$C$21, $C$9, 100%, $E$9)</f>
        <v>15.679</v>
      </c>
      <c r="S493" s="10">
        <f>CHOOSE(CONTROL!$C$42, 14.0928, 14.0928) * CHOOSE(CONTROL!$C$21, $C$9, 100%, $E$9)</f>
        <v>14.0928</v>
      </c>
      <c r="T493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93" s="58">
        <f>(1000*CHOOSE(CONTROL!$C$42, 695, 695)*CHOOSE(CONTROL!$C$42, 0.5599, 0.5599)*CHOOSE(CONTROL!$C$42, 31, 31))/1000000</f>
        <v>12.063045499999998</v>
      </c>
      <c r="V493" s="58">
        <f>(1000*CHOOSE(CONTROL!$C$42, 500, 500)*CHOOSE(CONTROL!$C$42, 0.275, 0.275)*CHOOSE(CONTROL!$C$42, 31, 31))/1000000</f>
        <v>4.2625000000000002</v>
      </c>
      <c r="W493" s="58">
        <f>(1000*CHOOSE(CONTROL!$C$42, 0.1146, 0.1146)*CHOOSE(CONTROL!$C$42, 121.5, 121.5)*CHOOSE(CONTROL!$C$42, 31, 31))/1000000</f>
        <v>0.43164089999999994</v>
      </c>
      <c r="X493" s="58">
        <f>(31*0.1790888*100000/1000000)+(31*0.2374*100000/1000000)</f>
        <v>1.2911152800000001</v>
      </c>
      <c r="Y493" s="58"/>
      <c r="Z493" s="10"/>
      <c r="AA493" s="57"/>
      <c r="AB493" s="51">
        <f>(B493*122.58+C493*297.941+D493*89.177+E493*40.302+F493*40+G493*160+H493*0+I493*100+J493*300)/(122.58+297.941+89.177+40.302+0+40+160+100+300)</f>
        <v>14.506387063652175</v>
      </c>
      <c r="AC493" s="27">
        <f>(M493*'RAP TEMPLATE-GAS AVAILABILITY'!O492+N493*'RAP TEMPLATE-GAS AVAILABILITY'!P492+O493*'RAP TEMPLATE-GAS AVAILABILITY'!Q492+P493*'RAP TEMPLATE-GAS AVAILABILITY'!R492)/('RAP TEMPLATE-GAS AVAILABILITY'!O492+'RAP TEMPLATE-GAS AVAILABILITY'!P492+'RAP TEMPLATE-GAS AVAILABILITY'!Q492+'RAP TEMPLATE-GAS AVAILABILITY'!R492)</f>
        <v>14.397485611510792</v>
      </c>
    </row>
    <row r="494" spans="1:29" ht="15.75" x14ac:dyDescent="0.25">
      <c r="A494" s="14">
        <v>56308</v>
      </c>
      <c r="B494" s="10">
        <f>CHOOSE(CONTROL!$C$42, 14.7727, 14.7727) * CHOOSE(CONTROL!$C$21, $C$9, 100%, $E$9)</f>
        <v>14.7727</v>
      </c>
      <c r="C494" s="10">
        <f>CHOOSE(CONTROL!$C$42, 14.7777, 14.7777) * CHOOSE(CONTROL!$C$21, $C$9, 100%, $E$9)</f>
        <v>14.777699999999999</v>
      </c>
      <c r="D494" s="10">
        <f>CHOOSE(CONTROL!$C$42, 14.8948, 14.8948) * CHOOSE(CONTROL!$C$21, $C$9, 100%, $E$9)</f>
        <v>14.8948</v>
      </c>
      <c r="E494" s="10">
        <f>CHOOSE(CONTROL!$C$42, 14.9286, 14.9286) * CHOOSE(CONTROL!$C$21, $C$9, 100%, $E$9)</f>
        <v>14.928599999999999</v>
      </c>
      <c r="F494" s="10">
        <f>CHOOSE(CONTROL!$C$42, 14.8503, 14.8503)*CHOOSE(CONTROL!$C$21, $C$9, 100%, $E$9)</f>
        <v>14.850300000000001</v>
      </c>
      <c r="G494" s="10">
        <f>CHOOSE(CONTROL!$C$42, 14.8722, 14.8722)*CHOOSE(CONTROL!$C$21, $C$9, 100%, $E$9)</f>
        <v>14.872199999999999</v>
      </c>
      <c r="H494" s="10">
        <f>CHOOSE(CONTROL!$C$42, 14.9178, 14.9178) * CHOOSE(CONTROL!$C$21, $C$9, 100%, $E$9)</f>
        <v>14.9178</v>
      </c>
      <c r="I494" s="10">
        <f>CHOOSE(CONTROL!$C$42, 14.8084, 14.8084)* CHOOSE(CONTROL!$C$21, $C$9, 100%, $E$9)</f>
        <v>14.808400000000001</v>
      </c>
      <c r="J494" s="10">
        <f>CHOOSE(CONTROL!$C$42, 14.8433, 14.8433)* CHOOSE(CONTROL!$C$21, $C$9, 100%, $E$9)</f>
        <v>14.843299999999999</v>
      </c>
      <c r="K494" s="54">
        <f>CHOOSE(CONTROL!$C$42, 14.8045, 14.8045) * CHOOSE(CONTROL!$C$21, $C$9, 100%, $E$9)</f>
        <v>14.804500000000001</v>
      </c>
      <c r="L494" s="10">
        <f>CHOOSE(CONTROL!$C$42, 15.5048, 15.5048) * CHOOSE(CONTROL!$C$21, $C$9, 100%, $E$9)</f>
        <v>15.504799999999999</v>
      </c>
      <c r="M494" s="10">
        <f>CHOOSE(CONTROL!$C$42, 14.7074, 14.7074) * CHOOSE(CONTROL!$C$21, $C$9, 100%, $E$9)</f>
        <v>14.7074</v>
      </c>
      <c r="N494" s="10">
        <f>CHOOSE(CONTROL!$C$42, 14.729, 14.729) * CHOOSE(CONTROL!$C$21, $C$9, 100%, $E$9)</f>
        <v>14.728999999999999</v>
      </c>
      <c r="O494" s="10">
        <f>CHOOSE(CONTROL!$C$42, 14.7811, 14.7811) * CHOOSE(CONTROL!$C$21, $C$9, 100%, $E$9)</f>
        <v>14.7811</v>
      </c>
      <c r="P494" s="10">
        <f>CHOOSE(CONTROL!$C$42, 14.6728, 14.6728) * CHOOSE(CONTROL!$C$21, $C$9, 100%, $E$9)</f>
        <v>14.672800000000001</v>
      </c>
      <c r="Q494" s="10">
        <f>CHOOSE(CONTROL!$C$42, 15.3764, 15.3764) * CHOOSE(CONTROL!$C$21, $C$9, 100%, $E$9)</f>
        <v>15.3764</v>
      </c>
      <c r="R494" s="10">
        <f>CHOOSE(CONTROL!$C$42, 16.0018, 16.0018) * CHOOSE(CONTROL!$C$21, $C$9, 100%, $E$9)</f>
        <v>16.001799999999999</v>
      </c>
      <c r="S494" s="10">
        <f>CHOOSE(CONTROL!$C$42, 14.3437, 14.3437) * CHOOSE(CONTROL!$C$21, $C$9, 100%, $E$9)</f>
        <v>14.3437</v>
      </c>
      <c r="T494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494" s="58">
        <f>(1000*CHOOSE(CONTROL!$C$42, 695, 695)*CHOOSE(CONTROL!$C$42, 0.5599, 0.5599)*CHOOSE(CONTROL!$C$42, 28, 28))/1000000</f>
        <v>10.895653999999999</v>
      </c>
      <c r="V494" s="58">
        <f>(1000*CHOOSE(CONTROL!$C$42, 500, 500)*CHOOSE(CONTROL!$C$42, 0.275, 0.275)*CHOOSE(CONTROL!$C$42, 28, 28))/1000000</f>
        <v>3.85</v>
      </c>
      <c r="W494" s="58">
        <f>(1000*CHOOSE(CONTROL!$C$42, 0.1146, 0.1146)*CHOOSE(CONTROL!$C$42, 121.5, 121.5)*CHOOSE(CONTROL!$C$42, 28, 28))/1000000</f>
        <v>0.38986920000000003</v>
      </c>
      <c r="X494" s="58">
        <f>(28*0.1790888*100000/1000000)+(28*0.2374*100000/1000000)</f>
        <v>1.16616864</v>
      </c>
      <c r="Y494" s="58"/>
      <c r="Z494" s="10"/>
      <c r="AA494" s="57"/>
      <c r="AB494" s="51">
        <f>(B494*122.58+C494*297.941+D494*89.177+E494*40.302+F494*40+G494*160+H494*0+I494*100+J494*300)/(122.58+297.941+89.177+40.302+0+40+160+100+300)</f>
        <v>14.826991563913044</v>
      </c>
      <c r="AC494" s="27">
        <f>(M494*'RAP TEMPLATE-GAS AVAILABILITY'!O493+N494*'RAP TEMPLATE-GAS AVAILABILITY'!P493+O494*'RAP TEMPLATE-GAS AVAILABILITY'!Q493+P494*'RAP TEMPLATE-GAS AVAILABILITY'!R493)/('RAP TEMPLATE-GAS AVAILABILITY'!O493+'RAP TEMPLATE-GAS AVAILABILITY'!P493+'RAP TEMPLATE-GAS AVAILABILITY'!Q493+'RAP TEMPLATE-GAS AVAILABILITY'!R493)</f>
        <v>14.737068345323742</v>
      </c>
    </row>
    <row r="495" spans="1:29" ht="15.75" x14ac:dyDescent="0.25">
      <c r="A495" s="14">
        <v>56339</v>
      </c>
      <c r="B495" s="10">
        <f>CHOOSE(CONTROL!$C$42, 14.3534, 14.3534) * CHOOSE(CONTROL!$C$21, $C$9, 100%, $E$9)</f>
        <v>14.353400000000001</v>
      </c>
      <c r="C495" s="10">
        <f>CHOOSE(CONTROL!$C$42, 14.3584, 14.3584) * CHOOSE(CONTROL!$C$21, $C$9, 100%, $E$9)</f>
        <v>14.3584</v>
      </c>
      <c r="D495" s="10">
        <f>CHOOSE(CONTROL!$C$42, 14.4498, 14.4498) * CHOOSE(CONTROL!$C$21, $C$9, 100%, $E$9)</f>
        <v>14.4498</v>
      </c>
      <c r="E495" s="10">
        <f>CHOOSE(CONTROL!$C$42, 14.4835, 14.4835) * CHOOSE(CONTROL!$C$21, $C$9, 100%, $E$9)</f>
        <v>14.483499999999999</v>
      </c>
      <c r="F495" s="10">
        <f>CHOOSE(CONTROL!$C$42, 14.3833, 14.3833)*CHOOSE(CONTROL!$C$21, $C$9, 100%, $E$9)</f>
        <v>14.3833</v>
      </c>
      <c r="G495" s="10">
        <f>CHOOSE(CONTROL!$C$42, 14.4028, 14.4028)*CHOOSE(CONTROL!$C$21, $C$9, 100%, $E$9)</f>
        <v>14.402799999999999</v>
      </c>
      <c r="H495" s="10">
        <f>CHOOSE(CONTROL!$C$42, 14.4727, 14.4727) * CHOOSE(CONTROL!$C$21, $C$9, 100%, $E$9)</f>
        <v>14.4727</v>
      </c>
      <c r="I495" s="10">
        <f>CHOOSE(CONTROL!$C$42, 14.3762, 14.3762)* CHOOSE(CONTROL!$C$21, $C$9, 100%, $E$9)</f>
        <v>14.376200000000001</v>
      </c>
      <c r="J495" s="10">
        <f>CHOOSE(CONTROL!$C$42, 14.3763, 14.3763)* CHOOSE(CONTROL!$C$21, $C$9, 100%, $E$9)</f>
        <v>14.376300000000001</v>
      </c>
      <c r="K495" s="54">
        <f>CHOOSE(CONTROL!$C$42, 14.3723, 14.3723) * CHOOSE(CONTROL!$C$21, $C$9, 100%, $E$9)</f>
        <v>14.372299999999999</v>
      </c>
      <c r="L495" s="10">
        <f>CHOOSE(CONTROL!$C$42, 15.0597, 15.0597) * CHOOSE(CONTROL!$C$21, $C$9, 100%, $E$9)</f>
        <v>15.059699999999999</v>
      </c>
      <c r="M495" s="10">
        <f>CHOOSE(CONTROL!$C$42, 14.245, 14.245) * CHOOSE(CONTROL!$C$21, $C$9, 100%, $E$9)</f>
        <v>14.244999999999999</v>
      </c>
      <c r="N495" s="10">
        <f>CHOOSE(CONTROL!$C$42, 14.2643, 14.2643) * CHOOSE(CONTROL!$C$21, $C$9, 100%, $E$9)</f>
        <v>14.2643</v>
      </c>
      <c r="O495" s="10">
        <f>CHOOSE(CONTROL!$C$42, 14.3405, 14.3405) * CHOOSE(CONTROL!$C$21, $C$9, 100%, $E$9)</f>
        <v>14.3405</v>
      </c>
      <c r="P495" s="10">
        <f>CHOOSE(CONTROL!$C$42, 14.245, 14.245) * CHOOSE(CONTROL!$C$21, $C$9, 100%, $E$9)</f>
        <v>14.244999999999999</v>
      </c>
      <c r="Q495" s="10">
        <f>CHOOSE(CONTROL!$C$42, 14.9358, 14.9358) * CHOOSE(CONTROL!$C$21, $C$9, 100%, $E$9)</f>
        <v>14.9358</v>
      </c>
      <c r="R495" s="10">
        <f>CHOOSE(CONTROL!$C$42, 15.5601, 15.5601) * CHOOSE(CONTROL!$C$21, $C$9, 100%, $E$9)</f>
        <v>15.5601</v>
      </c>
      <c r="S495" s="10">
        <f>CHOOSE(CONTROL!$C$42, 13.9365, 13.9365) * CHOOSE(CONTROL!$C$21, $C$9, 100%, $E$9)</f>
        <v>13.936500000000001</v>
      </c>
      <c r="T495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495" s="58">
        <f>(1000*CHOOSE(CONTROL!$C$42, 695, 695)*CHOOSE(CONTROL!$C$42, 0.5599, 0.5599)*CHOOSE(CONTROL!$C$42, 31, 31))/1000000</f>
        <v>12.063045499999998</v>
      </c>
      <c r="V495" s="58">
        <f>(1000*CHOOSE(CONTROL!$C$42, 500, 500)*CHOOSE(CONTROL!$C$42, 0.275, 0.275)*CHOOSE(CONTROL!$C$42, 31, 31))/1000000</f>
        <v>4.2625000000000002</v>
      </c>
      <c r="W495" s="58">
        <f>(1000*CHOOSE(CONTROL!$C$42, 0.1146, 0.1146)*CHOOSE(CONTROL!$C$42, 121.5, 121.5)*CHOOSE(CONTROL!$C$42, 31, 31))/1000000</f>
        <v>0.43164089999999994</v>
      </c>
      <c r="X495" s="58">
        <f>(31*0.1790888*100000/1000000)+(31*0.2374*100000/1000000)</f>
        <v>1.2911152800000001</v>
      </c>
      <c r="Y495" s="58"/>
      <c r="Z495" s="10"/>
      <c r="AA495" s="57"/>
      <c r="AB495" s="51">
        <f>(B495*122.58+C495*297.941+D495*89.177+E495*40.302+F495*40+G495*160+H495*0+I495*100+J495*300)/(122.58+297.941+89.177+40.302+0+40+160+100+300)</f>
        <v>14.382599702608697</v>
      </c>
      <c r="AC495" s="27">
        <f>(M495*'RAP TEMPLATE-GAS AVAILABILITY'!O494+N495*'RAP TEMPLATE-GAS AVAILABILITY'!P494+O495*'RAP TEMPLATE-GAS AVAILABILITY'!Q494+P495*'RAP TEMPLATE-GAS AVAILABILITY'!R494)/('RAP TEMPLATE-GAS AVAILABILITY'!O494+'RAP TEMPLATE-GAS AVAILABILITY'!P494+'RAP TEMPLATE-GAS AVAILABILITY'!Q494+'RAP TEMPLATE-GAS AVAILABILITY'!R494)</f>
        <v>14.289394964028777</v>
      </c>
    </row>
    <row r="496" spans="1:29" ht="15.75" x14ac:dyDescent="0.25">
      <c r="A496" s="14">
        <v>56369</v>
      </c>
      <c r="B496" s="10">
        <f>CHOOSE(CONTROL!$C$42, 14.3112, 14.3112) * CHOOSE(CONTROL!$C$21, $C$9, 100%, $E$9)</f>
        <v>14.311199999999999</v>
      </c>
      <c r="C496" s="10">
        <f>CHOOSE(CONTROL!$C$42, 14.3156, 14.3156) * CHOOSE(CONTROL!$C$21, $C$9, 100%, $E$9)</f>
        <v>14.3156</v>
      </c>
      <c r="D496" s="10">
        <f>CHOOSE(CONTROL!$C$42, 14.4973, 14.4973) * CHOOSE(CONTROL!$C$21, $C$9, 100%, $E$9)</f>
        <v>14.497299999999999</v>
      </c>
      <c r="E496" s="10">
        <f>CHOOSE(CONTROL!$C$42, 14.5291, 14.5291) * CHOOSE(CONTROL!$C$21, $C$9, 100%, $E$9)</f>
        <v>14.5291</v>
      </c>
      <c r="F496" s="10">
        <f>CHOOSE(CONTROL!$C$42, 14.2996, 14.2996)*CHOOSE(CONTROL!$C$21, $C$9, 100%, $E$9)</f>
        <v>14.2996</v>
      </c>
      <c r="G496" s="10">
        <f>CHOOSE(CONTROL!$C$42, 14.3175, 14.3175)*CHOOSE(CONTROL!$C$21, $C$9, 100%, $E$9)</f>
        <v>14.317500000000001</v>
      </c>
      <c r="H496" s="10">
        <f>CHOOSE(CONTROL!$C$42, 14.5188, 14.5188) * CHOOSE(CONTROL!$C$21, $C$9, 100%, $E$9)</f>
        <v>14.518800000000001</v>
      </c>
      <c r="I496" s="10">
        <f>CHOOSE(CONTROL!$C$42, 14.2895, 14.2895)* CHOOSE(CONTROL!$C$21, $C$9, 100%, $E$9)</f>
        <v>14.2895</v>
      </c>
      <c r="J496" s="10">
        <f>CHOOSE(CONTROL!$C$42, 14.2926, 14.2926)* CHOOSE(CONTROL!$C$21, $C$9, 100%, $E$9)</f>
        <v>14.2926</v>
      </c>
      <c r="K496" s="54">
        <f>CHOOSE(CONTROL!$C$42, 14.2856, 14.2856) * CHOOSE(CONTROL!$C$21, $C$9, 100%, $E$9)</f>
        <v>14.285600000000001</v>
      </c>
      <c r="L496" s="10">
        <f>CHOOSE(CONTROL!$C$42, 15.1058, 15.1058) * CHOOSE(CONTROL!$C$21, $C$9, 100%, $E$9)</f>
        <v>15.1058</v>
      </c>
      <c r="M496" s="10">
        <f>CHOOSE(CONTROL!$C$42, 14.1621, 14.1621) * CHOOSE(CONTROL!$C$21, $C$9, 100%, $E$9)</f>
        <v>14.162100000000001</v>
      </c>
      <c r="N496" s="10">
        <f>CHOOSE(CONTROL!$C$42, 14.1799, 14.1799) * CHOOSE(CONTROL!$C$21, $C$9, 100%, $E$9)</f>
        <v>14.1799</v>
      </c>
      <c r="O496" s="10">
        <f>CHOOSE(CONTROL!$C$42, 14.3861, 14.3861) * CHOOSE(CONTROL!$C$21, $C$9, 100%, $E$9)</f>
        <v>14.386100000000001</v>
      </c>
      <c r="P496" s="10">
        <f>CHOOSE(CONTROL!$C$42, 14.1592, 14.1592) * CHOOSE(CONTROL!$C$21, $C$9, 100%, $E$9)</f>
        <v>14.1592</v>
      </c>
      <c r="Q496" s="10">
        <f>CHOOSE(CONTROL!$C$42, 14.9814, 14.9814) * CHOOSE(CONTROL!$C$21, $C$9, 100%, $E$9)</f>
        <v>14.981400000000001</v>
      </c>
      <c r="R496" s="10">
        <f>CHOOSE(CONTROL!$C$42, 15.6059, 15.6059) * CHOOSE(CONTROL!$C$21, $C$9, 100%, $E$9)</f>
        <v>15.6059</v>
      </c>
      <c r="S496" s="10">
        <f>CHOOSE(CONTROL!$C$42, 13.8947, 13.8947) * CHOOSE(CONTROL!$C$21, $C$9, 100%, $E$9)</f>
        <v>13.8947</v>
      </c>
      <c r="T496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96" s="58">
        <f>(1000*CHOOSE(CONTROL!$C$42, 695, 695)*CHOOSE(CONTROL!$C$42, 0.5599, 0.5599)*CHOOSE(CONTROL!$C$42, 30, 30))/1000000</f>
        <v>11.673914999999997</v>
      </c>
      <c r="V496" s="58">
        <f>(1000*CHOOSE(CONTROL!$C$42, 500, 500)*CHOOSE(CONTROL!$C$42, 0.275, 0.275)*CHOOSE(CONTROL!$C$42, 30, 30))/1000000</f>
        <v>4.125</v>
      </c>
      <c r="W496" s="58">
        <f>(1000*CHOOSE(CONTROL!$C$42, 0.1146, 0.1146)*CHOOSE(CONTROL!$C$42, 121.5, 121.5)*CHOOSE(CONTROL!$C$42, 30, 30))/1000000</f>
        <v>0.417717</v>
      </c>
      <c r="X496" s="58">
        <f>(30*0.1790888*245000/1000000)+(30*0.2374*100000/1000000)</f>
        <v>2.0285026799999999</v>
      </c>
      <c r="Y496" s="58"/>
      <c r="Z496" s="10"/>
      <c r="AA496" s="57"/>
      <c r="AB496" s="51">
        <f>(B496*141.293+C496*267.993+D496*115.016+E496*89.698+F496*40+G496*185+H496*0+I496*100+J496*300)/(141.293+267.993+115.016+89.698+0+40+185+100+300)</f>
        <v>14.339513430992735</v>
      </c>
      <c r="AC496" s="27">
        <f>(M496*'RAP TEMPLATE-GAS AVAILABILITY'!O495+N496*'RAP TEMPLATE-GAS AVAILABILITY'!P495+O496*'RAP TEMPLATE-GAS AVAILABILITY'!Q495+P496*'RAP TEMPLATE-GAS AVAILABILITY'!R495)/('RAP TEMPLATE-GAS AVAILABILITY'!O495+'RAP TEMPLATE-GAS AVAILABILITY'!P495+'RAP TEMPLATE-GAS AVAILABILITY'!Q495+'RAP TEMPLATE-GAS AVAILABILITY'!R495)</f>
        <v>14.228629496402879</v>
      </c>
    </row>
    <row r="497" spans="1:29" ht="15.75" x14ac:dyDescent="0.25">
      <c r="A497" s="14">
        <v>56400</v>
      </c>
      <c r="B497" s="10">
        <f>CHOOSE(CONTROL!$C$42, 14.4393, 14.4393) * CHOOSE(CONTROL!$C$21, $C$9, 100%, $E$9)</f>
        <v>14.439299999999999</v>
      </c>
      <c r="C497" s="10">
        <f>CHOOSE(CONTROL!$C$42, 14.4472, 14.4472) * CHOOSE(CONTROL!$C$21, $C$9, 100%, $E$9)</f>
        <v>14.4472</v>
      </c>
      <c r="D497" s="10">
        <f>CHOOSE(CONTROL!$C$42, 14.6257, 14.6257) * CHOOSE(CONTROL!$C$21, $C$9, 100%, $E$9)</f>
        <v>14.6257</v>
      </c>
      <c r="E497" s="10">
        <f>CHOOSE(CONTROL!$C$42, 14.6569, 14.6569) * CHOOSE(CONTROL!$C$21, $C$9, 100%, $E$9)</f>
        <v>14.6569</v>
      </c>
      <c r="F497" s="10">
        <f>CHOOSE(CONTROL!$C$42, 14.4255, 14.4255)*CHOOSE(CONTROL!$C$21, $C$9, 100%, $E$9)</f>
        <v>14.4255</v>
      </c>
      <c r="G497" s="10">
        <f>CHOOSE(CONTROL!$C$42, 14.4436, 14.4436)*CHOOSE(CONTROL!$C$21, $C$9, 100%, $E$9)</f>
        <v>14.4436</v>
      </c>
      <c r="H497" s="10">
        <f>CHOOSE(CONTROL!$C$42, 14.6455, 14.6455) * CHOOSE(CONTROL!$C$21, $C$9, 100%, $E$9)</f>
        <v>14.6455</v>
      </c>
      <c r="I497" s="10">
        <f>CHOOSE(CONTROL!$C$42, 14.4162, 14.4162)* CHOOSE(CONTROL!$C$21, $C$9, 100%, $E$9)</f>
        <v>14.4162</v>
      </c>
      <c r="J497" s="10">
        <f>CHOOSE(CONTROL!$C$42, 14.4185, 14.4185)* CHOOSE(CONTROL!$C$21, $C$9, 100%, $E$9)</f>
        <v>14.4185</v>
      </c>
      <c r="K497" s="54">
        <f>CHOOSE(CONTROL!$C$42, 14.4123, 14.4123) * CHOOSE(CONTROL!$C$21, $C$9, 100%, $E$9)</f>
        <v>14.4123</v>
      </c>
      <c r="L497" s="10">
        <f>CHOOSE(CONTROL!$C$42, 15.2325, 15.2325) * CHOOSE(CONTROL!$C$21, $C$9, 100%, $E$9)</f>
        <v>15.2325</v>
      </c>
      <c r="M497" s="10">
        <f>CHOOSE(CONTROL!$C$42, 14.2868, 14.2868) * CHOOSE(CONTROL!$C$21, $C$9, 100%, $E$9)</f>
        <v>14.286799999999999</v>
      </c>
      <c r="N497" s="10">
        <f>CHOOSE(CONTROL!$C$42, 14.3048, 14.3048) * CHOOSE(CONTROL!$C$21, $C$9, 100%, $E$9)</f>
        <v>14.3048</v>
      </c>
      <c r="O497" s="10">
        <f>CHOOSE(CONTROL!$C$42, 14.5115, 14.5115) * CHOOSE(CONTROL!$C$21, $C$9, 100%, $E$9)</f>
        <v>14.5115</v>
      </c>
      <c r="P497" s="10">
        <f>CHOOSE(CONTROL!$C$42, 14.2845, 14.2845) * CHOOSE(CONTROL!$C$21, $C$9, 100%, $E$9)</f>
        <v>14.2845</v>
      </c>
      <c r="Q497" s="10">
        <f>CHOOSE(CONTROL!$C$42, 15.1068, 15.1068) * CHOOSE(CONTROL!$C$21, $C$9, 100%, $E$9)</f>
        <v>15.1068</v>
      </c>
      <c r="R497" s="10">
        <f>CHOOSE(CONTROL!$C$42, 15.7316, 15.7316) * CHOOSE(CONTROL!$C$21, $C$9, 100%, $E$9)</f>
        <v>15.7316</v>
      </c>
      <c r="S497" s="10">
        <f>CHOOSE(CONTROL!$C$42, 14.0177, 14.0177) * CHOOSE(CONTROL!$C$21, $C$9, 100%, $E$9)</f>
        <v>14.0177</v>
      </c>
      <c r="T497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97" s="58">
        <f>(1000*CHOOSE(CONTROL!$C$42, 695, 695)*CHOOSE(CONTROL!$C$42, 0.5599, 0.5599)*CHOOSE(CONTROL!$C$42, 31, 31))/1000000</f>
        <v>12.063045499999998</v>
      </c>
      <c r="V497" s="58">
        <f>(1000*CHOOSE(CONTROL!$C$42, 500, 500)*CHOOSE(CONTROL!$C$42, 0.275, 0.275)*CHOOSE(CONTROL!$C$42, 31, 31))/1000000</f>
        <v>4.2625000000000002</v>
      </c>
      <c r="W497" s="58">
        <f>(1000*CHOOSE(CONTROL!$C$42, 0.1146, 0.1146)*CHOOSE(CONTROL!$C$42, 121.5, 121.5)*CHOOSE(CONTROL!$C$42, 31, 31))/1000000</f>
        <v>0.43164089999999994</v>
      </c>
      <c r="X497" s="58">
        <f>(31*0.1790888*245000/1000000)+(31*0.2374*100000/1000000)</f>
        <v>2.0961194359999999</v>
      </c>
      <c r="Y497" s="58"/>
      <c r="Z497" s="10"/>
      <c r="AA497" s="57"/>
      <c r="AB497" s="51">
        <f>(B497*194.205+C497*267.466+D497*133.845+E497*53.484+F497*40+G497*185+H497*0+I497*100+J497*300)/(194.205+267.466+133.845+53.484+0+40+185+100+300)</f>
        <v>14.463156599529043</v>
      </c>
      <c r="AC497" s="27">
        <f>(M497*'RAP TEMPLATE-GAS AVAILABILITY'!O496+N497*'RAP TEMPLATE-GAS AVAILABILITY'!P496+O497*'RAP TEMPLATE-GAS AVAILABILITY'!Q496+P497*'RAP TEMPLATE-GAS AVAILABILITY'!R496)/('RAP TEMPLATE-GAS AVAILABILITY'!O496+'RAP TEMPLATE-GAS AVAILABILITY'!P496+'RAP TEMPLATE-GAS AVAILABILITY'!Q496+'RAP TEMPLATE-GAS AVAILABILITY'!R496)</f>
        <v>14.353658273381297</v>
      </c>
    </row>
    <row r="498" spans="1:29" ht="15.75" x14ac:dyDescent="0.25">
      <c r="A498" s="14">
        <v>56430</v>
      </c>
      <c r="B498" s="10">
        <f>CHOOSE(CONTROL!$C$42, 14.8487, 14.8487) * CHOOSE(CONTROL!$C$21, $C$9, 100%, $E$9)</f>
        <v>14.848699999999999</v>
      </c>
      <c r="C498" s="10">
        <f>CHOOSE(CONTROL!$C$42, 14.8566, 14.8566) * CHOOSE(CONTROL!$C$21, $C$9, 100%, $E$9)</f>
        <v>14.8566</v>
      </c>
      <c r="D498" s="10">
        <f>CHOOSE(CONTROL!$C$42, 15.0352, 15.0352) * CHOOSE(CONTROL!$C$21, $C$9, 100%, $E$9)</f>
        <v>15.0352</v>
      </c>
      <c r="E498" s="10">
        <f>CHOOSE(CONTROL!$C$42, 15.0663, 15.0663) * CHOOSE(CONTROL!$C$21, $C$9, 100%, $E$9)</f>
        <v>15.0663</v>
      </c>
      <c r="F498" s="10">
        <f>CHOOSE(CONTROL!$C$42, 14.8352, 14.8352)*CHOOSE(CONTROL!$C$21, $C$9, 100%, $E$9)</f>
        <v>14.8352</v>
      </c>
      <c r="G498" s="10">
        <f>CHOOSE(CONTROL!$C$42, 14.8534, 14.8534)*CHOOSE(CONTROL!$C$21, $C$9, 100%, $E$9)</f>
        <v>14.853400000000001</v>
      </c>
      <c r="H498" s="10">
        <f>CHOOSE(CONTROL!$C$42, 15.0549, 15.0549) * CHOOSE(CONTROL!$C$21, $C$9, 100%, $E$9)</f>
        <v>15.0549</v>
      </c>
      <c r="I498" s="10">
        <f>CHOOSE(CONTROL!$C$42, 14.8256, 14.8256)* CHOOSE(CONTROL!$C$21, $C$9, 100%, $E$9)</f>
        <v>14.8256</v>
      </c>
      <c r="J498" s="10">
        <f>CHOOSE(CONTROL!$C$42, 14.8282, 14.8282)* CHOOSE(CONTROL!$C$21, $C$9, 100%, $E$9)</f>
        <v>14.828200000000001</v>
      </c>
      <c r="K498" s="54">
        <f>CHOOSE(CONTROL!$C$42, 14.8217, 14.8217) * CHOOSE(CONTROL!$C$21, $C$9, 100%, $E$9)</f>
        <v>14.8217</v>
      </c>
      <c r="L498" s="10">
        <f>CHOOSE(CONTROL!$C$42, 15.6419, 15.6419) * CHOOSE(CONTROL!$C$21, $C$9, 100%, $E$9)</f>
        <v>15.6419</v>
      </c>
      <c r="M498" s="10">
        <f>CHOOSE(CONTROL!$C$42, 14.6923, 14.6923) * CHOOSE(CONTROL!$C$21, $C$9, 100%, $E$9)</f>
        <v>14.692299999999999</v>
      </c>
      <c r="N498" s="10">
        <f>CHOOSE(CONTROL!$C$42, 14.7104, 14.7104) * CHOOSE(CONTROL!$C$21, $C$9, 100%, $E$9)</f>
        <v>14.7104</v>
      </c>
      <c r="O498" s="10">
        <f>CHOOSE(CONTROL!$C$42, 14.9168, 14.9168) * CHOOSE(CONTROL!$C$21, $C$9, 100%, $E$9)</f>
        <v>14.9168</v>
      </c>
      <c r="P498" s="10">
        <f>CHOOSE(CONTROL!$C$42, 14.6898, 14.6898) * CHOOSE(CONTROL!$C$21, $C$9, 100%, $E$9)</f>
        <v>14.6898</v>
      </c>
      <c r="Q498" s="10">
        <f>CHOOSE(CONTROL!$C$42, 15.5121, 15.5121) * CHOOSE(CONTROL!$C$21, $C$9, 100%, $E$9)</f>
        <v>15.5121</v>
      </c>
      <c r="R498" s="10">
        <f>CHOOSE(CONTROL!$C$42, 16.1379, 16.1379) * CHOOSE(CONTROL!$C$21, $C$9, 100%, $E$9)</f>
        <v>16.137899999999998</v>
      </c>
      <c r="S498" s="10">
        <f>CHOOSE(CONTROL!$C$42, 14.4153, 14.4153) * CHOOSE(CONTROL!$C$21, $C$9, 100%, $E$9)</f>
        <v>14.4153</v>
      </c>
      <c r="T498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98" s="58">
        <f>(1000*CHOOSE(CONTROL!$C$42, 695, 695)*CHOOSE(CONTROL!$C$42, 0.5599, 0.5599)*CHOOSE(CONTROL!$C$42, 30, 30))/1000000</f>
        <v>11.673914999999997</v>
      </c>
      <c r="V498" s="58">
        <f>(1000*CHOOSE(CONTROL!$C$42, 500, 500)*CHOOSE(CONTROL!$C$42, 0.275, 0.275)*CHOOSE(CONTROL!$C$42, 30, 30))/1000000</f>
        <v>4.125</v>
      </c>
      <c r="W498" s="58">
        <f>(1000*CHOOSE(CONTROL!$C$42, 0.1146, 0.1146)*CHOOSE(CONTROL!$C$42, 121.5, 121.5)*CHOOSE(CONTROL!$C$42, 30, 30))/1000000</f>
        <v>0.417717</v>
      </c>
      <c r="X498" s="58">
        <f>(30*0.1790888*245000/1000000)+(30*0.2374*100000/1000000)</f>
        <v>2.0285026799999999</v>
      </c>
      <c r="Y498" s="58"/>
      <c r="Z498" s="10"/>
      <c r="AA498" s="57"/>
      <c r="AB498" s="51">
        <f>(B498*194.205+C498*267.466+D498*133.845+E498*53.484+F498*40+G498*185+H498*0+I498*100+J498*300)/(194.205+267.466+133.845+53.484+0+40+185+100+300)</f>
        <v>14.87270525298273</v>
      </c>
      <c r="AC498" s="27">
        <f>(M498*'RAP TEMPLATE-GAS AVAILABILITY'!O497+N498*'RAP TEMPLATE-GAS AVAILABILITY'!P497+O498*'RAP TEMPLATE-GAS AVAILABILITY'!Q497+P498*'RAP TEMPLATE-GAS AVAILABILITY'!R497)/('RAP TEMPLATE-GAS AVAILABILITY'!O497+'RAP TEMPLATE-GAS AVAILABILITY'!P497+'RAP TEMPLATE-GAS AVAILABILITY'!Q497+'RAP TEMPLATE-GAS AVAILABILITY'!R497)</f>
        <v>14.759096402877699</v>
      </c>
    </row>
    <row r="499" spans="1:29" ht="15.75" x14ac:dyDescent="0.25">
      <c r="A499" s="14">
        <v>56461</v>
      </c>
      <c r="B499" s="10">
        <f>CHOOSE(CONTROL!$C$42, 14.564, 14.564) * CHOOSE(CONTROL!$C$21, $C$9, 100%, $E$9)</f>
        <v>14.564</v>
      </c>
      <c r="C499" s="10">
        <f>CHOOSE(CONTROL!$C$42, 14.5719, 14.5719) * CHOOSE(CONTROL!$C$21, $C$9, 100%, $E$9)</f>
        <v>14.571899999999999</v>
      </c>
      <c r="D499" s="10">
        <f>CHOOSE(CONTROL!$C$42, 14.7504, 14.7504) * CHOOSE(CONTROL!$C$21, $C$9, 100%, $E$9)</f>
        <v>14.750400000000001</v>
      </c>
      <c r="E499" s="10">
        <f>CHOOSE(CONTROL!$C$42, 14.7815, 14.7815) * CHOOSE(CONTROL!$C$21, $C$9, 100%, $E$9)</f>
        <v>14.781499999999999</v>
      </c>
      <c r="F499" s="10">
        <f>CHOOSE(CONTROL!$C$42, 14.5507, 14.5507)*CHOOSE(CONTROL!$C$21, $C$9, 100%, $E$9)</f>
        <v>14.550700000000001</v>
      </c>
      <c r="G499" s="10">
        <f>CHOOSE(CONTROL!$C$42, 14.569, 14.569)*CHOOSE(CONTROL!$C$21, $C$9, 100%, $E$9)</f>
        <v>14.569000000000001</v>
      </c>
      <c r="H499" s="10">
        <f>CHOOSE(CONTROL!$C$42, 14.7702, 14.7702) * CHOOSE(CONTROL!$C$21, $C$9, 100%, $E$9)</f>
        <v>14.770200000000001</v>
      </c>
      <c r="I499" s="10">
        <f>CHOOSE(CONTROL!$C$42, 14.5408, 14.5408)* CHOOSE(CONTROL!$C$21, $C$9, 100%, $E$9)</f>
        <v>14.540800000000001</v>
      </c>
      <c r="J499" s="10">
        <f>CHOOSE(CONTROL!$C$42, 14.5437, 14.5437)* CHOOSE(CONTROL!$C$21, $C$9, 100%, $E$9)</f>
        <v>14.543699999999999</v>
      </c>
      <c r="K499" s="54">
        <f>CHOOSE(CONTROL!$C$42, 14.5369, 14.5369) * CHOOSE(CONTROL!$C$21, $C$9, 100%, $E$9)</f>
        <v>14.536899999999999</v>
      </c>
      <c r="L499" s="10">
        <f>CHOOSE(CONTROL!$C$42, 15.3572, 15.3572) * CHOOSE(CONTROL!$C$21, $C$9, 100%, $E$9)</f>
        <v>15.357200000000001</v>
      </c>
      <c r="M499" s="10">
        <f>CHOOSE(CONTROL!$C$42, 14.4107, 14.4107) * CHOOSE(CONTROL!$C$21, $C$9, 100%, $E$9)</f>
        <v>14.4107</v>
      </c>
      <c r="N499" s="10">
        <f>CHOOSE(CONTROL!$C$42, 14.4289, 14.4289) * CHOOSE(CONTROL!$C$21, $C$9, 100%, $E$9)</f>
        <v>14.428900000000001</v>
      </c>
      <c r="O499" s="10">
        <f>CHOOSE(CONTROL!$C$42, 14.635, 14.635) * CHOOSE(CONTROL!$C$21, $C$9, 100%, $E$9)</f>
        <v>14.635</v>
      </c>
      <c r="P499" s="10">
        <f>CHOOSE(CONTROL!$C$42, 14.408, 14.408) * CHOOSE(CONTROL!$C$21, $C$9, 100%, $E$9)</f>
        <v>14.407999999999999</v>
      </c>
      <c r="Q499" s="10">
        <f>CHOOSE(CONTROL!$C$42, 15.2303, 15.2303) * CHOOSE(CONTROL!$C$21, $C$9, 100%, $E$9)</f>
        <v>15.2303</v>
      </c>
      <c r="R499" s="10">
        <f>CHOOSE(CONTROL!$C$42, 15.8553, 15.8553) * CHOOSE(CONTROL!$C$21, $C$9, 100%, $E$9)</f>
        <v>15.8553</v>
      </c>
      <c r="S499" s="10">
        <f>CHOOSE(CONTROL!$C$42, 14.1388, 14.1388) * CHOOSE(CONTROL!$C$21, $C$9, 100%, $E$9)</f>
        <v>14.1388</v>
      </c>
      <c r="T499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99" s="58">
        <f>(1000*CHOOSE(CONTROL!$C$42, 695, 695)*CHOOSE(CONTROL!$C$42, 0.5599, 0.5599)*CHOOSE(CONTROL!$C$42, 31, 31))/1000000</f>
        <v>12.063045499999998</v>
      </c>
      <c r="V499" s="58">
        <f>(1000*CHOOSE(CONTROL!$C$42, 500, 500)*CHOOSE(CONTROL!$C$42, 0.275, 0.275)*CHOOSE(CONTROL!$C$42, 31, 31))/1000000</f>
        <v>4.2625000000000002</v>
      </c>
      <c r="W499" s="58">
        <f>(1000*CHOOSE(CONTROL!$C$42, 0.1146, 0.1146)*CHOOSE(CONTROL!$C$42, 121.5, 121.5)*CHOOSE(CONTROL!$C$42, 31, 31))/1000000</f>
        <v>0.43164089999999994</v>
      </c>
      <c r="X499" s="58">
        <f>(31*0.1790888*245000/1000000)+(31*0.2374*100000/1000000)</f>
        <v>2.0961194359999999</v>
      </c>
      <c r="Y499" s="58"/>
      <c r="Z499" s="10"/>
      <c r="AA499" s="57"/>
      <c r="AB499" s="51">
        <f>(B499*194.205+C499*267.466+D499*133.845+E499*53.484+F499*40+G499*185+H499*0+I499*100+J499*300)/(194.205+267.466+133.845+53.484+0+40+185+100+300)</f>
        <v>14.588079638461537</v>
      </c>
      <c r="AC499" s="27">
        <f>(M499*'RAP TEMPLATE-GAS AVAILABILITY'!O498+N499*'RAP TEMPLATE-GAS AVAILABILITY'!P498+O499*'RAP TEMPLATE-GAS AVAILABILITY'!Q498+P499*'RAP TEMPLATE-GAS AVAILABILITY'!R498)/('RAP TEMPLATE-GAS AVAILABILITY'!O498+'RAP TEMPLATE-GAS AVAILABILITY'!P498+'RAP TEMPLATE-GAS AVAILABILITY'!Q498+'RAP TEMPLATE-GAS AVAILABILITY'!R498)</f>
        <v>14.477434532374099</v>
      </c>
    </row>
    <row r="500" spans="1:29" ht="15.75" x14ac:dyDescent="0.25">
      <c r="A500" s="14">
        <v>56492</v>
      </c>
      <c r="B500" s="10">
        <f>CHOOSE(CONTROL!$C$42, 13.8448, 13.8448) * CHOOSE(CONTROL!$C$21, $C$9, 100%, $E$9)</f>
        <v>13.844799999999999</v>
      </c>
      <c r="C500" s="10">
        <f>CHOOSE(CONTROL!$C$42, 13.8528, 13.8528) * CHOOSE(CONTROL!$C$21, $C$9, 100%, $E$9)</f>
        <v>13.8528</v>
      </c>
      <c r="D500" s="10">
        <f>CHOOSE(CONTROL!$C$42, 14.0313, 14.0313) * CHOOSE(CONTROL!$C$21, $C$9, 100%, $E$9)</f>
        <v>14.0313</v>
      </c>
      <c r="E500" s="10">
        <f>CHOOSE(CONTROL!$C$42, 14.0624, 14.0624) * CHOOSE(CONTROL!$C$21, $C$9, 100%, $E$9)</f>
        <v>14.0624</v>
      </c>
      <c r="F500" s="10">
        <f>CHOOSE(CONTROL!$C$42, 13.8315, 13.8315)*CHOOSE(CONTROL!$C$21, $C$9, 100%, $E$9)</f>
        <v>13.8315</v>
      </c>
      <c r="G500" s="10">
        <f>CHOOSE(CONTROL!$C$42, 13.8498, 13.8498)*CHOOSE(CONTROL!$C$21, $C$9, 100%, $E$9)</f>
        <v>13.8498</v>
      </c>
      <c r="H500" s="10">
        <f>CHOOSE(CONTROL!$C$42, 14.0511, 14.0511) * CHOOSE(CONTROL!$C$21, $C$9, 100%, $E$9)</f>
        <v>14.0511</v>
      </c>
      <c r="I500" s="10">
        <f>CHOOSE(CONTROL!$C$42, 13.8217, 13.8217)* CHOOSE(CONTROL!$C$21, $C$9, 100%, $E$9)</f>
        <v>13.8217</v>
      </c>
      <c r="J500" s="10">
        <f>CHOOSE(CONTROL!$C$42, 13.8245, 13.8245)* CHOOSE(CONTROL!$C$21, $C$9, 100%, $E$9)</f>
        <v>13.8245</v>
      </c>
      <c r="K500" s="54">
        <f>CHOOSE(CONTROL!$C$42, 13.8178, 13.8178) * CHOOSE(CONTROL!$C$21, $C$9, 100%, $E$9)</f>
        <v>13.8178</v>
      </c>
      <c r="L500" s="10">
        <f>CHOOSE(CONTROL!$C$42, 14.6381, 14.6381) * CHOOSE(CONTROL!$C$21, $C$9, 100%, $E$9)</f>
        <v>14.6381</v>
      </c>
      <c r="M500" s="10">
        <f>CHOOSE(CONTROL!$C$42, 13.6988, 13.6988) * CHOOSE(CONTROL!$C$21, $C$9, 100%, $E$9)</f>
        <v>13.6988</v>
      </c>
      <c r="N500" s="10">
        <f>CHOOSE(CONTROL!$C$42, 13.7169, 13.7169) * CHOOSE(CONTROL!$C$21, $C$9, 100%, $E$9)</f>
        <v>13.716900000000001</v>
      </c>
      <c r="O500" s="10">
        <f>CHOOSE(CONTROL!$C$42, 13.9231, 13.9231) * CHOOSE(CONTROL!$C$21, $C$9, 100%, $E$9)</f>
        <v>13.9231</v>
      </c>
      <c r="P500" s="10">
        <f>CHOOSE(CONTROL!$C$42, 13.6961, 13.6961) * CHOOSE(CONTROL!$C$21, $C$9, 100%, $E$9)</f>
        <v>13.696099999999999</v>
      </c>
      <c r="Q500" s="10">
        <f>CHOOSE(CONTROL!$C$42, 14.5184, 14.5184) * CHOOSE(CONTROL!$C$21, $C$9, 100%, $E$9)</f>
        <v>14.5184</v>
      </c>
      <c r="R500" s="10">
        <f>CHOOSE(CONTROL!$C$42, 15.1417, 15.1417) * CHOOSE(CONTROL!$C$21, $C$9, 100%, $E$9)</f>
        <v>15.1417</v>
      </c>
      <c r="S500" s="10">
        <f>CHOOSE(CONTROL!$C$42, 13.4405, 13.4405) * CHOOSE(CONTROL!$C$21, $C$9, 100%, $E$9)</f>
        <v>13.4405</v>
      </c>
      <c r="T500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00" s="58">
        <f>(1000*CHOOSE(CONTROL!$C$42, 695, 695)*CHOOSE(CONTROL!$C$42, 0.5599, 0.5599)*CHOOSE(CONTROL!$C$42, 31, 31))/1000000</f>
        <v>12.063045499999998</v>
      </c>
      <c r="V500" s="58">
        <f>(1000*CHOOSE(CONTROL!$C$42, 500, 500)*CHOOSE(CONTROL!$C$42, 0.275, 0.275)*CHOOSE(CONTROL!$C$42, 31, 31))/1000000</f>
        <v>4.2625000000000002</v>
      </c>
      <c r="W500" s="58">
        <f>(1000*CHOOSE(CONTROL!$C$42, 0.1146, 0.1146)*CHOOSE(CONTROL!$C$42, 121.5, 121.5)*CHOOSE(CONTROL!$C$42, 31, 31))/1000000</f>
        <v>0.43164089999999994</v>
      </c>
      <c r="X500" s="58">
        <f>(31*0.1790888*245000/1000000)+(31*0.2374*100000/1000000)</f>
        <v>2.0961194359999999</v>
      </c>
      <c r="Y500" s="58"/>
      <c r="Z500" s="10"/>
      <c r="AA500" s="57"/>
      <c r="AB500" s="51">
        <f>(B500*194.205+C500*267.466+D500*133.845+E500*53.484+F500*40+G500*185+H500*0+I500*100+J500*300)/(194.205+267.466+133.845+53.484+0+40+185+100+300)</f>
        <v>13.868923185949765</v>
      </c>
      <c r="AC500" s="27">
        <f>(M500*'RAP TEMPLATE-GAS AVAILABILITY'!O499+N500*'RAP TEMPLATE-GAS AVAILABILITY'!P499+O500*'RAP TEMPLATE-GAS AVAILABILITY'!Q499+P500*'RAP TEMPLATE-GAS AVAILABILITY'!R499)/('RAP TEMPLATE-GAS AVAILABILITY'!O499+'RAP TEMPLATE-GAS AVAILABILITY'!P499+'RAP TEMPLATE-GAS AVAILABILITY'!Q499+'RAP TEMPLATE-GAS AVAILABILITY'!R499)</f>
        <v>13.765511510791368</v>
      </c>
    </row>
    <row r="501" spans="1:29" ht="15.75" x14ac:dyDescent="0.25">
      <c r="A501" s="14">
        <v>56522</v>
      </c>
      <c r="B501" s="10">
        <f>CHOOSE(CONTROL!$C$42, 12.9662, 12.9662) * CHOOSE(CONTROL!$C$21, $C$9, 100%, $E$9)</f>
        <v>12.966200000000001</v>
      </c>
      <c r="C501" s="10">
        <f>CHOOSE(CONTROL!$C$42, 12.9741, 12.9741) * CHOOSE(CONTROL!$C$21, $C$9, 100%, $E$9)</f>
        <v>12.9741</v>
      </c>
      <c r="D501" s="10">
        <f>CHOOSE(CONTROL!$C$42, 13.1527, 13.1527) * CHOOSE(CONTROL!$C$21, $C$9, 100%, $E$9)</f>
        <v>13.152699999999999</v>
      </c>
      <c r="E501" s="10">
        <f>CHOOSE(CONTROL!$C$42, 13.1838, 13.1838) * CHOOSE(CONTROL!$C$21, $C$9, 100%, $E$9)</f>
        <v>13.1838</v>
      </c>
      <c r="F501" s="10">
        <f>CHOOSE(CONTROL!$C$42, 12.9526, 12.9526)*CHOOSE(CONTROL!$C$21, $C$9, 100%, $E$9)</f>
        <v>12.9526</v>
      </c>
      <c r="G501" s="10">
        <f>CHOOSE(CONTROL!$C$42, 12.9708, 12.9708)*CHOOSE(CONTROL!$C$21, $C$9, 100%, $E$9)</f>
        <v>12.970800000000001</v>
      </c>
      <c r="H501" s="10">
        <f>CHOOSE(CONTROL!$C$42, 13.1724, 13.1724) * CHOOSE(CONTROL!$C$21, $C$9, 100%, $E$9)</f>
        <v>13.1724</v>
      </c>
      <c r="I501" s="10">
        <f>CHOOSE(CONTROL!$C$42, 12.9431, 12.9431)* CHOOSE(CONTROL!$C$21, $C$9, 100%, $E$9)</f>
        <v>12.943099999999999</v>
      </c>
      <c r="J501" s="10">
        <f>CHOOSE(CONTROL!$C$42, 12.9456, 12.9456)* CHOOSE(CONTROL!$C$21, $C$9, 100%, $E$9)</f>
        <v>12.945600000000001</v>
      </c>
      <c r="K501" s="54">
        <f>CHOOSE(CONTROL!$C$42, 12.9392, 12.9392) * CHOOSE(CONTROL!$C$21, $C$9, 100%, $E$9)</f>
        <v>12.9392</v>
      </c>
      <c r="L501" s="10">
        <f>CHOOSE(CONTROL!$C$42, 13.7594, 13.7594) * CHOOSE(CONTROL!$C$21, $C$9, 100%, $E$9)</f>
        <v>13.759399999999999</v>
      </c>
      <c r="M501" s="10">
        <f>CHOOSE(CONTROL!$C$42, 12.8288, 12.8288) * CHOOSE(CONTROL!$C$21, $C$9, 100%, $E$9)</f>
        <v>12.828799999999999</v>
      </c>
      <c r="N501" s="10">
        <f>CHOOSE(CONTROL!$C$42, 12.8468, 12.8468) * CHOOSE(CONTROL!$C$21, $C$9, 100%, $E$9)</f>
        <v>12.8468</v>
      </c>
      <c r="O501" s="10">
        <f>CHOOSE(CONTROL!$C$42, 13.0533, 13.0533) * CHOOSE(CONTROL!$C$21, $C$9, 100%, $E$9)</f>
        <v>13.0533</v>
      </c>
      <c r="P501" s="10">
        <f>CHOOSE(CONTROL!$C$42, 12.8263, 12.8263) * CHOOSE(CONTROL!$C$21, $C$9, 100%, $E$9)</f>
        <v>12.8263</v>
      </c>
      <c r="Q501" s="10">
        <f>CHOOSE(CONTROL!$C$42, 13.6486, 13.6486) * CHOOSE(CONTROL!$C$21, $C$9, 100%, $E$9)</f>
        <v>13.6486</v>
      </c>
      <c r="R501" s="10">
        <f>CHOOSE(CONTROL!$C$42, 14.2698, 14.2698) * CHOOSE(CONTROL!$C$21, $C$9, 100%, $E$9)</f>
        <v>14.2698</v>
      </c>
      <c r="S501" s="10">
        <f>CHOOSE(CONTROL!$C$42, 12.5872, 12.5872) * CHOOSE(CONTROL!$C$21, $C$9, 100%, $E$9)</f>
        <v>12.587199999999999</v>
      </c>
      <c r="T501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01" s="58">
        <f>(1000*CHOOSE(CONTROL!$C$42, 695, 695)*CHOOSE(CONTROL!$C$42, 0.5599, 0.5599)*CHOOSE(CONTROL!$C$42, 30, 30))/1000000</f>
        <v>11.673914999999997</v>
      </c>
      <c r="V501" s="58">
        <f>(1000*CHOOSE(CONTROL!$C$42, 500, 500)*CHOOSE(CONTROL!$C$42, 0.275, 0.275)*CHOOSE(CONTROL!$C$42, 30, 30))/1000000</f>
        <v>4.125</v>
      </c>
      <c r="W501" s="58">
        <f>(1000*CHOOSE(CONTROL!$C$42, 0.1146, 0.1146)*CHOOSE(CONTROL!$C$42, 121.5, 121.5)*CHOOSE(CONTROL!$C$42, 30, 30))/1000000</f>
        <v>0.417717</v>
      </c>
      <c r="X501" s="58">
        <f>(30*0.1790888*245000/1000000)+(30*0.2374*100000/1000000)</f>
        <v>2.0285026799999999</v>
      </c>
      <c r="Y501" s="58"/>
      <c r="Z501" s="10"/>
      <c r="AA501" s="57"/>
      <c r="AB501" s="51">
        <f>(B501*194.205+C501*267.466+D501*133.845+E501*53.484+F501*40+G501*185+H501*0+I501*100+J501*300)/(194.205+267.466+133.845+53.484+0+40+185+100+300)</f>
        <v>12.99016404419152</v>
      </c>
      <c r="AC501" s="27">
        <f>(M501*'RAP TEMPLATE-GAS AVAILABILITY'!O500+N501*'RAP TEMPLATE-GAS AVAILABILITY'!P500+O501*'RAP TEMPLATE-GAS AVAILABILITY'!Q500+P501*'RAP TEMPLATE-GAS AVAILABILITY'!R500)/('RAP TEMPLATE-GAS AVAILABILITY'!O500+'RAP TEMPLATE-GAS AVAILABILITY'!P500+'RAP TEMPLATE-GAS AVAILABILITY'!Q500+'RAP TEMPLATE-GAS AVAILABILITY'!R500)</f>
        <v>12.895573381294962</v>
      </c>
    </row>
    <row r="502" spans="1:29" ht="15.75" x14ac:dyDescent="0.25">
      <c r="A502" s="14">
        <v>56553</v>
      </c>
      <c r="B502" s="10">
        <f>CHOOSE(CONTROL!$C$42, 12.7009, 12.7009) * CHOOSE(CONTROL!$C$21, $C$9, 100%, $E$9)</f>
        <v>12.700900000000001</v>
      </c>
      <c r="C502" s="10">
        <f>CHOOSE(CONTROL!$C$42, 12.7061, 12.7061) * CHOOSE(CONTROL!$C$21, $C$9, 100%, $E$9)</f>
        <v>12.706099999999999</v>
      </c>
      <c r="D502" s="10">
        <f>CHOOSE(CONTROL!$C$42, 12.8896, 12.8896) * CHOOSE(CONTROL!$C$21, $C$9, 100%, $E$9)</f>
        <v>12.8896</v>
      </c>
      <c r="E502" s="10">
        <f>CHOOSE(CONTROL!$C$42, 12.9184, 12.9184) * CHOOSE(CONTROL!$C$21, $C$9, 100%, $E$9)</f>
        <v>12.9184</v>
      </c>
      <c r="F502" s="10">
        <f>CHOOSE(CONTROL!$C$42, 12.6892, 12.6892)*CHOOSE(CONTROL!$C$21, $C$9, 100%, $E$9)</f>
        <v>12.6892</v>
      </c>
      <c r="G502" s="10">
        <f>CHOOSE(CONTROL!$C$42, 12.7071, 12.7071)*CHOOSE(CONTROL!$C$21, $C$9, 100%, $E$9)</f>
        <v>12.707100000000001</v>
      </c>
      <c r="H502" s="10">
        <f>CHOOSE(CONTROL!$C$42, 12.9089, 12.9089) * CHOOSE(CONTROL!$C$21, $C$9, 100%, $E$9)</f>
        <v>12.908899999999999</v>
      </c>
      <c r="I502" s="10">
        <f>CHOOSE(CONTROL!$C$42, 12.6795, 12.6795)* CHOOSE(CONTROL!$C$21, $C$9, 100%, $E$9)</f>
        <v>12.679500000000001</v>
      </c>
      <c r="J502" s="10">
        <f>CHOOSE(CONTROL!$C$42, 12.6822, 12.6822)* CHOOSE(CONTROL!$C$21, $C$9, 100%, $E$9)</f>
        <v>12.6822</v>
      </c>
      <c r="K502" s="54">
        <f>CHOOSE(CONTROL!$C$42, 12.6757, 12.6757) * CHOOSE(CONTROL!$C$21, $C$9, 100%, $E$9)</f>
        <v>12.675700000000001</v>
      </c>
      <c r="L502" s="10">
        <f>CHOOSE(CONTROL!$C$42, 13.4959, 13.4959) * CHOOSE(CONTROL!$C$21, $C$9, 100%, $E$9)</f>
        <v>13.495900000000001</v>
      </c>
      <c r="M502" s="10">
        <f>CHOOSE(CONTROL!$C$42, 12.5681, 12.5681) * CHOOSE(CONTROL!$C$21, $C$9, 100%, $E$9)</f>
        <v>12.568099999999999</v>
      </c>
      <c r="N502" s="10">
        <f>CHOOSE(CONTROL!$C$42, 12.5858, 12.5858) * CHOOSE(CONTROL!$C$21, $C$9, 100%, $E$9)</f>
        <v>12.585800000000001</v>
      </c>
      <c r="O502" s="10">
        <f>CHOOSE(CONTROL!$C$42, 12.7924, 12.7924) * CHOOSE(CONTROL!$C$21, $C$9, 100%, $E$9)</f>
        <v>12.792400000000001</v>
      </c>
      <c r="P502" s="10">
        <f>CHOOSE(CONTROL!$C$42, 12.5655, 12.5655) * CHOOSE(CONTROL!$C$21, $C$9, 100%, $E$9)</f>
        <v>12.5655</v>
      </c>
      <c r="Q502" s="10">
        <f>CHOOSE(CONTROL!$C$42, 13.3877, 13.3877) * CHOOSE(CONTROL!$C$21, $C$9, 100%, $E$9)</f>
        <v>13.387700000000001</v>
      </c>
      <c r="R502" s="10">
        <f>CHOOSE(CONTROL!$C$42, 14.0082, 14.0082) * CHOOSE(CONTROL!$C$21, $C$9, 100%, $E$9)</f>
        <v>14.0082</v>
      </c>
      <c r="S502" s="10">
        <f>CHOOSE(CONTROL!$C$42, 12.3313, 12.3313) * CHOOSE(CONTROL!$C$21, $C$9, 100%, $E$9)</f>
        <v>12.331300000000001</v>
      </c>
      <c r="T502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02" s="58">
        <f>(1000*CHOOSE(CONTROL!$C$42, 695, 695)*CHOOSE(CONTROL!$C$42, 0.5599, 0.5599)*CHOOSE(CONTROL!$C$42, 31, 31))/1000000</f>
        <v>12.063045499999998</v>
      </c>
      <c r="V502" s="58">
        <f>(1000*CHOOSE(CONTROL!$C$42, 500, 500)*CHOOSE(CONTROL!$C$42, 0.275, 0.275)*CHOOSE(CONTROL!$C$42, 31, 31))/1000000</f>
        <v>4.2625000000000002</v>
      </c>
      <c r="W502" s="58">
        <f>(1000*CHOOSE(CONTROL!$C$42, 0.1146, 0.1146)*CHOOSE(CONTROL!$C$42, 121.5, 121.5)*CHOOSE(CONTROL!$C$42, 31, 31))/1000000</f>
        <v>0.43164089999999994</v>
      </c>
      <c r="X502" s="58">
        <f>(31*0.1790888*245000/1000000)+(31*0.2374*100000/1000000)</f>
        <v>2.0961194359999999</v>
      </c>
      <c r="Y502" s="58"/>
      <c r="Z502" s="10"/>
      <c r="AA502" s="57"/>
      <c r="AB502" s="51">
        <f>(B502*131.881+C502*277.167+D502*79.08+E502*125.872+F502*40+G502*185+H502*0+I502*100+J502*300)/(131.881+277.167+79.08+125.872+0+40+185+100+300)</f>
        <v>12.730496307021792</v>
      </c>
      <c r="AC502" s="27">
        <f>(M502*'RAP TEMPLATE-GAS AVAILABILITY'!O501+N502*'RAP TEMPLATE-GAS AVAILABILITY'!P501+O502*'RAP TEMPLATE-GAS AVAILABILITY'!Q501+P502*'RAP TEMPLATE-GAS AVAILABILITY'!R501)/('RAP TEMPLATE-GAS AVAILABILITY'!O501+'RAP TEMPLATE-GAS AVAILABILITY'!P501+'RAP TEMPLATE-GAS AVAILABILITY'!Q501+'RAP TEMPLATE-GAS AVAILABILITY'!R501)</f>
        <v>12.634733812949639</v>
      </c>
    </row>
    <row r="503" spans="1:29" ht="15.75" x14ac:dyDescent="0.25">
      <c r="A503" s="14">
        <v>56583</v>
      </c>
      <c r="B503" s="10">
        <f>CHOOSE(CONTROL!$C$42, 13.035, 13.035) * CHOOSE(CONTROL!$C$21, $C$9, 100%, $E$9)</f>
        <v>13.035</v>
      </c>
      <c r="C503" s="10">
        <f>CHOOSE(CONTROL!$C$42, 13.04, 13.04) * CHOOSE(CONTROL!$C$21, $C$9, 100%, $E$9)</f>
        <v>13.04</v>
      </c>
      <c r="D503" s="10">
        <f>CHOOSE(CONTROL!$C$42, 13.0696, 13.0696) * CHOOSE(CONTROL!$C$21, $C$9, 100%, $E$9)</f>
        <v>13.069599999999999</v>
      </c>
      <c r="E503" s="10">
        <f>CHOOSE(CONTROL!$C$42, 13.1034, 13.1034) * CHOOSE(CONTROL!$C$21, $C$9, 100%, $E$9)</f>
        <v>13.103400000000001</v>
      </c>
      <c r="F503" s="10">
        <f>CHOOSE(CONTROL!$C$42, 13.0208, 13.0208)*CHOOSE(CONTROL!$C$21, $C$9, 100%, $E$9)</f>
        <v>13.020799999999999</v>
      </c>
      <c r="G503" s="10">
        <f>CHOOSE(CONTROL!$C$42, 13.0388, 13.0388)*CHOOSE(CONTROL!$C$21, $C$9, 100%, $E$9)</f>
        <v>13.0388</v>
      </c>
      <c r="H503" s="10">
        <f>CHOOSE(CONTROL!$C$42, 13.0925, 13.0925) * CHOOSE(CONTROL!$C$21, $C$9, 100%, $E$9)</f>
        <v>13.092499999999999</v>
      </c>
      <c r="I503" s="10">
        <f>CHOOSE(CONTROL!$C$42, 13.0012, 13.0012)* CHOOSE(CONTROL!$C$21, $C$9, 100%, $E$9)</f>
        <v>13.001200000000001</v>
      </c>
      <c r="J503" s="10">
        <f>CHOOSE(CONTROL!$C$42, 13.0138, 13.0138)* CHOOSE(CONTROL!$C$21, $C$9, 100%, $E$9)</f>
        <v>13.0138</v>
      </c>
      <c r="K503" s="54">
        <f>CHOOSE(CONTROL!$C$42, 12.9973, 12.9973) * CHOOSE(CONTROL!$C$21, $C$9, 100%, $E$9)</f>
        <v>12.997299999999999</v>
      </c>
      <c r="L503" s="10">
        <f>CHOOSE(CONTROL!$C$42, 13.6795, 13.6795) * CHOOSE(CONTROL!$C$21, $C$9, 100%, $E$9)</f>
        <v>13.679500000000001</v>
      </c>
      <c r="M503" s="10">
        <f>CHOOSE(CONTROL!$C$42, 12.8963, 12.8963) * CHOOSE(CONTROL!$C$21, $C$9, 100%, $E$9)</f>
        <v>12.8963</v>
      </c>
      <c r="N503" s="10">
        <f>CHOOSE(CONTROL!$C$42, 12.9141, 12.9141) * CHOOSE(CONTROL!$C$21, $C$9, 100%, $E$9)</f>
        <v>12.914099999999999</v>
      </c>
      <c r="O503" s="10">
        <f>CHOOSE(CONTROL!$C$42, 12.9742, 12.9742) * CHOOSE(CONTROL!$C$21, $C$9, 100%, $E$9)</f>
        <v>12.9742</v>
      </c>
      <c r="P503" s="10">
        <f>CHOOSE(CONTROL!$C$42, 12.8838, 12.8838) * CHOOSE(CONTROL!$C$21, $C$9, 100%, $E$9)</f>
        <v>12.883800000000001</v>
      </c>
      <c r="Q503" s="10">
        <f>CHOOSE(CONTROL!$C$42, 13.5695, 13.5695) * CHOOSE(CONTROL!$C$21, $C$9, 100%, $E$9)</f>
        <v>13.5695</v>
      </c>
      <c r="R503" s="10">
        <f>CHOOSE(CONTROL!$C$42, 14.1905, 14.1905) * CHOOSE(CONTROL!$C$21, $C$9, 100%, $E$9)</f>
        <v>14.1905</v>
      </c>
      <c r="S503" s="10">
        <f>CHOOSE(CONTROL!$C$42, 12.6562, 12.6562) * CHOOSE(CONTROL!$C$21, $C$9, 100%, $E$9)</f>
        <v>12.6562</v>
      </c>
      <c r="T503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03" s="58">
        <f>(1000*CHOOSE(CONTROL!$C$42, 695, 695)*CHOOSE(CONTROL!$C$42, 0.5599, 0.5599)*CHOOSE(CONTROL!$C$42, 30, 30))/1000000</f>
        <v>11.673914999999997</v>
      </c>
      <c r="V503" s="58">
        <f>(1000*CHOOSE(CONTROL!$C$42, 500, 500)*CHOOSE(CONTROL!$C$42, 0.275, 0.275)*CHOOSE(CONTROL!$C$42, 30, 30))/1000000</f>
        <v>4.125</v>
      </c>
      <c r="W503" s="58">
        <f>(1000*CHOOSE(CONTROL!$C$42, 0.1146, 0.1146)*CHOOSE(CONTROL!$C$42, 121.5, 121.5)*CHOOSE(CONTROL!$C$42, 30, 30))/1000000</f>
        <v>0.417717</v>
      </c>
      <c r="X503" s="58">
        <f>(30*0.1790888*100000/1000000)+(30*0.2374*100000/1000000)</f>
        <v>1.2494664</v>
      </c>
      <c r="Y503" s="58"/>
      <c r="Z503" s="10"/>
      <c r="AA503" s="57"/>
      <c r="AB503" s="51">
        <f>(B503*122.58+C503*297.941+D503*89.177+E503*40.302+F503*40+G503*160+H503*0+I503*100+J503*300)/(122.58+297.941+89.177+40.302+0+40+160+100+300)</f>
        <v>13.032940770434783</v>
      </c>
      <c r="AC503" s="27">
        <f>(M503*'RAP TEMPLATE-GAS AVAILABILITY'!O502+N503*'RAP TEMPLATE-GAS AVAILABILITY'!P502+O503*'RAP TEMPLATE-GAS AVAILABILITY'!Q502+P503*'RAP TEMPLATE-GAS AVAILABILITY'!R502)/('RAP TEMPLATE-GAS AVAILABILITY'!O502+'RAP TEMPLATE-GAS AVAILABILITY'!P502+'RAP TEMPLATE-GAS AVAILABILITY'!Q502+'RAP TEMPLATE-GAS AVAILABILITY'!R502)</f>
        <v>12.93083309352518</v>
      </c>
    </row>
    <row r="504" spans="1:29" ht="15.75" x14ac:dyDescent="0.25">
      <c r="A504" s="14">
        <v>56614</v>
      </c>
      <c r="B504" s="10">
        <f>CHOOSE(CONTROL!$C$42, 13.9235, 13.9235) * CHOOSE(CONTROL!$C$21, $C$9, 100%, $E$9)</f>
        <v>13.923500000000001</v>
      </c>
      <c r="C504" s="10">
        <f>CHOOSE(CONTROL!$C$42, 13.9285, 13.9285) * CHOOSE(CONTROL!$C$21, $C$9, 100%, $E$9)</f>
        <v>13.9285</v>
      </c>
      <c r="D504" s="10">
        <f>CHOOSE(CONTROL!$C$42, 13.9581, 13.9581) * CHOOSE(CONTROL!$C$21, $C$9, 100%, $E$9)</f>
        <v>13.9581</v>
      </c>
      <c r="E504" s="10">
        <f>CHOOSE(CONTROL!$C$42, 13.9919, 13.9919) * CHOOSE(CONTROL!$C$21, $C$9, 100%, $E$9)</f>
        <v>13.991899999999999</v>
      </c>
      <c r="F504" s="10">
        <f>CHOOSE(CONTROL!$C$42, 13.9108, 13.9108)*CHOOSE(CONTROL!$C$21, $C$9, 100%, $E$9)</f>
        <v>13.9108</v>
      </c>
      <c r="G504" s="10">
        <f>CHOOSE(CONTROL!$C$42, 13.9293, 13.9293)*CHOOSE(CONTROL!$C$21, $C$9, 100%, $E$9)</f>
        <v>13.9293</v>
      </c>
      <c r="H504" s="10">
        <f>CHOOSE(CONTROL!$C$42, 13.9811, 13.9811) * CHOOSE(CONTROL!$C$21, $C$9, 100%, $E$9)</f>
        <v>13.9811</v>
      </c>
      <c r="I504" s="10">
        <f>CHOOSE(CONTROL!$C$42, 13.8897, 13.8897)* CHOOSE(CONTROL!$C$21, $C$9, 100%, $E$9)</f>
        <v>13.889699999999999</v>
      </c>
      <c r="J504" s="10">
        <f>CHOOSE(CONTROL!$C$42, 13.9038, 13.9038)* CHOOSE(CONTROL!$C$21, $C$9, 100%, $E$9)</f>
        <v>13.9038</v>
      </c>
      <c r="K504" s="54">
        <f>CHOOSE(CONTROL!$C$42, 13.8858, 13.8858) * CHOOSE(CONTROL!$C$21, $C$9, 100%, $E$9)</f>
        <v>13.8858</v>
      </c>
      <c r="L504" s="10">
        <f>CHOOSE(CONTROL!$C$42, 14.5681, 14.5681) * CHOOSE(CONTROL!$C$21, $C$9, 100%, $E$9)</f>
        <v>14.568099999999999</v>
      </c>
      <c r="M504" s="10">
        <f>CHOOSE(CONTROL!$C$42, 13.7773, 13.7773) * CHOOSE(CONTROL!$C$21, $C$9, 100%, $E$9)</f>
        <v>13.7773</v>
      </c>
      <c r="N504" s="10">
        <f>CHOOSE(CONTROL!$C$42, 13.7956, 13.7956) * CHOOSE(CONTROL!$C$21, $C$9, 100%, $E$9)</f>
        <v>13.7956</v>
      </c>
      <c r="O504" s="10">
        <f>CHOOSE(CONTROL!$C$42, 13.8538, 13.8538) * CHOOSE(CONTROL!$C$21, $C$9, 100%, $E$9)</f>
        <v>13.8538</v>
      </c>
      <c r="P504" s="10">
        <f>CHOOSE(CONTROL!$C$42, 13.7634, 13.7634) * CHOOSE(CONTROL!$C$21, $C$9, 100%, $E$9)</f>
        <v>13.763400000000001</v>
      </c>
      <c r="Q504" s="10">
        <f>CHOOSE(CONTROL!$C$42, 14.4491, 14.4491) * CHOOSE(CONTROL!$C$21, $C$9, 100%, $E$9)</f>
        <v>14.4491</v>
      </c>
      <c r="R504" s="10">
        <f>CHOOSE(CONTROL!$C$42, 15.0722, 15.0722) * CHOOSE(CONTROL!$C$21, $C$9, 100%, $E$9)</f>
        <v>15.0722</v>
      </c>
      <c r="S504" s="10">
        <f>CHOOSE(CONTROL!$C$42, 13.519, 13.519) * CHOOSE(CONTROL!$C$21, $C$9, 100%, $E$9)</f>
        <v>13.519</v>
      </c>
      <c r="T504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504" s="58">
        <f>(1000*CHOOSE(CONTROL!$C$42, 695, 695)*CHOOSE(CONTROL!$C$42, 0.5599, 0.5599)*CHOOSE(CONTROL!$C$42, 31, 31))/1000000</f>
        <v>12.063045499999998</v>
      </c>
      <c r="V504" s="58">
        <f>(1000*CHOOSE(CONTROL!$C$42, 500, 500)*CHOOSE(CONTROL!$C$42, 0.275, 0.275)*CHOOSE(CONTROL!$C$42, 31, 31))/1000000</f>
        <v>4.2625000000000002</v>
      </c>
      <c r="W504" s="58">
        <f>(1000*CHOOSE(CONTROL!$C$42, 0.1146, 0.1146)*CHOOSE(CONTROL!$C$42, 121.5, 121.5)*CHOOSE(CONTROL!$C$42, 31, 31))/1000000</f>
        <v>0.43164089999999994</v>
      </c>
      <c r="X504" s="58">
        <f>(31*0.1790888*100000/1000000)+(31*0.2374*100000/1000000)</f>
        <v>1.2911152800000001</v>
      </c>
      <c r="Y504" s="58"/>
      <c r="Z504" s="10"/>
      <c r="AA504" s="57"/>
      <c r="AB504" s="51">
        <f>(B504*122.58+C504*297.941+D504*89.177+E504*40.302+F504*40+G504*160+H504*0+I504*100+J504*300)/(122.58+297.941+89.177+40.302+0+40+160+100+300)</f>
        <v>13.922162509565217</v>
      </c>
      <c r="AC504" s="27">
        <f>(M504*'RAP TEMPLATE-GAS AVAILABILITY'!O503+N504*'RAP TEMPLATE-GAS AVAILABILITY'!P503+O504*'RAP TEMPLATE-GAS AVAILABILITY'!Q503+P504*'RAP TEMPLATE-GAS AVAILABILITY'!R503)/('RAP TEMPLATE-GAS AVAILABILITY'!O503+'RAP TEMPLATE-GAS AVAILABILITY'!P503+'RAP TEMPLATE-GAS AVAILABILITY'!Q503+'RAP TEMPLATE-GAS AVAILABILITY'!R503)</f>
        <v>13.811025899280576</v>
      </c>
    </row>
    <row r="505" spans="1:29" ht="15.75" x14ac:dyDescent="0.25">
      <c r="A505" s="13">
        <v>56645</v>
      </c>
      <c r="B505" s="10">
        <f>CHOOSE(CONTROL!$C$42, 14.8631, 14.8631) * CHOOSE(CONTROL!$C$21, $C$9, 100%, $E$9)</f>
        <v>14.863099999999999</v>
      </c>
      <c r="C505" s="10">
        <f>CHOOSE(CONTROL!$C$42, 14.868, 14.868) * CHOOSE(CONTROL!$C$21, $C$9, 100%, $E$9)</f>
        <v>14.868</v>
      </c>
      <c r="D505" s="10">
        <f>CHOOSE(CONTROL!$C$42, 14.9182, 14.9182) * CHOOSE(CONTROL!$C$21, $C$9, 100%, $E$9)</f>
        <v>14.918200000000001</v>
      </c>
      <c r="E505" s="10">
        <f>CHOOSE(CONTROL!$C$42, 14.952, 14.952) * CHOOSE(CONTROL!$C$21, $C$9, 100%, $E$9)</f>
        <v>14.952</v>
      </c>
      <c r="F505" s="10">
        <f>CHOOSE(CONTROL!$C$42, 14.8284, 14.8284)*CHOOSE(CONTROL!$C$21, $C$9, 100%, $E$9)</f>
        <v>14.8284</v>
      </c>
      <c r="G505" s="10">
        <f>CHOOSE(CONTROL!$C$42, 14.846, 14.846)*CHOOSE(CONTROL!$C$21, $C$9, 100%, $E$9)</f>
        <v>14.846</v>
      </c>
      <c r="H505" s="10">
        <f>CHOOSE(CONTROL!$C$42, 14.9412, 14.9412) * CHOOSE(CONTROL!$C$21, $C$9, 100%, $E$9)</f>
        <v>14.9412</v>
      </c>
      <c r="I505" s="10">
        <f>CHOOSE(CONTROL!$C$42, 14.837, 14.837)* CHOOSE(CONTROL!$C$21, $C$9, 100%, $E$9)</f>
        <v>14.837</v>
      </c>
      <c r="J505" s="10">
        <f>CHOOSE(CONTROL!$C$42, 14.8214, 14.8214)* CHOOSE(CONTROL!$C$21, $C$9, 100%, $E$9)</f>
        <v>14.821400000000001</v>
      </c>
      <c r="K505" s="54">
        <f>CHOOSE(CONTROL!$C$42, 14.8331, 14.8331) * CHOOSE(CONTROL!$C$21, $C$9, 100%, $E$9)</f>
        <v>14.8331</v>
      </c>
      <c r="L505" s="10">
        <f>CHOOSE(CONTROL!$C$42, 15.5282, 15.5282) * CHOOSE(CONTROL!$C$21, $C$9, 100%, $E$9)</f>
        <v>15.5282</v>
      </c>
      <c r="M505" s="10">
        <f>CHOOSE(CONTROL!$C$42, 14.6857, 14.6857) * CHOOSE(CONTROL!$C$21, $C$9, 100%, $E$9)</f>
        <v>14.685700000000001</v>
      </c>
      <c r="N505" s="10">
        <f>CHOOSE(CONTROL!$C$42, 14.7031, 14.7031) * CHOOSE(CONTROL!$C$21, $C$9, 100%, $E$9)</f>
        <v>14.703099999999999</v>
      </c>
      <c r="O505" s="10">
        <f>CHOOSE(CONTROL!$C$42, 14.8043, 14.8043) * CHOOSE(CONTROL!$C$21, $C$9, 100%, $E$9)</f>
        <v>14.8043</v>
      </c>
      <c r="P505" s="10">
        <f>CHOOSE(CONTROL!$C$42, 14.7011, 14.7011) * CHOOSE(CONTROL!$C$21, $C$9, 100%, $E$9)</f>
        <v>14.7011</v>
      </c>
      <c r="Q505" s="10">
        <f>CHOOSE(CONTROL!$C$42, 15.3996, 15.3996) * CHOOSE(CONTROL!$C$21, $C$9, 100%, $E$9)</f>
        <v>15.3996</v>
      </c>
      <c r="R505" s="10">
        <f>CHOOSE(CONTROL!$C$42, 16.0251, 16.0251) * CHOOSE(CONTROL!$C$21, $C$9, 100%, $E$9)</f>
        <v>16.025099999999998</v>
      </c>
      <c r="S505" s="10">
        <f>CHOOSE(CONTROL!$C$42, 14.4314, 14.4314) * CHOOSE(CONTROL!$C$21, $C$9, 100%, $E$9)</f>
        <v>14.4314</v>
      </c>
      <c r="T505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505" s="58">
        <f>(1000*CHOOSE(CONTROL!$C$42, 695, 695)*CHOOSE(CONTROL!$C$42, 0.5599, 0.5599)*CHOOSE(CONTROL!$C$42, 31, 31))/1000000</f>
        <v>12.063045499999998</v>
      </c>
      <c r="V505" s="58">
        <f>(1000*CHOOSE(CONTROL!$C$42, 500, 500)*CHOOSE(CONTROL!$C$42, 0.275, 0.275)*CHOOSE(CONTROL!$C$42, 31, 31))/1000000</f>
        <v>4.2625000000000002</v>
      </c>
      <c r="W505" s="58">
        <f>(1000*CHOOSE(CONTROL!$C$42, 0.1146, 0.1146)*CHOOSE(CONTROL!$C$42, 121.5, 121.5)*CHOOSE(CONTROL!$C$42, 31, 31))/1000000</f>
        <v>0.43164089999999994</v>
      </c>
      <c r="X505" s="58">
        <f>(31*0.1790888*100000/1000000)+(31*0.2374*100000/1000000)</f>
        <v>1.2911152800000001</v>
      </c>
      <c r="Y505" s="58"/>
      <c r="Z505" s="10"/>
      <c r="AA505" s="57"/>
      <c r="AB505" s="51">
        <f>(B505*122.58+C505*297.941+D505*89.177+E505*40.302+F505*40+G505*160+H505*0+I505*100+J505*300)/(122.58+297.941+89.177+40.302+0+40+160+100+300)</f>
        <v>14.855023835999999</v>
      </c>
      <c r="AC505" s="27">
        <f>(M505*'RAP TEMPLATE-GAS AVAILABILITY'!O504+N505*'RAP TEMPLATE-GAS AVAILABILITY'!P504+O505*'RAP TEMPLATE-GAS AVAILABILITY'!Q504+P505*'RAP TEMPLATE-GAS AVAILABILITY'!R504)/('RAP TEMPLATE-GAS AVAILABILITY'!O504+'RAP TEMPLATE-GAS AVAILABILITY'!P504+'RAP TEMPLATE-GAS AVAILABILITY'!Q504+'RAP TEMPLATE-GAS AVAILABILITY'!R504)</f>
        <v>14.742671223021585</v>
      </c>
    </row>
    <row r="506" spans="1:29" ht="15.75" x14ac:dyDescent="0.25">
      <c r="A506" s="13">
        <v>56673</v>
      </c>
      <c r="B506" s="10">
        <f>CHOOSE(CONTROL!$C$42, 15.1276, 15.1276) * CHOOSE(CONTROL!$C$21, $C$9, 100%, $E$9)</f>
        <v>15.127599999999999</v>
      </c>
      <c r="C506" s="10">
        <f>CHOOSE(CONTROL!$C$42, 15.1326, 15.1326) * CHOOSE(CONTROL!$C$21, $C$9, 100%, $E$9)</f>
        <v>15.1326</v>
      </c>
      <c r="D506" s="10">
        <f>CHOOSE(CONTROL!$C$42, 15.2497, 15.2497) * CHOOSE(CONTROL!$C$21, $C$9, 100%, $E$9)</f>
        <v>15.249700000000001</v>
      </c>
      <c r="E506" s="10">
        <f>CHOOSE(CONTROL!$C$42, 15.2835, 15.2835) * CHOOSE(CONTROL!$C$21, $C$9, 100%, $E$9)</f>
        <v>15.2835</v>
      </c>
      <c r="F506" s="10">
        <f>CHOOSE(CONTROL!$C$42, 15.2052, 15.2052)*CHOOSE(CONTROL!$C$21, $C$9, 100%, $E$9)</f>
        <v>15.2052</v>
      </c>
      <c r="G506" s="10">
        <f>CHOOSE(CONTROL!$C$42, 15.2271, 15.2271)*CHOOSE(CONTROL!$C$21, $C$9, 100%, $E$9)</f>
        <v>15.2271</v>
      </c>
      <c r="H506" s="10">
        <f>CHOOSE(CONTROL!$C$42, 15.2727, 15.2727) * CHOOSE(CONTROL!$C$21, $C$9, 100%, $E$9)</f>
        <v>15.2727</v>
      </c>
      <c r="I506" s="10">
        <f>CHOOSE(CONTROL!$C$42, 15.1633, 15.1633)* CHOOSE(CONTROL!$C$21, $C$9, 100%, $E$9)</f>
        <v>15.1633</v>
      </c>
      <c r="J506" s="10">
        <f>CHOOSE(CONTROL!$C$42, 15.1982, 15.1982)* CHOOSE(CONTROL!$C$21, $C$9, 100%, $E$9)</f>
        <v>15.1982</v>
      </c>
      <c r="K506" s="54">
        <f>CHOOSE(CONTROL!$C$42, 15.1594, 15.1594) * CHOOSE(CONTROL!$C$21, $C$9, 100%, $E$9)</f>
        <v>15.1594</v>
      </c>
      <c r="L506" s="10">
        <f>CHOOSE(CONTROL!$C$42, 15.8597, 15.8597) * CHOOSE(CONTROL!$C$21, $C$9, 100%, $E$9)</f>
        <v>15.8597</v>
      </c>
      <c r="M506" s="10">
        <f>CHOOSE(CONTROL!$C$42, 15.0587, 15.0587) * CHOOSE(CONTROL!$C$21, $C$9, 100%, $E$9)</f>
        <v>15.0587</v>
      </c>
      <c r="N506" s="10">
        <f>CHOOSE(CONTROL!$C$42, 15.0803, 15.0803) * CHOOSE(CONTROL!$C$21, $C$9, 100%, $E$9)</f>
        <v>15.080299999999999</v>
      </c>
      <c r="O506" s="10">
        <f>CHOOSE(CONTROL!$C$42, 15.1324, 15.1324) * CHOOSE(CONTROL!$C$21, $C$9, 100%, $E$9)</f>
        <v>15.132400000000001</v>
      </c>
      <c r="P506" s="10">
        <f>CHOOSE(CONTROL!$C$42, 15.0241, 15.0241) * CHOOSE(CONTROL!$C$21, $C$9, 100%, $E$9)</f>
        <v>15.024100000000001</v>
      </c>
      <c r="Q506" s="10">
        <f>CHOOSE(CONTROL!$C$42, 15.7277, 15.7277) * CHOOSE(CONTROL!$C$21, $C$9, 100%, $E$9)</f>
        <v>15.7277</v>
      </c>
      <c r="R506" s="10">
        <f>CHOOSE(CONTROL!$C$42, 16.354, 16.354) * CHOOSE(CONTROL!$C$21, $C$9, 100%, $E$9)</f>
        <v>16.353999999999999</v>
      </c>
      <c r="S506" s="10">
        <f>CHOOSE(CONTROL!$C$42, 14.6883, 14.6883) * CHOOSE(CONTROL!$C$21, $C$9, 100%, $E$9)</f>
        <v>14.6883</v>
      </c>
      <c r="T506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506" s="58">
        <f>(1000*CHOOSE(CONTROL!$C$42, 695, 695)*CHOOSE(CONTROL!$C$42, 0.5599, 0.5599)*CHOOSE(CONTROL!$C$42, 28, 28))/1000000</f>
        <v>10.895653999999999</v>
      </c>
      <c r="V506" s="58">
        <f>(1000*CHOOSE(CONTROL!$C$42, 500, 500)*CHOOSE(CONTROL!$C$42, 0.275, 0.275)*CHOOSE(CONTROL!$C$42, 28, 28))/1000000</f>
        <v>3.85</v>
      </c>
      <c r="W506" s="58">
        <f>(1000*CHOOSE(CONTROL!$C$42, 0.1146, 0.1146)*CHOOSE(CONTROL!$C$42, 121.5, 121.5)*CHOOSE(CONTROL!$C$42, 28, 28))/1000000</f>
        <v>0.38986920000000003</v>
      </c>
      <c r="X506" s="58">
        <f>(28*0.1790888*100000/1000000)+(28*0.2374*100000/1000000)</f>
        <v>1.16616864</v>
      </c>
      <c r="Y506" s="58"/>
      <c r="Z506" s="10"/>
      <c r="AA506" s="57"/>
      <c r="AB506" s="51">
        <f>(B506*122.58+C506*297.941+D506*89.177+E506*40.302+F506*40+G506*160+H506*0+I506*100+J506*300)/(122.58+297.941+89.177+40.302+0+40+160+100+300)</f>
        <v>15.181891563913045</v>
      </c>
      <c r="AC506" s="27">
        <f>(M506*'RAP TEMPLATE-GAS AVAILABILITY'!O505+N506*'RAP TEMPLATE-GAS AVAILABILITY'!P505+O506*'RAP TEMPLATE-GAS AVAILABILITY'!Q505+P506*'RAP TEMPLATE-GAS AVAILABILITY'!R505)/('RAP TEMPLATE-GAS AVAILABILITY'!O505+'RAP TEMPLATE-GAS AVAILABILITY'!P505+'RAP TEMPLATE-GAS AVAILABILITY'!Q505+'RAP TEMPLATE-GAS AVAILABILITY'!R505)</f>
        <v>15.088368345323742</v>
      </c>
    </row>
    <row r="507" spans="1:29" ht="15.75" x14ac:dyDescent="0.25">
      <c r="A507" s="13">
        <v>56704</v>
      </c>
      <c r="B507" s="10">
        <f>CHOOSE(CONTROL!$C$42, 14.6982, 14.6982) * CHOOSE(CONTROL!$C$21, $C$9, 100%, $E$9)</f>
        <v>14.6982</v>
      </c>
      <c r="C507" s="10">
        <f>CHOOSE(CONTROL!$C$42, 14.7032, 14.7032) * CHOOSE(CONTROL!$C$21, $C$9, 100%, $E$9)</f>
        <v>14.703200000000001</v>
      </c>
      <c r="D507" s="10">
        <f>CHOOSE(CONTROL!$C$42, 14.7946, 14.7946) * CHOOSE(CONTROL!$C$21, $C$9, 100%, $E$9)</f>
        <v>14.794600000000001</v>
      </c>
      <c r="E507" s="10">
        <f>CHOOSE(CONTROL!$C$42, 14.8283, 14.8283) * CHOOSE(CONTROL!$C$21, $C$9, 100%, $E$9)</f>
        <v>14.8283</v>
      </c>
      <c r="F507" s="10">
        <f>CHOOSE(CONTROL!$C$42, 14.7281, 14.7281)*CHOOSE(CONTROL!$C$21, $C$9, 100%, $E$9)</f>
        <v>14.7281</v>
      </c>
      <c r="G507" s="10">
        <f>CHOOSE(CONTROL!$C$42, 14.7476, 14.7476)*CHOOSE(CONTROL!$C$21, $C$9, 100%, $E$9)</f>
        <v>14.7476</v>
      </c>
      <c r="H507" s="10">
        <f>CHOOSE(CONTROL!$C$42, 14.8175, 14.8175) * CHOOSE(CONTROL!$C$21, $C$9, 100%, $E$9)</f>
        <v>14.817500000000001</v>
      </c>
      <c r="I507" s="10">
        <f>CHOOSE(CONTROL!$C$42, 14.721, 14.721)* CHOOSE(CONTROL!$C$21, $C$9, 100%, $E$9)</f>
        <v>14.721</v>
      </c>
      <c r="J507" s="10">
        <f>CHOOSE(CONTROL!$C$42, 14.7211, 14.7211)* CHOOSE(CONTROL!$C$21, $C$9, 100%, $E$9)</f>
        <v>14.7211</v>
      </c>
      <c r="K507" s="54">
        <f>CHOOSE(CONTROL!$C$42, 14.7171, 14.7171) * CHOOSE(CONTROL!$C$21, $C$9, 100%, $E$9)</f>
        <v>14.7171</v>
      </c>
      <c r="L507" s="10">
        <f>CHOOSE(CONTROL!$C$42, 15.4045, 15.4045) * CHOOSE(CONTROL!$C$21, $C$9, 100%, $E$9)</f>
        <v>15.404500000000001</v>
      </c>
      <c r="M507" s="10">
        <f>CHOOSE(CONTROL!$C$42, 14.5863, 14.5863) * CHOOSE(CONTROL!$C$21, $C$9, 100%, $E$9)</f>
        <v>14.5863</v>
      </c>
      <c r="N507" s="10">
        <f>CHOOSE(CONTROL!$C$42, 14.6056, 14.6056) * CHOOSE(CONTROL!$C$21, $C$9, 100%, $E$9)</f>
        <v>14.605600000000001</v>
      </c>
      <c r="O507" s="10">
        <f>CHOOSE(CONTROL!$C$42, 14.6818, 14.6818) * CHOOSE(CONTROL!$C$21, $C$9, 100%, $E$9)</f>
        <v>14.681800000000001</v>
      </c>
      <c r="P507" s="10">
        <f>CHOOSE(CONTROL!$C$42, 14.5863, 14.5863) * CHOOSE(CONTROL!$C$21, $C$9, 100%, $E$9)</f>
        <v>14.5863</v>
      </c>
      <c r="Q507" s="10">
        <f>CHOOSE(CONTROL!$C$42, 15.2771, 15.2771) * CHOOSE(CONTROL!$C$21, $C$9, 100%, $E$9)</f>
        <v>15.277100000000001</v>
      </c>
      <c r="R507" s="10">
        <f>CHOOSE(CONTROL!$C$42, 15.9023, 15.9023) * CHOOSE(CONTROL!$C$21, $C$9, 100%, $E$9)</f>
        <v>15.9023</v>
      </c>
      <c r="S507" s="10">
        <f>CHOOSE(CONTROL!$C$42, 14.2713, 14.2713) * CHOOSE(CONTROL!$C$21, $C$9, 100%, $E$9)</f>
        <v>14.2713</v>
      </c>
      <c r="T507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07" s="58">
        <f>(1000*CHOOSE(CONTROL!$C$42, 695, 695)*CHOOSE(CONTROL!$C$42, 0.5599, 0.5599)*CHOOSE(CONTROL!$C$42, 31, 31))/1000000</f>
        <v>12.063045499999998</v>
      </c>
      <c r="V507" s="58">
        <f>(1000*CHOOSE(CONTROL!$C$42, 500, 500)*CHOOSE(CONTROL!$C$42, 0.275, 0.275)*CHOOSE(CONTROL!$C$42, 31, 31))/1000000</f>
        <v>4.2625000000000002</v>
      </c>
      <c r="W507" s="58">
        <f>(1000*CHOOSE(CONTROL!$C$42, 0.1146, 0.1146)*CHOOSE(CONTROL!$C$42, 121.5, 121.5)*CHOOSE(CONTROL!$C$42, 31, 31))/1000000</f>
        <v>0.43164089999999994</v>
      </c>
      <c r="X507" s="58">
        <f>(31*0.1790888*100000/1000000)+(31*0.2374*100000/1000000)</f>
        <v>1.2911152800000001</v>
      </c>
      <c r="Y507" s="58"/>
      <c r="Z507" s="10"/>
      <c r="AA507" s="57"/>
      <c r="AB507" s="51">
        <f>(B507*122.58+C507*297.941+D507*89.177+E507*40.302+F507*40+G507*160+H507*0+I507*100+J507*300)/(122.58+297.941+89.177+40.302+0+40+160+100+300)</f>
        <v>14.727399702608695</v>
      </c>
      <c r="AC507" s="27">
        <f>(M507*'RAP TEMPLATE-GAS AVAILABILITY'!O506+N507*'RAP TEMPLATE-GAS AVAILABILITY'!P506+O507*'RAP TEMPLATE-GAS AVAILABILITY'!Q506+P507*'RAP TEMPLATE-GAS AVAILABILITY'!R506)/('RAP TEMPLATE-GAS AVAILABILITY'!O506+'RAP TEMPLATE-GAS AVAILABILITY'!P506+'RAP TEMPLATE-GAS AVAILABILITY'!Q506+'RAP TEMPLATE-GAS AVAILABILITY'!R506)</f>
        <v>14.630694964028775</v>
      </c>
    </row>
    <row r="508" spans="1:29" ht="15.75" x14ac:dyDescent="0.25">
      <c r="A508" s="13">
        <v>56734</v>
      </c>
      <c r="B508" s="10">
        <f>CHOOSE(CONTROL!$C$42, 14.655, 14.655) * CHOOSE(CONTROL!$C$21, $C$9, 100%, $E$9)</f>
        <v>14.654999999999999</v>
      </c>
      <c r="C508" s="10">
        <f>CHOOSE(CONTROL!$C$42, 14.6594, 14.6594) * CHOOSE(CONTROL!$C$21, $C$9, 100%, $E$9)</f>
        <v>14.6594</v>
      </c>
      <c r="D508" s="10">
        <f>CHOOSE(CONTROL!$C$42, 14.841, 14.841) * CHOOSE(CONTROL!$C$21, $C$9, 100%, $E$9)</f>
        <v>14.840999999999999</v>
      </c>
      <c r="E508" s="10">
        <f>CHOOSE(CONTROL!$C$42, 14.8728, 14.8728) * CHOOSE(CONTROL!$C$21, $C$9, 100%, $E$9)</f>
        <v>14.8728</v>
      </c>
      <c r="F508" s="10">
        <f>CHOOSE(CONTROL!$C$42, 14.6433, 14.6433)*CHOOSE(CONTROL!$C$21, $C$9, 100%, $E$9)</f>
        <v>14.6433</v>
      </c>
      <c r="G508" s="10">
        <f>CHOOSE(CONTROL!$C$42, 14.6613, 14.6613)*CHOOSE(CONTROL!$C$21, $C$9, 100%, $E$9)</f>
        <v>14.661300000000001</v>
      </c>
      <c r="H508" s="10">
        <f>CHOOSE(CONTROL!$C$42, 14.8626, 14.8626) * CHOOSE(CONTROL!$C$21, $C$9, 100%, $E$9)</f>
        <v>14.8626</v>
      </c>
      <c r="I508" s="10">
        <f>CHOOSE(CONTROL!$C$42, 14.6333, 14.6333)* CHOOSE(CONTROL!$C$21, $C$9, 100%, $E$9)</f>
        <v>14.6333</v>
      </c>
      <c r="J508" s="10">
        <f>CHOOSE(CONTROL!$C$42, 14.6363, 14.6363)* CHOOSE(CONTROL!$C$21, $C$9, 100%, $E$9)</f>
        <v>14.6363</v>
      </c>
      <c r="K508" s="54">
        <f>CHOOSE(CONTROL!$C$42, 14.6294, 14.6294) * CHOOSE(CONTROL!$C$21, $C$9, 100%, $E$9)</f>
        <v>14.6294</v>
      </c>
      <c r="L508" s="10">
        <f>CHOOSE(CONTROL!$C$42, 15.4496, 15.4496) * CHOOSE(CONTROL!$C$21, $C$9, 100%, $E$9)</f>
        <v>15.4496</v>
      </c>
      <c r="M508" s="10">
        <f>CHOOSE(CONTROL!$C$42, 14.5024, 14.5024) * CHOOSE(CONTROL!$C$21, $C$9, 100%, $E$9)</f>
        <v>14.5024</v>
      </c>
      <c r="N508" s="10">
        <f>CHOOSE(CONTROL!$C$42, 14.5202, 14.5202) * CHOOSE(CONTROL!$C$21, $C$9, 100%, $E$9)</f>
        <v>14.520200000000001</v>
      </c>
      <c r="O508" s="10">
        <f>CHOOSE(CONTROL!$C$42, 14.7264, 14.7264) * CHOOSE(CONTROL!$C$21, $C$9, 100%, $E$9)</f>
        <v>14.7264</v>
      </c>
      <c r="P508" s="10">
        <f>CHOOSE(CONTROL!$C$42, 14.4995, 14.4995) * CHOOSE(CONTROL!$C$21, $C$9, 100%, $E$9)</f>
        <v>14.499499999999999</v>
      </c>
      <c r="Q508" s="10">
        <f>CHOOSE(CONTROL!$C$42, 15.3217, 15.3217) * CHOOSE(CONTROL!$C$21, $C$9, 100%, $E$9)</f>
        <v>15.3217</v>
      </c>
      <c r="R508" s="10">
        <f>CHOOSE(CONTROL!$C$42, 15.9471, 15.9471) * CHOOSE(CONTROL!$C$21, $C$9, 100%, $E$9)</f>
        <v>15.947100000000001</v>
      </c>
      <c r="S508" s="10">
        <f>CHOOSE(CONTROL!$C$42, 14.2286, 14.2286) * CHOOSE(CONTROL!$C$21, $C$9, 100%, $E$9)</f>
        <v>14.2286</v>
      </c>
      <c r="T508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08" s="58">
        <f>(1000*CHOOSE(CONTROL!$C$42, 695, 695)*CHOOSE(CONTROL!$C$42, 0.5599, 0.5599)*CHOOSE(CONTROL!$C$42, 30, 30))/1000000</f>
        <v>11.673914999999997</v>
      </c>
      <c r="V508" s="58">
        <f>(1000*CHOOSE(CONTROL!$C$42, 500, 500)*CHOOSE(CONTROL!$C$42, 0.275, 0.275)*CHOOSE(CONTROL!$C$42, 30, 30))/1000000</f>
        <v>4.125</v>
      </c>
      <c r="W508" s="58">
        <f>(1000*CHOOSE(CONTROL!$C$42, 0.1146, 0.1146)*CHOOSE(CONTROL!$C$42, 121.5, 121.5)*CHOOSE(CONTROL!$C$42, 30, 30))/1000000</f>
        <v>0.417717</v>
      </c>
      <c r="X508" s="58">
        <f>(30*0.1790888*245000/1000000)+(30*0.2374*100000/1000000)</f>
        <v>2.0285026799999999</v>
      </c>
      <c r="Y508" s="58"/>
      <c r="Z508" s="10"/>
      <c r="AA508" s="57"/>
      <c r="AB508" s="51">
        <f>(B508*141.293+C508*267.993+D508*115.016+E508*89.698+F508*40+G508*185+H508*0+I508*100+J508*300)/(141.293+267.993+115.016+89.698+0+40+185+100+300)</f>
        <v>14.683269466989508</v>
      </c>
      <c r="AC508" s="27">
        <f>(M508*'RAP TEMPLATE-GAS AVAILABILITY'!O507+N508*'RAP TEMPLATE-GAS AVAILABILITY'!P507+O508*'RAP TEMPLATE-GAS AVAILABILITY'!Q507+P508*'RAP TEMPLATE-GAS AVAILABILITY'!R507)/('RAP TEMPLATE-GAS AVAILABILITY'!O507+'RAP TEMPLATE-GAS AVAILABILITY'!P507+'RAP TEMPLATE-GAS AVAILABILITY'!Q507+'RAP TEMPLATE-GAS AVAILABILITY'!R507)</f>
        <v>14.568929496402879</v>
      </c>
    </row>
    <row r="509" spans="1:29" ht="15.75" x14ac:dyDescent="0.25">
      <c r="A509" s="13">
        <v>56765</v>
      </c>
      <c r="B509" s="10">
        <f>CHOOSE(CONTROL!$C$42, 14.7861, 14.7861) * CHOOSE(CONTROL!$C$21, $C$9, 100%, $E$9)</f>
        <v>14.786099999999999</v>
      </c>
      <c r="C509" s="10">
        <f>CHOOSE(CONTROL!$C$42, 14.794, 14.794) * CHOOSE(CONTROL!$C$21, $C$9, 100%, $E$9)</f>
        <v>14.794</v>
      </c>
      <c r="D509" s="10">
        <f>CHOOSE(CONTROL!$C$42, 14.9725, 14.9725) * CHOOSE(CONTROL!$C$21, $C$9, 100%, $E$9)</f>
        <v>14.9725</v>
      </c>
      <c r="E509" s="10">
        <f>CHOOSE(CONTROL!$C$42, 15.0037, 15.0037) * CHOOSE(CONTROL!$C$21, $C$9, 100%, $E$9)</f>
        <v>15.0037</v>
      </c>
      <c r="F509" s="10">
        <f>CHOOSE(CONTROL!$C$42, 14.7723, 14.7723)*CHOOSE(CONTROL!$C$21, $C$9, 100%, $E$9)</f>
        <v>14.7723</v>
      </c>
      <c r="G509" s="10">
        <f>CHOOSE(CONTROL!$C$42, 14.7905, 14.7905)*CHOOSE(CONTROL!$C$21, $C$9, 100%, $E$9)</f>
        <v>14.7905</v>
      </c>
      <c r="H509" s="10">
        <f>CHOOSE(CONTROL!$C$42, 14.9923, 14.9923) * CHOOSE(CONTROL!$C$21, $C$9, 100%, $E$9)</f>
        <v>14.9923</v>
      </c>
      <c r="I509" s="10">
        <f>CHOOSE(CONTROL!$C$42, 14.763, 14.763)* CHOOSE(CONTROL!$C$21, $C$9, 100%, $E$9)</f>
        <v>14.763</v>
      </c>
      <c r="J509" s="10">
        <f>CHOOSE(CONTROL!$C$42, 14.7653, 14.7653)* CHOOSE(CONTROL!$C$21, $C$9, 100%, $E$9)</f>
        <v>14.7653</v>
      </c>
      <c r="K509" s="54">
        <f>CHOOSE(CONTROL!$C$42, 14.7591, 14.7591) * CHOOSE(CONTROL!$C$21, $C$9, 100%, $E$9)</f>
        <v>14.7591</v>
      </c>
      <c r="L509" s="10">
        <f>CHOOSE(CONTROL!$C$42, 15.5793, 15.5793) * CHOOSE(CONTROL!$C$21, $C$9, 100%, $E$9)</f>
        <v>15.5793</v>
      </c>
      <c r="M509" s="10">
        <f>CHOOSE(CONTROL!$C$42, 14.6301, 14.6301) * CHOOSE(CONTROL!$C$21, $C$9, 100%, $E$9)</f>
        <v>14.630100000000001</v>
      </c>
      <c r="N509" s="10">
        <f>CHOOSE(CONTROL!$C$42, 14.6481, 14.6481) * CHOOSE(CONTROL!$C$21, $C$9, 100%, $E$9)</f>
        <v>14.648099999999999</v>
      </c>
      <c r="O509" s="10">
        <f>CHOOSE(CONTROL!$C$42, 14.8548, 14.8548) * CHOOSE(CONTROL!$C$21, $C$9, 100%, $E$9)</f>
        <v>14.854799999999999</v>
      </c>
      <c r="P509" s="10">
        <f>CHOOSE(CONTROL!$C$42, 14.6278, 14.6278) * CHOOSE(CONTROL!$C$21, $C$9, 100%, $E$9)</f>
        <v>14.627800000000001</v>
      </c>
      <c r="Q509" s="10">
        <f>CHOOSE(CONTROL!$C$42, 15.4501, 15.4501) * CHOOSE(CONTROL!$C$21, $C$9, 100%, $E$9)</f>
        <v>15.450100000000001</v>
      </c>
      <c r="R509" s="10">
        <f>CHOOSE(CONTROL!$C$42, 16.0758, 16.0758) * CHOOSE(CONTROL!$C$21, $C$9, 100%, $E$9)</f>
        <v>16.075800000000001</v>
      </c>
      <c r="S509" s="10">
        <f>CHOOSE(CONTROL!$C$42, 14.3545, 14.3545) * CHOOSE(CONTROL!$C$21, $C$9, 100%, $E$9)</f>
        <v>14.3545</v>
      </c>
      <c r="T509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09" s="58">
        <f>(1000*CHOOSE(CONTROL!$C$42, 695, 695)*CHOOSE(CONTROL!$C$42, 0.5599, 0.5599)*CHOOSE(CONTROL!$C$42, 31, 31))/1000000</f>
        <v>12.063045499999998</v>
      </c>
      <c r="V509" s="58">
        <f>(1000*CHOOSE(CONTROL!$C$42, 500, 500)*CHOOSE(CONTROL!$C$42, 0.275, 0.275)*CHOOSE(CONTROL!$C$42, 31, 31))/1000000</f>
        <v>4.2625000000000002</v>
      </c>
      <c r="W509" s="58">
        <f>(1000*CHOOSE(CONTROL!$C$42, 0.1146, 0.1146)*CHOOSE(CONTROL!$C$42, 121.5, 121.5)*CHOOSE(CONTROL!$C$42, 31, 31))/1000000</f>
        <v>0.43164089999999994</v>
      </c>
      <c r="X509" s="58">
        <f>(31*0.1790888*245000/1000000)+(31*0.2374*100000/1000000)</f>
        <v>2.0961194359999999</v>
      </c>
      <c r="Y509" s="58"/>
      <c r="Z509" s="10"/>
      <c r="AA509" s="57"/>
      <c r="AB509" s="51">
        <f>(B509*194.205+C509*267.466+D509*133.845+E509*53.484+F509*40+G509*185+H509*0+I509*100+J509*300)/(194.205+267.466+133.845+53.484+0+40+185+100+300)</f>
        <v>14.809971120722137</v>
      </c>
      <c r="AC509" s="27">
        <f>(M509*'RAP TEMPLATE-GAS AVAILABILITY'!O508+N509*'RAP TEMPLATE-GAS AVAILABILITY'!P508+O509*'RAP TEMPLATE-GAS AVAILABILITY'!Q508+P509*'RAP TEMPLATE-GAS AVAILABILITY'!R508)/('RAP TEMPLATE-GAS AVAILABILITY'!O508+'RAP TEMPLATE-GAS AVAILABILITY'!P508+'RAP TEMPLATE-GAS AVAILABILITY'!Q508+'RAP TEMPLATE-GAS AVAILABILITY'!R508)</f>
        <v>14.696958273381295</v>
      </c>
    </row>
    <row r="510" spans="1:29" ht="15.75" x14ac:dyDescent="0.25">
      <c r="A510" s="13">
        <v>56795</v>
      </c>
      <c r="B510" s="10">
        <f>CHOOSE(CONTROL!$C$42, 15.2054, 15.2054) * CHOOSE(CONTROL!$C$21, $C$9, 100%, $E$9)</f>
        <v>15.205399999999999</v>
      </c>
      <c r="C510" s="10">
        <f>CHOOSE(CONTROL!$C$42, 15.2133, 15.2133) * CHOOSE(CONTROL!$C$21, $C$9, 100%, $E$9)</f>
        <v>15.2133</v>
      </c>
      <c r="D510" s="10">
        <f>CHOOSE(CONTROL!$C$42, 15.3918, 15.3918) * CHOOSE(CONTROL!$C$21, $C$9, 100%, $E$9)</f>
        <v>15.3918</v>
      </c>
      <c r="E510" s="10">
        <f>CHOOSE(CONTROL!$C$42, 15.423, 15.423) * CHOOSE(CONTROL!$C$21, $C$9, 100%, $E$9)</f>
        <v>15.423</v>
      </c>
      <c r="F510" s="10">
        <f>CHOOSE(CONTROL!$C$42, 15.1918, 15.1918)*CHOOSE(CONTROL!$C$21, $C$9, 100%, $E$9)</f>
        <v>15.191800000000001</v>
      </c>
      <c r="G510" s="10">
        <f>CHOOSE(CONTROL!$C$42, 15.21, 15.21)*CHOOSE(CONTROL!$C$21, $C$9, 100%, $E$9)</f>
        <v>15.21</v>
      </c>
      <c r="H510" s="10">
        <f>CHOOSE(CONTROL!$C$42, 15.4116, 15.4116) * CHOOSE(CONTROL!$C$21, $C$9, 100%, $E$9)</f>
        <v>15.4116</v>
      </c>
      <c r="I510" s="10">
        <f>CHOOSE(CONTROL!$C$42, 15.1822, 15.1822)* CHOOSE(CONTROL!$C$21, $C$9, 100%, $E$9)</f>
        <v>15.1822</v>
      </c>
      <c r="J510" s="10">
        <f>CHOOSE(CONTROL!$C$42, 15.1848, 15.1848)* CHOOSE(CONTROL!$C$21, $C$9, 100%, $E$9)</f>
        <v>15.184799999999999</v>
      </c>
      <c r="K510" s="54">
        <f>CHOOSE(CONTROL!$C$42, 15.1783, 15.1783) * CHOOSE(CONTROL!$C$21, $C$9, 100%, $E$9)</f>
        <v>15.1783</v>
      </c>
      <c r="L510" s="10">
        <f>CHOOSE(CONTROL!$C$42, 15.9986, 15.9986) * CHOOSE(CONTROL!$C$21, $C$9, 100%, $E$9)</f>
        <v>15.9986</v>
      </c>
      <c r="M510" s="10">
        <f>CHOOSE(CONTROL!$C$42, 15.0454, 15.0454) * CHOOSE(CONTROL!$C$21, $C$9, 100%, $E$9)</f>
        <v>15.045400000000001</v>
      </c>
      <c r="N510" s="10">
        <f>CHOOSE(CONTROL!$C$42, 15.0634, 15.0634) * CHOOSE(CONTROL!$C$21, $C$9, 100%, $E$9)</f>
        <v>15.0634</v>
      </c>
      <c r="O510" s="10">
        <f>CHOOSE(CONTROL!$C$42, 15.2699, 15.2699) * CHOOSE(CONTROL!$C$21, $C$9, 100%, $E$9)</f>
        <v>15.2699</v>
      </c>
      <c r="P510" s="10">
        <f>CHOOSE(CONTROL!$C$42, 15.0429, 15.0429) * CHOOSE(CONTROL!$C$21, $C$9, 100%, $E$9)</f>
        <v>15.042899999999999</v>
      </c>
      <c r="Q510" s="10">
        <f>CHOOSE(CONTROL!$C$42, 15.8652, 15.8652) * CHOOSE(CONTROL!$C$21, $C$9, 100%, $E$9)</f>
        <v>15.8652</v>
      </c>
      <c r="R510" s="10">
        <f>CHOOSE(CONTROL!$C$42, 16.4918, 16.4918) * CHOOSE(CONTROL!$C$21, $C$9, 100%, $E$9)</f>
        <v>16.491800000000001</v>
      </c>
      <c r="S510" s="10">
        <f>CHOOSE(CONTROL!$C$42, 14.7617, 14.7617) * CHOOSE(CONTROL!$C$21, $C$9, 100%, $E$9)</f>
        <v>14.761699999999999</v>
      </c>
      <c r="T510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10" s="58">
        <f>(1000*CHOOSE(CONTROL!$C$42, 695, 695)*CHOOSE(CONTROL!$C$42, 0.5599, 0.5599)*CHOOSE(CONTROL!$C$42, 30, 30))/1000000</f>
        <v>11.673914999999997</v>
      </c>
      <c r="V510" s="58">
        <f>(1000*CHOOSE(CONTROL!$C$42, 500, 500)*CHOOSE(CONTROL!$C$42, 0.275, 0.275)*CHOOSE(CONTROL!$C$42, 30, 30))/1000000</f>
        <v>4.125</v>
      </c>
      <c r="W510" s="58">
        <f>(1000*CHOOSE(CONTROL!$C$42, 0.1146, 0.1146)*CHOOSE(CONTROL!$C$42, 121.5, 121.5)*CHOOSE(CONTROL!$C$42, 30, 30))/1000000</f>
        <v>0.417717</v>
      </c>
      <c r="X510" s="58">
        <f>(30*0.1790888*245000/1000000)+(30*0.2374*100000/1000000)</f>
        <v>2.0285026799999999</v>
      </c>
      <c r="Y510" s="58"/>
      <c r="Z510" s="10"/>
      <c r="AA510" s="57"/>
      <c r="AB510" s="51">
        <f>(B510*194.205+C510*267.466+D510*133.845+E510*53.484+F510*40+G510*185+H510*0+I510*100+J510*300)/(194.205+267.466+133.845+53.484+0+40+185+100+300)</f>
        <v>15.229345689010989</v>
      </c>
      <c r="AC510" s="27">
        <f>(M510*'RAP TEMPLATE-GAS AVAILABILITY'!O509+N510*'RAP TEMPLATE-GAS AVAILABILITY'!P509+O510*'RAP TEMPLATE-GAS AVAILABILITY'!Q509+P510*'RAP TEMPLATE-GAS AVAILABILITY'!R509)/('RAP TEMPLATE-GAS AVAILABILITY'!O509+'RAP TEMPLATE-GAS AVAILABILITY'!P509+'RAP TEMPLATE-GAS AVAILABILITY'!Q509+'RAP TEMPLATE-GAS AVAILABILITY'!R509)</f>
        <v>15.112173381294966</v>
      </c>
    </row>
    <row r="511" spans="1:29" ht="15.75" x14ac:dyDescent="0.25">
      <c r="A511" s="13">
        <v>56826</v>
      </c>
      <c r="B511" s="10">
        <f>CHOOSE(CONTROL!$C$42, 14.9138, 14.9138) * CHOOSE(CONTROL!$C$21, $C$9, 100%, $E$9)</f>
        <v>14.9138</v>
      </c>
      <c r="C511" s="10">
        <f>CHOOSE(CONTROL!$C$42, 14.9217, 14.9217) * CHOOSE(CONTROL!$C$21, $C$9, 100%, $E$9)</f>
        <v>14.9217</v>
      </c>
      <c r="D511" s="10">
        <f>CHOOSE(CONTROL!$C$42, 15.1002, 15.1002) * CHOOSE(CONTROL!$C$21, $C$9, 100%, $E$9)</f>
        <v>15.100199999999999</v>
      </c>
      <c r="E511" s="10">
        <f>CHOOSE(CONTROL!$C$42, 15.1314, 15.1314) * CHOOSE(CONTROL!$C$21, $C$9, 100%, $E$9)</f>
        <v>15.131399999999999</v>
      </c>
      <c r="F511" s="10">
        <f>CHOOSE(CONTROL!$C$42, 14.9005, 14.9005)*CHOOSE(CONTROL!$C$21, $C$9, 100%, $E$9)</f>
        <v>14.900499999999999</v>
      </c>
      <c r="G511" s="10">
        <f>CHOOSE(CONTROL!$C$42, 14.9188, 14.9188)*CHOOSE(CONTROL!$C$21, $C$9, 100%, $E$9)</f>
        <v>14.918799999999999</v>
      </c>
      <c r="H511" s="10">
        <f>CHOOSE(CONTROL!$C$42, 15.12, 15.12) * CHOOSE(CONTROL!$C$21, $C$9, 100%, $E$9)</f>
        <v>15.12</v>
      </c>
      <c r="I511" s="10">
        <f>CHOOSE(CONTROL!$C$42, 14.8906, 14.8906)* CHOOSE(CONTROL!$C$21, $C$9, 100%, $E$9)</f>
        <v>14.890599999999999</v>
      </c>
      <c r="J511" s="10">
        <f>CHOOSE(CONTROL!$C$42, 14.8935, 14.8935)* CHOOSE(CONTROL!$C$21, $C$9, 100%, $E$9)</f>
        <v>14.8935</v>
      </c>
      <c r="K511" s="54">
        <f>CHOOSE(CONTROL!$C$42, 14.8867, 14.8867) * CHOOSE(CONTROL!$C$21, $C$9, 100%, $E$9)</f>
        <v>14.886699999999999</v>
      </c>
      <c r="L511" s="10">
        <f>CHOOSE(CONTROL!$C$42, 15.707, 15.707) * CHOOSE(CONTROL!$C$21, $C$9, 100%, $E$9)</f>
        <v>15.707000000000001</v>
      </c>
      <c r="M511" s="10">
        <f>CHOOSE(CONTROL!$C$42, 14.757, 14.757) * CHOOSE(CONTROL!$C$21, $C$9, 100%, $E$9)</f>
        <v>14.757</v>
      </c>
      <c r="N511" s="10">
        <f>CHOOSE(CONTROL!$C$42, 14.7751, 14.7751) * CHOOSE(CONTROL!$C$21, $C$9, 100%, $E$9)</f>
        <v>14.7751</v>
      </c>
      <c r="O511" s="10">
        <f>CHOOSE(CONTROL!$C$42, 14.9812, 14.9812) * CHOOSE(CONTROL!$C$21, $C$9, 100%, $E$9)</f>
        <v>14.981199999999999</v>
      </c>
      <c r="P511" s="10">
        <f>CHOOSE(CONTROL!$C$42, 14.7542, 14.7542) * CHOOSE(CONTROL!$C$21, $C$9, 100%, $E$9)</f>
        <v>14.754200000000001</v>
      </c>
      <c r="Q511" s="10">
        <f>CHOOSE(CONTROL!$C$42, 15.5765, 15.5765) * CHOOSE(CONTROL!$C$21, $C$9, 100%, $E$9)</f>
        <v>15.576499999999999</v>
      </c>
      <c r="R511" s="10">
        <f>CHOOSE(CONTROL!$C$42, 16.2025, 16.2025) * CHOOSE(CONTROL!$C$21, $C$9, 100%, $E$9)</f>
        <v>16.202500000000001</v>
      </c>
      <c r="S511" s="10">
        <f>CHOOSE(CONTROL!$C$42, 14.4785, 14.4785) * CHOOSE(CONTROL!$C$21, $C$9, 100%, $E$9)</f>
        <v>14.4785</v>
      </c>
      <c r="T511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11" s="58">
        <f>(1000*CHOOSE(CONTROL!$C$42, 695, 695)*CHOOSE(CONTROL!$C$42, 0.5599, 0.5599)*CHOOSE(CONTROL!$C$42, 31, 31))/1000000</f>
        <v>12.063045499999998</v>
      </c>
      <c r="V511" s="58">
        <f>(1000*CHOOSE(CONTROL!$C$42, 500, 500)*CHOOSE(CONTROL!$C$42, 0.275, 0.275)*CHOOSE(CONTROL!$C$42, 31, 31))/1000000</f>
        <v>4.2625000000000002</v>
      </c>
      <c r="W511" s="58">
        <f>(1000*CHOOSE(CONTROL!$C$42, 0.1146, 0.1146)*CHOOSE(CONTROL!$C$42, 121.5, 121.5)*CHOOSE(CONTROL!$C$42, 31, 31))/1000000</f>
        <v>0.43164089999999994</v>
      </c>
      <c r="X511" s="58">
        <f>(31*0.1790888*245000/1000000)+(31*0.2374*100000/1000000)</f>
        <v>2.0961194359999999</v>
      </c>
      <c r="Y511" s="58"/>
      <c r="Z511" s="10"/>
      <c r="AA511" s="57"/>
      <c r="AB511" s="51">
        <f>(B511*194.205+C511*267.466+D511*133.845+E511*53.484+F511*40+G511*185+H511*0+I511*100+J511*300)/(194.205+267.466+133.845+53.484+0+40+185+100+300)</f>
        <v>14.93788383657771</v>
      </c>
      <c r="AC511" s="27">
        <f>(M511*'RAP TEMPLATE-GAS AVAILABILITY'!O510+N511*'RAP TEMPLATE-GAS AVAILABILITY'!P510+O511*'RAP TEMPLATE-GAS AVAILABILITY'!Q510+P511*'RAP TEMPLATE-GAS AVAILABILITY'!R510)/('RAP TEMPLATE-GAS AVAILABILITY'!O510+'RAP TEMPLATE-GAS AVAILABILITY'!P510+'RAP TEMPLATE-GAS AVAILABILITY'!Q510+'RAP TEMPLATE-GAS AVAILABILITY'!R510)</f>
        <v>14.8236690647482</v>
      </c>
    </row>
    <row r="512" spans="1:29" ht="15.75" x14ac:dyDescent="0.25">
      <c r="A512" s="13">
        <v>56857</v>
      </c>
      <c r="B512" s="10">
        <f>CHOOSE(CONTROL!$C$42, 14.1774, 14.1774) * CHOOSE(CONTROL!$C$21, $C$9, 100%, $E$9)</f>
        <v>14.1774</v>
      </c>
      <c r="C512" s="10">
        <f>CHOOSE(CONTROL!$C$42, 14.1853, 14.1853) * CHOOSE(CONTROL!$C$21, $C$9, 100%, $E$9)</f>
        <v>14.1853</v>
      </c>
      <c r="D512" s="10">
        <f>CHOOSE(CONTROL!$C$42, 14.3638, 14.3638) * CHOOSE(CONTROL!$C$21, $C$9, 100%, $E$9)</f>
        <v>14.363799999999999</v>
      </c>
      <c r="E512" s="10">
        <f>CHOOSE(CONTROL!$C$42, 14.395, 14.395) * CHOOSE(CONTROL!$C$21, $C$9, 100%, $E$9)</f>
        <v>14.395</v>
      </c>
      <c r="F512" s="10">
        <f>CHOOSE(CONTROL!$C$42, 14.164, 14.164)*CHOOSE(CONTROL!$C$21, $C$9, 100%, $E$9)</f>
        <v>14.164</v>
      </c>
      <c r="G512" s="10">
        <f>CHOOSE(CONTROL!$C$42, 14.1823, 14.1823)*CHOOSE(CONTROL!$C$21, $C$9, 100%, $E$9)</f>
        <v>14.1823</v>
      </c>
      <c r="H512" s="10">
        <f>CHOOSE(CONTROL!$C$42, 14.3836, 14.3836) * CHOOSE(CONTROL!$C$21, $C$9, 100%, $E$9)</f>
        <v>14.383599999999999</v>
      </c>
      <c r="I512" s="10">
        <f>CHOOSE(CONTROL!$C$42, 14.1542, 14.1542)* CHOOSE(CONTROL!$C$21, $C$9, 100%, $E$9)</f>
        <v>14.154199999999999</v>
      </c>
      <c r="J512" s="10">
        <f>CHOOSE(CONTROL!$C$42, 14.157, 14.157)* CHOOSE(CONTROL!$C$21, $C$9, 100%, $E$9)</f>
        <v>14.157</v>
      </c>
      <c r="K512" s="54">
        <f>CHOOSE(CONTROL!$C$42, 14.1503, 14.1503) * CHOOSE(CONTROL!$C$21, $C$9, 100%, $E$9)</f>
        <v>14.1503</v>
      </c>
      <c r="L512" s="10">
        <f>CHOOSE(CONTROL!$C$42, 14.9706, 14.9706) * CHOOSE(CONTROL!$C$21, $C$9, 100%, $E$9)</f>
        <v>14.970599999999999</v>
      </c>
      <c r="M512" s="10">
        <f>CHOOSE(CONTROL!$C$42, 14.028, 14.028) * CHOOSE(CONTROL!$C$21, $C$9, 100%, $E$9)</f>
        <v>14.028</v>
      </c>
      <c r="N512" s="10">
        <f>CHOOSE(CONTROL!$C$42, 14.0461, 14.0461) * CHOOSE(CONTROL!$C$21, $C$9, 100%, $E$9)</f>
        <v>14.046099999999999</v>
      </c>
      <c r="O512" s="10">
        <f>CHOOSE(CONTROL!$C$42, 14.2523, 14.2523) * CHOOSE(CONTROL!$C$21, $C$9, 100%, $E$9)</f>
        <v>14.2523</v>
      </c>
      <c r="P512" s="10">
        <f>CHOOSE(CONTROL!$C$42, 14.0253, 14.0253) * CHOOSE(CONTROL!$C$21, $C$9, 100%, $E$9)</f>
        <v>14.0253</v>
      </c>
      <c r="Q512" s="10">
        <f>CHOOSE(CONTROL!$C$42, 14.8476, 14.8476) * CHOOSE(CONTROL!$C$21, $C$9, 100%, $E$9)</f>
        <v>14.8476</v>
      </c>
      <c r="R512" s="10">
        <f>CHOOSE(CONTROL!$C$42, 15.4717, 15.4717) * CHOOSE(CONTROL!$C$21, $C$9, 100%, $E$9)</f>
        <v>15.4717</v>
      </c>
      <c r="S512" s="10">
        <f>CHOOSE(CONTROL!$C$42, 13.7634, 13.7634) * CHOOSE(CONTROL!$C$21, $C$9, 100%, $E$9)</f>
        <v>13.763400000000001</v>
      </c>
      <c r="T512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12" s="58">
        <f>(1000*CHOOSE(CONTROL!$C$42, 695, 695)*CHOOSE(CONTROL!$C$42, 0.5599, 0.5599)*CHOOSE(CONTROL!$C$42, 31, 31))/1000000</f>
        <v>12.063045499999998</v>
      </c>
      <c r="V512" s="58">
        <f>(1000*CHOOSE(CONTROL!$C$42, 500, 500)*CHOOSE(CONTROL!$C$42, 0.275, 0.275)*CHOOSE(CONTROL!$C$42, 31, 31))/1000000</f>
        <v>4.2625000000000002</v>
      </c>
      <c r="W512" s="58">
        <f>(1000*CHOOSE(CONTROL!$C$42, 0.1146, 0.1146)*CHOOSE(CONTROL!$C$42, 121.5, 121.5)*CHOOSE(CONTROL!$C$42, 31, 31))/1000000</f>
        <v>0.43164089999999994</v>
      </c>
      <c r="X512" s="58">
        <f>(31*0.1790888*245000/1000000)+(31*0.2374*100000/1000000)</f>
        <v>2.0961194359999999</v>
      </c>
      <c r="Y512" s="58"/>
      <c r="Z512" s="10"/>
      <c r="AA512" s="57"/>
      <c r="AB512" s="51">
        <f>(B512*194.205+C512*267.466+D512*133.845+E512*53.484+F512*40+G512*185+H512*0+I512*100+J512*300)/(194.205+267.466+133.845+53.484+0+40+185+100+300)</f>
        <v>14.201442627786502</v>
      </c>
      <c r="AC512" s="27">
        <f>(M512*'RAP TEMPLATE-GAS AVAILABILITY'!O511+N512*'RAP TEMPLATE-GAS AVAILABILITY'!P511+O512*'RAP TEMPLATE-GAS AVAILABILITY'!Q511+P512*'RAP TEMPLATE-GAS AVAILABILITY'!R511)/('RAP TEMPLATE-GAS AVAILABILITY'!O511+'RAP TEMPLATE-GAS AVAILABILITY'!P511+'RAP TEMPLATE-GAS AVAILABILITY'!Q511+'RAP TEMPLATE-GAS AVAILABILITY'!R511)</f>
        <v>14.094711510791369</v>
      </c>
    </row>
    <row r="513" spans="1:29" ht="15.75" x14ac:dyDescent="0.25">
      <c r="A513" s="13">
        <v>56887</v>
      </c>
      <c r="B513" s="10">
        <f>CHOOSE(CONTROL!$C$42, 13.2776, 13.2776) * CHOOSE(CONTROL!$C$21, $C$9, 100%, $E$9)</f>
        <v>13.2776</v>
      </c>
      <c r="C513" s="10">
        <f>CHOOSE(CONTROL!$C$42, 13.2855, 13.2855) * CHOOSE(CONTROL!$C$21, $C$9, 100%, $E$9)</f>
        <v>13.285500000000001</v>
      </c>
      <c r="D513" s="10">
        <f>CHOOSE(CONTROL!$C$42, 13.4641, 13.4641) * CHOOSE(CONTROL!$C$21, $C$9, 100%, $E$9)</f>
        <v>13.4641</v>
      </c>
      <c r="E513" s="10">
        <f>CHOOSE(CONTROL!$C$42, 13.4952, 13.4952) * CHOOSE(CONTROL!$C$21, $C$9, 100%, $E$9)</f>
        <v>13.495200000000001</v>
      </c>
      <c r="F513" s="10">
        <f>CHOOSE(CONTROL!$C$42, 13.264, 13.264)*CHOOSE(CONTROL!$C$21, $C$9, 100%, $E$9)</f>
        <v>13.263999999999999</v>
      </c>
      <c r="G513" s="10">
        <f>CHOOSE(CONTROL!$C$42, 13.2822, 13.2822)*CHOOSE(CONTROL!$C$21, $C$9, 100%, $E$9)</f>
        <v>13.2822</v>
      </c>
      <c r="H513" s="10">
        <f>CHOOSE(CONTROL!$C$42, 13.4838, 13.4838) * CHOOSE(CONTROL!$C$21, $C$9, 100%, $E$9)</f>
        <v>13.4838</v>
      </c>
      <c r="I513" s="10">
        <f>CHOOSE(CONTROL!$C$42, 13.2545, 13.2545)* CHOOSE(CONTROL!$C$21, $C$9, 100%, $E$9)</f>
        <v>13.2545</v>
      </c>
      <c r="J513" s="10">
        <f>CHOOSE(CONTROL!$C$42, 13.257, 13.257)* CHOOSE(CONTROL!$C$21, $C$9, 100%, $E$9)</f>
        <v>13.257</v>
      </c>
      <c r="K513" s="54">
        <f>CHOOSE(CONTROL!$C$42, 13.2506, 13.2506) * CHOOSE(CONTROL!$C$21, $C$9, 100%, $E$9)</f>
        <v>13.2506</v>
      </c>
      <c r="L513" s="10">
        <f>CHOOSE(CONTROL!$C$42, 14.0708, 14.0708) * CHOOSE(CONTROL!$C$21, $C$9, 100%, $E$9)</f>
        <v>14.0708</v>
      </c>
      <c r="M513" s="10">
        <f>CHOOSE(CONTROL!$C$42, 13.137, 13.137) * CHOOSE(CONTROL!$C$21, $C$9, 100%, $E$9)</f>
        <v>13.137</v>
      </c>
      <c r="N513" s="10">
        <f>CHOOSE(CONTROL!$C$42, 13.1551, 13.1551) * CHOOSE(CONTROL!$C$21, $C$9, 100%, $E$9)</f>
        <v>13.155099999999999</v>
      </c>
      <c r="O513" s="10">
        <f>CHOOSE(CONTROL!$C$42, 13.3616, 13.3616) * CHOOSE(CONTROL!$C$21, $C$9, 100%, $E$9)</f>
        <v>13.361599999999999</v>
      </c>
      <c r="P513" s="10">
        <f>CHOOSE(CONTROL!$C$42, 13.1346, 13.1346) * CHOOSE(CONTROL!$C$21, $C$9, 100%, $E$9)</f>
        <v>13.134600000000001</v>
      </c>
      <c r="Q513" s="10">
        <f>CHOOSE(CONTROL!$C$42, 13.9569, 13.9569) * CHOOSE(CONTROL!$C$21, $C$9, 100%, $E$9)</f>
        <v>13.956899999999999</v>
      </c>
      <c r="R513" s="10">
        <f>CHOOSE(CONTROL!$C$42, 14.5788, 14.5788) * CHOOSE(CONTROL!$C$21, $C$9, 100%, $E$9)</f>
        <v>14.578799999999999</v>
      </c>
      <c r="S513" s="10">
        <f>CHOOSE(CONTROL!$C$42, 12.8897, 12.8897) * CHOOSE(CONTROL!$C$21, $C$9, 100%, $E$9)</f>
        <v>12.889699999999999</v>
      </c>
      <c r="T513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13" s="58">
        <f>(1000*CHOOSE(CONTROL!$C$42, 695, 695)*CHOOSE(CONTROL!$C$42, 0.5599, 0.5599)*CHOOSE(CONTROL!$C$42, 30, 30))/1000000</f>
        <v>11.673914999999997</v>
      </c>
      <c r="V513" s="58">
        <f>(1000*CHOOSE(CONTROL!$C$42, 500, 500)*CHOOSE(CONTROL!$C$42, 0.275, 0.275)*CHOOSE(CONTROL!$C$42, 30, 30))/1000000</f>
        <v>4.125</v>
      </c>
      <c r="W513" s="58">
        <f>(1000*CHOOSE(CONTROL!$C$42, 0.1146, 0.1146)*CHOOSE(CONTROL!$C$42, 121.5, 121.5)*CHOOSE(CONTROL!$C$42, 30, 30))/1000000</f>
        <v>0.417717</v>
      </c>
      <c r="X513" s="58">
        <f>(30*0.1790888*245000/1000000)+(30*0.2374*100000/1000000)</f>
        <v>2.0285026799999999</v>
      </c>
      <c r="Y513" s="58"/>
      <c r="Z513" s="10"/>
      <c r="AA513" s="57"/>
      <c r="AB513" s="51">
        <f>(B513*194.205+C513*267.466+D513*133.845+E513*53.484+F513*40+G513*185+H513*0+I513*100+J513*300)/(194.205+267.466+133.845+53.484+0+40+185+100+300)</f>
        <v>13.301564044191524</v>
      </c>
      <c r="AC513" s="27">
        <f>(M513*'RAP TEMPLATE-GAS AVAILABILITY'!O512+N513*'RAP TEMPLATE-GAS AVAILABILITY'!P512+O513*'RAP TEMPLATE-GAS AVAILABILITY'!Q512+P513*'RAP TEMPLATE-GAS AVAILABILITY'!R512)/('RAP TEMPLATE-GAS AVAILABILITY'!O512+'RAP TEMPLATE-GAS AVAILABILITY'!P512+'RAP TEMPLATE-GAS AVAILABILITY'!Q512+'RAP TEMPLATE-GAS AVAILABILITY'!R512)</f>
        <v>13.203838848920864</v>
      </c>
    </row>
    <row r="514" spans="1:29" ht="15.75" x14ac:dyDescent="0.25">
      <c r="A514" s="13">
        <v>56918</v>
      </c>
      <c r="B514" s="10">
        <f>CHOOSE(CONTROL!$C$42, 13.006, 13.006) * CHOOSE(CONTROL!$C$21, $C$9, 100%, $E$9)</f>
        <v>13.006</v>
      </c>
      <c r="C514" s="10">
        <f>CHOOSE(CONTROL!$C$42, 13.0112, 13.0112) * CHOOSE(CONTROL!$C$21, $C$9, 100%, $E$9)</f>
        <v>13.011200000000001</v>
      </c>
      <c r="D514" s="10">
        <f>CHOOSE(CONTROL!$C$42, 13.1947, 13.1947) * CHOOSE(CONTROL!$C$21, $C$9, 100%, $E$9)</f>
        <v>13.194699999999999</v>
      </c>
      <c r="E514" s="10">
        <f>CHOOSE(CONTROL!$C$42, 13.2235, 13.2235) * CHOOSE(CONTROL!$C$21, $C$9, 100%, $E$9)</f>
        <v>13.2235</v>
      </c>
      <c r="F514" s="10">
        <f>CHOOSE(CONTROL!$C$42, 12.9943, 12.9943)*CHOOSE(CONTROL!$C$21, $C$9, 100%, $E$9)</f>
        <v>12.994300000000001</v>
      </c>
      <c r="G514" s="10">
        <f>CHOOSE(CONTROL!$C$42, 13.0122, 13.0122)*CHOOSE(CONTROL!$C$21, $C$9, 100%, $E$9)</f>
        <v>13.0122</v>
      </c>
      <c r="H514" s="10">
        <f>CHOOSE(CONTROL!$C$42, 13.214, 13.214) * CHOOSE(CONTROL!$C$21, $C$9, 100%, $E$9)</f>
        <v>13.214</v>
      </c>
      <c r="I514" s="10">
        <f>CHOOSE(CONTROL!$C$42, 12.9846, 12.9846)* CHOOSE(CONTROL!$C$21, $C$9, 100%, $E$9)</f>
        <v>12.9846</v>
      </c>
      <c r="J514" s="10">
        <f>CHOOSE(CONTROL!$C$42, 12.9873, 12.9873)* CHOOSE(CONTROL!$C$21, $C$9, 100%, $E$9)</f>
        <v>12.987299999999999</v>
      </c>
      <c r="K514" s="54">
        <f>CHOOSE(CONTROL!$C$42, 12.9807, 12.9807) * CHOOSE(CONTROL!$C$21, $C$9, 100%, $E$9)</f>
        <v>12.980700000000001</v>
      </c>
      <c r="L514" s="10">
        <f>CHOOSE(CONTROL!$C$42, 13.801, 13.801) * CHOOSE(CONTROL!$C$21, $C$9, 100%, $E$9)</f>
        <v>13.801</v>
      </c>
      <c r="M514" s="10">
        <f>CHOOSE(CONTROL!$C$42, 12.8701, 12.8701) * CHOOSE(CONTROL!$C$21, $C$9, 100%, $E$9)</f>
        <v>12.870100000000001</v>
      </c>
      <c r="N514" s="10">
        <f>CHOOSE(CONTROL!$C$42, 12.8878, 12.8878) * CHOOSE(CONTROL!$C$21, $C$9, 100%, $E$9)</f>
        <v>12.8878</v>
      </c>
      <c r="O514" s="10">
        <f>CHOOSE(CONTROL!$C$42, 13.0945, 13.0945) * CHOOSE(CONTROL!$C$21, $C$9, 100%, $E$9)</f>
        <v>13.0945</v>
      </c>
      <c r="P514" s="10">
        <f>CHOOSE(CONTROL!$C$42, 12.8675, 12.8675) * CHOOSE(CONTROL!$C$21, $C$9, 100%, $E$9)</f>
        <v>12.8675</v>
      </c>
      <c r="Q514" s="10">
        <f>CHOOSE(CONTROL!$C$42, 13.6898, 13.6898) * CHOOSE(CONTROL!$C$21, $C$9, 100%, $E$9)</f>
        <v>13.6898</v>
      </c>
      <c r="R514" s="10">
        <f>CHOOSE(CONTROL!$C$42, 14.311, 14.311) * CHOOSE(CONTROL!$C$21, $C$9, 100%, $E$9)</f>
        <v>14.311</v>
      </c>
      <c r="S514" s="10">
        <f>CHOOSE(CONTROL!$C$42, 12.6276, 12.6276) * CHOOSE(CONTROL!$C$21, $C$9, 100%, $E$9)</f>
        <v>12.627599999999999</v>
      </c>
      <c r="T514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14" s="58">
        <f>(1000*CHOOSE(CONTROL!$C$42, 695, 695)*CHOOSE(CONTROL!$C$42, 0.5599, 0.5599)*CHOOSE(CONTROL!$C$42, 31, 31))/1000000</f>
        <v>12.063045499999998</v>
      </c>
      <c r="V514" s="58">
        <f>(1000*CHOOSE(CONTROL!$C$42, 500, 500)*CHOOSE(CONTROL!$C$42, 0.275, 0.275)*CHOOSE(CONTROL!$C$42, 31, 31))/1000000</f>
        <v>4.2625000000000002</v>
      </c>
      <c r="W514" s="58">
        <f>(1000*CHOOSE(CONTROL!$C$42, 0.1146, 0.1146)*CHOOSE(CONTROL!$C$42, 121.5, 121.5)*CHOOSE(CONTROL!$C$42, 31, 31))/1000000</f>
        <v>0.43164089999999994</v>
      </c>
      <c r="X514" s="58">
        <f>(31*0.1790888*245000/1000000)+(31*0.2374*100000/1000000)</f>
        <v>2.0961194359999999</v>
      </c>
      <c r="Y514" s="58"/>
      <c r="Z514" s="10"/>
      <c r="AA514" s="57"/>
      <c r="AB514" s="51">
        <f>(B514*131.881+C514*277.167+D514*79.08+E514*125.872+F514*40+G514*185+H514*0+I514*100+J514*300)/(131.881+277.167+79.08+125.872+0+40+185+100+300)</f>
        <v>13.035596307021789</v>
      </c>
      <c r="AC514" s="27">
        <f>(M514*'RAP TEMPLATE-GAS AVAILABILITY'!O513+N514*'RAP TEMPLATE-GAS AVAILABILITY'!P513+O514*'RAP TEMPLATE-GAS AVAILABILITY'!Q513+P514*'RAP TEMPLATE-GAS AVAILABILITY'!R513)/('RAP TEMPLATE-GAS AVAILABILITY'!O513+'RAP TEMPLATE-GAS AVAILABILITY'!P513+'RAP TEMPLATE-GAS AVAILABILITY'!Q513+'RAP TEMPLATE-GAS AVAILABILITY'!R513)</f>
        <v>12.936761870503599</v>
      </c>
    </row>
    <row r="515" spans="1:29" ht="15.75" x14ac:dyDescent="0.25">
      <c r="A515" s="13">
        <v>56948</v>
      </c>
      <c r="B515" s="10">
        <f>CHOOSE(CONTROL!$C$42, 13.3481, 13.3481) * CHOOSE(CONTROL!$C$21, $C$9, 100%, $E$9)</f>
        <v>13.348100000000001</v>
      </c>
      <c r="C515" s="10">
        <f>CHOOSE(CONTROL!$C$42, 13.3531, 13.3531) * CHOOSE(CONTROL!$C$21, $C$9, 100%, $E$9)</f>
        <v>13.3531</v>
      </c>
      <c r="D515" s="10">
        <f>CHOOSE(CONTROL!$C$42, 13.3827, 13.3827) * CHOOSE(CONTROL!$C$21, $C$9, 100%, $E$9)</f>
        <v>13.3827</v>
      </c>
      <c r="E515" s="10">
        <f>CHOOSE(CONTROL!$C$42, 13.4165, 13.4165) * CHOOSE(CONTROL!$C$21, $C$9, 100%, $E$9)</f>
        <v>13.416499999999999</v>
      </c>
      <c r="F515" s="10">
        <f>CHOOSE(CONTROL!$C$42, 13.3339, 13.3339)*CHOOSE(CONTROL!$C$21, $C$9, 100%, $E$9)</f>
        <v>13.3339</v>
      </c>
      <c r="G515" s="10">
        <f>CHOOSE(CONTROL!$C$42, 13.3519, 13.3519)*CHOOSE(CONTROL!$C$21, $C$9, 100%, $E$9)</f>
        <v>13.351900000000001</v>
      </c>
      <c r="H515" s="10">
        <f>CHOOSE(CONTROL!$C$42, 13.4057, 13.4057) * CHOOSE(CONTROL!$C$21, $C$9, 100%, $E$9)</f>
        <v>13.4057</v>
      </c>
      <c r="I515" s="10">
        <f>CHOOSE(CONTROL!$C$42, 13.3143, 13.3143)* CHOOSE(CONTROL!$C$21, $C$9, 100%, $E$9)</f>
        <v>13.314299999999999</v>
      </c>
      <c r="J515" s="10">
        <f>CHOOSE(CONTROL!$C$42, 13.3269, 13.3269)* CHOOSE(CONTROL!$C$21, $C$9, 100%, $E$9)</f>
        <v>13.3269</v>
      </c>
      <c r="K515" s="54">
        <f>CHOOSE(CONTROL!$C$42, 13.3104, 13.3104) * CHOOSE(CONTROL!$C$21, $C$9, 100%, $E$9)</f>
        <v>13.3104</v>
      </c>
      <c r="L515" s="10">
        <f>CHOOSE(CONTROL!$C$42, 13.9927, 13.9927) * CHOOSE(CONTROL!$C$21, $C$9, 100%, $E$9)</f>
        <v>13.992699999999999</v>
      </c>
      <c r="M515" s="10">
        <f>CHOOSE(CONTROL!$C$42, 13.2062, 13.2062) * CHOOSE(CONTROL!$C$21, $C$9, 100%, $E$9)</f>
        <v>13.206200000000001</v>
      </c>
      <c r="N515" s="10">
        <f>CHOOSE(CONTROL!$C$42, 13.2241, 13.2241) * CHOOSE(CONTROL!$C$21, $C$9, 100%, $E$9)</f>
        <v>13.2241</v>
      </c>
      <c r="O515" s="10">
        <f>CHOOSE(CONTROL!$C$42, 13.2842, 13.2842) * CHOOSE(CONTROL!$C$21, $C$9, 100%, $E$9)</f>
        <v>13.2842</v>
      </c>
      <c r="P515" s="10">
        <f>CHOOSE(CONTROL!$C$42, 13.1938, 13.1938) * CHOOSE(CONTROL!$C$21, $C$9, 100%, $E$9)</f>
        <v>13.1938</v>
      </c>
      <c r="Q515" s="10">
        <f>CHOOSE(CONTROL!$C$42, 13.8795, 13.8795) * CHOOSE(CONTROL!$C$21, $C$9, 100%, $E$9)</f>
        <v>13.8795</v>
      </c>
      <c r="R515" s="10">
        <f>CHOOSE(CONTROL!$C$42, 14.5012, 14.5012) * CHOOSE(CONTROL!$C$21, $C$9, 100%, $E$9)</f>
        <v>14.501200000000001</v>
      </c>
      <c r="S515" s="10">
        <f>CHOOSE(CONTROL!$C$42, 12.9602, 12.9602) * CHOOSE(CONTROL!$C$21, $C$9, 100%, $E$9)</f>
        <v>12.9602</v>
      </c>
      <c r="T515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15" s="58">
        <f>(1000*CHOOSE(CONTROL!$C$42, 695, 695)*CHOOSE(CONTROL!$C$42, 0.5599, 0.5599)*CHOOSE(CONTROL!$C$42, 30, 30))/1000000</f>
        <v>11.673914999999997</v>
      </c>
      <c r="V515" s="58">
        <f>(1000*CHOOSE(CONTROL!$C$42, 500, 500)*CHOOSE(CONTROL!$C$42, 0.275, 0.275)*CHOOSE(CONTROL!$C$42, 30, 30))/1000000</f>
        <v>4.125</v>
      </c>
      <c r="W515" s="58">
        <f>(1000*CHOOSE(CONTROL!$C$42, 0.1146, 0.1146)*CHOOSE(CONTROL!$C$42, 121.5, 121.5)*CHOOSE(CONTROL!$C$42, 30, 30))/1000000</f>
        <v>0.417717</v>
      </c>
      <c r="X515" s="58">
        <f>(30*0.1790888*100000/1000000)+(30*0.2374*100000/1000000)</f>
        <v>1.2494664</v>
      </c>
      <c r="Y515" s="58"/>
      <c r="Z515" s="10"/>
      <c r="AA515" s="57"/>
      <c r="AB515" s="51">
        <f>(B515*122.58+C515*297.941+D515*89.177+E515*40.302+F515*40+G515*160+H515*0+I515*100+J515*300)/(122.58+297.941+89.177+40.302+0+40+160+100+300)</f>
        <v>13.346040770434783</v>
      </c>
      <c r="AC515" s="27">
        <f>(M515*'RAP TEMPLATE-GAS AVAILABILITY'!O514+N515*'RAP TEMPLATE-GAS AVAILABILITY'!P514+O515*'RAP TEMPLATE-GAS AVAILABILITY'!Q514+P515*'RAP TEMPLATE-GAS AVAILABILITY'!R514)/('RAP TEMPLATE-GAS AVAILABILITY'!O514+'RAP TEMPLATE-GAS AVAILABILITY'!P514+'RAP TEMPLATE-GAS AVAILABILITY'!Q514+'RAP TEMPLATE-GAS AVAILABILITY'!R514)</f>
        <v>13.240798561151079</v>
      </c>
    </row>
    <row r="516" spans="1:29" ht="15.75" x14ac:dyDescent="0.25">
      <c r="A516" s="13">
        <v>56979</v>
      </c>
      <c r="B516" s="10">
        <f>CHOOSE(CONTROL!$C$42, 14.258, 14.258) * CHOOSE(CONTROL!$C$21, $C$9, 100%, $E$9)</f>
        <v>14.257999999999999</v>
      </c>
      <c r="C516" s="10">
        <f>CHOOSE(CONTROL!$C$42, 14.263, 14.263) * CHOOSE(CONTROL!$C$21, $C$9, 100%, $E$9)</f>
        <v>14.263</v>
      </c>
      <c r="D516" s="10">
        <f>CHOOSE(CONTROL!$C$42, 14.2926, 14.2926) * CHOOSE(CONTROL!$C$21, $C$9, 100%, $E$9)</f>
        <v>14.2926</v>
      </c>
      <c r="E516" s="10">
        <f>CHOOSE(CONTROL!$C$42, 14.3263, 14.3263) * CHOOSE(CONTROL!$C$21, $C$9, 100%, $E$9)</f>
        <v>14.3263</v>
      </c>
      <c r="F516" s="10">
        <f>CHOOSE(CONTROL!$C$42, 14.2453, 14.2453)*CHOOSE(CONTROL!$C$21, $C$9, 100%, $E$9)</f>
        <v>14.2453</v>
      </c>
      <c r="G516" s="10">
        <f>CHOOSE(CONTROL!$C$42, 14.2638, 14.2638)*CHOOSE(CONTROL!$C$21, $C$9, 100%, $E$9)</f>
        <v>14.2638</v>
      </c>
      <c r="H516" s="10">
        <f>CHOOSE(CONTROL!$C$42, 14.3155, 14.3155) * CHOOSE(CONTROL!$C$21, $C$9, 100%, $E$9)</f>
        <v>14.3155</v>
      </c>
      <c r="I516" s="10">
        <f>CHOOSE(CONTROL!$C$42, 14.2242, 14.2242)* CHOOSE(CONTROL!$C$21, $C$9, 100%, $E$9)</f>
        <v>14.2242</v>
      </c>
      <c r="J516" s="10">
        <f>CHOOSE(CONTROL!$C$42, 14.2383, 14.2383)* CHOOSE(CONTROL!$C$21, $C$9, 100%, $E$9)</f>
        <v>14.238300000000001</v>
      </c>
      <c r="K516" s="54">
        <f>CHOOSE(CONTROL!$C$42, 14.2203, 14.2203) * CHOOSE(CONTROL!$C$21, $C$9, 100%, $E$9)</f>
        <v>14.2203</v>
      </c>
      <c r="L516" s="10">
        <f>CHOOSE(CONTROL!$C$42, 14.9025, 14.9025) * CHOOSE(CONTROL!$C$21, $C$9, 100%, $E$9)</f>
        <v>14.9025</v>
      </c>
      <c r="M516" s="10">
        <f>CHOOSE(CONTROL!$C$42, 14.1084, 14.1084) * CHOOSE(CONTROL!$C$21, $C$9, 100%, $E$9)</f>
        <v>14.1084</v>
      </c>
      <c r="N516" s="10">
        <f>CHOOSE(CONTROL!$C$42, 14.1267, 14.1267) * CHOOSE(CONTROL!$C$21, $C$9, 100%, $E$9)</f>
        <v>14.1267</v>
      </c>
      <c r="O516" s="10">
        <f>CHOOSE(CONTROL!$C$42, 14.1849, 14.1849) * CHOOSE(CONTROL!$C$21, $C$9, 100%, $E$9)</f>
        <v>14.184900000000001</v>
      </c>
      <c r="P516" s="10">
        <f>CHOOSE(CONTROL!$C$42, 14.0945, 14.0945) * CHOOSE(CONTROL!$C$21, $C$9, 100%, $E$9)</f>
        <v>14.0945</v>
      </c>
      <c r="Q516" s="10">
        <f>CHOOSE(CONTROL!$C$42, 14.7802, 14.7802) * CHOOSE(CONTROL!$C$21, $C$9, 100%, $E$9)</f>
        <v>14.780200000000001</v>
      </c>
      <c r="R516" s="10">
        <f>CHOOSE(CONTROL!$C$42, 15.4041, 15.4041) * CHOOSE(CONTROL!$C$21, $C$9, 100%, $E$9)</f>
        <v>15.4041</v>
      </c>
      <c r="S516" s="10">
        <f>CHOOSE(CONTROL!$C$42, 13.8438, 13.8438) * CHOOSE(CONTROL!$C$21, $C$9, 100%, $E$9)</f>
        <v>13.8438</v>
      </c>
      <c r="T516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516" s="58">
        <f>(1000*CHOOSE(CONTROL!$C$42, 695, 695)*CHOOSE(CONTROL!$C$42, 0.5599, 0.5599)*CHOOSE(CONTROL!$C$42, 31, 31))/1000000</f>
        <v>12.063045499999998</v>
      </c>
      <c r="V516" s="58">
        <f>(1000*CHOOSE(CONTROL!$C$42, 500, 500)*CHOOSE(CONTROL!$C$42, 0.275, 0.275)*CHOOSE(CONTROL!$C$42, 31, 31))/1000000</f>
        <v>4.2625000000000002</v>
      </c>
      <c r="W516" s="58">
        <f>(1000*CHOOSE(CONTROL!$C$42, 0.1146, 0.1146)*CHOOSE(CONTROL!$C$42, 121.5, 121.5)*CHOOSE(CONTROL!$C$42, 31, 31))/1000000</f>
        <v>0.43164089999999994</v>
      </c>
      <c r="X516" s="58">
        <f>(31*0.1790888*100000/1000000)+(31*0.2374*100000/1000000)</f>
        <v>1.2911152800000001</v>
      </c>
      <c r="Y516" s="58"/>
      <c r="Z516" s="10"/>
      <c r="AA516" s="57"/>
      <c r="AB516" s="51">
        <f>(B516*122.58+C516*297.941+D516*89.177+E516*40.302+F516*40+G516*160+H516*0+I516*100+J516*300)/(122.58+297.941+89.177+40.302+0+40+160+100+300)</f>
        <v>14.256659005043478</v>
      </c>
      <c r="AC516" s="27">
        <f>(M516*'RAP TEMPLATE-GAS AVAILABILITY'!O515+N516*'RAP TEMPLATE-GAS AVAILABILITY'!P515+O516*'RAP TEMPLATE-GAS AVAILABILITY'!Q515+P516*'RAP TEMPLATE-GAS AVAILABILITY'!R515)/('RAP TEMPLATE-GAS AVAILABILITY'!O515+'RAP TEMPLATE-GAS AVAILABILITY'!P515+'RAP TEMPLATE-GAS AVAILABILITY'!Q515+'RAP TEMPLATE-GAS AVAILABILITY'!R515)</f>
        <v>14.142125899280575</v>
      </c>
    </row>
    <row r="517" spans="1:29" ht="15.75" x14ac:dyDescent="0.25">
      <c r="A517" s="13">
        <v>57010</v>
      </c>
      <c r="B517" s="10">
        <f>CHOOSE(CONTROL!$C$42, 15.2201, 15.2201) * CHOOSE(CONTROL!$C$21, $C$9, 100%, $E$9)</f>
        <v>15.2201</v>
      </c>
      <c r="C517" s="10">
        <f>CHOOSE(CONTROL!$C$42, 15.2251, 15.2251) * CHOOSE(CONTROL!$C$21, $C$9, 100%, $E$9)</f>
        <v>15.225099999999999</v>
      </c>
      <c r="D517" s="10">
        <f>CHOOSE(CONTROL!$C$42, 15.2753, 15.2753) * CHOOSE(CONTROL!$C$21, $C$9, 100%, $E$9)</f>
        <v>15.2753</v>
      </c>
      <c r="E517" s="10">
        <f>CHOOSE(CONTROL!$C$42, 15.3091, 15.3091) * CHOOSE(CONTROL!$C$21, $C$9, 100%, $E$9)</f>
        <v>15.309100000000001</v>
      </c>
      <c r="F517" s="10">
        <f>CHOOSE(CONTROL!$C$42, 15.1855, 15.1855)*CHOOSE(CONTROL!$C$21, $C$9, 100%, $E$9)</f>
        <v>15.185499999999999</v>
      </c>
      <c r="G517" s="10">
        <f>CHOOSE(CONTROL!$C$42, 15.2031, 15.2031)*CHOOSE(CONTROL!$C$21, $C$9, 100%, $E$9)</f>
        <v>15.203099999999999</v>
      </c>
      <c r="H517" s="10">
        <f>CHOOSE(CONTROL!$C$42, 15.2983, 15.2983) * CHOOSE(CONTROL!$C$21, $C$9, 100%, $E$9)</f>
        <v>15.298299999999999</v>
      </c>
      <c r="I517" s="10">
        <f>CHOOSE(CONTROL!$C$42, 15.194, 15.194)* CHOOSE(CONTROL!$C$21, $C$9, 100%, $E$9)</f>
        <v>15.194000000000001</v>
      </c>
      <c r="J517" s="10">
        <f>CHOOSE(CONTROL!$C$42, 15.1785, 15.1785)* CHOOSE(CONTROL!$C$21, $C$9, 100%, $E$9)</f>
        <v>15.1785</v>
      </c>
      <c r="K517" s="54">
        <f>CHOOSE(CONTROL!$C$42, 15.1901, 15.1901) * CHOOSE(CONTROL!$C$21, $C$9, 100%, $E$9)</f>
        <v>15.190099999999999</v>
      </c>
      <c r="L517" s="10">
        <f>CHOOSE(CONTROL!$C$42, 15.8853, 15.8853) * CHOOSE(CONTROL!$C$21, $C$9, 100%, $E$9)</f>
        <v>15.885300000000001</v>
      </c>
      <c r="M517" s="10">
        <f>CHOOSE(CONTROL!$C$42, 15.0391, 15.0391) * CHOOSE(CONTROL!$C$21, $C$9, 100%, $E$9)</f>
        <v>15.039099999999999</v>
      </c>
      <c r="N517" s="10">
        <f>CHOOSE(CONTROL!$C$42, 15.0565, 15.0565) * CHOOSE(CONTROL!$C$21, $C$9, 100%, $E$9)</f>
        <v>15.0565</v>
      </c>
      <c r="O517" s="10">
        <f>CHOOSE(CONTROL!$C$42, 15.1577, 15.1577) * CHOOSE(CONTROL!$C$21, $C$9, 100%, $E$9)</f>
        <v>15.1577</v>
      </c>
      <c r="P517" s="10">
        <f>CHOOSE(CONTROL!$C$42, 15.0546, 15.0546) * CHOOSE(CONTROL!$C$21, $C$9, 100%, $E$9)</f>
        <v>15.054600000000001</v>
      </c>
      <c r="Q517" s="10">
        <f>CHOOSE(CONTROL!$C$42, 15.753, 15.753) * CHOOSE(CONTROL!$C$21, $C$9, 100%, $E$9)</f>
        <v>15.753</v>
      </c>
      <c r="R517" s="10">
        <f>CHOOSE(CONTROL!$C$42, 16.3794, 16.3794) * CHOOSE(CONTROL!$C$21, $C$9, 100%, $E$9)</f>
        <v>16.3794</v>
      </c>
      <c r="S517" s="10">
        <f>CHOOSE(CONTROL!$C$42, 14.7781, 14.7781) * CHOOSE(CONTROL!$C$21, $C$9, 100%, $E$9)</f>
        <v>14.7781</v>
      </c>
      <c r="T517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517" s="58">
        <f>(1000*CHOOSE(CONTROL!$C$42, 695, 695)*CHOOSE(CONTROL!$C$42, 0.5599, 0.5599)*CHOOSE(CONTROL!$C$42, 31, 31))/1000000</f>
        <v>12.063045499999998</v>
      </c>
      <c r="V517" s="58">
        <f>(1000*CHOOSE(CONTROL!$C$42, 500, 500)*CHOOSE(CONTROL!$C$42, 0.275, 0.275)*CHOOSE(CONTROL!$C$42, 31, 31))/1000000</f>
        <v>4.2625000000000002</v>
      </c>
      <c r="W517" s="58">
        <f>(1000*CHOOSE(CONTROL!$C$42, 0.1146, 0.1146)*CHOOSE(CONTROL!$C$42, 121.5, 121.5)*CHOOSE(CONTROL!$C$42, 31, 31))/1000000</f>
        <v>0.43164089999999994</v>
      </c>
      <c r="X517" s="58">
        <f>(31*0.1790888*100000/1000000)+(31*0.2374*100000/1000000)</f>
        <v>1.2911152800000001</v>
      </c>
      <c r="Y517" s="58"/>
      <c r="Z517" s="10"/>
      <c r="AA517" s="57"/>
      <c r="AB517" s="51">
        <f>(B517*122.58+C517*297.941+D517*89.177+E517*40.302+F517*40+G517*160+H517*0+I517*100+J517*300)/(122.58+297.941+89.177+40.302+0+40+160+100+300)</f>
        <v>15.212104481217393</v>
      </c>
      <c r="AC517" s="27">
        <f>(M517*'RAP TEMPLATE-GAS AVAILABILITY'!O516+N517*'RAP TEMPLATE-GAS AVAILABILITY'!P516+O517*'RAP TEMPLATE-GAS AVAILABILITY'!Q516+P517*'RAP TEMPLATE-GAS AVAILABILITY'!R516)/('RAP TEMPLATE-GAS AVAILABILITY'!O516+'RAP TEMPLATE-GAS AVAILABILITY'!P516+'RAP TEMPLATE-GAS AVAILABILITY'!Q516+'RAP TEMPLATE-GAS AVAILABILITY'!R516)</f>
        <v>15.096085611510793</v>
      </c>
    </row>
    <row r="518" spans="1:29" ht="15.75" x14ac:dyDescent="0.25">
      <c r="A518" s="13">
        <v>57038</v>
      </c>
      <c r="B518" s="10">
        <f>CHOOSE(CONTROL!$C$42, 15.491, 15.491) * CHOOSE(CONTROL!$C$21, $C$9, 100%, $E$9)</f>
        <v>15.491</v>
      </c>
      <c r="C518" s="10">
        <f>CHOOSE(CONTROL!$C$42, 15.496, 15.496) * CHOOSE(CONTROL!$C$21, $C$9, 100%, $E$9)</f>
        <v>15.496</v>
      </c>
      <c r="D518" s="10">
        <f>CHOOSE(CONTROL!$C$42, 15.6131, 15.6131) * CHOOSE(CONTROL!$C$21, $C$9, 100%, $E$9)</f>
        <v>15.613099999999999</v>
      </c>
      <c r="E518" s="10">
        <f>CHOOSE(CONTROL!$C$42, 15.6469, 15.6469) * CHOOSE(CONTROL!$C$21, $C$9, 100%, $E$9)</f>
        <v>15.6469</v>
      </c>
      <c r="F518" s="10">
        <f>CHOOSE(CONTROL!$C$42, 15.5686, 15.5686)*CHOOSE(CONTROL!$C$21, $C$9, 100%, $E$9)</f>
        <v>15.5686</v>
      </c>
      <c r="G518" s="10">
        <f>CHOOSE(CONTROL!$C$42, 15.5905, 15.5905)*CHOOSE(CONTROL!$C$21, $C$9, 100%, $E$9)</f>
        <v>15.5905</v>
      </c>
      <c r="H518" s="10">
        <f>CHOOSE(CONTROL!$C$42, 15.6361, 15.6361) * CHOOSE(CONTROL!$C$21, $C$9, 100%, $E$9)</f>
        <v>15.636100000000001</v>
      </c>
      <c r="I518" s="10">
        <f>CHOOSE(CONTROL!$C$42, 15.5267, 15.5267)* CHOOSE(CONTROL!$C$21, $C$9, 100%, $E$9)</f>
        <v>15.5267</v>
      </c>
      <c r="J518" s="10">
        <f>CHOOSE(CONTROL!$C$42, 15.5616, 15.5616)* CHOOSE(CONTROL!$C$21, $C$9, 100%, $E$9)</f>
        <v>15.5616</v>
      </c>
      <c r="K518" s="54">
        <f>CHOOSE(CONTROL!$C$42, 15.5228, 15.5228) * CHOOSE(CONTROL!$C$21, $C$9, 100%, $E$9)</f>
        <v>15.5228</v>
      </c>
      <c r="L518" s="10">
        <f>CHOOSE(CONTROL!$C$42, 16.2231, 16.2231) * CHOOSE(CONTROL!$C$21, $C$9, 100%, $E$9)</f>
        <v>16.223099999999999</v>
      </c>
      <c r="M518" s="10">
        <f>CHOOSE(CONTROL!$C$42, 15.4184, 15.4184) * CHOOSE(CONTROL!$C$21, $C$9, 100%, $E$9)</f>
        <v>15.4184</v>
      </c>
      <c r="N518" s="10">
        <f>CHOOSE(CONTROL!$C$42, 15.4401, 15.4401) * CHOOSE(CONTROL!$C$21, $C$9, 100%, $E$9)</f>
        <v>15.440099999999999</v>
      </c>
      <c r="O518" s="10">
        <f>CHOOSE(CONTROL!$C$42, 15.4921, 15.4921) * CHOOSE(CONTROL!$C$21, $C$9, 100%, $E$9)</f>
        <v>15.492100000000001</v>
      </c>
      <c r="P518" s="10">
        <f>CHOOSE(CONTROL!$C$42, 15.3839, 15.3839) * CHOOSE(CONTROL!$C$21, $C$9, 100%, $E$9)</f>
        <v>15.383900000000001</v>
      </c>
      <c r="Q518" s="10">
        <f>CHOOSE(CONTROL!$C$42, 16.0874, 16.0874) * CHOOSE(CONTROL!$C$21, $C$9, 100%, $E$9)</f>
        <v>16.087399999999999</v>
      </c>
      <c r="R518" s="10">
        <f>CHOOSE(CONTROL!$C$42, 16.7146, 16.7146) * CHOOSE(CONTROL!$C$21, $C$9, 100%, $E$9)</f>
        <v>16.714600000000001</v>
      </c>
      <c r="S518" s="10">
        <f>CHOOSE(CONTROL!$C$42, 15.0412, 15.0412) * CHOOSE(CONTROL!$C$21, $C$9, 100%, $E$9)</f>
        <v>15.0412</v>
      </c>
      <c r="T518" s="5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518" s="58">
        <f>(1000*CHOOSE(CONTROL!$C$42, 695, 695)*CHOOSE(CONTROL!$C$42, 0.5599, 0.5599)*CHOOSE(CONTROL!$C$42, 29, 29))/1000000</f>
        <v>11.284784499999999</v>
      </c>
      <c r="V518" s="58">
        <f>(1000*CHOOSE(CONTROL!$C$42, 500, 500)*CHOOSE(CONTROL!$C$42, 0.275, 0.275)*CHOOSE(CONTROL!$C$42, 29, 29))/1000000</f>
        <v>3.9874999999999998</v>
      </c>
      <c r="W518" s="58">
        <f>(1000*CHOOSE(CONTROL!$C$42, 0.1146, 0.1146)*CHOOSE(CONTROL!$C$42, 121.5, 121.5)*CHOOSE(CONTROL!$C$42, 29, 29))/1000000</f>
        <v>0.40379309999999996</v>
      </c>
      <c r="X518" s="58">
        <f>(29*0.1790888*100000/1000000)+(29*0.2374*100000/1000000)</f>
        <v>1.2078175199999999</v>
      </c>
      <c r="Y518" s="58"/>
      <c r="Z518" s="10"/>
      <c r="AA518" s="57"/>
      <c r="AB518" s="51">
        <f>(B518*122.58+C518*297.941+D518*89.177+E518*40.302+F518*40+G518*160+H518*0+I518*100+J518*300)/(122.58+297.941+89.177+40.302+0+40+160+100+300)</f>
        <v>15.545291563913045</v>
      </c>
      <c r="AC518" s="27">
        <f>(M518*'RAP TEMPLATE-GAS AVAILABILITY'!O517+N518*'RAP TEMPLATE-GAS AVAILABILITY'!P517+O518*'RAP TEMPLATE-GAS AVAILABILITY'!Q517+P518*'RAP TEMPLATE-GAS AVAILABILITY'!R517)/('RAP TEMPLATE-GAS AVAILABILITY'!O517+'RAP TEMPLATE-GAS AVAILABILITY'!P517+'RAP TEMPLATE-GAS AVAILABILITY'!Q517+'RAP TEMPLATE-GAS AVAILABILITY'!R517)</f>
        <v>15.448088489208633</v>
      </c>
    </row>
    <row r="519" spans="1:29" ht="15.75" x14ac:dyDescent="0.25">
      <c r="A519" s="13">
        <v>57070</v>
      </c>
      <c r="B519" s="10">
        <f>CHOOSE(CONTROL!$C$42, 15.0513, 15.0513) * CHOOSE(CONTROL!$C$21, $C$9, 100%, $E$9)</f>
        <v>15.051299999999999</v>
      </c>
      <c r="C519" s="10">
        <f>CHOOSE(CONTROL!$C$42, 15.0563, 15.0563) * CHOOSE(CONTROL!$C$21, $C$9, 100%, $E$9)</f>
        <v>15.0563</v>
      </c>
      <c r="D519" s="10">
        <f>CHOOSE(CONTROL!$C$42, 15.1477, 15.1477) * CHOOSE(CONTROL!$C$21, $C$9, 100%, $E$9)</f>
        <v>15.1477</v>
      </c>
      <c r="E519" s="10">
        <f>CHOOSE(CONTROL!$C$42, 15.1814, 15.1814) * CHOOSE(CONTROL!$C$21, $C$9, 100%, $E$9)</f>
        <v>15.1814</v>
      </c>
      <c r="F519" s="10">
        <f>CHOOSE(CONTROL!$C$42, 15.0812, 15.0812)*CHOOSE(CONTROL!$C$21, $C$9, 100%, $E$9)</f>
        <v>15.081200000000001</v>
      </c>
      <c r="G519" s="10">
        <f>CHOOSE(CONTROL!$C$42, 15.1006, 15.1006)*CHOOSE(CONTROL!$C$21, $C$9, 100%, $E$9)</f>
        <v>15.1006</v>
      </c>
      <c r="H519" s="10">
        <f>CHOOSE(CONTROL!$C$42, 15.1706, 15.1706) * CHOOSE(CONTROL!$C$21, $C$9, 100%, $E$9)</f>
        <v>15.1706</v>
      </c>
      <c r="I519" s="10">
        <f>CHOOSE(CONTROL!$C$42, 15.0741, 15.0741)* CHOOSE(CONTROL!$C$21, $C$9, 100%, $E$9)</f>
        <v>15.0741</v>
      </c>
      <c r="J519" s="10">
        <f>CHOOSE(CONTROL!$C$42, 15.0742, 15.0742)* CHOOSE(CONTROL!$C$21, $C$9, 100%, $E$9)</f>
        <v>15.074199999999999</v>
      </c>
      <c r="K519" s="54">
        <f>CHOOSE(CONTROL!$C$42, 15.0702, 15.0702) * CHOOSE(CONTROL!$C$21, $C$9, 100%, $E$9)</f>
        <v>15.0702</v>
      </c>
      <c r="L519" s="10">
        <f>CHOOSE(CONTROL!$C$42, 15.7576, 15.7576) * CHOOSE(CONTROL!$C$21, $C$9, 100%, $E$9)</f>
        <v>15.7576</v>
      </c>
      <c r="M519" s="10">
        <f>CHOOSE(CONTROL!$C$42, 14.9359, 14.9359) * CHOOSE(CONTROL!$C$21, $C$9, 100%, $E$9)</f>
        <v>14.9359</v>
      </c>
      <c r="N519" s="10">
        <f>CHOOSE(CONTROL!$C$42, 14.9552, 14.9552) * CHOOSE(CONTROL!$C$21, $C$9, 100%, $E$9)</f>
        <v>14.9552</v>
      </c>
      <c r="O519" s="10">
        <f>CHOOSE(CONTROL!$C$42, 15.0314, 15.0314) * CHOOSE(CONTROL!$C$21, $C$9, 100%, $E$9)</f>
        <v>15.0314</v>
      </c>
      <c r="P519" s="10">
        <f>CHOOSE(CONTROL!$C$42, 14.9359, 14.9359) * CHOOSE(CONTROL!$C$21, $C$9, 100%, $E$9)</f>
        <v>14.9359</v>
      </c>
      <c r="Q519" s="10">
        <f>CHOOSE(CONTROL!$C$42, 15.6267, 15.6267) * CHOOSE(CONTROL!$C$21, $C$9, 100%, $E$9)</f>
        <v>15.6267</v>
      </c>
      <c r="R519" s="10">
        <f>CHOOSE(CONTROL!$C$42, 16.2527, 16.2527) * CHOOSE(CONTROL!$C$21, $C$9, 100%, $E$9)</f>
        <v>16.252700000000001</v>
      </c>
      <c r="S519" s="10">
        <f>CHOOSE(CONTROL!$C$42, 14.6142, 14.6142) * CHOOSE(CONTROL!$C$21, $C$9, 100%, $E$9)</f>
        <v>14.6142</v>
      </c>
      <c r="T519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19" s="58">
        <f>(1000*CHOOSE(CONTROL!$C$42, 695, 695)*CHOOSE(CONTROL!$C$42, 0.5599, 0.5599)*CHOOSE(CONTROL!$C$42, 31, 31))/1000000</f>
        <v>12.063045499999998</v>
      </c>
      <c r="V519" s="58">
        <f>(1000*CHOOSE(CONTROL!$C$42, 500, 500)*CHOOSE(CONTROL!$C$42, 0.275, 0.275)*CHOOSE(CONTROL!$C$42, 31, 31))/1000000</f>
        <v>4.2625000000000002</v>
      </c>
      <c r="W519" s="58">
        <f>(1000*CHOOSE(CONTROL!$C$42, 0.1146, 0.1146)*CHOOSE(CONTROL!$C$42, 121.5, 121.5)*CHOOSE(CONTROL!$C$42, 31, 31))/1000000</f>
        <v>0.43164089999999994</v>
      </c>
      <c r="X519" s="58">
        <f>(31*0.1790888*100000/1000000)+(31*0.2374*100000/1000000)</f>
        <v>1.2911152800000001</v>
      </c>
      <c r="Y519" s="58"/>
      <c r="Z519" s="10"/>
      <c r="AA519" s="57"/>
      <c r="AB519" s="51">
        <f>(B519*122.58+C519*297.941+D519*89.177+E519*40.302+F519*40+G519*160+H519*0+I519*100+J519*300)/(122.58+297.941+89.177+40.302+0+40+160+100+300)</f>
        <v>15.080485789565216</v>
      </c>
      <c r="AC519" s="27">
        <f>(M519*'RAP TEMPLATE-GAS AVAILABILITY'!O518+N519*'RAP TEMPLATE-GAS AVAILABILITY'!P518+O519*'RAP TEMPLATE-GAS AVAILABILITY'!Q518+P519*'RAP TEMPLATE-GAS AVAILABILITY'!R518)/('RAP TEMPLATE-GAS AVAILABILITY'!O518+'RAP TEMPLATE-GAS AVAILABILITY'!P518+'RAP TEMPLATE-GAS AVAILABILITY'!Q518+'RAP TEMPLATE-GAS AVAILABILITY'!R518)</f>
        <v>14.980294964028777</v>
      </c>
    </row>
    <row r="520" spans="1:29" ht="15.75" x14ac:dyDescent="0.25">
      <c r="A520" s="13">
        <v>57100</v>
      </c>
      <c r="B520" s="10">
        <f>CHOOSE(CONTROL!$C$42, 15.007, 15.007) * CHOOSE(CONTROL!$C$21, $C$9, 100%, $E$9)</f>
        <v>15.007</v>
      </c>
      <c r="C520" s="10">
        <f>CHOOSE(CONTROL!$C$42, 15.0114, 15.0114) * CHOOSE(CONTROL!$C$21, $C$9, 100%, $E$9)</f>
        <v>15.0114</v>
      </c>
      <c r="D520" s="10">
        <f>CHOOSE(CONTROL!$C$42, 15.1931, 15.1931) * CHOOSE(CONTROL!$C$21, $C$9, 100%, $E$9)</f>
        <v>15.193099999999999</v>
      </c>
      <c r="E520" s="10">
        <f>CHOOSE(CONTROL!$C$42, 15.2249, 15.2249) * CHOOSE(CONTROL!$C$21, $C$9, 100%, $E$9)</f>
        <v>15.2249</v>
      </c>
      <c r="F520" s="10">
        <f>CHOOSE(CONTROL!$C$42, 14.9954, 14.9954)*CHOOSE(CONTROL!$C$21, $C$9, 100%, $E$9)</f>
        <v>14.9954</v>
      </c>
      <c r="G520" s="10">
        <f>CHOOSE(CONTROL!$C$42, 15.0133, 15.0133)*CHOOSE(CONTROL!$C$21, $C$9, 100%, $E$9)</f>
        <v>15.013299999999999</v>
      </c>
      <c r="H520" s="10">
        <f>CHOOSE(CONTROL!$C$42, 15.2146, 15.2146) * CHOOSE(CONTROL!$C$21, $C$9, 100%, $E$9)</f>
        <v>15.214600000000001</v>
      </c>
      <c r="I520" s="10">
        <f>CHOOSE(CONTROL!$C$42, 14.9853, 14.9853)* CHOOSE(CONTROL!$C$21, $C$9, 100%, $E$9)</f>
        <v>14.985300000000001</v>
      </c>
      <c r="J520" s="10">
        <f>CHOOSE(CONTROL!$C$42, 14.9884, 14.9884)* CHOOSE(CONTROL!$C$21, $C$9, 100%, $E$9)</f>
        <v>14.9884</v>
      </c>
      <c r="K520" s="54">
        <f>CHOOSE(CONTROL!$C$42, 14.9814, 14.9814) * CHOOSE(CONTROL!$C$21, $C$9, 100%, $E$9)</f>
        <v>14.981400000000001</v>
      </c>
      <c r="L520" s="10">
        <f>CHOOSE(CONTROL!$C$42, 15.8016, 15.8016) * CHOOSE(CONTROL!$C$21, $C$9, 100%, $E$9)</f>
        <v>15.801600000000001</v>
      </c>
      <c r="M520" s="10">
        <f>CHOOSE(CONTROL!$C$42, 14.8509, 14.8509) * CHOOSE(CONTROL!$C$21, $C$9, 100%, $E$9)</f>
        <v>14.850899999999999</v>
      </c>
      <c r="N520" s="10">
        <f>CHOOSE(CONTROL!$C$42, 14.8687, 14.8687) * CHOOSE(CONTROL!$C$21, $C$9, 100%, $E$9)</f>
        <v>14.8687</v>
      </c>
      <c r="O520" s="10">
        <f>CHOOSE(CONTROL!$C$42, 15.0749, 15.0749) * CHOOSE(CONTROL!$C$21, $C$9, 100%, $E$9)</f>
        <v>15.0749</v>
      </c>
      <c r="P520" s="10">
        <f>CHOOSE(CONTROL!$C$42, 14.8479, 14.8479) * CHOOSE(CONTROL!$C$21, $C$9, 100%, $E$9)</f>
        <v>14.847899999999999</v>
      </c>
      <c r="Q520" s="10">
        <f>CHOOSE(CONTROL!$C$42, 15.6702, 15.6702) * CHOOSE(CONTROL!$C$21, $C$9, 100%, $E$9)</f>
        <v>15.670199999999999</v>
      </c>
      <c r="R520" s="10">
        <f>CHOOSE(CONTROL!$C$42, 16.2964, 16.2964) * CHOOSE(CONTROL!$C$21, $C$9, 100%, $E$9)</f>
        <v>16.296399999999998</v>
      </c>
      <c r="S520" s="10">
        <f>CHOOSE(CONTROL!$C$42, 14.5704, 14.5704) * CHOOSE(CONTROL!$C$21, $C$9, 100%, $E$9)</f>
        <v>14.570399999999999</v>
      </c>
      <c r="T520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20" s="58">
        <f>(1000*CHOOSE(CONTROL!$C$42, 695, 695)*CHOOSE(CONTROL!$C$42, 0.5599, 0.5599)*CHOOSE(CONTROL!$C$42, 30, 30))/1000000</f>
        <v>11.673914999999997</v>
      </c>
      <c r="V520" s="58">
        <f>(1000*CHOOSE(CONTROL!$C$42, 500, 500)*CHOOSE(CONTROL!$C$42, 0.275, 0.275)*CHOOSE(CONTROL!$C$42, 30, 30))/1000000</f>
        <v>4.125</v>
      </c>
      <c r="W520" s="58">
        <f>(1000*CHOOSE(CONTROL!$C$42, 0.1146, 0.1146)*CHOOSE(CONTROL!$C$42, 121.5, 121.5)*CHOOSE(CONTROL!$C$42, 30, 30))/1000000</f>
        <v>0.417717</v>
      </c>
      <c r="X520" s="58">
        <f>(30*0.1790888*245000/1000000)+(30*0.2374*100000/1000000)</f>
        <v>2.0285026799999999</v>
      </c>
      <c r="Y520" s="58"/>
      <c r="Z520" s="10"/>
      <c r="AA520" s="57"/>
      <c r="AB520" s="51">
        <f>(B520*141.293+C520*267.993+D520*115.016+E520*89.698+F520*40+G520*185+H520*0+I520*100+J520*300)/(141.293+267.993+115.016+89.698+0+40+185+100+300)</f>
        <v>15.035313430992739</v>
      </c>
      <c r="AC520" s="27">
        <f>(M520*'RAP TEMPLATE-GAS AVAILABILITY'!O519+N520*'RAP TEMPLATE-GAS AVAILABILITY'!P519+O520*'RAP TEMPLATE-GAS AVAILABILITY'!Q519+P520*'RAP TEMPLATE-GAS AVAILABILITY'!R519)/('RAP TEMPLATE-GAS AVAILABILITY'!O519+'RAP TEMPLATE-GAS AVAILABILITY'!P519+'RAP TEMPLATE-GAS AVAILABILITY'!Q519+'RAP TEMPLATE-GAS AVAILABILITY'!R519)</f>
        <v>14.917415107913671</v>
      </c>
    </row>
    <row r="521" spans="1:29" ht="15.75" x14ac:dyDescent="0.25">
      <c r="A521" s="13">
        <v>57131</v>
      </c>
      <c r="B521" s="10">
        <f>CHOOSE(CONTROL!$C$42, 15.1412, 15.1412) * CHOOSE(CONTROL!$C$21, $C$9, 100%, $E$9)</f>
        <v>15.1412</v>
      </c>
      <c r="C521" s="10">
        <f>CHOOSE(CONTROL!$C$42, 15.1492, 15.1492) * CHOOSE(CONTROL!$C$21, $C$9, 100%, $E$9)</f>
        <v>15.1492</v>
      </c>
      <c r="D521" s="10">
        <f>CHOOSE(CONTROL!$C$42, 15.3277, 15.3277) * CHOOSE(CONTROL!$C$21, $C$9, 100%, $E$9)</f>
        <v>15.3277</v>
      </c>
      <c r="E521" s="10">
        <f>CHOOSE(CONTROL!$C$42, 15.3588, 15.3588) * CHOOSE(CONTROL!$C$21, $C$9, 100%, $E$9)</f>
        <v>15.3588</v>
      </c>
      <c r="F521" s="10">
        <f>CHOOSE(CONTROL!$C$42, 15.1274, 15.1274)*CHOOSE(CONTROL!$C$21, $C$9, 100%, $E$9)</f>
        <v>15.1274</v>
      </c>
      <c r="G521" s="10">
        <f>CHOOSE(CONTROL!$C$42, 15.1456, 15.1456)*CHOOSE(CONTROL!$C$21, $C$9, 100%, $E$9)</f>
        <v>15.1456</v>
      </c>
      <c r="H521" s="10">
        <f>CHOOSE(CONTROL!$C$42, 15.3475, 15.3475) * CHOOSE(CONTROL!$C$21, $C$9, 100%, $E$9)</f>
        <v>15.3475</v>
      </c>
      <c r="I521" s="10">
        <f>CHOOSE(CONTROL!$C$42, 15.1181, 15.1181)* CHOOSE(CONTROL!$C$21, $C$9, 100%, $E$9)</f>
        <v>15.1181</v>
      </c>
      <c r="J521" s="10">
        <f>CHOOSE(CONTROL!$C$42, 15.1204, 15.1204)* CHOOSE(CONTROL!$C$21, $C$9, 100%, $E$9)</f>
        <v>15.1204</v>
      </c>
      <c r="K521" s="54">
        <f>CHOOSE(CONTROL!$C$42, 15.1142, 15.1142) * CHOOSE(CONTROL!$C$21, $C$9, 100%, $E$9)</f>
        <v>15.1142</v>
      </c>
      <c r="L521" s="10">
        <f>CHOOSE(CONTROL!$C$42, 15.9345, 15.9345) * CHOOSE(CONTROL!$C$21, $C$9, 100%, $E$9)</f>
        <v>15.9345</v>
      </c>
      <c r="M521" s="10">
        <f>CHOOSE(CONTROL!$C$42, 14.9817, 14.9817) * CHOOSE(CONTROL!$C$21, $C$9, 100%, $E$9)</f>
        <v>14.9817</v>
      </c>
      <c r="N521" s="10">
        <f>CHOOSE(CONTROL!$C$42, 14.9996, 14.9996) * CHOOSE(CONTROL!$C$21, $C$9, 100%, $E$9)</f>
        <v>14.999599999999999</v>
      </c>
      <c r="O521" s="10">
        <f>CHOOSE(CONTROL!$C$42, 15.2064, 15.2064) * CHOOSE(CONTROL!$C$21, $C$9, 100%, $E$9)</f>
        <v>15.2064</v>
      </c>
      <c r="P521" s="10">
        <f>CHOOSE(CONTROL!$C$42, 14.9794, 14.9794) * CHOOSE(CONTROL!$C$21, $C$9, 100%, $E$9)</f>
        <v>14.9794</v>
      </c>
      <c r="Q521" s="10">
        <f>CHOOSE(CONTROL!$C$42, 15.8017, 15.8017) * CHOOSE(CONTROL!$C$21, $C$9, 100%, $E$9)</f>
        <v>15.8017</v>
      </c>
      <c r="R521" s="10">
        <f>CHOOSE(CONTROL!$C$42, 16.4282, 16.4282) * CHOOSE(CONTROL!$C$21, $C$9, 100%, $E$9)</f>
        <v>16.4282</v>
      </c>
      <c r="S521" s="10">
        <f>CHOOSE(CONTROL!$C$42, 14.6994, 14.6994) * CHOOSE(CONTROL!$C$21, $C$9, 100%, $E$9)</f>
        <v>14.699400000000001</v>
      </c>
      <c r="T521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21" s="58">
        <f>(1000*CHOOSE(CONTROL!$C$42, 695, 695)*CHOOSE(CONTROL!$C$42, 0.5599, 0.5599)*CHOOSE(CONTROL!$C$42, 31, 31))/1000000</f>
        <v>12.063045499999998</v>
      </c>
      <c r="V521" s="58">
        <f>(1000*CHOOSE(CONTROL!$C$42, 500, 500)*CHOOSE(CONTROL!$C$42, 0.275, 0.275)*CHOOSE(CONTROL!$C$42, 31, 31))/1000000</f>
        <v>4.2625000000000002</v>
      </c>
      <c r="W521" s="58">
        <f>(1000*CHOOSE(CONTROL!$C$42, 0.1146, 0.1146)*CHOOSE(CONTROL!$C$42, 121.5, 121.5)*CHOOSE(CONTROL!$C$42, 31, 31))/1000000</f>
        <v>0.43164089999999994</v>
      </c>
      <c r="X521" s="58">
        <f>(31*0.1790888*245000/1000000)+(31*0.2374*100000/1000000)</f>
        <v>2.0961194359999999</v>
      </c>
      <c r="Y521" s="58"/>
      <c r="Z521" s="10"/>
      <c r="AA521" s="57"/>
      <c r="AB521" s="51">
        <f>(B521*194.205+C521*267.466+D521*133.845+E521*53.484+F521*40+G521*185+H521*0+I521*100+J521*300)/(194.205+267.466+133.845+53.484+0+40+185+100+300)</f>
        <v>15.165102620800626</v>
      </c>
      <c r="AC521" s="27">
        <f>(M521*'RAP TEMPLATE-GAS AVAILABILITY'!O520+N521*'RAP TEMPLATE-GAS AVAILABILITY'!P520+O521*'RAP TEMPLATE-GAS AVAILABILITY'!Q520+P521*'RAP TEMPLATE-GAS AVAILABILITY'!R520)/('RAP TEMPLATE-GAS AVAILABILITY'!O520+'RAP TEMPLATE-GAS AVAILABILITY'!P520+'RAP TEMPLATE-GAS AVAILABILITY'!Q520+'RAP TEMPLATE-GAS AVAILABILITY'!R520)</f>
        <v>15.048535251798562</v>
      </c>
    </row>
    <row r="522" spans="1:29" ht="15.75" x14ac:dyDescent="0.25">
      <c r="A522" s="13">
        <v>57161</v>
      </c>
      <c r="B522" s="10">
        <f>CHOOSE(CONTROL!$C$42, 15.5706, 15.5706) * CHOOSE(CONTROL!$C$21, $C$9, 100%, $E$9)</f>
        <v>15.570600000000001</v>
      </c>
      <c r="C522" s="10">
        <f>CHOOSE(CONTROL!$C$42, 15.5785, 15.5785) * CHOOSE(CONTROL!$C$21, $C$9, 100%, $E$9)</f>
        <v>15.5785</v>
      </c>
      <c r="D522" s="10">
        <f>CHOOSE(CONTROL!$C$42, 15.757, 15.757) * CHOOSE(CONTROL!$C$21, $C$9, 100%, $E$9)</f>
        <v>15.757</v>
      </c>
      <c r="E522" s="10">
        <f>CHOOSE(CONTROL!$C$42, 15.7882, 15.7882) * CHOOSE(CONTROL!$C$21, $C$9, 100%, $E$9)</f>
        <v>15.7882</v>
      </c>
      <c r="F522" s="10">
        <f>CHOOSE(CONTROL!$C$42, 15.557, 15.557)*CHOOSE(CONTROL!$C$21, $C$9, 100%, $E$9)</f>
        <v>15.557</v>
      </c>
      <c r="G522" s="10">
        <f>CHOOSE(CONTROL!$C$42, 15.5753, 15.5753)*CHOOSE(CONTROL!$C$21, $C$9, 100%, $E$9)</f>
        <v>15.5753</v>
      </c>
      <c r="H522" s="10">
        <f>CHOOSE(CONTROL!$C$42, 15.7768, 15.7768) * CHOOSE(CONTROL!$C$21, $C$9, 100%, $E$9)</f>
        <v>15.7768</v>
      </c>
      <c r="I522" s="10">
        <f>CHOOSE(CONTROL!$C$42, 15.5475, 15.5475)* CHOOSE(CONTROL!$C$21, $C$9, 100%, $E$9)</f>
        <v>15.547499999999999</v>
      </c>
      <c r="J522" s="10">
        <f>CHOOSE(CONTROL!$C$42, 15.55, 15.55)* CHOOSE(CONTROL!$C$21, $C$9, 100%, $E$9)</f>
        <v>15.55</v>
      </c>
      <c r="K522" s="54">
        <f>CHOOSE(CONTROL!$C$42, 15.5436, 15.5436) * CHOOSE(CONTROL!$C$21, $C$9, 100%, $E$9)</f>
        <v>15.5436</v>
      </c>
      <c r="L522" s="10">
        <f>CHOOSE(CONTROL!$C$42, 16.3638, 16.3638) * CHOOSE(CONTROL!$C$21, $C$9, 100%, $E$9)</f>
        <v>16.363800000000001</v>
      </c>
      <c r="M522" s="10">
        <f>CHOOSE(CONTROL!$C$42, 15.4069, 15.4069) * CHOOSE(CONTROL!$C$21, $C$9, 100%, $E$9)</f>
        <v>15.4069</v>
      </c>
      <c r="N522" s="10">
        <f>CHOOSE(CONTROL!$C$42, 15.425, 15.425) * CHOOSE(CONTROL!$C$21, $C$9, 100%, $E$9)</f>
        <v>15.425000000000001</v>
      </c>
      <c r="O522" s="10">
        <f>CHOOSE(CONTROL!$C$42, 15.6314, 15.6314) * CHOOSE(CONTROL!$C$21, $C$9, 100%, $E$9)</f>
        <v>15.631399999999999</v>
      </c>
      <c r="P522" s="10">
        <f>CHOOSE(CONTROL!$C$42, 15.4044, 15.4044) * CHOOSE(CONTROL!$C$21, $C$9, 100%, $E$9)</f>
        <v>15.404400000000001</v>
      </c>
      <c r="Q522" s="10">
        <f>CHOOSE(CONTROL!$C$42, 16.2267, 16.2267) * CHOOSE(CONTROL!$C$21, $C$9, 100%, $E$9)</f>
        <v>16.226700000000001</v>
      </c>
      <c r="R522" s="10">
        <f>CHOOSE(CONTROL!$C$42, 16.8543, 16.8543) * CHOOSE(CONTROL!$C$21, $C$9, 100%, $E$9)</f>
        <v>16.854299999999999</v>
      </c>
      <c r="S522" s="10">
        <f>CHOOSE(CONTROL!$C$42, 15.1163, 15.1163) * CHOOSE(CONTROL!$C$21, $C$9, 100%, $E$9)</f>
        <v>15.116300000000001</v>
      </c>
      <c r="T522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22" s="58">
        <f>(1000*CHOOSE(CONTROL!$C$42, 695, 695)*CHOOSE(CONTROL!$C$42, 0.5599, 0.5599)*CHOOSE(CONTROL!$C$42, 30, 30))/1000000</f>
        <v>11.673914999999997</v>
      </c>
      <c r="V522" s="58">
        <f>(1000*CHOOSE(CONTROL!$C$42, 500, 500)*CHOOSE(CONTROL!$C$42, 0.275, 0.275)*CHOOSE(CONTROL!$C$42, 30, 30))/1000000</f>
        <v>4.125</v>
      </c>
      <c r="W522" s="58">
        <f>(1000*CHOOSE(CONTROL!$C$42, 0.1146, 0.1146)*CHOOSE(CONTROL!$C$42, 121.5, 121.5)*CHOOSE(CONTROL!$C$42, 30, 30))/1000000</f>
        <v>0.417717</v>
      </c>
      <c r="X522" s="58">
        <f>(30*0.1790888*245000/1000000)+(30*0.2374*100000/1000000)</f>
        <v>2.0285026799999999</v>
      </c>
      <c r="Y522" s="58"/>
      <c r="Z522" s="10"/>
      <c r="AA522" s="57"/>
      <c r="AB522" s="51">
        <f>(B522*194.205+C522*267.466+D522*133.845+E522*53.484+F522*40+G522*185+H522*0+I522*100+J522*300)/(194.205+267.466+133.845+53.484+0+40+185+100+300)</f>
        <v>15.594568059497648</v>
      </c>
      <c r="AC522" s="27">
        <f>(M522*'RAP TEMPLATE-GAS AVAILABILITY'!O521+N522*'RAP TEMPLATE-GAS AVAILABILITY'!P521+O522*'RAP TEMPLATE-GAS AVAILABILITY'!Q521+P522*'RAP TEMPLATE-GAS AVAILABILITY'!R521)/('RAP TEMPLATE-GAS AVAILABILITY'!O521+'RAP TEMPLATE-GAS AVAILABILITY'!P521+'RAP TEMPLATE-GAS AVAILABILITY'!Q521+'RAP TEMPLATE-GAS AVAILABILITY'!R521)</f>
        <v>15.4736964028777</v>
      </c>
    </row>
    <row r="523" spans="1:29" ht="15.75" x14ac:dyDescent="0.25">
      <c r="A523" s="13">
        <v>57192</v>
      </c>
      <c r="B523" s="10">
        <f>CHOOSE(CONTROL!$C$42, 15.272, 15.272) * CHOOSE(CONTROL!$C$21, $C$9, 100%, $E$9)</f>
        <v>15.272</v>
      </c>
      <c r="C523" s="10">
        <f>CHOOSE(CONTROL!$C$42, 15.2799, 15.2799) * CHOOSE(CONTROL!$C$21, $C$9, 100%, $E$9)</f>
        <v>15.2799</v>
      </c>
      <c r="D523" s="10">
        <f>CHOOSE(CONTROL!$C$42, 15.4584, 15.4584) * CHOOSE(CONTROL!$C$21, $C$9, 100%, $E$9)</f>
        <v>15.458399999999999</v>
      </c>
      <c r="E523" s="10">
        <f>CHOOSE(CONTROL!$C$42, 15.4896, 15.4896) * CHOOSE(CONTROL!$C$21, $C$9, 100%, $E$9)</f>
        <v>15.489599999999999</v>
      </c>
      <c r="F523" s="10">
        <f>CHOOSE(CONTROL!$C$42, 15.2587, 15.2587)*CHOOSE(CONTROL!$C$21, $C$9, 100%, $E$9)</f>
        <v>15.258699999999999</v>
      </c>
      <c r="G523" s="10">
        <f>CHOOSE(CONTROL!$C$42, 15.277, 15.277)*CHOOSE(CONTROL!$C$21, $C$9, 100%, $E$9)</f>
        <v>15.276999999999999</v>
      </c>
      <c r="H523" s="10">
        <f>CHOOSE(CONTROL!$C$42, 15.4782, 15.4782) * CHOOSE(CONTROL!$C$21, $C$9, 100%, $E$9)</f>
        <v>15.478199999999999</v>
      </c>
      <c r="I523" s="10">
        <f>CHOOSE(CONTROL!$C$42, 15.2488, 15.2488)* CHOOSE(CONTROL!$C$21, $C$9, 100%, $E$9)</f>
        <v>15.248799999999999</v>
      </c>
      <c r="J523" s="10">
        <f>CHOOSE(CONTROL!$C$42, 15.2517, 15.2517)* CHOOSE(CONTROL!$C$21, $C$9, 100%, $E$9)</f>
        <v>15.2517</v>
      </c>
      <c r="K523" s="54">
        <f>CHOOSE(CONTROL!$C$42, 15.2449, 15.2449) * CHOOSE(CONTROL!$C$21, $C$9, 100%, $E$9)</f>
        <v>15.244899999999999</v>
      </c>
      <c r="L523" s="10">
        <f>CHOOSE(CONTROL!$C$42, 16.0652, 16.0652) * CHOOSE(CONTROL!$C$21, $C$9, 100%, $E$9)</f>
        <v>16.065200000000001</v>
      </c>
      <c r="M523" s="10">
        <f>CHOOSE(CONTROL!$C$42, 15.1116, 15.1116) * CHOOSE(CONTROL!$C$21, $C$9, 100%, $E$9)</f>
        <v>15.111599999999999</v>
      </c>
      <c r="N523" s="10">
        <f>CHOOSE(CONTROL!$C$42, 15.1297, 15.1297) * CHOOSE(CONTROL!$C$21, $C$9, 100%, $E$9)</f>
        <v>15.1297</v>
      </c>
      <c r="O523" s="10">
        <f>CHOOSE(CONTROL!$C$42, 15.3358, 15.3358) * CHOOSE(CONTROL!$C$21, $C$9, 100%, $E$9)</f>
        <v>15.335800000000001</v>
      </c>
      <c r="P523" s="10">
        <f>CHOOSE(CONTROL!$C$42, 15.1088, 15.1088) * CHOOSE(CONTROL!$C$21, $C$9, 100%, $E$9)</f>
        <v>15.1088</v>
      </c>
      <c r="Q523" s="10">
        <f>CHOOSE(CONTROL!$C$42, 15.9311, 15.9311) * CHOOSE(CONTROL!$C$21, $C$9, 100%, $E$9)</f>
        <v>15.931100000000001</v>
      </c>
      <c r="R523" s="10">
        <f>CHOOSE(CONTROL!$C$42, 16.5579, 16.5579) * CHOOSE(CONTROL!$C$21, $C$9, 100%, $E$9)</f>
        <v>16.5579</v>
      </c>
      <c r="S523" s="10">
        <f>CHOOSE(CONTROL!$C$42, 14.8264, 14.8264) * CHOOSE(CONTROL!$C$21, $C$9, 100%, $E$9)</f>
        <v>14.8264</v>
      </c>
      <c r="T523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23" s="58">
        <f>(1000*CHOOSE(CONTROL!$C$42, 695, 695)*CHOOSE(CONTROL!$C$42, 0.5599, 0.5599)*CHOOSE(CONTROL!$C$42, 31, 31))/1000000</f>
        <v>12.063045499999998</v>
      </c>
      <c r="V523" s="58">
        <f>(1000*CHOOSE(CONTROL!$C$42, 500, 500)*CHOOSE(CONTROL!$C$42, 0.275, 0.275)*CHOOSE(CONTROL!$C$42, 31, 31))/1000000</f>
        <v>4.2625000000000002</v>
      </c>
      <c r="W523" s="58">
        <f>(1000*CHOOSE(CONTROL!$C$42, 0.1146, 0.1146)*CHOOSE(CONTROL!$C$42, 121.5, 121.5)*CHOOSE(CONTROL!$C$42, 31, 31))/1000000</f>
        <v>0.43164089999999994</v>
      </c>
      <c r="X523" s="58">
        <f>(31*0.1790888*245000/1000000)+(31*0.2374*100000/1000000)</f>
        <v>2.0961194359999999</v>
      </c>
      <c r="Y523" s="58"/>
      <c r="Z523" s="10"/>
      <c r="AA523" s="57"/>
      <c r="AB523" s="51">
        <f>(B523*194.205+C523*267.466+D523*133.845+E523*53.484+F523*40+G523*185+H523*0+I523*100+J523*300)/(194.205+267.466+133.845+53.484+0+40+185+100+300)</f>
        <v>15.296083836577706</v>
      </c>
      <c r="AC523" s="27">
        <f>(M523*'RAP TEMPLATE-GAS AVAILABILITY'!O522+N523*'RAP TEMPLATE-GAS AVAILABILITY'!P522+O523*'RAP TEMPLATE-GAS AVAILABILITY'!Q522+P523*'RAP TEMPLATE-GAS AVAILABILITY'!R522)/('RAP TEMPLATE-GAS AVAILABILITY'!O522+'RAP TEMPLATE-GAS AVAILABILITY'!P522+'RAP TEMPLATE-GAS AVAILABILITY'!Q522+'RAP TEMPLATE-GAS AVAILABILITY'!R522)</f>
        <v>15.178269064748203</v>
      </c>
    </row>
    <row r="524" spans="1:29" ht="15.75" x14ac:dyDescent="0.25">
      <c r="A524" s="13">
        <v>57223</v>
      </c>
      <c r="B524" s="10">
        <f>CHOOSE(CONTROL!$C$42, 14.5179, 14.5179) * CHOOSE(CONTROL!$C$21, $C$9, 100%, $E$9)</f>
        <v>14.517899999999999</v>
      </c>
      <c r="C524" s="10">
        <f>CHOOSE(CONTROL!$C$42, 14.5258, 14.5258) * CHOOSE(CONTROL!$C$21, $C$9, 100%, $E$9)</f>
        <v>14.5258</v>
      </c>
      <c r="D524" s="10">
        <f>CHOOSE(CONTROL!$C$42, 14.7043, 14.7043) * CHOOSE(CONTROL!$C$21, $C$9, 100%, $E$9)</f>
        <v>14.7043</v>
      </c>
      <c r="E524" s="10">
        <f>CHOOSE(CONTROL!$C$42, 14.7355, 14.7355) * CHOOSE(CONTROL!$C$21, $C$9, 100%, $E$9)</f>
        <v>14.7355</v>
      </c>
      <c r="F524" s="10">
        <f>CHOOSE(CONTROL!$C$42, 14.5045, 14.5045)*CHOOSE(CONTROL!$C$21, $C$9, 100%, $E$9)</f>
        <v>14.5045</v>
      </c>
      <c r="G524" s="10">
        <f>CHOOSE(CONTROL!$C$42, 14.5228, 14.5228)*CHOOSE(CONTROL!$C$21, $C$9, 100%, $E$9)</f>
        <v>14.5228</v>
      </c>
      <c r="H524" s="10">
        <f>CHOOSE(CONTROL!$C$42, 14.7241, 14.7241) * CHOOSE(CONTROL!$C$21, $C$9, 100%, $E$9)</f>
        <v>14.7241</v>
      </c>
      <c r="I524" s="10">
        <f>CHOOSE(CONTROL!$C$42, 14.4947, 14.4947)* CHOOSE(CONTROL!$C$21, $C$9, 100%, $E$9)</f>
        <v>14.4947</v>
      </c>
      <c r="J524" s="10">
        <f>CHOOSE(CONTROL!$C$42, 14.4975, 14.4975)* CHOOSE(CONTROL!$C$21, $C$9, 100%, $E$9)</f>
        <v>14.4975</v>
      </c>
      <c r="K524" s="54">
        <f>CHOOSE(CONTROL!$C$42, 14.4909, 14.4909) * CHOOSE(CONTROL!$C$21, $C$9, 100%, $E$9)</f>
        <v>14.4909</v>
      </c>
      <c r="L524" s="10">
        <f>CHOOSE(CONTROL!$C$42, 15.3111, 15.3111) * CHOOSE(CONTROL!$C$21, $C$9, 100%, $E$9)</f>
        <v>15.3111</v>
      </c>
      <c r="M524" s="10">
        <f>CHOOSE(CONTROL!$C$42, 14.365, 14.365) * CHOOSE(CONTROL!$C$21, $C$9, 100%, $E$9)</f>
        <v>14.365</v>
      </c>
      <c r="N524" s="10">
        <f>CHOOSE(CONTROL!$C$42, 14.3832, 14.3832) * CHOOSE(CONTROL!$C$21, $C$9, 100%, $E$9)</f>
        <v>14.3832</v>
      </c>
      <c r="O524" s="10">
        <f>CHOOSE(CONTROL!$C$42, 14.5893, 14.5893) * CHOOSE(CONTROL!$C$21, $C$9, 100%, $E$9)</f>
        <v>14.5893</v>
      </c>
      <c r="P524" s="10">
        <f>CHOOSE(CONTROL!$C$42, 14.3623, 14.3623) * CHOOSE(CONTROL!$C$21, $C$9, 100%, $E$9)</f>
        <v>14.362299999999999</v>
      </c>
      <c r="Q524" s="10">
        <f>CHOOSE(CONTROL!$C$42, 15.1846, 15.1846) * CHOOSE(CONTROL!$C$21, $C$9, 100%, $E$9)</f>
        <v>15.1846</v>
      </c>
      <c r="R524" s="10">
        <f>CHOOSE(CONTROL!$C$42, 15.8096, 15.8096) * CHOOSE(CONTROL!$C$21, $C$9, 100%, $E$9)</f>
        <v>15.8096</v>
      </c>
      <c r="S524" s="10">
        <f>CHOOSE(CONTROL!$C$42, 14.0941, 14.0941) * CHOOSE(CONTROL!$C$21, $C$9, 100%, $E$9)</f>
        <v>14.094099999999999</v>
      </c>
      <c r="T524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24" s="58">
        <f>(1000*CHOOSE(CONTROL!$C$42, 695, 695)*CHOOSE(CONTROL!$C$42, 0.5599, 0.5599)*CHOOSE(CONTROL!$C$42, 31, 31))/1000000</f>
        <v>12.063045499999998</v>
      </c>
      <c r="V524" s="58">
        <f>(1000*CHOOSE(CONTROL!$C$42, 500, 500)*CHOOSE(CONTROL!$C$42, 0.275, 0.275)*CHOOSE(CONTROL!$C$42, 31, 31))/1000000</f>
        <v>4.2625000000000002</v>
      </c>
      <c r="W524" s="58">
        <f>(1000*CHOOSE(CONTROL!$C$42, 0.1146, 0.1146)*CHOOSE(CONTROL!$C$42, 121.5, 121.5)*CHOOSE(CONTROL!$C$42, 31, 31))/1000000</f>
        <v>0.43164089999999994</v>
      </c>
      <c r="X524" s="58">
        <f>(31*0.1790888*245000/1000000)+(31*0.2374*100000/1000000)</f>
        <v>2.0961194359999999</v>
      </c>
      <c r="Y524" s="58"/>
      <c r="Z524" s="10"/>
      <c r="AA524" s="57"/>
      <c r="AB524" s="51">
        <f>(B524*194.205+C524*267.466+D524*133.845+E524*53.484+F524*40+G524*185+H524*0+I524*100+J524*300)/(194.205+267.466+133.845+53.484+0+40+185+100+300)</f>
        <v>14.541942627786501</v>
      </c>
      <c r="AC524" s="27">
        <f>(M524*'RAP TEMPLATE-GAS AVAILABILITY'!O523+N524*'RAP TEMPLATE-GAS AVAILABILITY'!P523+O524*'RAP TEMPLATE-GAS AVAILABILITY'!Q523+P524*'RAP TEMPLATE-GAS AVAILABILITY'!R523)/('RAP TEMPLATE-GAS AVAILABILITY'!O523+'RAP TEMPLATE-GAS AVAILABILITY'!P523+'RAP TEMPLATE-GAS AVAILABILITY'!Q523+'RAP TEMPLATE-GAS AVAILABILITY'!R523)</f>
        <v>14.431734532374101</v>
      </c>
    </row>
    <row r="525" spans="1:29" ht="15.75" x14ac:dyDescent="0.25">
      <c r="A525" s="13">
        <v>57253</v>
      </c>
      <c r="B525" s="10">
        <f>CHOOSE(CONTROL!$C$42, 13.5965, 13.5965) * CHOOSE(CONTROL!$C$21, $C$9, 100%, $E$9)</f>
        <v>13.596500000000001</v>
      </c>
      <c r="C525" s="10">
        <f>CHOOSE(CONTROL!$C$42, 13.6044, 13.6044) * CHOOSE(CONTROL!$C$21, $C$9, 100%, $E$9)</f>
        <v>13.6044</v>
      </c>
      <c r="D525" s="10">
        <f>CHOOSE(CONTROL!$C$42, 13.783, 13.783) * CHOOSE(CONTROL!$C$21, $C$9, 100%, $E$9)</f>
        <v>13.782999999999999</v>
      </c>
      <c r="E525" s="10">
        <f>CHOOSE(CONTROL!$C$42, 13.8141, 13.8141) * CHOOSE(CONTROL!$C$21, $C$9, 100%, $E$9)</f>
        <v>13.8141</v>
      </c>
      <c r="F525" s="10">
        <f>CHOOSE(CONTROL!$C$42, 13.5829, 13.5829)*CHOOSE(CONTROL!$C$21, $C$9, 100%, $E$9)</f>
        <v>13.5829</v>
      </c>
      <c r="G525" s="10">
        <f>CHOOSE(CONTROL!$C$42, 13.6011, 13.6011)*CHOOSE(CONTROL!$C$21, $C$9, 100%, $E$9)</f>
        <v>13.601100000000001</v>
      </c>
      <c r="H525" s="10">
        <f>CHOOSE(CONTROL!$C$42, 13.8027, 13.8027) * CHOOSE(CONTROL!$C$21, $C$9, 100%, $E$9)</f>
        <v>13.8027</v>
      </c>
      <c r="I525" s="10">
        <f>CHOOSE(CONTROL!$C$42, 13.5734, 13.5734)* CHOOSE(CONTROL!$C$21, $C$9, 100%, $E$9)</f>
        <v>13.573399999999999</v>
      </c>
      <c r="J525" s="10">
        <f>CHOOSE(CONTROL!$C$42, 13.5759, 13.5759)* CHOOSE(CONTROL!$C$21, $C$9, 100%, $E$9)</f>
        <v>13.575900000000001</v>
      </c>
      <c r="K525" s="54">
        <f>CHOOSE(CONTROL!$C$42, 13.5695, 13.5695) * CHOOSE(CONTROL!$C$21, $C$9, 100%, $E$9)</f>
        <v>13.5695</v>
      </c>
      <c r="L525" s="10">
        <f>CHOOSE(CONTROL!$C$42, 14.3897, 14.3897) * CHOOSE(CONTROL!$C$21, $C$9, 100%, $E$9)</f>
        <v>14.389699999999999</v>
      </c>
      <c r="M525" s="10">
        <f>CHOOSE(CONTROL!$C$42, 13.4527, 13.4527) * CHOOSE(CONTROL!$C$21, $C$9, 100%, $E$9)</f>
        <v>13.4527</v>
      </c>
      <c r="N525" s="10">
        <f>CHOOSE(CONTROL!$C$42, 13.4708, 13.4708) * CHOOSE(CONTROL!$C$21, $C$9, 100%, $E$9)</f>
        <v>13.470800000000001</v>
      </c>
      <c r="O525" s="10">
        <f>CHOOSE(CONTROL!$C$42, 13.6773, 13.6773) * CHOOSE(CONTROL!$C$21, $C$9, 100%, $E$9)</f>
        <v>13.677300000000001</v>
      </c>
      <c r="P525" s="10">
        <f>CHOOSE(CONTROL!$C$42, 13.4503, 13.4503) * CHOOSE(CONTROL!$C$21, $C$9, 100%, $E$9)</f>
        <v>13.4503</v>
      </c>
      <c r="Q525" s="10">
        <f>CHOOSE(CONTROL!$C$42, 14.2726, 14.2726) * CHOOSE(CONTROL!$C$21, $C$9, 100%, $E$9)</f>
        <v>14.272600000000001</v>
      </c>
      <c r="R525" s="10">
        <f>CHOOSE(CONTROL!$C$42, 14.8953, 14.8953) * CHOOSE(CONTROL!$C$21, $C$9, 100%, $E$9)</f>
        <v>14.895300000000001</v>
      </c>
      <c r="S525" s="10">
        <f>CHOOSE(CONTROL!$C$42, 13.1993, 13.1993) * CHOOSE(CONTROL!$C$21, $C$9, 100%, $E$9)</f>
        <v>13.199299999999999</v>
      </c>
      <c r="T525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25" s="58">
        <f>(1000*CHOOSE(CONTROL!$C$42, 695, 695)*CHOOSE(CONTROL!$C$42, 0.5599, 0.5599)*CHOOSE(CONTROL!$C$42, 30, 30))/1000000</f>
        <v>11.673914999999997</v>
      </c>
      <c r="V525" s="58">
        <f>(1000*CHOOSE(CONTROL!$C$42, 500, 500)*CHOOSE(CONTROL!$C$42, 0.275, 0.275)*CHOOSE(CONTROL!$C$42, 30, 30))/1000000</f>
        <v>4.125</v>
      </c>
      <c r="W525" s="58">
        <f>(1000*CHOOSE(CONTROL!$C$42, 0.1146, 0.1146)*CHOOSE(CONTROL!$C$42, 121.5, 121.5)*CHOOSE(CONTROL!$C$42, 30, 30))/1000000</f>
        <v>0.417717</v>
      </c>
      <c r="X525" s="58">
        <f>(30*0.1790888*245000/1000000)+(30*0.2374*100000/1000000)</f>
        <v>2.0285026799999999</v>
      </c>
      <c r="Y525" s="58"/>
      <c r="Z525" s="10"/>
      <c r="AA525" s="57"/>
      <c r="AB525" s="51">
        <f>(B525*194.205+C525*267.466+D525*133.845+E525*53.484+F525*40+G525*185+H525*0+I525*100+J525*300)/(194.205+267.466+133.845+53.484+0+40+185+100+300)</f>
        <v>13.620464044191522</v>
      </c>
      <c r="AC525" s="27">
        <f>(M525*'RAP TEMPLATE-GAS AVAILABILITY'!O524+N525*'RAP TEMPLATE-GAS AVAILABILITY'!P524+O525*'RAP TEMPLATE-GAS AVAILABILITY'!Q524+P525*'RAP TEMPLATE-GAS AVAILABILITY'!R524)/('RAP TEMPLATE-GAS AVAILABILITY'!O524+'RAP TEMPLATE-GAS AVAILABILITY'!P524+'RAP TEMPLATE-GAS AVAILABILITY'!Q524+'RAP TEMPLATE-GAS AVAILABILITY'!R524)</f>
        <v>13.519538848920865</v>
      </c>
    </row>
    <row r="526" spans="1:29" ht="15.75" x14ac:dyDescent="0.25">
      <c r="A526" s="13">
        <v>57284</v>
      </c>
      <c r="B526" s="10">
        <f>CHOOSE(CONTROL!$C$42, 13.3184, 13.3184) * CHOOSE(CONTROL!$C$21, $C$9, 100%, $E$9)</f>
        <v>13.3184</v>
      </c>
      <c r="C526" s="10">
        <f>CHOOSE(CONTROL!$C$42, 13.3236, 13.3236) * CHOOSE(CONTROL!$C$21, $C$9, 100%, $E$9)</f>
        <v>13.323600000000001</v>
      </c>
      <c r="D526" s="10">
        <f>CHOOSE(CONTROL!$C$42, 13.5071, 13.5071) * CHOOSE(CONTROL!$C$21, $C$9, 100%, $E$9)</f>
        <v>13.507099999999999</v>
      </c>
      <c r="E526" s="10">
        <f>CHOOSE(CONTROL!$C$42, 13.5359, 13.5359) * CHOOSE(CONTROL!$C$21, $C$9, 100%, $E$9)</f>
        <v>13.5359</v>
      </c>
      <c r="F526" s="10">
        <f>CHOOSE(CONTROL!$C$42, 13.3067, 13.3067)*CHOOSE(CONTROL!$C$21, $C$9, 100%, $E$9)</f>
        <v>13.306699999999999</v>
      </c>
      <c r="G526" s="10">
        <f>CHOOSE(CONTROL!$C$42, 13.3246, 13.3246)*CHOOSE(CONTROL!$C$21, $C$9, 100%, $E$9)</f>
        <v>13.3246</v>
      </c>
      <c r="H526" s="10">
        <f>CHOOSE(CONTROL!$C$42, 13.5264, 13.5264) * CHOOSE(CONTROL!$C$21, $C$9, 100%, $E$9)</f>
        <v>13.526400000000001</v>
      </c>
      <c r="I526" s="10">
        <f>CHOOSE(CONTROL!$C$42, 13.2971, 13.2971)* CHOOSE(CONTROL!$C$21, $C$9, 100%, $E$9)</f>
        <v>13.2971</v>
      </c>
      <c r="J526" s="10">
        <f>CHOOSE(CONTROL!$C$42, 13.2997, 13.2997)* CHOOSE(CONTROL!$C$21, $C$9, 100%, $E$9)</f>
        <v>13.2997</v>
      </c>
      <c r="K526" s="54">
        <f>CHOOSE(CONTROL!$C$42, 13.2932, 13.2932) * CHOOSE(CONTROL!$C$21, $C$9, 100%, $E$9)</f>
        <v>13.293200000000001</v>
      </c>
      <c r="L526" s="10">
        <f>CHOOSE(CONTROL!$C$42, 14.1134, 14.1134) * CHOOSE(CONTROL!$C$21, $C$9, 100%, $E$9)</f>
        <v>14.1134</v>
      </c>
      <c r="M526" s="10">
        <f>CHOOSE(CONTROL!$C$42, 13.1794, 13.1794) * CHOOSE(CONTROL!$C$21, $C$9, 100%, $E$9)</f>
        <v>13.179399999999999</v>
      </c>
      <c r="N526" s="10">
        <f>CHOOSE(CONTROL!$C$42, 13.1971, 13.1971) * CHOOSE(CONTROL!$C$21, $C$9, 100%, $E$9)</f>
        <v>13.197100000000001</v>
      </c>
      <c r="O526" s="10">
        <f>CHOOSE(CONTROL!$C$42, 13.4037, 13.4037) * CHOOSE(CONTROL!$C$21, $C$9, 100%, $E$9)</f>
        <v>13.403700000000001</v>
      </c>
      <c r="P526" s="10">
        <f>CHOOSE(CONTROL!$C$42, 13.1767, 13.1767) * CHOOSE(CONTROL!$C$21, $C$9, 100%, $E$9)</f>
        <v>13.1767</v>
      </c>
      <c r="Q526" s="10">
        <f>CHOOSE(CONTROL!$C$42, 13.999, 13.999) * CHOOSE(CONTROL!$C$21, $C$9, 100%, $E$9)</f>
        <v>13.999000000000001</v>
      </c>
      <c r="R526" s="10">
        <f>CHOOSE(CONTROL!$C$42, 14.621, 14.621) * CHOOSE(CONTROL!$C$21, $C$9, 100%, $E$9)</f>
        <v>14.621</v>
      </c>
      <c r="S526" s="10">
        <f>CHOOSE(CONTROL!$C$42, 12.931, 12.931) * CHOOSE(CONTROL!$C$21, $C$9, 100%, $E$9)</f>
        <v>12.930999999999999</v>
      </c>
      <c r="T526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26" s="58">
        <f>(1000*CHOOSE(CONTROL!$C$42, 695, 695)*CHOOSE(CONTROL!$C$42, 0.5599, 0.5599)*CHOOSE(CONTROL!$C$42, 31, 31))/1000000</f>
        <v>12.063045499999998</v>
      </c>
      <c r="V526" s="58">
        <f>(1000*CHOOSE(CONTROL!$C$42, 500, 500)*CHOOSE(CONTROL!$C$42, 0.275, 0.275)*CHOOSE(CONTROL!$C$42, 31, 31))/1000000</f>
        <v>4.2625000000000002</v>
      </c>
      <c r="W526" s="58">
        <f>(1000*CHOOSE(CONTROL!$C$42, 0.1146, 0.1146)*CHOOSE(CONTROL!$C$42, 121.5, 121.5)*CHOOSE(CONTROL!$C$42, 31, 31))/1000000</f>
        <v>0.43164089999999994</v>
      </c>
      <c r="X526" s="58">
        <f>(31*0.1790888*245000/1000000)+(31*0.2374*100000/1000000)</f>
        <v>2.0961194359999999</v>
      </c>
      <c r="Y526" s="58"/>
      <c r="Z526" s="10"/>
      <c r="AA526" s="57"/>
      <c r="AB526" s="51">
        <f>(B526*131.881+C526*277.167+D526*79.08+E526*125.872+F526*40+G526*185+H526*0+I526*100+J526*300)/(131.881+277.167+79.08+125.872+0+40+185+100+300)</f>
        <v>13.348004378046809</v>
      </c>
      <c r="AC526" s="27">
        <f>(M526*'RAP TEMPLATE-GAS AVAILABILITY'!O525+N526*'RAP TEMPLATE-GAS AVAILABILITY'!P525+O526*'RAP TEMPLATE-GAS AVAILABILITY'!Q525+P526*'RAP TEMPLATE-GAS AVAILABILITY'!R525)/('RAP TEMPLATE-GAS AVAILABILITY'!O525+'RAP TEMPLATE-GAS AVAILABILITY'!P525+'RAP TEMPLATE-GAS AVAILABILITY'!Q525+'RAP TEMPLATE-GAS AVAILABILITY'!R525)</f>
        <v>13.246019424460432</v>
      </c>
    </row>
    <row r="527" spans="1:29" ht="15.75" x14ac:dyDescent="0.25">
      <c r="A527" s="13">
        <v>57314</v>
      </c>
      <c r="B527" s="10">
        <f>CHOOSE(CONTROL!$C$42, 13.6688, 13.6688) * CHOOSE(CONTROL!$C$21, $C$9, 100%, $E$9)</f>
        <v>13.668799999999999</v>
      </c>
      <c r="C527" s="10">
        <f>CHOOSE(CONTROL!$C$42, 13.6737, 13.6737) * CHOOSE(CONTROL!$C$21, $C$9, 100%, $E$9)</f>
        <v>13.6737</v>
      </c>
      <c r="D527" s="10">
        <f>CHOOSE(CONTROL!$C$42, 13.7033, 13.7033) * CHOOSE(CONTROL!$C$21, $C$9, 100%, $E$9)</f>
        <v>13.7033</v>
      </c>
      <c r="E527" s="10">
        <f>CHOOSE(CONTROL!$C$42, 13.7371, 13.7371) * CHOOSE(CONTROL!$C$21, $C$9, 100%, $E$9)</f>
        <v>13.7371</v>
      </c>
      <c r="F527" s="10">
        <f>CHOOSE(CONTROL!$C$42, 13.6545, 13.6545)*CHOOSE(CONTROL!$C$21, $C$9, 100%, $E$9)</f>
        <v>13.654500000000001</v>
      </c>
      <c r="G527" s="10">
        <f>CHOOSE(CONTROL!$C$42, 13.6726, 13.6726)*CHOOSE(CONTROL!$C$21, $C$9, 100%, $E$9)</f>
        <v>13.672599999999999</v>
      </c>
      <c r="H527" s="10">
        <f>CHOOSE(CONTROL!$C$42, 13.7263, 13.7263) * CHOOSE(CONTROL!$C$21, $C$9, 100%, $E$9)</f>
        <v>13.7263</v>
      </c>
      <c r="I527" s="10">
        <f>CHOOSE(CONTROL!$C$42, 13.635, 13.635)* CHOOSE(CONTROL!$C$21, $C$9, 100%, $E$9)</f>
        <v>13.635</v>
      </c>
      <c r="J527" s="10">
        <f>CHOOSE(CONTROL!$C$42, 13.6475, 13.6475)* CHOOSE(CONTROL!$C$21, $C$9, 100%, $E$9)</f>
        <v>13.647500000000001</v>
      </c>
      <c r="K527" s="54">
        <f>CHOOSE(CONTROL!$C$42, 13.6311, 13.6311) * CHOOSE(CONTROL!$C$21, $C$9, 100%, $E$9)</f>
        <v>13.6311</v>
      </c>
      <c r="L527" s="10">
        <f>CHOOSE(CONTROL!$C$42, 14.3133, 14.3133) * CHOOSE(CONTROL!$C$21, $C$9, 100%, $E$9)</f>
        <v>14.3133</v>
      </c>
      <c r="M527" s="10">
        <f>CHOOSE(CONTROL!$C$42, 13.5236, 13.5236) * CHOOSE(CONTROL!$C$21, $C$9, 100%, $E$9)</f>
        <v>13.5236</v>
      </c>
      <c r="N527" s="10">
        <f>CHOOSE(CONTROL!$C$42, 13.5415, 13.5415) * CHOOSE(CONTROL!$C$21, $C$9, 100%, $E$9)</f>
        <v>13.541499999999999</v>
      </c>
      <c r="O527" s="10">
        <f>CHOOSE(CONTROL!$C$42, 13.6016, 13.6016) * CHOOSE(CONTROL!$C$21, $C$9, 100%, $E$9)</f>
        <v>13.601599999999999</v>
      </c>
      <c r="P527" s="10">
        <f>CHOOSE(CONTROL!$C$42, 13.5112, 13.5112) * CHOOSE(CONTROL!$C$21, $C$9, 100%, $E$9)</f>
        <v>13.511200000000001</v>
      </c>
      <c r="Q527" s="10">
        <f>CHOOSE(CONTROL!$C$42, 14.1969, 14.1969) * CHOOSE(CONTROL!$C$21, $C$9, 100%, $E$9)</f>
        <v>14.196899999999999</v>
      </c>
      <c r="R527" s="10">
        <f>CHOOSE(CONTROL!$C$42, 14.8194, 14.8194) * CHOOSE(CONTROL!$C$21, $C$9, 100%, $E$9)</f>
        <v>14.8194</v>
      </c>
      <c r="S527" s="10">
        <f>CHOOSE(CONTROL!$C$42, 13.2716, 13.2716) * CHOOSE(CONTROL!$C$21, $C$9, 100%, $E$9)</f>
        <v>13.271599999999999</v>
      </c>
      <c r="T527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27" s="58">
        <f>(1000*CHOOSE(CONTROL!$C$42, 695, 695)*CHOOSE(CONTROL!$C$42, 0.5599, 0.5599)*CHOOSE(CONTROL!$C$42, 30, 30))/1000000</f>
        <v>11.673914999999997</v>
      </c>
      <c r="V527" s="58">
        <f>(1000*CHOOSE(CONTROL!$C$42, 500, 500)*CHOOSE(CONTROL!$C$42, 0.275, 0.275)*CHOOSE(CONTROL!$C$42, 30, 30))/1000000</f>
        <v>4.125</v>
      </c>
      <c r="W527" s="58">
        <f>(1000*CHOOSE(CONTROL!$C$42, 0.1146, 0.1146)*CHOOSE(CONTROL!$C$42, 121.5, 121.5)*CHOOSE(CONTROL!$C$42, 30, 30))/1000000</f>
        <v>0.417717</v>
      </c>
      <c r="X527" s="58">
        <f>(30*0.1790888*100000/1000000)+(30*0.2374*100000/1000000)</f>
        <v>1.2494664</v>
      </c>
      <c r="Y527" s="58"/>
      <c r="Z527" s="10"/>
      <c r="AA527" s="57"/>
      <c r="AB527" s="51">
        <f>(B527*122.58+C527*297.941+D527*89.177+E527*40.302+F527*40+G527*160+H527*0+I527*100+J527*300)/(122.58+297.941+89.177+40.302+0+40+160+100+300)</f>
        <v>13.666674038260869</v>
      </c>
      <c r="AC527" s="27">
        <f>(M527*'RAP TEMPLATE-GAS AVAILABILITY'!O526+N527*'RAP TEMPLATE-GAS AVAILABILITY'!P526+O527*'RAP TEMPLATE-GAS AVAILABILITY'!Q526+P527*'RAP TEMPLATE-GAS AVAILABILITY'!R526)/('RAP TEMPLATE-GAS AVAILABILITY'!O526+'RAP TEMPLATE-GAS AVAILABILITY'!P526+'RAP TEMPLATE-GAS AVAILABILITY'!Q526+'RAP TEMPLATE-GAS AVAILABILITY'!R526)</f>
        <v>13.55819856115108</v>
      </c>
    </row>
    <row r="528" spans="1:29" ht="15.75" x14ac:dyDescent="0.25">
      <c r="A528" s="13">
        <v>57345</v>
      </c>
      <c r="B528" s="10">
        <f>CHOOSE(CONTROL!$C$42, 14.6005, 14.6005) * CHOOSE(CONTROL!$C$21, $C$9, 100%, $E$9)</f>
        <v>14.6005</v>
      </c>
      <c r="C528" s="10">
        <f>CHOOSE(CONTROL!$C$42, 14.6055, 14.6055) * CHOOSE(CONTROL!$C$21, $C$9, 100%, $E$9)</f>
        <v>14.605499999999999</v>
      </c>
      <c r="D528" s="10">
        <f>CHOOSE(CONTROL!$C$42, 14.6351, 14.6351) * CHOOSE(CONTROL!$C$21, $C$9, 100%, $E$9)</f>
        <v>14.6351</v>
      </c>
      <c r="E528" s="10">
        <f>CHOOSE(CONTROL!$C$42, 14.6689, 14.6689) * CHOOSE(CONTROL!$C$21, $C$9, 100%, $E$9)</f>
        <v>14.668900000000001</v>
      </c>
      <c r="F528" s="10">
        <f>CHOOSE(CONTROL!$C$42, 14.5878, 14.5878)*CHOOSE(CONTROL!$C$21, $C$9, 100%, $E$9)</f>
        <v>14.5878</v>
      </c>
      <c r="G528" s="10">
        <f>CHOOSE(CONTROL!$C$42, 14.6063, 14.6063)*CHOOSE(CONTROL!$C$21, $C$9, 100%, $E$9)</f>
        <v>14.606299999999999</v>
      </c>
      <c r="H528" s="10">
        <f>CHOOSE(CONTROL!$C$42, 14.658, 14.658) * CHOOSE(CONTROL!$C$21, $C$9, 100%, $E$9)</f>
        <v>14.657999999999999</v>
      </c>
      <c r="I528" s="10">
        <f>CHOOSE(CONTROL!$C$42, 14.5667, 14.5667)* CHOOSE(CONTROL!$C$21, $C$9, 100%, $E$9)</f>
        <v>14.566700000000001</v>
      </c>
      <c r="J528" s="10">
        <f>CHOOSE(CONTROL!$C$42, 14.5808, 14.5808)* CHOOSE(CONTROL!$C$21, $C$9, 100%, $E$9)</f>
        <v>14.5808</v>
      </c>
      <c r="K528" s="54">
        <f>CHOOSE(CONTROL!$C$42, 14.5628, 14.5628) * CHOOSE(CONTROL!$C$21, $C$9, 100%, $E$9)</f>
        <v>14.562799999999999</v>
      </c>
      <c r="L528" s="10">
        <f>CHOOSE(CONTROL!$C$42, 15.245, 15.245) * CHOOSE(CONTROL!$C$21, $C$9, 100%, $E$9)</f>
        <v>15.244999999999999</v>
      </c>
      <c r="M528" s="10">
        <f>CHOOSE(CONTROL!$C$42, 14.4475, 14.4475) * CHOOSE(CONTROL!$C$21, $C$9, 100%, $E$9)</f>
        <v>14.4475</v>
      </c>
      <c r="N528" s="10">
        <f>CHOOSE(CONTROL!$C$42, 14.4658, 14.4658) * CHOOSE(CONTROL!$C$21, $C$9, 100%, $E$9)</f>
        <v>14.4658</v>
      </c>
      <c r="O528" s="10">
        <f>CHOOSE(CONTROL!$C$42, 14.524, 14.524) * CHOOSE(CONTROL!$C$21, $C$9, 100%, $E$9)</f>
        <v>14.523999999999999</v>
      </c>
      <c r="P528" s="10">
        <f>CHOOSE(CONTROL!$C$42, 14.4335, 14.4335) * CHOOSE(CONTROL!$C$21, $C$9, 100%, $E$9)</f>
        <v>14.4335</v>
      </c>
      <c r="Q528" s="10">
        <f>CHOOSE(CONTROL!$C$42, 15.1193, 15.1193) * CHOOSE(CONTROL!$C$21, $C$9, 100%, $E$9)</f>
        <v>15.119300000000001</v>
      </c>
      <c r="R528" s="10">
        <f>CHOOSE(CONTROL!$C$42, 15.744, 15.744) * CHOOSE(CONTROL!$C$21, $C$9, 100%, $E$9)</f>
        <v>15.744</v>
      </c>
      <c r="S528" s="10">
        <f>CHOOSE(CONTROL!$C$42, 14.1764, 14.1764) * CHOOSE(CONTROL!$C$21, $C$9, 100%, $E$9)</f>
        <v>14.176399999999999</v>
      </c>
      <c r="T528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528" s="58">
        <f>(1000*CHOOSE(CONTROL!$C$42, 695, 695)*CHOOSE(CONTROL!$C$42, 0.5599, 0.5599)*CHOOSE(CONTROL!$C$42, 31, 31))/1000000</f>
        <v>12.063045499999998</v>
      </c>
      <c r="V528" s="58">
        <f>(1000*CHOOSE(CONTROL!$C$42, 500, 500)*CHOOSE(CONTROL!$C$42, 0.275, 0.275)*CHOOSE(CONTROL!$C$42, 31, 31))/1000000</f>
        <v>4.2625000000000002</v>
      </c>
      <c r="W528" s="58">
        <f>(1000*CHOOSE(CONTROL!$C$42, 0.1146, 0.1146)*CHOOSE(CONTROL!$C$42, 121.5, 121.5)*CHOOSE(CONTROL!$C$42, 31, 31))/1000000</f>
        <v>0.43164089999999994</v>
      </c>
      <c r="X528" s="58">
        <f>(31*0.1790888*100000/1000000)+(31*0.2374*100000/1000000)</f>
        <v>1.2911152800000001</v>
      </c>
      <c r="Y528" s="58"/>
      <c r="Z528" s="10"/>
      <c r="AA528" s="57"/>
      <c r="AB528" s="51">
        <f>(B528*122.58+C528*297.941+D528*89.177+E528*40.302+F528*40+G528*160+H528*0+I528*100+J528*300)/(122.58+297.941+89.177+40.302+0+40+160+100+300)</f>
        <v>14.599162509565218</v>
      </c>
      <c r="AC528" s="27">
        <f>(M528*'RAP TEMPLATE-GAS AVAILABILITY'!O527+N528*'RAP TEMPLATE-GAS AVAILABILITY'!P527+O528*'RAP TEMPLATE-GAS AVAILABILITY'!Q527+P528*'RAP TEMPLATE-GAS AVAILABILITY'!R527)/('RAP TEMPLATE-GAS AVAILABILITY'!O527+'RAP TEMPLATE-GAS AVAILABILITY'!P527+'RAP TEMPLATE-GAS AVAILABILITY'!Q527+'RAP TEMPLATE-GAS AVAILABILITY'!R527)</f>
        <v>14.481211510791368</v>
      </c>
    </row>
    <row r="529" spans="1:29" ht="15.75" x14ac:dyDescent="0.25">
      <c r="A529" s="13">
        <v>57376</v>
      </c>
      <c r="B529" s="10">
        <f>CHOOSE(CONTROL!$C$42, 15.5858, 15.5858) * CHOOSE(CONTROL!$C$21, $C$9, 100%, $E$9)</f>
        <v>15.585800000000001</v>
      </c>
      <c r="C529" s="10">
        <f>CHOOSE(CONTROL!$C$42, 15.5907, 15.5907) * CHOOSE(CONTROL!$C$21, $C$9, 100%, $E$9)</f>
        <v>15.5907</v>
      </c>
      <c r="D529" s="10">
        <f>CHOOSE(CONTROL!$C$42, 15.6409, 15.6409) * CHOOSE(CONTROL!$C$21, $C$9, 100%, $E$9)</f>
        <v>15.6409</v>
      </c>
      <c r="E529" s="10">
        <f>CHOOSE(CONTROL!$C$42, 15.6747, 15.6747) * CHOOSE(CONTROL!$C$21, $C$9, 100%, $E$9)</f>
        <v>15.6747</v>
      </c>
      <c r="F529" s="10">
        <f>CHOOSE(CONTROL!$C$42, 15.5511, 15.5511)*CHOOSE(CONTROL!$C$21, $C$9, 100%, $E$9)</f>
        <v>15.5511</v>
      </c>
      <c r="G529" s="10">
        <f>CHOOSE(CONTROL!$C$42, 15.5687, 15.5687)*CHOOSE(CONTROL!$C$21, $C$9, 100%, $E$9)</f>
        <v>15.5687</v>
      </c>
      <c r="H529" s="10">
        <f>CHOOSE(CONTROL!$C$42, 15.6639, 15.6639) * CHOOSE(CONTROL!$C$21, $C$9, 100%, $E$9)</f>
        <v>15.6639</v>
      </c>
      <c r="I529" s="10">
        <f>CHOOSE(CONTROL!$C$42, 15.5597, 15.5597)* CHOOSE(CONTROL!$C$21, $C$9, 100%, $E$9)</f>
        <v>15.559699999999999</v>
      </c>
      <c r="J529" s="10">
        <f>CHOOSE(CONTROL!$C$42, 15.5441, 15.5441)* CHOOSE(CONTROL!$C$21, $C$9, 100%, $E$9)</f>
        <v>15.5441</v>
      </c>
      <c r="K529" s="54">
        <f>CHOOSE(CONTROL!$C$42, 15.5558, 15.5558) * CHOOSE(CONTROL!$C$21, $C$9, 100%, $E$9)</f>
        <v>15.5558</v>
      </c>
      <c r="L529" s="10">
        <f>CHOOSE(CONTROL!$C$42, 16.2509, 16.2509) * CHOOSE(CONTROL!$C$21, $C$9, 100%, $E$9)</f>
        <v>16.250900000000001</v>
      </c>
      <c r="M529" s="10">
        <f>CHOOSE(CONTROL!$C$42, 15.4011, 15.4011) * CHOOSE(CONTROL!$C$21, $C$9, 100%, $E$9)</f>
        <v>15.4011</v>
      </c>
      <c r="N529" s="10">
        <f>CHOOSE(CONTROL!$C$42, 15.4185, 15.4185) * CHOOSE(CONTROL!$C$21, $C$9, 100%, $E$9)</f>
        <v>15.4185</v>
      </c>
      <c r="O529" s="10">
        <f>CHOOSE(CONTROL!$C$42, 15.5196, 15.5196) * CHOOSE(CONTROL!$C$21, $C$9, 100%, $E$9)</f>
        <v>15.519600000000001</v>
      </c>
      <c r="P529" s="10">
        <f>CHOOSE(CONTROL!$C$42, 15.4165, 15.4165) * CHOOSE(CONTROL!$C$21, $C$9, 100%, $E$9)</f>
        <v>15.416499999999999</v>
      </c>
      <c r="Q529" s="10">
        <f>CHOOSE(CONTROL!$C$42, 16.1149, 16.1149) * CHOOSE(CONTROL!$C$21, $C$9, 100%, $E$9)</f>
        <v>16.114899999999999</v>
      </c>
      <c r="R529" s="10">
        <f>CHOOSE(CONTROL!$C$42, 16.7422, 16.7422) * CHOOSE(CONTROL!$C$21, $C$9, 100%, $E$9)</f>
        <v>16.7422</v>
      </c>
      <c r="S529" s="10">
        <f>CHOOSE(CONTROL!$C$42, 15.1332, 15.1332) * CHOOSE(CONTROL!$C$21, $C$9, 100%, $E$9)</f>
        <v>15.1332</v>
      </c>
      <c r="T529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529" s="58">
        <f>(1000*CHOOSE(CONTROL!$C$42, 695, 695)*CHOOSE(CONTROL!$C$42, 0.5599, 0.5599)*CHOOSE(CONTROL!$C$42, 31, 31))/1000000</f>
        <v>12.063045499999998</v>
      </c>
      <c r="V529" s="58">
        <f>(1000*CHOOSE(CONTROL!$C$42, 500, 500)*CHOOSE(CONTROL!$C$42, 0.275, 0.275)*CHOOSE(CONTROL!$C$42, 31, 31))/1000000</f>
        <v>4.2625000000000002</v>
      </c>
      <c r="W529" s="58">
        <f>(1000*CHOOSE(CONTROL!$C$42, 0.1146, 0.1146)*CHOOSE(CONTROL!$C$42, 121.5, 121.5)*CHOOSE(CONTROL!$C$42, 31, 31))/1000000</f>
        <v>0.43164089999999994</v>
      </c>
      <c r="X529" s="58">
        <f>(31*0.1790888*100000/1000000)+(31*0.2374*100000/1000000)</f>
        <v>1.2911152800000001</v>
      </c>
      <c r="Y529" s="58"/>
      <c r="Z529" s="10"/>
      <c r="AA529" s="57"/>
      <c r="AB529" s="51">
        <f>(B529*122.58+C529*297.941+D529*89.177+E529*40.302+F529*40+G529*160+H529*0+I529*100+J529*300)/(122.58+297.941+89.177+40.302+0+40+160+100+300)</f>
        <v>15.577723835999999</v>
      </c>
      <c r="AC529" s="27">
        <f>(M529*'RAP TEMPLATE-GAS AVAILABILITY'!O528+N529*'RAP TEMPLATE-GAS AVAILABILITY'!P528+O529*'RAP TEMPLATE-GAS AVAILABILITY'!Q528+P529*'RAP TEMPLATE-GAS AVAILABILITY'!R528)/('RAP TEMPLATE-GAS AVAILABILITY'!O528+'RAP TEMPLATE-GAS AVAILABILITY'!P528+'RAP TEMPLATE-GAS AVAILABILITY'!Q528+'RAP TEMPLATE-GAS AVAILABILITY'!R528)</f>
        <v>15.458025899280575</v>
      </c>
    </row>
    <row r="530" spans="1:29" ht="15.75" x14ac:dyDescent="0.25">
      <c r="A530" s="13">
        <v>57404</v>
      </c>
      <c r="B530" s="10">
        <f>CHOOSE(CONTROL!$C$42, 15.8632, 15.8632) * CHOOSE(CONTROL!$C$21, $C$9, 100%, $E$9)</f>
        <v>15.863200000000001</v>
      </c>
      <c r="C530" s="10">
        <f>CHOOSE(CONTROL!$C$42, 15.8681, 15.8681) * CHOOSE(CONTROL!$C$21, $C$9, 100%, $E$9)</f>
        <v>15.8681</v>
      </c>
      <c r="D530" s="10">
        <f>CHOOSE(CONTROL!$C$42, 15.9853, 15.9853) * CHOOSE(CONTROL!$C$21, $C$9, 100%, $E$9)</f>
        <v>15.985300000000001</v>
      </c>
      <c r="E530" s="10">
        <f>CHOOSE(CONTROL!$C$42, 16.019, 16.019) * CHOOSE(CONTROL!$C$21, $C$9, 100%, $E$9)</f>
        <v>16.018999999999998</v>
      </c>
      <c r="F530" s="10">
        <f>CHOOSE(CONTROL!$C$42, 15.9408, 15.9408)*CHOOSE(CONTROL!$C$21, $C$9, 100%, $E$9)</f>
        <v>15.940799999999999</v>
      </c>
      <c r="G530" s="10">
        <f>CHOOSE(CONTROL!$C$42, 15.9627, 15.9627)*CHOOSE(CONTROL!$C$21, $C$9, 100%, $E$9)</f>
        <v>15.9627</v>
      </c>
      <c r="H530" s="10">
        <f>CHOOSE(CONTROL!$C$42, 16.0082, 16.0082) * CHOOSE(CONTROL!$C$21, $C$9, 100%, $E$9)</f>
        <v>16.008199999999999</v>
      </c>
      <c r="I530" s="10">
        <f>CHOOSE(CONTROL!$C$42, 15.8988, 15.8988)* CHOOSE(CONTROL!$C$21, $C$9, 100%, $E$9)</f>
        <v>15.8988</v>
      </c>
      <c r="J530" s="10">
        <f>CHOOSE(CONTROL!$C$42, 15.9338, 15.9338)* CHOOSE(CONTROL!$C$21, $C$9, 100%, $E$9)</f>
        <v>15.9338</v>
      </c>
      <c r="K530" s="54">
        <f>CHOOSE(CONTROL!$C$42, 15.895, 15.895) * CHOOSE(CONTROL!$C$21, $C$9, 100%, $E$9)</f>
        <v>15.895</v>
      </c>
      <c r="L530" s="10">
        <f>CHOOSE(CONTROL!$C$42, 16.5952, 16.5952) * CHOOSE(CONTROL!$C$21, $C$9, 100%, $E$9)</f>
        <v>16.595199999999998</v>
      </c>
      <c r="M530" s="10">
        <f>CHOOSE(CONTROL!$C$42, 15.7868, 15.7868) * CHOOSE(CONTROL!$C$21, $C$9, 100%, $E$9)</f>
        <v>15.786799999999999</v>
      </c>
      <c r="N530" s="10">
        <f>CHOOSE(CONTROL!$C$42, 15.8085, 15.8085) * CHOOSE(CONTROL!$C$21, $C$9, 100%, $E$9)</f>
        <v>15.8085</v>
      </c>
      <c r="O530" s="10">
        <f>CHOOSE(CONTROL!$C$42, 15.8605, 15.8605) * CHOOSE(CONTROL!$C$21, $C$9, 100%, $E$9)</f>
        <v>15.8605</v>
      </c>
      <c r="P530" s="10">
        <f>CHOOSE(CONTROL!$C$42, 15.7523, 15.7523) * CHOOSE(CONTROL!$C$21, $C$9, 100%, $E$9)</f>
        <v>15.7523</v>
      </c>
      <c r="Q530" s="10">
        <f>CHOOSE(CONTROL!$C$42, 16.4558, 16.4558) * CHOOSE(CONTROL!$C$21, $C$9, 100%, $E$9)</f>
        <v>16.4558</v>
      </c>
      <c r="R530" s="10">
        <f>CHOOSE(CONTROL!$C$42, 17.0839, 17.0839) * CHOOSE(CONTROL!$C$21, $C$9, 100%, $E$9)</f>
        <v>17.0839</v>
      </c>
      <c r="S530" s="10">
        <f>CHOOSE(CONTROL!$C$42, 15.4026, 15.4026) * CHOOSE(CONTROL!$C$21, $C$9, 100%, $E$9)</f>
        <v>15.4026</v>
      </c>
      <c r="T530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530" s="58">
        <f>(1000*CHOOSE(CONTROL!$C$42, 695, 695)*CHOOSE(CONTROL!$C$42, 0.5599, 0.5599)*CHOOSE(CONTROL!$C$42, 28, 28))/1000000</f>
        <v>10.895653999999999</v>
      </c>
      <c r="V530" s="58">
        <f>(1000*CHOOSE(CONTROL!$C$42, 500, 500)*CHOOSE(CONTROL!$C$42, 0.275, 0.275)*CHOOSE(CONTROL!$C$42, 28, 28))/1000000</f>
        <v>3.85</v>
      </c>
      <c r="W530" s="58">
        <f>(1000*CHOOSE(CONTROL!$C$42, 0.1146, 0.1146)*CHOOSE(CONTROL!$C$42, 121.5, 121.5)*CHOOSE(CONTROL!$C$42, 28, 28))/1000000</f>
        <v>0.38986920000000003</v>
      </c>
      <c r="X530" s="58">
        <f>(28*0.1790888*100000/1000000)+(28*0.2374*100000/1000000)</f>
        <v>1.16616864</v>
      </c>
      <c r="Y530" s="58"/>
      <c r="Z530" s="10"/>
      <c r="AA530" s="57"/>
      <c r="AB530" s="51">
        <f>(B530*122.58+C530*297.941+D530*89.177+E530*40.302+F530*40+G530*160+H530*0+I530*100+J530*300)/(122.58+297.941+89.177+40.302+0+40+160+100+300)</f>
        <v>15.917453455826088</v>
      </c>
      <c r="AC530" s="27">
        <f>(M530*'RAP TEMPLATE-GAS AVAILABILITY'!O529+N530*'RAP TEMPLATE-GAS AVAILABILITY'!P529+O530*'RAP TEMPLATE-GAS AVAILABILITY'!Q529+P530*'RAP TEMPLATE-GAS AVAILABILITY'!R529)/('RAP TEMPLATE-GAS AVAILABILITY'!O529+'RAP TEMPLATE-GAS AVAILABILITY'!P529+'RAP TEMPLATE-GAS AVAILABILITY'!Q529+'RAP TEMPLATE-GAS AVAILABILITY'!R529)</f>
        <v>15.816488489208632</v>
      </c>
    </row>
    <row r="531" spans="1:29" ht="15.75" x14ac:dyDescent="0.25">
      <c r="A531" s="13">
        <v>57435</v>
      </c>
      <c r="B531" s="10">
        <f>CHOOSE(CONTROL!$C$42, 15.4129, 15.4129) * CHOOSE(CONTROL!$C$21, $C$9, 100%, $E$9)</f>
        <v>15.4129</v>
      </c>
      <c r="C531" s="10">
        <f>CHOOSE(CONTROL!$C$42, 15.4178, 15.4178) * CHOOSE(CONTROL!$C$21, $C$9, 100%, $E$9)</f>
        <v>15.4178</v>
      </c>
      <c r="D531" s="10">
        <f>CHOOSE(CONTROL!$C$42, 15.5092, 15.5092) * CHOOSE(CONTROL!$C$21, $C$9, 100%, $E$9)</f>
        <v>15.5092</v>
      </c>
      <c r="E531" s="10">
        <f>CHOOSE(CONTROL!$C$42, 15.543, 15.543) * CHOOSE(CONTROL!$C$21, $C$9, 100%, $E$9)</f>
        <v>15.542999999999999</v>
      </c>
      <c r="F531" s="10">
        <f>CHOOSE(CONTROL!$C$42, 15.4427, 15.4427)*CHOOSE(CONTROL!$C$21, $C$9, 100%, $E$9)</f>
        <v>15.4427</v>
      </c>
      <c r="G531" s="10">
        <f>CHOOSE(CONTROL!$C$42, 15.4622, 15.4622)*CHOOSE(CONTROL!$C$21, $C$9, 100%, $E$9)</f>
        <v>15.462199999999999</v>
      </c>
      <c r="H531" s="10">
        <f>CHOOSE(CONTROL!$C$42, 15.5322, 15.5322) * CHOOSE(CONTROL!$C$21, $C$9, 100%, $E$9)</f>
        <v>15.5322</v>
      </c>
      <c r="I531" s="10">
        <f>CHOOSE(CONTROL!$C$42, 15.4357, 15.4357)* CHOOSE(CONTROL!$C$21, $C$9, 100%, $E$9)</f>
        <v>15.435700000000001</v>
      </c>
      <c r="J531" s="10">
        <f>CHOOSE(CONTROL!$C$42, 15.4357, 15.4357)* CHOOSE(CONTROL!$C$21, $C$9, 100%, $E$9)</f>
        <v>15.435700000000001</v>
      </c>
      <c r="K531" s="54">
        <f>CHOOSE(CONTROL!$C$42, 15.4318, 15.4318) * CHOOSE(CONTROL!$C$21, $C$9, 100%, $E$9)</f>
        <v>15.431800000000001</v>
      </c>
      <c r="L531" s="10">
        <f>CHOOSE(CONTROL!$C$42, 16.1192, 16.1192) * CHOOSE(CONTROL!$C$21, $C$9, 100%, $E$9)</f>
        <v>16.119199999999999</v>
      </c>
      <c r="M531" s="10">
        <f>CHOOSE(CONTROL!$C$42, 15.2938, 15.2938) * CHOOSE(CONTROL!$C$21, $C$9, 100%, $E$9)</f>
        <v>15.293799999999999</v>
      </c>
      <c r="N531" s="10">
        <f>CHOOSE(CONTROL!$C$42, 15.3131, 15.3131) * CHOOSE(CONTROL!$C$21, $C$9, 100%, $E$9)</f>
        <v>15.3131</v>
      </c>
      <c r="O531" s="10">
        <f>CHOOSE(CONTROL!$C$42, 15.3893, 15.3893) * CHOOSE(CONTROL!$C$21, $C$9, 100%, $E$9)</f>
        <v>15.3893</v>
      </c>
      <c r="P531" s="10">
        <f>CHOOSE(CONTROL!$C$42, 15.2938, 15.2938) * CHOOSE(CONTROL!$C$21, $C$9, 100%, $E$9)</f>
        <v>15.293799999999999</v>
      </c>
      <c r="Q531" s="10">
        <f>CHOOSE(CONTROL!$C$42, 15.9846, 15.9846) * CHOOSE(CONTROL!$C$21, $C$9, 100%, $E$9)</f>
        <v>15.9846</v>
      </c>
      <c r="R531" s="10">
        <f>CHOOSE(CONTROL!$C$42, 16.6115, 16.6115) * CHOOSE(CONTROL!$C$21, $C$9, 100%, $E$9)</f>
        <v>16.611499999999999</v>
      </c>
      <c r="S531" s="10">
        <f>CHOOSE(CONTROL!$C$42, 14.9653, 14.9653) * CHOOSE(CONTROL!$C$21, $C$9, 100%, $E$9)</f>
        <v>14.965299999999999</v>
      </c>
      <c r="T531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31" s="58">
        <f>(1000*CHOOSE(CONTROL!$C$42, 695, 695)*CHOOSE(CONTROL!$C$42, 0.5599, 0.5599)*CHOOSE(CONTROL!$C$42, 31, 31))/1000000</f>
        <v>12.063045499999998</v>
      </c>
      <c r="V531" s="58">
        <f>(1000*CHOOSE(CONTROL!$C$42, 500, 500)*CHOOSE(CONTROL!$C$42, 0.275, 0.275)*CHOOSE(CONTROL!$C$42, 31, 31))/1000000</f>
        <v>4.2625000000000002</v>
      </c>
      <c r="W531" s="58">
        <f>(1000*CHOOSE(CONTROL!$C$42, 0.1146, 0.1146)*CHOOSE(CONTROL!$C$42, 121.5, 121.5)*CHOOSE(CONTROL!$C$42, 31, 31))/1000000</f>
        <v>0.43164089999999994</v>
      </c>
      <c r="X531" s="58">
        <f>(31*0.1790888*100000/1000000)+(31*0.2374*100000/1000000)</f>
        <v>1.2911152800000001</v>
      </c>
      <c r="Y531" s="58"/>
      <c r="Z531" s="10"/>
      <c r="AA531" s="57"/>
      <c r="AB531" s="51">
        <f>(B531*122.58+C531*297.941+D531*89.177+E531*40.302+F531*40+G531*160+H531*0+I531*100+J531*300)/(122.58+297.941+89.177+40.302+0+40+160+100+300)</f>
        <v>15.442022561913042</v>
      </c>
      <c r="AC531" s="27">
        <f>(M531*'RAP TEMPLATE-GAS AVAILABILITY'!O530+N531*'RAP TEMPLATE-GAS AVAILABILITY'!P530+O531*'RAP TEMPLATE-GAS AVAILABILITY'!Q530+P531*'RAP TEMPLATE-GAS AVAILABILITY'!R530)/('RAP TEMPLATE-GAS AVAILABILITY'!O530+'RAP TEMPLATE-GAS AVAILABILITY'!P530+'RAP TEMPLATE-GAS AVAILABILITY'!Q530+'RAP TEMPLATE-GAS AVAILABILITY'!R530)</f>
        <v>15.338194964028775</v>
      </c>
    </row>
    <row r="532" spans="1:29" ht="15.75" x14ac:dyDescent="0.25">
      <c r="A532" s="13">
        <v>57465</v>
      </c>
      <c r="B532" s="10">
        <f>CHOOSE(CONTROL!$C$42, 15.3675, 15.3675) * CHOOSE(CONTROL!$C$21, $C$9, 100%, $E$9)</f>
        <v>15.3675</v>
      </c>
      <c r="C532" s="10">
        <f>CHOOSE(CONTROL!$C$42, 15.3719, 15.3719) * CHOOSE(CONTROL!$C$21, $C$9, 100%, $E$9)</f>
        <v>15.3719</v>
      </c>
      <c r="D532" s="10">
        <f>CHOOSE(CONTROL!$C$42, 15.5536, 15.5536) * CHOOSE(CONTROL!$C$21, $C$9, 100%, $E$9)</f>
        <v>15.553599999999999</v>
      </c>
      <c r="E532" s="10">
        <f>CHOOSE(CONTROL!$C$42, 15.5853, 15.5853) * CHOOSE(CONTROL!$C$21, $C$9, 100%, $E$9)</f>
        <v>15.5853</v>
      </c>
      <c r="F532" s="10">
        <f>CHOOSE(CONTROL!$C$42, 15.3558, 15.3558)*CHOOSE(CONTROL!$C$21, $C$9, 100%, $E$9)</f>
        <v>15.3558</v>
      </c>
      <c r="G532" s="10">
        <f>CHOOSE(CONTROL!$C$42, 15.3738, 15.3738)*CHOOSE(CONTROL!$C$21, $C$9, 100%, $E$9)</f>
        <v>15.373799999999999</v>
      </c>
      <c r="H532" s="10">
        <f>CHOOSE(CONTROL!$C$42, 15.5751, 15.5751) * CHOOSE(CONTROL!$C$21, $C$9, 100%, $E$9)</f>
        <v>15.575100000000001</v>
      </c>
      <c r="I532" s="10">
        <f>CHOOSE(CONTROL!$C$42, 15.3458, 15.3458)* CHOOSE(CONTROL!$C$21, $C$9, 100%, $E$9)</f>
        <v>15.345800000000001</v>
      </c>
      <c r="J532" s="10">
        <f>CHOOSE(CONTROL!$C$42, 15.3488, 15.3488)* CHOOSE(CONTROL!$C$21, $C$9, 100%, $E$9)</f>
        <v>15.348800000000001</v>
      </c>
      <c r="K532" s="54">
        <f>CHOOSE(CONTROL!$C$42, 15.3419, 15.3419) * CHOOSE(CONTROL!$C$21, $C$9, 100%, $E$9)</f>
        <v>15.341900000000001</v>
      </c>
      <c r="L532" s="10">
        <f>CHOOSE(CONTROL!$C$42, 16.1621, 16.1621) * CHOOSE(CONTROL!$C$21, $C$9, 100%, $E$9)</f>
        <v>16.162099999999999</v>
      </c>
      <c r="M532" s="10">
        <f>CHOOSE(CONTROL!$C$42, 15.2078, 15.2078) * CHOOSE(CONTROL!$C$21, $C$9, 100%, $E$9)</f>
        <v>15.207800000000001</v>
      </c>
      <c r="N532" s="10">
        <f>CHOOSE(CONTROL!$C$42, 15.2256, 15.2256) * CHOOSE(CONTROL!$C$21, $C$9, 100%, $E$9)</f>
        <v>15.2256</v>
      </c>
      <c r="O532" s="10">
        <f>CHOOSE(CONTROL!$C$42, 15.4318, 15.4318) * CHOOSE(CONTROL!$C$21, $C$9, 100%, $E$9)</f>
        <v>15.431800000000001</v>
      </c>
      <c r="P532" s="10">
        <f>CHOOSE(CONTROL!$C$42, 15.2048, 15.2048) * CHOOSE(CONTROL!$C$21, $C$9, 100%, $E$9)</f>
        <v>15.204800000000001</v>
      </c>
      <c r="Q532" s="10">
        <f>CHOOSE(CONTROL!$C$42, 16.0271, 16.0271) * CHOOSE(CONTROL!$C$21, $C$9, 100%, $E$9)</f>
        <v>16.027100000000001</v>
      </c>
      <c r="R532" s="10">
        <f>CHOOSE(CONTROL!$C$42, 16.6541, 16.6541) * CHOOSE(CONTROL!$C$21, $C$9, 100%, $E$9)</f>
        <v>16.6541</v>
      </c>
      <c r="S532" s="10">
        <f>CHOOSE(CONTROL!$C$42, 14.9205, 14.9205) * CHOOSE(CONTROL!$C$21, $C$9, 100%, $E$9)</f>
        <v>14.920500000000001</v>
      </c>
      <c r="T532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32" s="58">
        <f>(1000*CHOOSE(CONTROL!$C$42, 695, 695)*CHOOSE(CONTROL!$C$42, 0.5599, 0.5599)*CHOOSE(CONTROL!$C$42, 30, 30))/1000000</f>
        <v>11.673914999999997</v>
      </c>
      <c r="V532" s="58">
        <f>(1000*CHOOSE(CONTROL!$C$42, 500, 500)*CHOOSE(CONTROL!$C$42, 0.275, 0.275)*CHOOSE(CONTROL!$C$42, 30, 30))/1000000</f>
        <v>4.125</v>
      </c>
      <c r="W532" s="58">
        <f>(1000*CHOOSE(CONTROL!$C$42, 0.1146, 0.1146)*CHOOSE(CONTROL!$C$42, 121.5, 121.5)*CHOOSE(CONTROL!$C$42, 30, 30))/1000000</f>
        <v>0.417717</v>
      </c>
      <c r="X532" s="58">
        <f>(30*0.1790888*245000/1000000)+(30*0.2374*100000/1000000)</f>
        <v>2.0285026799999999</v>
      </c>
      <c r="Y532" s="58"/>
      <c r="Z532" s="10"/>
      <c r="AA532" s="57"/>
      <c r="AB532" s="51">
        <f>(B532*141.293+C532*267.993+D532*115.016+E532*89.698+F532*40+G532*185+H532*0+I532*100+J532*300)/(141.293+267.993+115.016+89.698+0+40+185+100+300)</f>
        <v>15.395778749959645</v>
      </c>
      <c r="AC532" s="27">
        <f>(M532*'RAP TEMPLATE-GAS AVAILABILITY'!O531+N532*'RAP TEMPLATE-GAS AVAILABILITY'!P531+O532*'RAP TEMPLATE-GAS AVAILABILITY'!Q531+P532*'RAP TEMPLATE-GAS AVAILABILITY'!R531)/('RAP TEMPLATE-GAS AVAILABILITY'!O531+'RAP TEMPLATE-GAS AVAILABILITY'!P531+'RAP TEMPLATE-GAS AVAILABILITY'!Q531+'RAP TEMPLATE-GAS AVAILABILITY'!R531)</f>
        <v>15.274315107913671</v>
      </c>
    </row>
    <row r="533" spans="1:29" ht="15.75" x14ac:dyDescent="0.25">
      <c r="A533" s="13">
        <v>57496</v>
      </c>
      <c r="B533" s="10">
        <f>CHOOSE(CONTROL!$C$42, 15.5049, 15.5049) * CHOOSE(CONTROL!$C$21, $C$9, 100%, $E$9)</f>
        <v>15.504899999999999</v>
      </c>
      <c r="C533" s="10">
        <f>CHOOSE(CONTROL!$C$42, 15.5128, 15.5128) * CHOOSE(CONTROL!$C$21, $C$9, 100%, $E$9)</f>
        <v>15.5128</v>
      </c>
      <c r="D533" s="10">
        <f>CHOOSE(CONTROL!$C$42, 15.6914, 15.6914) * CHOOSE(CONTROL!$C$21, $C$9, 100%, $E$9)</f>
        <v>15.6914</v>
      </c>
      <c r="E533" s="10">
        <f>CHOOSE(CONTROL!$C$42, 15.7225, 15.7225) * CHOOSE(CONTROL!$C$21, $C$9, 100%, $E$9)</f>
        <v>15.7225</v>
      </c>
      <c r="F533" s="10">
        <f>CHOOSE(CONTROL!$C$42, 15.4911, 15.4911)*CHOOSE(CONTROL!$C$21, $C$9, 100%, $E$9)</f>
        <v>15.491099999999999</v>
      </c>
      <c r="G533" s="10">
        <f>CHOOSE(CONTROL!$C$42, 15.5093, 15.5093)*CHOOSE(CONTROL!$C$21, $C$9, 100%, $E$9)</f>
        <v>15.5093</v>
      </c>
      <c r="H533" s="10">
        <f>CHOOSE(CONTROL!$C$42, 15.7111, 15.7111) * CHOOSE(CONTROL!$C$21, $C$9, 100%, $E$9)</f>
        <v>15.7111</v>
      </c>
      <c r="I533" s="10">
        <f>CHOOSE(CONTROL!$C$42, 15.4818, 15.4818)* CHOOSE(CONTROL!$C$21, $C$9, 100%, $E$9)</f>
        <v>15.4818</v>
      </c>
      <c r="J533" s="10">
        <f>CHOOSE(CONTROL!$C$42, 15.4841, 15.4841)* CHOOSE(CONTROL!$C$21, $C$9, 100%, $E$9)</f>
        <v>15.4841</v>
      </c>
      <c r="K533" s="54">
        <f>CHOOSE(CONTROL!$C$42, 15.4779, 15.4779) * CHOOSE(CONTROL!$C$21, $C$9, 100%, $E$9)</f>
        <v>15.4779</v>
      </c>
      <c r="L533" s="10">
        <f>CHOOSE(CONTROL!$C$42, 16.2981, 16.2981) * CHOOSE(CONTROL!$C$21, $C$9, 100%, $E$9)</f>
        <v>16.298100000000002</v>
      </c>
      <c r="M533" s="10">
        <f>CHOOSE(CONTROL!$C$42, 15.3417, 15.3417) * CHOOSE(CONTROL!$C$21, $C$9, 100%, $E$9)</f>
        <v>15.341699999999999</v>
      </c>
      <c r="N533" s="10">
        <f>CHOOSE(CONTROL!$C$42, 15.3596, 15.3596) * CHOOSE(CONTROL!$C$21, $C$9, 100%, $E$9)</f>
        <v>15.3596</v>
      </c>
      <c r="O533" s="10">
        <f>CHOOSE(CONTROL!$C$42, 15.5664, 15.5664) * CHOOSE(CONTROL!$C$21, $C$9, 100%, $E$9)</f>
        <v>15.5664</v>
      </c>
      <c r="P533" s="10">
        <f>CHOOSE(CONTROL!$C$42, 15.3394, 15.3394) * CHOOSE(CONTROL!$C$21, $C$9, 100%, $E$9)</f>
        <v>15.339399999999999</v>
      </c>
      <c r="Q533" s="10">
        <f>CHOOSE(CONTROL!$C$42, 16.1617, 16.1617) * CHOOSE(CONTROL!$C$21, $C$9, 100%, $E$9)</f>
        <v>16.1617</v>
      </c>
      <c r="R533" s="10">
        <f>CHOOSE(CONTROL!$C$42, 16.7891, 16.7891) * CHOOSE(CONTROL!$C$21, $C$9, 100%, $E$9)</f>
        <v>16.789100000000001</v>
      </c>
      <c r="S533" s="10">
        <f>CHOOSE(CONTROL!$C$42, 15.0526, 15.0526) * CHOOSE(CONTROL!$C$21, $C$9, 100%, $E$9)</f>
        <v>15.0526</v>
      </c>
      <c r="T533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33" s="58">
        <f>(1000*CHOOSE(CONTROL!$C$42, 695, 695)*CHOOSE(CONTROL!$C$42, 0.5599, 0.5599)*CHOOSE(CONTROL!$C$42, 31, 31))/1000000</f>
        <v>12.063045499999998</v>
      </c>
      <c r="V533" s="58">
        <f>(1000*CHOOSE(CONTROL!$C$42, 500, 500)*CHOOSE(CONTROL!$C$42, 0.275, 0.275)*CHOOSE(CONTROL!$C$42, 31, 31))/1000000</f>
        <v>4.2625000000000002</v>
      </c>
      <c r="W533" s="58">
        <f>(1000*CHOOSE(CONTROL!$C$42, 0.1146, 0.1146)*CHOOSE(CONTROL!$C$42, 121.5, 121.5)*CHOOSE(CONTROL!$C$42, 31, 31))/1000000</f>
        <v>0.43164089999999994</v>
      </c>
      <c r="X533" s="58">
        <f>(31*0.1790888*245000/1000000)+(31*0.2374*100000/1000000)</f>
        <v>2.0961194359999999</v>
      </c>
      <c r="Y533" s="58"/>
      <c r="Z533" s="10"/>
      <c r="AA533" s="57"/>
      <c r="AB533" s="51">
        <f>(B533*194.205+C533*267.466+D533*133.845+E533*53.484+F533*40+G533*185+H533*0+I533*100+J533*300)/(194.205+267.466+133.845+53.484+0+40+185+100+300)</f>
        <v>15.528781626609106</v>
      </c>
      <c r="AC533" s="27">
        <f>(M533*'RAP TEMPLATE-GAS AVAILABILITY'!O532+N533*'RAP TEMPLATE-GAS AVAILABILITY'!P532+O533*'RAP TEMPLATE-GAS AVAILABILITY'!Q532+P533*'RAP TEMPLATE-GAS AVAILABILITY'!R532)/('RAP TEMPLATE-GAS AVAILABILITY'!O532+'RAP TEMPLATE-GAS AVAILABILITY'!P532+'RAP TEMPLATE-GAS AVAILABILITY'!Q532+'RAP TEMPLATE-GAS AVAILABILITY'!R532)</f>
        <v>15.408535251798563</v>
      </c>
    </row>
    <row r="534" spans="1:29" ht="15.75" x14ac:dyDescent="0.25">
      <c r="A534" s="13">
        <v>57526</v>
      </c>
      <c r="B534" s="10">
        <f>CHOOSE(CONTROL!$C$42, 15.9446, 15.9446) * CHOOSE(CONTROL!$C$21, $C$9, 100%, $E$9)</f>
        <v>15.944599999999999</v>
      </c>
      <c r="C534" s="10">
        <f>CHOOSE(CONTROL!$C$42, 15.9525, 15.9525) * CHOOSE(CONTROL!$C$21, $C$9, 100%, $E$9)</f>
        <v>15.952500000000001</v>
      </c>
      <c r="D534" s="10">
        <f>CHOOSE(CONTROL!$C$42, 16.131, 16.131) * CHOOSE(CONTROL!$C$21, $C$9, 100%, $E$9)</f>
        <v>16.131</v>
      </c>
      <c r="E534" s="10">
        <f>CHOOSE(CONTROL!$C$42, 16.1622, 16.1622) * CHOOSE(CONTROL!$C$21, $C$9, 100%, $E$9)</f>
        <v>16.162199999999999</v>
      </c>
      <c r="F534" s="10">
        <f>CHOOSE(CONTROL!$C$42, 15.931, 15.931)*CHOOSE(CONTROL!$C$21, $C$9, 100%, $E$9)</f>
        <v>15.930999999999999</v>
      </c>
      <c r="G534" s="10">
        <f>CHOOSE(CONTROL!$C$42, 15.9492, 15.9492)*CHOOSE(CONTROL!$C$21, $C$9, 100%, $E$9)</f>
        <v>15.949199999999999</v>
      </c>
      <c r="H534" s="10">
        <f>CHOOSE(CONTROL!$C$42, 16.1508, 16.1508) * CHOOSE(CONTROL!$C$21, $C$9, 100%, $E$9)</f>
        <v>16.1508</v>
      </c>
      <c r="I534" s="10">
        <f>CHOOSE(CONTROL!$C$42, 15.9214, 15.9214)* CHOOSE(CONTROL!$C$21, $C$9, 100%, $E$9)</f>
        <v>15.9214</v>
      </c>
      <c r="J534" s="10">
        <f>CHOOSE(CONTROL!$C$42, 15.924, 15.924)* CHOOSE(CONTROL!$C$21, $C$9, 100%, $E$9)</f>
        <v>15.923999999999999</v>
      </c>
      <c r="K534" s="54">
        <f>CHOOSE(CONTROL!$C$42, 15.9175, 15.9175) * CHOOSE(CONTROL!$C$21, $C$9, 100%, $E$9)</f>
        <v>15.9175</v>
      </c>
      <c r="L534" s="10">
        <f>CHOOSE(CONTROL!$C$42, 16.7378, 16.7378) * CHOOSE(CONTROL!$C$21, $C$9, 100%, $E$9)</f>
        <v>16.7378</v>
      </c>
      <c r="M534" s="10">
        <f>CHOOSE(CONTROL!$C$42, 15.7771, 15.7771) * CHOOSE(CONTROL!$C$21, $C$9, 100%, $E$9)</f>
        <v>15.777100000000001</v>
      </c>
      <c r="N534" s="10">
        <f>CHOOSE(CONTROL!$C$42, 15.7952, 15.7952) * CHOOSE(CONTROL!$C$21, $C$9, 100%, $E$9)</f>
        <v>15.795199999999999</v>
      </c>
      <c r="O534" s="10">
        <f>CHOOSE(CONTROL!$C$42, 16.0016, 16.0016) * CHOOSE(CONTROL!$C$21, $C$9, 100%, $E$9)</f>
        <v>16.0016</v>
      </c>
      <c r="P534" s="10">
        <f>CHOOSE(CONTROL!$C$42, 15.7746, 15.7746) * CHOOSE(CONTROL!$C$21, $C$9, 100%, $E$9)</f>
        <v>15.7746</v>
      </c>
      <c r="Q534" s="10">
        <f>CHOOSE(CONTROL!$C$42, 16.5969, 16.5969) * CHOOSE(CONTROL!$C$21, $C$9, 100%, $E$9)</f>
        <v>16.596900000000002</v>
      </c>
      <c r="R534" s="10">
        <f>CHOOSE(CONTROL!$C$42, 17.2254, 17.2254) * CHOOSE(CONTROL!$C$21, $C$9, 100%, $E$9)</f>
        <v>17.2254</v>
      </c>
      <c r="S534" s="10">
        <f>CHOOSE(CONTROL!$C$42, 15.4795, 15.4795) * CHOOSE(CONTROL!$C$21, $C$9, 100%, $E$9)</f>
        <v>15.4795</v>
      </c>
      <c r="T534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34" s="58">
        <f>(1000*CHOOSE(CONTROL!$C$42, 695, 695)*CHOOSE(CONTROL!$C$42, 0.5599, 0.5599)*CHOOSE(CONTROL!$C$42, 30, 30))/1000000</f>
        <v>11.673914999999997</v>
      </c>
      <c r="V534" s="58">
        <f>(1000*CHOOSE(CONTROL!$C$42, 500, 500)*CHOOSE(CONTROL!$C$42, 0.275, 0.275)*CHOOSE(CONTROL!$C$42, 30, 30))/1000000</f>
        <v>4.125</v>
      </c>
      <c r="W534" s="58">
        <f>(1000*CHOOSE(CONTROL!$C$42, 0.1146, 0.1146)*CHOOSE(CONTROL!$C$42, 121.5, 121.5)*CHOOSE(CONTROL!$C$42, 30, 30))/1000000</f>
        <v>0.417717</v>
      </c>
      <c r="X534" s="58">
        <f>(30*0.1790888*245000/1000000)+(30*0.2374*100000/1000000)</f>
        <v>2.0285026799999999</v>
      </c>
      <c r="Y534" s="58"/>
      <c r="Z534" s="10"/>
      <c r="AA534" s="57"/>
      <c r="AB534" s="51">
        <f>(B534*194.205+C534*267.466+D534*133.845+E534*53.484+F534*40+G534*185+H534*0+I534*100+J534*300)/(194.205+267.466+133.845+53.484+0+40+185+100+300)</f>
        <v>15.968545689010989</v>
      </c>
      <c r="AC534" s="27">
        <f>(M534*'RAP TEMPLATE-GAS AVAILABILITY'!O533+N534*'RAP TEMPLATE-GAS AVAILABILITY'!P533+O534*'RAP TEMPLATE-GAS AVAILABILITY'!Q533+P534*'RAP TEMPLATE-GAS AVAILABILITY'!R533)/('RAP TEMPLATE-GAS AVAILABILITY'!O533+'RAP TEMPLATE-GAS AVAILABILITY'!P533+'RAP TEMPLATE-GAS AVAILABILITY'!Q533+'RAP TEMPLATE-GAS AVAILABILITY'!R533)</f>
        <v>15.8438964028777</v>
      </c>
    </row>
    <row r="535" spans="1:29" ht="15.75" x14ac:dyDescent="0.25">
      <c r="A535" s="13">
        <v>57557</v>
      </c>
      <c r="B535" s="10">
        <f>CHOOSE(CONTROL!$C$42, 15.6388, 15.6388) * CHOOSE(CONTROL!$C$21, $C$9, 100%, $E$9)</f>
        <v>15.6388</v>
      </c>
      <c r="C535" s="10">
        <f>CHOOSE(CONTROL!$C$42, 15.6467, 15.6467) * CHOOSE(CONTROL!$C$21, $C$9, 100%, $E$9)</f>
        <v>15.646699999999999</v>
      </c>
      <c r="D535" s="10">
        <f>CHOOSE(CONTROL!$C$42, 15.8252, 15.8252) * CHOOSE(CONTROL!$C$21, $C$9, 100%, $E$9)</f>
        <v>15.825200000000001</v>
      </c>
      <c r="E535" s="10">
        <f>CHOOSE(CONTROL!$C$42, 15.8564, 15.8564) * CHOOSE(CONTROL!$C$21, $C$9, 100%, $E$9)</f>
        <v>15.856400000000001</v>
      </c>
      <c r="F535" s="10">
        <f>CHOOSE(CONTROL!$C$42, 15.6255, 15.6255)*CHOOSE(CONTROL!$C$21, $C$9, 100%, $E$9)</f>
        <v>15.625500000000001</v>
      </c>
      <c r="G535" s="10">
        <f>CHOOSE(CONTROL!$C$42, 15.6438, 15.6438)*CHOOSE(CONTROL!$C$21, $C$9, 100%, $E$9)</f>
        <v>15.643800000000001</v>
      </c>
      <c r="H535" s="10">
        <f>CHOOSE(CONTROL!$C$42, 15.845, 15.845) * CHOOSE(CONTROL!$C$21, $C$9, 100%, $E$9)</f>
        <v>15.845000000000001</v>
      </c>
      <c r="I535" s="10">
        <f>CHOOSE(CONTROL!$C$42, 15.6157, 15.6157)* CHOOSE(CONTROL!$C$21, $C$9, 100%, $E$9)</f>
        <v>15.6157</v>
      </c>
      <c r="J535" s="10">
        <f>CHOOSE(CONTROL!$C$42, 15.6185, 15.6185)* CHOOSE(CONTROL!$C$21, $C$9, 100%, $E$9)</f>
        <v>15.618499999999999</v>
      </c>
      <c r="K535" s="54">
        <f>CHOOSE(CONTROL!$C$42, 15.6118, 15.6118) * CHOOSE(CONTROL!$C$21, $C$9, 100%, $E$9)</f>
        <v>15.611800000000001</v>
      </c>
      <c r="L535" s="10">
        <f>CHOOSE(CONTROL!$C$42, 16.432, 16.432) * CHOOSE(CONTROL!$C$21, $C$9, 100%, $E$9)</f>
        <v>16.431999999999999</v>
      </c>
      <c r="M535" s="10">
        <f>CHOOSE(CONTROL!$C$42, 15.4747, 15.4747) * CHOOSE(CONTROL!$C$21, $C$9, 100%, $E$9)</f>
        <v>15.4747</v>
      </c>
      <c r="N535" s="10">
        <f>CHOOSE(CONTROL!$C$42, 15.4928, 15.4928) * CHOOSE(CONTROL!$C$21, $C$9, 100%, $E$9)</f>
        <v>15.492800000000001</v>
      </c>
      <c r="O535" s="10">
        <f>CHOOSE(CONTROL!$C$42, 15.6989, 15.6989) * CHOOSE(CONTROL!$C$21, $C$9, 100%, $E$9)</f>
        <v>15.6989</v>
      </c>
      <c r="P535" s="10">
        <f>CHOOSE(CONTROL!$C$42, 15.4719, 15.4719) * CHOOSE(CONTROL!$C$21, $C$9, 100%, $E$9)</f>
        <v>15.4719</v>
      </c>
      <c r="Q535" s="10">
        <f>CHOOSE(CONTROL!$C$42, 16.2942, 16.2942) * CHOOSE(CONTROL!$C$21, $C$9, 100%, $E$9)</f>
        <v>16.2942</v>
      </c>
      <c r="R535" s="10">
        <f>CHOOSE(CONTROL!$C$42, 16.922, 16.922) * CHOOSE(CONTROL!$C$21, $C$9, 100%, $E$9)</f>
        <v>16.922000000000001</v>
      </c>
      <c r="S535" s="10">
        <f>CHOOSE(CONTROL!$C$42, 15.1826, 15.1826) * CHOOSE(CONTROL!$C$21, $C$9, 100%, $E$9)</f>
        <v>15.182600000000001</v>
      </c>
      <c r="T535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35" s="58">
        <f>(1000*CHOOSE(CONTROL!$C$42, 695, 695)*CHOOSE(CONTROL!$C$42, 0.5599, 0.5599)*CHOOSE(CONTROL!$C$42, 31, 31))/1000000</f>
        <v>12.063045499999998</v>
      </c>
      <c r="V535" s="58">
        <f>(1000*CHOOSE(CONTROL!$C$42, 500, 500)*CHOOSE(CONTROL!$C$42, 0.275, 0.275)*CHOOSE(CONTROL!$C$42, 31, 31))/1000000</f>
        <v>4.2625000000000002</v>
      </c>
      <c r="W535" s="58">
        <f>(1000*CHOOSE(CONTROL!$C$42, 0.1146, 0.1146)*CHOOSE(CONTROL!$C$42, 121.5, 121.5)*CHOOSE(CONTROL!$C$42, 31, 31))/1000000</f>
        <v>0.43164089999999994</v>
      </c>
      <c r="X535" s="58">
        <f>(31*0.1790888*245000/1000000)+(31*0.2374*100000/1000000)</f>
        <v>2.0961194359999999</v>
      </c>
      <c r="Y535" s="58"/>
      <c r="Z535" s="10"/>
      <c r="AA535" s="57"/>
      <c r="AB535" s="51">
        <f>(B535*194.205+C535*267.466+D535*133.845+E535*53.484+F535*40+G535*185+H535*0+I535*100+J535*300)/(194.205+267.466+133.845+53.484+0+40+185+100+300)</f>
        <v>15.662891685871271</v>
      </c>
      <c r="AC535" s="27">
        <f>(M535*'RAP TEMPLATE-GAS AVAILABILITY'!O534+N535*'RAP TEMPLATE-GAS AVAILABILITY'!P534+O535*'RAP TEMPLATE-GAS AVAILABILITY'!Q534+P535*'RAP TEMPLATE-GAS AVAILABILITY'!R534)/('RAP TEMPLATE-GAS AVAILABILITY'!O534+'RAP TEMPLATE-GAS AVAILABILITY'!P534+'RAP TEMPLATE-GAS AVAILABILITY'!Q534+'RAP TEMPLATE-GAS AVAILABILITY'!R534)</f>
        <v>15.541369064748201</v>
      </c>
    </row>
    <row r="536" spans="1:29" ht="15.75" x14ac:dyDescent="0.25">
      <c r="A536" s="13">
        <v>57588</v>
      </c>
      <c r="B536" s="10">
        <f>CHOOSE(CONTROL!$C$42, 14.8666, 14.8666) * CHOOSE(CONTROL!$C$21, $C$9, 100%, $E$9)</f>
        <v>14.8666</v>
      </c>
      <c r="C536" s="10">
        <f>CHOOSE(CONTROL!$C$42, 14.8745, 14.8745) * CHOOSE(CONTROL!$C$21, $C$9, 100%, $E$9)</f>
        <v>14.874499999999999</v>
      </c>
      <c r="D536" s="10">
        <f>CHOOSE(CONTROL!$C$42, 15.053, 15.053) * CHOOSE(CONTROL!$C$21, $C$9, 100%, $E$9)</f>
        <v>15.053000000000001</v>
      </c>
      <c r="E536" s="10">
        <f>CHOOSE(CONTROL!$C$42, 15.0842, 15.0842) * CHOOSE(CONTROL!$C$21, $C$9, 100%, $E$9)</f>
        <v>15.084199999999999</v>
      </c>
      <c r="F536" s="10">
        <f>CHOOSE(CONTROL!$C$42, 14.8532, 14.8532)*CHOOSE(CONTROL!$C$21, $C$9, 100%, $E$9)</f>
        <v>14.853199999999999</v>
      </c>
      <c r="G536" s="10">
        <f>CHOOSE(CONTROL!$C$42, 14.8715, 14.8715)*CHOOSE(CONTROL!$C$21, $C$9, 100%, $E$9)</f>
        <v>14.871499999999999</v>
      </c>
      <c r="H536" s="10">
        <f>CHOOSE(CONTROL!$C$42, 15.0728, 15.0728) * CHOOSE(CONTROL!$C$21, $C$9, 100%, $E$9)</f>
        <v>15.072800000000001</v>
      </c>
      <c r="I536" s="10">
        <f>CHOOSE(CONTROL!$C$42, 14.8434, 14.8434)* CHOOSE(CONTROL!$C$21, $C$9, 100%, $E$9)</f>
        <v>14.843400000000001</v>
      </c>
      <c r="J536" s="10">
        <f>CHOOSE(CONTROL!$C$42, 14.8462, 14.8462)* CHOOSE(CONTROL!$C$21, $C$9, 100%, $E$9)</f>
        <v>14.8462</v>
      </c>
      <c r="K536" s="54">
        <f>CHOOSE(CONTROL!$C$42, 14.8396, 14.8396) * CHOOSE(CONTROL!$C$21, $C$9, 100%, $E$9)</f>
        <v>14.839600000000001</v>
      </c>
      <c r="L536" s="10">
        <f>CHOOSE(CONTROL!$C$42, 15.6598, 15.6598) * CHOOSE(CONTROL!$C$21, $C$9, 100%, $E$9)</f>
        <v>15.659800000000001</v>
      </c>
      <c r="M536" s="10">
        <f>CHOOSE(CONTROL!$C$42, 14.7102, 14.7102) * CHOOSE(CONTROL!$C$21, $C$9, 100%, $E$9)</f>
        <v>14.7102</v>
      </c>
      <c r="N536" s="10">
        <f>CHOOSE(CONTROL!$C$42, 14.7283, 14.7283) * CHOOSE(CONTROL!$C$21, $C$9, 100%, $E$9)</f>
        <v>14.728300000000001</v>
      </c>
      <c r="O536" s="10">
        <f>CHOOSE(CONTROL!$C$42, 14.9345, 14.9345) * CHOOSE(CONTROL!$C$21, $C$9, 100%, $E$9)</f>
        <v>14.9345</v>
      </c>
      <c r="P536" s="10">
        <f>CHOOSE(CONTROL!$C$42, 14.7075, 14.7075) * CHOOSE(CONTROL!$C$21, $C$9, 100%, $E$9)</f>
        <v>14.7075</v>
      </c>
      <c r="Q536" s="10">
        <f>CHOOSE(CONTROL!$C$42, 15.5298, 15.5298) * CHOOSE(CONTROL!$C$21, $C$9, 100%, $E$9)</f>
        <v>15.5298</v>
      </c>
      <c r="R536" s="10">
        <f>CHOOSE(CONTROL!$C$42, 16.1556, 16.1556) * CHOOSE(CONTROL!$C$21, $C$9, 100%, $E$9)</f>
        <v>16.1556</v>
      </c>
      <c r="S536" s="10">
        <f>CHOOSE(CONTROL!$C$42, 14.4327, 14.4327) * CHOOSE(CONTROL!$C$21, $C$9, 100%, $E$9)</f>
        <v>14.432700000000001</v>
      </c>
      <c r="T536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36" s="58">
        <f>(1000*CHOOSE(CONTROL!$C$42, 695, 695)*CHOOSE(CONTROL!$C$42, 0.5599, 0.5599)*CHOOSE(CONTROL!$C$42, 31, 31))/1000000</f>
        <v>12.063045499999998</v>
      </c>
      <c r="V536" s="58">
        <f>(1000*CHOOSE(CONTROL!$C$42, 500, 500)*CHOOSE(CONTROL!$C$42, 0.275, 0.275)*CHOOSE(CONTROL!$C$42, 31, 31))/1000000</f>
        <v>4.2625000000000002</v>
      </c>
      <c r="W536" s="58">
        <f>(1000*CHOOSE(CONTROL!$C$42, 0.1146, 0.1146)*CHOOSE(CONTROL!$C$42, 121.5, 121.5)*CHOOSE(CONTROL!$C$42, 31, 31))/1000000</f>
        <v>0.43164089999999994</v>
      </c>
      <c r="X536" s="58">
        <f>(31*0.1790888*245000/1000000)+(31*0.2374*100000/1000000)</f>
        <v>2.0961194359999999</v>
      </c>
      <c r="Y536" s="58"/>
      <c r="Z536" s="10"/>
      <c r="AA536" s="57"/>
      <c r="AB536" s="51">
        <f>(B536*194.205+C536*267.466+D536*133.845+E536*53.484+F536*40+G536*185+H536*0+I536*100+J536*300)/(194.205+267.466+133.845+53.484+0+40+185+100+300)</f>
        <v>14.8906426277865</v>
      </c>
      <c r="AC536" s="27">
        <f>(M536*'RAP TEMPLATE-GAS AVAILABILITY'!O535+N536*'RAP TEMPLATE-GAS AVAILABILITY'!P535+O536*'RAP TEMPLATE-GAS AVAILABILITY'!Q535+P536*'RAP TEMPLATE-GAS AVAILABILITY'!R535)/('RAP TEMPLATE-GAS AVAILABILITY'!O535+'RAP TEMPLATE-GAS AVAILABILITY'!P535+'RAP TEMPLATE-GAS AVAILABILITY'!Q535+'RAP TEMPLATE-GAS AVAILABILITY'!R535)</f>
        <v>14.776911510791367</v>
      </c>
    </row>
    <row r="537" spans="1:29" ht="15.75" x14ac:dyDescent="0.25">
      <c r="A537" s="13">
        <v>57618</v>
      </c>
      <c r="B537" s="10">
        <f>CHOOSE(CONTROL!$C$42, 13.9231, 13.9231) * CHOOSE(CONTROL!$C$21, $C$9, 100%, $E$9)</f>
        <v>13.9231</v>
      </c>
      <c r="C537" s="10">
        <f>CHOOSE(CONTROL!$C$42, 13.931, 13.931) * CHOOSE(CONTROL!$C$21, $C$9, 100%, $E$9)</f>
        <v>13.930999999999999</v>
      </c>
      <c r="D537" s="10">
        <f>CHOOSE(CONTROL!$C$42, 14.1095, 14.1095) * CHOOSE(CONTROL!$C$21, $C$9, 100%, $E$9)</f>
        <v>14.109500000000001</v>
      </c>
      <c r="E537" s="10">
        <f>CHOOSE(CONTROL!$C$42, 14.1407, 14.1407) * CHOOSE(CONTROL!$C$21, $C$9, 100%, $E$9)</f>
        <v>14.140700000000001</v>
      </c>
      <c r="F537" s="10">
        <f>CHOOSE(CONTROL!$C$42, 13.9094, 13.9094)*CHOOSE(CONTROL!$C$21, $C$9, 100%, $E$9)</f>
        <v>13.9094</v>
      </c>
      <c r="G537" s="10">
        <f>CHOOSE(CONTROL!$C$42, 13.9277, 13.9277)*CHOOSE(CONTROL!$C$21, $C$9, 100%, $E$9)</f>
        <v>13.9277</v>
      </c>
      <c r="H537" s="10">
        <f>CHOOSE(CONTROL!$C$42, 14.1293, 14.1293) * CHOOSE(CONTROL!$C$21, $C$9, 100%, $E$9)</f>
        <v>14.129300000000001</v>
      </c>
      <c r="I537" s="10">
        <f>CHOOSE(CONTROL!$C$42, 13.8999, 13.8999)* CHOOSE(CONTROL!$C$21, $C$9, 100%, $E$9)</f>
        <v>13.899900000000001</v>
      </c>
      <c r="J537" s="10">
        <f>CHOOSE(CONTROL!$C$42, 13.9024, 13.9024)* CHOOSE(CONTROL!$C$21, $C$9, 100%, $E$9)</f>
        <v>13.9024</v>
      </c>
      <c r="K537" s="54">
        <f>CHOOSE(CONTROL!$C$42, 13.8961, 13.8961) * CHOOSE(CONTROL!$C$21, $C$9, 100%, $E$9)</f>
        <v>13.896100000000001</v>
      </c>
      <c r="L537" s="10">
        <f>CHOOSE(CONTROL!$C$42, 14.7163, 14.7163) * CHOOSE(CONTROL!$C$21, $C$9, 100%, $E$9)</f>
        <v>14.7163</v>
      </c>
      <c r="M537" s="10">
        <f>CHOOSE(CONTROL!$C$42, 13.776, 13.776) * CHOOSE(CONTROL!$C$21, $C$9, 100%, $E$9)</f>
        <v>13.776</v>
      </c>
      <c r="N537" s="10">
        <f>CHOOSE(CONTROL!$C$42, 13.794, 13.794) * CHOOSE(CONTROL!$C$21, $C$9, 100%, $E$9)</f>
        <v>13.794</v>
      </c>
      <c r="O537" s="10">
        <f>CHOOSE(CONTROL!$C$42, 14.0005, 14.0005) * CHOOSE(CONTROL!$C$21, $C$9, 100%, $E$9)</f>
        <v>14.000500000000001</v>
      </c>
      <c r="P537" s="10">
        <f>CHOOSE(CONTROL!$C$42, 13.7735, 13.7735) * CHOOSE(CONTROL!$C$21, $C$9, 100%, $E$9)</f>
        <v>13.7735</v>
      </c>
      <c r="Q537" s="10">
        <f>CHOOSE(CONTROL!$C$42, 14.5958, 14.5958) * CHOOSE(CONTROL!$C$21, $C$9, 100%, $E$9)</f>
        <v>14.595800000000001</v>
      </c>
      <c r="R537" s="10">
        <f>CHOOSE(CONTROL!$C$42, 15.2193, 15.2193) * CHOOSE(CONTROL!$C$21, $C$9, 100%, $E$9)</f>
        <v>15.2193</v>
      </c>
      <c r="S537" s="10">
        <f>CHOOSE(CONTROL!$C$42, 13.5165, 13.5165) * CHOOSE(CONTROL!$C$21, $C$9, 100%, $E$9)</f>
        <v>13.516500000000001</v>
      </c>
      <c r="T537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37" s="58">
        <f>(1000*CHOOSE(CONTROL!$C$42, 695, 695)*CHOOSE(CONTROL!$C$42, 0.5599, 0.5599)*CHOOSE(CONTROL!$C$42, 30, 30))/1000000</f>
        <v>11.673914999999997</v>
      </c>
      <c r="V537" s="58">
        <f>(1000*CHOOSE(CONTROL!$C$42, 500, 500)*CHOOSE(CONTROL!$C$42, 0.275, 0.275)*CHOOSE(CONTROL!$C$42, 30, 30))/1000000</f>
        <v>4.125</v>
      </c>
      <c r="W537" s="58">
        <f>(1000*CHOOSE(CONTROL!$C$42, 0.1146, 0.1146)*CHOOSE(CONTROL!$C$42, 121.5, 121.5)*CHOOSE(CONTROL!$C$42, 30, 30))/1000000</f>
        <v>0.417717</v>
      </c>
      <c r="X537" s="58">
        <f>(30*0.1790888*245000/1000000)+(30*0.2374*100000/1000000)</f>
        <v>2.0285026799999999</v>
      </c>
      <c r="Y537" s="58"/>
      <c r="Z537" s="10"/>
      <c r="AA537" s="57"/>
      <c r="AB537" s="51">
        <f>(B537*194.205+C537*267.466+D537*133.845+E537*53.484+F537*40+G537*185+H537*0+I537*100+J537*300)/(194.205+267.466+133.845+53.484+0+40+185+100+300)</f>
        <v>13.947019001412873</v>
      </c>
      <c r="AC537" s="27">
        <f>(M537*'RAP TEMPLATE-GAS AVAILABILITY'!O536+N537*'RAP TEMPLATE-GAS AVAILABILITY'!P536+O537*'RAP TEMPLATE-GAS AVAILABILITY'!Q536+P537*'RAP TEMPLATE-GAS AVAILABILITY'!R536)/('RAP TEMPLATE-GAS AVAILABILITY'!O536+'RAP TEMPLATE-GAS AVAILABILITY'!P536+'RAP TEMPLATE-GAS AVAILABILITY'!Q536+'RAP TEMPLATE-GAS AVAILABILITY'!R536)</f>
        <v>13.842773381294965</v>
      </c>
    </row>
    <row r="538" spans="1:29" ht="15.75" x14ac:dyDescent="0.25">
      <c r="A538" s="13">
        <v>57649</v>
      </c>
      <c r="B538" s="10">
        <f>CHOOSE(CONTROL!$C$42, 13.6383, 13.6383) * CHOOSE(CONTROL!$C$21, $C$9, 100%, $E$9)</f>
        <v>13.638299999999999</v>
      </c>
      <c r="C538" s="10">
        <f>CHOOSE(CONTROL!$C$42, 13.6436, 13.6436) * CHOOSE(CONTROL!$C$21, $C$9, 100%, $E$9)</f>
        <v>13.643599999999999</v>
      </c>
      <c r="D538" s="10">
        <f>CHOOSE(CONTROL!$C$42, 13.8271, 13.8271) * CHOOSE(CONTROL!$C$21, $C$9, 100%, $E$9)</f>
        <v>13.8271</v>
      </c>
      <c r="E538" s="10">
        <f>CHOOSE(CONTROL!$C$42, 13.8559, 13.8559) * CHOOSE(CONTROL!$C$21, $C$9, 100%, $E$9)</f>
        <v>13.8559</v>
      </c>
      <c r="F538" s="10">
        <f>CHOOSE(CONTROL!$C$42, 13.6267, 13.6267)*CHOOSE(CONTROL!$C$21, $C$9, 100%, $E$9)</f>
        <v>13.6267</v>
      </c>
      <c r="G538" s="10">
        <f>CHOOSE(CONTROL!$C$42, 13.6446, 13.6446)*CHOOSE(CONTROL!$C$21, $C$9, 100%, $E$9)</f>
        <v>13.644600000000001</v>
      </c>
      <c r="H538" s="10">
        <f>CHOOSE(CONTROL!$C$42, 13.8463, 13.8463) * CHOOSE(CONTROL!$C$21, $C$9, 100%, $E$9)</f>
        <v>13.846299999999999</v>
      </c>
      <c r="I538" s="10">
        <f>CHOOSE(CONTROL!$C$42, 13.617, 13.617)* CHOOSE(CONTROL!$C$21, $C$9, 100%, $E$9)</f>
        <v>13.617000000000001</v>
      </c>
      <c r="J538" s="10">
        <f>CHOOSE(CONTROL!$C$42, 13.6197, 13.6197)* CHOOSE(CONTROL!$C$21, $C$9, 100%, $E$9)</f>
        <v>13.6197</v>
      </c>
      <c r="K538" s="54">
        <f>CHOOSE(CONTROL!$C$42, 13.6131, 13.6131) * CHOOSE(CONTROL!$C$21, $C$9, 100%, $E$9)</f>
        <v>13.613099999999999</v>
      </c>
      <c r="L538" s="10">
        <f>CHOOSE(CONTROL!$C$42, 14.4333, 14.4333) * CHOOSE(CONTROL!$C$21, $C$9, 100%, $E$9)</f>
        <v>14.433299999999999</v>
      </c>
      <c r="M538" s="10">
        <f>CHOOSE(CONTROL!$C$42, 13.4961, 13.4961) * CHOOSE(CONTROL!$C$21, $C$9, 100%, $E$9)</f>
        <v>13.4961</v>
      </c>
      <c r="N538" s="10">
        <f>CHOOSE(CONTROL!$C$42, 13.5138, 13.5138) * CHOOSE(CONTROL!$C$21, $C$9, 100%, $E$9)</f>
        <v>13.5138</v>
      </c>
      <c r="O538" s="10">
        <f>CHOOSE(CONTROL!$C$42, 13.7204, 13.7204) * CHOOSE(CONTROL!$C$21, $C$9, 100%, $E$9)</f>
        <v>13.7204</v>
      </c>
      <c r="P538" s="10">
        <f>CHOOSE(CONTROL!$C$42, 13.4934, 13.4934) * CHOOSE(CONTROL!$C$21, $C$9, 100%, $E$9)</f>
        <v>13.493399999999999</v>
      </c>
      <c r="Q538" s="10">
        <f>CHOOSE(CONTROL!$C$42, 14.3157, 14.3157) * CHOOSE(CONTROL!$C$21, $C$9, 100%, $E$9)</f>
        <v>14.3157</v>
      </c>
      <c r="R538" s="10">
        <f>CHOOSE(CONTROL!$C$42, 14.9385, 14.9385) * CHOOSE(CONTROL!$C$21, $C$9, 100%, $E$9)</f>
        <v>14.938499999999999</v>
      </c>
      <c r="S538" s="10">
        <f>CHOOSE(CONTROL!$C$42, 13.2417, 13.2417) * CHOOSE(CONTROL!$C$21, $C$9, 100%, $E$9)</f>
        <v>13.2417</v>
      </c>
      <c r="T538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38" s="58">
        <f>(1000*CHOOSE(CONTROL!$C$42, 695, 695)*CHOOSE(CONTROL!$C$42, 0.5599, 0.5599)*CHOOSE(CONTROL!$C$42, 31, 31))/1000000</f>
        <v>12.063045499999998</v>
      </c>
      <c r="V538" s="58">
        <f>(1000*CHOOSE(CONTROL!$C$42, 500, 500)*CHOOSE(CONTROL!$C$42, 0.275, 0.275)*CHOOSE(CONTROL!$C$42, 31, 31))/1000000</f>
        <v>4.2625000000000002</v>
      </c>
      <c r="W538" s="58">
        <f>(1000*CHOOSE(CONTROL!$C$42, 0.1146, 0.1146)*CHOOSE(CONTROL!$C$42, 121.5, 121.5)*CHOOSE(CONTROL!$C$42, 31, 31))/1000000</f>
        <v>0.43164089999999994</v>
      </c>
      <c r="X538" s="58">
        <f>(31*0.1790888*245000/1000000)+(31*0.2374*100000/1000000)</f>
        <v>2.0961194359999999</v>
      </c>
      <c r="Y538" s="58"/>
      <c r="Z538" s="10"/>
      <c r="AA538" s="57"/>
      <c r="AB538" s="51">
        <f>(B538*131.881+C538*277.167+D538*79.08+E538*125.872+F538*40+G538*185+H538*0+I538*100+J538*300)/(131.881+277.167+79.08+125.872+0+40+185+100+300)</f>
        <v>13.667985662873285</v>
      </c>
      <c r="AC538" s="27">
        <f>(M538*'RAP TEMPLATE-GAS AVAILABILITY'!O537+N538*'RAP TEMPLATE-GAS AVAILABILITY'!P537+O538*'RAP TEMPLATE-GAS AVAILABILITY'!Q537+P538*'RAP TEMPLATE-GAS AVAILABILITY'!R537)/('RAP TEMPLATE-GAS AVAILABILITY'!O537+'RAP TEMPLATE-GAS AVAILABILITY'!P537+'RAP TEMPLATE-GAS AVAILABILITY'!Q537+'RAP TEMPLATE-GAS AVAILABILITY'!R537)</f>
        <v>13.562719424460433</v>
      </c>
    </row>
    <row r="539" spans="1:29" ht="15.75" x14ac:dyDescent="0.25">
      <c r="A539" s="13">
        <v>57679</v>
      </c>
      <c r="B539" s="10">
        <f>CHOOSE(CONTROL!$C$42, 13.9971, 13.9971) * CHOOSE(CONTROL!$C$21, $C$9, 100%, $E$9)</f>
        <v>13.9971</v>
      </c>
      <c r="C539" s="10">
        <f>CHOOSE(CONTROL!$C$42, 14.0021, 14.0021) * CHOOSE(CONTROL!$C$21, $C$9, 100%, $E$9)</f>
        <v>14.0021</v>
      </c>
      <c r="D539" s="10">
        <f>CHOOSE(CONTROL!$C$42, 14.0317, 14.0317) * CHOOSE(CONTROL!$C$21, $C$9, 100%, $E$9)</f>
        <v>14.031700000000001</v>
      </c>
      <c r="E539" s="10">
        <f>CHOOSE(CONTROL!$C$42, 14.0655, 14.0655) * CHOOSE(CONTROL!$C$21, $C$9, 100%, $E$9)</f>
        <v>14.0655</v>
      </c>
      <c r="F539" s="10">
        <f>CHOOSE(CONTROL!$C$42, 13.9829, 13.9829)*CHOOSE(CONTROL!$C$21, $C$9, 100%, $E$9)</f>
        <v>13.982900000000001</v>
      </c>
      <c r="G539" s="10">
        <f>CHOOSE(CONTROL!$C$42, 14.0009, 14.0009)*CHOOSE(CONTROL!$C$21, $C$9, 100%, $E$9)</f>
        <v>14.0009</v>
      </c>
      <c r="H539" s="10">
        <f>CHOOSE(CONTROL!$C$42, 14.0547, 14.0547) * CHOOSE(CONTROL!$C$21, $C$9, 100%, $E$9)</f>
        <v>14.0547</v>
      </c>
      <c r="I539" s="10">
        <f>CHOOSE(CONTROL!$C$42, 13.9633, 13.9633)* CHOOSE(CONTROL!$C$21, $C$9, 100%, $E$9)</f>
        <v>13.9633</v>
      </c>
      <c r="J539" s="10">
        <f>CHOOSE(CONTROL!$C$42, 13.9759, 13.9759)* CHOOSE(CONTROL!$C$21, $C$9, 100%, $E$9)</f>
        <v>13.975899999999999</v>
      </c>
      <c r="K539" s="54">
        <f>CHOOSE(CONTROL!$C$42, 13.9594, 13.9594) * CHOOSE(CONTROL!$C$21, $C$9, 100%, $E$9)</f>
        <v>13.9594</v>
      </c>
      <c r="L539" s="10">
        <f>CHOOSE(CONTROL!$C$42, 14.6417, 14.6417) * CHOOSE(CONTROL!$C$21, $C$9, 100%, $E$9)</f>
        <v>14.6417</v>
      </c>
      <c r="M539" s="10">
        <f>CHOOSE(CONTROL!$C$42, 13.8487, 13.8487) * CHOOSE(CONTROL!$C$21, $C$9, 100%, $E$9)</f>
        <v>13.848699999999999</v>
      </c>
      <c r="N539" s="10">
        <f>CHOOSE(CONTROL!$C$42, 13.8665, 13.8665) * CHOOSE(CONTROL!$C$21, $C$9, 100%, $E$9)</f>
        <v>13.8665</v>
      </c>
      <c r="O539" s="10">
        <f>CHOOSE(CONTROL!$C$42, 13.9267, 13.9267) * CHOOSE(CONTROL!$C$21, $C$9, 100%, $E$9)</f>
        <v>13.9267</v>
      </c>
      <c r="P539" s="10">
        <f>CHOOSE(CONTROL!$C$42, 13.8363, 13.8363) * CHOOSE(CONTROL!$C$21, $C$9, 100%, $E$9)</f>
        <v>13.8363</v>
      </c>
      <c r="Q539" s="10">
        <f>CHOOSE(CONTROL!$C$42, 14.522, 14.522) * CHOOSE(CONTROL!$C$21, $C$9, 100%, $E$9)</f>
        <v>14.522</v>
      </c>
      <c r="R539" s="10">
        <f>CHOOSE(CONTROL!$C$42, 15.1453, 15.1453) * CHOOSE(CONTROL!$C$21, $C$9, 100%, $E$9)</f>
        <v>15.145300000000001</v>
      </c>
      <c r="S539" s="10">
        <f>CHOOSE(CONTROL!$C$42, 13.5905, 13.5905) * CHOOSE(CONTROL!$C$21, $C$9, 100%, $E$9)</f>
        <v>13.5905</v>
      </c>
      <c r="T539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39" s="58">
        <f>(1000*CHOOSE(CONTROL!$C$42, 695, 695)*CHOOSE(CONTROL!$C$42, 0.5599, 0.5599)*CHOOSE(CONTROL!$C$42, 30, 30))/1000000</f>
        <v>11.673914999999997</v>
      </c>
      <c r="V539" s="58">
        <f>(1000*CHOOSE(CONTROL!$C$42, 500, 500)*CHOOSE(CONTROL!$C$42, 0.275, 0.275)*CHOOSE(CONTROL!$C$42, 30, 30))/1000000</f>
        <v>4.125</v>
      </c>
      <c r="W539" s="58">
        <f>(1000*CHOOSE(CONTROL!$C$42, 0.1146, 0.1146)*CHOOSE(CONTROL!$C$42, 121.5, 121.5)*CHOOSE(CONTROL!$C$42, 30, 30))/1000000</f>
        <v>0.417717</v>
      </c>
      <c r="X539" s="58">
        <f>(30*0.1790888*100000/1000000)+(30*0.2374*100000/1000000)</f>
        <v>1.2494664</v>
      </c>
      <c r="Y539" s="58"/>
      <c r="Z539" s="10"/>
      <c r="AA539" s="57"/>
      <c r="AB539" s="51">
        <f>(B539*122.58+C539*297.941+D539*89.177+E539*40.302+F539*40+G539*160+H539*0+I539*100+J539*300)/(122.58+297.941+89.177+40.302+0+40+160+100+300)</f>
        <v>13.995040770434782</v>
      </c>
      <c r="AC539" s="27">
        <f>(M539*'RAP TEMPLATE-GAS AVAILABILITY'!O538+N539*'RAP TEMPLATE-GAS AVAILABILITY'!P538+O539*'RAP TEMPLATE-GAS AVAILABILITY'!Q538+P539*'RAP TEMPLATE-GAS AVAILABILITY'!R538)/('RAP TEMPLATE-GAS AVAILABILITY'!O538+'RAP TEMPLATE-GAS AVAILABILITY'!P538+'RAP TEMPLATE-GAS AVAILABILITY'!Q538+'RAP TEMPLATE-GAS AVAILABILITY'!R538)</f>
        <v>13.883292805755394</v>
      </c>
    </row>
    <row r="540" spans="1:29" ht="15.75" x14ac:dyDescent="0.25">
      <c r="A540" s="13">
        <v>57710</v>
      </c>
      <c r="B540" s="10">
        <f>CHOOSE(CONTROL!$C$42, 14.9513, 14.9513) * CHOOSE(CONTROL!$C$21, $C$9, 100%, $E$9)</f>
        <v>14.9513</v>
      </c>
      <c r="C540" s="10">
        <f>CHOOSE(CONTROL!$C$42, 14.9562, 14.9562) * CHOOSE(CONTROL!$C$21, $C$9, 100%, $E$9)</f>
        <v>14.956200000000001</v>
      </c>
      <c r="D540" s="10">
        <f>CHOOSE(CONTROL!$C$42, 14.9858, 14.9858) * CHOOSE(CONTROL!$C$21, $C$9, 100%, $E$9)</f>
        <v>14.985799999999999</v>
      </c>
      <c r="E540" s="10">
        <f>CHOOSE(CONTROL!$C$42, 15.0196, 15.0196) * CHOOSE(CONTROL!$C$21, $C$9, 100%, $E$9)</f>
        <v>15.019600000000001</v>
      </c>
      <c r="F540" s="10">
        <f>CHOOSE(CONTROL!$C$42, 14.9386, 14.9386)*CHOOSE(CONTROL!$C$21, $C$9, 100%, $E$9)</f>
        <v>14.938599999999999</v>
      </c>
      <c r="G540" s="10">
        <f>CHOOSE(CONTROL!$C$42, 14.957, 14.957)*CHOOSE(CONTROL!$C$21, $C$9, 100%, $E$9)</f>
        <v>14.957000000000001</v>
      </c>
      <c r="H540" s="10">
        <f>CHOOSE(CONTROL!$C$42, 15.0088, 15.0088) * CHOOSE(CONTROL!$C$21, $C$9, 100%, $E$9)</f>
        <v>15.008800000000001</v>
      </c>
      <c r="I540" s="10">
        <f>CHOOSE(CONTROL!$C$42, 14.9174, 14.9174)* CHOOSE(CONTROL!$C$21, $C$9, 100%, $E$9)</f>
        <v>14.917400000000001</v>
      </c>
      <c r="J540" s="10">
        <f>CHOOSE(CONTROL!$C$42, 14.9316, 14.9316)* CHOOSE(CONTROL!$C$21, $C$9, 100%, $E$9)</f>
        <v>14.9316</v>
      </c>
      <c r="K540" s="54">
        <f>CHOOSE(CONTROL!$C$42, 14.9135, 14.9135) * CHOOSE(CONTROL!$C$21, $C$9, 100%, $E$9)</f>
        <v>14.913500000000001</v>
      </c>
      <c r="L540" s="10">
        <f>CHOOSE(CONTROL!$C$42, 15.5958, 15.5958) * CHOOSE(CONTROL!$C$21, $C$9, 100%, $E$9)</f>
        <v>15.595800000000001</v>
      </c>
      <c r="M540" s="10">
        <f>CHOOSE(CONTROL!$C$42, 14.7947, 14.7947) * CHOOSE(CONTROL!$C$21, $C$9, 100%, $E$9)</f>
        <v>14.794700000000001</v>
      </c>
      <c r="N540" s="10">
        <f>CHOOSE(CONTROL!$C$42, 14.813, 14.813) * CHOOSE(CONTROL!$C$21, $C$9, 100%, $E$9)</f>
        <v>14.813000000000001</v>
      </c>
      <c r="O540" s="10">
        <f>CHOOSE(CONTROL!$C$42, 14.8712, 14.8712) * CHOOSE(CONTROL!$C$21, $C$9, 100%, $E$9)</f>
        <v>14.8712</v>
      </c>
      <c r="P540" s="10">
        <f>CHOOSE(CONTROL!$C$42, 14.7808, 14.7808) * CHOOSE(CONTROL!$C$21, $C$9, 100%, $E$9)</f>
        <v>14.780799999999999</v>
      </c>
      <c r="Q540" s="10">
        <f>CHOOSE(CONTROL!$C$42, 15.4665, 15.4665) * CHOOSE(CONTROL!$C$21, $C$9, 100%, $E$9)</f>
        <v>15.4665</v>
      </c>
      <c r="R540" s="10">
        <f>CHOOSE(CONTROL!$C$42, 16.0921, 16.0921) * CHOOSE(CONTROL!$C$21, $C$9, 100%, $E$9)</f>
        <v>16.092099999999999</v>
      </c>
      <c r="S540" s="10">
        <f>CHOOSE(CONTROL!$C$42, 14.517, 14.517) * CHOOSE(CONTROL!$C$21, $C$9, 100%, $E$9)</f>
        <v>14.516999999999999</v>
      </c>
      <c r="T540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540" s="58">
        <f>(1000*CHOOSE(CONTROL!$C$42, 695, 695)*CHOOSE(CONTROL!$C$42, 0.5599, 0.5599)*CHOOSE(CONTROL!$C$42, 31, 31))/1000000</f>
        <v>12.063045499999998</v>
      </c>
      <c r="V540" s="58">
        <f>(1000*CHOOSE(CONTROL!$C$42, 500, 500)*CHOOSE(CONTROL!$C$42, 0.275, 0.275)*CHOOSE(CONTROL!$C$42, 31, 31))/1000000</f>
        <v>4.2625000000000002</v>
      </c>
      <c r="W540" s="58">
        <f>(1000*CHOOSE(CONTROL!$C$42, 0.1146, 0.1146)*CHOOSE(CONTROL!$C$42, 121.5, 121.5)*CHOOSE(CONTROL!$C$42, 31, 31))/1000000</f>
        <v>0.43164089999999994</v>
      </c>
      <c r="X540" s="58">
        <f>(31*0.1790888*100000/1000000)+(31*0.2374*100000/1000000)</f>
        <v>1.2911152800000001</v>
      </c>
      <c r="Y540" s="58"/>
      <c r="Z540" s="10"/>
      <c r="AA540" s="57"/>
      <c r="AB540" s="51">
        <f>(B540*122.58+C540*297.941+D540*89.177+E540*40.302+F540*40+G540*160+H540*0+I540*100+J540*300)/(122.58+297.941+89.177+40.302+0+40+160+100+300)</f>
        <v>14.94990273391304</v>
      </c>
      <c r="AC540" s="27">
        <f>(M540*'RAP TEMPLATE-GAS AVAILABILITY'!O539+N540*'RAP TEMPLATE-GAS AVAILABILITY'!P539+O540*'RAP TEMPLATE-GAS AVAILABILITY'!Q539+P540*'RAP TEMPLATE-GAS AVAILABILITY'!R539)/('RAP TEMPLATE-GAS AVAILABILITY'!O539+'RAP TEMPLATE-GAS AVAILABILITY'!P539+'RAP TEMPLATE-GAS AVAILABILITY'!Q539+'RAP TEMPLATE-GAS AVAILABILITY'!R539)</f>
        <v>14.828425899280575</v>
      </c>
    </row>
    <row r="541" spans="1:29" ht="15.75" x14ac:dyDescent="0.25">
      <c r="A541" s="13">
        <v>57741</v>
      </c>
      <c r="B541" s="10">
        <f>CHOOSE(CONTROL!$C$42, 15.9602, 15.9602) * CHOOSE(CONTROL!$C$21, $C$9, 100%, $E$9)</f>
        <v>15.9602</v>
      </c>
      <c r="C541" s="10">
        <f>CHOOSE(CONTROL!$C$42, 15.9651, 15.9651) * CHOOSE(CONTROL!$C$21, $C$9, 100%, $E$9)</f>
        <v>15.9651</v>
      </c>
      <c r="D541" s="10">
        <f>CHOOSE(CONTROL!$C$42, 16.0153, 16.0153) * CHOOSE(CONTROL!$C$21, $C$9, 100%, $E$9)</f>
        <v>16.0153</v>
      </c>
      <c r="E541" s="10">
        <f>CHOOSE(CONTROL!$C$42, 16.0491, 16.0491) * CHOOSE(CONTROL!$C$21, $C$9, 100%, $E$9)</f>
        <v>16.049099999999999</v>
      </c>
      <c r="F541" s="10">
        <f>CHOOSE(CONTROL!$C$42, 15.9255, 15.9255)*CHOOSE(CONTROL!$C$21, $C$9, 100%, $E$9)</f>
        <v>15.9255</v>
      </c>
      <c r="G541" s="10">
        <f>CHOOSE(CONTROL!$C$42, 15.9431, 15.9431)*CHOOSE(CONTROL!$C$21, $C$9, 100%, $E$9)</f>
        <v>15.943099999999999</v>
      </c>
      <c r="H541" s="10">
        <f>CHOOSE(CONTROL!$C$42, 16.0383, 16.0383) * CHOOSE(CONTROL!$C$21, $C$9, 100%, $E$9)</f>
        <v>16.0383</v>
      </c>
      <c r="I541" s="10">
        <f>CHOOSE(CONTROL!$C$42, 15.9341, 15.9341)* CHOOSE(CONTROL!$C$21, $C$9, 100%, $E$9)</f>
        <v>15.934100000000001</v>
      </c>
      <c r="J541" s="10">
        <f>CHOOSE(CONTROL!$C$42, 15.9185, 15.9185)* CHOOSE(CONTROL!$C$21, $C$9, 100%, $E$9)</f>
        <v>15.9185</v>
      </c>
      <c r="K541" s="54">
        <f>CHOOSE(CONTROL!$C$42, 15.9302, 15.9302) * CHOOSE(CONTROL!$C$21, $C$9, 100%, $E$9)</f>
        <v>15.930199999999999</v>
      </c>
      <c r="L541" s="10">
        <f>CHOOSE(CONTROL!$C$42, 16.6253, 16.6253) * CHOOSE(CONTROL!$C$21, $C$9, 100%, $E$9)</f>
        <v>16.625299999999999</v>
      </c>
      <c r="M541" s="10">
        <f>CHOOSE(CONTROL!$C$42, 15.7717, 15.7717) * CHOOSE(CONTROL!$C$21, $C$9, 100%, $E$9)</f>
        <v>15.771699999999999</v>
      </c>
      <c r="N541" s="10">
        <f>CHOOSE(CONTROL!$C$42, 15.7891, 15.7891) * CHOOSE(CONTROL!$C$21, $C$9, 100%, $E$9)</f>
        <v>15.789099999999999</v>
      </c>
      <c r="O541" s="10">
        <f>CHOOSE(CONTROL!$C$42, 15.8903, 15.8903) * CHOOSE(CONTROL!$C$21, $C$9, 100%, $E$9)</f>
        <v>15.8903</v>
      </c>
      <c r="P541" s="10">
        <f>CHOOSE(CONTROL!$C$42, 15.7871, 15.7871) * CHOOSE(CONTROL!$C$21, $C$9, 100%, $E$9)</f>
        <v>15.787100000000001</v>
      </c>
      <c r="Q541" s="10">
        <f>CHOOSE(CONTROL!$C$42, 16.4856, 16.4856) * CHOOSE(CONTROL!$C$21, $C$9, 100%, $E$9)</f>
        <v>16.485600000000002</v>
      </c>
      <c r="R541" s="10">
        <f>CHOOSE(CONTROL!$C$42, 17.1138, 17.1138) * CHOOSE(CONTROL!$C$21, $C$9, 100%, $E$9)</f>
        <v>17.113800000000001</v>
      </c>
      <c r="S541" s="10">
        <f>CHOOSE(CONTROL!$C$42, 15.4968, 15.4968) * CHOOSE(CONTROL!$C$21, $C$9, 100%, $E$9)</f>
        <v>15.4968</v>
      </c>
      <c r="T541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541" s="58">
        <f>(1000*CHOOSE(CONTROL!$C$42, 695, 695)*CHOOSE(CONTROL!$C$42, 0.5599, 0.5599)*CHOOSE(CONTROL!$C$42, 31, 31))/1000000</f>
        <v>12.063045499999998</v>
      </c>
      <c r="V541" s="58">
        <f>(1000*CHOOSE(CONTROL!$C$42, 500, 500)*CHOOSE(CONTROL!$C$42, 0.275, 0.275)*CHOOSE(CONTROL!$C$42, 31, 31))/1000000</f>
        <v>4.2625000000000002</v>
      </c>
      <c r="W541" s="58">
        <f>(1000*CHOOSE(CONTROL!$C$42, 0.1146, 0.1146)*CHOOSE(CONTROL!$C$42, 121.5, 121.5)*CHOOSE(CONTROL!$C$42, 31, 31))/1000000</f>
        <v>0.43164089999999994</v>
      </c>
      <c r="X541" s="58">
        <f>(31*0.1790888*100000/1000000)+(31*0.2374*100000/1000000)</f>
        <v>1.2911152800000001</v>
      </c>
      <c r="Y541" s="58"/>
      <c r="Z541" s="10"/>
      <c r="AA541" s="57"/>
      <c r="AB541" s="51">
        <f>(B541*122.58+C541*297.941+D541*89.177+E541*40.302+F541*40+G541*160+H541*0+I541*100+J541*300)/(122.58+297.941+89.177+40.302+0+40+160+100+300)</f>
        <v>15.952123836</v>
      </c>
      <c r="AC541" s="27">
        <f>(M541*'RAP TEMPLATE-GAS AVAILABILITY'!O540+N541*'RAP TEMPLATE-GAS AVAILABILITY'!P540+O541*'RAP TEMPLATE-GAS AVAILABILITY'!Q540+P541*'RAP TEMPLATE-GAS AVAILABILITY'!R540)/('RAP TEMPLATE-GAS AVAILABILITY'!O540+'RAP TEMPLATE-GAS AVAILABILITY'!P540+'RAP TEMPLATE-GAS AVAILABILITY'!Q540+'RAP TEMPLATE-GAS AVAILABILITY'!R540)</f>
        <v>15.82867122302158</v>
      </c>
    </row>
    <row r="542" spans="1:29" ht="15.75" x14ac:dyDescent="0.25">
      <c r="A542" s="13">
        <v>57769</v>
      </c>
      <c r="B542" s="10">
        <f>CHOOSE(CONTROL!$C$42, 16.2442, 16.2442) * CHOOSE(CONTROL!$C$21, $C$9, 100%, $E$9)</f>
        <v>16.244199999999999</v>
      </c>
      <c r="C542" s="10">
        <f>CHOOSE(CONTROL!$C$42, 16.2492, 16.2492) * CHOOSE(CONTROL!$C$21, $C$9, 100%, $E$9)</f>
        <v>16.249199999999998</v>
      </c>
      <c r="D542" s="10">
        <f>CHOOSE(CONTROL!$C$42, 16.3663, 16.3663) * CHOOSE(CONTROL!$C$21, $C$9, 100%, $E$9)</f>
        <v>16.366299999999999</v>
      </c>
      <c r="E542" s="10">
        <f>CHOOSE(CONTROL!$C$42, 16.4001, 16.4001) * CHOOSE(CONTROL!$C$21, $C$9, 100%, $E$9)</f>
        <v>16.400099999999998</v>
      </c>
      <c r="F542" s="10">
        <f>CHOOSE(CONTROL!$C$42, 16.3218, 16.3218)*CHOOSE(CONTROL!$C$21, $C$9, 100%, $E$9)</f>
        <v>16.3218</v>
      </c>
      <c r="G542" s="10">
        <f>CHOOSE(CONTROL!$C$42, 16.3437, 16.3437)*CHOOSE(CONTROL!$C$21, $C$9, 100%, $E$9)</f>
        <v>16.343699999999998</v>
      </c>
      <c r="H542" s="10">
        <f>CHOOSE(CONTROL!$C$42, 16.3893, 16.3893) * CHOOSE(CONTROL!$C$21, $C$9, 100%, $E$9)</f>
        <v>16.389299999999999</v>
      </c>
      <c r="I542" s="10">
        <f>CHOOSE(CONTROL!$C$42, 16.2799, 16.2799)* CHOOSE(CONTROL!$C$21, $C$9, 100%, $E$9)</f>
        <v>16.279900000000001</v>
      </c>
      <c r="J542" s="10">
        <f>CHOOSE(CONTROL!$C$42, 16.3148, 16.3148)* CHOOSE(CONTROL!$C$21, $C$9, 100%, $E$9)</f>
        <v>16.314800000000002</v>
      </c>
      <c r="K542" s="54">
        <f>CHOOSE(CONTROL!$C$42, 16.276, 16.276) * CHOOSE(CONTROL!$C$21, $C$9, 100%, $E$9)</f>
        <v>16.276</v>
      </c>
      <c r="L542" s="10">
        <f>CHOOSE(CONTROL!$C$42, 16.9763, 16.9763) * CHOOSE(CONTROL!$C$21, $C$9, 100%, $E$9)</f>
        <v>16.976299999999998</v>
      </c>
      <c r="M542" s="10">
        <f>CHOOSE(CONTROL!$C$42, 16.164, 16.164) * CHOOSE(CONTROL!$C$21, $C$9, 100%, $E$9)</f>
        <v>16.164000000000001</v>
      </c>
      <c r="N542" s="10">
        <f>CHOOSE(CONTROL!$C$42, 16.1857, 16.1857) * CHOOSE(CONTROL!$C$21, $C$9, 100%, $E$9)</f>
        <v>16.185700000000001</v>
      </c>
      <c r="O542" s="10">
        <f>CHOOSE(CONTROL!$C$42, 16.2377, 16.2377) * CHOOSE(CONTROL!$C$21, $C$9, 100%, $E$9)</f>
        <v>16.2377</v>
      </c>
      <c r="P542" s="10">
        <f>CHOOSE(CONTROL!$C$42, 16.1295, 16.1295) * CHOOSE(CONTROL!$C$21, $C$9, 100%, $E$9)</f>
        <v>16.1295</v>
      </c>
      <c r="Q542" s="10">
        <f>CHOOSE(CONTROL!$C$42, 16.833, 16.833) * CHOOSE(CONTROL!$C$21, $C$9, 100%, $E$9)</f>
        <v>16.832999999999998</v>
      </c>
      <c r="R542" s="10">
        <f>CHOOSE(CONTROL!$C$42, 17.4621, 17.4621) * CHOOSE(CONTROL!$C$21, $C$9, 100%, $E$9)</f>
        <v>17.4621</v>
      </c>
      <c r="S542" s="10">
        <f>CHOOSE(CONTROL!$C$42, 15.7726, 15.7726) * CHOOSE(CONTROL!$C$21, $C$9, 100%, $E$9)</f>
        <v>15.772600000000001</v>
      </c>
      <c r="T542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542" s="58">
        <f>(1000*CHOOSE(CONTROL!$C$42, 695, 695)*CHOOSE(CONTROL!$C$42, 0.5599, 0.5599)*CHOOSE(CONTROL!$C$42, 28, 28))/1000000</f>
        <v>10.895653999999999</v>
      </c>
      <c r="V542" s="58">
        <f>(1000*CHOOSE(CONTROL!$C$42, 500, 500)*CHOOSE(CONTROL!$C$42, 0.275, 0.275)*CHOOSE(CONTROL!$C$42, 28, 28))/1000000</f>
        <v>3.85</v>
      </c>
      <c r="W542" s="58">
        <f>(1000*CHOOSE(CONTROL!$C$42, 0.1146, 0.1146)*CHOOSE(CONTROL!$C$42, 121.5, 121.5)*CHOOSE(CONTROL!$C$42, 28, 28))/1000000</f>
        <v>0.38986920000000003</v>
      </c>
      <c r="X542" s="58">
        <f>(28*0.1790888*100000/1000000)+(28*0.2374*100000/1000000)</f>
        <v>1.16616864</v>
      </c>
      <c r="Y542" s="58"/>
      <c r="Z542" s="10"/>
      <c r="AA542" s="57"/>
      <c r="AB542" s="51">
        <f>(B542*122.58+C542*297.941+D542*89.177+E542*40.302+F542*40+G542*160+H542*0+I542*100+J542*300)/(122.58+297.941+89.177+40.302+0+40+160+100+300)</f>
        <v>16.298491563913043</v>
      </c>
      <c r="AC542" s="27">
        <f>(M542*'RAP TEMPLATE-GAS AVAILABILITY'!O541+N542*'RAP TEMPLATE-GAS AVAILABILITY'!P541+O542*'RAP TEMPLATE-GAS AVAILABILITY'!Q541+P542*'RAP TEMPLATE-GAS AVAILABILITY'!R541)/('RAP TEMPLATE-GAS AVAILABILITY'!O541+'RAP TEMPLATE-GAS AVAILABILITY'!P541+'RAP TEMPLATE-GAS AVAILABILITY'!Q541+'RAP TEMPLATE-GAS AVAILABILITY'!R541)</f>
        <v>16.193688489208636</v>
      </c>
    </row>
    <row r="543" spans="1:29" ht="15.75" x14ac:dyDescent="0.25">
      <c r="A543" s="13">
        <v>57800</v>
      </c>
      <c r="B543" s="10">
        <f>CHOOSE(CONTROL!$C$42, 15.7831, 15.7831) * CHOOSE(CONTROL!$C$21, $C$9, 100%, $E$9)</f>
        <v>15.783099999999999</v>
      </c>
      <c r="C543" s="10">
        <f>CHOOSE(CONTROL!$C$42, 15.7881, 15.7881) * CHOOSE(CONTROL!$C$21, $C$9, 100%, $E$9)</f>
        <v>15.7881</v>
      </c>
      <c r="D543" s="10">
        <f>CHOOSE(CONTROL!$C$42, 15.8795, 15.8795) * CHOOSE(CONTROL!$C$21, $C$9, 100%, $E$9)</f>
        <v>15.8795</v>
      </c>
      <c r="E543" s="10">
        <f>CHOOSE(CONTROL!$C$42, 15.9133, 15.9133) * CHOOSE(CONTROL!$C$21, $C$9, 100%, $E$9)</f>
        <v>15.9133</v>
      </c>
      <c r="F543" s="10">
        <f>CHOOSE(CONTROL!$C$42, 15.813, 15.813)*CHOOSE(CONTROL!$C$21, $C$9, 100%, $E$9)</f>
        <v>15.813000000000001</v>
      </c>
      <c r="G543" s="10">
        <f>CHOOSE(CONTROL!$C$42, 15.8325, 15.8325)*CHOOSE(CONTROL!$C$21, $C$9, 100%, $E$9)</f>
        <v>15.8325</v>
      </c>
      <c r="H543" s="10">
        <f>CHOOSE(CONTROL!$C$42, 15.9025, 15.9025) * CHOOSE(CONTROL!$C$21, $C$9, 100%, $E$9)</f>
        <v>15.9025</v>
      </c>
      <c r="I543" s="10">
        <f>CHOOSE(CONTROL!$C$42, 15.8059, 15.8059)* CHOOSE(CONTROL!$C$21, $C$9, 100%, $E$9)</f>
        <v>15.805899999999999</v>
      </c>
      <c r="J543" s="10">
        <f>CHOOSE(CONTROL!$C$42, 15.806, 15.806)* CHOOSE(CONTROL!$C$21, $C$9, 100%, $E$9)</f>
        <v>15.805999999999999</v>
      </c>
      <c r="K543" s="54">
        <f>CHOOSE(CONTROL!$C$42, 15.8021, 15.8021) * CHOOSE(CONTROL!$C$21, $C$9, 100%, $E$9)</f>
        <v>15.802099999999999</v>
      </c>
      <c r="L543" s="10">
        <f>CHOOSE(CONTROL!$C$42, 16.4895, 16.4895) * CHOOSE(CONTROL!$C$21, $C$9, 100%, $E$9)</f>
        <v>16.4895</v>
      </c>
      <c r="M543" s="10">
        <f>CHOOSE(CONTROL!$C$42, 15.6603, 15.6603) * CHOOSE(CONTROL!$C$21, $C$9, 100%, $E$9)</f>
        <v>15.660299999999999</v>
      </c>
      <c r="N543" s="10">
        <f>CHOOSE(CONTROL!$C$42, 15.6796, 15.6796) * CHOOSE(CONTROL!$C$21, $C$9, 100%, $E$9)</f>
        <v>15.679600000000001</v>
      </c>
      <c r="O543" s="10">
        <f>CHOOSE(CONTROL!$C$42, 15.7558, 15.7558) * CHOOSE(CONTROL!$C$21, $C$9, 100%, $E$9)</f>
        <v>15.755800000000001</v>
      </c>
      <c r="P543" s="10">
        <f>CHOOSE(CONTROL!$C$42, 15.6603, 15.6603) * CHOOSE(CONTROL!$C$21, $C$9, 100%, $E$9)</f>
        <v>15.660299999999999</v>
      </c>
      <c r="Q543" s="10">
        <f>CHOOSE(CONTROL!$C$42, 16.3511, 16.3511) * CHOOSE(CONTROL!$C$21, $C$9, 100%, $E$9)</f>
        <v>16.351099999999999</v>
      </c>
      <c r="R543" s="10">
        <f>CHOOSE(CONTROL!$C$42, 16.979, 16.979) * CHOOSE(CONTROL!$C$21, $C$9, 100%, $E$9)</f>
        <v>16.978999999999999</v>
      </c>
      <c r="S543" s="10">
        <f>CHOOSE(CONTROL!$C$42, 15.3249, 15.3249) * CHOOSE(CONTROL!$C$21, $C$9, 100%, $E$9)</f>
        <v>15.3249</v>
      </c>
      <c r="T543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43" s="58">
        <f>(1000*CHOOSE(CONTROL!$C$42, 695, 695)*CHOOSE(CONTROL!$C$42, 0.5599, 0.5599)*CHOOSE(CONTROL!$C$42, 31, 31))/1000000</f>
        <v>12.063045499999998</v>
      </c>
      <c r="V543" s="58">
        <f>(1000*CHOOSE(CONTROL!$C$42, 500, 500)*CHOOSE(CONTROL!$C$42, 0.275, 0.275)*CHOOSE(CONTROL!$C$42, 31, 31))/1000000</f>
        <v>4.2625000000000002</v>
      </c>
      <c r="W543" s="58">
        <f>(1000*CHOOSE(CONTROL!$C$42, 0.1146, 0.1146)*CHOOSE(CONTROL!$C$42, 121.5, 121.5)*CHOOSE(CONTROL!$C$42, 31, 31))/1000000</f>
        <v>0.43164089999999994</v>
      </c>
      <c r="X543" s="58">
        <f>(31*0.1790888*100000/1000000)+(31*0.2374*100000/1000000)</f>
        <v>1.2911152800000001</v>
      </c>
      <c r="Y543" s="58"/>
      <c r="Z543" s="10"/>
      <c r="AA543" s="57"/>
      <c r="AB543" s="51">
        <f>(B543*122.58+C543*297.941+D543*89.177+E543*40.302+F543*40+G543*160+H543*0+I543*100+J543*300)/(122.58+297.941+89.177+40.302+0+40+160+100+300)</f>
        <v>15.812303207130434</v>
      </c>
      <c r="AC543" s="27">
        <f>(M543*'RAP TEMPLATE-GAS AVAILABILITY'!O542+N543*'RAP TEMPLATE-GAS AVAILABILITY'!P542+O543*'RAP TEMPLATE-GAS AVAILABILITY'!Q542+P543*'RAP TEMPLATE-GAS AVAILABILITY'!R542)/('RAP TEMPLATE-GAS AVAILABILITY'!O542+'RAP TEMPLATE-GAS AVAILABILITY'!P542+'RAP TEMPLATE-GAS AVAILABILITY'!Q542+'RAP TEMPLATE-GAS AVAILABILITY'!R542)</f>
        <v>15.704694964028779</v>
      </c>
    </row>
    <row r="544" spans="1:29" ht="15.75" x14ac:dyDescent="0.25">
      <c r="A544" s="13">
        <v>57830</v>
      </c>
      <c r="B544" s="10">
        <f>CHOOSE(CONTROL!$C$42, 15.7367, 15.7367) * CHOOSE(CONTROL!$C$21, $C$9, 100%, $E$9)</f>
        <v>15.736700000000001</v>
      </c>
      <c r="C544" s="10">
        <f>CHOOSE(CONTROL!$C$42, 15.741, 15.741) * CHOOSE(CONTROL!$C$21, $C$9, 100%, $E$9)</f>
        <v>15.741</v>
      </c>
      <c r="D544" s="10">
        <f>CHOOSE(CONTROL!$C$42, 15.9227, 15.9227) * CHOOSE(CONTROL!$C$21, $C$9, 100%, $E$9)</f>
        <v>15.922700000000001</v>
      </c>
      <c r="E544" s="10">
        <f>CHOOSE(CONTROL!$C$42, 15.9545, 15.9545) * CHOOSE(CONTROL!$C$21, $C$9, 100%, $E$9)</f>
        <v>15.954499999999999</v>
      </c>
      <c r="F544" s="10">
        <f>CHOOSE(CONTROL!$C$42, 15.725, 15.725)*CHOOSE(CONTROL!$C$21, $C$9, 100%, $E$9)</f>
        <v>15.725</v>
      </c>
      <c r="G544" s="10">
        <f>CHOOSE(CONTROL!$C$42, 15.743, 15.743)*CHOOSE(CONTROL!$C$21, $C$9, 100%, $E$9)</f>
        <v>15.743</v>
      </c>
      <c r="H544" s="10">
        <f>CHOOSE(CONTROL!$C$42, 15.9443, 15.9443) * CHOOSE(CONTROL!$C$21, $C$9, 100%, $E$9)</f>
        <v>15.9443</v>
      </c>
      <c r="I544" s="10">
        <f>CHOOSE(CONTROL!$C$42, 15.7149, 15.7149)* CHOOSE(CONTROL!$C$21, $C$9, 100%, $E$9)</f>
        <v>15.7149</v>
      </c>
      <c r="J544" s="10">
        <f>CHOOSE(CONTROL!$C$42, 15.718, 15.718)* CHOOSE(CONTROL!$C$21, $C$9, 100%, $E$9)</f>
        <v>15.718</v>
      </c>
      <c r="K544" s="54">
        <f>CHOOSE(CONTROL!$C$42, 15.711, 15.711) * CHOOSE(CONTROL!$C$21, $C$9, 100%, $E$9)</f>
        <v>15.711</v>
      </c>
      <c r="L544" s="10">
        <f>CHOOSE(CONTROL!$C$42, 16.5313, 16.5313) * CHOOSE(CONTROL!$C$21, $C$9, 100%, $E$9)</f>
        <v>16.531300000000002</v>
      </c>
      <c r="M544" s="10">
        <f>CHOOSE(CONTROL!$C$42, 15.5732, 15.5732) * CHOOSE(CONTROL!$C$21, $C$9, 100%, $E$9)</f>
        <v>15.5732</v>
      </c>
      <c r="N544" s="10">
        <f>CHOOSE(CONTROL!$C$42, 15.591, 15.591) * CHOOSE(CONTROL!$C$21, $C$9, 100%, $E$9)</f>
        <v>15.590999999999999</v>
      </c>
      <c r="O544" s="10">
        <f>CHOOSE(CONTROL!$C$42, 15.7972, 15.7972) * CHOOSE(CONTROL!$C$21, $C$9, 100%, $E$9)</f>
        <v>15.7972</v>
      </c>
      <c r="P544" s="10">
        <f>CHOOSE(CONTROL!$C$42, 15.5702, 15.5702) * CHOOSE(CONTROL!$C$21, $C$9, 100%, $E$9)</f>
        <v>15.5702</v>
      </c>
      <c r="Q544" s="10">
        <f>CHOOSE(CONTROL!$C$42, 16.3925, 16.3925) * CHOOSE(CONTROL!$C$21, $C$9, 100%, $E$9)</f>
        <v>16.392499999999998</v>
      </c>
      <c r="R544" s="10">
        <f>CHOOSE(CONTROL!$C$42, 17.0205, 17.0205) * CHOOSE(CONTROL!$C$21, $C$9, 100%, $E$9)</f>
        <v>17.020499999999998</v>
      </c>
      <c r="S544" s="10">
        <f>CHOOSE(CONTROL!$C$42, 15.279, 15.279) * CHOOSE(CONTROL!$C$21, $C$9, 100%, $E$9)</f>
        <v>15.279</v>
      </c>
      <c r="T544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44" s="58">
        <f>(1000*CHOOSE(CONTROL!$C$42, 695, 695)*CHOOSE(CONTROL!$C$42, 0.5599, 0.5599)*CHOOSE(CONTROL!$C$42, 30, 30))/1000000</f>
        <v>11.673914999999997</v>
      </c>
      <c r="V544" s="58">
        <f>(1000*CHOOSE(CONTROL!$C$42, 500, 500)*CHOOSE(CONTROL!$C$42, 0.275, 0.275)*CHOOSE(CONTROL!$C$42, 30, 30))/1000000</f>
        <v>4.125</v>
      </c>
      <c r="W544" s="58">
        <f>(1000*CHOOSE(CONTROL!$C$42, 0.1146, 0.1146)*CHOOSE(CONTROL!$C$42, 121.5, 121.5)*CHOOSE(CONTROL!$C$42, 30, 30))/1000000</f>
        <v>0.417717</v>
      </c>
      <c r="X544" s="58">
        <f>(30*0.1790888*245000/1000000)+(30*0.2374*100000/1000000)</f>
        <v>2.0285026799999999</v>
      </c>
      <c r="Y544" s="58"/>
      <c r="Z544" s="10"/>
      <c r="AA544" s="57"/>
      <c r="AB544" s="51">
        <f>(B544*141.293+C544*267.993+D544*115.016+E544*89.698+F544*40+G544*185+H544*0+I544*100+J544*300)/(141.293+267.993+115.016+89.698+0+40+185+100+300)</f>
        <v>15.764939766182405</v>
      </c>
      <c r="AC544" s="27">
        <f>(M544*'RAP TEMPLATE-GAS AVAILABILITY'!O543+N544*'RAP TEMPLATE-GAS AVAILABILITY'!P543+O544*'RAP TEMPLATE-GAS AVAILABILITY'!Q543+P544*'RAP TEMPLATE-GAS AVAILABILITY'!R543)/('RAP TEMPLATE-GAS AVAILABILITY'!O543+'RAP TEMPLATE-GAS AVAILABILITY'!P543+'RAP TEMPLATE-GAS AVAILABILITY'!Q543+'RAP TEMPLATE-GAS AVAILABILITY'!R543)</f>
        <v>15.63971510791367</v>
      </c>
    </row>
    <row r="545" spans="1:29" ht="15.75" x14ac:dyDescent="0.25">
      <c r="A545" s="13">
        <v>57861</v>
      </c>
      <c r="B545" s="10">
        <f>CHOOSE(CONTROL!$C$42, 15.8773, 15.8773) * CHOOSE(CONTROL!$C$21, $C$9, 100%, $E$9)</f>
        <v>15.8773</v>
      </c>
      <c r="C545" s="10">
        <f>CHOOSE(CONTROL!$C$42, 15.8852, 15.8852) * CHOOSE(CONTROL!$C$21, $C$9, 100%, $E$9)</f>
        <v>15.885199999999999</v>
      </c>
      <c r="D545" s="10">
        <f>CHOOSE(CONTROL!$C$42, 16.0638, 16.0638) * CHOOSE(CONTROL!$C$21, $C$9, 100%, $E$9)</f>
        <v>16.063800000000001</v>
      </c>
      <c r="E545" s="10">
        <f>CHOOSE(CONTROL!$C$42, 16.0949, 16.0949) * CHOOSE(CONTROL!$C$21, $C$9, 100%, $E$9)</f>
        <v>16.094899999999999</v>
      </c>
      <c r="F545" s="10">
        <f>CHOOSE(CONTROL!$C$42, 15.8635, 15.8635)*CHOOSE(CONTROL!$C$21, $C$9, 100%, $E$9)</f>
        <v>15.8635</v>
      </c>
      <c r="G545" s="10">
        <f>CHOOSE(CONTROL!$C$42, 15.8817, 15.8817)*CHOOSE(CONTROL!$C$21, $C$9, 100%, $E$9)</f>
        <v>15.8817</v>
      </c>
      <c r="H545" s="10">
        <f>CHOOSE(CONTROL!$C$42, 16.0835, 16.0835) * CHOOSE(CONTROL!$C$21, $C$9, 100%, $E$9)</f>
        <v>16.083500000000001</v>
      </c>
      <c r="I545" s="10">
        <f>CHOOSE(CONTROL!$C$42, 15.8542, 15.8542)* CHOOSE(CONTROL!$C$21, $C$9, 100%, $E$9)</f>
        <v>15.854200000000001</v>
      </c>
      <c r="J545" s="10">
        <f>CHOOSE(CONTROL!$C$42, 15.8565, 15.8565)* CHOOSE(CONTROL!$C$21, $C$9, 100%, $E$9)</f>
        <v>15.8565</v>
      </c>
      <c r="K545" s="54">
        <f>CHOOSE(CONTROL!$C$42, 15.8503, 15.8503) * CHOOSE(CONTROL!$C$21, $C$9, 100%, $E$9)</f>
        <v>15.850300000000001</v>
      </c>
      <c r="L545" s="10">
        <f>CHOOSE(CONTROL!$C$42, 16.6705, 16.6705) * CHOOSE(CONTROL!$C$21, $C$9, 100%, $E$9)</f>
        <v>16.670500000000001</v>
      </c>
      <c r="M545" s="10">
        <f>CHOOSE(CONTROL!$C$42, 15.7103, 15.7103) * CHOOSE(CONTROL!$C$21, $C$9, 100%, $E$9)</f>
        <v>15.7103</v>
      </c>
      <c r="N545" s="10">
        <f>CHOOSE(CONTROL!$C$42, 15.7283, 15.7283) * CHOOSE(CONTROL!$C$21, $C$9, 100%, $E$9)</f>
        <v>15.728300000000001</v>
      </c>
      <c r="O545" s="10">
        <f>CHOOSE(CONTROL!$C$42, 15.9351, 15.9351) * CHOOSE(CONTROL!$C$21, $C$9, 100%, $E$9)</f>
        <v>15.9351</v>
      </c>
      <c r="P545" s="10">
        <f>CHOOSE(CONTROL!$C$42, 15.7081, 15.7081) * CHOOSE(CONTROL!$C$21, $C$9, 100%, $E$9)</f>
        <v>15.7081</v>
      </c>
      <c r="Q545" s="10">
        <f>CHOOSE(CONTROL!$C$42, 16.5304, 16.5304) * CHOOSE(CONTROL!$C$21, $C$9, 100%, $E$9)</f>
        <v>16.5304</v>
      </c>
      <c r="R545" s="10">
        <f>CHOOSE(CONTROL!$C$42, 17.1587, 17.1587) * CHOOSE(CONTROL!$C$21, $C$9, 100%, $E$9)</f>
        <v>17.1587</v>
      </c>
      <c r="S545" s="10">
        <f>CHOOSE(CONTROL!$C$42, 15.4142, 15.4142) * CHOOSE(CONTROL!$C$21, $C$9, 100%, $E$9)</f>
        <v>15.414199999999999</v>
      </c>
      <c r="T545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45" s="58">
        <f>(1000*CHOOSE(CONTROL!$C$42, 695, 695)*CHOOSE(CONTROL!$C$42, 0.5599, 0.5599)*CHOOSE(CONTROL!$C$42, 31, 31))/1000000</f>
        <v>12.063045499999998</v>
      </c>
      <c r="V545" s="58">
        <f>(1000*CHOOSE(CONTROL!$C$42, 500, 500)*CHOOSE(CONTROL!$C$42, 0.275, 0.275)*CHOOSE(CONTROL!$C$42, 31, 31))/1000000</f>
        <v>4.2625000000000002</v>
      </c>
      <c r="W545" s="58">
        <f>(1000*CHOOSE(CONTROL!$C$42, 0.1146, 0.1146)*CHOOSE(CONTROL!$C$42, 121.5, 121.5)*CHOOSE(CONTROL!$C$42, 31, 31))/1000000</f>
        <v>0.43164089999999994</v>
      </c>
      <c r="X545" s="58">
        <f>(31*0.1790888*245000/1000000)+(31*0.2374*100000/1000000)</f>
        <v>2.0961194359999999</v>
      </c>
      <c r="Y545" s="58"/>
      <c r="Z545" s="10"/>
      <c r="AA545" s="57"/>
      <c r="AB545" s="51">
        <f>(B545*194.205+C545*267.466+D545*133.845+E545*53.484+F545*40+G545*185+H545*0+I545*100+J545*300)/(194.205+267.466+133.845+53.484+0+40+185+100+300)</f>
        <v>15.901181626609105</v>
      </c>
      <c r="AC545" s="27">
        <f>(M545*'RAP TEMPLATE-GAS AVAILABILITY'!O544+N545*'RAP TEMPLATE-GAS AVAILABILITY'!P544+O545*'RAP TEMPLATE-GAS AVAILABILITY'!Q544+P545*'RAP TEMPLATE-GAS AVAILABILITY'!R544)/('RAP TEMPLATE-GAS AVAILABILITY'!O544+'RAP TEMPLATE-GAS AVAILABILITY'!P544+'RAP TEMPLATE-GAS AVAILABILITY'!Q544+'RAP TEMPLATE-GAS AVAILABILITY'!R544)</f>
        <v>15.777200719424458</v>
      </c>
    </row>
    <row r="546" spans="1:29" ht="15.75" x14ac:dyDescent="0.25">
      <c r="A546" s="13">
        <v>57891</v>
      </c>
      <c r="B546" s="10">
        <f>CHOOSE(CONTROL!$C$42, 16.3275, 16.3275) * CHOOSE(CONTROL!$C$21, $C$9, 100%, $E$9)</f>
        <v>16.327500000000001</v>
      </c>
      <c r="C546" s="10">
        <f>CHOOSE(CONTROL!$C$42, 16.3355, 16.3355) * CHOOSE(CONTROL!$C$21, $C$9, 100%, $E$9)</f>
        <v>16.3355</v>
      </c>
      <c r="D546" s="10">
        <f>CHOOSE(CONTROL!$C$42, 16.514, 16.514) * CHOOSE(CONTROL!$C$21, $C$9, 100%, $E$9)</f>
        <v>16.513999999999999</v>
      </c>
      <c r="E546" s="10">
        <f>CHOOSE(CONTROL!$C$42, 16.5451, 16.5451) * CHOOSE(CONTROL!$C$21, $C$9, 100%, $E$9)</f>
        <v>16.545100000000001</v>
      </c>
      <c r="F546" s="10">
        <f>CHOOSE(CONTROL!$C$42, 16.314, 16.314)*CHOOSE(CONTROL!$C$21, $C$9, 100%, $E$9)</f>
        <v>16.314</v>
      </c>
      <c r="G546" s="10">
        <f>CHOOSE(CONTROL!$C$42, 16.3322, 16.3322)*CHOOSE(CONTROL!$C$21, $C$9, 100%, $E$9)</f>
        <v>16.3322</v>
      </c>
      <c r="H546" s="10">
        <f>CHOOSE(CONTROL!$C$42, 16.5338, 16.5338) * CHOOSE(CONTROL!$C$21, $C$9, 100%, $E$9)</f>
        <v>16.533799999999999</v>
      </c>
      <c r="I546" s="10">
        <f>CHOOSE(CONTROL!$C$42, 16.3044, 16.3044)* CHOOSE(CONTROL!$C$21, $C$9, 100%, $E$9)</f>
        <v>16.304400000000001</v>
      </c>
      <c r="J546" s="10">
        <f>CHOOSE(CONTROL!$C$42, 16.307, 16.307)* CHOOSE(CONTROL!$C$21, $C$9, 100%, $E$9)</f>
        <v>16.306999999999999</v>
      </c>
      <c r="K546" s="54">
        <f>CHOOSE(CONTROL!$C$42, 16.3005, 16.3005) * CHOOSE(CONTROL!$C$21, $C$9, 100%, $E$9)</f>
        <v>16.3005</v>
      </c>
      <c r="L546" s="10">
        <f>CHOOSE(CONTROL!$C$42, 17.1208, 17.1208) * CHOOSE(CONTROL!$C$21, $C$9, 100%, $E$9)</f>
        <v>17.120799999999999</v>
      </c>
      <c r="M546" s="10">
        <f>CHOOSE(CONTROL!$C$42, 16.1562, 16.1562) * CHOOSE(CONTROL!$C$21, $C$9, 100%, $E$9)</f>
        <v>16.156199999999998</v>
      </c>
      <c r="N546" s="10">
        <f>CHOOSE(CONTROL!$C$42, 16.1743, 16.1743) * CHOOSE(CONTROL!$C$21, $C$9, 100%, $E$9)</f>
        <v>16.174299999999999</v>
      </c>
      <c r="O546" s="10">
        <f>CHOOSE(CONTROL!$C$42, 16.3807, 16.3807) * CHOOSE(CONTROL!$C$21, $C$9, 100%, $E$9)</f>
        <v>16.380700000000001</v>
      </c>
      <c r="P546" s="10">
        <f>CHOOSE(CONTROL!$C$42, 16.1537, 16.1537) * CHOOSE(CONTROL!$C$21, $C$9, 100%, $E$9)</f>
        <v>16.153700000000001</v>
      </c>
      <c r="Q546" s="10">
        <f>CHOOSE(CONTROL!$C$42, 16.976, 16.976) * CHOOSE(CONTROL!$C$21, $C$9, 100%, $E$9)</f>
        <v>16.975999999999999</v>
      </c>
      <c r="R546" s="10">
        <f>CHOOSE(CONTROL!$C$42, 17.6055, 17.6055) * CHOOSE(CONTROL!$C$21, $C$9, 100%, $E$9)</f>
        <v>17.605499999999999</v>
      </c>
      <c r="S546" s="10">
        <f>CHOOSE(CONTROL!$C$42, 15.8514, 15.8514) * CHOOSE(CONTROL!$C$21, $C$9, 100%, $E$9)</f>
        <v>15.8514</v>
      </c>
      <c r="T546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46" s="58">
        <f>(1000*CHOOSE(CONTROL!$C$42, 695, 695)*CHOOSE(CONTROL!$C$42, 0.5599, 0.5599)*CHOOSE(CONTROL!$C$42, 30, 30))/1000000</f>
        <v>11.673914999999997</v>
      </c>
      <c r="V546" s="58">
        <f>(1000*CHOOSE(CONTROL!$C$42, 500, 500)*CHOOSE(CONTROL!$C$42, 0.275, 0.275)*CHOOSE(CONTROL!$C$42, 30, 30))/1000000</f>
        <v>4.125</v>
      </c>
      <c r="W546" s="58">
        <f>(1000*CHOOSE(CONTROL!$C$42, 0.1146, 0.1146)*CHOOSE(CONTROL!$C$42, 121.5, 121.5)*CHOOSE(CONTROL!$C$42, 30, 30))/1000000</f>
        <v>0.417717</v>
      </c>
      <c r="X546" s="58">
        <f>(30*0.1790888*245000/1000000)+(30*0.2374*100000/1000000)</f>
        <v>2.0285026799999999</v>
      </c>
      <c r="Y546" s="58"/>
      <c r="Z546" s="10"/>
      <c r="AA546" s="57"/>
      <c r="AB546" s="51">
        <f>(B546*194.205+C546*267.466+D546*133.845+E546*53.484+F546*40+G546*185+H546*0+I546*100+J546*300)/(194.205+267.466+133.845+53.484+0+40+185+100+300)</f>
        <v>16.351526247174252</v>
      </c>
      <c r="AC546" s="27">
        <f>(M546*'RAP TEMPLATE-GAS AVAILABILITY'!O545+N546*'RAP TEMPLATE-GAS AVAILABILITY'!P545+O546*'RAP TEMPLATE-GAS AVAILABILITY'!Q545+P546*'RAP TEMPLATE-GAS AVAILABILITY'!R545)/('RAP TEMPLATE-GAS AVAILABILITY'!O545+'RAP TEMPLATE-GAS AVAILABILITY'!P545+'RAP TEMPLATE-GAS AVAILABILITY'!Q545+'RAP TEMPLATE-GAS AVAILABILITY'!R545)</f>
        <v>16.222996402877698</v>
      </c>
    </row>
    <row r="547" spans="1:29" ht="15.75" x14ac:dyDescent="0.25">
      <c r="A547" s="13">
        <v>57922</v>
      </c>
      <c r="B547" s="10">
        <f>CHOOSE(CONTROL!$C$42, 16.0144, 16.0144) * CHOOSE(CONTROL!$C$21, $C$9, 100%, $E$9)</f>
        <v>16.014399999999998</v>
      </c>
      <c r="C547" s="10">
        <f>CHOOSE(CONTROL!$C$42, 16.0223, 16.0223) * CHOOSE(CONTROL!$C$21, $C$9, 100%, $E$9)</f>
        <v>16.022300000000001</v>
      </c>
      <c r="D547" s="10">
        <f>CHOOSE(CONTROL!$C$42, 16.2009, 16.2009) * CHOOSE(CONTROL!$C$21, $C$9, 100%, $E$9)</f>
        <v>16.200900000000001</v>
      </c>
      <c r="E547" s="10">
        <f>CHOOSE(CONTROL!$C$42, 16.232, 16.232) * CHOOSE(CONTROL!$C$21, $C$9, 100%, $E$9)</f>
        <v>16.231999999999999</v>
      </c>
      <c r="F547" s="10">
        <f>CHOOSE(CONTROL!$C$42, 16.0011, 16.0011)*CHOOSE(CONTROL!$C$21, $C$9, 100%, $E$9)</f>
        <v>16.001100000000001</v>
      </c>
      <c r="G547" s="10">
        <f>CHOOSE(CONTROL!$C$42, 16.0194, 16.0194)*CHOOSE(CONTROL!$C$21, $C$9, 100%, $E$9)</f>
        <v>16.019400000000001</v>
      </c>
      <c r="H547" s="10">
        <f>CHOOSE(CONTROL!$C$42, 16.2206, 16.2206) * CHOOSE(CONTROL!$C$21, $C$9, 100%, $E$9)</f>
        <v>16.220600000000001</v>
      </c>
      <c r="I547" s="10">
        <f>CHOOSE(CONTROL!$C$42, 15.9913, 15.9913)* CHOOSE(CONTROL!$C$21, $C$9, 100%, $E$9)</f>
        <v>15.991300000000001</v>
      </c>
      <c r="J547" s="10">
        <f>CHOOSE(CONTROL!$C$42, 15.9941, 15.9941)* CHOOSE(CONTROL!$C$21, $C$9, 100%, $E$9)</f>
        <v>15.9941</v>
      </c>
      <c r="K547" s="54">
        <f>CHOOSE(CONTROL!$C$42, 15.9874, 15.9874) * CHOOSE(CONTROL!$C$21, $C$9, 100%, $E$9)</f>
        <v>15.987399999999999</v>
      </c>
      <c r="L547" s="10">
        <f>CHOOSE(CONTROL!$C$42, 16.8076, 16.8076) * CHOOSE(CONTROL!$C$21, $C$9, 100%, $E$9)</f>
        <v>16.807600000000001</v>
      </c>
      <c r="M547" s="10">
        <f>CHOOSE(CONTROL!$C$42, 15.8465, 15.8465) * CHOOSE(CONTROL!$C$21, $C$9, 100%, $E$9)</f>
        <v>15.846500000000001</v>
      </c>
      <c r="N547" s="10">
        <f>CHOOSE(CONTROL!$C$42, 15.8647, 15.8647) * CHOOSE(CONTROL!$C$21, $C$9, 100%, $E$9)</f>
        <v>15.864699999999999</v>
      </c>
      <c r="O547" s="10">
        <f>CHOOSE(CONTROL!$C$42, 16.0708, 16.0708) * CHOOSE(CONTROL!$C$21, $C$9, 100%, $E$9)</f>
        <v>16.070799999999998</v>
      </c>
      <c r="P547" s="10">
        <f>CHOOSE(CONTROL!$C$42, 15.8438, 15.8438) * CHOOSE(CONTROL!$C$21, $C$9, 100%, $E$9)</f>
        <v>15.8438</v>
      </c>
      <c r="Q547" s="10">
        <f>CHOOSE(CONTROL!$C$42, 16.6661, 16.6661) * CHOOSE(CONTROL!$C$21, $C$9, 100%, $E$9)</f>
        <v>16.6661</v>
      </c>
      <c r="R547" s="10">
        <f>CHOOSE(CONTROL!$C$42, 17.2947, 17.2947) * CHOOSE(CONTROL!$C$21, $C$9, 100%, $E$9)</f>
        <v>17.294699999999999</v>
      </c>
      <c r="S547" s="10">
        <f>CHOOSE(CONTROL!$C$42, 15.5473, 15.5473) * CHOOSE(CONTROL!$C$21, $C$9, 100%, $E$9)</f>
        <v>15.5473</v>
      </c>
      <c r="T547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47" s="58">
        <f>(1000*CHOOSE(CONTROL!$C$42, 695, 695)*CHOOSE(CONTROL!$C$42, 0.5599, 0.5599)*CHOOSE(CONTROL!$C$42, 31, 31))/1000000</f>
        <v>12.063045499999998</v>
      </c>
      <c r="V547" s="58">
        <f>(1000*CHOOSE(CONTROL!$C$42, 500, 500)*CHOOSE(CONTROL!$C$42, 0.275, 0.275)*CHOOSE(CONTROL!$C$42, 31, 31))/1000000</f>
        <v>4.2625000000000002</v>
      </c>
      <c r="W547" s="58">
        <f>(1000*CHOOSE(CONTROL!$C$42, 0.1146, 0.1146)*CHOOSE(CONTROL!$C$42, 121.5, 121.5)*CHOOSE(CONTROL!$C$42, 31, 31))/1000000</f>
        <v>0.43164089999999994</v>
      </c>
      <c r="X547" s="58">
        <f>(31*0.1790888*245000/1000000)+(31*0.2374*100000/1000000)</f>
        <v>2.0961194359999999</v>
      </c>
      <c r="Y547" s="58"/>
      <c r="Z547" s="10"/>
      <c r="AA547" s="57"/>
      <c r="AB547" s="51">
        <f>(B547*194.205+C547*267.466+D547*133.845+E547*53.484+F547*40+G547*185+H547*0+I547*100+J547*300)/(194.205+267.466+133.845+53.484+0+40+185+100+300)</f>
        <v>16.038502191758241</v>
      </c>
      <c r="AC547" s="27">
        <f>(M547*'RAP TEMPLATE-GAS AVAILABILITY'!O546+N547*'RAP TEMPLATE-GAS AVAILABILITY'!P546+O547*'RAP TEMPLATE-GAS AVAILABILITY'!Q546+P547*'RAP TEMPLATE-GAS AVAILABILITY'!R546)/('RAP TEMPLATE-GAS AVAILABILITY'!O546+'RAP TEMPLATE-GAS AVAILABILITY'!P546+'RAP TEMPLATE-GAS AVAILABILITY'!Q546+'RAP TEMPLATE-GAS AVAILABILITY'!R546)</f>
        <v>15.913234532374098</v>
      </c>
    </row>
    <row r="548" spans="1:29" ht="15.75" x14ac:dyDescent="0.25">
      <c r="A548" s="13">
        <v>57953</v>
      </c>
      <c r="B548" s="10">
        <f>CHOOSE(CONTROL!$C$42, 15.2236, 15.2236) * CHOOSE(CONTROL!$C$21, $C$9, 100%, $E$9)</f>
        <v>15.223599999999999</v>
      </c>
      <c r="C548" s="10">
        <f>CHOOSE(CONTROL!$C$42, 15.2316, 15.2316) * CHOOSE(CONTROL!$C$21, $C$9, 100%, $E$9)</f>
        <v>15.2316</v>
      </c>
      <c r="D548" s="10">
        <f>CHOOSE(CONTROL!$C$42, 15.4101, 15.4101) * CHOOSE(CONTROL!$C$21, $C$9, 100%, $E$9)</f>
        <v>15.4101</v>
      </c>
      <c r="E548" s="10">
        <f>CHOOSE(CONTROL!$C$42, 15.4412, 15.4412) * CHOOSE(CONTROL!$C$21, $C$9, 100%, $E$9)</f>
        <v>15.4412</v>
      </c>
      <c r="F548" s="10">
        <f>CHOOSE(CONTROL!$C$42, 15.2103, 15.2103)*CHOOSE(CONTROL!$C$21, $C$9, 100%, $E$9)</f>
        <v>15.2103</v>
      </c>
      <c r="G548" s="10">
        <f>CHOOSE(CONTROL!$C$42, 15.2286, 15.2286)*CHOOSE(CONTROL!$C$21, $C$9, 100%, $E$9)</f>
        <v>15.2286</v>
      </c>
      <c r="H548" s="10">
        <f>CHOOSE(CONTROL!$C$42, 15.4299, 15.4299) * CHOOSE(CONTROL!$C$21, $C$9, 100%, $E$9)</f>
        <v>15.4299</v>
      </c>
      <c r="I548" s="10">
        <f>CHOOSE(CONTROL!$C$42, 15.2005, 15.2005)* CHOOSE(CONTROL!$C$21, $C$9, 100%, $E$9)</f>
        <v>15.2005</v>
      </c>
      <c r="J548" s="10">
        <f>CHOOSE(CONTROL!$C$42, 15.2033, 15.2033)* CHOOSE(CONTROL!$C$21, $C$9, 100%, $E$9)</f>
        <v>15.2033</v>
      </c>
      <c r="K548" s="54">
        <f>CHOOSE(CONTROL!$C$42, 15.1966, 15.1966) * CHOOSE(CONTROL!$C$21, $C$9, 100%, $E$9)</f>
        <v>15.1966</v>
      </c>
      <c r="L548" s="10">
        <f>CHOOSE(CONTROL!$C$42, 16.0169, 16.0169) * CHOOSE(CONTROL!$C$21, $C$9, 100%, $E$9)</f>
        <v>16.0169</v>
      </c>
      <c r="M548" s="10">
        <f>CHOOSE(CONTROL!$C$42, 15.0637, 15.0637) * CHOOSE(CONTROL!$C$21, $C$9, 100%, $E$9)</f>
        <v>15.063700000000001</v>
      </c>
      <c r="N548" s="10">
        <f>CHOOSE(CONTROL!$C$42, 15.0818, 15.0818) * CHOOSE(CONTROL!$C$21, $C$9, 100%, $E$9)</f>
        <v>15.081799999999999</v>
      </c>
      <c r="O548" s="10">
        <f>CHOOSE(CONTROL!$C$42, 15.288, 15.288) * CHOOSE(CONTROL!$C$21, $C$9, 100%, $E$9)</f>
        <v>15.288</v>
      </c>
      <c r="P548" s="10">
        <f>CHOOSE(CONTROL!$C$42, 15.061, 15.061) * CHOOSE(CONTROL!$C$21, $C$9, 100%, $E$9)</f>
        <v>15.061</v>
      </c>
      <c r="Q548" s="10">
        <f>CHOOSE(CONTROL!$C$42, 15.8833, 15.8833) * CHOOSE(CONTROL!$C$21, $C$9, 100%, $E$9)</f>
        <v>15.8833</v>
      </c>
      <c r="R548" s="10">
        <f>CHOOSE(CONTROL!$C$42, 16.51, 16.51) * CHOOSE(CONTROL!$C$21, $C$9, 100%, $E$9)</f>
        <v>16.510000000000002</v>
      </c>
      <c r="S548" s="10">
        <f>CHOOSE(CONTROL!$C$42, 14.7794, 14.7794) * CHOOSE(CONTROL!$C$21, $C$9, 100%, $E$9)</f>
        <v>14.779400000000001</v>
      </c>
      <c r="T548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48" s="58">
        <f>(1000*CHOOSE(CONTROL!$C$42, 695, 695)*CHOOSE(CONTROL!$C$42, 0.5599, 0.5599)*CHOOSE(CONTROL!$C$42, 31, 31))/1000000</f>
        <v>12.063045499999998</v>
      </c>
      <c r="V548" s="58">
        <f>(1000*CHOOSE(CONTROL!$C$42, 500, 500)*CHOOSE(CONTROL!$C$42, 0.275, 0.275)*CHOOSE(CONTROL!$C$42, 31, 31))/1000000</f>
        <v>4.2625000000000002</v>
      </c>
      <c r="W548" s="58">
        <f>(1000*CHOOSE(CONTROL!$C$42, 0.1146, 0.1146)*CHOOSE(CONTROL!$C$42, 121.5, 121.5)*CHOOSE(CONTROL!$C$42, 31, 31))/1000000</f>
        <v>0.43164089999999994</v>
      </c>
      <c r="X548" s="58">
        <f>(31*0.1790888*245000/1000000)+(31*0.2374*100000/1000000)</f>
        <v>2.0961194359999999</v>
      </c>
      <c r="Y548" s="58"/>
      <c r="Z548" s="10"/>
      <c r="AA548" s="57"/>
      <c r="AB548" s="51">
        <f>(B548*194.205+C548*267.466+D548*133.845+E548*53.484+F548*40+G548*185+H548*0+I548*100+J548*300)/(194.205+267.466+133.845+53.484+0+40+185+100+300)</f>
        <v>15.247723185949765</v>
      </c>
      <c r="AC548" s="27">
        <f>(M548*'RAP TEMPLATE-GAS AVAILABILITY'!O547+N548*'RAP TEMPLATE-GAS AVAILABILITY'!P547+O548*'RAP TEMPLATE-GAS AVAILABILITY'!Q547+P548*'RAP TEMPLATE-GAS AVAILABILITY'!R547)/('RAP TEMPLATE-GAS AVAILABILITY'!O547+'RAP TEMPLATE-GAS AVAILABILITY'!P547+'RAP TEMPLATE-GAS AVAILABILITY'!Q547+'RAP TEMPLATE-GAS AVAILABILITY'!R547)</f>
        <v>15.130411510791367</v>
      </c>
    </row>
    <row r="549" spans="1:29" ht="15.75" x14ac:dyDescent="0.25">
      <c r="A549" s="13">
        <v>57983</v>
      </c>
      <c r="B549" s="10">
        <f>CHOOSE(CONTROL!$C$42, 14.2575, 14.2575) * CHOOSE(CONTROL!$C$21, $C$9, 100%, $E$9)</f>
        <v>14.2575</v>
      </c>
      <c r="C549" s="10">
        <f>CHOOSE(CONTROL!$C$42, 14.2654, 14.2654) * CHOOSE(CONTROL!$C$21, $C$9, 100%, $E$9)</f>
        <v>14.2654</v>
      </c>
      <c r="D549" s="10">
        <f>CHOOSE(CONTROL!$C$42, 14.4439, 14.4439) * CHOOSE(CONTROL!$C$21, $C$9, 100%, $E$9)</f>
        <v>14.443899999999999</v>
      </c>
      <c r="E549" s="10">
        <f>CHOOSE(CONTROL!$C$42, 14.4751, 14.4751) * CHOOSE(CONTROL!$C$21, $C$9, 100%, $E$9)</f>
        <v>14.475099999999999</v>
      </c>
      <c r="F549" s="10">
        <f>CHOOSE(CONTROL!$C$42, 14.2438, 14.2438)*CHOOSE(CONTROL!$C$21, $C$9, 100%, $E$9)</f>
        <v>14.2438</v>
      </c>
      <c r="G549" s="10">
        <f>CHOOSE(CONTROL!$C$42, 14.2621, 14.2621)*CHOOSE(CONTROL!$C$21, $C$9, 100%, $E$9)</f>
        <v>14.2621</v>
      </c>
      <c r="H549" s="10">
        <f>CHOOSE(CONTROL!$C$42, 14.4637, 14.4637) * CHOOSE(CONTROL!$C$21, $C$9, 100%, $E$9)</f>
        <v>14.463699999999999</v>
      </c>
      <c r="I549" s="10">
        <f>CHOOSE(CONTROL!$C$42, 14.2344, 14.2344)* CHOOSE(CONTROL!$C$21, $C$9, 100%, $E$9)</f>
        <v>14.234400000000001</v>
      </c>
      <c r="J549" s="10">
        <f>CHOOSE(CONTROL!$C$42, 14.2368, 14.2368)* CHOOSE(CONTROL!$C$21, $C$9, 100%, $E$9)</f>
        <v>14.236800000000001</v>
      </c>
      <c r="K549" s="54">
        <f>CHOOSE(CONTROL!$C$42, 14.2305, 14.2305) * CHOOSE(CONTROL!$C$21, $C$9, 100%, $E$9)</f>
        <v>14.230499999999999</v>
      </c>
      <c r="L549" s="10">
        <f>CHOOSE(CONTROL!$C$42, 15.0507, 15.0507) * CHOOSE(CONTROL!$C$21, $C$9, 100%, $E$9)</f>
        <v>15.050700000000001</v>
      </c>
      <c r="M549" s="10">
        <f>CHOOSE(CONTROL!$C$42, 14.107, 14.107) * CHOOSE(CONTROL!$C$21, $C$9, 100%, $E$9)</f>
        <v>14.106999999999999</v>
      </c>
      <c r="N549" s="10">
        <f>CHOOSE(CONTROL!$C$42, 14.125, 14.125) * CHOOSE(CONTROL!$C$21, $C$9, 100%, $E$9)</f>
        <v>14.125</v>
      </c>
      <c r="O549" s="10">
        <f>CHOOSE(CONTROL!$C$42, 14.3316, 14.3316) * CHOOSE(CONTROL!$C$21, $C$9, 100%, $E$9)</f>
        <v>14.3316</v>
      </c>
      <c r="P549" s="10">
        <f>CHOOSE(CONTROL!$C$42, 14.1046, 14.1046) * CHOOSE(CONTROL!$C$21, $C$9, 100%, $E$9)</f>
        <v>14.1046</v>
      </c>
      <c r="Q549" s="10">
        <f>CHOOSE(CONTROL!$C$42, 14.9269, 14.9269) * CHOOSE(CONTROL!$C$21, $C$9, 100%, $E$9)</f>
        <v>14.9269</v>
      </c>
      <c r="R549" s="10">
        <f>CHOOSE(CONTROL!$C$42, 15.5512, 15.5512) * CHOOSE(CONTROL!$C$21, $C$9, 100%, $E$9)</f>
        <v>15.5512</v>
      </c>
      <c r="S549" s="10">
        <f>CHOOSE(CONTROL!$C$42, 13.8412, 13.8412) * CHOOSE(CONTROL!$C$21, $C$9, 100%, $E$9)</f>
        <v>13.841200000000001</v>
      </c>
      <c r="T549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49" s="58">
        <f>(1000*CHOOSE(CONTROL!$C$42, 695, 695)*CHOOSE(CONTROL!$C$42, 0.5599, 0.5599)*CHOOSE(CONTROL!$C$42, 30, 30))/1000000</f>
        <v>11.673914999999997</v>
      </c>
      <c r="V549" s="58">
        <f>(1000*CHOOSE(CONTROL!$C$42, 500, 500)*CHOOSE(CONTROL!$C$42, 0.275, 0.275)*CHOOSE(CONTROL!$C$42, 30, 30))/1000000</f>
        <v>4.125</v>
      </c>
      <c r="W549" s="58">
        <f>(1000*CHOOSE(CONTROL!$C$42, 0.1146, 0.1146)*CHOOSE(CONTROL!$C$42, 121.5, 121.5)*CHOOSE(CONTROL!$C$42, 30, 30))/1000000</f>
        <v>0.417717</v>
      </c>
      <c r="X549" s="58">
        <f>(30*0.1790888*245000/1000000)+(30*0.2374*100000/1000000)</f>
        <v>2.0285026799999999</v>
      </c>
      <c r="Y549" s="58"/>
      <c r="Z549" s="10"/>
      <c r="AA549" s="57"/>
      <c r="AB549" s="51">
        <f>(B549*194.205+C549*267.466+D549*133.845+E549*53.484+F549*40+G549*185+H549*0+I549*100+J549*300)/(194.205+267.466+133.845+53.484+0+40+185+100+300)</f>
        <v>14.281426850706437</v>
      </c>
      <c r="AC549" s="27">
        <f>(M549*'RAP TEMPLATE-GAS AVAILABILITY'!O548+N549*'RAP TEMPLATE-GAS AVAILABILITY'!P548+O549*'RAP TEMPLATE-GAS AVAILABILITY'!Q548+P549*'RAP TEMPLATE-GAS AVAILABILITY'!R548)/('RAP TEMPLATE-GAS AVAILABILITY'!O548+'RAP TEMPLATE-GAS AVAILABILITY'!P548+'RAP TEMPLATE-GAS AVAILABILITY'!Q548+'RAP TEMPLATE-GAS AVAILABILITY'!R548)</f>
        <v>14.17381582733813</v>
      </c>
    </row>
    <row r="550" spans="1:29" ht="15.75" x14ac:dyDescent="0.25">
      <c r="A550" s="13">
        <v>58014</v>
      </c>
      <c r="B550" s="10">
        <f>CHOOSE(CONTROL!$C$42, 13.966, 13.966) * CHOOSE(CONTROL!$C$21, $C$9, 100%, $E$9)</f>
        <v>13.965999999999999</v>
      </c>
      <c r="C550" s="10">
        <f>CHOOSE(CONTROL!$C$42, 13.9712, 13.9712) * CHOOSE(CONTROL!$C$21, $C$9, 100%, $E$9)</f>
        <v>13.9712</v>
      </c>
      <c r="D550" s="10">
        <f>CHOOSE(CONTROL!$C$42, 14.1547, 14.1547) * CHOOSE(CONTROL!$C$21, $C$9, 100%, $E$9)</f>
        <v>14.1547</v>
      </c>
      <c r="E550" s="10">
        <f>CHOOSE(CONTROL!$C$42, 14.1835, 14.1835) * CHOOSE(CONTROL!$C$21, $C$9, 100%, $E$9)</f>
        <v>14.1835</v>
      </c>
      <c r="F550" s="10">
        <f>CHOOSE(CONTROL!$C$42, 13.9543, 13.9543)*CHOOSE(CONTROL!$C$21, $C$9, 100%, $E$9)</f>
        <v>13.9543</v>
      </c>
      <c r="G550" s="10">
        <f>CHOOSE(CONTROL!$C$42, 13.9722, 13.9722)*CHOOSE(CONTROL!$C$21, $C$9, 100%, $E$9)</f>
        <v>13.972200000000001</v>
      </c>
      <c r="H550" s="10">
        <f>CHOOSE(CONTROL!$C$42, 14.1739, 14.1739) * CHOOSE(CONTROL!$C$21, $C$9, 100%, $E$9)</f>
        <v>14.1739</v>
      </c>
      <c r="I550" s="10">
        <f>CHOOSE(CONTROL!$C$42, 13.9446, 13.9446)* CHOOSE(CONTROL!$C$21, $C$9, 100%, $E$9)</f>
        <v>13.944599999999999</v>
      </c>
      <c r="J550" s="10">
        <f>CHOOSE(CONTROL!$C$42, 13.9473, 13.9473)* CHOOSE(CONTROL!$C$21, $C$9, 100%, $E$9)</f>
        <v>13.9473</v>
      </c>
      <c r="K550" s="54">
        <f>CHOOSE(CONTROL!$C$42, 13.9407, 13.9407) * CHOOSE(CONTROL!$C$21, $C$9, 100%, $E$9)</f>
        <v>13.9407</v>
      </c>
      <c r="L550" s="10">
        <f>CHOOSE(CONTROL!$C$42, 14.7609, 14.7609) * CHOOSE(CONTROL!$C$21, $C$9, 100%, $E$9)</f>
        <v>14.760899999999999</v>
      </c>
      <c r="M550" s="10">
        <f>CHOOSE(CONTROL!$C$42, 13.8204, 13.8204) * CHOOSE(CONTROL!$C$21, $C$9, 100%, $E$9)</f>
        <v>13.820399999999999</v>
      </c>
      <c r="N550" s="10">
        <f>CHOOSE(CONTROL!$C$42, 13.8381, 13.8381) * CHOOSE(CONTROL!$C$21, $C$9, 100%, $E$9)</f>
        <v>13.838100000000001</v>
      </c>
      <c r="O550" s="10">
        <f>CHOOSE(CONTROL!$C$42, 14.0447, 14.0447) * CHOOSE(CONTROL!$C$21, $C$9, 100%, $E$9)</f>
        <v>14.044700000000001</v>
      </c>
      <c r="P550" s="10">
        <f>CHOOSE(CONTROL!$C$42, 13.8177, 13.8177) * CHOOSE(CONTROL!$C$21, $C$9, 100%, $E$9)</f>
        <v>13.8177</v>
      </c>
      <c r="Q550" s="10">
        <f>CHOOSE(CONTROL!$C$42, 14.64, 14.64) * CHOOSE(CONTROL!$C$21, $C$9, 100%, $E$9)</f>
        <v>14.64</v>
      </c>
      <c r="R550" s="10">
        <f>CHOOSE(CONTROL!$C$42, 15.2636, 15.2636) * CHOOSE(CONTROL!$C$21, $C$9, 100%, $E$9)</f>
        <v>15.2636</v>
      </c>
      <c r="S550" s="10">
        <f>CHOOSE(CONTROL!$C$42, 13.5598, 13.5598) * CHOOSE(CONTROL!$C$21, $C$9, 100%, $E$9)</f>
        <v>13.559799999999999</v>
      </c>
      <c r="T550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50" s="58">
        <f>(1000*CHOOSE(CONTROL!$C$42, 695, 695)*CHOOSE(CONTROL!$C$42, 0.5599, 0.5599)*CHOOSE(CONTROL!$C$42, 31, 31))/1000000</f>
        <v>12.063045499999998</v>
      </c>
      <c r="V550" s="58">
        <f>(1000*CHOOSE(CONTROL!$C$42, 500, 500)*CHOOSE(CONTROL!$C$42, 0.275, 0.275)*CHOOSE(CONTROL!$C$42, 31, 31))/1000000</f>
        <v>4.2625000000000002</v>
      </c>
      <c r="W550" s="58">
        <f>(1000*CHOOSE(CONTROL!$C$42, 0.1146, 0.1146)*CHOOSE(CONTROL!$C$42, 121.5, 121.5)*CHOOSE(CONTROL!$C$42, 31, 31))/1000000</f>
        <v>0.43164089999999994</v>
      </c>
      <c r="X550" s="58">
        <f>(31*0.1790888*245000/1000000)+(31*0.2374*100000/1000000)</f>
        <v>2.0961194359999999</v>
      </c>
      <c r="Y550" s="58"/>
      <c r="Z550" s="10"/>
      <c r="AA550" s="57"/>
      <c r="AB550" s="51">
        <f>(B550*131.881+C550*277.167+D550*79.08+E550*125.872+F550*40+G550*185+H550*0+I550*100+J550*300)/(131.881+277.167+79.08+125.872+0+40+185+100+300)</f>
        <v>13.995596307021794</v>
      </c>
      <c r="AC550" s="27">
        <f>(M550*'RAP TEMPLATE-GAS AVAILABILITY'!O549+N550*'RAP TEMPLATE-GAS AVAILABILITY'!P549+O550*'RAP TEMPLATE-GAS AVAILABILITY'!Q549+P550*'RAP TEMPLATE-GAS AVAILABILITY'!R549)/('RAP TEMPLATE-GAS AVAILABILITY'!O549+'RAP TEMPLATE-GAS AVAILABILITY'!P549+'RAP TEMPLATE-GAS AVAILABILITY'!Q549+'RAP TEMPLATE-GAS AVAILABILITY'!R549)</f>
        <v>13.887019424460433</v>
      </c>
    </row>
    <row r="551" spans="1:29" ht="15.75" x14ac:dyDescent="0.25">
      <c r="A551" s="13">
        <v>58044</v>
      </c>
      <c r="B551" s="10">
        <f>CHOOSE(CONTROL!$C$42, 14.3334, 14.3334) * CHOOSE(CONTROL!$C$21, $C$9, 100%, $E$9)</f>
        <v>14.333399999999999</v>
      </c>
      <c r="C551" s="10">
        <f>CHOOSE(CONTROL!$C$42, 14.3383, 14.3383) * CHOOSE(CONTROL!$C$21, $C$9, 100%, $E$9)</f>
        <v>14.3383</v>
      </c>
      <c r="D551" s="10">
        <f>CHOOSE(CONTROL!$C$42, 14.3679, 14.3679) * CHOOSE(CONTROL!$C$21, $C$9, 100%, $E$9)</f>
        <v>14.367900000000001</v>
      </c>
      <c r="E551" s="10">
        <f>CHOOSE(CONTROL!$C$42, 14.4017, 14.4017) * CHOOSE(CONTROL!$C$21, $C$9, 100%, $E$9)</f>
        <v>14.4017</v>
      </c>
      <c r="F551" s="10">
        <f>CHOOSE(CONTROL!$C$42, 14.3191, 14.3191)*CHOOSE(CONTROL!$C$21, $C$9, 100%, $E$9)</f>
        <v>14.319100000000001</v>
      </c>
      <c r="G551" s="10">
        <f>CHOOSE(CONTROL!$C$42, 14.3372, 14.3372)*CHOOSE(CONTROL!$C$21, $C$9, 100%, $E$9)</f>
        <v>14.337199999999999</v>
      </c>
      <c r="H551" s="10">
        <f>CHOOSE(CONTROL!$C$42, 14.3909, 14.3909) * CHOOSE(CONTROL!$C$21, $C$9, 100%, $E$9)</f>
        <v>14.3909</v>
      </c>
      <c r="I551" s="10">
        <f>CHOOSE(CONTROL!$C$42, 14.2996, 14.2996)* CHOOSE(CONTROL!$C$21, $C$9, 100%, $E$9)</f>
        <v>14.2996</v>
      </c>
      <c r="J551" s="10">
        <f>CHOOSE(CONTROL!$C$42, 14.3121, 14.3121)* CHOOSE(CONTROL!$C$21, $C$9, 100%, $E$9)</f>
        <v>14.312099999999999</v>
      </c>
      <c r="K551" s="54">
        <f>CHOOSE(CONTROL!$C$42, 14.2957, 14.2957) * CHOOSE(CONTROL!$C$21, $C$9, 100%, $E$9)</f>
        <v>14.2957</v>
      </c>
      <c r="L551" s="10">
        <f>CHOOSE(CONTROL!$C$42, 14.9779, 14.9779) * CHOOSE(CONTROL!$C$21, $C$9, 100%, $E$9)</f>
        <v>14.9779</v>
      </c>
      <c r="M551" s="10">
        <f>CHOOSE(CONTROL!$C$42, 14.1815, 14.1815) * CHOOSE(CONTROL!$C$21, $C$9, 100%, $E$9)</f>
        <v>14.1815</v>
      </c>
      <c r="N551" s="10">
        <f>CHOOSE(CONTROL!$C$42, 14.1994, 14.1994) * CHOOSE(CONTROL!$C$21, $C$9, 100%, $E$9)</f>
        <v>14.199400000000001</v>
      </c>
      <c r="O551" s="10">
        <f>CHOOSE(CONTROL!$C$42, 14.2595, 14.2595) * CHOOSE(CONTROL!$C$21, $C$9, 100%, $E$9)</f>
        <v>14.259499999999999</v>
      </c>
      <c r="P551" s="10">
        <f>CHOOSE(CONTROL!$C$42, 14.1691, 14.1691) * CHOOSE(CONTROL!$C$21, $C$9, 100%, $E$9)</f>
        <v>14.1691</v>
      </c>
      <c r="Q551" s="10">
        <f>CHOOSE(CONTROL!$C$42, 14.8548, 14.8548) * CHOOSE(CONTROL!$C$21, $C$9, 100%, $E$9)</f>
        <v>14.854799999999999</v>
      </c>
      <c r="R551" s="10">
        <f>CHOOSE(CONTROL!$C$42, 15.479, 15.479) * CHOOSE(CONTROL!$C$21, $C$9, 100%, $E$9)</f>
        <v>15.478999999999999</v>
      </c>
      <c r="S551" s="10">
        <f>CHOOSE(CONTROL!$C$42, 13.917, 13.917) * CHOOSE(CONTROL!$C$21, $C$9, 100%, $E$9)</f>
        <v>13.917</v>
      </c>
      <c r="T551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51" s="58">
        <f>(1000*CHOOSE(CONTROL!$C$42, 695, 695)*CHOOSE(CONTROL!$C$42, 0.5599, 0.5599)*CHOOSE(CONTROL!$C$42, 30, 30))/1000000</f>
        <v>11.673914999999997</v>
      </c>
      <c r="V551" s="58">
        <f>(1000*CHOOSE(CONTROL!$C$42, 500, 500)*CHOOSE(CONTROL!$C$42, 0.275, 0.275)*CHOOSE(CONTROL!$C$42, 30, 30))/1000000</f>
        <v>4.125</v>
      </c>
      <c r="W551" s="58">
        <f>(1000*CHOOSE(CONTROL!$C$42, 0.1146, 0.1146)*CHOOSE(CONTROL!$C$42, 121.5, 121.5)*CHOOSE(CONTROL!$C$42, 30, 30))/1000000</f>
        <v>0.417717</v>
      </c>
      <c r="X551" s="58">
        <f>(30*0.1790888*100000/1000000)+(30*0.2374*100000/1000000)</f>
        <v>1.2494664</v>
      </c>
      <c r="Y551" s="58"/>
      <c r="Z551" s="10"/>
      <c r="AA551" s="57"/>
      <c r="AB551" s="51">
        <f>(B551*122.58+C551*297.941+D551*89.177+E551*40.302+F551*40+G551*160+H551*0+I551*100+J551*300)/(122.58+297.941+89.177+40.302+0+40+160+100+300)</f>
        <v>14.331274038260871</v>
      </c>
      <c r="AC551" s="27">
        <f>(M551*'RAP TEMPLATE-GAS AVAILABILITY'!O550+N551*'RAP TEMPLATE-GAS AVAILABILITY'!P550+O551*'RAP TEMPLATE-GAS AVAILABILITY'!Q550+P551*'RAP TEMPLATE-GAS AVAILABILITY'!R550)/('RAP TEMPLATE-GAS AVAILABILITY'!O550+'RAP TEMPLATE-GAS AVAILABILITY'!P550+'RAP TEMPLATE-GAS AVAILABILITY'!Q550+'RAP TEMPLATE-GAS AVAILABILITY'!R550)</f>
        <v>14.21609856115108</v>
      </c>
    </row>
    <row r="552" spans="1:29" ht="15.75" x14ac:dyDescent="0.25">
      <c r="A552" s="13">
        <v>58075</v>
      </c>
      <c r="B552" s="10">
        <f>CHOOSE(CONTROL!$C$42, 15.3104, 15.3104) * CHOOSE(CONTROL!$C$21, $C$9, 100%, $E$9)</f>
        <v>15.3104</v>
      </c>
      <c r="C552" s="10">
        <f>CHOOSE(CONTROL!$C$42, 15.3154, 15.3154) * CHOOSE(CONTROL!$C$21, $C$9, 100%, $E$9)</f>
        <v>15.3154</v>
      </c>
      <c r="D552" s="10">
        <f>CHOOSE(CONTROL!$C$42, 15.345, 15.345) * CHOOSE(CONTROL!$C$21, $C$9, 100%, $E$9)</f>
        <v>15.345000000000001</v>
      </c>
      <c r="E552" s="10">
        <f>CHOOSE(CONTROL!$C$42, 15.3788, 15.3788) * CHOOSE(CONTROL!$C$21, $C$9, 100%, $E$9)</f>
        <v>15.3788</v>
      </c>
      <c r="F552" s="10">
        <f>CHOOSE(CONTROL!$C$42, 15.2977, 15.2977)*CHOOSE(CONTROL!$C$21, $C$9, 100%, $E$9)</f>
        <v>15.297700000000001</v>
      </c>
      <c r="G552" s="10">
        <f>CHOOSE(CONTROL!$C$42, 15.3162, 15.3162)*CHOOSE(CONTROL!$C$21, $C$9, 100%, $E$9)</f>
        <v>15.3162</v>
      </c>
      <c r="H552" s="10">
        <f>CHOOSE(CONTROL!$C$42, 15.368, 15.368) * CHOOSE(CONTROL!$C$21, $C$9, 100%, $E$9)</f>
        <v>15.368</v>
      </c>
      <c r="I552" s="10">
        <f>CHOOSE(CONTROL!$C$42, 15.2766, 15.2766)* CHOOSE(CONTROL!$C$21, $C$9, 100%, $E$9)</f>
        <v>15.2766</v>
      </c>
      <c r="J552" s="10">
        <f>CHOOSE(CONTROL!$C$42, 15.2907, 15.2907)* CHOOSE(CONTROL!$C$21, $C$9, 100%, $E$9)</f>
        <v>15.290699999999999</v>
      </c>
      <c r="K552" s="54">
        <f>CHOOSE(CONTROL!$C$42, 15.2727, 15.2727) * CHOOSE(CONTROL!$C$21, $C$9, 100%, $E$9)</f>
        <v>15.2727</v>
      </c>
      <c r="L552" s="10">
        <f>CHOOSE(CONTROL!$C$42, 15.955, 15.955) * CHOOSE(CONTROL!$C$21, $C$9, 100%, $E$9)</f>
        <v>15.955</v>
      </c>
      <c r="M552" s="10">
        <f>CHOOSE(CONTROL!$C$42, 15.1502, 15.1502) * CHOOSE(CONTROL!$C$21, $C$9, 100%, $E$9)</f>
        <v>15.1502</v>
      </c>
      <c r="N552" s="10">
        <f>CHOOSE(CONTROL!$C$42, 15.1685, 15.1685) * CHOOSE(CONTROL!$C$21, $C$9, 100%, $E$9)</f>
        <v>15.1685</v>
      </c>
      <c r="O552" s="10">
        <f>CHOOSE(CONTROL!$C$42, 15.2267, 15.2267) * CHOOSE(CONTROL!$C$21, $C$9, 100%, $E$9)</f>
        <v>15.226699999999999</v>
      </c>
      <c r="P552" s="10">
        <f>CHOOSE(CONTROL!$C$42, 15.1363, 15.1363) * CHOOSE(CONTROL!$C$21, $C$9, 100%, $E$9)</f>
        <v>15.1363</v>
      </c>
      <c r="Q552" s="10">
        <f>CHOOSE(CONTROL!$C$42, 15.822, 15.822) * CHOOSE(CONTROL!$C$21, $C$9, 100%, $E$9)</f>
        <v>15.821999999999999</v>
      </c>
      <c r="R552" s="10">
        <f>CHOOSE(CONTROL!$C$42, 16.4486, 16.4486) * CHOOSE(CONTROL!$C$21, $C$9, 100%, $E$9)</f>
        <v>16.448599999999999</v>
      </c>
      <c r="S552" s="10">
        <f>CHOOSE(CONTROL!$C$42, 14.8658, 14.8658) * CHOOSE(CONTROL!$C$21, $C$9, 100%, $E$9)</f>
        <v>14.8658</v>
      </c>
      <c r="T552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552" s="58">
        <f>(1000*CHOOSE(CONTROL!$C$42, 695, 695)*CHOOSE(CONTROL!$C$42, 0.5599, 0.5599)*CHOOSE(CONTROL!$C$42, 31, 31))/1000000</f>
        <v>12.063045499999998</v>
      </c>
      <c r="V552" s="58">
        <f>(1000*CHOOSE(CONTROL!$C$42, 500, 500)*CHOOSE(CONTROL!$C$42, 0.275, 0.275)*CHOOSE(CONTROL!$C$42, 31, 31))/1000000</f>
        <v>4.2625000000000002</v>
      </c>
      <c r="W552" s="58">
        <f>(1000*CHOOSE(CONTROL!$C$42, 0.1146, 0.1146)*CHOOSE(CONTROL!$C$42, 121.5, 121.5)*CHOOSE(CONTROL!$C$42, 31, 31))/1000000</f>
        <v>0.43164089999999994</v>
      </c>
      <c r="X552" s="58">
        <f>(31*0.1790888*100000/1000000)+(31*0.2374*100000/1000000)</f>
        <v>1.2911152800000001</v>
      </c>
      <c r="Y552" s="58"/>
      <c r="Z552" s="10"/>
      <c r="AA552" s="57"/>
      <c r="AB552" s="51">
        <f>(B552*122.58+C552*297.941+D552*89.177+E552*40.302+F552*40+G552*160+H552*0+I552*100+J552*300)/(122.58+297.941+89.177+40.302+0+40+160+100+300)</f>
        <v>15.309062509565218</v>
      </c>
      <c r="AC552" s="27">
        <f>(M552*'RAP TEMPLATE-GAS AVAILABILITY'!O551+N552*'RAP TEMPLATE-GAS AVAILABILITY'!P551+O552*'RAP TEMPLATE-GAS AVAILABILITY'!Q551+P552*'RAP TEMPLATE-GAS AVAILABILITY'!R551)/('RAP TEMPLATE-GAS AVAILABILITY'!O551+'RAP TEMPLATE-GAS AVAILABILITY'!P551+'RAP TEMPLATE-GAS AVAILABILITY'!Q551+'RAP TEMPLATE-GAS AVAILABILITY'!R551)</f>
        <v>15.183925899280576</v>
      </c>
    </row>
    <row r="553" spans="1:29" ht="15.75" x14ac:dyDescent="0.25">
      <c r="A553" s="13">
        <v>58106</v>
      </c>
      <c r="B553" s="10">
        <f>CHOOSE(CONTROL!$C$42, 16.3436, 16.3436) * CHOOSE(CONTROL!$C$21, $C$9, 100%, $E$9)</f>
        <v>16.343599999999999</v>
      </c>
      <c r="C553" s="10">
        <f>CHOOSE(CONTROL!$C$42, 16.3485, 16.3485) * CHOOSE(CONTROL!$C$21, $C$9, 100%, $E$9)</f>
        <v>16.348500000000001</v>
      </c>
      <c r="D553" s="10">
        <f>CHOOSE(CONTROL!$C$42, 16.3987, 16.3987) * CHOOSE(CONTROL!$C$21, $C$9, 100%, $E$9)</f>
        <v>16.398700000000002</v>
      </c>
      <c r="E553" s="10">
        <f>CHOOSE(CONTROL!$C$42, 16.4325, 16.4325) * CHOOSE(CONTROL!$C$21, $C$9, 100%, $E$9)</f>
        <v>16.432500000000001</v>
      </c>
      <c r="F553" s="10">
        <f>CHOOSE(CONTROL!$C$42, 16.3089, 16.3089)*CHOOSE(CONTROL!$C$21, $C$9, 100%, $E$9)</f>
        <v>16.308900000000001</v>
      </c>
      <c r="G553" s="10">
        <f>CHOOSE(CONTROL!$C$42, 16.3265, 16.3265)*CHOOSE(CONTROL!$C$21, $C$9, 100%, $E$9)</f>
        <v>16.326499999999999</v>
      </c>
      <c r="H553" s="10">
        <f>CHOOSE(CONTROL!$C$42, 16.4217, 16.4217) * CHOOSE(CONTROL!$C$21, $C$9, 100%, $E$9)</f>
        <v>16.421700000000001</v>
      </c>
      <c r="I553" s="10">
        <f>CHOOSE(CONTROL!$C$42, 16.3175, 16.3175)* CHOOSE(CONTROL!$C$21, $C$9, 100%, $E$9)</f>
        <v>16.317499999999999</v>
      </c>
      <c r="J553" s="10">
        <f>CHOOSE(CONTROL!$C$42, 16.3019, 16.3019)* CHOOSE(CONTROL!$C$21, $C$9, 100%, $E$9)</f>
        <v>16.3019</v>
      </c>
      <c r="K553" s="54">
        <f>CHOOSE(CONTROL!$C$42, 16.3136, 16.3136) * CHOOSE(CONTROL!$C$21, $C$9, 100%, $E$9)</f>
        <v>16.313600000000001</v>
      </c>
      <c r="L553" s="10">
        <f>CHOOSE(CONTROL!$C$42, 17.0087, 17.0087) * CHOOSE(CONTROL!$C$21, $C$9, 100%, $E$9)</f>
        <v>17.008700000000001</v>
      </c>
      <c r="M553" s="10">
        <f>CHOOSE(CONTROL!$C$42, 16.1513, 16.1513) * CHOOSE(CONTROL!$C$21, $C$9, 100%, $E$9)</f>
        <v>16.151299999999999</v>
      </c>
      <c r="N553" s="10">
        <f>CHOOSE(CONTROL!$C$42, 16.1686, 16.1686) * CHOOSE(CONTROL!$C$21, $C$9, 100%, $E$9)</f>
        <v>16.168600000000001</v>
      </c>
      <c r="O553" s="10">
        <f>CHOOSE(CONTROL!$C$42, 16.2698, 16.2698) * CHOOSE(CONTROL!$C$21, $C$9, 100%, $E$9)</f>
        <v>16.2698</v>
      </c>
      <c r="P553" s="10">
        <f>CHOOSE(CONTROL!$C$42, 16.1667, 16.1667) * CHOOSE(CONTROL!$C$21, $C$9, 100%, $E$9)</f>
        <v>16.166699999999999</v>
      </c>
      <c r="Q553" s="10">
        <f>CHOOSE(CONTROL!$C$42, 16.8651, 16.8651) * CHOOSE(CONTROL!$C$21, $C$9, 100%, $E$9)</f>
        <v>16.865100000000002</v>
      </c>
      <c r="R553" s="10">
        <f>CHOOSE(CONTROL!$C$42, 17.4943, 17.4943) * CHOOSE(CONTROL!$C$21, $C$9, 100%, $E$9)</f>
        <v>17.494299999999999</v>
      </c>
      <c r="S553" s="10">
        <f>CHOOSE(CONTROL!$C$42, 15.8691, 15.8691) * CHOOSE(CONTROL!$C$21, $C$9, 100%, $E$9)</f>
        <v>15.8691</v>
      </c>
      <c r="T553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553" s="58">
        <f>(1000*CHOOSE(CONTROL!$C$42, 695, 695)*CHOOSE(CONTROL!$C$42, 0.5599, 0.5599)*CHOOSE(CONTROL!$C$42, 31, 31))/1000000</f>
        <v>12.063045499999998</v>
      </c>
      <c r="V553" s="58">
        <f>(1000*CHOOSE(CONTROL!$C$42, 500, 500)*CHOOSE(CONTROL!$C$42, 0.275, 0.275)*CHOOSE(CONTROL!$C$42, 31, 31))/1000000</f>
        <v>4.2625000000000002</v>
      </c>
      <c r="W553" s="58">
        <f>(1000*CHOOSE(CONTROL!$C$42, 0.1146, 0.1146)*CHOOSE(CONTROL!$C$42, 121.5, 121.5)*CHOOSE(CONTROL!$C$42, 31, 31))/1000000</f>
        <v>0.43164089999999994</v>
      </c>
      <c r="X553" s="58">
        <f>(31*0.1790888*100000/1000000)+(31*0.2374*100000/1000000)</f>
        <v>1.2911152800000001</v>
      </c>
      <c r="Y553" s="58"/>
      <c r="Z553" s="10"/>
      <c r="AA553" s="57"/>
      <c r="AB553" s="51">
        <f>(B553*122.58+C553*297.941+D553*89.177+E553*40.302+F553*40+G553*160+H553*0+I553*100+J553*300)/(122.58+297.941+89.177+40.302+0+40+160+100+300)</f>
        <v>16.335523836</v>
      </c>
      <c r="AC553" s="27">
        <f>(M553*'RAP TEMPLATE-GAS AVAILABILITY'!O552+N553*'RAP TEMPLATE-GAS AVAILABILITY'!P552+O553*'RAP TEMPLATE-GAS AVAILABILITY'!Q552+P553*'RAP TEMPLATE-GAS AVAILABILITY'!R552)/('RAP TEMPLATE-GAS AVAILABILITY'!O552+'RAP TEMPLATE-GAS AVAILABILITY'!P552+'RAP TEMPLATE-GAS AVAILABILITY'!Q552+'RAP TEMPLATE-GAS AVAILABILITY'!R552)</f>
        <v>16.208220143884891</v>
      </c>
    </row>
    <row r="554" spans="1:29" ht="15.75" x14ac:dyDescent="0.25">
      <c r="A554" s="13">
        <v>58134</v>
      </c>
      <c r="B554" s="10">
        <f>CHOOSE(CONTROL!$C$42, 16.6345, 16.6345) * CHOOSE(CONTROL!$C$21, $C$9, 100%, $E$9)</f>
        <v>16.634499999999999</v>
      </c>
      <c r="C554" s="10">
        <f>CHOOSE(CONTROL!$C$42, 16.6394, 16.6394) * CHOOSE(CONTROL!$C$21, $C$9, 100%, $E$9)</f>
        <v>16.639399999999998</v>
      </c>
      <c r="D554" s="10">
        <f>CHOOSE(CONTROL!$C$42, 16.7566, 16.7566) * CHOOSE(CONTROL!$C$21, $C$9, 100%, $E$9)</f>
        <v>16.756599999999999</v>
      </c>
      <c r="E554" s="10">
        <f>CHOOSE(CONTROL!$C$42, 16.7903, 16.7903) * CHOOSE(CONTROL!$C$21, $C$9, 100%, $E$9)</f>
        <v>16.790299999999998</v>
      </c>
      <c r="F554" s="10">
        <f>CHOOSE(CONTROL!$C$42, 16.7121, 16.7121)*CHOOSE(CONTROL!$C$21, $C$9, 100%, $E$9)</f>
        <v>16.7121</v>
      </c>
      <c r="G554" s="10">
        <f>CHOOSE(CONTROL!$C$42, 16.734, 16.734)*CHOOSE(CONTROL!$C$21, $C$9, 100%, $E$9)</f>
        <v>16.734000000000002</v>
      </c>
      <c r="H554" s="10">
        <f>CHOOSE(CONTROL!$C$42, 16.7795, 16.7795) * CHOOSE(CONTROL!$C$21, $C$9, 100%, $E$9)</f>
        <v>16.779499999999999</v>
      </c>
      <c r="I554" s="10">
        <f>CHOOSE(CONTROL!$C$42, 16.6702, 16.6702)* CHOOSE(CONTROL!$C$21, $C$9, 100%, $E$9)</f>
        <v>16.670200000000001</v>
      </c>
      <c r="J554" s="10">
        <f>CHOOSE(CONTROL!$C$42, 16.7051, 16.7051)* CHOOSE(CONTROL!$C$21, $C$9, 100%, $E$9)</f>
        <v>16.705100000000002</v>
      </c>
      <c r="K554" s="54">
        <f>CHOOSE(CONTROL!$C$42, 16.6663, 16.6663) * CHOOSE(CONTROL!$C$21, $C$9, 100%, $E$9)</f>
        <v>16.6663</v>
      </c>
      <c r="L554" s="10">
        <f>CHOOSE(CONTROL!$C$42, 17.3665, 17.3665) * CHOOSE(CONTROL!$C$21, $C$9, 100%, $E$9)</f>
        <v>17.366499999999998</v>
      </c>
      <c r="M554" s="10">
        <f>CHOOSE(CONTROL!$C$42, 16.5503, 16.5503) * CHOOSE(CONTROL!$C$21, $C$9, 100%, $E$9)</f>
        <v>16.5503</v>
      </c>
      <c r="N554" s="10">
        <f>CHOOSE(CONTROL!$C$42, 16.572, 16.572) * CHOOSE(CONTROL!$C$21, $C$9, 100%, $E$9)</f>
        <v>16.571999999999999</v>
      </c>
      <c r="O554" s="10">
        <f>CHOOSE(CONTROL!$C$42, 16.624, 16.624) * CHOOSE(CONTROL!$C$21, $C$9, 100%, $E$9)</f>
        <v>16.623999999999999</v>
      </c>
      <c r="P554" s="10">
        <f>CHOOSE(CONTROL!$C$42, 16.5158, 16.5158) * CHOOSE(CONTROL!$C$21, $C$9, 100%, $E$9)</f>
        <v>16.515799999999999</v>
      </c>
      <c r="Q554" s="10">
        <f>CHOOSE(CONTROL!$C$42, 17.2193, 17.2193) * CHOOSE(CONTROL!$C$21, $C$9, 100%, $E$9)</f>
        <v>17.2193</v>
      </c>
      <c r="R554" s="10">
        <f>CHOOSE(CONTROL!$C$42, 17.8494, 17.8494) * CHOOSE(CONTROL!$C$21, $C$9, 100%, $E$9)</f>
        <v>17.849399999999999</v>
      </c>
      <c r="S554" s="10">
        <f>CHOOSE(CONTROL!$C$42, 16.1516, 16.1516) * CHOOSE(CONTROL!$C$21, $C$9, 100%, $E$9)</f>
        <v>16.151599999999998</v>
      </c>
      <c r="T554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554" s="58">
        <f>(1000*CHOOSE(CONTROL!$C$42, 695, 695)*CHOOSE(CONTROL!$C$42, 0.5599, 0.5599)*CHOOSE(CONTROL!$C$42, 28, 28))/1000000</f>
        <v>10.895653999999999</v>
      </c>
      <c r="V554" s="58">
        <f>(1000*CHOOSE(CONTROL!$C$42, 500, 500)*CHOOSE(CONTROL!$C$42, 0.275, 0.275)*CHOOSE(CONTROL!$C$42, 28, 28))/1000000</f>
        <v>3.85</v>
      </c>
      <c r="W554" s="58">
        <f>(1000*CHOOSE(CONTROL!$C$42, 0.1146, 0.1146)*CHOOSE(CONTROL!$C$42, 121.5, 121.5)*CHOOSE(CONTROL!$C$42, 28, 28))/1000000</f>
        <v>0.38986920000000003</v>
      </c>
      <c r="X554" s="58">
        <f>(28*0.1790888*100000/1000000)+(28*0.2374*100000/1000000)</f>
        <v>1.16616864</v>
      </c>
      <c r="Y554" s="58"/>
      <c r="Z554" s="10"/>
      <c r="AA554" s="57"/>
      <c r="AB554" s="51">
        <f>(B554*122.58+C554*297.941+D554*89.177+E554*40.302+F554*40+G554*160+H554*0+I554*100+J554*300)/(122.58+297.941+89.177+40.302+0+40+160+100+300)</f>
        <v>16.688762151478262</v>
      </c>
      <c r="AC554" s="27">
        <f>(M554*'RAP TEMPLATE-GAS AVAILABILITY'!O553+N554*'RAP TEMPLATE-GAS AVAILABILITY'!P553+O554*'RAP TEMPLATE-GAS AVAILABILITY'!Q553+P554*'RAP TEMPLATE-GAS AVAILABILITY'!R553)/('RAP TEMPLATE-GAS AVAILABILITY'!O553+'RAP TEMPLATE-GAS AVAILABILITY'!P553+'RAP TEMPLATE-GAS AVAILABILITY'!Q553+'RAP TEMPLATE-GAS AVAILABILITY'!R553)</f>
        <v>16.579988489208631</v>
      </c>
    </row>
    <row r="555" spans="1:29" ht="15.75" x14ac:dyDescent="0.25">
      <c r="A555" s="13">
        <v>58165</v>
      </c>
      <c r="B555" s="10">
        <f>CHOOSE(CONTROL!$C$42, 16.1623, 16.1623) * CHOOSE(CONTROL!$C$21, $C$9, 100%, $E$9)</f>
        <v>16.162299999999998</v>
      </c>
      <c r="C555" s="10">
        <f>CHOOSE(CONTROL!$C$42, 16.1672, 16.1672) * CHOOSE(CONTROL!$C$21, $C$9, 100%, $E$9)</f>
        <v>16.167200000000001</v>
      </c>
      <c r="D555" s="10">
        <f>CHOOSE(CONTROL!$C$42, 16.2586, 16.2586) * CHOOSE(CONTROL!$C$21, $C$9, 100%, $E$9)</f>
        <v>16.258600000000001</v>
      </c>
      <c r="E555" s="10">
        <f>CHOOSE(CONTROL!$C$42, 16.2924, 16.2924) * CHOOSE(CONTROL!$C$21, $C$9, 100%, $E$9)</f>
        <v>16.292400000000001</v>
      </c>
      <c r="F555" s="10">
        <f>CHOOSE(CONTROL!$C$42, 16.1921, 16.1921)*CHOOSE(CONTROL!$C$21, $C$9, 100%, $E$9)</f>
        <v>16.1921</v>
      </c>
      <c r="G555" s="10">
        <f>CHOOSE(CONTROL!$C$42, 16.2116, 16.2116)*CHOOSE(CONTROL!$C$21, $C$9, 100%, $E$9)</f>
        <v>16.211600000000001</v>
      </c>
      <c r="H555" s="10">
        <f>CHOOSE(CONTROL!$C$42, 16.2816, 16.2816) * CHOOSE(CONTROL!$C$21, $C$9, 100%, $E$9)</f>
        <v>16.281600000000001</v>
      </c>
      <c r="I555" s="10">
        <f>CHOOSE(CONTROL!$C$42, 16.1851, 16.1851)* CHOOSE(CONTROL!$C$21, $C$9, 100%, $E$9)</f>
        <v>16.185099999999998</v>
      </c>
      <c r="J555" s="10">
        <f>CHOOSE(CONTROL!$C$42, 16.1851, 16.1851)* CHOOSE(CONTROL!$C$21, $C$9, 100%, $E$9)</f>
        <v>16.185099999999998</v>
      </c>
      <c r="K555" s="54">
        <f>CHOOSE(CONTROL!$C$42, 16.1812, 16.1812) * CHOOSE(CONTROL!$C$21, $C$9, 100%, $E$9)</f>
        <v>16.1812</v>
      </c>
      <c r="L555" s="10">
        <f>CHOOSE(CONTROL!$C$42, 16.8686, 16.8686) * CHOOSE(CONTROL!$C$21, $C$9, 100%, $E$9)</f>
        <v>16.868600000000001</v>
      </c>
      <c r="M555" s="10">
        <f>CHOOSE(CONTROL!$C$42, 16.0356, 16.0356) * CHOOSE(CONTROL!$C$21, $C$9, 100%, $E$9)</f>
        <v>16.035599999999999</v>
      </c>
      <c r="N555" s="10">
        <f>CHOOSE(CONTROL!$C$42, 16.0549, 16.0549) * CHOOSE(CONTROL!$C$21, $C$9, 100%, $E$9)</f>
        <v>16.0549</v>
      </c>
      <c r="O555" s="10">
        <f>CHOOSE(CONTROL!$C$42, 16.1311, 16.1311) * CHOOSE(CONTROL!$C$21, $C$9, 100%, $E$9)</f>
        <v>16.1311</v>
      </c>
      <c r="P555" s="10">
        <f>CHOOSE(CONTROL!$C$42, 16.0356, 16.0356) * CHOOSE(CONTROL!$C$21, $C$9, 100%, $E$9)</f>
        <v>16.035599999999999</v>
      </c>
      <c r="Q555" s="10">
        <f>CHOOSE(CONTROL!$C$42, 16.7264, 16.7264) * CHOOSE(CONTROL!$C$21, $C$9, 100%, $E$9)</f>
        <v>16.726400000000002</v>
      </c>
      <c r="R555" s="10">
        <f>CHOOSE(CONTROL!$C$42, 17.3552, 17.3552) * CHOOSE(CONTROL!$C$21, $C$9, 100%, $E$9)</f>
        <v>17.3552</v>
      </c>
      <c r="S555" s="10">
        <f>CHOOSE(CONTROL!$C$42, 15.6931, 15.6931) * CHOOSE(CONTROL!$C$21, $C$9, 100%, $E$9)</f>
        <v>15.693099999999999</v>
      </c>
      <c r="T555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55" s="58">
        <f>(1000*CHOOSE(CONTROL!$C$42, 695, 695)*CHOOSE(CONTROL!$C$42, 0.5599, 0.5599)*CHOOSE(CONTROL!$C$42, 31, 31))/1000000</f>
        <v>12.063045499999998</v>
      </c>
      <c r="V555" s="58">
        <f>(1000*CHOOSE(CONTROL!$C$42, 500, 500)*CHOOSE(CONTROL!$C$42, 0.275, 0.275)*CHOOSE(CONTROL!$C$42, 31, 31))/1000000</f>
        <v>4.2625000000000002</v>
      </c>
      <c r="W555" s="58">
        <f>(1000*CHOOSE(CONTROL!$C$42, 0.1146, 0.1146)*CHOOSE(CONTROL!$C$42, 121.5, 121.5)*CHOOSE(CONTROL!$C$42, 31, 31))/1000000</f>
        <v>0.43164089999999994</v>
      </c>
      <c r="X555" s="58">
        <f>(31*0.1790888*100000/1000000)+(31*0.2374*100000/1000000)</f>
        <v>1.2911152800000001</v>
      </c>
      <c r="Y555" s="58"/>
      <c r="Z555" s="10"/>
      <c r="AA555" s="57"/>
      <c r="AB555" s="51">
        <f>(B555*122.58+C555*297.941+D555*89.177+E555*40.302+F555*40+G555*160+H555*0+I555*100+J555*300)/(122.58+297.941+89.177+40.302+0+40+160+100+300)</f>
        <v>16.191422561913043</v>
      </c>
      <c r="AC555" s="27">
        <f>(M555*'RAP TEMPLATE-GAS AVAILABILITY'!O554+N555*'RAP TEMPLATE-GAS AVAILABILITY'!P554+O555*'RAP TEMPLATE-GAS AVAILABILITY'!Q554+P555*'RAP TEMPLATE-GAS AVAILABILITY'!R554)/('RAP TEMPLATE-GAS AVAILABILITY'!O554+'RAP TEMPLATE-GAS AVAILABILITY'!P554+'RAP TEMPLATE-GAS AVAILABILITY'!Q554+'RAP TEMPLATE-GAS AVAILABILITY'!R554)</f>
        <v>16.079994964028778</v>
      </c>
    </row>
    <row r="556" spans="1:29" ht="15.75" x14ac:dyDescent="0.25">
      <c r="A556" s="13">
        <v>58195</v>
      </c>
      <c r="B556" s="10">
        <f>CHOOSE(CONTROL!$C$42, 16.1147, 16.1147) * CHOOSE(CONTROL!$C$21, $C$9, 100%, $E$9)</f>
        <v>16.114699999999999</v>
      </c>
      <c r="C556" s="10">
        <f>CHOOSE(CONTROL!$C$42, 16.1191, 16.1191) * CHOOSE(CONTROL!$C$21, $C$9, 100%, $E$9)</f>
        <v>16.1191</v>
      </c>
      <c r="D556" s="10">
        <f>CHOOSE(CONTROL!$C$42, 16.3007, 16.3007) * CHOOSE(CONTROL!$C$21, $C$9, 100%, $E$9)</f>
        <v>16.300699999999999</v>
      </c>
      <c r="E556" s="10">
        <f>CHOOSE(CONTROL!$C$42, 16.3325, 16.3325) * CHOOSE(CONTROL!$C$21, $C$9, 100%, $E$9)</f>
        <v>16.3325</v>
      </c>
      <c r="F556" s="10">
        <f>CHOOSE(CONTROL!$C$42, 16.103, 16.103)*CHOOSE(CONTROL!$C$21, $C$9, 100%, $E$9)</f>
        <v>16.103000000000002</v>
      </c>
      <c r="G556" s="10">
        <f>CHOOSE(CONTROL!$C$42, 16.121, 16.121)*CHOOSE(CONTROL!$C$21, $C$9, 100%, $E$9)</f>
        <v>16.120999999999999</v>
      </c>
      <c r="H556" s="10">
        <f>CHOOSE(CONTROL!$C$42, 16.3223, 16.3223) * CHOOSE(CONTROL!$C$21, $C$9, 100%, $E$9)</f>
        <v>16.322299999999998</v>
      </c>
      <c r="I556" s="10">
        <f>CHOOSE(CONTROL!$C$42, 16.093, 16.093)* CHOOSE(CONTROL!$C$21, $C$9, 100%, $E$9)</f>
        <v>16.093</v>
      </c>
      <c r="J556" s="10">
        <f>CHOOSE(CONTROL!$C$42, 16.096, 16.096)* CHOOSE(CONTROL!$C$21, $C$9, 100%, $E$9)</f>
        <v>16.096</v>
      </c>
      <c r="K556" s="54">
        <f>CHOOSE(CONTROL!$C$42, 16.0891, 16.0891) * CHOOSE(CONTROL!$C$21, $C$9, 100%, $E$9)</f>
        <v>16.089099999999998</v>
      </c>
      <c r="L556" s="10">
        <f>CHOOSE(CONTROL!$C$42, 16.9093, 16.9093) * CHOOSE(CONTROL!$C$21, $C$9, 100%, $E$9)</f>
        <v>16.909300000000002</v>
      </c>
      <c r="M556" s="10">
        <f>CHOOSE(CONTROL!$C$42, 15.9474, 15.9474) * CHOOSE(CONTROL!$C$21, $C$9, 100%, $E$9)</f>
        <v>15.9474</v>
      </c>
      <c r="N556" s="10">
        <f>CHOOSE(CONTROL!$C$42, 15.9652, 15.9652) * CHOOSE(CONTROL!$C$21, $C$9, 100%, $E$9)</f>
        <v>15.965199999999999</v>
      </c>
      <c r="O556" s="10">
        <f>CHOOSE(CONTROL!$C$42, 16.1714, 16.1714) * CHOOSE(CONTROL!$C$21, $C$9, 100%, $E$9)</f>
        <v>16.171399999999998</v>
      </c>
      <c r="P556" s="10">
        <f>CHOOSE(CONTROL!$C$42, 15.9444, 15.9444) * CHOOSE(CONTROL!$C$21, $C$9, 100%, $E$9)</f>
        <v>15.9444</v>
      </c>
      <c r="Q556" s="10">
        <f>CHOOSE(CONTROL!$C$42, 16.7667, 16.7667) * CHOOSE(CONTROL!$C$21, $C$9, 100%, $E$9)</f>
        <v>16.7667</v>
      </c>
      <c r="R556" s="10">
        <f>CHOOSE(CONTROL!$C$42, 17.3956, 17.3956) * CHOOSE(CONTROL!$C$21, $C$9, 100%, $E$9)</f>
        <v>17.395600000000002</v>
      </c>
      <c r="S556" s="10">
        <f>CHOOSE(CONTROL!$C$42, 15.6461, 15.6461) * CHOOSE(CONTROL!$C$21, $C$9, 100%, $E$9)</f>
        <v>15.646100000000001</v>
      </c>
      <c r="T556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56" s="58">
        <f>(1000*CHOOSE(CONTROL!$C$42, 695, 695)*CHOOSE(CONTROL!$C$42, 0.5599, 0.5599)*CHOOSE(CONTROL!$C$42, 30, 30))/1000000</f>
        <v>11.673914999999997</v>
      </c>
      <c r="V556" s="58">
        <f>(1000*CHOOSE(CONTROL!$C$42, 500, 500)*CHOOSE(CONTROL!$C$42, 0.275, 0.275)*CHOOSE(CONTROL!$C$42, 30, 30))/1000000</f>
        <v>4.125</v>
      </c>
      <c r="W556" s="58">
        <f>(1000*CHOOSE(CONTROL!$C$42, 0.1146, 0.1146)*CHOOSE(CONTROL!$C$42, 121.5, 121.5)*CHOOSE(CONTROL!$C$42, 30, 30))/1000000</f>
        <v>0.417717</v>
      </c>
      <c r="X556" s="58">
        <f>(30*0.1790888*245000/1000000)+(30*0.2374*100000/1000000)</f>
        <v>2.0285026799999999</v>
      </c>
      <c r="Y556" s="58"/>
      <c r="Z556" s="10"/>
      <c r="AA556" s="57"/>
      <c r="AB556" s="51">
        <f>(B556*141.293+C556*267.993+D556*115.016+E556*89.698+F556*40+G556*185+H556*0+I556*100+J556*300)/(141.293+267.993+115.016+89.698+0+40+185+100+300)</f>
        <v>16.142969466989506</v>
      </c>
      <c r="AC556" s="27">
        <f>(M556*'RAP TEMPLATE-GAS AVAILABILITY'!O555+N556*'RAP TEMPLATE-GAS AVAILABILITY'!P555+O556*'RAP TEMPLATE-GAS AVAILABILITY'!Q555+P556*'RAP TEMPLATE-GAS AVAILABILITY'!R555)/('RAP TEMPLATE-GAS AVAILABILITY'!O555+'RAP TEMPLATE-GAS AVAILABILITY'!P555+'RAP TEMPLATE-GAS AVAILABILITY'!Q555+'RAP TEMPLATE-GAS AVAILABILITY'!R555)</f>
        <v>16.013915107913668</v>
      </c>
    </row>
    <row r="557" spans="1:29" ht="15.75" x14ac:dyDescent="0.25">
      <c r="A557" s="13">
        <v>58226</v>
      </c>
      <c r="B557" s="10">
        <f>CHOOSE(CONTROL!$C$42, 16.2587, 16.2587) * CHOOSE(CONTROL!$C$21, $C$9, 100%, $E$9)</f>
        <v>16.258700000000001</v>
      </c>
      <c r="C557" s="10">
        <f>CHOOSE(CONTROL!$C$42, 16.2666, 16.2666) * CHOOSE(CONTROL!$C$21, $C$9, 100%, $E$9)</f>
        <v>16.2666</v>
      </c>
      <c r="D557" s="10">
        <f>CHOOSE(CONTROL!$C$42, 16.4451, 16.4451) * CHOOSE(CONTROL!$C$21, $C$9, 100%, $E$9)</f>
        <v>16.4451</v>
      </c>
      <c r="E557" s="10">
        <f>CHOOSE(CONTROL!$C$42, 16.4763, 16.4763) * CHOOSE(CONTROL!$C$21, $C$9, 100%, $E$9)</f>
        <v>16.476299999999998</v>
      </c>
      <c r="F557" s="10">
        <f>CHOOSE(CONTROL!$C$42, 16.2449, 16.2449)*CHOOSE(CONTROL!$C$21, $C$9, 100%, $E$9)</f>
        <v>16.244900000000001</v>
      </c>
      <c r="G557" s="10">
        <f>CHOOSE(CONTROL!$C$42, 16.263, 16.263)*CHOOSE(CONTROL!$C$21, $C$9, 100%, $E$9)</f>
        <v>16.263000000000002</v>
      </c>
      <c r="H557" s="10">
        <f>CHOOSE(CONTROL!$C$42, 16.4649, 16.4649) * CHOOSE(CONTROL!$C$21, $C$9, 100%, $E$9)</f>
        <v>16.4649</v>
      </c>
      <c r="I557" s="10">
        <f>CHOOSE(CONTROL!$C$42, 16.2355, 16.2355)* CHOOSE(CONTROL!$C$21, $C$9, 100%, $E$9)</f>
        <v>16.235499999999998</v>
      </c>
      <c r="J557" s="10">
        <f>CHOOSE(CONTROL!$C$42, 16.2379, 16.2379)* CHOOSE(CONTROL!$C$21, $C$9, 100%, $E$9)</f>
        <v>16.2379</v>
      </c>
      <c r="K557" s="54">
        <f>CHOOSE(CONTROL!$C$42, 16.2317, 16.2317) * CHOOSE(CONTROL!$C$21, $C$9, 100%, $E$9)</f>
        <v>16.2317</v>
      </c>
      <c r="L557" s="10">
        <f>CHOOSE(CONTROL!$C$42, 17.0519, 17.0519) * CHOOSE(CONTROL!$C$21, $C$9, 100%, $E$9)</f>
        <v>17.0519</v>
      </c>
      <c r="M557" s="10">
        <f>CHOOSE(CONTROL!$C$42, 16.0878, 16.0878) * CHOOSE(CONTROL!$C$21, $C$9, 100%, $E$9)</f>
        <v>16.087800000000001</v>
      </c>
      <c r="N557" s="10">
        <f>CHOOSE(CONTROL!$C$42, 16.1058, 16.1058) * CHOOSE(CONTROL!$C$21, $C$9, 100%, $E$9)</f>
        <v>16.105799999999999</v>
      </c>
      <c r="O557" s="10">
        <f>CHOOSE(CONTROL!$C$42, 16.3126, 16.3126) * CHOOSE(CONTROL!$C$21, $C$9, 100%, $E$9)</f>
        <v>16.3126</v>
      </c>
      <c r="P557" s="10">
        <f>CHOOSE(CONTROL!$C$42, 16.0856, 16.0856) * CHOOSE(CONTROL!$C$21, $C$9, 100%, $E$9)</f>
        <v>16.085599999999999</v>
      </c>
      <c r="Q557" s="10">
        <f>CHOOSE(CONTROL!$C$42, 16.9079, 16.9079) * CHOOSE(CONTROL!$C$21, $C$9, 100%, $E$9)</f>
        <v>16.907900000000001</v>
      </c>
      <c r="R557" s="10">
        <f>CHOOSE(CONTROL!$C$42, 17.5371, 17.5371) * CHOOSE(CONTROL!$C$21, $C$9, 100%, $E$9)</f>
        <v>17.537099999999999</v>
      </c>
      <c r="S557" s="10">
        <f>CHOOSE(CONTROL!$C$42, 15.7845, 15.7845) * CHOOSE(CONTROL!$C$21, $C$9, 100%, $E$9)</f>
        <v>15.7845</v>
      </c>
      <c r="T557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57" s="58">
        <f>(1000*CHOOSE(CONTROL!$C$42, 695, 695)*CHOOSE(CONTROL!$C$42, 0.5599, 0.5599)*CHOOSE(CONTROL!$C$42, 31, 31))/1000000</f>
        <v>12.063045499999998</v>
      </c>
      <c r="V557" s="58">
        <f>(1000*CHOOSE(CONTROL!$C$42, 500, 500)*CHOOSE(CONTROL!$C$42, 0.275, 0.275)*CHOOSE(CONTROL!$C$42, 31, 31))/1000000</f>
        <v>4.2625000000000002</v>
      </c>
      <c r="W557" s="58">
        <f>(1000*CHOOSE(CONTROL!$C$42, 0.1146, 0.1146)*CHOOSE(CONTROL!$C$42, 121.5, 121.5)*CHOOSE(CONTROL!$C$42, 31, 31))/1000000</f>
        <v>0.43164089999999994</v>
      </c>
      <c r="X557" s="58">
        <f>(31*0.1790888*245000/1000000)+(31*0.2374*100000/1000000)</f>
        <v>2.0961194359999999</v>
      </c>
      <c r="Y557" s="58"/>
      <c r="Z557" s="10"/>
      <c r="AA557" s="57"/>
      <c r="AB557" s="51">
        <f>(B557*194.205+C557*267.466+D557*133.845+E557*53.484+F557*40+G557*185+H557*0+I557*100+J557*300)/(194.205+267.466+133.845+53.484+0+40+185+100+300)</f>
        <v>16.282548750235478</v>
      </c>
      <c r="AC557" s="27">
        <f>(M557*'RAP TEMPLATE-GAS AVAILABILITY'!O556+N557*'RAP TEMPLATE-GAS AVAILABILITY'!P556+O557*'RAP TEMPLATE-GAS AVAILABILITY'!Q556+P557*'RAP TEMPLATE-GAS AVAILABILITY'!R556)/('RAP TEMPLATE-GAS AVAILABILITY'!O556+'RAP TEMPLATE-GAS AVAILABILITY'!P556+'RAP TEMPLATE-GAS AVAILABILITY'!Q556+'RAP TEMPLATE-GAS AVAILABILITY'!R556)</f>
        <v>16.154700719424461</v>
      </c>
    </row>
    <row r="558" spans="1:29" ht="15.75" x14ac:dyDescent="0.25">
      <c r="A558" s="13">
        <v>58256</v>
      </c>
      <c r="B558" s="10">
        <f>CHOOSE(CONTROL!$C$42, 16.7197, 16.7197) * CHOOSE(CONTROL!$C$21, $C$9, 100%, $E$9)</f>
        <v>16.7197</v>
      </c>
      <c r="C558" s="10">
        <f>CHOOSE(CONTROL!$C$42, 16.7276, 16.7276) * CHOOSE(CONTROL!$C$21, $C$9, 100%, $E$9)</f>
        <v>16.727599999999999</v>
      </c>
      <c r="D558" s="10">
        <f>CHOOSE(CONTROL!$C$42, 16.9062, 16.9062) * CHOOSE(CONTROL!$C$21, $C$9, 100%, $E$9)</f>
        <v>16.906199999999998</v>
      </c>
      <c r="E558" s="10">
        <f>CHOOSE(CONTROL!$C$42, 16.9373, 16.9373) * CHOOSE(CONTROL!$C$21, $C$9, 100%, $E$9)</f>
        <v>16.9373</v>
      </c>
      <c r="F558" s="10">
        <f>CHOOSE(CONTROL!$C$42, 16.7061, 16.7061)*CHOOSE(CONTROL!$C$21, $C$9, 100%, $E$9)</f>
        <v>16.706099999999999</v>
      </c>
      <c r="G558" s="10">
        <f>CHOOSE(CONTROL!$C$42, 16.7244, 16.7244)*CHOOSE(CONTROL!$C$21, $C$9, 100%, $E$9)</f>
        <v>16.724399999999999</v>
      </c>
      <c r="H558" s="10">
        <f>CHOOSE(CONTROL!$C$42, 16.9259, 16.9259) * CHOOSE(CONTROL!$C$21, $C$9, 100%, $E$9)</f>
        <v>16.925899999999999</v>
      </c>
      <c r="I558" s="10">
        <f>CHOOSE(CONTROL!$C$42, 16.6966, 16.6966)* CHOOSE(CONTROL!$C$21, $C$9, 100%, $E$9)</f>
        <v>16.6966</v>
      </c>
      <c r="J558" s="10">
        <f>CHOOSE(CONTROL!$C$42, 16.6991, 16.6991)* CHOOSE(CONTROL!$C$21, $C$9, 100%, $E$9)</f>
        <v>16.699100000000001</v>
      </c>
      <c r="K558" s="54">
        <f>CHOOSE(CONTROL!$C$42, 16.6927, 16.6927) * CHOOSE(CONTROL!$C$21, $C$9, 100%, $E$9)</f>
        <v>16.692699999999999</v>
      </c>
      <c r="L558" s="10">
        <f>CHOOSE(CONTROL!$C$42, 17.5129, 17.5129) * CHOOSE(CONTROL!$C$21, $C$9, 100%, $E$9)</f>
        <v>17.512899999999998</v>
      </c>
      <c r="M558" s="10">
        <f>CHOOSE(CONTROL!$C$42, 16.5445, 16.5445) * CHOOSE(CONTROL!$C$21, $C$9, 100%, $E$9)</f>
        <v>16.544499999999999</v>
      </c>
      <c r="N558" s="10">
        <f>CHOOSE(CONTROL!$C$42, 16.5625, 16.5625) * CHOOSE(CONTROL!$C$21, $C$9, 100%, $E$9)</f>
        <v>16.5625</v>
      </c>
      <c r="O558" s="10">
        <f>CHOOSE(CONTROL!$C$42, 16.769, 16.769) * CHOOSE(CONTROL!$C$21, $C$9, 100%, $E$9)</f>
        <v>16.768999999999998</v>
      </c>
      <c r="P558" s="10">
        <f>CHOOSE(CONTROL!$C$42, 16.542, 16.542) * CHOOSE(CONTROL!$C$21, $C$9, 100%, $E$9)</f>
        <v>16.542000000000002</v>
      </c>
      <c r="Q558" s="10">
        <f>CHOOSE(CONTROL!$C$42, 17.3643, 17.3643) * CHOOSE(CONTROL!$C$21, $C$9, 100%, $E$9)</f>
        <v>17.3643</v>
      </c>
      <c r="R558" s="10">
        <f>CHOOSE(CONTROL!$C$42, 17.9947, 17.9947) * CHOOSE(CONTROL!$C$21, $C$9, 100%, $E$9)</f>
        <v>17.994700000000002</v>
      </c>
      <c r="S558" s="10">
        <f>CHOOSE(CONTROL!$C$42, 16.2323, 16.2323) * CHOOSE(CONTROL!$C$21, $C$9, 100%, $E$9)</f>
        <v>16.232299999999999</v>
      </c>
      <c r="T558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58" s="58">
        <f>(1000*CHOOSE(CONTROL!$C$42, 695, 695)*CHOOSE(CONTROL!$C$42, 0.5599, 0.5599)*CHOOSE(CONTROL!$C$42, 30, 30))/1000000</f>
        <v>11.673914999999997</v>
      </c>
      <c r="V558" s="58">
        <f>(1000*CHOOSE(CONTROL!$C$42, 500, 500)*CHOOSE(CONTROL!$C$42, 0.275, 0.275)*CHOOSE(CONTROL!$C$42, 30, 30))/1000000</f>
        <v>4.125</v>
      </c>
      <c r="W558" s="58">
        <f>(1000*CHOOSE(CONTROL!$C$42, 0.1146, 0.1146)*CHOOSE(CONTROL!$C$42, 121.5, 121.5)*CHOOSE(CONTROL!$C$42, 30, 30))/1000000</f>
        <v>0.417717</v>
      </c>
      <c r="X558" s="58">
        <f>(30*0.1790888*245000/1000000)+(30*0.2374*100000/1000000)</f>
        <v>2.0285026799999999</v>
      </c>
      <c r="Y558" s="58"/>
      <c r="Z558" s="10"/>
      <c r="AA558" s="57"/>
      <c r="AB558" s="51">
        <f>(B558*194.205+C558*267.466+D558*133.845+E558*53.484+F558*40+G558*185+H558*0+I558*100+J558*300)/(194.205+267.466+133.845+53.484+0+40+185+100+300)</f>
        <v>16.743678565384613</v>
      </c>
      <c r="AC558" s="27">
        <f>(M558*'RAP TEMPLATE-GAS AVAILABILITY'!O557+N558*'RAP TEMPLATE-GAS AVAILABILITY'!P557+O558*'RAP TEMPLATE-GAS AVAILABILITY'!Q557+P558*'RAP TEMPLATE-GAS AVAILABILITY'!R557)/('RAP TEMPLATE-GAS AVAILABILITY'!O557+'RAP TEMPLATE-GAS AVAILABILITY'!P557+'RAP TEMPLATE-GAS AVAILABILITY'!Q557+'RAP TEMPLATE-GAS AVAILABILITY'!R557)</f>
        <v>16.611273381294964</v>
      </c>
    </row>
    <row r="559" spans="1:29" ht="15.75" x14ac:dyDescent="0.25">
      <c r="A559" s="13">
        <v>58287</v>
      </c>
      <c r="B559" s="10">
        <f>CHOOSE(CONTROL!$C$42, 16.3991, 16.3991) * CHOOSE(CONTROL!$C$21, $C$9, 100%, $E$9)</f>
        <v>16.399100000000001</v>
      </c>
      <c r="C559" s="10">
        <f>CHOOSE(CONTROL!$C$42, 16.407, 16.407) * CHOOSE(CONTROL!$C$21, $C$9, 100%, $E$9)</f>
        <v>16.407</v>
      </c>
      <c r="D559" s="10">
        <f>CHOOSE(CONTROL!$C$42, 16.5855, 16.5855) * CHOOSE(CONTROL!$C$21, $C$9, 100%, $E$9)</f>
        <v>16.5855</v>
      </c>
      <c r="E559" s="10">
        <f>CHOOSE(CONTROL!$C$42, 16.6166, 16.6166) * CHOOSE(CONTROL!$C$21, $C$9, 100%, $E$9)</f>
        <v>16.616599999999998</v>
      </c>
      <c r="F559" s="10">
        <f>CHOOSE(CONTROL!$C$42, 16.3858, 16.3858)*CHOOSE(CONTROL!$C$21, $C$9, 100%, $E$9)</f>
        <v>16.3858</v>
      </c>
      <c r="G559" s="10">
        <f>CHOOSE(CONTROL!$C$42, 16.4041, 16.4041)*CHOOSE(CONTROL!$C$21, $C$9, 100%, $E$9)</f>
        <v>16.4041</v>
      </c>
      <c r="H559" s="10">
        <f>CHOOSE(CONTROL!$C$42, 16.6053, 16.6053) * CHOOSE(CONTROL!$C$21, $C$9, 100%, $E$9)</f>
        <v>16.6053</v>
      </c>
      <c r="I559" s="10">
        <f>CHOOSE(CONTROL!$C$42, 16.3759, 16.3759)* CHOOSE(CONTROL!$C$21, $C$9, 100%, $E$9)</f>
        <v>16.375900000000001</v>
      </c>
      <c r="J559" s="10">
        <f>CHOOSE(CONTROL!$C$42, 16.3788, 16.3788)* CHOOSE(CONTROL!$C$21, $C$9, 100%, $E$9)</f>
        <v>16.378799999999998</v>
      </c>
      <c r="K559" s="54">
        <f>CHOOSE(CONTROL!$C$42, 16.372, 16.372) * CHOOSE(CONTROL!$C$21, $C$9, 100%, $E$9)</f>
        <v>16.372</v>
      </c>
      <c r="L559" s="10">
        <f>CHOOSE(CONTROL!$C$42, 17.1923, 17.1923) * CHOOSE(CONTROL!$C$21, $C$9, 100%, $E$9)</f>
        <v>17.192299999999999</v>
      </c>
      <c r="M559" s="10">
        <f>CHOOSE(CONTROL!$C$42, 16.2273, 16.2273) * CHOOSE(CONTROL!$C$21, $C$9, 100%, $E$9)</f>
        <v>16.2273</v>
      </c>
      <c r="N559" s="10">
        <f>CHOOSE(CONTROL!$C$42, 16.2454, 16.2454) * CHOOSE(CONTROL!$C$21, $C$9, 100%, $E$9)</f>
        <v>16.2454</v>
      </c>
      <c r="O559" s="10">
        <f>CHOOSE(CONTROL!$C$42, 16.4515, 16.4515) * CHOOSE(CONTROL!$C$21, $C$9, 100%, $E$9)</f>
        <v>16.451499999999999</v>
      </c>
      <c r="P559" s="10">
        <f>CHOOSE(CONTROL!$C$42, 16.2245, 16.2245) * CHOOSE(CONTROL!$C$21, $C$9, 100%, $E$9)</f>
        <v>16.224499999999999</v>
      </c>
      <c r="Q559" s="10">
        <f>CHOOSE(CONTROL!$C$42, 17.0468, 17.0468) * CHOOSE(CONTROL!$C$21, $C$9, 100%, $E$9)</f>
        <v>17.046800000000001</v>
      </c>
      <c r="R559" s="10">
        <f>CHOOSE(CONTROL!$C$42, 17.6764, 17.6764) * CHOOSE(CONTROL!$C$21, $C$9, 100%, $E$9)</f>
        <v>17.676400000000001</v>
      </c>
      <c r="S559" s="10">
        <f>CHOOSE(CONTROL!$C$42, 15.9209, 15.9209) * CHOOSE(CONTROL!$C$21, $C$9, 100%, $E$9)</f>
        <v>15.9209</v>
      </c>
      <c r="T559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59" s="58">
        <f>(1000*CHOOSE(CONTROL!$C$42, 695, 695)*CHOOSE(CONTROL!$C$42, 0.5599, 0.5599)*CHOOSE(CONTROL!$C$42, 31, 31))/1000000</f>
        <v>12.063045499999998</v>
      </c>
      <c r="V559" s="58">
        <f>(1000*CHOOSE(CONTROL!$C$42, 500, 500)*CHOOSE(CONTROL!$C$42, 0.275, 0.275)*CHOOSE(CONTROL!$C$42, 31, 31))/1000000</f>
        <v>4.2625000000000002</v>
      </c>
      <c r="W559" s="58">
        <f>(1000*CHOOSE(CONTROL!$C$42, 0.1146, 0.1146)*CHOOSE(CONTROL!$C$42, 121.5, 121.5)*CHOOSE(CONTROL!$C$42, 31, 31))/1000000</f>
        <v>0.43164089999999994</v>
      </c>
      <c r="X559" s="58">
        <f>(31*0.1790888*245000/1000000)+(31*0.2374*100000/1000000)</f>
        <v>2.0961194359999999</v>
      </c>
      <c r="Y559" s="58"/>
      <c r="Z559" s="10"/>
      <c r="AA559" s="57"/>
      <c r="AB559" s="51">
        <f>(B559*194.205+C559*267.466+D559*133.845+E559*53.484+F559*40+G559*185+H559*0+I559*100+J559*300)/(194.205+267.466+133.845+53.484+0+40+185+100+300)</f>
        <v>16.423179638461537</v>
      </c>
      <c r="AC559" s="27">
        <f>(M559*'RAP TEMPLATE-GAS AVAILABILITY'!O558+N559*'RAP TEMPLATE-GAS AVAILABILITY'!P558+O559*'RAP TEMPLATE-GAS AVAILABILITY'!Q558+P559*'RAP TEMPLATE-GAS AVAILABILITY'!R558)/('RAP TEMPLATE-GAS AVAILABILITY'!O558+'RAP TEMPLATE-GAS AVAILABILITY'!P558+'RAP TEMPLATE-GAS AVAILABILITY'!Q558+'RAP TEMPLATE-GAS AVAILABILITY'!R558)</f>
        <v>16.2939690647482</v>
      </c>
    </row>
    <row r="560" spans="1:29" ht="15.75" x14ac:dyDescent="0.25">
      <c r="A560" s="13">
        <v>58318</v>
      </c>
      <c r="B560" s="10">
        <f>CHOOSE(CONTROL!$C$42, 15.5893, 15.5893) * CHOOSE(CONTROL!$C$21, $C$9, 100%, $E$9)</f>
        <v>15.5893</v>
      </c>
      <c r="C560" s="10">
        <f>CHOOSE(CONTROL!$C$42, 15.5972, 15.5972) * CHOOSE(CONTROL!$C$21, $C$9, 100%, $E$9)</f>
        <v>15.597200000000001</v>
      </c>
      <c r="D560" s="10">
        <f>CHOOSE(CONTROL!$C$42, 15.7757, 15.7757) * CHOOSE(CONTROL!$C$21, $C$9, 100%, $E$9)</f>
        <v>15.775700000000001</v>
      </c>
      <c r="E560" s="10">
        <f>CHOOSE(CONTROL!$C$42, 15.8069, 15.8069) * CHOOSE(CONTROL!$C$21, $C$9, 100%, $E$9)</f>
        <v>15.806900000000001</v>
      </c>
      <c r="F560" s="10">
        <f>CHOOSE(CONTROL!$C$42, 15.5759, 15.5759)*CHOOSE(CONTROL!$C$21, $C$9, 100%, $E$9)</f>
        <v>15.575900000000001</v>
      </c>
      <c r="G560" s="10">
        <f>CHOOSE(CONTROL!$C$42, 15.5942, 15.5942)*CHOOSE(CONTROL!$C$21, $C$9, 100%, $E$9)</f>
        <v>15.594200000000001</v>
      </c>
      <c r="H560" s="10">
        <f>CHOOSE(CONTROL!$C$42, 15.7955, 15.7955) * CHOOSE(CONTROL!$C$21, $C$9, 100%, $E$9)</f>
        <v>15.795500000000001</v>
      </c>
      <c r="I560" s="10">
        <f>CHOOSE(CONTROL!$C$42, 15.5662, 15.5662)* CHOOSE(CONTROL!$C$21, $C$9, 100%, $E$9)</f>
        <v>15.5662</v>
      </c>
      <c r="J560" s="10">
        <f>CHOOSE(CONTROL!$C$42, 15.5689, 15.5689)* CHOOSE(CONTROL!$C$21, $C$9, 100%, $E$9)</f>
        <v>15.568899999999999</v>
      </c>
      <c r="K560" s="54">
        <f>CHOOSE(CONTROL!$C$42, 15.5623, 15.5623) * CHOOSE(CONTROL!$C$21, $C$9, 100%, $E$9)</f>
        <v>15.5623</v>
      </c>
      <c r="L560" s="10">
        <f>CHOOSE(CONTROL!$C$42, 16.3825, 16.3825) * CHOOSE(CONTROL!$C$21, $C$9, 100%, $E$9)</f>
        <v>16.3825</v>
      </c>
      <c r="M560" s="10">
        <f>CHOOSE(CONTROL!$C$42, 15.4257, 15.4257) * CHOOSE(CONTROL!$C$21, $C$9, 100%, $E$9)</f>
        <v>15.425700000000001</v>
      </c>
      <c r="N560" s="10">
        <f>CHOOSE(CONTROL!$C$42, 15.4438, 15.4438) * CHOOSE(CONTROL!$C$21, $C$9, 100%, $E$9)</f>
        <v>15.4438</v>
      </c>
      <c r="O560" s="10">
        <f>CHOOSE(CONTROL!$C$42, 15.6499, 15.6499) * CHOOSE(CONTROL!$C$21, $C$9, 100%, $E$9)</f>
        <v>15.649900000000001</v>
      </c>
      <c r="P560" s="10">
        <f>CHOOSE(CONTROL!$C$42, 15.4229, 15.4229) * CHOOSE(CONTROL!$C$21, $C$9, 100%, $E$9)</f>
        <v>15.4229</v>
      </c>
      <c r="Q560" s="10">
        <f>CHOOSE(CONTROL!$C$42, 16.2452, 16.2452) * CHOOSE(CONTROL!$C$21, $C$9, 100%, $E$9)</f>
        <v>16.245200000000001</v>
      </c>
      <c r="R560" s="10">
        <f>CHOOSE(CONTROL!$C$42, 16.8729, 16.8729) * CHOOSE(CONTROL!$C$21, $C$9, 100%, $E$9)</f>
        <v>16.872900000000001</v>
      </c>
      <c r="S560" s="10">
        <f>CHOOSE(CONTROL!$C$42, 15.1345, 15.1345) * CHOOSE(CONTROL!$C$21, $C$9, 100%, $E$9)</f>
        <v>15.134499999999999</v>
      </c>
      <c r="T560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60" s="58">
        <f>(1000*CHOOSE(CONTROL!$C$42, 695, 695)*CHOOSE(CONTROL!$C$42, 0.5599, 0.5599)*CHOOSE(CONTROL!$C$42, 31, 31))/1000000</f>
        <v>12.063045499999998</v>
      </c>
      <c r="V560" s="58">
        <f>(1000*CHOOSE(CONTROL!$C$42, 500, 500)*CHOOSE(CONTROL!$C$42, 0.275, 0.275)*CHOOSE(CONTROL!$C$42, 31, 31))/1000000</f>
        <v>4.2625000000000002</v>
      </c>
      <c r="W560" s="58">
        <f>(1000*CHOOSE(CONTROL!$C$42, 0.1146, 0.1146)*CHOOSE(CONTROL!$C$42, 121.5, 121.5)*CHOOSE(CONTROL!$C$42, 31, 31))/1000000</f>
        <v>0.43164089999999994</v>
      </c>
      <c r="X560" s="58">
        <f>(31*0.1790888*245000/1000000)+(31*0.2374*100000/1000000)</f>
        <v>2.0961194359999999</v>
      </c>
      <c r="Y560" s="58"/>
      <c r="Z560" s="10"/>
      <c r="AA560" s="57"/>
      <c r="AB560" s="51">
        <f>(B560*194.205+C560*267.466+D560*133.845+E560*53.484+F560*40+G560*185+H560*0+I560*100+J560*300)/(194.205+267.466+133.845+53.484+0+40+185+100+300)</f>
        <v>15.613350477080061</v>
      </c>
      <c r="AC560" s="27">
        <f>(M560*'RAP TEMPLATE-GAS AVAILABILITY'!O559+N560*'RAP TEMPLATE-GAS AVAILABILITY'!P559+O560*'RAP TEMPLATE-GAS AVAILABILITY'!Q559+P560*'RAP TEMPLATE-GAS AVAILABILITY'!R559)/('RAP TEMPLATE-GAS AVAILABILITY'!O559+'RAP TEMPLATE-GAS AVAILABILITY'!P559+'RAP TEMPLATE-GAS AVAILABILITY'!Q559+'RAP TEMPLATE-GAS AVAILABILITY'!R559)</f>
        <v>15.492369064748198</v>
      </c>
    </row>
    <row r="561" spans="1:29" ht="15.75" x14ac:dyDescent="0.25">
      <c r="A561" s="13">
        <v>58348</v>
      </c>
      <c r="B561" s="10">
        <f>CHOOSE(CONTROL!$C$42, 14.5999, 14.5999) * CHOOSE(CONTROL!$C$21, $C$9, 100%, $E$9)</f>
        <v>14.5999</v>
      </c>
      <c r="C561" s="10">
        <f>CHOOSE(CONTROL!$C$42, 14.6078, 14.6078) * CHOOSE(CONTROL!$C$21, $C$9, 100%, $E$9)</f>
        <v>14.607799999999999</v>
      </c>
      <c r="D561" s="10">
        <f>CHOOSE(CONTROL!$C$42, 14.7864, 14.7864) * CHOOSE(CONTROL!$C$21, $C$9, 100%, $E$9)</f>
        <v>14.7864</v>
      </c>
      <c r="E561" s="10">
        <f>CHOOSE(CONTROL!$C$42, 14.8175, 14.8175) * CHOOSE(CONTROL!$C$21, $C$9, 100%, $E$9)</f>
        <v>14.817500000000001</v>
      </c>
      <c r="F561" s="10">
        <f>CHOOSE(CONTROL!$C$42, 14.5863, 14.5863)*CHOOSE(CONTROL!$C$21, $C$9, 100%, $E$9)</f>
        <v>14.5863</v>
      </c>
      <c r="G561" s="10">
        <f>CHOOSE(CONTROL!$C$42, 14.6045, 14.6045)*CHOOSE(CONTROL!$C$21, $C$9, 100%, $E$9)</f>
        <v>14.6045</v>
      </c>
      <c r="H561" s="10">
        <f>CHOOSE(CONTROL!$C$42, 14.8061, 14.8061) * CHOOSE(CONTROL!$C$21, $C$9, 100%, $E$9)</f>
        <v>14.806100000000001</v>
      </c>
      <c r="I561" s="10">
        <f>CHOOSE(CONTROL!$C$42, 14.5768, 14.5768)* CHOOSE(CONTROL!$C$21, $C$9, 100%, $E$9)</f>
        <v>14.5768</v>
      </c>
      <c r="J561" s="10">
        <f>CHOOSE(CONTROL!$C$42, 14.5793, 14.5793)* CHOOSE(CONTROL!$C$21, $C$9, 100%, $E$9)</f>
        <v>14.5793</v>
      </c>
      <c r="K561" s="54">
        <f>CHOOSE(CONTROL!$C$42, 14.5729, 14.5729) * CHOOSE(CONTROL!$C$21, $C$9, 100%, $E$9)</f>
        <v>14.572900000000001</v>
      </c>
      <c r="L561" s="10">
        <f>CHOOSE(CONTROL!$C$42, 15.3931, 15.3931) * CHOOSE(CONTROL!$C$21, $C$9, 100%, $E$9)</f>
        <v>15.3931</v>
      </c>
      <c r="M561" s="10">
        <f>CHOOSE(CONTROL!$C$42, 14.446, 14.446) * CHOOSE(CONTROL!$C$21, $C$9, 100%, $E$9)</f>
        <v>14.446</v>
      </c>
      <c r="N561" s="10">
        <f>CHOOSE(CONTROL!$C$42, 14.464, 14.464) * CHOOSE(CONTROL!$C$21, $C$9, 100%, $E$9)</f>
        <v>14.464</v>
      </c>
      <c r="O561" s="10">
        <f>CHOOSE(CONTROL!$C$42, 14.6705, 14.6705) * CHOOSE(CONTROL!$C$21, $C$9, 100%, $E$9)</f>
        <v>14.670500000000001</v>
      </c>
      <c r="P561" s="10">
        <f>CHOOSE(CONTROL!$C$42, 14.4435, 14.4435) * CHOOSE(CONTROL!$C$21, $C$9, 100%, $E$9)</f>
        <v>14.4435</v>
      </c>
      <c r="Q561" s="10">
        <f>CHOOSE(CONTROL!$C$42, 15.2658, 15.2658) * CHOOSE(CONTROL!$C$21, $C$9, 100%, $E$9)</f>
        <v>15.2658</v>
      </c>
      <c r="R561" s="10">
        <f>CHOOSE(CONTROL!$C$42, 15.891, 15.891) * CHOOSE(CONTROL!$C$21, $C$9, 100%, $E$9)</f>
        <v>15.891</v>
      </c>
      <c r="S561" s="10">
        <f>CHOOSE(CONTROL!$C$42, 14.1737, 14.1737) * CHOOSE(CONTROL!$C$21, $C$9, 100%, $E$9)</f>
        <v>14.1737</v>
      </c>
      <c r="T561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61" s="58">
        <f>(1000*CHOOSE(CONTROL!$C$42, 695, 695)*CHOOSE(CONTROL!$C$42, 0.5599, 0.5599)*CHOOSE(CONTROL!$C$42, 30, 30))/1000000</f>
        <v>11.673914999999997</v>
      </c>
      <c r="V561" s="58">
        <f>(1000*CHOOSE(CONTROL!$C$42, 500, 500)*CHOOSE(CONTROL!$C$42, 0.275, 0.275)*CHOOSE(CONTROL!$C$42, 30, 30))/1000000</f>
        <v>4.125</v>
      </c>
      <c r="W561" s="58">
        <f>(1000*CHOOSE(CONTROL!$C$42, 0.1146, 0.1146)*CHOOSE(CONTROL!$C$42, 121.5, 121.5)*CHOOSE(CONTROL!$C$42, 30, 30))/1000000</f>
        <v>0.417717</v>
      </c>
      <c r="X561" s="58">
        <f>(30*0.1790888*245000/1000000)+(30*0.2374*100000/1000000)</f>
        <v>2.0285026799999999</v>
      </c>
      <c r="Y561" s="58"/>
      <c r="Z561" s="10"/>
      <c r="AA561" s="57"/>
      <c r="AB561" s="51">
        <f>(B561*194.205+C561*267.466+D561*133.845+E561*53.484+F561*40+G561*185+H561*0+I561*100+J561*300)/(194.205+267.466+133.845+53.484+0+40+185+100+300)</f>
        <v>14.623864044191523</v>
      </c>
      <c r="AC561" s="27">
        <f>(M561*'RAP TEMPLATE-GAS AVAILABILITY'!O560+N561*'RAP TEMPLATE-GAS AVAILABILITY'!P560+O561*'RAP TEMPLATE-GAS AVAILABILITY'!Q560+P561*'RAP TEMPLATE-GAS AVAILABILITY'!R560)/('RAP TEMPLATE-GAS AVAILABILITY'!O560+'RAP TEMPLATE-GAS AVAILABILITY'!P560+'RAP TEMPLATE-GAS AVAILABILITY'!Q560+'RAP TEMPLATE-GAS AVAILABILITY'!R560)</f>
        <v>14.512773381294965</v>
      </c>
    </row>
    <row r="562" spans="1:29" ht="15.75" x14ac:dyDescent="0.25">
      <c r="A562" s="13">
        <v>58379</v>
      </c>
      <c r="B562" s="10">
        <f>CHOOSE(CONTROL!$C$42, 14.3014, 14.3014) * CHOOSE(CONTROL!$C$21, $C$9, 100%, $E$9)</f>
        <v>14.301399999999999</v>
      </c>
      <c r="C562" s="10">
        <f>CHOOSE(CONTROL!$C$42, 14.3067, 14.3067) * CHOOSE(CONTROL!$C$21, $C$9, 100%, $E$9)</f>
        <v>14.306699999999999</v>
      </c>
      <c r="D562" s="10">
        <f>CHOOSE(CONTROL!$C$42, 14.4902, 14.4902) * CHOOSE(CONTROL!$C$21, $C$9, 100%, $E$9)</f>
        <v>14.4902</v>
      </c>
      <c r="E562" s="10">
        <f>CHOOSE(CONTROL!$C$42, 14.519, 14.519) * CHOOSE(CONTROL!$C$21, $C$9, 100%, $E$9)</f>
        <v>14.519</v>
      </c>
      <c r="F562" s="10">
        <f>CHOOSE(CONTROL!$C$42, 14.2898, 14.2898)*CHOOSE(CONTROL!$C$21, $C$9, 100%, $E$9)</f>
        <v>14.2898</v>
      </c>
      <c r="G562" s="10">
        <f>CHOOSE(CONTROL!$C$42, 14.3077, 14.3077)*CHOOSE(CONTROL!$C$21, $C$9, 100%, $E$9)</f>
        <v>14.307700000000001</v>
      </c>
      <c r="H562" s="10">
        <f>CHOOSE(CONTROL!$C$42, 14.5094, 14.5094) * CHOOSE(CONTROL!$C$21, $C$9, 100%, $E$9)</f>
        <v>14.509399999999999</v>
      </c>
      <c r="I562" s="10">
        <f>CHOOSE(CONTROL!$C$42, 14.2801, 14.2801)* CHOOSE(CONTROL!$C$21, $C$9, 100%, $E$9)</f>
        <v>14.280099999999999</v>
      </c>
      <c r="J562" s="10">
        <f>CHOOSE(CONTROL!$C$42, 14.2828, 14.2828)* CHOOSE(CONTROL!$C$21, $C$9, 100%, $E$9)</f>
        <v>14.2828</v>
      </c>
      <c r="K562" s="54">
        <f>CHOOSE(CONTROL!$C$42, 14.2762, 14.2762) * CHOOSE(CONTROL!$C$21, $C$9, 100%, $E$9)</f>
        <v>14.276199999999999</v>
      </c>
      <c r="L562" s="10">
        <f>CHOOSE(CONTROL!$C$42, 15.0964, 15.0964) * CHOOSE(CONTROL!$C$21, $C$9, 100%, $E$9)</f>
        <v>15.096399999999999</v>
      </c>
      <c r="M562" s="10">
        <f>CHOOSE(CONTROL!$C$42, 14.1525, 14.1525) * CHOOSE(CONTROL!$C$21, $C$9, 100%, $E$9)</f>
        <v>14.1525</v>
      </c>
      <c r="N562" s="10">
        <f>CHOOSE(CONTROL!$C$42, 14.1702, 14.1702) * CHOOSE(CONTROL!$C$21, $C$9, 100%, $E$9)</f>
        <v>14.170199999999999</v>
      </c>
      <c r="O562" s="10">
        <f>CHOOSE(CONTROL!$C$42, 14.3768, 14.3768) * CHOOSE(CONTROL!$C$21, $C$9, 100%, $E$9)</f>
        <v>14.376799999999999</v>
      </c>
      <c r="P562" s="10">
        <f>CHOOSE(CONTROL!$C$42, 14.1498, 14.1498) * CHOOSE(CONTROL!$C$21, $C$9, 100%, $E$9)</f>
        <v>14.149800000000001</v>
      </c>
      <c r="Q562" s="10">
        <f>CHOOSE(CONTROL!$C$42, 14.9721, 14.9721) * CHOOSE(CONTROL!$C$21, $C$9, 100%, $E$9)</f>
        <v>14.972099999999999</v>
      </c>
      <c r="R562" s="10">
        <f>CHOOSE(CONTROL!$C$42, 15.5966, 15.5966) * CHOOSE(CONTROL!$C$21, $C$9, 100%, $E$9)</f>
        <v>15.5966</v>
      </c>
      <c r="S562" s="10">
        <f>CHOOSE(CONTROL!$C$42, 13.8856, 13.8856) * CHOOSE(CONTROL!$C$21, $C$9, 100%, $E$9)</f>
        <v>13.8856</v>
      </c>
      <c r="T562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62" s="58">
        <f>(1000*CHOOSE(CONTROL!$C$42, 695, 695)*CHOOSE(CONTROL!$C$42, 0.5599, 0.5599)*CHOOSE(CONTROL!$C$42, 31, 31))/1000000</f>
        <v>12.063045499999998</v>
      </c>
      <c r="V562" s="58">
        <f>(1000*CHOOSE(CONTROL!$C$42, 500, 500)*CHOOSE(CONTROL!$C$42, 0.275, 0.275)*CHOOSE(CONTROL!$C$42, 31, 31))/1000000</f>
        <v>4.2625000000000002</v>
      </c>
      <c r="W562" s="58">
        <f>(1000*CHOOSE(CONTROL!$C$42, 0.1146, 0.1146)*CHOOSE(CONTROL!$C$42, 121.5, 121.5)*CHOOSE(CONTROL!$C$42, 31, 31))/1000000</f>
        <v>0.43164089999999994</v>
      </c>
      <c r="X562" s="58">
        <f>(31*0.1790888*245000/1000000)+(31*0.2374*100000/1000000)</f>
        <v>2.0961194359999999</v>
      </c>
      <c r="Y562" s="58"/>
      <c r="Z562" s="10"/>
      <c r="AA562" s="57"/>
      <c r="AB562" s="51">
        <f>(B562*131.881+C562*277.167+D562*79.08+E562*125.872+F562*40+G562*185+H562*0+I562*100+J562*300)/(131.881+277.167+79.08+125.872+0+40+185+100+300)</f>
        <v>14.331085662873285</v>
      </c>
      <c r="AC562" s="27">
        <f>(M562*'RAP TEMPLATE-GAS AVAILABILITY'!O561+N562*'RAP TEMPLATE-GAS AVAILABILITY'!P561+O562*'RAP TEMPLATE-GAS AVAILABILITY'!Q561+P562*'RAP TEMPLATE-GAS AVAILABILITY'!R561)/('RAP TEMPLATE-GAS AVAILABILITY'!O561+'RAP TEMPLATE-GAS AVAILABILITY'!P561+'RAP TEMPLATE-GAS AVAILABILITY'!Q561+'RAP TEMPLATE-GAS AVAILABILITY'!R561)</f>
        <v>14.219119424460432</v>
      </c>
    </row>
    <row r="563" spans="1:29" ht="15.75" x14ac:dyDescent="0.25">
      <c r="A563" s="13">
        <v>58409</v>
      </c>
      <c r="B563" s="10">
        <f>CHOOSE(CONTROL!$C$42, 14.6777, 14.6777) * CHOOSE(CONTROL!$C$21, $C$9, 100%, $E$9)</f>
        <v>14.6777</v>
      </c>
      <c r="C563" s="10">
        <f>CHOOSE(CONTROL!$C$42, 14.6827, 14.6827) * CHOOSE(CONTROL!$C$21, $C$9, 100%, $E$9)</f>
        <v>14.682700000000001</v>
      </c>
      <c r="D563" s="10">
        <f>CHOOSE(CONTROL!$C$42, 14.7123, 14.7123) * CHOOSE(CONTROL!$C$21, $C$9, 100%, $E$9)</f>
        <v>14.712300000000001</v>
      </c>
      <c r="E563" s="10">
        <f>CHOOSE(CONTROL!$C$42, 14.746, 14.746) * CHOOSE(CONTROL!$C$21, $C$9, 100%, $E$9)</f>
        <v>14.746</v>
      </c>
      <c r="F563" s="10">
        <f>CHOOSE(CONTROL!$C$42, 14.6635, 14.6635)*CHOOSE(CONTROL!$C$21, $C$9, 100%, $E$9)</f>
        <v>14.663500000000001</v>
      </c>
      <c r="G563" s="10">
        <f>CHOOSE(CONTROL!$C$42, 14.6815, 14.6815)*CHOOSE(CONTROL!$C$21, $C$9, 100%, $E$9)</f>
        <v>14.6815</v>
      </c>
      <c r="H563" s="10">
        <f>CHOOSE(CONTROL!$C$42, 14.7352, 14.7352) * CHOOSE(CONTROL!$C$21, $C$9, 100%, $E$9)</f>
        <v>14.735200000000001</v>
      </c>
      <c r="I563" s="10">
        <f>CHOOSE(CONTROL!$C$42, 14.6439, 14.6439)* CHOOSE(CONTROL!$C$21, $C$9, 100%, $E$9)</f>
        <v>14.6439</v>
      </c>
      <c r="J563" s="10">
        <f>CHOOSE(CONTROL!$C$42, 14.6565, 14.6565)* CHOOSE(CONTROL!$C$21, $C$9, 100%, $E$9)</f>
        <v>14.656499999999999</v>
      </c>
      <c r="K563" s="54">
        <f>CHOOSE(CONTROL!$C$42, 14.64, 14.64) * CHOOSE(CONTROL!$C$21, $C$9, 100%, $E$9)</f>
        <v>14.64</v>
      </c>
      <c r="L563" s="10">
        <f>CHOOSE(CONTROL!$C$42, 15.3222, 15.3222) * CHOOSE(CONTROL!$C$21, $C$9, 100%, $E$9)</f>
        <v>15.3222</v>
      </c>
      <c r="M563" s="10">
        <f>CHOOSE(CONTROL!$C$42, 14.5224, 14.5224) * CHOOSE(CONTROL!$C$21, $C$9, 100%, $E$9)</f>
        <v>14.522399999999999</v>
      </c>
      <c r="N563" s="10">
        <f>CHOOSE(CONTROL!$C$42, 14.5402, 14.5402) * CHOOSE(CONTROL!$C$21, $C$9, 100%, $E$9)</f>
        <v>14.5402</v>
      </c>
      <c r="O563" s="10">
        <f>CHOOSE(CONTROL!$C$42, 14.6004, 14.6004) * CHOOSE(CONTROL!$C$21, $C$9, 100%, $E$9)</f>
        <v>14.6004</v>
      </c>
      <c r="P563" s="10">
        <f>CHOOSE(CONTROL!$C$42, 14.51, 14.51) * CHOOSE(CONTROL!$C$21, $C$9, 100%, $E$9)</f>
        <v>14.51</v>
      </c>
      <c r="Q563" s="10">
        <f>CHOOSE(CONTROL!$C$42, 15.1957, 15.1957) * CHOOSE(CONTROL!$C$21, $C$9, 100%, $E$9)</f>
        <v>15.1957</v>
      </c>
      <c r="R563" s="10">
        <f>CHOOSE(CONTROL!$C$42, 15.8207, 15.8207) * CHOOSE(CONTROL!$C$21, $C$9, 100%, $E$9)</f>
        <v>15.8207</v>
      </c>
      <c r="S563" s="10">
        <f>CHOOSE(CONTROL!$C$42, 14.2514, 14.2514) * CHOOSE(CONTROL!$C$21, $C$9, 100%, $E$9)</f>
        <v>14.2514</v>
      </c>
      <c r="T563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63" s="58">
        <f>(1000*CHOOSE(CONTROL!$C$42, 695, 695)*CHOOSE(CONTROL!$C$42, 0.5599, 0.5599)*CHOOSE(CONTROL!$C$42, 30, 30))/1000000</f>
        <v>11.673914999999997</v>
      </c>
      <c r="V563" s="58">
        <f>(1000*CHOOSE(CONTROL!$C$42, 500, 500)*CHOOSE(CONTROL!$C$42, 0.275, 0.275)*CHOOSE(CONTROL!$C$42, 30, 30))/1000000</f>
        <v>4.125</v>
      </c>
      <c r="W563" s="58">
        <f>(1000*CHOOSE(CONTROL!$C$42, 0.1146, 0.1146)*CHOOSE(CONTROL!$C$42, 121.5, 121.5)*CHOOSE(CONTROL!$C$42, 30, 30))/1000000</f>
        <v>0.417717</v>
      </c>
      <c r="X563" s="58">
        <f>(30*0.1790888*100000/1000000)+(30*0.2374*100000/1000000)</f>
        <v>1.2494664</v>
      </c>
      <c r="Y563" s="58"/>
      <c r="Z563" s="10"/>
      <c r="AA563" s="57"/>
      <c r="AB563" s="51">
        <f>(B563*122.58+C563*297.941+D563*89.177+E563*40.302+F563*40+G563*160+H563*0+I563*100+J563*300)/(122.58+297.941+89.177+40.302+0+40+160+100+300)</f>
        <v>14.675637265913045</v>
      </c>
      <c r="AC563" s="27">
        <f>(M563*'RAP TEMPLATE-GAS AVAILABILITY'!O562+N563*'RAP TEMPLATE-GAS AVAILABILITY'!P562+O563*'RAP TEMPLATE-GAS AVAILABILITY'!Q562+P563*'RAP TEMPLATE-GAS AVAILABILITY'!R562)/('RAP TEMPLATE-GAS AVAILABILITY'!O562+'RAP TEMPLATE-GAS AVAILABILITY'!P562+'RAP TEMPLATE-GAS AVAILABILITY'!Q562+'RAP TEMPLATE-GAS AVAILABILITY'!R562)</f>
        <v>14.556992805755396</v>
      </c>
    </row>
    <row r="564" spans="1:29" ht="15.75" x14ac:dyDescent="0.25">
      <c r="A564" s="13">
        <v>58440</v>
      </c>
      <c r="B564" s="10">
        <f>CHOOSE(CONTROL!$C$42, 15.6782, 15.6782) * CHOOSE(CONTROL!$C$21, $C$9, 100%, $E$9)</f>
        <v>15.6782</v>
      </c>
      <c r="C564" s="10">
        <f>CHOOSE(CONTROL!$C$42, 15.6832, 15.6832) * CHOOSE(CONTROL!$C$21, $C$9, 100%, $E$9)</f>
        <v>15.683199999999999</v>
      </c>
      <c r="D564" s="10">
        <f>CHOOSE(CONTROL!$C$42, 15.7128, 15.7128) * CHOOSE(CONTROL!$C$21, $C$9, 100%, $E$9)</f>
        <v>15.7128</v>
      </c>
      <c r="E564" s="10">
        <f>CHOOSE(CONTROL!$C$42, 15.7466, 15.7466) * CHOOSE(CONTROL!$C$21, $C$9, 100%, $E$9)</f>
        <v>15.746600000000001</v>
      </c>
      <c r="F564" s="10">
        <f>CHOOSE(CONTROL!$C$42, 15.6655, 15.6655)*CHOOSE(CONTROL!$C$21, $C$9, 100%, $E$9)</f>
        <v>15.6655</v>
      </c>
      <c r="G564" s="10">
        <f>CHOOSE(CONTROL!$C$42, 15.684, 15.684)*CHOOSE(CONTROL!$C$21, $C$9, 100%, $E$9)</f>
        <v>15.683999999999999</v>
      </c>
      <c r="H564" s="10">
        <f>CHOOSE(CONTROL!$C$42, 15.7358, 15.7358) * CHOOSE(CONTROL!$C$21, $C$9, 100%, $E$9)</f>
        <v>15.735799999999999</v>
      </c>
      <c r="I564" s="10">
        <f>CHOOSE(CONTROL!$C$42, 15.6444, 15.6444)* CHOOSE(CONTROL!$C$21, $C$9, 100%, $E$9)</f>
        <v>15.644399999999999</v>
      </c>
      <c r="J564" s="10">
        <f>CHOOSE(CONTROL!$C$42, 15.6585, 15.6585)* CHOOSE(CONTROL!$C$21, $C$9, 100%, $E$9)</f>
        <v>15.6585</v>
      </c>
      <c r="K564" s="54">
        <f>CHOOSE(CONTROL!$C$42, 15.6405, 15.6405) * CHOOSE(CONTROL!$C$21, $C$9, 100%, $E$9)</f>
        <v>15.640499999999999</v>
      </c>
      <c r="L564" s="10">
        <f>CHOOSE(CONTROL!$C$42, 16.3228, 16.3228) * CHOOSE(CONTROL!$C$21, $C$9, 100%, $E$9)</f>
        <v>16.322800000000001</v>
      </c>
      <c r="M564" s="10">
        <f>CHOOSE(CONTROL!$C$42, 15.5143, 15.5143) * CHOOSE(CONTROL!$C$21, $C$9, 100%, $E$9)</f>
        <v>15.5143</v>
      </c>
      <c r="N564" s="10">
        <f>CHOOSE(CONTROL!$C$42, 15.5326, 15.5326) * CHOOSE(CONTROL!$C$21, $C$9, 100%, $E$9)</f>
        <v>15.5326</v>
      </c>
      <c r="O564" s="10">
        <f>CHOOSE(CONTROL!$C$42, 15.5908, 15.5908) * CHOOSE(CONTROL!$C$21, $C$9, 100%, $E$9)</f>
        <v>15.5908</v>
      </c>
      <c r="P564" s="10">
        <f>CHOOSE(CONTROL!$C$42, 15.5004, 15.5004) * CHOOSE(CONTROL!$C$21, $C$9, 100%, $E$9)</f>
        <v>15.500400000000001</v>
      </c>
      <c r="Q564" s="10">
        <f>CHOOSE(CONTROL!$C$42, 16.1861, 16.1861) * CHOOSE(CONTROL!$C$21, $C$9, 100%, $E$9)</f>
        <v>16.1861</v>
      </c>
      <c r="R564" s="10">
        <f>CHOOSE(CONTROL!$C$42, 16.8135, 16.8135) * CHOOSE(CONTROL!$C$21, $C$9, 100%, $E$9)</f>
        <v>16.813500000000001</v>
      </c>
      <c r="S564" s="10">
        <f>CHOOSE(CONTROL!$C$42, 15.223, 15.223) * CHOOSE(CONTROL!$C$21, $C$9, 100%, $E$9)</f>
        <v>15.223000000000001</v>
      </c>
      <c r="T564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564" s="58">
        <f>(1000*CHOOSE(CONTROL!$C$42, 695, 695)*CHOOSE(CONTROL!$C$42, 0.5599, 0.5599)*CHOOSE(CONTROL!$C$42, 31, 31))/1000000</f>
        <v>12.063045499999998</v>
      </c>
      <c r="V564" s="58">
        <f>(1000*CHOOSE(CONTROL!$C$42, 500, 500)*CHOOSE(CONTROL!$C$42, 0.275, 0.275)*CHOOSE(CONTROL!$C$42, 31, 31))/1000000</f>
        <v>4.2625000000000002</v>
      </c>
      <c r="W564" s="58">
        <f>(1000*CHOOSE(CONTROL!$C$42, 0.1146, 0.1146)*CHOOSE(CONTROL!$C$42, 121.5, 121.5)*CHOOSE(CONTROL!$C$42, 31, 31))/1000000</f>
        <v>0.43164089999999994</v>
      </c>
      <c r="X564" s="58">
        <f>(31*0.1790888*100000/1000000)+(31*0.2374*100000/1000000)</f>
        <v>1.2911152800000001</v>
      </c>
      <c r="Y564" s="58"/>
      <c r="Z564" s="10"/>
      <c r="AA564" s="57"/>
      <c r="AB564" s="51">
        <f>(B564*122.58+C564*297.941+D564*89.177+E564*40.302+F564*40+G564*160+H564*0+I564*100+J564*300)/(122.58+297.941+89.177+40.302+0+40+160+100+300)</f>
        <v>15.676862509565218</v>
      </c>
      <c r="AC564" s="27">
        <f>(M564*'RAP TEMPLATE-GAS AVAILABILITY'!O563+N564*'RAP TEMPLATE-GAS AVAILABILITY'!P563+O564*'RAP TEMPLATE-GAS AVAILABILITY'!Q563+P564*'RAP TEMPLATE-GAS AVAILABILITY'!R563)/('RAP TEMPLATE-GAS AVAILABILITY'!O563+'RAP TEMPLATE-GAS AVAILABILITY'!P563+'RAP TEMPLATE-GAS AVAILABILITY'!Q563+'RAP TEMPLATE-GAS AVAILABILITY'!R563)</f>
        <v>15.548025899280576</v>
      </c>
    </row>
    <row r="565" spans="1:29" ht="15.75" x14ac:dyDescent="0.25">
      <c r="A565" s="13">
        <v>58471</v>
      </c>
      <c r="B565" s="10">
        <f>CHOOSE(CONTROL!$C$42, 16.7362, 16.7362) * CHOOSE(CONTROL!$C$21, $C$9, 100%, $E$9)</f>
        <v>16.7362</v>
      </c>
      <c r="C565" s="10">
        <f>CHOOSE(CONTROL!$C$42, 16.7412, 16.7412) * CHOOSE(CONTROL!$C$21, $C$9, 100%, $E$9)</f>
        <v>16.741199999999999</v>
      </c>
      <c r="D565" s="10">
        <f>CHOOSE(CONTROL!$C$42, 16.7914, 16.7914) * CHOOSE(CONTROL!$C$21, $C$9, 100%, $E$9)</f>
        <v>16.791399999999999</v>
      </c>
      <c r="E565" s="10">
        <f>CHOOSE(CONTROL!$C$42, 16.8251, 16.8251) * CHOOSE(CONTROL!$C$21, $C$9, 100%, $E$9)</f>
        <v>16.825099999999999</v>
      </c>
      <c r="F565" s="10">
        <f>CHOOSE(CONTROL!$C$42, 16.7016, 16.7016)*CHOOSE(CONTROL!$C$21, $C$9, 100%, $E$9)</f>
        <v>16.701599999999999</v>
      </c>
      <c r="G565" s="10">
        <f>CHOOSE(CONTROL!$C$42, 16.7191, 16.7191)*CHOOSE(CONTROL!$C$21, $C$9, 100%, $E$9)</f>
        <v>16.719100000000001</v>
      </c>
      <c r="H565" s="10">
        <f>CHOOSE(CONTROL!$C$42, 16.8143, 16.8143) * CHOOSE(CONTROL!$C$21, $C$9, 100%, $E$9)</f>
        <v>16.814299999999999</v>
      </c>
      <c r="I565" s="10">
        <f>CHOOSE(CONTROL!$C$42, 16.7101, 16.7101)* CHOOSE(CONTROL!$C$21, $C$9, 100%, $E$9)</f>
        <v>16.710100000000001</v>
      </c>
      <c r="J565" s="10">
        <f>CHOOSE(CONTROL!$C$42, 16.6946, 16.6946)* CHOOSE(CONTROL!$C$21, $C$9, 100%, $E$9)</f>
        <v>16.694600000000001</v>
      </c>
      <c r="K565" s="54">
        <f>CHOOSE(CONTROL!$C$42, 16.7062, 16.7062) * CHOOSE(CONTROL!$C$21, $C$9, 100%, $E$9)</f>
        <v>16.706199999999999</v>
      </c>
      <c r="L565" s="10">
        <f>CHOOSE(CONTROL!$C$42, 17.4013, 17.4013) * CHOOSE(CONTROL!$C$21, $C$9, 100%, $E$9)</f>
        <v>17.401299999999999</v>
      </c>
      <c r="M565" s="10">
        <f>CHOOSE(CONTROL!$C$42, 16.5399, 16.5399) * CHOOSE(CONTROL!$C$21, $C$9, 100%, $E$9)</f>
        <v>16.539899999999999</v>
      </c>
      <c r="N565" s="10">
        <f>CHOOSE(CONTROL!$C$42, 16.5573, 16.5573) * CHOOSE(CONTROL!$C$21, $C$9, 100%, $E$9)</f>
        <v>16.557300000000001</v>
      </c>
      <c r="O565" s="10">
        <f>CHOOSE(CONTROL!$C$42, 16.6585, 16.6585) * CHOOSE(CONTROL!$C$21, $C$9, 100%, $E$9)</f>
        <v>16.6585</v>
      </c>
      <c r="P565" s="10">
        <f>CHOOSE(CONTROL!$C$42, 16.5553, 16.5553) * CHOOSE(CONTROL!$C$21, $C$9, 100%, $E$9)</f>
        <v>16.555299999999999</v>
      </c>
      <c r="Q565" s="10">
        <f>CHOOSE(CONTROL!$C$42, 17.2538, 17.2538) * CHOOSE(CONTROL!$C$21, $C$9, 100%, $E$9)</f>
        <v>17.253799999999998</v>
      </c>
      <c r="R565" s="10">
        <f>CHOOSE(CONTROL!$C$42, 17.8839, 17.8839) * CHOOSE(CONTROL!$C$21, $C$9, 100%, $E$9)</f>
        <v>17.883900000000001</v>
      </c>
      <c r="S565" s="10">
        <f>CHOOSE(CONTROL!$C$42, 16.2504, 16.2504) * CHOOSE(CONTROL!$C$21, $C$9, 100%, $E$9)</f>
        <v>16.250399999999999</v>
      </c>
      <c r="T565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565" s="58">
        <f>(1000*CHOOSE(CONTROL!$C$42, 695, 695)*CHOOSE(CONTROL!$C$42, 0.5599, 0.5599)*CHOOSE(CONTROL!$C$42, 31, 31))/1000000</f>
        <v>12.063045499999998</v>
      </c>
      <c r="V565" s="58">
        <f>(1000*CHOOSE(CONTROL!$C$42, 500, 500)*CHOOSE(CONTROL!$C$42, 0.275, 0.275)*CHOOSE(CONTROL!$C$42, 31, 31))/1000000</f>
        <v>4.2625000000000002</v>
      </c>
      <c r="W565" s="58">
        <f>(1000*CHOOSE(CONTROL!$C$42, 0.1146, 0.1146)*CHOOSE(CONTROL!$C$42, 121.5, 121.5)*CHOOSE(CONTROL!$C$42, 31, 31))/1000000</f>
        <v>0.43164089999999994</v>
      </c>
      <c r="X565" s="58">
        <f>(31*0.1790888*100000/1000000)+(31*0.2374*100000/1000000)</f>
        <v>1.2911152800000001</v>
      </c>
      <c r="Y565" s="58"/>
      <c r="Z565" s="10"/>
      <c r="AA565" s="57"/>
      <c r="AB565" s="51">
        <f>(B565*122.58+C565*297.941+D565*89.177+E565*40.302+F565*40+G565*160+H565*0+I565*100+J565*300)/(122.58+297.941+89.177+40.302+0+40+160+100+300)</f>
        <v>16.728187063652175</v>
      </c>
      <c r="AC565" s="27">
        <f>(M565*'RAP TEMPLATE-GAS AVAILABILITY'!O564+N565*'RAP TEMPLATE-GAS AVAILABILITY'!P564+O565*'RAP TEMPLATE-GAS AVAILABILITY'!Q564+P565*'RAP TEMPLATE-GAS AVAILABILITY'!R564)/('RAP TEMPLATE-GAS AVAILABILITY'!O564+'RAP TEMPLATE-GAS AVAILABILITY'!P564+'RAP TEMPLATE-GAS AVAILABILITY'!Q564+'RAP TEMPLATE-GAS AVAILABILITY'!R564)</f>
        <v>16.596871223021584</v>
      </c>
    </row>
    <row r="566" spans="1:29" ht="15.75" x14ac:dyDescent="0.25">
      <c r="A566" s="13">
        <v>58499</v>
      </c>
      <c r="B566" s="10">
        <f>CHOOSE(CONTROL!$C$42, 17.0341, 17.0341) * CHOOSE(CONTROL!$C$21, $C$9, 100%, $E$9)</f>
        <v>17.034099999999999</v>
      </c>
      <c r="C566" s="10">
        <f>CHOOSE(CONTROL!$C$42, 17.039, 17.039) * CHOOSE(CONTROL!$C$21, $C$9, 100%, $E$9)</f>
        <v>17.039000000000001</v>
      </c>
      <c r="D566" s="10">
        <f>CHOOSE(CONTROL!$C$42, 17.1562, 17.1562) * CHOOSE(CONTROL!$C$21, $C$9, 100%, $E$9)</f>
        <v>17.156199999999998</v>
      </c>
      <c r="E566" s="10">
        <f>CHOOSE(CONTROL!$C$42, 17.19, 17.19) * CHOOSE(CONTROL!$C$21, $C$9, 100%, $E$9)</f>
        <v>17.190000000000001</v>
      </c>
      <c r="F566" s="10">
        <f>CHOOSE(CONTROL!$C$42, 17.1117, 17.1117)*CHOOSE(CONTROL!$C$21, $C$9, 100%, $E$9)</f>
        <v>17.111699999999999</v>
      </c>
      <c r="G566" s="10">
        <f>CHOOSE(CONTROL!$C$42, 17.1336, 17.1336)*CHOOSE(CONTROL!$C$21, $C$9, 100%, $E$9)</f>
        <v>17.133600000000001</v>
      </c>
      <c r="H566" s="10">
        <f>CHOOSE(CONTROL!$C$42, 17.1791, 17.1791) * CHOOSE(CONTROL!$C$21, $C$9, 100%, $E$9)</f>
        <v>17.179099999999998</v>
      </c>
      <c r="I566" s="10">
        <f>CHOOSE(CONTROL!$C$42, 17.0698, 17.0698)* CHOOSE(CONTROL!$C$21, $C$9, 100%, $E$9)</f>
        <v>17.069800000000001</v>
      </c>
      <c r="J566" s="10">
        <f>CHOOSE(CONTROL!$C$42, 17.1047, 17.1047)* CHOOSE(CONTROL!$C$21, $C$9, 100%, $E$9)</f>
        <v>17.104700000000001</v>
      </c>
      <c r="K566" s="54">
        <f>CHOOSE(CONTROL!$C$42, 17.0659, 17.0659) * CHOOSE(CONTROL!$C$21, $C$9, 100%, $E$9)</f>
        <v>17.065899999999999</v>
      </c>
      <c r="L566" s="10">
        <f>CHOOSE(CONTROL!$C$42, 17.7661, 17.7661) * CHOOSE(CONTROL!$C$21, $C$9, 100%, $E$9)</f>
        <v>17.766100000000002</v>
      </c>
      <c r="M566" s="10">
        <f>CHOOSE(CONTROL!$C$42, 16.9459, 16.9459) * CHOOSE(CONTROL!$C$21, $C$9, 100%, $E$9)</f>
        <v>16.945900000000002</v>
      </c>
      <c r="N566" s="10">
        <f>CHOOSE(CONTROL!$C$42, 16.9676, 16.9676) * CHOOSE(CONTROL!$C$21, $C$9, 100%, $E$9)</f>
        <v>16.967600000000001</v>
      </c>
      <c r="O566" s="10">
        <f>CHOOSE(CONTROL!$C$42, 17.0196, 17.0196) * CHOOSE(CONTROL!$C$21, $C$9, 100%, $E$9)</f>
        <v>17.019600000000001</v>
      </c>
      <c r="P566" s="10">
        <f>CHOOSE(CONTROL!$C$42, 16.9114, 16.9114) * CHOOSE(CONTROL!$C$21, $C$9, 100%, $E$9)</f>
        <v>16.9114</v>
      </c>
      <c r="Q566" s="10">
        <f>CHOOSE(CONTROL!$C$42, 17.6149, 17.6149) * CHOOSE(CONTROL!$C$21, $C$9, 100%, $E$9)</f>
        <v>17.614899999999999</v>
      </c>
      <c r="R566" s="10">
        <f>CHOOSE(CONTROL!$C$42, 18.2459, 18.2459) * CHOOSE(CONTROL!$C$21, $C$9, 100%, $E$9)</f>
        <v>18.245899999999999</v>
      </c>
      <c r="S566" s="10">
        <f>CHOOSE(CONTROL!$C$42, 16.5397, 16.5397) * CHOOSE(CONTROL!$C$21, $C$9, 100%, $E$9)</f>
        <v>16.5397</v>
      </c>
      <c r="T566" s="5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566" s="58">
        <f>(1000*CHOOSE(CONTROL!$C$42, 695, 695)*CHOOSE(CONTROL!$C$42, 0.5599, 0.5599)*CHOOSE(CONTROL!$C$42, 29, 29))/1000000</f>
        <v>11.284784499999999</v>
      </c>
      <c r="V566" s="58">
        <f>(1000*CHOOSE(CONTROL!$C$42, 500, 500)*CHOOSE(CONTROL!$C$42, 0.275, 0.275)*CHOOSE(CONTROL!$C$42, 29, 29))/1000000</f>
        <v>3.9874999999999998</v>
      </c>
      <c r="W566" s="58">
        <f>(1000*CHOOSE(CONTROL!$C$42, 0.1146, 0.1146)*CHOOSE(CONTROL!$C$42, 121.5, 121.5)*CHOOSE(CONTROL!$C$42, 29, 29))/1000000</f>
        <v>0.40379309999999996</v>
      </c>
      <c r="X566" s="58">
        <f>(29*0.1790888*100000/1000000)+(29*0.2374*100000/1000000)</f>
        <v>1.2078175199999999</v>
      </c>
      <c r="Y566" s="58"/>
      <c r="Z566" s="10"/>
      <c r="AA566" s="57"/>
      <c r="AB566" s="51">
        <f>(B566*122.58+C566*297.941+D566*89.177+E566*40.302+F566*40+G566*160+H566*0+I566*100+J566*300)/(122.58+297.941+89.177+40.302+0+40+160+100+300)</f>
        <v>17.088365656000001</v>
      </c>
      <c r="AC566" s="27">
        <f>(M566*'RAP TEMPLATE-GAS AVAILABILITY'!O565+N566*'RAP TEMPLATE-GAS AVAILABILITY'!P565+O566*'RAP TEMPLATE-GAS AVAILABILITY'!Q565+P566*'RAP TEMPLATE-GAS AVAILABILITY'!R565)/('RAP TEMPLATE-GAS AVAILABILITY'!O565+'RAP TEMPLATE-GAS AVAILABILITY'!P565+'RAP TEMPLATE-GAS AVAILABILITY'!Q565+'RAP TEMPLATE-GAS AVAILABILITY'!R565)</f>
        <v>16.975588489208633</v>
      </c>
    </row>
    <row r="567" spans="1:29" ht="15.75" x14ac:dyDescent="0.25">
      <c r="A567" s="13">
        <v>58531</v>
      </c>
      <c r="B567" s="10">
        <f>CHOOSE(CONTROL!$C$42, 16.5506, 16.5506) * CHOOSE(CONTROL!$C$21, $C$9, 100%, $E$9)</f>
        <v>16.550599999999999</v>
      </c>
      <c r="C567" s="10">
        <f>CHOOSE(CONTROL!$C$42, 16.5555, 16.5555) * CHOOSE(CONTROL!$C$21, $C$9, 100%, $E$9)</f>
        <v>16.555499999999999</v>
      </c>
      <c r="D567" s="10">
        <f>CHOOSE(CONTROL!$C$42, 16.6469, 16.6469) * CHOOSE(CONTROL!$C$21, $C$9, 100%, $E$9)</f>
        <v>16.646899999999999</v>
      </c>
      <c r="E567" s="10">
        <f>CHOOSE(CONTROL!$C$42, 16.6807, 16.6807) * CHOOSE(CONTROL!$C$21, $C$9, 100%, $E$9)</f>
        <v>16.680700000000002</v>
      </c>
      <c r="F567" s="10">
        <f>CHOOSE(CONTROL!$C$42, 16.5804, 16.5804)*CHOOSE(CONTROL!$C$21, $C$9, 100%, $E$9)</f>
        <v>16.580400000000001</v>
      </c>
      <c r="G567" s="10">
        <f>CHOOSE(CONTROL!$C$42, 16.5999, 16.5999)*CHOOSE(CONTROL!$C$21, $C$9, 100%, $E$9)</f>
        <v>16.599900000000002</v>
      </c>
      <c r="H567" s="10">
        <f>CHOOSE(CONTROL!$C$42, 16.6699, 16.6699) * CHOOSE(CONTROL!$C$21, $C$9, 100%, $E$9)</f>
        <v>16.669899999999998</v>
      </c>
      <c r="I567" s="10">
        <f>CHOOSE(CONTROL!$C$42, 16.5734, 16.5734)* CHOOSE(CONTROL!$C$21, $C$9, 100%, $E$9)</f>
        <v>16.573399999999999</v>
      </c>
      <c r="J567" s="10">
        <f>CHOOSE(CONTROL!$C$42, 16.5734, 16.5734)* CHOOSE(CONTROL!$C$21, $C$9, 100%, $E$9)</f>
        <v>16.573399999999999</v>
      </c>
      <c r="K567" s="54">
        <f>CHOOSE(CONTROL!$C$42, 16.5695, 16.5695) * CHOOSE(CONTROL!$C$21, $C$9, 100%, $E$9)</f>
        <v>16.569500000000001</v>
      </c>
      <c r="L567" s="10">
        <f>CHOOSE(CONTROL!$C$42, 17.2569, 17.2569) * CHOOSE(CONTROL!$C$21, $C$9, 100%, $E$9)</f>
        <v>17.256900000000002</v>
      </c>
      <c r="M567" s="10">
        <f>CHOOSE(CONTROL!$C$42, 16.42, 16.42) * CHOOSE(CONTROL!$C$21, $C$9, 100%, $E$9)</f>
        <v>16.420000000000002</v>
      </c>
      <c r="N567" s="10">
        <f>CHOOSE(CONTROL!$C$42, 16.4393, 16.4393) * CHOOSE(CONTROL!$C$21, $C$9, 100%, $E$9)</f>
        <v>16.439299999999999</v>
      </c>
      <c r="O567" s="10">
        <f>CHOOSE(CONTROL!$C$42, 16.5155, 16.5155) * CHOOSE(CONTROL!$C$21, $C$9, 100%, $E$9)</f>
        <v>16.515499999999999</v>
      </c>
      <c r="P567" s="10">
        <f>CHOOSE(CONTROL!$C$42, 16.42, 16.42) * CHOOSE(CONTROL!$C$21, $C$9, 100%, $E$9)</f>
        <v>16.420000000000002</v>
      </c>
      <c r="Q567" s="10">
        <f>CHOOSE(CONTROL!$C$42, 17.1108, 17.1108) * CHOOSE(CONTROL!$C$21, $C$9, 100%, $E$9)</f>
        <v>17.110800000000001</v>
      </c>
      <c r="R567" s="10">
        <f>CHOOSE(CONTROL!$C$42, 17.7406, 17.7406) * CHOOSE(CONTROL!$C$21, $C$9, 100%, $E$9)</f>
        <v>17.740600000000001</v>
      </c>
      <c r="S567" s="10">
        <f>CHOOSE(CONTROL!$C$42, 16.0701, 16.0701) * CHOOSE(CONTROL!$C$21, $C$9, 100%, $E$9)</f>
        <v>16.0701</v>
      </c>
      <c r="T567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67" s="58">
        <f>(1000*CHOOSE(CONTROL!$C$42, 695, 695)*CHOOSE(CONTROL!$C$42, 0.5599, 0.5599)*CHOOSE(CONTROL!$C$42, 31, 31))/1000000</f>
        <v>12.063045499999998</v>
      </c>
      <c r="V567" s="58">
        <f>(1000*CHOOSE(CONTROL!$C$42, 500, 500)*CHOOSE(CONTROL!$C$42, 0.275, 0.275)*CHOOSE(CONTROL!$C$42, 31, 31))/1000000</f>
        <v>4.2625000000000002</v>
      </c>
      <c r="W567" s="58">
        <f>(1000*CHOOSE(CONTROL!$C$42, 0.1146, 0.1146)*CHOOSE(CONTROL!$C$42, 121.5, 121.5)*CHOOSE(CONTROL!$C$42, 31, 31))/1000000</f>
        <v>0.43164089999999994</v>
      </c>
      <c r="X567" s="58">
        <f>(31*0.1790888*100000/1000000)+(31*0.2374*100000/1000000)</f>
        <v>1.2911152800000001</v>
      </c>
      <c r="Y567" s="58"/>
      <c r="Z567" s="10"/>
      <c r="AA567" s="57"/>
      <c r="AB567" s="51">
        <f>(B567*122.58+C567*297.941+D567*89.177+E567*40.302+F567*40+G567*160+H567*0+I567*100+J567*300)/(122.58+297.941+89.177+40.302+0+40+160+100+300)</f>
        <v>16.579722561913041</v>
      </c>
      <c r="AC567" s="27">
        <f>(M567*'RAP TEMPLATE-GAS AVAILABILITY'!O566+N567*'RAP TEMPLATE-GAS AVAILABILITY'!P566+O567*'RAP TEMPLATE-GAS AVAILABILITY'!Q566+P567*'RAP TEMPLATE-GAS AVAILABILITY'!R566)/('RAP TEMPLATE-GAS AVAILABILITY'!O566+'RAP TEMPLATE-GAS AVAILABILITY'!P566+'RAP TEMPLATE-GAS AVAILABILITY'!Q566+'RAP TEMPLATE-GAS AVAILABILITY'!R566)</f>
        <v>16.464394964028777</v>
      </c>
    </row>
    <row r="568" spans="1:29" ht="15.75" x14ac:dyDescent="0.25">
      <c r="A568" s="13">
        <v>58561</v>
      </c>
      <c r="B568" s="10">
        <f>CHOOSE(CONTROL!$C$42, 16.5018, 16.5018) * CHOOSE(CONTROL!$C$21, $C$9, 100%, $E$9)</f>
        <v>16.501799999999999</v>
      </c>
      <c r="C568" s="10">
        <f>CHOOSE(CONTROL!$C$42, 16.5062, 16.5062) * CHOOSE(CONTROL!$C$21, $C$9, 100%, $E$9)</f>
        <v>16.5062</v>
      </c>
      <c r="D568" s="10">
        <f>CHOOSE(CONTROL!$C$42, 16.6878, 16.6878) * CHOOSE(CONTROL!$C$21, $C$9, 100%, $E$9)</f>
        <v>16.687799999999999</v>
      </c>
      <c r="E568" s="10">
        <f>CHOOSE(CONTROL!$C$42, 16.7196, 16.7196) * CHOOSE(CONTROL!$C$21, $C$9, 100%, $E$9)</f>
        <v>16.7196</v>
      </c>
      <c r="F568" s="10">
        <f>CHOOSE(CONTROL!$C$42, 16.4901, 16.4901)*CHOOSE(CONTROL!$C$21, $C$9, 100%, $E$9)</f>
        <v>16.490100000000002</v>
      </c>
      <c r="G568" s="10">
        <f>CHOOSE(CONTROL!$C$42, 16.5081, 16.5081)*CHOOSE(CONTROL!$C$21, $C$9, 100%, $E$9)</f>
        <v>16.508099999999999</v>
      </c>
      <c r="H568" s="10">
        <f>CHOOSE(CONTROL!$C$42, 16.7094, 16.7094) * CHOOSE(CONTROL!$C$21, $C$9, 100%, $E$9)</f>
        <v>16.709399999999999</v>
      </c>
      <c r="I568" s="10">
        <f>CHOOSE(CONTROL!$C$42, 16.4801, 16.4801)* CHOOSE(CONTROL!$C$21, $C$9, 100%, $E$9)</f>
        <v>16.4801</v>
      </c>
      <c r="J568" s="10">
        <f>CHOOSE(CONTROL!$C$42, 16.4831, 16.4831)* CHOOSE(CONTROL!$C$21, $C$9, 100%, $E$9)</f>
        <v>16.4831</v>
      </c>
      <c r="K568" s="54">
        <f>CHOOSE(CONTROL!$C$42, 16.4762, 16.4762) * CHOOSE(CONTROL!$C$21, $C$9, 100%, $E$9)</f>
        <v>16.476199999999999</v>
      </c>
      <c r="L568" s="10">
        <f>CHOOSE(CONTROL!$C$42, 17.2964, 17.2964) * CHOOSE(CONTROL!$C$21, $C$9, 100%, $E$9)</f>
        <v>17.296399999999998</v>
      </c>
      <c r="M568" s="10">
        <f>CHOOSE(CONTROL!$C$42, 16.3306, 16.3306) * CHOOSE(CONTROL!$C$21, $C$9, 100%, $E$9)</f>
        <v>16.3306</v>
      </c>
      <c r="N568" s="10">
        <f>CHOOSE(CONTROL!$C$42, 16.3484, 16.3484) * CHOOSE(CONTROL!$C$21, $C$9, 100%, $E$9)</f>
        <v>16.348400000000002</v>
      </c>
      <c r="O568" s="10">
        <f>CHOOSE(CONTROL!$C$42, 16.5546, 16.5546) * CHOOSE(CONTROL!$C$21, $C$9, 100%, $E$9)</f>
        <v>16.554600000000001</v>
      </c>
      <c r="P568" s="10">
        <f>CHOOSE(CONTROL!$C$42, 16.3276, 16.3276) * CHOOSE(CONTROL!$C$21, $C$9, 100%, $E$9)</f>
        <v>16.3276</v>
      </c>
      <c r="Q568" s="10">
        <f>CHOOSE(CONTROL!$C$42, 17.1499, 17.1499) * CHOOSE(CONTROL!$C$21, $C$9, 100%, $E$9)</f>
        <v>17.149899999999999</v>
      </c>
      <c r="R568" s="10">
        <f>CHOOSE(CONTROL!$C$42, 17.7798, 17.7798) * CHOOSE(CONTROL!$C$21, $C$9, 100%, $E$9)</f>
        <v>17.779800000000002</v>
      </c>
      <c r="S568" s="10">
        <f>CHOOSE(CONTROL!$C$42, 16.022, 16.022) * CHOOSE(CONTROL!$C$21, $C$9, 100%, $E$9)</f>
        <v>16.021999999999998</v>
      </c>
      <c r="T568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68" s="58">
        <f>(1000*CHOOSE(CONTROL!$C$42, 695, 695)*CHOOSE(CONTROL!$C$42, 0.5599, 0.5599)*CHOOSE(CONTROL!$C$42, 30, 30))/1000000</f>
        <v>11.673914999999997</v>
      </c>
      <c r="V568" s="58">
        <f>(1000*CHOOSE(CONTROL!$C$42, 500, 500)*CHOOSE(CONTROL!$C$42, 0.275, 0.275)*CHOOSE(CONTROL!$C$42, 30, 30))/1000000</f>
        <v>4.125</v>
      </c>
      <c r="W568" s="58">
        <f>(1000*CHOOSE(CONTROL!$C$42, 0.1146, 0.1146)*CHOOSE(CONTROL!$C$42, 121.5, 121.5)*CHOOSE(CONTROL!$C$42, 30, 30))/1000000</f>
        <v>0.417717</v>
      </c>
      <c r="X568" s="58">
        <f>(30*0.1790888*245000/1000000)+(30*0.2374*100000/1000000)</f>
        <v>2.0285026799999999</v>
      </c>
      <c r="Y568" s="58"/>
      <c r="Z568" s="10"/>
      <c r="AA568" s="57"/>
      <c r="AB568" s="51">
        <f>(B568*141.293+C568*267.993+D568*115.016+E568*89.698+F568*40+G568*185+H568*0+I568*100+J568*300)/(141.293+267.993+115.016+89.698+0+40+185+100+300)</f>
        <v>16.530069466989509</v>
      </c>
      <c r="AC568" s="27">
        <f>(M568*'RAP TEMPLATE-GAS AVAILABILITY'!O567+N568*'RAP TEMPLATE-GAS AVAILABILITY'!P567+O568*'RAP TEMPLATE-GAS AVAILABILITY'!Q567+P568*'RAP TEMPLATE-GAS AVAILABILITY'!R567)/('RAP TEMPLATE-GAS AVAILABILITY'!O567+'RAP TEMPLATE-GAS AVAILABILITY'!P567+'RAP TEMPLATE-GAS AVAILABILITY'!Q567+'RAP TEMPLATE-GAS AVAILABILITY'!R567)</f>
        <v>16.39711510791367</v>
      </c>
    </row>
    <row r="569" spans="1:29" ht="15.75" x14ac:dyDescent="0.25">
      <c r="A569" s="13">
        <v>58592</v>
      </c>
      <c r="B569" s="10">
        <f>CHOOSE(CONTROL!$C$42, 16.6492, 16.6492) * CHOOSE(CONTROL!$C$21, $C$9, 100%, $E$9)</f>
        <v>16.6492</v>
      </c>
      <c r="C569" s="10">
        <f>CHOOSE(CONTROL!$C$42, 16.6571, 16.6571) * CHOOSE(CONTROL!$C$21, $C$9, 100%, $E$9)</f>
        <v>16.6571</v>
      </c>
      <c r="D569" s="10">
        <f>CHOOSE(CONTROL!$C$42, 16.8356, 16.8356) * CHOOSE(CONTROL!$C$21, $C$9, 100%, $E$9)</f>
        <v>16.835599999999999</v>
      </c>
      <c r="E569" s="10">
        <f>CHOOSE(CONTROL!$C$42, 16.8668, 16.8668) * CHOOSE(CONTROL!$C$21, $C$9, 100%, $E$9)</f>
        <v>16.866800000000001</v>
      </c>
      <c r="F569" s="10">
        <f>CHOOSE(CONTROL!$C$42, 16.6354, 16.6354)*CHOOSE(CONTROL!$C$21, $C$9, 100%, $E$9)</f>
        <v>16.635400000000001</v>
      </c>
      <c r="G569" s="10">
        <f>CHOOSE(CONTROL!$C$42, 16.6535, 16.6535)*CHOOSE(CONTROL!$C$21, $C$9, 100%, $E$9)</f>
        <v>16.653500000000001</v>
      </c>
      <c r="H569" s="10">
        <f>CHOOSE(CONTROL!$C$42, 16.8554, 16.8554) * CHOOSE(CONTROL!$C$21, $C$9, 100%, $E$9)</f>
        <v>16.855399999999999</v>
      </c>
      <c r="I569" s="10">
        <f>CHOOSE(CONTROL!$C$42, 16.6261, 16.6261)* CHOOSE(CONTROL!$C$21, $C$9, 100%, $E$9)</f>
        <v>16.626100000000001</v>
      </c>
      <c r="J569" s="10">
        <f>CHOOSE(CONTROL!$C$42, 16.6284, 16.6284)* CHOOSE(CONTROL!$C$21, $C$9, 100%, $E$9)</f>
        <v>16.628399999999999</v>
      </c>
      <c r="K569" s="54">
        <f>CHOOSE(CONTROL!$C$42, 16.6222, 16.6222) * CHOOSE(CONTROL!$C$21, $C$9, 100%, $E$9)</f>
        <v>16.622199999999999</v>
      </c>
      <c r="L569" s="10">
        <f>CHOOSE(CONTROL!$C$42, 17.4424, 17.4424) * CHOOSE(CONTROL!$C$21, $C$9, 100%, $E$9)</f>
        <v>17.442399999999999</v>
      </c>
      <c r="M569" s="10">
        <f>CHOOSE(CONTROL!$C$42, 16.4744, 16.4744) * CHOOSE(CONTROL!$C$21, $C$9, 100%, $E$9)</f>
        <v>16.474399999999999</v>
      </c>
      <c r="N569" s="10">
        <f>CHOOSE(CONTROL!$C$42, 16.4924, 16.4924) * CHOOSE(CONTROL!$C$21, $C$9, 100%, $E$9)</f>
        <v>16.4924</v>
      </c>
      <c r="O569" s="10">
        <f>CHOOSE(CONTROL!$C$42, 16.6991, 16.6991) * CHOOSE(CONTROL!$C$21, $C$9, 100%, $E$9)</f>
        <v>16.699100000000001</v>
      </c>
      <c r="P569" s="10">
        <f>CHOOSE(CONTROL!$C$42, 16.4721, 16.4721) * CHOOSE(CONTROL!$C$21, $C$9, 100%, $E$9)</f>
        <v>16.472100000000001</v>
      </c>
      <c r="Q569" s="10">
        <f>CHOOSE(CONTROL!$C$42, 17.2944, 17.2944) * CHOOSE(CONTROL!$C$21, $C$9, 100%, $E$9)</f>
        <v>17.2944</v>
      </c>
      <c r="R569" s="10">
        <f>CHOOSE(CONTROL!$C$42, 17.9247, 17.9247) * CHOOSE(CONTROL!$C$21, $C$9, 100%, $E$9)</f>
        <v>17.924700000000001</v>
      </c>
      <c r="S569" s="10">
        <f>CHOOSE(CONTROL!$C$42, 16.1638, 16.1638) * CHOOSE(CONTROL!$C$21, $C$9, 100%, $E$9)</f>
        <v>16.163799999999998</v>
      </c>
      <c r="T569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69" s="58">
        <f>(1000*CHOOSE(CONTROL!$C$42, 695, 695)*CHOOSE(CONTROL!$C$42, 0.5599, 0.5599)*CHOOSE(CONTROL!$C$42, 31, 31))/1000000</f>
        <v>12.063045499999998</v>
      </c>
      <c r="V569" s="58">
        <f>(1000*CHOOSE(CONTROL!$C$42, 500, 500)*CHOOSE(CONTROL!$C$42, 0.275, 0.275)*CHOOSE(CONTROL!$C$42, 31, 31))/1000000</f>
        <v>4.2625000000000002</v>
      </c>
      <c r="W569" s="58">
        <f>(1000*CHOOSE(CONTROL!$C$42, 0.1146, 0.1146)*CHOOSE(CONTROL!$C$42, 121.5, 121.5)*CHOOSE(CONTROL!$C$42, 31, 31))/1000000</f>
        <v>0.43164089999999994</v>
      </c>
      <c r="X569" s="58">
        <f>(31*0.1790888*245000/1000000)+(31*0.2374*100000/1000000)</f>
        <v>2.0961194359999999</v>
      </c>
      <c r="Y569" s="58"/>
      <c r="Z569" s="10"/>
      <c r="AA569" s="57"/>
      <c r="AB569" s="51">
        <f>(B569*194.205+C569*267.466+D569*133.845+E569*53.484+F569*40+G569*185+H569*0+I569*100+J569*300)/(194.205+267.466+133.845+53.484+0+40+185+100+300)</f>
        <v>16.673056599529044</v>
      </c>
      <c r="AC569" s="27">
        <f>(M569*'RAP TEMPLATE-GAS AVAILABILITY'!O568+N569*'RAP TEMPLATE-GAS AVAILABILITY'!P568+O569*'RAP TEMPLATE-GAS AVAILABILITY'!Q568+P569*'RAP TEMPLATE-GAS AVAILABILITY'!R568)/('RAP TEMPLATE-GAS AVAILABILITY'!O568+'RAP TEMPLATE-GAS AVAILABILITY'!P568+'RAP TEMPLATE-GAS AVAILABILITY'!Q568+'RAP TEMPLATE-GAS AVAILABILITY'!R568)</f>
        <v>16.541258273381295</v>
      </c>
    </row>
    <row r="570" spans="1:29" ht="15.75" x14ac:dyDescent="0.25">
      <c r="A570" s="13">
        <v>58622</v>
      </c>
      <c r="B570" s="10">
        <f>CHOOSE(CONTROL!$C$42, 17.1213, 17.1213) * CHOOSE(CONTROL!$C$21, $C$9, 100%, $E$9)</f>
        <v>17.121300000000002</v>
      </c>
      <c r="C570" s="10">
        <f>CHOOSE(CONTROL!$C$42, 17.1292, 17.1292) * CHOOSE(CONTROL!$C$21, $C$9, 100%, $E$9)</f>
        <v>17.129200000000001</v>
      </c>
      <c r="D570" s="10">
        <f>CHOOSE(CONTROL!$C$42, 17.3078, 17.3078) * CHOOSE(CONTROL!$C$21, $C$9, 100%, $E$9)</f>
        <v>17.3078</v>
      </c>
      <c r="E570" s="10">
        <f>CHOOSE(CONTROL!$C$42, 17.3389, 17.3389) * CHOOSE(CONTROL!$C$21, $C$9, 100%, $E$9)</f>
        <v>17.338899999999999</v>
      </c>
      <c r="F570" s="10">
        <f>CHOOSE(CONTROL!$C$42, 17.1077, 17.1077)*CHOOSE(CONTROL!$C$21, $C$9, 100%, $E$9)</f>
        <v>17.107700000000001</v>
      </c>
      <c r="G570" s="10">
        <f>CHOOSE(CONTROL!$C$42, 17.126, 17.126)*CHOOSE(CONTROL!$C$21, $C$9, 100%, $E$9)</f>
        <v>17.126000000000001</v>
      </c>
      <c r="H570" s="10">
        <f>CHOOSE(CONTROL!$C$42, 17.3275, 17.3275) * CHOOSE(CONTROL!$C$21, $C$9, 100%, $E$9)</f>
        <v>17.327500000000001</v>
      </c>
      <c r="I570" s="10">
        <f>CHOOSE(CONTROL!$C$42, 17.0982, 17.0982)* CHOOSE(CONTROL!$C$21, $C$9, 100%, $E$9)</f>
        <v>17.098199999999999</v>
      </c>
      <c r="J570" s="10">
        <f>CHOOSE(CONTROL!$C$42, 17.1007, 17.1007)* CHOOSE(CONTROL!$C$21, $C$9, 100%, $E$9)</f>
        <v>17.1007</v>
      </c>
      <c r="K570" s="54">
        <f>CHOOSE(CONTROL!$C$42, 17.0943, 17.0943) * CHOOSE(CONTROL!$C$21, $C$9, 100%, $E$9)</f>
        <v>17.0943</v>
      </c>
      <c r="L570" s="10">
        <f>CHOOSE(CONTROL!$C$42, 17.9145, 17.9145) * CHOOSE(CONTROL!$C$21, $C$9, 100%, $E$9)</f>
        <v>17.9145</v>
      </c>
      <c r="M570" s="10">
        <f>CHOOSE(CONTROL!$C$42, 16.942, 16.942) * CHOOSE(CONTROL!$C$21, $C$9, 100%, $E$9)</f>
        <v>16.942</v>
      </c>
      <c r="N570" s="10">
        <f>CHOOSE(CONTROL!$C$42, 16.9601, 16.9601) * CHOOSE(CONTROL!$C$21, $C$9, 100%, $E$9)</f>
        <v>16.960100000000001</v>
      </c>
      <c r="O570" s="10">
        <f>CHOOSE(CONTROL!$C$42, 17.1665, 17.1665) * CHOOSE(CONTROL!$C$21, $C$9, 100%, $E$9)</f>
        <v>17.166499999999999</v>
      </c>
      <c r="P570" s="10">
        <f>CHOOSE(CONTROL!$C$42, 16.9395, 16.9395) * CHOOSE(CONTROL!$C$21, $C$9, 100%, $E$9)</f>
        <v>16.939499999999999</v>
      </c>
      <c r="Q570" s="10">
        <f>CHOOSE(CONTROL!$C$42, 17.7618, 17.7618) * CHOOSE(CONTROL!$C$21, $C$9, 100%, $E$9)</f>
        <v>17.761800000000001</v>
      </c>
      <c r="R570" s="10">
        <f>CHOOSE(CONTROL!$C$42, 18.3932, 18.3932) * CHOOSE(CONTROL!$C$21, $C$9, 100%, $E$9)</f>
        <v>18.3932</v>
      </c>
      <c r="S570" s="10">
        <f>CHOOSE(CONTROL!$C$42, 16.6223, 16.6223) * CHOOSE(CONTROL!$C$21, $C$9, 100%, $E$9)</f>
        <v>16.622299999999999</v>
      </c>
      <c r="T570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70" s="58">
        <f>(1000*CHOOSE(CONTROL!$C$42, 695, 695)*CHOOSE(CONTROL!$C$42, 0.5599, 0.5599)*CHOOSE(CONTROL!$C$42, 30, 30))/1000000</f>
        <v>11.673914999999997</v>
      </c>
      <c r="V570" s="58">
        <f>(1000*CHOOSE(CONTROL!$C$42, 500, 500)*CHOOSE(CONTROL!$C$42, 0.275, 0.275)*CHOOSE(CONTROL!$C$42, 30, 30))/1000000</f>
        <v>4.125</v>
      </c>
      <c r="W570" s="58">
        <f>(1000*CHOOSE(CONTROL!$C$42, 0.1146, 0.1146)*CHOOSE(CONTROL!$C$42, 121.5, 121.5)*CHOOSE(CONTROL!$C$42, 30, 30))/1000000</f>
        <v>0.417717</v>
      </c>
      <c r="X570" s="58">
        <f>(30*0.1790888*245000/1000000)+(30*0.2374*100000/1000000)</f>
        <v>2.0285026799999999</v>
      </c>
      <c r="Y570" s="58"/>
      <c r="Z570" s="10"/>
      <c r="AA570" s="57"/>
      <c r="AB570" s="51">
        <f>(B570*194.205+C570*267.466+D570*133.845+E570*53.484+F570*40+G570*185+H570*0+I570*100+J570*300)/(194.205+267.466+133.845+53.484+0+40+185+100+300)</f>
        <v>17.145278565384615</v>
      </c>
      <c r="AC570" s="27">
        <f>(M570*'RAP TEMPLATE-GAS AVAILABILITY'!O569+N570*'RAP TEMPLATE-GAS AVAILABILITY'!P569+O570*'RAP TEMPLATE-GAS AVAILABILITY'!Q569+P570*'RAP TEMPLATE-GAS AVAILABILITY'!R569)/('RAP TEMPLATE-GAS AVAILABILITY'!O569+'RAP TEMPLATE-GAS AVAILABILITY'!P569+'RAP TEMPLATE-GAS AVAILABILITY'!Q569+'RAP TEMPLATE-GAS AVAILABILITY'!R569)</f>
        <v>17.008796402877696</v>
      </c>
    </row>
    <row r="571" spans="1:29" ht="15.75" x14ac:dyDescent="0.25">
      <c r="A571" s="13">
        <v>58653</v>
      </c>
      <c r="B571" s="10">
        <f>CHOOSE(CONTROL!$C$42, 16.793, 16.793) * CHOOSE(CONTROL!$C$21, $C$9, 100%, $E$9)</f>
        <v>16.792999999999999</v>
      </c>
      <c r="C571" s="10">
        <f>CHOOSE(CONTROL!$C$42, 16.8009, 16.8009) * CHOOSE(CONTROL!$C$21, $C$9, 100%, $E$9)</f>
        <v>16.800899999999999</v>
      </c>
      <c r="D571" s="10">
        <f>CHOOSE(CONTROL!$C$42, 16.9794, 16.9794) * CHOOSE(CONTROL!$C$21, $C$9, 100%, $E$9)</f>
        <v>16.979399999999998</v>
      </c>
      <c r="E571" s="10">
        <f>CHOOSE(CONTROL!$C$42, 17.0105, 17.0105) * CHOOSE(CONTROL!$C$21, $C$9, 100%, $E$9)</f>
        <v>17.0105</v>
      </c>
      <c r="F571" s="10">
        <f>CHOOSE(CONTROL!$C$42, 16.7797, 16.7797)*CHOOSE(CONTROL!$C$21, $C$9, 100%, $E$9)</f>
        <v>16.779699999999998</v>
      </c>
      <c r="G571" s="10">
        <f>CHOOSE(CONTROL!$C$42, 16.798, 16.798)*CHOOSE(CONTROL!$C$21, $C$9, 100%, $E$9)</f>
        <v>16.797999999999998</v>
      </c>
      <c r="H571" s="10">
        <f>CHOOSE(CONTROL!$C$42, 16.9992, 16.9992) * CHOOSE(CONTROL!$C$21, $C$9, 100%, $E$9)</f>
        <v>16.999199999999998</v>
      </c>
      <c r="I571" s="10">
        <f>CHOOSE(CONTROL!$C$42, 16.7698, 16.7698)* CHOOSE(CONTROL!$C$21, $C$9, 100%, $E$9)</f>
        <v>16.7698</v>
      </c>
      <c r="J571" s="10">
        <f>CHOOSE(CONTROL!$C$42, 16.7727, 16.7727)* CHOOSE(CONTROL!$C$21, $C$9, 100%, $E$9)</f>
        <v>16.7727</v>
      </c>
      <c r="K571" s="54">
        <f>CHOOSE(CONTROL!$C$42, 16.7659, 16.7659) * CHOOSE(CONTROL!$C$21, $C$9, 100%, $E$9)</f>
        <v>16.765899999999998</v>
      </c>
      <c r="L571" s="10">
        <f>CHOOSE(CONTROL!$C$42, 17.5862, 17.5862) * CHOOSE(CONTROL!$C$21, $C$9, 100%, $E$9)</f>
        <v>17.586200000000002</v>
      </c>
      <c r="M571" s="10">
        <f>CHOOSE(CONTROL!$C$42, 16.6172, 16.6172) * CHOOSE(CONTROL!$C$21, $C$9, 100%, $E$9)</f>
        <v>16.6172</v>
      </c>
      <c r="N571" s="10">
        <f>CHOOSE(CONTROL!$C$42, 16.6354, 16.6354) * CHOOSE(CONTROL!$C$21, $C$9, 100%, $E$9)</f>
        <v>16.635400000000001</v>
      </c>
      <c r="O571" s="10">
        <f>CHOOSE(CONTROL!$C$42, 16.8414, 16.8414) * CHOOSE(CONTROL!$C$21, $C$9, 100%, $E$9)</f>
        <v>16.8414</v>
      </c>
      <c r="P571" s="10">
        <f>CHOOSE(CONTROL!$C$42, 16.6145, 16.6145) * CHOOSE(CONTROL!$C$21, $C$9, 100%, $E$9)</f>
        <v>16.6145</v>
      </c>
      <c r="Q571" s="10">
        <f>CHOOSE(CONTROL!$C$42, 17.4367, 17.4367) * CHOOSE(CONTROL!$C$21, $C$9, 100%, $E$9)</f>
        <v>17.436699999999998</v>
      </c>
      <c r="R571" s="10">
        <f>CHOOSE(CONTROL!$C$42, 18.0673, 18.0673) * CHOOSE(CONTROL!$C$21, $C$9, 100%, $E$9)</f>
        <v>18.067299999999999</v>
      </c>
      <c r="S571" s="10">
        <f>CHOOSE(CONTROL!$C$42, 16.3034, 16.3034) * CHOOSE(CONTROL!$C$21, $C$9, 100%, $E$9)</f>
        <v>16.3034</v>
      </c>
      <c r="T571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71" s="58">
        <f>(1000*CHOOSE(CONTROL!$C$42, 695, 695)*CHOOSE(CONTROL!$C$42, 0.5599, 0.5599)*CHOOSE(CONTROL!$C$42, 31, 31))/1000000</f>
        <v>12.063045499999998</v>
      </c>
      <c r="V571" s="58">
        <f>(1000*CHOOSE(CONTROL!$C$42, 500, 500)*CHOOSE(CONTROL!$C$42, 0.275, 0.275)*CHOOSE(CONTROL!$C$42, 31, 31))/1000000</f>
        <v>4.2625000000000002</v>
      </c>
      <c r="W571" s="58">
        <f>(1000*CHOOSE(CONTROL!$C$42, 0.1146, 0.1146)*CHOOSE(CONTROL!$C$42, 121.5, 121.5)*CHOOSE(CONTROL!$C$42, 31, 31))/1000000</f>
        <v>0.43164089999999994</v>
      </c>
      <c r="X571" s="58">
        <f>(31*0.1790888*245000/1000000)+(31*0.2374*100000/1000000)</f>
        <v>2.0961194359999999</v>
      </c>
      <c r="Y571" s="58"/>
      <c r="Z571" s="10"/>
      <c r="AA571" s="57"/>
      <c r="AB571" s="51">
        <f>(B571*194.205+C571*267.466+D571*133.845+E571*53.484+F571*40+G571*185+H571*0+I571*100+J571*300)/(194.205+267.466+133.845+53.484+0+40+185+100+300)</f>
        <v>16.817079638461539</v>
      </c>
      <c r="AC571" s="27">
        <f>(M571*'RAP TEMPLATE-GAS AVAILABILITY'!O570+N571*'RAP TEMPLATE-GAS AVAILABILITY'!P570+O571*'RAP TEMPLATE-GAS AVAILABILITY'!Q570+P571*'RAP TEMPLATE-GAS AVAILABILITY'!R570)/('RAP TEMPLATE-GAS AVAILABILITY'!O570+'RAP TEMPLATE-GAS AVAILABILITY'!P570+'RAP TEMPLATE-GAS AVAILABILITY'!Q570+'RAP TEMPLATE-GAS AVAILABILITY'!R570)</f>
        <v>16.683906474820144</v>
      </c>
    </row>
    <row r="572" spans="1:29" ht="15.75" x14ac:dyDescent="0.25">
      <c r="A572" s="13">
        <v>58684</v>
      </c>
      <c r="B572" s="10">
        <f>CHOOSE(CONTROL!$C$42, 15.9637, 15.9637) * CHOOSE(CONTROL!$C$21, $C$9, 100%, $E$9)</f>
        <v>15.963699999999999</v>
      </c>
      <c r="C572" s="10">
        <f>CHOOSE(CONTROL!$C$42, 15.9717, 15.9717) * CHOOSE(CONTROL!$C$21, $C$9, 100%, $E$9)</f>
        <v>15.9717</v>
      </c>
      <c r="D572" s="10">
        <f>CHOOSE(CONTROL!$C$42, 16.1502, 16.1502) * CHOOSE(CONTROL!$C$21, $C$9, 100%, $E$9)</f>
        <v>16.150200000000002</v>
      </c>
      <c r="E572" s="10">
        <f>CHOOSE(CONTROL!$C$42, 16.1813, 16.1813) * CHOOSE(CONTROL!$C$21, $C$9, 100%, $E$9)</f>
        <v>16.1813</v>
      </c>
      <c r="F572" s="10">
        <f>CHOOSE(CONTROL!$C$42, 15.9504, 15.9504)*CHOOSE(CONTROL!$C$21, $C$9, 100%, $E$9)</f>
        <v>15.9504</v>
      </c>
      <c r="G572" s="10">
        <f>CHOOSE(CONTROL!$C$42, 15.9687, 15.9687)*CHOOSE(CONTROL!$C$21, $C$9, 100%, $E$9)</f>
        <v>15.9687</v>
      </c>
      <c r="H572" s="10">
        <f>CHOOSE(CONTROL!$C$42, 16.17, 16.17) * CHOOSE(CONTROL!$C$21, $C$9, 100%, $E$9)</f>
        <v>16.170000000000002</v>
      </c>
      <c r="I572" s="10">
        <f>CHOOSE(CONTROL!$C$42, 15.9406, 15.9406)* CHOOSE(CONTROL!$C$21, $C$9, 100%, $E$9)</f>
        <v>15.9406</v>
      </c>
      <c r="J572" s="10">
        <f>CHOOSE(CONTROL!$C$42, 15.9434, 15.9434)* CHOOSE(CONTROL!$C$21, $C$9, 100%, $E$9)</f>
        <v>15.9434</v>
      </c>
      <c r="K572" s="54">
        <f>CHOOSE(CONTROL!$C$42, 15.9367, 15.9367) * CHOOSE(CONTROL!$C$21, $C$9, 100%, $E$9)</f>
        <v>15.9367</v>
      </c>
      <c r="L572" s="10">
        <f>CHOOSE(CONTROL!$C$42, 16.757, 16.757) * CHOOSE(CONTROL!$C$21, $C$9, 100%, $E$9)</f>
        <v>16.757000000000001</v>
      </c>
      <c r="M572" s="10">
        <f>CHOOSE(CONTROL!$C$42, 15.7963, 15.7963) * CHOOSE(CONTROL!$C$21, $C$9, 100%, $E$9)</f>
        <v>15.7963</v>
      </c>
      <c r="N572" s="10">
        <f>CHOOSE(CONTROL!$C$42, 15.8144, 15.8144) * CHOOSE(CONTROL!$C$21, $C$9, 100%, $E$9)</f>
        <v>15.814399999999999</v>
      </c>
      <c r="O572" s="10">
        <f>CHOOSE(CONTROL!$C$42, 16.0206, 16.0206) * CHOOSE(CONTROL!$C$21, $C$9, 100%, $E$9)</f>
        <v>16.020600000000002</v>
      </c>
      <c r="P572" s="10">
        <f>CHOOSE(CONTROL!$C$42, 15.7936, 15.7936) * CHOOSE(CONTROL!$C$21, $C$9, 100%, $E$9)</f>
        <v>15.7936</v>
      </c>
      <c r="Q572" s="10">
        <f>CHOOSE(CONTROL!$C$42, 16.6159, 16.6159) * CHOOSE(CONTROL!$C$21, $C$9, 100%, $E$9)</f>
        <v>16.6159</v>
      </c>
      <c r="R572" s="10">
        <f>CHOOSE(CONTROL!$C$42, 17.2444, 17.2444) * CHOOSE(CONTROL!$C$21, $C$9, 100%, $E$9)</f>
        <v>17.244399999999999</v>
      </c>
      <c r="S572" s="10">
        <f>CHOOSE(CONTROL!$C$42, 15.4981, 15.4981) * CHOOSE(CONTROL!$C$21, $C$9, 100%, $E$9)</f>
        <v>15.498100000000001</v>
      </c>
      <c r="T572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72" s="58">
        <f>(1000*CHOOSE(CONTROL!$C$42, 695, 695)*CHOOSE(CONTROL!$C$42, 0.5599, 0.5599)*CHOOSE(CONTROL!$C$42, 31, 31))/1000000</f>
        <v>12.063045499999998</v>
      </c>
      <c r="V572" s="58">
        <f>(1000*CHOOSE(CONTROL!$C$42, 500, 500)*CHOOSE(CONTROL!$C$42, 0.275, 0.275)*CHOOSE(CONTROL!$C$42, 31, 31))/1000000</f>
        <v>4.2625000000000002</v>
      </c>
      <c r="W572" s="58">
        <f>(1000*CHOOSE(CONTROL!$C$42, 0.1146, 0.1146)*CHOOSE(CONTROL!$C$42, 121.5, 121.5)*CHOOSE(CONTROL!$C$42, 31, 31))/1000000</f>
        <v>0.43164089999999994</v>
      </c>
      <c r="X572" s="58">
        <f>(31*0.1790888*245000/1000000)+(31*0.2374*100000/1000000)</f>
        <v>2.0961194359999999</v>
      </c>
      <c r="Y572" s="58"/>
      <c r="Z572" s="10"/>
      <c r="AA572" s="57"/>
      <c r="AB572" s="51">
        <f>(B572*194.205+C572*267.466+D572*133.845+E572*53.484+F572*40+G572*185+H572*0+I572*100+J572*300)/(194.205+267.466+133.845+53.484+0+40+185+100+300)</f>
        <v>15.987823185949765</v>
      </c>
      <c r="AC572" s="27">
        <f>(M572*'RAP TEMPLATE-GAS AVAILABILITY'!O571+N572*'RAP TEMPLATE-GAS AVAILABILITY'!P571+O572*'RAP TEMPLATE-GAS AVAILABILITY'!Q571+P572*'RAP TEMPLATE-GAS AVAILABILITY'!R571)/('RAP TEMPLATE-GAS AVAILABILITY'!O571+'RAP TEMPLATE-GAS AVAILABILITY'!P571+'RAP TEMPLATE-GAS AVAILABILITY'!Q571+'RAP TEMPLATE-GAS AVAILABILITY'!R571)</f>
        <v>15.863011510791369</v>
      </c>
    </row>
    <row r="573" spans="1:29" ht="15.75" x14ac:dyDescent="0.25">
      <c r="A573" s="13">
        <v>58714</v>
      </c>
      <c r="B573" s="10">
        <f>CHOOSE(CONTROL!$C$42, 14.9506, 14.9506) * CHOOSE(CONTROL!$C$21, $C$9, 100%, $E$9)</f>
        <v>14.9506</v>
      </c>
      <c r="C573" s="10">
        <f>CHOOSE(CONTROL!$C$42, 14.9585, 14.9585) * CHOOSE(CONTROL!$C$21, $C$9, 100%, $E$9)</f>
        <v>14.958500000000001</v>
      </c>
      <c r="D573" s="10">
        <f>CHOOSE(CONTROL!$C$42, 15.137, 15.137) * CHOOSE(CONTROL!$C$21, $C$9, 100%, $E$9)</f>
        <v>15.137</v>
      </c>
      <c r="E573" s="10">
        <f>CHOOSE(CONTROL!$C$42, 15.1682, 15.1682) * CHOOSE(CONTROL!$C$21, $C$9, 100%, $E$9)</f>
        <v>15.168200000000001</v>
      </c>
      <c r="F573" s="10">
        <f>CHOOSE(CONTROL!$C$42, 14.9369, 14.9369)*CHOOSE(CONTROL!$C$21, $C$9, 100%, $E$9)</f>
        <v>14.9369</v>
      </c>
      <c r="G573" s="10">
        <f>CHOOSE(CONTROL!$C$42, 14.9552, 14.9552)*CHOOSE(CONTROL!$C$21, $C$9, 100%, $E$9)</f>
        <v>14.9552</v>
      </c>
      <c r="H573" s="10">
        <f>CHOOSE(CONTROL!$C$42, 15.1568, 15.1568) * CHOOSE(CONTROL!$C$21, $C$9, 100%, $E$9)</f>
        <v>15.1568</v>
      </c>
      <c r="I573" s="10">
        <f>CHOOSE(CONTROL!$C$42, 14.9275, 14.9275)* CHOOSE(CONTROL!$C$21, $C$9, 100%, $E$9)</f>
        <v>14.9275</v>
      </c>
      <c r="J573" s="10">
        <f>CHOOSE(CONTROL!$C$42, 14.9299, 14.9299)* CHOOSE(CONTROL!$C$21, $C$9, 100%, $E$9)</f>
        <v>14.9299</v>
      </c>
      <c r="K573" s="54">
        <f>CHOOSE(CONTROL!$C$42, 14.9236, 14.9236) * CHOOSE(CONTROL!$C$21, $C$9, 100%, $E$9)</f>
        <v>14.9236</v>
      </c>
      <c r="L573" s="10">
        <f>CHOOSE(CONTROL!$C$42, 15.7438, 15.7438) * CHOOSE(CONTROL!$C$21, $C$9, 100%, $E$9)</f>
        <v>15.7438</v>
      </c>
      <c r="M573" s="10">
        <f>CHOOSE(CONTROL!$C$42, 14.7931, 14.7931) * CHOOSE(CONTROL!$C$21, $C$9, 100%, $E$9)</f>
        <v>14.793100000000001</v>
      </c>
      <c r="N573" s="10">
        <f>CHOOSE(CONTROL!$C$42, 14.8111, 14.8111) * CHOOSE(CONTROL!$C$21, $C$9, 100%, $E$9)</f>
        <v>14.8111</v>
      </c>
      <c r="O573" s="10">
        <f>CHOOSE(CONTROL!$C$42, 15.0177, 15.0177) * CHOOSE(CONTROL!$C$21, $C$9, 100%, $E$9)</f>
        <v>15.0177</v>
      </c>
      <c r="P573" s="10">
        <f>CHOOSE(CONTROL!$C$42, 14.7907, 14.7907) * CHOOSE(CONTROL!$C$21, $C$9, 100%, $E$9)</f>
        <v>14.790699999999999</v>
      </c>
      <c r="Q573" s="10">
        <f>CHOOSE(CONTROL!$C$42, 15.613, 15.613) * CHOOSE(CONTROL!$C$21, $C$9, 100%, $E$9)</f>
        <v>15.613</v>
      </c>
      <c r="R573" s="10">
        <f>CHOOSE(CONTROL!$C$42, 16.239, 16.239) * CHOOSE(CONTROL!$C$21, $C$9, 100%, $E$9)</f>
        <v>16.239000000000001</v>
      </c>
      <c r="S573" s="10">
        <f>CHOOSE(CONTROL!$C$42, 14.5143, 14.5143) * CHOOSE(CONTROL!$C$21, $C$9, 100%, $E$9)</f>
        <v>14.5143</v>
      </c>
      <c r="T573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73" s="58">
        <f>(1000*CHOOSE(CONTROL!$C$42, 695, 695)*CHOOSE(CONTROL!$C$42, 0.5599, 0.5599)*CHOOSE(CONTROL!$C$42, 30, 30))/1000000</f>
        <v>11.673914999999997</v>
      </c>
      <c r="V573" s="58">
        <f>(1000*CHOOSE(CONTROL!$C$42, 500, 500)*CHOOSE(CONTROL!$C$42, 0.275, 0.275)*CHOOSE(CONTROL!$C$42, 30, 30))/1000000</f>
        <v>4.125</v>
      </c>
      <c r="W573" s="58">
        <f>(1000*CHOOSE(CONTROL!$C$42, 0.1146, 0.1146)*CHOOSE(CONTROL!$C$42, 121.5, 121.5)*CHOOSE(CONTROL!$C$42, 30, 30))/1000000</f>
        <v>0.417717</v>
      </c>
      <c r="X573" s="58">
        <f>(30*0.1790888*245000/1000000)+(30*0.2374*100000/1000000)</f>
        <v>2.0285026799999999</v>
      </c>
      <c r="Y573" s="58"/>
      <c r="Z573" s="10"/>
      <c r="AA573" s="57"/>
      <c r="AB573" s="51">
        <f>(B573*194.205+C573*267.466+D573*133.845+E573*53.484+F573*40+G573*185+H573*0+I573*100+J573*300)/(194.205+267.466+133.845+53.484+0+40+185+100+300)</f>
        <v>14.974526850706436</v>
      </c>
      <c r="AC573" s="27">
        <f>(M573*'RAP TEMPLATE-GAS AVAILABILITY'!O572+N573*'RAP TEMPLATE-GAS AVAILABILITY'!P572+O573*'RAP TEMPLATE-GAS AVAILABILITY'!Q572+P573*'RAP TEMPLATE-GAS AVAILABILITY'!R572)/('RAP TEMPLATE-GAS AVAILABILITY'!O572+'RAP TEMPLATE-GAS AVAILABILITY'!P572+'RAP TEMPLATE-GAS AVAILABILITY'!Q572+'RAP TEMPLATE-GAS AVAILABILITY'!R572)</f>
        <v>14.85991582733813</v>
      </c>
    </row>
    <row r="574" spans="1:29" ht="15.75" x14ac:dyDescent="0.25">
      <c r="A574" s="13">
        <v>58745</v>
      </c>
      <c r="B574" s="10">
        <f>CHOOSE(CONTROL!$C$42, 14.645, 14.645) * CHOOSE(CONTROL!$C$21, $C$9, 100%, $E$9)</f>
        <v>14.645</v>
      </c>
      <c r="C574" s="10">
        <f>CHOOSE(CONTROL!$C$42, 14.6502, 14.6502) * CHOOSE(CONTROL!$C$21, $C$9, 100%, $E$9)</f>
        <v>14.6502</v>
      </c>
      <c r="D574" s="10">
        <f>CHOOSE(CONTROL!$C$42, 14.8337, 14.8337) * CHOOSE(CONTROL!$C$21, $C$9, 100%, $E$9)</f>
        <v>14.8337</v>
      </c>
      <c r="E574" s="10">
        <f>CHOOSE(CONTROL!$C$42, 14.8625, 14.8625) * CHOOSE(CONTROL!$C$21, $C$9, 100%, $E$9)</f>
        <v>14.862500000000001</v>
      </c>
      <c r="F574" s="10">
        <f>CHOOSE(CONTROL!$C$42, 14.6333, 14.6333)*CHOOSE(CONTROL!$C$21, $C$9, 100%, $E$9)</f>
        <v>14.6333</v>
      </c>
      <c r="G574" s="10">
        <f>CHOOSE(CONTROL!$C$42, 14.6512, 14.6512)*CHOOSE(CONTROL!$C$21, $C$9, 100%, $E$9)</f>
        <v>14.651199999999999</v>
      </c>
      <c r="H574" s="10">
        <f>CHOOSE(CONTROL!$C$42, 14.853, 14.853) * CHOOSE(CONTROL!$C$21, $C$9, 100%, $E$9)</f>
        <v>14.853</v>
      </c>
      <c r="I574" s="10">
        <f>CHOOSE(CONTROL!$C$42, 14.6236, 14.6236)* CHOOSE(CONTROL!$C$21, $C$9, 100%, $E$9)</f>
        <v>14.6236</v>
      </c>
      <c r="J574" s="10">
        <f>CHOOSE(CONTROL!$C$42, 14.6263, 14.6263)* CHOOSE(CONTROL!$C$21, $C$9, 100%, $E$9)</f>
        <v>14.626300000000001</v>
      </c>
      <c r="K574" s="54">
        <f>CHOOSE(CONTROL!$C$42, 14.6197, 14.6197) * CHOOSE(CONTROL!$C$21, $C$9, 100%, $E$9)</f>
        <v>14.6197</v>
      </c>
      <c r="L574" s="10">
        <f>CHOOSE(CONTROL!$C$42, 15.44, 15.44) * CHOOSE(CONTROL!$C$21, $C$9, 100%, $E$9)</f>
        <v>15.44</v>
      </c>
      <c r="M574" s="10">
        <f>CHOOSE(CONTROL!$C$42, 14.4925, 14.4925) * CHOOSE(CONTROL!$C$21, $C$9, 100%, $E$9)</f>
        <v>14.4925</v>
      </c>
      <c r="N574" s="10">
        <f>CHOOSE(CONTROL!$C$42, 14.5102, 14.5102) * CHOOSE(CONTROL!$C$21, $C$9, 100%, $E$9)</f>
        <v>14.510199999999999</v>
      </c>
      <c r="O574" s="10">
        <f>CHOOSE(CONTROL!$C$42, 14.7169, 14.7169) * CHOOSE(CONTROL!$C$21, $C$9, 100%, $E$9)</f>
        <v>14.716900000000001</v>
      </c>
      <c r="P574" s="10">
        <f>CHOOSE(CONTROL!$C$42, 14.4899, 14.4899) * CHOOSE(CONTROL!$C$21, $C$9, 100%, $E$9)</f>
        <v>14.4899</v>
      </c>
      <c r="Q574" s="10">
        <f>CHOOSE(CONTROL!$C$42, 15.3122, 15.3122) * CHOOSE(CONTROL!$C$21, $C$9, 100%, $E$9)</f>
        <v>15.312200000000001</v>
      </c>
      <c r="R574" s="10">
        <f>CHOOSE(CONTROL!$C$42, 15.9375, 15.9375) * CHOOSE(CONTROL!$C$21, $C$9, 100%, $E$9)</f>
        <v>15.9375</v>
      </c>
      <c r="S574" s="10">
        <f>CHOOSE(CONTROL!$C$42, 14.2192, 14.2192) * CHOOSE(CONTROL!$C$21, $C$9, 100%, $E$9)</f>
        <v>14.219200000000001</v>
      </c>
      <c r="T574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74" s="58">
        <f>(1000*CHOOSE(CONTROL!$C$42, 695, 695)*CHOOSE(CONTROL!$C$42, 0.5599, 0.5599)*CHOOSE(CONTROL!$C$42, 31, 31))/1000000</f>
        <v>12.063045499999998</v>
      </c>
      <c r="V574" s="58">
        <f>(1000*CHOOSE(CONTROL!$C$42, 500, 500)*CHOOSE(CONTROL!$C$42, 0.275, 0.275)*CHOOSE(CONTROL!$C$42, 31, 31))/1000000</f>
        <v>4.2625000000000002</v>
      </c>
      <c r="W574" s="58">
        <f>(1000*CHOOSE(CONTROL!$C$42, 0.1146, 0.1146)*CHOOSE(CONTROL!$C$42, 121.5, 121.5)*CHOOSE(CONTROL!$C$42, 31, 31))/1000000</f>
        <v>0.43164089999999994</v>
      </c>
      <c r="X574" s="58">
        <f>(31*0.1790888*245000/1000000)+(31*0.2374*100000/1000000)</f>
        <v>2.0961194359999999</v>
      </c>
      <c r="Y574" s="58"/>
      <c r="Z574" s="10"/>
      <c r="AA574" s="57"/>
      <c r="AB574" s="51">
        <f>(B574*131.881+C574*277.167+D574*79.08+E574*125.872+F574*40+G574*185+H574*0+I574*100+J574*300)/(131.881+277.167+79.08+125.872+0+40+185+100+300)</f>
        <v>14.674596307021794</v>
      </c>
      <c r="AC574" s="27">
        <f>(M574*'RAP TEMPLATE-GAS AVAILABILITY'!O573+N574*'RAP TEMPLATE-GAS AVAILABILITY'!P573+O574*'RAP TEMPLATE-GAS AVAILABILITY'!Q573+P574*'RAP TEMPLATE-GAS AVAILABILITY'!R573)/('RAP TEMPLATE-GAS AVAILABILITY'!O573+'RAP TEMPLATE-GAS AVAILABILITY'!P573+'RAP TEMPLATE-GAS AVAILABILITY'!Q573+'RAP TEMPLATE-GAS AVAILABILITY'!R573)</f>
        <v>14.559161870503598</v>
      </c>
    </row>
    <row r="575" spans="1:29" ht="15.75" x14ac:dyDescent="0.25">
      <c r="A575" s="13">
        <v>58775</v>
      </c>
      <c r="B575" s="10">
        <f>CHOOSE(CONTROL!$C$42, 15.0303, 15.0303) * CHOOSE(CONTROL!$C$21, $C$9, 100%, $E$9)</f>
        <v>15.0303</v>
      </c>
      <c r="C575" s="10">
        <f>CHOOSE(CONTROL!$C$42, 15.0353, 15.0353) * CHOOSE(CONTROL!$C$21, $C$9, 100%, $E$9)</f>
        <v>15.035299999999999</v>
      </c>
      <c r="D575" s="10">
        <f>CHOOSE(CONTROL!$C$42, 15.0649, 15.0649) * CHOOSE(CONTROL!$C$21, $C$9, 100%, $E$9)</f>
        <v>15.0649</v>
      </c>
      <c r="E575" s="10">
        <f>CHOOSE(CONTROL!$C$42, 15.0986, 15.0986) * CHOOSE(CONTROL!$C$21, $C$9, 100%, $E$9)</f>
        <v>15.098599999999999</v>
      </c>
      <c r="F575" s="10">
        <f>CHOOSE(CONTROL!$C$42, 15.0161, 15.0161)*CHOOSE(CONTROL!$C$21, $C$9, 100%, $E$9)</f>
        <v>15.0161</v>
      </c>
      <c r="G575" s="10">
        <f>CHOOSE(CONTROL!$C$42, 15.0341, 15.0341)*CHOOSE(CONTROL!$C$21, $C$9, 100%, $E$9)</f>
        <v>15.0341</v>
      </c>
      <c r="H575" s="10">
        <f>CHOOSE(CONTROL!$C$42, 15.0878, 15.0878) * CHOOSE(CONTROL!$C$21, $C$9, 100%, $E$9)</f>
        <v>15.0878</v>
      </c>
      <c r="I575" s="10">
        <f>CHOOSE(CONTROL!$C$42, 14.9965, 14.9965)* CHOOSE(CONTROL!$C$21, $C$9, 100%, $E$9)</f>
        <v>14.996499999999999</v>
      </c>
      <c r="J575" s="10">
        <f>CHOOSE(CONTROL!$C$42, 15.0091, 15.0091)* CHOOSE(CONTROL!$C$21, $C$9, 100%, $E$9)</f>
        <v>15.0091</v>
      </c>
      <c r="K575" s="54">
        <f>CHOOSE(CONTROL!$C$42, 14.9926, 14.9926) * CHOOSE(CONTROL!$C$21, $C$9, 100%, $E$9)</f>
        <v>14.992599999999999</v>
      </c>
      <c r="L575" s="10">
        <f>CHOOSE(CONTROL!$C$42, 15.6748, 15.6748) * CHOOSE(CONTROL!$C$21, $C$9, 100%, $E$9)</f>
        <v>15.674799999999999</v>
      </c>
      <c r="M575" s="10">
        <f>CHOOSE(CONTROL!$C$42, 14.8714, 14.8714) * CHOOSE(CONTROL!$C$21, $C$9, 100%, $E$9)</f>
        <v>14.8714</v>
      </c>
      <c r="N575" s="10">
        <f>CHOOSE(CONTROL!$C$42, 14.8893, 14.8893) * CHOOSE(CONTROL!$C$21, $C$9, 100%, $E$9)</f>
        <v>14.8893</v>
      </c>
      <c r="O575" s="10">
        <f>CHOOSE(CONTROL!$C$42, 14.9494, 14.9494) * CHOOSE(CONTROL!$C$21, $C$9, 100%, $E$9)</f>
        <v>14.949400000000001</v>
      </c>
      <c r="P575" s="10">
        <f>CHOOSE(CONTROL!$C$42, 14.859, 14.859) * CHOOSE(CONTROL!$C$21, $C$9, 100%, $E$9)</f>
        <v>14.859</v>
      </c>
      <c r="Q575" s="10">
        <f>CHOOSE(CONTROL!$C$42, 15.5447, 15.5447) * CHOOSE(CONTROL!$C$21, $C$9, 100%, $E$9)</f>
        <v>15.544700000000001</v>
      </c>
      <c r="R575" s="10">
        <f>CHOOSE(CONTROL!$C$42, 16.1706, 16.1706) * CHOOSE(CONTROL!$C$21, $C$9, 100%, $E$9)</f>
        <v>16.1706</v>
      </c>
      <c r="S575" s="10">
        <f>CHOOSE(CONTROL!$C$42, 14.5938, 14.5938) * CHOOSE(CONTROL!$C$21, $C$9, 100%, $E$9)</f>
        <v>14.5938</v>
      </c>
      <c r="T575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75" s="58">
        <f>(1000*CHOOSE(CONTROL!$C$42, 695, 695)*CHOOSE(CONTROL!$C$42, 0.5599, 0.5599)*CHOOSE(CONTROL!$C$42, 30, 30))/1000000</f>
        <v>11.673914999999997</v>
      </c>
      <c r="V575" s="58">
        <f>(1000*CHOOSE(CONTROL!$C$42, 500, 500)*CHOOSE(CONTROL!$C$42, 0.275, 0.275)*CHOOSE(CONTROL!$C$42, 30, 30))/1000000</f>
        <v>4.125</v>
      </c>
      <c r="W575" s="58">
        <f>(1000*CHOOSE(CONTROL!$C$42, 0.1146, 0.1146)*CHOOSE(CONTROL!$C$42, 121.5, 121.5)*CHOOSE(CONTROL!$C$42, 30, 30))/1000000</f>
        <v>0.417717</v>
      </c>
      <c r="X575" s="58">
        <f>(30*0.1790888*100000/1000000)+(30*0.2374*100000/1000000)</f>
        <v>1.2494664</v>
      </c>
      <c r="Y575" s="58"/>
      <c r="Z575" s="10"/>
      <c r="AA575" s="57"/>
      <c r="AB575" s="51">
        <f>(B575*122.58+C575*297.941+D575*89.177+E575*40.302+F575*40+G575*160+H575*0+I575*100+J575*300)/(122.58+297.941+89.177+40.302+0+40+160+100+300)</f>
        <v>15.028237265913042</v>
      </c>
      <c r="AC575" s="27">
        <f>(M575*'RAP TEMPLATE-GAS AVAILABILITY'!O574+N575*'RAP TEMPLATE-GAS AVAILABILITY'!P574+O575*'RAP TEMPLATE-GAS AVAILABILITY'!Q574+P575*'RAP TEMPLATE-GAS AVAILABILITY'!R574)/('RAP TEMPLATE-GAS AVAILABILITY'!O574+'RAP TEMPLATE-GAS AVAILABILITY'!P574+'RAP TEMPLATE-GAS AVAILABILITY'!Q574+'RAP TEMPLATE-GAS AVAILABILITY'!R574)</f>
        <v>14.90599856115108</v>
      </c>
    </row>
    <row r="576" spans="1:29" ht="15.75" x14ac:dyDescent="0.25">
      <c r="A576" s="13">
        <v>58806</v>
      </c>
      <c r="B576" s="10">
        <f>CHOOSE(CONTROL!$C$42, 16.0549, 16.0549) * CHOOSE(CONTROL!$C$21, $C$9, 100%, $E$9)</f>
        <v>16.0549</v>
      </c>
      <c r="C576" s="10">
        <f>CHOOSE(CONTROL!$C$42, 16.0598, 16.0598) * CHOOSE(CONTROL!$C$21, $C$9, 100%, $E$9)</f>
        <v>16.059799999999999</v>
      </c>
      <c r="D576" s="10">
        <f>CHOOSE(CONTROL!$C$42, 16.0894, 16.0894) * CHOOSE(CONTROL!$C$21, $C$9, 100%, $E$9)</f>
        <v>16.089400000000001</v>
      </c>
      <c r="E576" s="10">
        <f>CHOOSE(CONTROL!$C$42, 16.1232, 16.1232) * CHOOSE(CONTROL!$C$21, $C$9, 100%, $E$9)</f>
        <v>16.123200000000001</v>
      </c>
      <c r="F576" s="10">
        <f>CHOOSE(CONTROL!$C$42, 16.0422, 16.0422)*CHOOSE(CONTROL!$C$21, $C$9, 100%, $E$9)</f>
        <v>16.042200000000001</v>
      </c>
      <c r="G576" s="10">
        <f>CHOOSE(CONTROL!$C$42, 16.0606, 16.0606)*CHOOSE(CONTROL!$C$21, $C$9, 100%, $E$9)</f>
        <v>16.060600000000001</v>
      </c>
      <c r="H576" s="10">
        <f>CHOOSE(CONTROL!$C$42, 16.1124, 16.1124) * CHOOSE(CONTROL!$C$21, $C$9, 100%, $E$9)</f>
        <v>16.112400000000001</v>
      </c>
      <c r="I576" s="10">
        <f>CHOOSE(CONTROL!$C$42, 16.021, 16.021)* CHOOSE(CONTROL!$C$21, $C$9, 100%, $E$9)</f>
        <v>16.021000000000001</v>
      </c>
      <c r="J576" s="10">
        <f>CHOOSE(CONTROL!$C$42, 16.0352, 16.0352)* CHOOSE(CONTROL!$C$21, $C$9, 100%, $E$9)</f>
        <v>16.0352</v>
      </c>
      <c r="K576" s="54">
        <f>CHOOSE(CONTROL!$C$42, 16.0171, 16.0171) * CHOOSE(CONTROL!$C$21, $C$9, 100%, $E$9)</f>
        <v>16.017099999999999</v>
      </c>
      <c r="L576" s="10">
        <f>CHOOSE(CONTROL!$C$42, 16.6994, 16.6994) * CHOOSE(CONTROL!$C$21, $C$9, 100%, $E$9)</f>
        <v>16.699400000000001</v>
      </c>
      <c r="M576" s="10">
        <f>CHOOSE(CONTROL!$C$42, 15.8872, 15.8872) * CHOOSE(CONTROL!$C$21, $C$9, 100%, $E$9)</f>
        <v>15.8872</v>
      </c>
      <c r="N576" s="10">
        <f>CHOOSE(CONTROL!$C$42, 15.9054, 15.9054) * CHOOSE(CONTROL!$C$21, $C$9, 100%, $E$9)</f>
        <v>15.9054</v>
      </c>
      <c r="O576" s="10">
        <f>CHOOSE(CONTROL!$C$42, 15.9636, 15.9636) * CHOOSE(CONTROL!$C$21, $C$9, 100%, $E$9)</f>
        <v>15.9636</v>
      </c>
      <c r="P576" s="10">
        <f>CHOOSE(CONTROL!$C$42, 15.8732, 15.8732) * CHOOSE(CONTROL!$C$21, $C$9, 100%, $E$9)</f>
        <v>15.873200000000001</v>
      </c>
      <c r="Q576" s="10">
        <f>CHOOSE(CONTROL!$C$42, 16.5589, 16.5589) * CHOOSE(CONTROL!$C$21, $C$9, 100%, $E$9)</f>
        <v>16.558900000000001</v>
      </c>
      <c r="R576" s="10">
        <f>CHOOSE(CONTROL!$C$42, 17.1873, 17.1873) * CHOOSE(CONTROL!$C$21, $C$9, 100%, $E$9)</f>
        <v>17.1873</v>
      </c>
      <c r="S576" s="10">
        <f>CHOOSE(CONTROL!$C$42, 15.5887, 15.5887) * CHOOSE(CONTROL!$C$21, $C$9, 100%, $E$9)</f>
        <v>15.588699999999999</v>
      </c>
      <c r="T576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576" s="58">
        <f>(1000*CHOOSE(CONTROL!$C$42, 695, 695)*CHOOSE(CONTROL!$C$42, 0.5599, 0.5599)*CHOOSE(CONTROL!$C$42, 31, 31))/1000000</f>
        <v>12.063045499999998</v>
      </c>
      <c r="V576" s="58">
        <f>(1000*CHOOSE(CONTROL!$C$42, 500, 500)*CHOOSE(CONTROL!$C$42, 0.275, 0.275)*CHOOSE(CONTROL!$C$42, 31, 31))/1000000</f>
        <v>4.2625000000000002</v>
      </c>
      <c r="W576" s="58">
        <f>(1000*CHOOSE(CONTROL!$C$42, 0.1146, 0.1146)*CHOOSE(CONTROL!$C$42, 121.5, 121.5)*CHOOSE(CONTROL!$C$42, 31, 31))/1000000</f>
        <v>0.43164089999999994</v>
      </c>
      <c r="X576" s="58">
        <f>(31*0.1790888*100000/1000000)+(31*0.2374*100000/1000000)</f>
        <v>1.2911152800000001</v>
      </c>
      <c r="Y576" s="58"/>
      <c r="Z576" s="10"/>
      <c r="AA576" s="57"/>
      <c r="AB576" s="51">
        <f>(B576*122.58+C576*297.941+D576*89.177+E576*40.302+F576*40+G576*160+H576*0+I576*100+J576*300)/(122.58+297.941+89.177+40.302+0+40+160+100+300)</f>
        <v>16.053502733913042</v>
      </c>
      <c r="AC576" s="27">
        <f>(M576*'RAP TEMPLATE-GAS AVAILABILITY'!O575+N576*'RAP TEMPLATE-GAS AVAILABILITY'!P575+O576*'RAP TEMPLATE-GAS AVAILABILITY'!Q575+P576*'RAP TEMPLATE-GAS AVAILABILITY'!R575)/('RAP TEMPLATE-GAS AVAILABILITY'!O575+'RAP TEMPLATE-GAS AVAILABILITY'!P575+'RAP TEMPLATE-GAS AVAILABILITY'!Q575+'RAP TEMPLATE-GAS AVAILABILITY'!R575)</f>
        <v>15.920860431654676</v>
      </c>
    </row>
    <row r="577" spans="1:29" ht="15.75" x14ac:dyDescent="0.25">
      <c r="A577" s="13">
        <v>58837</v>
      </c>
      <c r="B577" s="10">
        <f>CHOOSE(CONTROL!$C$42, 17.1383, 17.1383) * CHOOSE(CONTROL!$C$21, $C$9, 100%, $E$9)</f>
        <v>17.138300000000001</v>
      </c>
      <c r="C577" s="10">
        <f>CHOOSE(CONTROL!$C$42, 17.1432, 17.1432) * CHOOSE(CONTROL!$C$21, $C$9, 100%, $E$9)</f>
        <v>17.1432</v>
      </c>
      <c r="D577" s="10">
        <f>CHOOSE(CONTROL!$C$42, 17.1934, 17.1934) * CHOOSE(CONTROL!$C$21, $C$9, 100%, $E$9)</f>
        <v>17.1934</v>
      </c>
      <c r="E577" s="10">
        <f>CHOOSE(CONTROL!$C$42, 17.2272, 17.2272) * CHOOSE(CONTROL!$C$21, $C$9, 100%, $E$9)</f>
        <v>17.2272</v>
      </c>
      <c r="F577" s="10">
        <f>CHOOSE(CONTROL!$C$42, 17.1036, 17.1036)*CHOOSE(CONTROL!$C$21, $C$9, 100%, $E$9)</f>
        <v>17.1036</v>
      </c>
      <c r="G577" s="10">
        <f>CHOOSE(CONTROL!$C$42, 17.1212, 17.1212)*CHOOSE(CONTROL!$C$21, $C$9, 100%, $E$9)</f>
        <v>17.121200000000002</v>
      </c>
      <c r="H577" s="10">
        <f>CHOOSE(CONTROL!$C$42, 17.2164, 17.2164) * CHOOSE(CONTROL!$C$21, $C$9, 100%, $E$9)</f>
        <v>17.2164</v>
      </c>
      <c r="I577" s="10">
        <f>CHOOSE(CONTROL!$C$42, 17.1122, 17.1122)* CHOOSE(CONTROL!$C$21, $C$9, 100%, $E$9)</f>
        <v>17.112200000000001</v>
      </c>
      <c r="J577" s="10">
        <f>CHOOSE(CONTROL!$C$42, 17.0966, 17.0966)* CHOOSE(CONTROL!$C$21, $C$9, 100%, $E$9)</f>
        <v>17.096599999999999</v>
      </c>
      <c r="K577" s="54">
        <f>CHOOSE(CONTROL!$C$42, 17.1083, 17.1083) * CHOOSE(CONTROL!$C$21, $C$9, 100%, $E$9)</f>
        <v>17.1083</v>
      </c>
      <c r="L577" s="10">
        <f>CHOOSE(CONTROL!$C$42, 17.8034, 17.8034) * CHOOSE(CONTROL!$C$21, $C$9, 100%, $E$9)</f>
        <v>17.8034</v>
      </c>
      <c r="M577" s="10">
        <f>CHOOSE(CONTROL!$C$42, 16.9379, 16.9379) * CHOOSE(CONTROL!$C$21, $C$9, 100%, $E$9)</f>
        <v>16.937899999999999</v>
      </c>
      <c r="N577" s="10">
        <f>CHOOSE(CONTROL!$C$42, 16.9553, 16.9553) * CHOOSE(CONTROL!$C$21, $C$9, 100%, $E$9)</f>
        <v>16.955300000000001</v>
      </c>
      <c r="O577" s="10">
        <f>CHOOSE(CONTROL!$C$42, 17.0565, 17.0565) * CHOOSE(CONTROL!$C$21, $C$9, 100%, $E$9)</f>
        <v>17.0565</v>
      </c>
      <c r="P577" s="10">
        <f>CHOOSE(CONTROL!$C$42, 16.9533, 16.9533) * CHOOSE(CONTROL!$C$21, $C$9, 100%, $E$9)</f>
        <v>16.953299999999999</v>
      </c>
      <c r="Q577" s="10">
        <f>CHOOSE(CONTROL!$C$42, 17.6518, 17.6518) * CHOOSE(CONTROL!$C$21, $C$9, 100%, $E$9)</f>
        <v>17.651800000000001</v>
      </c>
      <c r="R577" s="10">
        <f>CHOOSE(CONTROL!$C$42, 18.2829, 18.2829) * CHOOSE(CONTROL!$C$21, $C$9, 100%, $E$9)</f>
        <v>18.282900000000001</v>
      </c>
      <c r="S577" s="10">
        <f>CHOOSE(CONTROL!$C$42, 16.6408, 16.6408) * CHOOSE(CONTROL!$C$21, $C$9, 100%, $E$9)</f>
        <v>16.640799999999999</v>
      </c>
      <c r="T577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577" s="58">
        <f>(1000*CHOOSE(CONTROL!$C$42, 695, 695)*CHOOSE(CONTROL!$C$42, 0.5599, 0.5599)*CHOOSE(CONTROL!$C$42, 31, 31))/1000000</f>
        <v>12.063045499999998</v>
      </c>
      <c r="V577" s="58">
        <f>(1000*CHOOSE(CONTROL!$C$42, 500, 500)*CHOOSE(CONTROL!$C$42, 0.275, 0.275)*CHOOSE(CONTROL!$C$42, 31, 31))/1000000</f>
        <v>4.2625000000000002</v>
      </c>
      <c r="W577" s="58">
        <f>(1000*CHOOSE(CONTROL!$C$42, 0.1146, 0.1146)*CHOOSE(CONTROL!$C$42, 121.5, 121.5)*CHOOSE(CONTROL!$C$42, 31, 31))/1000000</f>
        <v>0.43164089999999994</v>
      </c>
      <c r="X577" s="58">
        <f>(31*0.1790888*100000/1000000)+(31*0.2374*100000/1000000)</f>
        <v>1.2911152800000001</v>
      </c>
      <c r="Y577" s="58"/>
      <c r="Z577" s="10"/>
      <c r="AA577" s="57"/>
      <c r="AB577" s="51">
        <f>(B577*122.58+C577*297.941+D577*89.177+E577*40.302+F577*40+G577*160+H577*0+I577*100+J577*300)/(122.58+297.941+89.177+40.302+0+40+160+100+300)</f>
        <v>17.130223836000003</v>
      </c>
      <c r="AC577" s="27">
        <f>(M577*'RAP TEMPLATE-GAS AVAILABILITY'!O576+N577*'RAP TEMPLATE-GAS AVAILABILITY'!P576+O577*'RAP TEMPLATE-GAS AVAILABILITY'!Q576+P577*'RAP TEMPLATE-GAS AVAILABILITY'!R576)/('RAP TEMPLATE-GAS AVAILABILITY'!O576+'RAP TEMPLATE-GAS AVAILABILITY'!P576+'RAP TEMPLATE-GAS AVAILABILITY'!Q576+'RAP TEMPLATE-GAS AVAILABILITY'!R576)</f>
        <v>16.99487122302158</v>
      </c>
    </row>
    <row r="578" spans="1:29" ht="15.75" x14ac:dyDescent="0.25">
      <c r="A578" s="13">
        <v>58865</v>
      </c>
      <c r="B578" s="10">
        <f>CHOOSE(CONTROL!$C$42, 17.4433, 17.4433) * CHOOSE(CONTROL!$C$21, $C$9, 100%, $E$9)</f>
        <v>17.443300000000001</v>
      </c>
      <c r="C578" s="10">
        <f>CHOOSE(CONTROL!$C$42, 17.4483, 17.4483) * CHOOSE(CONTROL!$C$21, $C$9, 100%, $E$9)</f>
        <v>17.4483</v>
      </c>
      <c r="D578" s="10">
        <f>CHOOSE(CONTROL!$C$42, 17.5654, 17.5654) * CHOOSE(CONTROL!$C$21, $C$9, 100%, $E$9)</f>
        <v>17.5654</v>
      </c>
      <c r="E578" s="10">
        <f>CHOOSE(CONTROL!$C$42, 17.5992, 17.5992) * CHOOSE(CONTROL!$C$21, $C$9, 100%, $E$9)</f>
        <v>17.5992</v>
      </c>
      <c r="F578" s="10">
        <f>CHOOSE(CONTROL!$C$42, 17.5209, 17.5209)*CHOOSE(CONTROL!$C$21, $C$9, 100%, $E$9)</f>
        <v>17.520900000000001</v>
      </c>
      <c r="G578" s="10">
        <f>CHOOSE(CONTROL!$C$42, 17.5428, 17.5428)*CHOOSE(CONTROL!$C$21, $C$9, 100%, $E$9)</f>
        <v>17.5428</v>
      </c>
      <c r="H578" s="10">
        <f>CHOOSE(CONTROL!$C$42, 17.5884, 17.5884) * CHOOSE(CONTROL!$C$21, $C$9, 100%, $E$9)</f>
        <v>17.5884</v>
      </c>
      <c r="I578" s="10">
        <f>CHOOSE(CONTROL!$C$42, 17.479, 17.479)* CHOOSE(CONTROL!$C$21, $C$9, 100%, $E$9)</f>
        <v>17.478999999999999</v>
      </c>
      <c r="J578" s="10">
        <f>CHOOSE(CONTROL!$C$42, 17.5139, 17.5139)* CHOOSE(CONTROL!$C$21, $C$9, 100%, $E$9)</f>
        <v>17.5139</v>
      </c>
      <c r="K578" s="54">
        <f>CHOOSE(CONTROL!$C$42, 17.4751, 17.4751) * CHOOSE(CONTROL!$C$21, $C$9, 100%, $E$9)</f>
        <v>17.475100000000001</v>
      </c>
      <c r="L578" s="10">
        <f>CHOOSE(CONTROL!$C$42, 18.1754, 18.1754) * CHOOSE(CONTROL!$C$21, $C$9, 100%, $E$9)</f>
        <v>18.1754</v>
      </c>
      <c r="M578" s="10">
        <f>CHOOSE(CONTROL!$C$42, 17.351, 17.351) * CHOOSE(CONTROL!$C$21, $C$9, 100%, $E$9)</f>
        <v>17.350999999999999</v>
      </c>
      <c r="N578" s="10">
        <f>CHOOSE(CONTROL!$C$42, 17.3727, 17.3727) * CHOOSE(CONTROL!$C$21, $C$9, 100%, $E$9)</f>
        <v>17.372699999999998</v>
      </c>
      <c r="O578" s="10">
        <f>CHOOSE(CONTROL!$C$42, 17.4247, 17.4247) * CHOOSE(CONTROL!$C$21, $C$9, 100%, $E$9)</f>
        <v>17.424700000000001</v>
      </c>
      <c r="P578" s="10">
        <f>CHOOSE(CONTROL!$C$42, 17.3165, 17.3165) * CHOOSE(CONTROL!$C$21, $C$9, 100%, $E$9)</f>
        <v>17.316500000000001</v>
      </c>
      <c r="Q578" s="10">
        <f>CHOOSE(CONTROL!$C$42, 18.02, 18.02) * CHOOSE(CONTROL!$C$21, $C$9, 100%, $E$9)</f>
        <v>18.02</v>
      </c>
      <c r="R578" s="10">
        <f>CHOOSE(CONTROL!$C$42, 18.652, 18.652) * CHOOSE(CONTROL!$C$21, $C$9, 100%, $E$9)</f>
        <v>18.652000000000001</v>
      </c>
      <c r="S578" s="10">
        <f>CHOOSE(CONTROL!$C$42, 16.9371, 16.9371) * CHOOSE(CONTROL!$C$21, $C$9, 100%, $E$9)</f>
        <v>16.937100000000001</v>
      </c>
      <c r="T578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578" s="58">
        <f>(1000*CHOOSE(CONTROL!$C$42, 695, 695)*CHOOSE(CONTROL!$C$42, 0.5599, 0.5599)*CHOOSE(CONTROL!$C$42, 28, 28))/1000000</f>
        <v>10.895653999999999</v>
      </c>
      <c r="V578" s="58">
        <f>(1000*CHOOSE(CONTROL!$C$42, 500, 500)*CHOOSE(CONTROL!$C$42, 0.275, 0.275)*CHOOSE(CONTROL!$C$42, 28, 28))/1000000</f>
        <v>3.85</v>
      </c>
      <c r="W578" s="58">
        <f>(1000*CHOOSE(CONTROL!$C$42, 0.1146, 0.1146)*CHOOSE(CONTROL!$C$42, 121.5, 121.5)*CHOOSE(CONTROL!$C$42, 28, 28))/1000000</f>
        <v>0.38986920000000003</v>
      </c>
      <c r="X578" s="58">
        <f>(28*0.1790888*100000/1000000)+(28*0.2374*100000/1000000)</f>
        <v>1.16616864</v>
      </c>
      <c r="Y578" s="58"/>
      <c r="Z578" s="10"/>
      <c r="AA578" s="57"/>
      <c r="AB578" s="51">
        <f>(B578*122.58+C578*297.941+D578*89.177+E578*40.302+F578*40+G578*160+H578*0+I578*100+J578*300)/(122.58+297.941+89.177+40.302+0+40+160+100+300)</f>
        <v>17.497591563913044</v>
      </c>
      <c r="AC578" s="27">
        <f>(M578*'RAP TEMPLATE-GAS AVAILABILITY'!O577+N578*'RAP TEMPLATE-GAS AVAILABILITY'!P577+O578*'RAP TEMPLATE-GAS AVAILABILITY'!Q577+P578*'RAP TEMPLATE-GAS AVAILABILITY'!R577)/('RAP TEMPLATE-GAS AVAILABILITY'!O577+'RAP TEMPLATE-GAS AVAILABILITY'!P577+'RAP TEMPLATE-GAS AVAILABILITY'!Q577+'RAP TEMPLATE-GAS AVAILABILITY'!R577)</f>
        <v>17.380688489208634</v>
      </c>
    </row>
    <row r="579" spans="1:29" ht="15.75" x14ac:dyDescent="0.25">
      <c r="A579" s="13">
        <v>58893</v>
      </c>
      <c r="B579" s="10">
        <f>CHOOSE(CONTROL!$C$42, 16.9482, 16.9482) * CHOOSE(CONTROL!$C$21, $C$9, 100%, $E$9)</f>
        <v>16.9482</v>
      </c>
      <c r="C579" s="10">
        <f>CHOOSE(CONTROL!$C$42, 16.9531, 16.9531) * CHOOSE(CONTROL!$C$21, $C$9, 100%, $E$9)</f>
        <v>16.953099999999999</v>
      </c>
      <c r="D579" s="10">
        <f>CHOOSE(CONTROL!$C$42, 17.0445, 17.0445) * CHOOSE(CONTROL!$C$21, $C$9, 100%, $E$9)</f>
        <v>17.044499999999999</v>
      </c>
      <c r="E579" s="10">
        <f>CHOOSE(CONTROL!$C$42, 17.0783, 17.0783) * CHOOSE(CONTROL!$C$21, $C$9, 100%, $E$9)</f>
        <v>17.078299999999999</v>
      </c>
      <c r="F579" s="10">
        <f>CHOOSE(CONTROL!$C$42, 16.978, 16.978)*CHOOSE(CONTROL!$C$21, $C$9, 100%, $E$9)</f>
        <v>16.978000000000002</v>
      </c>
      <c r="G579" s="10">
        <f>CHOOSE(CONTROL!$C$42, 16.9975, 16.9975)*CHOOSE(CONTROL!$C$21, $C$9, 100%, $E$9)</f>
        <v>16.997499999999999</v>
      </c>
      <c r="H579" s="10">
        <f>CHOOSE(CONTROL!$C$42, 17.0675, 17.0675) * CHOOSE(CONTROL!$C$21, $C$9, 100%, $E$9)</f>
        <v>17.067499999999999</v>
      </c>
      <c r="I579" s="10">
        <f>CHOOSE(CONTROL!$C$42, 16.971, 16.971)* CHOOSE(CONTROL!$C$21, $C$9, 100%, $E$9)</f>
        <v>16.971</v>
      </c>
      <c r="J579" s="10">
        <f>CHOOSE(CONTROL!$C$42, 16.971, 16.971)* CHOOSE(CONTROL!$C$21, $C$9, 100%, $E$9)</f>
        <v>16.971</v>
      </c>
      <c r="K579" s="54">
        <f>CHOOSE(CONTROL!$C$42, 16.9671, 16.9671) * CHOOSE(CONTROL!$C$21, $C$9, 100%, $E$9)</f>
        <v>16.967099999999999</v>
      </c>
      <c r="L579" s="10">
        <f>CHOOSE(CONTROL!$C$42, 17.6545, 17.6545) * CHOOSE(CONTROL!$C$21, $C$9, 100%, $E$9)</f>
        <v>17.654499999999999</v>
      </c>
      <c r="M579" s="10">
        <f>CHOOSE(CONTROL!$C$42, 16.8136, 16.8136) * CHOOSE(CONTROL!$C$21, $C$9, 100%, $E$9)</f>
        <v>16.813600000000001</v>
      </c>
      <c r="N579" s="10">
        <f>CHOOSE(CONTROL!$C$42, 16.8329, 16.8329) * CHOOSE(CONTROL!$C$21, $C$9, 100%, $E$9)</f>
        <v>16.832899999999999</v>
      </c>
      <c r="O579" s="10">
        <f>CHOOSE(CONTROL!$C$42, 16.9091, 16.9091) * CHOOSE(CONTROL!$C$21, $C$9, 100%, $E$9)</f>
        <v>16.909099999999999</v>
      </c>
      <c r="P579" s="10">
        <f>CHOOSE(CONTROL!$C$42, 16.8136, 16.8136) * CHOOSE(CONTROL!$C$21, $C$9, 100%, $E$9)</f>
        <v>16.813600000000001</v>
      </c>
      <c r="Q579" s="10">
        <f>CHOOSE(CONTROL!$C$42, 17.5044, 17.5044) * CHOOSE(CONTROL!$C$21, $C$9, 100%, $E$9)</f>
        <v>17.5044</v>
      </c>
      <c r="R579" s="10">
        <f>CHOOSE(CONTROL!$C$42, 18.1351, 18.1351) * CHOOSE(CONTROL!$C$21, $C$9, 100%, $E$9)</f>
        <v>18.135100000000001</v>
      </c>
      <c r="S579" s="10">
        <f>CHOOSE(CONTROL!$C$42, 16.4562, 16.4562) * CHOOSE(CONTROL!$C$21, $C$9, 100%, $E$9)</f>
        <v>16.456199999999999</v>
      </c>
      <c r="T579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79" s="58">
        <f>(1000*CHOOSE(CONTROL!$C$42, 695, 695)*CHOOSE(CONTROL!$C$42, 0.5599, 0.5599)*CHOOSE(CONTROL!$C$42, 31, 31))/1000000</f>
        <v>12.063045499999998</v>
      </c>
      <c r="V579" s="58">
        <f>(1000*CHOOSE(CONTROL!$C$42, 500, 500)*CHOOSE(CONTROL!$C$42, 0.275, 0.275)*CHOOSE(CONTROL!$C$42, 31, 31))/1000000</f>
        <v>4.2625000000000002</v>
      </c>
      <c r="W579" s="58">
        <f>(1000*CHOOSE(CONTROL!$C$42, 0.1146, 0.1146)*CHOOSE(CONTROL!$C$42, 121.5, 121.5)*CHOOSE(CONTROL!$C$42, 31, 31))/1000000</f>
        <v>0.43164089999999994</v>
      </c>
      <c r="X579" s="58">
        <f>(31*0.1790888*100000/1000000)+(31*0.2374*100000/1000000)</f>
        <v>1.2911152800000001</v>
      </c>
      <c r="Y579" s="58"/>
      <c r="Z579" s="10"/>
      <c r="AA579" s="57"/>
      <c r="AB579" s="51">
        <f>(B579*122.58+C579*297.941+D579*89.177+E579*40.302+F579*40+G579*160+H579*0+I579*100+J579*300)/(122.58+297.941+89.177+40.302+0+40+160+100+300)</f>
        <v>16.977322561913045</v>
      </c>
      <c r="AC579" s="27">
        <f>(M579*'RAP TEMPLATE-GAS AVAILABILITY'!O578+N579*'RAP TEMPLATE-GAS AVAILABILITY'!P578+O579*'RAP TEMPLATE-GAS AVAILABILITY'!Q578+P579*'RAP TEMPLATE-GAS AVAILABILITY'!R578)/('RAP TEMPLATE-GAS AVAILABILITY'!O578+'RAP TEMPLATE-GAS AVAILABILITY'!P578+'RAP TEMPLATE-GAS AVAILABILITY'!Q578+'RAP TEMPLATE-GAS AVAILABILITY'!R578)</f>
        <v>16.857994964028777</v>
      </c>
    </row>
    <row r="580" spans="1:29" ht="15.75" x14ac:dyDescent="0.25">
      <c r="A580" s="13">
        <v>58926</v>
      </c>
      <c r="B580" s="10">
        <f>CHOOSE(CONTROL!$C$42, 16.8982, 16.8982) * CHOOSE(CONTROL!$C$21, $C$9, 100%, $E$9)</f>
        <v>16.898199999999999</v>
      </c>
      <c r="C580" s="10">
        <f>CHOOSE(CONTROL!$C$42, 16.9026, 16.9026) * CHOOSE(CONTROL!$C$21, $C$9, 100%, $E$9)</f>
        <v>16.9026</v>
      </c>
      <c r="D580" s="10">
        <f>CHOOSE(CONTROL!$C$42, 17.0843, 17.0843) * CHOOSE(CONTROL!$C$21, $C$9, 100%, $E$9)</f>
        <v>17.084299999999999</v>
      </c>
      <c r="E580" s="10">
        <f>CHOOSE(CONTROL!$C$42, 17.116, 17.116) * CHOOSE(CONTROL!$C$21, $C$9, 100%, $E$9)</f>
        <v>17.116</v>
      </c>
      <c r="F580" s="10">
        <f>CHOOSE(CONTROL!$C$42, 16.8865, 16.8865)*CHOOSE(CONTROL!$C$21, $C$9, 100%, $E$9)</f>
        <v>16.886500000000002</v>
      </c>
      <c r="G580" s="10">
        <f>CHOOSE(CONTROL!$C$42, 16.9045, 16.9045)*CHOOSE(CONTROL!$C$21, $C$9, 100%, $E$9)</f>
        <v>16.904499999999999</v>
      </c>
      <c r="H580" s="10">
        <f>CHOOSE(CONTROL!$C$42, 17.1058, 17.1058) * CHOOSE(CONTROL!$C$21, $C$9, 100%, $E$9)</f>
        <v>17.105799999999999</v>
      </c>
      <c r="I580" s="10">
        <f>CHOOSE(CONTROL!$C$42, 16.8765, 16.8765)* CHOOSE(CONTROL!$C$21, $C$9, 100%, $E$9)</f>
        <v>16.8765</v>
      </c>
      <c r="J580" s="10">
        <f>CHOOSE(CONTROL!$C$42, 16.8795, 16.8795)* CHOOSE(CONTROL!$C$21, $C$9, 100%, $E$9)</f>
        <v>16.8795</v>
      </c>
      <c r="K580" s="54">
        <f>CHOOSE(CONTROL!$C$42, 16.8726, 16.8726) * CHOOSE(CONTROL!$C$21, $C$9, 100%, $E$9)</f>
        <v>16.872599999999998</v>
      </c>
      <c r="L580" s="10">
        <f>CHOOSE(CONTROL!$C$42, 17.6928, 17.6928) * CHOOSE(CONTROL!$C$21, $C$9, 100%, $E$9)</f>
        <v>17.692799999999998</v>
      </c>
      <c r="M580" s="10">
        <f>CHOOSE(CONTROL!$C$42, 16.723, 16.723) * CHOOSE(CONTROL!$C$21, $C$9, 100%, $E$9)</f>
        <v>16.722999999999999</v>
      </c>
      <c r="N580" s="10">
        <f>CHOOSE(CONTROL!$C$42, 16.7408, 16.7408) * CHOOSE(CONTROL!$C$21, $C$9, 100%, $E$9)</f>
        <v>16.7408</v>
      </c>
      <c r="O580" s="10">
        <f>CHOOSE(CONTROL!$C$42, 16.947, 16.947) * CHOOSE(CONTROL!$C$21, $C$9, 100%, $E$9)</f>
        <v>16.946999999999999</v>
      </c>
      <c r="P580" s="10">
        <f>CHOOSE(CONTROL!$C$42, 16.72, 16.72) * CHOOSE(CONTROL!$C$21, $C$9, 100%, $E$9)</f>
        <v>16.72</v>
      </c>
      <c r="Q580" s="10">
        <f>CHOOSE(CONTROL!$C$42, 17.5423, 17.5423) * CHOOSE(CONTROL!$C$21, $C$9, 100%, $E$9)</f>
        <v>17.542300000000001</v>
      </c>
      <c r="R580" s="10">
        <f>CHOOSE(CONTROL!$C$42, 18.1732, 18.1732) * CHOOSE(CONTROL!$C$21, $C$9, 100%, $E$9)</f>
        <v>18.173200000000001</v>
      </c>
      <c r="S580" s="10">
        <f>CHOOSE(CONTROL!$C$42, 16.4069, 16.4069) * CHOOSE(CONTROL!$C$21, $C$9, 100%, $E$9)</f>
        <v>16.4069</v>
      </c>
      <c r="T580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80" s="58">
        <f>(1000*CHOOSE(CONTROL!$C$42, 695, 695)*CHOOSE(CONTROL!$C$42, 0.5599, 0.5599)*CHOOSE(CONTROL!$C$42, 30, 30))/1000000</f>
        <v>11.673914999999997</v>
      </c>
      <c r="V580" s="58">
        <f>(1000*CHOOSE(CONTROL!$C$42, 500, 500)*CHOOSE(CONTROL!$C$42, 0.275, 0.275)*CHOOSE(CONTROL!$C$42, 30, 30))/1000000</f>
        <v>4.125</v>
      </c>
      <c r="W580" s="58">
        <f>(1000*CHOOSE(CONTROL!$C$42, 0.1146, 0.1146)*CHOOSE(CONTROL!$C$42, 121.5, 121.5)*CHOOSE(CONTROL!$C$42, 30, 30))/1000000</f>
        <v>0.417717</v>
      </c>
      <c r="X580" s="58">
        <f>(30*0.1790888*245000/1000000)+(30*0.2374*100000/1000000)</f>
        <v>2.0285026799999999</v>
      </c>
      <c r="Y580" s="58"/>
      <c r="Z580" s="10"/>
      <c r="AA580" s="57"/>
      <c r="AB580" s="51">
        <f>(B580*141.293+C580*267.993+D580*115.016+E580*89.698+F580*40+G580*185+H580*0+I580*100+J580*300)/(141.293+267.993+115.016+89.698+0+40+185+100+300)</f>
        <v>16.926478749959646</v>
      </c>
      <c r="AC580" s="27">
        <f>(M580*'RAP TEMPLATE-GAS AVAILABILITY'!O579+N580*'RAP TEMPLATE-GAS AVAILABILITY'!P579+O580*'RAP TEMPLATE-GAS AVAILABILITY'!Q579+P580*'RAP TEMPLATE-GAS AVAILABILITY'!R579)/('RAP TEMPLATE-GAS AVAILABILITY'!O579+'RAP TEMPLATE-GAS AVAILABILITY'!P579+'RAP TEMPLATE-GAS AVAILABILITY'!Q579+'RAP TEMPLATE-GAS AVAILABILITY'!R579)</f>
        <v>16.789515107913669</v>
      </c>
    </row>
    <row r="581" spans="1:29" ht="15.75" x14ac:dyDescent="0.25">
      <c r="A581" s="13">
        <v>58957</v>
      </c>
      <c r="B581" s="10">
        <f>CHOOSE(CONTROL!$C$42, 17.0491, 17.0491) * CHOOSE(CONTROL!$C$21, $C$9, 100%, $E$9)</f>
        <v>17.049099999999999</v>
      </c>
      <c r="C581" s="10">
        <f>CHOOSE(CONTROL!$C$42, 17.057, 17.057) * CHOOSE(CONTROL!$C$21, $C$9, 100%, $E$9)</f>
        <v>17.056999999999999</v>
      </c>
      <c r="D581" s="10">
        <f>CHOOSE(CONTROL!$C$42, 17.2355, 17.2355) * CHOOSE(CONTROL!$C$21, $C$9, 100%, $E$9)</f>
        <v>17.235499999999998</v>
      </c>
      <c r="E581" s="10">
        <f>CHOOSE(CONTROL!$C$42, 17.2667, 17.2667) * CHOOSE(CONTROL!$C$21, $C$9, 100%, $E$9)</f>
        <v>17.2667</v>
      </c>
      <c r="F581" s="10">
        <f>CHOOSE(CONTROL!$C$42, 17.0353, 17.0353)*CHOOSE(CONTROL!$C$21, $C$9, 100%, $E$9)</f>
        <v>17.035299999999999</v>
      </c>
      <c r="G581" s="10">
        <f>CHOOSE(CONTROL!$C$42, 17.0535, 17.0535)*CHOOSE(CONTROL!$C$21, $C$9, 100%, $E$9)</f>
        <v>17.0535</v>
      </c>
      <c r="H581" s="10">
        <f>CHOOSE(CONTROL!$C$42, 17.2553, 17.2553) * CHOOSE(CONTROL!$C$21, $C$9, 100%, $E$9)</f>
        <v>17.255299999999998</v>
      </c>
      <c r="I581" s="10">
        <f>CHOOSE(CONTROL!$C$42, 17.026, 17.026)* CHOOSE(CONTROL!$C$21, $C$9, 100%, $E$9)</f>
        <v>17.026</v>
      </c>
      <c r="J581" s="10">
        <f>CHOOSE(CONTROL!$C$42, 17.0283, 17.0283)* CHOOSE(CONTROL!$C$21, $C$9, 100%, $E$9)</f>
        <v>17.028300000000002</v>
      </c>
      <c r="K581" s="54">
        <f>CHOOSE(CONTROL!$C$42, 17.0221, 17.0221) * CHOOSE(CONTROL!$C$21, $C$9, 100%, $E$9)</f>
        <v>17.022099999999998</v>
      </c>
      <c r="L581" s="10">
        <f>CHOOSE(CONTROL!$C$42, 17.8423, 17.8423) * CHOOSE(CONTROL!$C$21, $C$9, 100%, $E$9)</f>
        <v>17.842300000000002</v>
      </c>
      <c r="M581" s="10">
        <f>CHOOSE(CONTROL!$C$42, 16.8703, 16.8703) * CHOOSE(CONTROL!$C$21, $C$9, 100%, $E$9)</f>
        <v>16.8703</v>
      </c>
      <c r="N581" s="10">
        <f>CHOOSE(CONTROL!$C$42, 16.8883, 16.8883) * CHOOSE(CONTROL!$C$21, $C$9, 100%, $E$9)</f>
        <v>16.888300000000001</v>
      </c>
      <c r="O581" s="10">
        <f>CHOOSE(CONTROL!$C$42, 17.095, 17.095) * CHOOSE(CONTROL!$C$21, $C$9, 100%, $E$9)</f>
        <v>17.094999999999999</v>
      </c>
      <c r="P581" s="10">
        <f>CHOOSE(CONTROL!$C$42, 16.868, 16.868) * CHOOSE(CONTROL!$C$21, $C$9, 100%, $E$9)</f>
        <v>16.867999999999999</v>
      </c>
      <c r="Q581" s="10">
        <f>CHOOSE(CONTROL!$C$42, 17.6903, 17.6903) * CHOOSE(CONTROL!$C$21, $C$9, 100%, $E$9)</f>
        <v>17.690300000000001</v>
      </c>
      <c r="R581" s="10">
        <f>CHOOSE(CONTROL!$C$42, 18.3215, 18.3215) * CHOOSE(CONTROL!$C$21, $C$9, 100%, $E$9)</f>
        <v>18.3215</v>
      </c>
      <c r="S581" s="10">
        <f>CHOOSE(CONTROL!$C$42, 16.5521, 16.5521) * CHOOSE(CONTROL!$C$21, $C$9, 100%, $E$9)</f>
        <v>16.552099999999999</v>
      </c>
      <c r="T581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81" s="58">
        <f>(1000*CHOOSE(CONTROL!$C$42, 695, 695)*CHOOSE(CONTROL!$C$42, 0.5599, 0.5599)*CHOOSE(CONTROL!$C$42, 31, 31))/1000000</f>
        <v>12.063045499999998</v>
      </c>
      <c r="V581" s="58">
        <f>(1000*CHOOSE(CONTROL!$C$42, 500, 500)*CHOOSE(CONTROL!$C$42, 0.275, 0.275)*CHOOSE(CONTROL!$C$42, 31, 31))/1000000</f>
        <v>4.2625000000000002</v>
      </c>
      <c r="W581" s="58">
        <f>(1000*CHOOSE(CONTROL!$C$42, 0.1146, 0.1146)*CHOOSE(CONTROL!$C$42, 121.5, 121.5)*CHOOSE(CONTROL!$C$42, 31, 31))/1000000</f>
        <v>0.43164089999999994</v>
      </c>
      <c r="X581" s="58">
        <f>(31*0.1790888*245000/1000000)+(31*0.2374*100000/1000000)</f>
        <v>2.0961194359999999</v>
      </c>
      <c r="Y581" s="58"/>
      <c r="Z581" s="10"/>
      <c r="AA581" s="57"/>
      <c r="AB581" s="51">
        <f>(B581*194.205+C581*267.466+D581*133.845+E581*53.484+F581*40+G581*185+H581*0+I581*100+J581*300)/(194.205+267.466+133.845+53.484+0+40+185+100+300)</f>
        <v>17.072971120722134</v>
      </c>
      <c r="AC581" s="27">
        <f>(M581*'RAP TEMPLATE-GAS AVAILABILITY'!O580+N581*'RAP TEMPLATE-GAS AVAILABILITY'!P580+O581*'RAP TEMPLATE-GAS AVAILABILITY'!Q580+P581*'RAP TEMPLATE-GAS AVAILABILITY'!R580)/('RAP TEMPLATE-GAS AVAILABILITY'!O580+'RAP TEMPLATE-GAS AVAILABILITY'!P580+'RAP TEMPLATE-GAS AVAILABILITY'!Q580+'RAP TEMPLATE-GAS AVAILABILITY'!R580)</f>
        <v>16.937158273381293</v>
      </c>
    </row>
    <row r="582" spans="1:29" ht="15.75" x14ac:dyDescent="0.25">
      <c r="A582" s="13">
        <v>58987</v>
      </c>
      <c r="B582" s="10">
        <f>CHOOSE(CONTROL!$C$42, 17.5326, 17.5326) * CHOOSE(CONTROL!$C$21, $C$9, 100%, $E$9)</f>
        <v>17.532599999999999</v>
      </c>
      <c r="C582" s="10">
        <f>CHOOSE(CONTROL!$C$42, 17.5405, 17.5405) * CHOOSE(CONTROL!$C$21, $C$9, 100%, $E$9)</f>
        <v>17.540500000000002</v>
      </c>
      <c r="D582" s="10">
        <f>CHOOSE(CONTROL!$C$42, 17.719, 17.719) * CHOOSE(CONTROL!$C$21, $C$9, 100%, $E$9)</f>
        <v>17.719000000000001</v>
      </c>
      <c r="E582" s="10">
        <f>CHOOSE(CONTROL!$C$42, 17.7501, 17.7501) * CHOOSE(CONTROL!$C$21, $C$9, 100%, $E$9)</f>
        <v>17.7501</v>
      </c>
      <c r="F582" s="10">
        <f>CHOOSE(CONTROL!$C$42, 17.519, 17.519)*CHOOSE(CONTROL!$C$21, $C$9, 100%, $E$9)</f>
        <v>17.518999999999998</v>
      </c>
      <c r="G582" s="10">
        <f>CHOOSE(CONTROL!$C$42, 17.5372, 17.5372)*CHOOSE(CONTROL!$C$21, $C$9, 100%, $E$9)</f>
        <v>17.537199999999999</v>
      </c>
      <c r="H582" s="10">
        <f>CHOOSE(CONTROL!$C$42, 17.7388, 17.7388) * CHOOSE(CONTROL!$C$21, $C$9, 100%, $E$9)</f>
        <v>17.738800000000001</v>
      </c>
      <c r="I582" s="10">
        <f>CHOOSE(CONTROL!$C$42, 17.5094, 17.5094)* CHOOSE(CONTROL!$C$21, $C$9, 100%, $E$9)</f>
        <v>17.509399999999999</v>
      </c>
      <c r="J582" s="10">
        <f>CHOOSE(CONTROL!$C$42, 17.512, 17.512)* CHOOSE(CONTROL!$C$21, $C$9, 100%, $E$9)</f>
        <v>17.512</v>
      </c>
      <c r="K582" s="54">
        <f>CHOOSE(CONTROL!$C$42, 17.5055, 17.5055) * CHOOSE(CONTROL!$C$21, $C$9, 100%, $E$9)</f>
        <v>17.505500000000001</v>
      </c>
      <c r="L582" s="10">
        <f>CHOOSE(CONTROL!$C$42, 18.3258, 18.3258) * CHOOSE(CONTROL!$C$21, $C$9, 100%, $E$9)</f>
        <v>18.325800000000001</v>
      </c>
      <c r="M582" s="10">
        <f>CHOOSE(CONTROL!$C$42, 17.3491, 17.3491) * CHOOSE(CONTROL!$C$21, $C$9, 100%, $E$9)</f>
        <v>17.3491</v>
      </c>
      <c r="N582" s="10">
        <f>CHOOSE(CONTROL!$C$42, 17.3672, 17.3672) * CHOOSE(CONTROL!$C$21, $C$9, 100%, $E$9)</f>
        <v>17.3672</v>
      </c>
      <c r="O582" s="10">
        <f>CHOOSE(CONTROL!$C$42, 17.5736, 17.5736) * CHOOSE(CONTROL!$C$21, $C$9, 100%, $E$9)</f>
        <v>17.573599999999999</v>
      </c>
      <c r="P582" s="10">
        <f>CHOOSE(CONTROL!$C$42, 17.3466, 17.3466) * CHOOSE(CONTROL!$C$21, $C$9, 100%, $E$9)</f>
        <v>17.346599999999999</v>
      </c>
      <c r="Q582" s="10">
        <f>CHOOSE(CONTROL!$C$42, 18.1689, 18.1689) * CHOOSE(CONTROL!$C$21, $C$9, 100%, $E$9)</f>
        <v>18.168900000000001</v>
      </c>
      <c r="R582" s="10">
        <f>CHOOSE(CONTROL!$C$42, 18.8013, 18.8013) * CHOOSE(CONTROL!$C$21, $C$9, 100%, $E$9)</f>
        <v>18.801300000000001</v>
      </c>
      <c r="S582" s="10">
        <f>CHOOSE(CONTROL!$C$42, 17.0216, 17.0216) * CHOOSE(CONTROL!$C$21, $C$9, 100%, $E$9)</f>
        <v>17.021599999999999</v>
      </c>
      <c r="T582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82" s="58">
        <f>(1000*CHOOSE(CONTROL!$C$42, 695, 695)*CHOOSE(CONTROL!$C$42, 0.5599, 0.5599)*CHOOSE(CONTROL!$C$42, 30, 30))/1000000</f>
        <v>11.673914999999997</v>
      </c>
      <c r="V582" s="58">
        <f>(1000*CHOOSE(CONTROL!$C$42, 500, 500)*CHOOSE(CONTROL!$C$42, 0.275, 0.275)*CHOOSE(CONTROL!$C$42, 30, 30))/1000000</f>
        <v>4.125</v>
      </c>
      <c r="W582" s="58">
        <f>(1000*CHOOSE(CONTROL!$C$42, 0.1146, 0.1146)*CHOOSE(CONTROL!$C$42, 121.5, 121.5)*CHOOSE(CONTROL!$C$42, 30, 30))/1000000</f>
        <v>0.417717</v>
      </c>
      <c r="X582" s="58">
        <f>(30*0.1790888*245000/1000000)+(30*0.2374*100000/1000000)</f>
        <v>2.0285026799999999</v>
      </c>
      <c r="Y582" s="58"/>
      <c r="Z582" s="10"/>
      <c r="AA582" s="57"/>
      <c r="AB582" s="51">
        <f>(B582*194.205+C582*267.466+D582*133.845+E582*53.484+F582*40+G582*185+H582*0+I582*100+J582*300)/(194.205+267.466+133.845+53.484+0+40+185+100+300)</f>
        <v>17.556541490894819</v>
      </c>
      <c r="AC582" s="27">
        <f>(M582*'RAP TEMPLATE-GAS AVAILABILITY'!O581+N582*'RAP TEMPLATE-GAS AVAILABILITY'!P581+O582*'RAP TEMPLATE-GAS AVAILABILITY'!Q581+P582*'RAP TEMPLATE-GAS AVAILABILITY'!R581)/('RAP TEMPLATE-GAS AVAILABILITY'!O581+'RAP TEMPLATE-GAS AVAILABILITY'!P581+'RAP TEMPLATE-GAS AVAILABILITY'!Q581+'RAP TEMPLATE-GAS AVAILABILITY'!R581)</f>
        <v>17.415896402877696</v>
      </c>
    </row>
    <row r="583" spans="1:29" ht="15.75" x14ac:dyDescent="0.25">
      <c r="A583" s="13">
        <v>59018</v>
      </c>
      <c r="B583" s="10">
        <f>CHOOSE(CONTROL!$C$42, 17.1963, 17.1963) * CHOOSE(CONTROL!$C$21, $C$9, 100%, $E$9)</f>
        <v>17.196300000000001</v>
      </c>
      <c r="C583" s="10">
        <f>CHOOSE(CONTROL!$C$42, 17.2042, 17.2042) * CHOOSE(CONTROL!$C$21, $C$9, 100%, $E$9)</f>
        <v>17.2042</v>
      </c>
      <c r="D583" s="10">
        <f>CHOOSE(CONTROL!$C$42, 17.3828, 17.3828) * CHOOSE(CONTROL!$C$21, $C$9, 100%, $E$9)</f>
        <v>17.3828</v>
      </c>
      <c r="E583" s="10">
        <f>CHOOSE(CONTROL!$C$42, 17.4139, 17.4139) * CHOOSE(CONTROL!$C$21, $C$9, 100%, $E$9)</f>
        <v>17.413900000000002</v>
      </c>
      <c r="F583" s="10">
        <f>CHOOSE(CONTROL!$C$42, 17.183, 17.183)*CHOOSE(CONTROL!$C$21, $C$9, 100%, $E$9)</f>
        <v>17.183</v>
      </c>
      <c r="G583" s="10">
        <f>CHOOSE(CONTROL!$C$42, 17.2013, 17.2013)*CHOOSE(CONTROL!$C$21, $C$9, 100%, $E$9)</f>
        <v>17.2013</v>
      </c>
      <c r="H583" s="10">
        <f>CHOOSE(CONTROL!$C$42, 17.4025, 17.4025) * CHOOSE(CONTROL!$C$21, $C$9, 100%, $E$9)</f>
        <v>17.4025</v>
      </c>
      <c r="I583" s="10">
        <f>CHOOSE(CONTROL!$C$42, 17.1732, 17.1732)* CHOOSE(CONTROL!$C$21, $C$9, 100%, $E$9)</f>
        <v>17.173200000000001</v>
      </c>
      <c r="J583" s="10">
        <f>CHOOSE(CONTROL!$C$42, 17.176, 17.176)* CHOOSE(CONTROL!$C$21, $C$9, 100%, $E$9)</f>
        <v>17.175999999999998</v>
      </c>
      <c r="K583" s="54">
        <f>CHOOSE(CONTROL!$C$42, 17.1693, 17.1693) * CHOOSE(CONTROL!$C$21, $C$9, 100%, $E$9)</f>
        <v>17.1693</v>
      </c>
      <c r="L583" s="10">
        <f>CHOOSE(CONTROL!$C$42, 17.9895, 17.9895) * CHOOSE(CONTROL!$C$21, $C$9, 100%, $E$9)</f>
        <v>17.9895</v>
      </c>
      <c r="M583" s="10">
        <f>CHOOSE(CONTROL!$C$42, 17.0165, 17.0165) * CHOOSE(CONTROL!$C$21, $C$9, 100%, $E$9)</f>
        <v>17.016500000000001</v>
      </c>
      <c r="N583" s="10">
        <f>CHOOSE(CONTROL!$C$42, 17.0346, 17.0346) * CHOOSE(CONTROL!$C$21, $C$9, 100%, $E$9)</f>
        <v>17.034600000000001</v>
      </c>
      <c r="O583" s="10">
        <f>CHOOSE(CONTROL!$C$42, 17.2407, 17.2407) * CHOOSE(CONTROL!$C$21, $C$9, 100%, $E$9)</f>
        <v>17.2407</v>
      </c>
      <c r="P583" s="10">
        <f>CHOOSE(CONTROL!$C$42, 17.0137, 17.0137) * CHOOSE(CONTROL!$C$21, $C$9, 100%, $E$9)</f>
        <v>17.0137</v>
      </c>
      <c r="Q583" s="10">
        <f>CHOOSE(CONTROL!$C$42, 17.836, 17.836) * CHOOSE(CONTROL!$C$21, $C$9, 100%, $E$9)</f>
        <v>17.835999999999999</v>
      </c>
      <c r="R583" s="10">
        <f>CHOOSE(CONTROL!$C$42, 18.4676, 18.4676) * CHOOSE(CONTROL!$C$21, $C$9, 100%, $E$9)</f>
        <v>18.467600000000001</v>
      </c>
      <c r="S583" s="10">
        <f>CHOOSE(CONTROL!$C$42, 16.6951, 16.6951) * CHOOSE(CONTROL!$C$21, $C$9, 100%, $E$9)</f>
        <v>16.6951</v>
      </c>
      <c r="T583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83" s="58">
        <f>(1000*CHOOSE(CONTROL!$C$42, 695, 695)*CHOOSE(CONTROL!$C$42, 0.5599, 0.5599)*CHOOSE(CONTROL!$C$42, 31, 31))/1000000</f>
        <v>12.063045499999998</v>
      </c>
      <c r="V583" s="58">
        <f>(1000*CHOOSE(CONTROL!$C$42, 500, 500)*CHOOSE(CONTROL!$C$42, 0.275, 0.275)*CHOOSE(CONTROL!$C$42, 31, 31))/1000000</f>
        <v>4.2625000000000002</v>
      </c>
      <c r="W583" s="58">
        <f>(1000*CHOOSE(CONTROL!$C$42, 0.1146, 0.1146)*CHOOSE(CONTROL!$C$42, 121.5, 121.5)*CHOOSE(CONTROL!$C$42, 31, 31))/1000000</f>
        <v>0.43164089999999994</v>
      </c>
      <c r="X583" s="58">
        <f>(31*0.1790888*245000/1000000)+(31*0.2374*100000/1000000)</f>
        <v>2.0961194359999999</v>
      </c>
      <c r="Y583" s="58"/>
      <c r="Z583" s="10"/>
      <c r="AA583" s="57"/>
      <c r="AB583" s="51">
        <f>(B583*194.205+C583*267.466+D583*133.845+E583*53.484+F583*40+G583*185+H583*0+I583*100+J583*300)/(194.205+267.466+133.845+53.484+0+40+185+100+300)</f>
        <v>17.220402191758243</v>
      </c>
      <c r="AC583" s="27">
        <f>(M583*'RAP TEMPLATE-GAS AVAILABILITY'!O582+N583*'RAP TEMPLATE-GAS AVAILABILITY'!P582+O583*'RAP TEMPLATE-GAS AVAILABILITY'!Q582+P583*'RAP TEMPLATE-GAS AVAILABILITY'!R582)/('RAP TEMPLATE-GAS AVAILABILITY'!O582+'RAP TEMPLATE-GAS AVAILABILITY'!P582+'RAP TEMPLATE-GAS AVAILABILITY'!Q582+'RAP TEMPLATE-GAS AVAILABILITY'!R582)</f>
        <v>17.083169064748205</v>
      </c>
    </row>
    <row r="584" spans="1:29" ht="15.75" x14ac:dyDescent="0.25">
      <c r="A584" s="13">
        <v>59049</v>
      </c>
      <c r="B584" s="10">
        <f>CHOOSE(CONTROL!$C$42, 16.3472, 16.3472) * CHOOSE(CONTROL!$C$21, $C$9, 100%, $E$9)</f>
        <v>16.347200000000001</v>
      </c>
      <c r="C584" s="10">
        <f>CHOOSE(CONTROL!$C$42, 16.3551, 16.3551) * CHOOSE(CONTROL!$C$21, $C$9, 100%, $E$9)</f>
        <v>16.3551</v>
      </c>
      <c r="D584" s="10">
        <f>CHOOSE(CONTROL!$C$42, 16.5336, 16.5336) * CHOOSE(CONTROL!$C$21, $C$9, 100%, $E$9)</f>
        <v>16.5336</v>
      </c>
      <c r="E584" s="10">
        <f>CHOOSE(CONTROL!$C$42, 16.5648, 16.5648) * CHOOSE(CONTROL!$C$21, $C$9, 100%, $E$9)</f>
        <v>16.564800000000002</v>
      </c>
      <c r="F584" s="10">
        <f>CHOOSE(CONTROL!$C$42, 16.3338, 16.3338)*CHOOSE(CONTROL!$C$21, $C$9, 100%, $E$9)</f>
        <v>16.3338</v>
      </c>
      <c r="G584" s="10">
        <f>CHOOSE(CONTROL!$C$42, 16.3521, 16.3521)*CHOOSE(CONTROL!$C$21, $C$9, 100%, $E$9)</f>
        <v>16.3521</v>
      </c>
      <c r="H584" s="10">
        <f>CHOOSE(CONTROL!$C$42, 16.5534, 16.5534) * CHOOSE(CONTROL!$C$21, $C$9, 100%, $E$9)</f>
        <v>16.5534</v>
      </c>
      <c r="I584" s="10">
        <f>CHOOSE(CONTROL!$C$42, 16.324, 16.324)* CHOOSE(CONTROL!$C$21, $C$9, 100%, $E$9)</f>
        <v>16.324000000000002</v>
      </c>
      <c r="J584" s="10">
        <f>CHOOSE(CONTROL!$C$42, 16.3268, 16.3268)* CHOOSE(CONTROL!$C$21, $C$9, 100%, $E$9)</f>
        <v>16.326799999999999</v>
      </c>
      <c r="K584" s="54">
        <f>CHOOSE(CONTROL!$C$42, 16.3201, 16.3201) * CHOOSE(CONTROL!$C$21, $C$9, 100%, $E$9)</f>
        <v>16.3201</v>
      </c>
      <c r="L584" s="10">
        <f>CHOOSE(CONTROL!$C$42, 17.1404, 17.1404) * CHOOSE(CONTROL!$C$21, $C$9, 100%, $E$9)</f>
        <v>17.1404</v>
      </c>
      <c r="M584" s="10">
        <f>CHOOSE(CONTROL!$C$42, 16.1759, 16.1759) * CHOOSE(CONTROL!$C$21, $C$9, 100%, $E$9)</f>
        <v>16.175899999999999</v>
      </c>
      <c r="N584" s="10">
        <f>CHOOSE(CONTROL!$C$42, 16.194, 16.194) * CHOOSE(CONTROL!$C$21, $C$9, 100%, $E$9)</f>
        <v>16.193999999999999</v>
      </c>
      <c r="O584" s="10">
        <f>CHOOSE(CONTROL!$C$42, 16.4002, 16.4002) * CHOOSE(CONTROL!$C$21, $C$9, 100%, $E$9)</f>
        <v>16.400200000000002</v>
      </c>
      <c r="P584" s="10">
        <f>CHOOSE(CONTROL!$C$42, 16.1732, 16.1732) * CHOOSE(CONTROL!$C$21, $C$9, 100%, $E$9)</f>
        <v>16.173200000000001</v>
      </c>
      <c r="Q584" s="10">
        <f>CHOOSE(CONTROL!$C$42, 16.9955, 16.9955) * CHOOSE(CONTROL!$C$21, $C$9, 100%, $E$9)</f>
        <v>16.9955</v>
      </c>
      <c r="R584" s="10">
        <f>CHOOSE(CONTROL!$C$42, 17.625, 17.625) * CHOOSE(CONTROL!$C$21, $C$9, 100%, $E$9)</f>
        <v>17.625</v>
      </c>
      <c r="S584" s="10">
        <f>CHOOSE(CONTROL!$C$42, 15.8705, 15.8705) * CHOOSE(CONTROL!$C$21, $C$9, 100%, $E$9)</f>
        <v>15.8705</v>
      </c>
      <c r="T584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84" s="58">
        <f>(1000*CHOOSE(CONTROL!$C$42, 695, 695)*CHOOSE(CONTROL!$C$42, 0.5599, 0.5599)*CHOOSE(CONTROL!$C$42, 31, 31))/1000000</f>
        <v>12.063045499999998</v>
      </c>
      <c r="V584" s="58">
        <f>(1000*CHOOSE(CONTROL!$C$42, 500, 500)*CHOOSE(CONTROL!$C$42, 0.275, 0.275)*CHOOSE(CONTROL!$C$42, 31, 31))/1000000</f>
        <v>4.2625000000000002</v>
      </c>
      <c r="W584" s="58">
        <f>(1000*CHOOSE(CONTROL!$C$42, 0.1146, 0.1146)*CHOOSE(CONTROL!$C$42, 121.5, 121.5)*CHOOSE(CONTROL!$C$42, 31, 31))/1000000</f>
        <v>0.43164089999999994</v>
      </c>
      <c r="X584" s="58">
        <f>(31*0.1790888*245000/1000000)+(31*0.2374*100000/1000000)</f>
        <v>2.0961194359999999</v>
      </c>
      <c r="Y584" s="58"/>
      <c r="Z584" s="10"/>
      <c r="AA584" s="57"/>
      <c r="AB584" s="51">
        <f>(B584*194.205+C584*267.466+D584*133.845+E584*53.484+F584*40+G584*185+H584*0+I584*100+J584*300)/(194.205+267.466+133.845+53.484+0+40+185+100+300)</f>
        <v>16.371242627786501</v>
      </c>
      <c r="AC584" s="27">
        <f>(M584*'RAP TEMPLATE-GAS AVAILABILITY'!O583+N584*'RAP TEMPLATE-GAS AVAILABILITY'!P583+O584*'RAP TEMPLATE-GAS AVAILABILITY'!Q583+P584*'RAP TEMPLATE-GAS AVAILABILITY'!R583)/('RAP TEMPLATE-GAS AVAILABILITY'!O583+'RAP TEMPLATE-GAS AVAILABILITY'!P583+'RAP TEMPLATE-GAS AVAILABILITY'!Q583+'RAP TEMPLATE-GAS AVAILABILITY'!R583)</f>
        <v>16.242611510791367</v>
      </c>
    </row>
    <row r="585" spans="1:29" ht="15.75" x14ac:dyDescent="0.25">
      <c r="A585" s="13">
        <v>59079</v>
      </c>
      <c r="B585" s="10">
        <f>CHOOSE(CONTROL!$C$42, 15.3097, 15.3097) * CHOOSE(CONTROL!$C$21, $C$9, 100%, $E$9)</f>
        <v>15.309699999999999</v>
      </c>
      <c r="C585" s="10">
        <f>CHOOSE(CONTROL!$C$42, 15.3176, 15.3176) * CHOOSE(CONTROL!$C$21, $C$9, 100%, $E$9)</f>
        <v>15.317600000000001</v>
      </c>
      <c r="D585" s="10">
        <f>CHOOSE(CONTROL!$C$42, 15.4961, 15.4961) * CHOOSE(CONTROL!$C$21, $C$9, 100%, $E$9)</f>
        <v>15.4961</v>
      </c>
      <c r="E585" s="10">
        <f>CHOOSE(CONTROL!$C$42, 15.5273, 15.5273) * CHOOSE(CONTROL!$C$21, $C$9, 100%, $E$9)</f>
        <v>15.5273</v>
      </c>
      <c r="F585" s="10">
        <f>CHOOSE(CONTROL!$C$42, 15.296, 15.296)*CHOOSE(CONTROL!$C$21, $C$9, 100%, $E$9)</f>
        <v>15.295999999999999</v>
      </c>
      <c r="G585" s="10">
        <f>CHOOSE(CONTROL!$C$42, 15.3143, 15.3143)*CHOOSE(CONTROL!$C$21, $C$9, 100%, $E$9)</f>
        <v>15.314299999999999</v>
      </c>
      <c r="H585" s="10">
        <f>CHOOSE(CONTROL!$C$42, 15.5159, 15.5159) * CHOOSE(CONTROL!$C$21, $C$9, 100%, $E$9)</f>
        <v>15.5159</v>
      </c>
      <c r="I585" s="10">
        <f>CHOOSE(CONTROL!$C$42, 15.2865, 15.2865)* CHOOSE(CONTROL!$C$21, $C$9, 100%, $E$9)</f>
        <v>15.2865</v>
      </c>
      <c r="J585" s="10">
        <f>CHOOSE(CONTROL!$C$42, 15.289, 15.289)* CHOOSE(CONTROL!$C$21, $C$9, 100%, $E$9)</f>
        <v>15.289</v>
      </c>
      <c r="K585" s="54">
        <f>CHOOSE(CONTROL!$C$42, 15.2827, 15.2827) * CHOOSE(CONTROL!$C$21, $C$9, 100%, $E$9)</f>
        <v>15.2827</v>
      </c>
      <c r="L585" s="10">
        <f>CHOOSE(CONTROL!$C$42, 16.1029, 16.1029) * CHOOSE(CONTROL!$C$21, $C$9, 100%, $E$9)</f>
        <v>16.102900000000002</v>
      </c>
      <c r="M585" s="10">
        <f>CHOOSE(CONTROL!$C$42, 15.1486, 15.1486) * CHOOSE(CONTROL!$C$21, $C$9, 100%, $E$9)</f>
        <v>15.1486</v>
      </c>
      <c r="N585" s="10">
        <f>CHOOSE(CONTROL!$C$42, 15.1666, 15.1666) * CHOOSE(CONTROL!$C$21, $C$9, 100%, $E$9)</f>
        <v>15.166600000000001</v>
      </c>
      <c r="O585" s="10">
        <f>CHOOSE(CONTROL!$C$42, 15.3731, 15.3731) * CHOOSE(CONTROL!$C$21, $C$9, 100%, $E$9)</f>
        <v>15.373100000000001</v>
      </c>
      <c r="P585" s="10">
        <f>CHOOSE(CONTROL!$C$42, 15.1461, 15.1461) * CHOOSE(CONTROL!$C$21, $C$9, 100%, $E$9)</f>
        <v>15.146100000000001</v>
      </c>
      <c r="Q585" s="10">
        <f>CHOOSE(CONTROL!$C$42, 15.9684, 15.9684) * CHOOSE(CONTROL!$C$21, $C$9, 100%, $E$9)</f>
        <v>15.968400000000001</v>
      </c>
      <c r="R585" s="10">
        <f>CHOOSE(CONTROL!$C$42, 16.5954, 16.5954) * CHOOSE(CONTROL!$C$21, $C$9, 100%, $E$9)</f>
        <v>16.595400000000001</v>
      </c>
      <c r="S585" s="10">
        <f>CHOOSE(CONTROL!$C$42, 14.863, 14.863) * CHOOSE(CONTROL!$C$21, $C$9, 100%, $E$9)</f>
        <v>14.863</v>
      </c>
      <c r="T585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85" s="58">
        <f>(1000*CHOOSE(CONTROL!$C$42, 695, 695)*CHOOSE(CONTROL!$C$42, 0.5599, 0.5599)*CHOOSE(CONTROL!$C$42, 30, 30))/1000000</f>
        <v>11.673914999999997</v>
      </c>
      <c r="V585" s="58">
        <f>(1000*CHOOSE(CONTROL!$C$42, 500, 500)*CHOOSE(CONTROL!$C$42, 0.275, 0.275)*CHOOSE(CONTROL!$C$42, 30, 30))/1000000</f>
        <v>4.125</v>
      </c>
      <c r="W585" s="58">
        <f>(1000*CHOOSE(CONTROL!$C$42, 0.1146, 0.1146)*CHOOSE(CONTROL!$C$42, 121.5, 121.5)*CHOOSE(CONTROL!$C$42, 30, 30))/1000000</f>
        <v>0.417717</v>
      </c>
      <c r="X585" s="58">
        <f>(30*0.1790888*245000/1000000)+(30*0.2374*100000/1000000)</f>
        <v>2.0285026799999999</v>
      </c>
      <c r="Y585" s="58"/>
      <c r="Z585" s="10"/>
      <c r="AA585" s="57"/>
      <c r="AB585" s="51">
        <f>(B585*194.205+C585*267.466+D585*133.845+E585*53.484+F585*40+G585*185+H585*0+I585*100+J585*300)/(194.205+267.466+133.845+53.484+0+40+185+100+300)</f>
        <v>15.333619001412872</v>
      </c>
      <c r="AC585" s="27">
        <f>(M585*'RAP TEMPLATE-GAS AVAILABILITY'!O584+N585*'RAP TEMPLATE-GAS AVAILABILITY'!P584+O585*'RAP TEMPLATE-GAS AVAILABILITY'!Q584+P585*'RAP TEMPLATE-GAS AVAILABILITY'!R584)/('RAP TEMPLATE-GAS AVAILABILITY'!O584+'RAP TEMPLATE-GAS AVAILABILITY'!P584+'RAP TEMPLATE-GAS AVAILABILITY'!Q584+'RAP TEMPLATE-GAS AVAILABILITY'!R584)</f>
        <v>15.215373381294963</v>
      </c>
    </row>
    <row r="586" spans="1:29" ht="15.75" x14ac:dyDescent="0.25">
      <c r="A586" s="13">
        <v>59110</v>
      </c>
      <c r="B586" s="10">
        <f>CHOOSE(CONTROL!$C$42, 14.9968, 14.9968) * CHOOSE(CONTROL!$C$21, $C$9, 100%, $E$9)</f>
        <v>14.9968</v>
      </c>
      <c r="C586" s="10">
        <f>CHOOSE(CONTROL!$C$42, 15.002, 15.002) * CHOOSE(CONTROL!$C$21, $C$9, 100%, $E$9)</f>
        <v>15.002000000000001</v>
      </c>
      <c r="D586" s="10">
        <f>CHOOSE(CONTROL!$C$42, 15.1855, 15.1855) * CHOOSE(CONTROL!$C$21, $C$9, 100%, $E$9)</f>
        <v>15.185499999999999</v>
      </c>
      <c r="E586" s="10">
        <f>CHOOSE(CONTROL!$C$42, 15.2143, 15.2143) * CHOOSE(CONTROL!$C$21, $C$9, 100%, $E$9)</f>
        <v>15.2143</v>
      </c>
      <c r="F586" s="10">
        <f>CHOOSE(CONTROL!$C$42, 14.9851, 14.9851)*CHOOSE(CONTROL!$C$21, $C$9, 100%, $E$9)</f>
        <v>14.985099999999999</v>
      </c>
      <c r="G586" s="10">
        <f>CHOOSE(CONTROL!$C$42, 15.003, 15.003)*CHOOSE(CONTROL!$C$21, $C$9, 100%, $E$9)</f>
        <v>15.003</v>
      </c>
      <c r="H586" s="10">
        <f>CHOOSE(CONTROL!$C$42, 15.2048, 15.2048) * CHOOSE(CONTROL!$C$21, $C$9, 100%, $E$9)</f>
        <v>15.204800000000001</v>
      </c>
      <c r="I586" s="10">
        <f>CHOOSE(CONTROL!$C$42, 14.9754, 14.9754)* CHOOSE(CONTROL!$C$21, $C$9, 100%, $E$9)</f>
        <v>14.9754</v>
      </c>
      <c r="J586" s="10">
        <f>CHOOSE(CONTROL!$C$42, 14.9781, 14.9781)* CHOOSE(CONTROL!$C$21, $C$9, 100%, $E$9)</f>
        <v>14.9781</v>
      </c>
      <c r="K586" s="54">
        <f>CHOOSE(CONTROL!$C$42, 14.9715, 14.9715) * CHOOSE(CONTROL!$C$21, $C$9, 100%, $E$9)</f>
        <v>14.971500000000001</v>
      </c>
      <c r="L586" s="10">
        <f>CHOOSE(CONTROL!$C$42, 15.7918, 15.7918) * CHOOSE(CONTROL!$C$21, $C$9, 100%, $E$9)</f>
        <v>15.7918</v>
      </c>
      <c r="M586" s="10">
        <f>CHOOSE(CONTROL!$C$42, 14.8408, 14.8408) * CHOOSE(CONTROL!$C$21, $C$9, 100%, $E$9)</f>
        <v>14.8408</v>
      </c>
      <c r="N586" s="10">
        <f>CHOOSE(CONTROL!$C$42, 14.8585, 14.8585) * CHOOSE(CONTROL!$C$21, $C$9, 100%, $E$9)</f>
        <v>14.858499999999999</v>
      </c>
      <c r="O586" s="10">
        <f>CHOOSE(CONTROL!$C$42, 15.0652, 15.0652) * CHOOSE(CONTROL!$C$21, $C$9, 100%, $E$9)</f>
        <v>15.065200000000001</v>
      </c>
      <c r="P586" s="10">
        <f>CHOOSE(CONTROL!$C$42, 14.8382, 14.8382) * CHOOSE(CONTROL!$C$21, $C$9, 100%, $E$9)</f>
        <v>14.838200000000001</v>
      </c>
      <c r="Q586" s="10">
        <f>CHOOSE(CONTROL!$C$42, 15.6605, 15.6605) * CHOOSE(CONTROL!$C$21, $C$9, 100%, $E$9)</f>
        <v>15.660500000000001</v>
      </c>
      <c r="R586" s="10">
        <f>CHOOSE(CONTROL!$C$42, 16.2866, 16.2866) * CHOOSE(CONTROL!$C$21, $C$9, 100%, $E$9)</f>
        <v>16.2866</v>
      </c>
      <c r="S586" s="10">
        <f>CHOOSE(CONTROL!$C$42, 14.5608, 14.5608) * CHOOSE(CONTROL!$C$21, $C$9, 100%, $E$9)</f>
        <v>14.5608</v>
      </c>
      <c r="T586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86" s="58">
        <f>(1000*CHOOSE(CONTROL!$C$42, 695, 695)*CHOOSE(CONTROL!$C$42, 0.5599, 0.5599)*CHOOSE(CONTROL!$C$42, 31, 31))/1000000</f>
        <v>12.063045499999998</v>
      </c>
      <c r="V586" s="58">
        <f>(1000*CHOOSE(CONTROL!$C$42, 500, 500)*CHOOSE(CONTROL!$C$42, 0.275, 0.275)*CHOOSE(CONTROL!$C$42, 31, 31))/1000000</f>
        <v>4.2625000000000002</v>
      </c>
      <c r="W586" s="58">
        <f>(1000*CHOOSE(CONTROL!$C$42, 0.1146, 0.1146)*CHOOSE(CONTROL!$C$42, 121.5, 121.5)*CHOOSE(CONTROL!$C$42, 31, 31))/1000000</f>
        <v>0.43164089999999994</v>
      </c>
      <c r="X586" s="58">
        <f>(31*0.1790888*245000/1000000)+(31*0.2374*100000/1000000)</f>
        <v>2.0961194359999999</v>
      </c>
      <c r="Y586" s="58"/>
      <c r="Z586" s="10"/>
      <c r="AA586" s="57"/>
      <c r="AB586" s="51">
        <f>(B586*131.881+C586*277.167+D586*79.08+E586*125.872+F586*40+G586*185+H586*0+I586*100+J586*300)/(131.881+277.167+79.08+125.872+0+40+185+100+300)</f>
        <v>15.026396307021793</v>
      </c>
      <c r="AC586" s="27">
        <f>(M586*'RAP TEMPLATE-GAS AVAILABILITY'!O585+N586*'RAP TEMPLATE-GAS AVAILABILITY'!P585+O586*'RAP TEMPLATE-GAS AVAILABILITY'!Q585+P586*'RAP TEMPLATE-GAS AVAILABILITY'!R585)/('RAP TEMPLATE-GAS AVAILABILITY'!O585+'RAP TEMPLATE-GAS AVAILABILITY'!P585+'RAP TEMPLATE-GAS AVAILABILITY'!Q585+'RAP TEMPLATE-GAS AVAILABILITY'!R585)</f>
        <v>14.907461870503596</v>
      </c>
    </row>
    <row r="587" spans="1:29" ht="15.75" x14ac:dyDescent="0.25">
      <c r="A587" s="13">
        <v>59140</v>
      </c>
      <c r="B587" s="10">
        <f>CHOOSE(CONTROL!$C$42, 15.3914, 15.3914) * CHOOSE(CONTROL!$C$21, $C$9, 100%, $E$9)</f>
        <v>15.391400000000001</v>
      </c>
      <c r="C587" s="10">
        <f>CHOOSE(CONTROL!$C$42, 15.3963, 15.3963) * CHOOSE(CONTROL!$C$21, $C$9, 100%, $E$9)</f>
        <v>15.3963</v>
      </c>
      <c r="D587" s="10">
        <f>CHOOSE(CONTROL!$C$42, 15.4259, 15.4259) * CHOOSE(CONTROL!$C$21, $C$9, 100%, $E$9)</f>
        <v>15.4259</v>
      </c>
      <c r="E587" s="10">
        <f>CHOOSE(CONTROL!$C$42, 15.4597, 15.4597) * CHOOSE(CONTROL!$C$21, $C$9, 100%, $E$9)</f>
        <v>15.4597</v>
      </c>
      <c r="F587" s="10">
        <f>CHOOSE(CONTROL!$C$42, 15.3771, 15.3771)*CHOOSE(CONTROL!$C$21, $C$9, 100%, $E$9)</f>
        <v>15.3771</v>
      </c>
      <c r="G587" s="10">
        <f>CHOOSE(CONTROL!$C$42, 15.3952, 15.3952)*CHOOSE(CONTROL!$C$21, $C$9, 100%, $E$9)</f>
        <v>15.395200000000001</v>
      </c>
      <c r="H587" s="10">
        <f>CHOOSE(CONTROL!$C$42, 15.4489, 15.4489) * CHOOSE(CONTROL!$C$21, $C$9, 100%, $E$9)</f>
        <v>15.4489</v>
      </c>
      <c r="I587" s="10">
        <f>CHOOSE(CONTROL!$C$42, 15.3575, 15.3575)* CHOOSE(CONTROL!$C$21, $C$9, 100%, $E$9)</f>
        <v>15.3575</v>
      </c>
      <c r="J587" s="10">
        <f>CHOOSE(CONTROL!$C$42, 15.3701, 15.3701)* CHOOSE(CONTROL!$C$21, $C$9, 100%, $E$9)</f>
        <v>15.370100000000001</v>
      </c>
      <c r="K587" s="54">
        <f>CHOOSE(CONTROL!$C$42, 15.3537, 15.3537) * CHOOSE(CONTROL!$C$21, $C$9, 100%, $E$9)</f>
        <v>15.3537</v>
      </c>
      <c r="L587" s="10">
        <f>CHOOSE(CONTROL!$C$42, 16.0359, 16.0359) * CHOOSE(CONTROL!$C$21, $C$9, 100%, $E$9)</f>
        <v>16.035900000000002</v>
      </c>
      <c r="M587" s="10">
        <f>CHOOSE(CONTROL!$C$42, 15.2288, 15.2288) * CHOOSE(CONTROL!$C$21, $C$9, 100%, $E$9)</f>
        <v>15.2288</v>
      </c>
      <c r="N587" s="10">
        <f>CHOOSE(CONTROL!$C$42, 15.2467, 15.2467) * CHOOSE(CONTROL!$C$21, $C$9, 100%, $E$9)</f>
        <v>15.246700000000001</v>
      </c>
      <c r="O587" s="10">
        <f>CHOOSE(CONTROL!$C$42, 15.3068, 15.3068) * CHOOSE(CONTROL!$C$21, $C$9, 100%, $E$9)</f>
        <v>15.306800000000001</v>
      </c>
      <c r="P587" s="10">
        <f>CHOOSE(CONTROL!$C$42, 15.2164, 15.2164) * CHOOSE(CONTROL!$C$21, $C$9, 100%, $E$9)</f>
        <v>15.2164</v>
      </c>
      <c r="Q587" s="10">
        <f>CHOOSE(CONTROL!$C$42, 15.9021, 15.9021) * CHOOSE(CONTROL!$C$21, $C$9, 100%, $E$9)</f>
        <v>15.902100000000001</v>
      </c>
      <c r="R587" s="10">
        <f>CHOOSE(CONTROL!$C$42, 16.5289, 16.5289) * CHOOSE(CONTROL!$C$21, $C$9, 100%, $E$9)</f>
        <v>16.5289</v>
      </c>
      <c r="S587" s="10">
        <f>CHOOSE(CONTROL!$C$42, 14.9444, 14.9444) * CHOOSE(CONTROL!$C$21, $C$9, 100%, $E$9)</f>
        <v>14.9444</v>
      </c>
      <c r="T587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87" s="58">
        <f>(1000*CHOOSE(CONTROL!$C$42, 695, 695)*CHOOSE(CONTROL!$C$42, 0.5599, 0.5599)*CHOOSE(CONTROL!$C$42, 30, 30))/1000000</f>
        <v>11.673914999999997</v>
      </c>
      <c r="V587" s="58">
        <f>(1000*CHOOSE(CONTROL!$C$42, 500, 500)*CHOOSE(CONTROL!$C$42, 0.275, 0.275)*CHOOSE(CONTROL!$C$42, 30, 30))/1000000</f>
        <v>4.125</v>
      </c>
      <c r="W587" s="58">
        <f>(1000*CHOOSE(CONTROL!$C$42, 0.1146, 0.1146)*CHOOSE(CONTROL!$C$42, 121.5, 121.5)*CHOOSE(CONTROL!$C$42, 30, 30))/1000000</f>
        <v>0.417717</v>
      </c>
      <c r="X587" s="58">
        <f>(30*0.1790888*100000/1000000)+(30*0.2374*100000/1000000)</f>
        <v>1.2494664</v>
      </c>
      <c r="Y587" s="58"/>
      <c r="Z587" s="10"/>
      <c r="AA587" s="57"/>
      <c r="AB587" s="51">
        <f>(B587*122.58+C587*297.941+D587*89.177+E587*40.302+F587*40+G587*160+H587*0+I587*100+J587*300)/(122.58+297.941+89.177+40.302+0+40+160+100+300)</f>
        <v>15.389265342608695</v>
      </c>
      <c r="AC587" s="27">
        <f>(M587*'RAP TEMPLATE-GAS AVAILABILITY'!O586+N587*'RAP TEMPLATE-GAS AVAILABILITY'!P586+O587*'RAP TEMPLATE-GAS AVAILABILITY'!Q586+P587*'RAP TEMPLATE-GAS AVAILABILITY'!R586)/('RAP TEMPLATE-GAS AVAILABILITY'!O586+'RAP TEMPLATE-GAS AVAILABILITY'!P586+'RAP TEMPLATE-GAS AVAILABILITY'!Q586+'RAP TEMPLATE-GAS AVAILABILITY'!R586)</f>
        <v>15.263398561151076</v>
      </c>
    </row>
    <row r="588" spans="1:29" ht="15.75" x14ac:dyDescent="0.25">
      <c r="A588" s="13">
        <v>59171</v>
      </c>
      <c r="B588" s="10">
        <f>CHOOSE(CONTROL!$C$42, 16.4405, 16.4405) * CHOOSE(CONTROL!$C$21, $C$9, 100%, $E$9)</f>
        <v>16.4405</v>
      </c>
      <c r="C588" s="10">
        <f>CHOOSE(CONTROL!$C$42, 16.4455, 16.4455) * CHOOSE(CONTROL!$C$21, $C$9, 100%, $E$9)</f>
        <v>16.445499999999999</v>
      </c>
      <c r="D588" s="10">
        <f>CHOOSE(CONTROL!$C$42, 16.4751, 16.4751) * CHOOSE(CONTROL!$C$21, $C$9, 100%, $E$9)</f>
        <v>16.475100000000001</v>
      </c>
      <c r="E588" s="10">
        <f>CHOOSE(CONTROL!$C$42, 16.5089, 16.5089) * CHOOSE(CONTROL!$C$21, $C$9, 100%, $E$9)</f>
        <v>16.508900000000001</v>
      </c>
      <c r="F588" s="10">
        <f>CHOOSE(CONTROL!$C$42, 16.4278, 16.4278)*CHOOSE(CONTROL!$C$21, $C$9, 100%, $E$9)</f>
        <v>16.427800000000001</v>
      </c>
      <c r="G588" s="10">
        <f>CHOOSE(CONTROL!$C$42, 16.4463, 16.4463)*CHOOSE(CONTROL!$C$21, $C$9, 100%, $E$9)</f>
        <v>16.446300000000001</v>
      </c>
      <c r="H588" s="10">
        <f>CHOOSE(CONTROL!$C$42, 16.4981, 16.4981) * CHOOSE(CONTROL!$C$21, $C$9, 100%, $E$9)</f>
        <v>16.498100000000001</v>
      </c>
      <c r="I588" s="10">
        <f>CHOOSE(CONTROL!$C$42, 16.4067, 16.4067)* CHOOSE(CONTROL!$C$21, $C$9, 100%, $E$9)</f>
        <v>16.406700000000001</v>
      </c>
      <c r="J588" s="10">
        <f>CHOOSE(CONTROL!$C$42, 16.4208, 16.4208)* CHOOSE(CONTROL!$C$21, $C$9, 100%, $E$9)</f>
        <v>16.4208</v>
      </c>
      <c r="K588" s="54">
        <f>CHOOSE(CONTROL!$C$42, 16.4028, 16.4028) * CHOOSE(CONTROL!$C$21, $C$9, 100%, $E$9)</f>
        <v>16.402799999999999</v>
      </c>
      <c r="L588" s="10">
        <f>CHOOSE(CONTROL!$C$42, 17.0851, 17.0851) * CHOOSE(CONTROL!$C$21, $C$9, 100%, $E$9)</f>
        <v>17.085100000000001</v>
      </c>
      <c r="M588" s="10">
        <f>CHOOSE(CONTROL!$C$42, 16.269, 16.269) * CHOOSE(CONTROL!$C$21, $C$9, 100%, $E$9)</f>
        <v>16.268999999999998</v>
      </c>
      <c r="N588" s="10">
        <f>CHOOSE(CONTROL!$C$42, 16.2872, 16.2872) * CHOOSE(CONTROL!$C$21, $C$9, 100%, $E$9)</f>
        <v>16.287199999999999</v>
      </c>
      <c r="O588" s="10">
        <f>CHOOSE(CONTROL!$C$42, 16.3454, 16.3454) * CHOOSE(CONTROL!$C$21, $C$9, 100%, $E$9)</f>
        <v>16.345400000000001</v>
      </c>
      <c r="P588" s="10">
        <f>CHOOSE(CONTROL!$C$42, 16.255, 16.255) * CHOOSE(CONTROL!$C$21, $C$9, 100%, $E$9)</f>
        <v>16.254999999999999</v>
      </c>
      <c r="Q588" s="10">
        <f>CHOOSE(CONTROL!$C$42, 16.9407, 16.9407) * CHOOSE(CONTROL!$C$21, $C$9, 100%, $E$9)</f>
        <v>16.9407</v>
      </c>
      <c r="R588" s="10">
        <f>CHOOSE(CONTROL!$C$42, 17.5701, 17.5701) * CHOOSE(CONTROL!$C$21, $C$9, 100%, $E$9)</f>
        <v>17.5701</v>
      </c>
      <c r="S588" s="10">
        <f>CHOOSE(CONTROL!$C$42, 15.9633, 15.9633) * CHOOSE(CONTROL!$C$21, $C$9, 100%, $E$9)</f>
        <v>15.9633</v>
      </c>
      <c r="T588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588" s="58">
        <f>(1000*CHOOSE(CONTROL!$C$42, 695, 695)*CHOOSE(CONTROL!$C$42, 0.5599, 0.5599)*CHOOSE(CONTROL!$C$42, 31, 31))/1000000</f>
        <v>12.063045499999998</v>
      </c>
      <c r="V588" s="58">
        <f>(1000*CHOOSE(CONTROL!$C$42, 500, 500)*CHOOSE(CONTROL!$C$42, 0.275, 0.275)*CHOOSE(CONTROL!$C$42, 31, 31))/1000000</f>
        <v>4.2625000000000002</v>
      </c>
      <c r="W588" s="58">
        <f>(1000*CHOOSE(CONTROL!$C$42, 0.1146, 0.1146)*CHOOSE(CONTROL!$C$42, 121.5, 121.5)*CHOOSE(CONTROL!$C$42, 31, 31))/1000000</f>
        <v>0.43164089999999994</v>
      </c>
      <c r="X588" s="58">
        <f>(31*0.1790888*100000/1000000)+(31*0.2374*100000/1000000)</f>
        <v>1.2911152800000001</v>
      </c>
      <c r="Y588" s="58"/>
      <c r="Z588" s="10"/>
      <c r="AA588" s="57"/>
      <c r="AB588" s="51">
        <f>(B588*122.58+C588*297.941+D588*89.177+E588*40.302+F588*40+G588*160+H588*0+I588*100+J588*300)/(122.58+297.941+89.177+40.302+0+40+160+100+300)</f>
        <v>16.439162509565215</v>
      </c>
      <c r="AC588" s="27">
        <f>(M588*'RAP TEMPLATE-GAS AVAILABILITY'!O587+N588*'RAP TEMPLATE-GAS AVAILABILITY'!P587+O588*'RAP TEMPLATE-GAS AVAILABILITY'!Q587+P588*'RAP TEMPLATE-GAS AVAILABILITY'!R587)/('RAP TEMPLATE-GAS AVAILABILITY'!O587+'RAP TEMPLATE-GAS AVAILABILITY'!P587+'RAP TEMPLATE-GAS AVAILABILITY'!Q587+'RAP TEMPLATE-GAS AVAILABILITY'!R587)</f>
        <v>16.302660431654676</v>
      </c>
    </row>
    <row r="589" spans="1:29" ht="15.75" x14ac:dyDescent="0.25">
      <c r="A589" s="13">
        <v>59202</v>
      </c>
      <c r="B589" s="10">
        <f>CHOOSE(CONTROL!$C$42, 17.55, 17.55) * CHOOSE(CONTROL!$C$21, $C$9, 100%, $E$9)</f>
        <v>17.55</v>
      </c>
      <c r="C589" s="10">
        <f>CHOOSE(CONTROL!$C$42, 17.5549, 17.5549) * CHOOSE(CONTROL!$C$21, $C$9, 100%, $E$9)</f>
        <v>17.5549</v>
      </c>
      <c r="D589" s="10">
        <f>CHOOSE(CONTROL!$C$42, 17.6051, 17.6051) * CHOOSE(CONTROL!$C$21, $C$9, 100%, $E$9)</f>
        <v>17.6051</v>
      </c>
      <c r="E589" s="10">
        <f>CHOOSE(CONTROL!$C$42, 17.6389, 17.6389) * CHOOSE(CONTROL!$C$21, $C$9, 100%, $E$9)</f>
        <v>17.6389</v>
      </c>
      <c r="F589" s="10">
        <f>CHOOSE(CONTROL!$C$42, 17.5153, 17.5153)*CHOOSE(CONTROL!$C$21, $C$9, 100%, $E$9)</f>
        <v>17.5153</v>
      </c>
      <c r="G589" s="10">
        <f>CHOOSE(CONTROL!$C$42, 17.5329, 17.5329)*CHOOSE(CONTROL!$C$21, $C$9, 100%, $E$9)</f>
        <v>17.532900000000001</v>
      </c>
      <c r="H589" s="10">
        <f>CHOOSE(CONTROL!$C$42, 17.6281, 17.6281) * CHOOSE(CONTROL!$C$21, $C$9, 100%, $E$9)</f>
        <v>17.6281</v>
      </c>
      <c r="I589" s="10">
        <f>CHOOSE(CONTROL!$C$42, 17.5239, 17.5239)* CHOOSE(CONTROL!$C$21, $C$9, 100%, $E$9)</f>
        <v>17.523900000000001</v>
      </c>
      <c r="J589" s="10">
        <f>CHOOSE(CONTROL!$C$42, 17.5083, 17.5083)* CHOOSE(CONTROL!$C$21, $C$9, 100%, $E$9)</f>
        <v>17.508299999999998</v>
      </c>
      <c r="K589" s="54">
        <f>CHOOSE(CONTROL!$C$42, 17.52, 17.52) * CHOOSE(CONTROL!$C$21, $C$9, 100%, $E$9)</f>
        <v>17.52</v>
      </c>
      <c r="L589" s="10">
        <f>CHOOSE(CONTROL!$C$42, 18.2151, 18.2151) * CHOOSE(CONTROL!$C$21, $C$9, 100%, $E$9)</f>
        <v>18.2151</v>
      </c>
      <c r="M589" s="10">
        <f>CHOOSE(CONTROL!$C$42, 17.3455, 17.3455) * CHOOSE(CONTROL!$C$21, $C$9, 100%, $E$9)</f>
        <v>17.345500000000001</v>
      </c>
      <c r="N589" s="10">
        <f>CHOOSE(CONTROL!$C$42, 17.3629, 17.3629) * CHOOSE(CONTROL!$C$21, $C$9, 100%, $E$9)</f>
        <v>17.3629</v>
      </c>
      <c r="O589" s="10">
        <f>CHOOSE(CONTROL!$C$42, 17.464, 17.464) * CHOOSE(CONTROL!$C$21, $C$9, 100%, $E$9)</f>
        <v>17.463999999999999</v>
      </c>
      <c r="P589" s="10">
        <f>CHOOSE(CONTROL!$C$42, 17.3609, 17.3609) * CHOOSE(CONTROL!$C$21, $C$9, 100%, $E$9)</f>
        <v>17.360900000000001</v>
      </c>
      <c r="Q589" s="10">
        <f>CHOOSE(CONTROL!$C$42, 18.0593, 18.0593) * CHOOSE(CONTROL!$C$21, $C$9, 100%, $E$9)</f>
        <v>18.0593</v>
      </c>
      <c r="R589" s="10">
        <f>CHOOSE(CONTROL!$C$42, 18.6915, 18.6915) * CHOOSE(CONTROL!$C$21, $C$9, 100%, $E$9)</f>
        <v>18.691500000000001</v>
      </c>
      <c r="S589" s="10">
        <f>CHOOSE(CONTROL!$C$42, 17.0407, 17.0407) * CHOOSE(CONTROL!$C$21, $C$9, 100%, $E$9)</f>
        <v>17.040700000000001</v>
      </c>
      <c r="T589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589" s="58">
        <f>(1000*CHOOSE(CONTROL!$C$42, 695, 695)*CHOOSE(CONTROL!$C$42, 0.5599, 0.5599)*CHOOSE(CONTROL!$C$42, 31, 31))/1000000</f>
        <v>12.063045499999998</v>
      </c>
      <c r="V589" s="58">
        <f>(1000*CHOOSE(CONTROL!$C$42, 500, 500)*CHOOSE(CONTROL!$C$42, 0.275, 0.275)*CHOOSE(CONTROL!$C$42, 31, 31))/1000000</f>
        <v>4.2625000000000002</v>
      </c>
      <c r="W589" s="58">
        <f>(1000*CHOOSE(CONTROL!$C$42, 0.1146, 0.1146)*CHOOSE(CONTROL!$C$42, 121.5, 121.5)*CHOOSE(CONTROL!$C$42, 31, 31))/1000000</f>
        <v>0.43164089999999994</v>
      </c>
      <c r="X589" s="58">
        <f>(31*0.1790888*100000/1000000)+(31*0.2374*100000/1000000)</f>
        <v>1.2911152800000001</v>
      </c>
      <c r="Y589" s="58"/>
      <c r="Z589" s="10"/>
      <c r="AA589" s="57"/>
      <c r="AB589" s="51">
        <f>(B589*122.58+C589*297.941+D589*89.177+E589*40.302+F589*40+G589*160+H589*0+I589*100+J589*300)/(122.58+297.941+89.177+40.302+0+40+160+100+300)</f>
        <v>17.541923835999995</v>
      </c>
      <c r="AC589" s="27">
        <f>(M589*'RAP TEMPLATE-GAS AVAILABILITY'!O588+N589*'RAP TEMPLATE-GAS AVAILABILITY'!P588+O589*'RAP TEMPLATE-GAS AVAILABILITY'!Q588+P589*'RAP TEMPLATE-GAS AVAILABILITY'!R588)/('RAP TEMPLATE-GAS AVAILABILITY'!O588+'RAP TEMPLATE-GAS AVAILABILITY'!P588+'RAP TEMPLATE-GAS AVAILABILITY'!Q588+'RAP TEMPLATE-GAS AVAILABILITY'!R588)</f>
        <v>17.402425899280576</v>
      </c>
    </row>
    <row r="590" spans="1:29" ht="15.75" x14ac:dyDescent="0.25">
      <c r="A590" s="13">
        <v>59230</v>
      </c>
      <c r="B590" s="10">
        <f>CHOOSE(CONTROL!$C$42, 17.8623, 17.8623) * CHOOSE(CONTROL!$C$21, $C$9, 100%, $E$9)</f>
        <v>17.862300000000001</v>
      </c>
      <c r="C590" s="10">
        <f>CHOOSE(CONTROL!$C$42, 17.8673, 17.8673) * CHOOSE(CONTROL!$C$21, $C$9, 100%, $E$9)</f>
        <v>17.8673</v>
      </c>
      <c r="D590" s="10">
        <f>CHOOSE(CONTROL!$C$42, 17.9844, 17.9844) * CHOOSE(CONTROL!$C$21, $C$9, 100%, $E$9)</f>
        <v>17.984400000000001</v>
      </c>
      <c r="E590" s="10">
        <f>CHOOSE(CONTROL!$C$42, 18.0182, 18.0182) * CHOOSE(CONTROL!$C$21, $C$9, 100%, $E$9)</f>
        <v>18.0182</v>
      </c>
      <c r="F590" s="10">
        <f>CHOOSE(CONTROL!$C$42, 17.9399, 17.9399)*CHOOSE(CONTROL!$C$21, $C$9, 100%, $E$9)</f>
        <v>17.939900000000002</v>
      </c>
      <c r="G590" s="10">
        <f>CHOOSE(CONTROL!$C$42, 17.9618, 17.9618)*CHOOSE(CONTROL!$C$21, $C$9, 100%, $E$9)</f>
        <v>17.9618</v>
      </c>
      <c r="H590" s="10">
        <f>CHOOSE(CONTROL!$C$42, 18.0074, 18.0074) * CHOOSE(CONTROL!$C$21, $C$9, 100%, $E$9)</f>
        <v>18.007400000000001</v>
      </c>
      <c r="I590" s="10">
        <f>CHOOSE(CONTROL!$C$42, 17.898, 17.898)* CHOOSE(CONTROL!$C$21, $C$9, 100%, $E$9)</f>
        <v>17.898</v>
      </c>
      <c r="J590" s="10">
        <f>CHOOSE(CONTROL!$C$42, 17.9329, 17.9329)* CHOOSE(CONTROL!$C$21, $C$9, 100%, $E$9)</f>
        <v>17.9329</v>
      </c>
      <c r="K590" s="54">
        <f>CHOOSE(CONTROL!$C$42, 17.8941, 17.8941) * CHOOSE(CONTROL!$C$21, $C$9, 100%, $E$9)</f>
        <v>17.894100000000002</v>
      </c>
      <c r="L590" s="10">
        <f>CHOOSE(CONTROL!$C$42, 18.5944, 18.5944) * CHOOSE(CONTROL!$C$21, $C$9, 100%, $E$9)</f>
        <v>18.5944</v>
      </c>
      <c r="M590" s="10">
        <f>CHOOSE(CONTROL!$C$42, 17.7658, 17.7658) * CHOOSE(CONTROL!$C$21, $C$9, 100%, $E$9)</f>
        <v>17.765799999999999</v>
      </c>
      <c r="N590" s="10">
        <f>CHOOSE(CONTROL!$C$42, 17.7875, 17.7875) * CHOOSE(CONTROL!$C$21, $C$9, 100%, $E$9)</f>
        <v>17.787500000000001</v>
      </c>
      <c r="O590" s="10">
        <f>CHOOSE(CONTROL!$C$42, 17.8395, 17.8395) * CHOOSE(CONTROL!$C$21, $C$9, 100%, $E$9)</f>
        <v>17.839500000000001</v>
      </c>
      <c r="P590" s="10">
        <f>CHOOSE(CONTROL!$C$42, 17.7313, 17.7313) * CHOOSE(CONTROL!$C$21, $C$9, 100%, $E$9)</f>
        <v>17.731300000000001</v>
      </c>
      <c r="Q590" s="10">
        <f>CHOOSE(CONTROL!$C$42, 18.4348, 18.4348) * CHOOSE(CONTROL!$C$21, $C$9, 100%, $E$9)</f>
        <v>18.434799999999999</v>
      </c>
      <c r="R590" s="10">
        <f>CHOOSE(CONTROL!$C$42, 19.0679, 19.0679) * CHOOSE(CONTROL!$C$21, $C$9, 100%, $E$9)</f>
        <v>19.067900000000002</v>
      </c>
      <c r="S590" s="10">
        <f>CHOOSE(CONTROL!$C$42, 17.344, 17.344) * CHOOSE(CONTROL!$C$21, $C$9, 100%, $E$9)</f>
        <v>17.344000000000001</v>
      </c>
      <c r="T590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590" s="58">
        <f>(1000*CHOOSE(CONTROL!$C$42, 695, 695)*CHOOSE(CONTROL!$C$42, 0.5599, 0.5599)*CHOOSE(CONTROL!$C$42, 28, 28))/1000000</f>
        <v>10.895653999999999</v>
      </c>
      <c r="V590" s="58">
        <f>(1000*CHOOSE(CONTROL!$C$42, 500, 500)*CHOOSE(CONTROL!$C$42, 0.275, 0.275)*CHOOSE(CONTROL!$C$42, 28, 28))/1000000</f>
        <v>3.85</v>
      </c>
      <c r="W590" s="58">
        <f>(1000*CHOOSE(CONTROL!$C$42, 0.1146, 0.1146)*CHOOSE(CONTROL!$C$42, 121.5, 121.5)*CHOOSE(CONTROL!$C$42, 28, 28))/1000000</f>
        <v>0.38986920000000003</v>
      </c>
      <c r="X590" s="58">
        <f>(28*0.1790888*100000/1000000)+(28*0.2374*100000/1000000)</f>
        <v>1.16616864</v>
      </c>
      <c r="Y590" s="58"/>
      <c r="Z590" s="10"/>
      <c r="AA590" s="57"/>
      <c r="AB590" s="51">
        <f>(B590*122.58+C590*297.941+D590*89.177+E590*40.302+F590*40+G590*160+H590*0+I590*100+J590*300)/(122.58+297.941+89.177+40.302+0+40+160+100+300)</f>
        <v>17.916591563913041</v>
      </c>
      <c r="AC590" s="27">
        <f>(M590*'RAP TEMPLATE-GAS AVAILABILITY'!O589+N590*'RAP TEMPLATE-GAS AVAILABILITY'!P589+O590*'RAP TEMPLATE-GAS AVAILABILITY'!Q589+P590*'RAP TEMPLATE-GAS AVAILABILITY'!R589)/('RAP TEMPLATE-GAS AVAILABILITY'!O589+'RAP TEMPLATE-GAS AVAILABILITY'!P589+'RAP TEMPLATE-GAS AVAILABILITY'!Q589+'RAP TEMPLATE-GAS AVAILABILITY'!R589)</f>
        <v>17.795488489208633</v>
      </c>
    </row>
    <row r="591" spans="1:29" ht="15.75" x14ac:dyDescent="0.25">
      <c r="A591" s="13">
        <v>59261</v>
      </c>
      <c r="B591" s="10">
        <f>CHOOSE(CONTROL!$C$42, 17.3553, 17.3553) * CHOOSE(CONTROL!$C$21, $C$9, 100%, $E$9)</f>
        <v>17.3553</v>
      </c>
      <c r="C591" s="10">
        <f>CHOOSE(CONTROL!$C$42, 17.3603, 17.3603) * CHOOSE(CONTROL!$C$21, $C$9, 100%, $E$9)</f>
        <v>17.360299999999999</v>
      </c>
      <c r="D591" s="10">
        <f>CHOOSE(CONTROL!$C$42, 17.4517, 17.4517) * CHOOSE(CONTROL!$C$21, $C$9, 100%, $E$9)</f>
        <v>17.451699999999999</v>
      </c>
      <c r="E591" s="10">
        <f>CHOOSE(CONTROL!$C$42, 17.4854, 17.4854) * CHOOSE(CONTROL!$C$21, $C$9, 100%, $E$9)</f>
        <v>17.485399999999998</v>
      </c>
      <c r="F591" s="10">
        <f>CHOOSE(CONTROL!$C$42, 17.3851, 17.3851)*CHOOSE(CONTROL!$C$21, $C$9, 100%, $E$9)</f>
        <v>17.385100000000001</v>
      </c>
      <c r="G591" s="10">
        <f>CHOOSE(CONTROL!$C$42, 17.4046, 17.4046)*CHOOSE(CONTROL!$C$21, $C$9, 100%, $E$9)</f>
        <v>17.404599999999999</v>
      </c>
      <c r="H591" s="10">
        <f>CHOOSE(CONTROL!$C$42, 17.4746, 17.4746) * CHOOSE(CONTROL!$C$21, $C$9, 100%, $E$9)</f>
        <v>17.474599999999999</v>
      </c>
      <c r="I591" s="10">
        <f>CHOOSE(CONTROL!$C$42, 17.3781, 17.3781)* CHOOSE(CONTROL!$C$21, $C$9, 100%, $E$9)</f>
        <v>17.3781</v>
      </c>
      <c r="J591" s="10">
        <f>CHOOSE(CONTROL!$C$42, 17.3781, 17.3781)* CHOOSE(CONTROL!$C$21, $C$9, 100%, $E$9)</f>
        <v>17.3781</v>
      </c>
      <c r="K591" s="54">
        <f>CHOOSE(CONTROL!$C$42, 17.3742, 17.3742) * CHOOSE(CONTROL!$C$21, $C$9, 100%, $E$9)</f>
        <v>17.374199999999998</v>
      </c>
      <c r="L591" s="10">
        <f>CHOOSE(CONTROL!$C$42, 18.0616, 18.0616) * CHOOSE(CONTROL!$C$21, $C$9, 100%, $E$9)</f>
        <v>18.061599999999999</v>
      </c>
      <c r="M591" s="10">
        <f>CHOOSE(CONTROL!$C$42, 17.2166, 17.2166) * CHOOSE(CONTROL!$C$21, $C$9, 100%, $E$9)</f>
        <v>17.2166</v>
      </c>
      <c r="N591" s="10">
        <f>CHOOSE(CONTROL!$C$42, 17.2359, 17.2359) * CHOOSE(CONTROL!$C$21, $C$9, 100%, $E$9)</f>
        <v>17.235900000000001</v>
      </c>
      <c r="O591" s="10">
        <f>CHOOSE(CONTROL!$C$42, 17.3121, 17.3121) * CHOOSE(CONTROL!$C$21, $C$9, 100%, $E$9)</f>
        <v>17.312100000000001</v>
      </c>
      <c r="P591" s="10">
        <f>CHOOSE(CONTROL!$C$42, 17.2166, 17.2166) * CHOOSE(CONTROL!$C$21, $C$9, 100%, $E$9)</f>
        <v>17.2166</v>
      </c>
      <c r="Q591" s="10">
        <f>CHOOSE(CONTROL!$C$42, 17.9074, 17.9074) * CHOOSE(CONTROL!$C$21, $C$9, 100%, $E$9)</f>
        <v>17.907399999999999</v>
      </c>
      <c r="R591" s="10">
        <f>CHOOSE(CONTROL!$C$42, 18.5392, 18.5392) * CHOOSE(CONTROL!$C$21, $C$9, 100%, $E$9)</f>
        <v>18.539200000000001</v>
      </c>
      <c r="S591" s="10">
        <f>CHOOSE(CONTROL!$C$42, 16.8516, 16.8516) * CHOOSE(CONTROL!$C$21, $C$9, 100%, $E$9)</f>
        <v>16.851600000000001</v>
      </c>
      <c r="T591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91" s="58">
        <f>(1000*CHOOSE(CONTROL!$C$42, 695, 695)*CHOOSE(CONTROL!$C$42, 0.5599, 0.5599)*CHOOSE(CONTROL!$C$42, 31, 31))/1000000</f>
        <v>12.063045499999998</v>
      </c>
      <c r="V591" s="58">
        <f>(1000*CHOOSE(CONTROL!$C$42, 500, 500)*CHOOSE(CONTROL!$C$42, 0.275, 0.275)*CHOOSE(CONTROL!$C$42, 31, 31))/1000000</f>
        <v>4.2625000000000002</v>
      </c>
      <c r="W591" s="58">
        <f>(1000*CHOOSE(CONTROL!$C$42, 0.1146, 0.1146)*CHOOSE(CONTROL!$C$42, 121.5, 121.5)*CHOOSE(CONTROL!$C$42, 31, 31))/1000000</f>
        <v>0.43164089999999994</v>
      </c>
      <c r="X591" s="58">
        <f>(31*0.1790888*100000/1000000)+(31*0.2374*100000/1000000)</f>
        <v>1.2911152800000001</v>
      </c>
      <c r="Y591" s="58"/>
      <c r="Z591" s="10"/>
      <c r="AA591" s="57"/>
      <c r="AB591" s="51">
        <f>(B591*122.58+C591*297.941+D591*89.177+E591*40.302+F591*40+G591*160+H591*0+I591*100+J591*300)/(122.58+297.941+89.177+40.302+0+40+160+100+300)</f>
        <v>17.384456224347826</v>
      </c>
      <c r="AC591" s="27">
        <f>(M591*'RAP TEMPLATE-GAS AVAILABILITY'!O590+N591*'RAP TEMPLATE-GAS AVAILABILITY'!P590+O591*'RAP TEMPLATE-GAS AVAILABILITY'!Q590+P591*'RAP TEMPLATE-GAS AVAILABILITY'!R590)/('RAP TEMPLATE-GAS AVAILABILITY'!O590+'RAP TEMPLATE-GAS AVAILABILITY'!P590+'RAP TEMPLATE-GAS AVAILABILITY'!Q590+'RAP TEMPLATE-GAS AVAILABILITY'!R590)</f>
        <v>17.260994964028779</v>
      </c>
    </row>
    <row r="592" spans="1:29" ht="15.75" x14ac:dyDescent="0.25">
      <c r="A592" s="13">
        <v>59291</v>
      </c>
      <c r="B592" s="10">
        <f>CHOOSE(CONTROL!$C$42, 17.3041, 17.3041) * CHOOSE(CONTROL!$C$21, $C$9, 100%, $E$9)</f>
        <v>17.304099999999998</v>
      </c>
      <c r="C592" s="10">
        <f>CHOOSE(CONTROL!$C$42, 17.3085, 17.3085) * CHOOSE(CONTROL!$C$21, $C$9, 100%, $E$9)</f>
        <v>17.308499999999999</v>
      </c>
      <c r="D592" s="10">
        <f>CHOOSE(CONTROL!$C$42, 17.4902, 17.4902) * CHOOSE(CONTROL!$C$21, $C$9, 100%, $E$9)</f>
        <v>17.490200000000002</v>
      </c>
      <c r="E592" s="10">
        <f>CHOOSE(CONTROL!$C$42, 17.522, 17.522) * CHOOSE(CONTROL!$C$21, $C$9, 100%, $E$9)</f>
        <v>17.521999999999998</v>
      </c>
      <c r="F592" s="10">
        <f>CHOOSE(CONTROL!$C$42, 17.2925, 17.2925)*CHOOSE(CONTROL!$C$21, $C$9, 100%, $E$9)</f>
        <v>17.2925</v>
      </c>
      <c r="G592" s="10">
        <f>CHOOSE(CONTROL!$C$42, 17.3104, 17.3104)*CHOOSE(CONTROL!$C$21, $C$9, 100%, $E$9)</f>
        <v>17.310400000000001</v>
      </c>
      <c r="H592" s="10">
        <f>CHOOSE(CONTROL!$C$42, 17.5117, 17.5117) * CHOOSE(CONTROL!$C$21, $C$9, 100%, $E$9)</f>
        <v>17.511700000000001</v>
      </c>
      <c r="I592" s="10">
        <f>CHOOSE(CONTROL!$C$42, 17.2824, 17.2824)* CHOOSE(CONTROL!$C$21, $C$9, 100%, $E$9)</f>
        <v>17.282399999999999</v>
      </c>
      <c r="J592" s="10">
        <f>CHOOSE(CONTROL!$C$42, 17.2855, 17.2855)* CHOOSE(CONTROL!$C$21, $C$9, 100%, $E$9)</f>
        <v>17.285499999999999</v>
      </c>
      <c r="K592" s="54">
        <f>CHOOSE(CONTROL!$C$42, 17.2785, 17.2785) * CHOOSE(CONTROL!$C$21, $C$9, 100%, $E$9)</f>
        <v>17.278500000000001</v>
      </c>
      <c r="L592" s="10">
        <f>CHOOSE(CONTROL!$C$42, 18.0987, 18.0987) * CHOOSE(CONTROL!$C$21, $C$9, 100%, $E$9)</f>
        <v>18.098700000000001</v>
      </c>
      <c r="M592" s="10">
        <f>CHOOSE(CONTROL!$C$42, 17.1248, 17.1248) * CHOOSE(CONTROL!$C$21, $C$9, 100%, $E$9)</f>
        <v>17.1248</v>
      </c>
      <c r="N592" s="10">
        <f>CHOOSE(CONTROL!$C$42, 17.1426, 17.1426) * CHOOSE(CONTROL!$C$21, $C$9, 100%, $E$9)</f>
        <v>17.142600000000002</v>
      </c>
      <c r="O592" s="10">
        <f>CHOOSE(CONTROL!$C$42, 17.3488, 17.3488) * CHOOSE(CONTROL!$C$21, $C$9, 100%, $E$9)</f>
        <v>17.348800000000001</v>
      </c>
      <c r="P592" s="10">
        <f>CHOOSE(CONTROL!$C$42, 17.1218, 17.1218) * CHOOSE(CONTROL!$C$21, $C$9, 100%, $E$9)</f>
        <v>17.1218</v>
      </c>
      <c r="Q592" s="10">
        <f>CHOOSE(CONTROL!$C$42, 17.9441, 17.9441) * CHOOSE(CONTROL!$C$21, $C$9, 100%, $E$9)</f>
        <v>17.944099999999999</v>
      </c>
      <c r="R592" s="10">
        <f>CHOOSE(CONTROL!$C$42, 18.576, 18.576) * CHOOSE(CONTROL!$C$21, $C$9, 100%, $E$9)</f>
        <v>18.576000000000001</v>
      </c>
      <c r="S592" s="10">
        <f>CHOOSE(CONTROL!$C$42, 16.8011, 16.8011) * CHOOSE(CONTROL!$C$21, $C$9, 100%, $E$9)</f>
        <v>16.801100000000002</v>
      </c>
      <c r="T592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92" s="58">
        <f>(1000*CHOOSE(CONTROL!$C$42, 695, 695)*CHOOSE(CONTROL!$C$42, 0.5599, 0.5599)*CHOOSE(CONTROL!$C$42, 30, 30))/1000000</f>
        <v>11.673914999999997</v>
      </c>
      <c r="V592" s="58">
        <f>(1000*CHOOSE(CONTROL!$C$42, 500, 500)*CHOOSE(CONTROL!$C$42, 0.275, 0.275)*CHOOSE(CONTROL!$C$42, 30, 30))/1000000</f>
        <v>4.125</v>
      </c>
      <c r="W592" s="58">
        <f>(1000*CHOOSE(CONTROL!$C$42, 0.1146, 0.1146)*CHOOSE(CONTROL!$C$42, 121.5, 121.5)*CHOOSE(CONTROL!$C$42, 30, 30))/1000000</f>
        <v>0.417717</v>
      </c>
      <c r="X592" s="58">
        <f>(30*0.1790888*245000/1000000)+(30*0.2374*100000/1000000)</f>
        <v>2.0285026799999999</v>
      </c>
      <c r="Y592" s="58"/>
      <c r="Z592" s="10"/>
      <c r="AA592" s="57"/>
      <c r="AB592" s="51">
        <f>(B592*141.293+C592*267.993+D592*115.016+E592*89.698+F592*40+G592*185+H592*0+I592*100+J592*300)/(141.293+267.993+115.016+89.698+0+40+185+100+300)</f>
        <v>17.332413430992737</v>
      </c>
      <c r="AC592" s="27">
        <f>(M592*'RAP TEMPLATE-GAS AVAILABILITY'!O591+N592*'RAP TEMPLATE-GAS AVAILABILITY'!P591+O592*'RAP TEMPLATE-GAS AVAILABILITY'!Q591+P592*'RAP TEMPLATE-GAS AVAILABILITY'!R591)/('RAP TEMPLATE-GAS AVAILABILITY'!O591+'RAP TEMPLATE-GAS AVAILABILITY'!P591+'RAP TEMPLATE-GAS AVAILABILITY'!Q591+'RAP TEMPLATE-GAS AVAILABILITY'!R591)</f>
        <v>17.226917985611511</v>
      </c>
    </row>
    <row r="593" spans="1:29" ht="15.75" x14ac:dyDescent="0.25">
      <c r="A593" s="13">
        <v>59322</v>
      </c>
      <c r="B593" s="10">
        <f>CHOOSE(CONTROL!$C$42, 17.4586, 17.4586) * CHOOSE(CONTROL!$C$21, $C$9, 100%, $E$9)</f>
        <v>17.458600000000001</v>
      </c>
      <c r="C593" s="10">
        <f>CHOOSE(CONTROL!$C$42, 17.4665, 17.4665) * CHOOSE(CONTROL!$C$21, $C$9, 100%, $E$9)</f>
        <v>17.4665</v>
      </c>
      <c r="D593" s="10">
        <f>CHOOSE(CONTROL!$C$42, 17.6451, 17.6451) * CHOOSE(CONTROL!$C$21, $C$9, 100%, $E$9)</f>
        <v>17.645099999999999</v>
      </c>
      <c r="E593" s="10">
        <f>CHOOSE(CONTROL!$C$42, 17.6762, 17.6762) * CHOOSE(CONTROL!$C$21, $C$9, 100%, $E$9)</f>
        <v>17.676200000000001</v>
      </c>
      <c r="F593" s="10">
        <f>CHOOSE(CONTROL!$C$42, 17.4448, 17.4448)*CHOOSE(CONTROL!$C$21, $C$9, 100%, $E$9)</f>
        <v>17.444800000000001</v>
      </c>
      <c r="G593" s="10">
        <f>CHOOSE(CONTROL!$C$42, 17.463, 17.463)*CHOOSE(CONTROL!$C$21, $C$9, 100%, $E$9)</f>
        <v>17.463000000000001</v>
      </c>
      <c r="H593" s="10">
        <f>CHOOSE(CONTROL!$C$42, 17.6648, 17.6648) * CHOOSE(CONTROL!$C$21, $C$9, 100%, $E$9)</f>
        <v>17.6648</v>
      </c>
      <c r="I593" s="10">
        <f>CHOOSE(CONTROL!$C$42, 17.4355, 17.4355)* CHOOSE(CONTROL!$C$21, $C$9, 100%, $E$9)</f>
        <v>17.435500000000001</v>
      </c>
      <c r="J593" s="10">
        <f>CHOOSE(CONTROL!$C$42, 17.4378, 17.4378)* CHOOSE(CONTROL!$C$21, $C$9, 100%, $E$9)</f>
        <v>17.437799999999999</v>
      </c>
      <c r="K593" s="54">
        <f>CHOOSE(CONTROL!$C$42, 17.4316, 17.4316) * CHOOSE(CONTROL!$C$21, $C$9, 100%, $E$9)</f>
        <v>17.4316</v>
      </c>
      <c r="L593" s="10">
        <f>CHOOSE(CONTROL!$C$42, 18.2518, 18.2518) * CHOOSE(CONTROL!$C$21, $C$9, 100%, $E$9)</f>
        <v>18.251799999999999</v>
      </c>
      <c r="M593" s="10">
        <f>CHOOSE(CONTROL!$C$42, 17.2756, 17.2756) * CHOOSE(CONTROL!$C$21, $C$9, 100%, $E$9)</f>
        <v>17.275600000000001</v>
      </c>
      <c r="N593" s="10">
        <f>CHOOSE(CONTROL!$C$42, 17.2936, 17.2936) * CHOOSE(CONTROL!$C$21, $C$9, 100%, $E$9)</f>
        <v>17.293600000000001</v>
      </c>
      <c r="O593" s="10">
        <f>CHOOSE(CONTROL!$C$42, 17.5004, 17.5004) * CHOOSE(CONTROL!$C$21, $C$9, 100%, $E$9)</f>
        <v>17.500399999999999</v>
      </c>
      <c r="P593" s="10">
        <f>CHOOSE(CONTROL!$C$42, 17.2734, 17.2734) * CHOOSE(CONTROL!$C$21, $C$9, 100%, $E$9)</f>
        <v>17.273399999999999</v>
      </c>
      <c r="Q593" s="10">
        <f>CHOOSE(CONTROL!$C$42, 18.0957, 18.0957) * CHOOSE(CONTROL!$C$21, $C$9, 100%, $E$9)</f>
        <v>18.095700000000001</v>
      </c>
      <c r="R593" s="10">
        <f>CHOOSE(CONTROL!$C$42, 18.7279, 18.7279) * CHOOSE(CONTROL!$C$21, $C$9, 100%, $E$9)</f>
        <v>18.727900000000002</v>
      </c>
      <c r="S593" s="10">
        <f>CHOOSE(CONTROL!$C$42, 16.9498, 16.9498) * CHOOSE(CONTROL!$C$21, $C$9, 100%, $E$9)</f>
        <v>16.9498</v>
      </c>
      <c r="T593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93" s="58">
        <f>(1000*CHOOSE(CONTROL!$C$42, 695, 695)*CHOOSE(CONTROL!$C$42, 0.5599, 0.5599)*CHOOSE(CONTROL!$C$42, 31, 31))/1000000</f>
        <v>12.063045499999998</v>
      </c>
      <c r="V593" s="58">
        <f>(1000*CHOOSE(CONTROL!$C$42, 500, 500)*CHOOSE(CONTROL!$C$42, 0.275, 0.275)*CHOOSE(CONTROL!$C$42, 31, 31))/1000000</f>
        <v>4.2625000000000002</v>
      </c>
      <c r="W593" s="58">
        <f>(1000*CHOOSE(CONTROL!$C$42, 0.1146, 0.1146)*CHOOSE(CONTROL!$C$42, 121.5, 121.5)*CHOOSE(CONTROL!$C$42, 31, 31))/1000000</f>
        <v>0.43164089999999994</v>
      </c>
      <c r="X593" s="58">
        <f>(31*0.1790888*245000/1000000)+(31*0.2374*100000/1000000)</f>
        <v>2.0961194359999999</v>
      </c>
      <c r="Y593" s="58"/>
      <c r="Z593" s="10"/>
      <c r="AA593" s="57"/>
      <c r="AB593" s="51">
        <f>(B593*194.205+C593*267.466+D593*133.845+E593*53.484+F593*40+G593*185+H593*0+I593*100+J593*300)/(194.205+267.466+133.845+53.484+0+40+185+100+300)</f>
        <v>17.482481626609108</v>
      </c>
      <c r="AC593" s="27">
        <f>(M593*'RAP TEMPLATE-GAS AVAILABILITY'!O592+N593*'RAP TEMPLATE-GAS AVAILABILITY'!P592+O593*'RAP TEMPLATE-GAS AVAILABILITY'!Q592+P593*'RAP TEMPLATE-GAS AVAILABILITY'!R592)/('RAP TEMPLATE-GAS AVAILABILITY'!O592+'RAP TEMPLATE-GAS AVAILABILITY'!P592+'RAP TEMPLATE-GAS AVAILABILITY'!Q592+'RAP TEMPLATE-GAS AVAILABILITY'!R592)</f>
        <v>17.378207194244602</v>
      </c>
    </row>
    <row r="594" spans="1:29" ht="15.75" x14ac:dyDescent="0.25">
      <c r="A594" s="13">
        <v>59352</v>
      </c>
      <c r="B594" s="10">
        <f>CHOOSE(CONTROL!$C$42, 17.9537, 17.9537) * CHOOSE(CONTROL!$C$21, $C$9, 100%, $E$9)</f>
        <v>17.953700000000001</v>
      </c>
      <c r="C594" s="10">
        <f>CHOOSE(CONTROL!$C$42, 17.9616, 17.9616) * CHOOSE(CONTROL!$C$21, $C$9, 100%, $E$9)</f>
        <v>17.961600000000001</v>
      </c>
      <c r="D594" s="10">
        <f>CHOOSE(CONTROL!$C$42, 18.1401, 18.1401) * CHOOSE(CONTROL!$C$21, $C$9, 100%, $E$9)</f>
        <v>18.1401</v>
      </c>
      <c r="E594" s="10">
        <f>CHOOSE(CONTROL!$C$42, 18.1713, 18.1713) * CHOOSE(CONTROL!$C$21, $C$9, 100%, $E$9)</f>
        <v>18.171299999999999</v>
      </c>
      <c r="F594" s="10">
        <f>CHOOSE(CONTROL!$C$42, 17.9401, 17.9401)*CHOOSE(CONTROL!$C$21, $C$9, 100%, $E$9)</f>
        <v>17.940100000000001</v>
      </c>
      <c r="G594" s="10">
        <f>CHOOSE(CONTROL!$C$42, 17.9584, 17.9584)*CHOOSE(CONTROL!$C$21, $C$9, 100%, $E$9)</f>
        <v>17.958400000000001</v>
      </c>
      <c r="H594" s="10">
        <f>CHOOSE(CONTROL!$C$42, 18.1599, 18.1599) * CHOOSE(CONTROL!$C$21, $C$9, 100%, $E$9)</f>
        <v>18.1599</v>
      </c>
      <c r="I594" s="10">
        <f>CHOOSE(CONTROL!$C$42, 17.9306, 17.9306)* CHOOSE(CONTROL!$C$21, $C$9, 100%, $E$9)</f>
        <v>17.930599999999998</v>
      </c>
      <c r="J594" s="10">
        <f>CHOOSE(CONTROL!$C$42, 17.9331, 17.9331)* CHOOSE(CONTROL!$C$21, $C$9, 100%, $E$9)</f>
        <v>17.9331</v>
      </c>
      <c r="K594" s="54">
        <f>CHOOSE(CONTROL!$C$42, 17.9267, 17.9267) * CHOOSE(CONTROL!$C$21, $C$9, 100%, $E$9)</f>
        <v>17.9267</v>
      </c>
      <c r="L594" s="10">
        <f>CHOOSE(CONTROL!$C$42, 18.7469, 18.7469) * CHOOSE(CONTROL!$C$21, $C$9, 100%, $E$9)</f>
        <v>18.7469</v>
      </c>
      <c r="M594" s="10">
        <f>CHOOSE(CONTROL!$C$42, 17.766, 17.766) * CHOOSE(CONTROL!$C$21, $C$9, 100%, $E$9)</f>
        <v>17.765999999999998</v>
      </c>
      <c r="N594" s="10">
        <f>CHOOSE(CONTROL!$C$42, 17.784, 17.784) * CHOOSE(CONTROL!$C$21, $C$9, 100%, $E$9)</f>
        <v>17.783999999999999</v>
      </c>
      <c r="O594" s="10">
        <f>CHOOSE(CONTROL!$C$42, 17.9905, 17.9905) * CHOOSE(CONTROL!$C$21, $C$9, 100%, $E$9)</f>
        <v>17.990500000000001</v>
      </c>
      <c r="P594" s="10">
        <f>CHOOSE(CONTROL!$C$42, 17.7635, 17.7635) * CHOOSE(CONTROL!$C$21, $C$9, 100%, $E$9)</f>
        <v>17.763500000000001</v>
      </c>
      <c r="Q594" s="10">
        <f>CHOOSE(CONTROL!$C$42, 18.5858, 18.5858) * CHOOSE(CONTROL!$C$21, $C$9, 100%, $E$9)</f>
        <v>18.585799999999999</v>
      </c>
      <c r="R594" s="10">
        <f>CHOOSE(CONTROL!$C$42, 19.2192, 19.2192) * CHOOSE(CONTROL!$C$21, $C$9, 100%, $E$9)</f>
        <v>19.219200000000001</v>
      </c>
      <c r="S594" s="10">
        <f>CHOOSE(CONTROL!$C$42, 17.4306, 17.4306) * CHOOSE(CONTROL!$C$21, $C$9, 100%, $E$9)</f>
        <v>17.430599999999998</v>
      </c>
      <c r="T594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94" s="58">
        <f>(1000*CHOOSE(CONTROL!$C$42, 695, 695)*CHOOSE(CONTROL!$C$42, 0.5599, 0.5599)*CHOOSE(CONTROL!$C$42, 30, 30))/1000000</f>
        <v>11.673914999999997</v>
      </c>
      <c r="V594" s="58">
        <f>(1000*CHOOSE(CONTROL!$C$42, 500, 500)*CHOOSE(CONTROL!$C$42, 0.275, 0.275)*CHOOSE(CONTROL!$C$42, 30, 30))/1000000</f>
        <v>4.125</v>
      </c>
      <c r="W594" s="58">
        <f>(1000*CHOOSE(CONTROL!$C$42, 0.1146, 0.1146)*CHOOSE(CONTROL!$C$42, 121.5, 121.5)*CHOOSE(CONTROL!$C$42, 30, 30))/1000000</f>
        <v>0.417717</v>
      </c>
      <c r="X594" s="58">
        <f>(30*0.1790888*245000/1000000)+(30*0.2374*100000/1000000)</f>
        <v>2.0285026799999999</v>
      </c>
      <c r="Y594" s="58"/>
      <c r="Z594" s="10"/>
      <c r="AA594" s="57"/>
      <c r="AB594" s="51">
        <f>(B594*194.205+C594*267.466+D594*133.845+E594*53.484+F594*40+G594*185+H594*0+I594*100+J594*300)/(194.205+267.466+133.845+53.484+0+40+185+100+300)</f>
        <v>17.977668059497645</v>
      </c>
      <c r="AC594" s="27">
        <f>(M594*'RAP TEMPLATE-GAS AVAILABILITY'!O593+N594*'RAP TEMPLATE-GAS AVAILABILITY'!P593+O594*'RAP TEMPLATE-GAS AVAILABILITY'!Q593+P594*'RAP TEMPLATE-GAS AVAILABILITY'!R593)/('RAP TEMPLATE-GAS AVAILABILITY'!O593+'RAP TEMPLATE-GAS AVAILABILITY'!P593+'RAP TEMPLATE-GAS AVAILABILITY'!Q593+'RAP TEMPLATE-GAS AVAILABILITY'!R593)</f>
        <v>17.86842805755396</v>
      </c>
    </row>
    <row r="595" spans="1:29" ht="15.75" x14ac:dyDescent="0.25">
      <c r="A595" s="13">
        <v>59383</v>
      </c>
      <c r="B595" s="10">
        <f>CHOOSE(CONTROL!$C$42, 17.6094, 17.6094) * CHOOSE(CONTROL!$C$21, $C$9, 100%, $E$9)</f>
        <v>17.609400000000001</v>
      </c>
      <c r="C595" s="10">
        <f>CHOOSE(CONTROL!$C$42, 17.6173, 17.6173) * CHOOSE(CONTROL!$C$21, $C$9, 100%, $E$9)</f>
        <v>17.6173</v>
      </c>
      <c r="D595" s="10">
        <f>CHOOSE(CONTROL!$C$42, 17.7958, 17.7958) * CHOOSE(CONTROL!$C$21, $C$9, 100%, $E$9)</f>
        <v>17.7958</v>
      </c>
      <c r="E595" s="10">
        <f>CHOOSE(CONTROL!$C$42, 17.8269, 17.8269) * CHOOSE(CONTROL!$C$21, $C$9, 100%, $E$9)</f>
        <v>17.826899999999998</v>
      </c>
      <c r="F595" s="10">
        <f>CHOOSE(CONTROL!$C$42, 17.5961, 17.5961)*CHOOSE(CONTROL!$C$21, $C$9, 100%, $E$9)</f>
        <v>17.5961</v>
      </c>
      <c r="G595" s="10">
        <f>CHOOSE(CONTROL!$C$42, 17.6144, 17.6144)*CHOOSE(CONTROL!$C$21, $C$9, 100%, $E$9)</f>
        <v>17.6144</v>
      </c>
      <c r="H595" s="10">
        <f>CHOOSE(CONTROL!$C$42, 17.8156, 17.8156) * CHOOSE(CONTROL!$C$21, $C$9, 100%, $E$9)</f>
        <v>17.8156</v>
      </c>
      <c r="I595" s="10">
        <f>CHOOSE(CONTROL!$C$42, 17.5862, 17.5862)* CHOOSE(CONTROL!$C$21, $C$9, 100%, $E$9)</f>
        <v>17.586200000000002</v>
      </c>
      <c r="J595" s="10">
        <f>CHOOSE(CONTROL!$C$42, 17.5891, 17.5891)* CHOOSE(CONTROL!$C$21, $C$9, 100%, $E$9)</f>
        <v>17.589099999999998</v>
      </c>
      <c r="K595" s="54">
        <f>CHOOSE(CONTROL!$C$42, 17.5823, 17.5823) * CHOOSE(CONTROL!$C$21, $C$9, 100%, $E$9)</f>
        <v>17.5823</v>
      </c>
      <c r="L595" s="10">
        <f>CHOOSE(CONTROL!$C$42, 18.4026, 18.4026) * CHOOSE(CONTROL!$C$21, $C$9, 100%, $E$9)</f>
        <v>18.4026</v>
      </c>
      <c r="M595" s="10">
        <f>CHOOSE(CONTROL!$C$42, 17.4254, 17.4254) * CHOOSE(CONTROL!$C$21, $C$9, 100%, $E$9)</f>
        <v>17.4254</v>
      </c>
      <c r="N595" s="10">
        <f>CHOOSE(CONTROL!$C$42, 17.4435, 17.4435) * CHOOSE(CONTROL!$C$21, $C$9, 100%, $E$9)</f>
        <v>17.4435</v>
      </c>
      <c r="O595" s="10">
        <f>CHOOSE(CONTROL!$C$42, 17.6496, 17.6496) * CHOOSE(CONTROL!$C$21, $C$9, 100%, $E$9)</f>
        <v>17.6496</v>
      </c>
      <c r="P595" s="10">
        <f>CHOOSE(CONTROL!$C$42, 17.4226, 17.4226) * CHOOSE(CONTROL!$C$21, $C$9, 100%, $E$9)</f>
        <v>17.422599999999999</v>
      </c>
      <c r="Q595" s="10">
        <f>CHOOSE(CONTROL!$C$42, 18.2449, 18.2449) * CHOOSE(CONTROL!$C$21, $C$9, 100%, $E$9)</f>
        <v>18.244900000000001</v>
      </c>
      <c r="R595" s="10">
        <f>CHOOSE(CONTROL!$C$42, 18.8775, 18.8775) * CHOOSE(CONTROL!$C$21, $C$9, 100%, $E$9)</f>
        <v>18.877500000000001</v>
      </c>
      <c r="S595" s="10">
        <f>CHOOSE(CONTROL!$C$42, 17.0962, 17.0962) * CHOOSE(CONTROL!$C$21, $C$9, 100%, $E$9)</f>
        <v>17.0962</v>
      </c>
      <c r="T595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95" s="58">
        <f>(1000*CHOOSE(CONTROL!$C$42, 695, 695)*CHOOSE(CONTROL!$C$42, 0.5599, 0.5599)*CHOOSE(CONTROL!$C$42, 31, 31))/1000000</f>
        <v>12.063045499999998</v>
      </c>
      <c r="V595" s="58">
        <f>(1000*CHOOSE(CONTROL!$C$42, 500, 500)*CHOOSE(CONTROL!$C$42, 0.275, 0.275)*CHOOSE(CONTROL!$C$42, 31, 31))/1000000</f>
        <v>4.2625000000000002</v>
      </c>
      <c r="W595" s="58">
        <f>(1000*CHOOSE(CONTROL!$C$42, 0.1146, 0.1146)*CHOOSE(CONTROL!$C$42, 121.5, 121.5)*CHOOSE(CONTROL!$C$42, 31, 31))/1000000</f>
        <v>0.43164089999999994</v>
      </c>
      <c r="X595" s="58">
        <f>(31*0.1790888*245000/1000000)+(31*0.2374*100000/1000000)</f>
        <v>2.0961194359999999</v>
      </c>
      <c r="Y595" s="58"/>
      <c r="Z595" s="10"/>
      <c r="AA595" s="57"/>
      <c r="AB595" s="51">
        <f>(B595*194.205+C595*267.466+D595*133.845+E595*53.484+F595*40+G595*185+H595*0+I595*100+J595*300)/(194.205+267.466+133.845+53.484+0+40+185+100+300)</f>
        <v>17.633479638461541</v>
      </c>
      <c r="AC595" s="27">
        <f>(M595*'RAP TEMPLATE-GAS AVAILABILITY'!O594+N595*'RAP TEMPLATE-GAS AVAILABILITY'!P594+O595*'RAP TEMPLATE-GAS AVAILABILITY'!Q594+P595*'RAP TEMPLATE-GAS AVAILABILITY'!R594)/('RAP TEMPLATE-GAS AVAILABILITY'!O594+'RAP TEMPLATE-GAS AVAILABILITY'!P594+'RAP TEMPLATE-GAS AVAILABILITY'!Q594+'RAP TEMPLATE-GAS AVAILABILITY'!R594)</f>
        <v>17.52765467625899</v>
      </c>
    </row>
    <row r="596" spans="1:29" ht="15.75" x14ac:dyDescent="0.25">
      <c r="A596" s="13">
        <v>59414</v>
      </c>
      <c r="B596" s="10">
        <f>CHOOSE(CONTROL!$C$42, 16.7398, 16.7398) * CHOOSE(CONTROL!$C$21, $C$9, 100%, $E$9)</f>
        <v>16.739799999999999</v>
      </c>
      <c r="C596" s="10">
        <f>CHOOSE(CONTROL!$C$42, 16.7477, 16.7477) * CHOOSE(CONTROL!$C$21, $C$9, 100%, $E$9)</f>
        <v>16.747699999999998</v>
      </c>
      <c r="D596" s="10">
        <f>CHOOSE(CONTROL!$C$42, 16.9263, 16.9263) * CHOOSE(CONTROL!$C$21, $C$9, 100%, $E$9)</f>
        <v>16.926300000000001</v>
      </c>
      <c r="E596" s="10">
        <f>CHOOSE(CONTROL!$C$42, 16.9574, 16.9574) * CHOOSE(CONTROL!$C$21, $C$9, 100%, $E$9)</f>
        <v>16.9574</v>
      </c>
      <c r="F596" s="10">
        <f>CHOOSE(CONTROL!$C$42, 16.7265, 16.7265)*CHOOSE(CONTROL!$C$21, $C$9, 100%, $E$9)</f>
        <v>16.726500000000001</v>
      </c>
      <c r="G596" s="10">
        <f>CHOOSE(CONTROL!$C$42, 16.7448, 16.7448)*CHOOSE(CONTROL!$C$21, $C$9, 100%, $E$9)</f>
        <v>16.744800000000001</v>
      </c>
      <c r="H596" s="10">
        <f>CHOOSE(CONTROL!$C$42, 16.946, 16.946) * CHOOSE(CONTROL!$C$21, $C$9, 100%, $E$9)</f>
        <v>16.946000000000002</v>
      </c>
      <c r="I596" s="10">
        <f>CHOOSE(CONTROL!$C$42, 16.7167, 16.7167)* CHOOSE(CONTROL!$C$21, $C$9, 100%, $E$9)</f>
        <v>16.716699999999999</v>
      </c>
      <c r="J596" s="10">
        <f>CHOOSE(CONTROL!$C$42, 16.7195, 16.7195)* CHOOSE(CONTROL!$C$21, $C$9, 100%, $E$9)</f>
        <v>16.7195</v>
      </c>
      <c r="K596" s="54">
        <f>CHOOSE(CONTROL!$C$42, 16.7128, 16.7128) * CHOOSE(CONTROL!$C$21, $C$9, 100%, $E$9)</f>
        <v>16.712800000000001</v>
      </c>
      <c r="L596" s="10">
        <f>CHOOSE(CONTROL!$C$42, 17.533, 17.533) * CHOOSE(CONTROL!$C$21, $C$9, 100%, $E$9)</f>
        <v>17.533000000000001</v>
      </c>
      <c r="M596" s="10">
        <f>CHOOSE(CONTROL!$C$42, 16.5646, 16.5646) * CHOOSE(CONTROL!$C$21, $C$9, 100%, $E$9)</f>
        <v>16.564599999999999</v>
      </c>
      <c r="N596" s="10">
        <f>CHOOSE(CONTROL!$C$42, 16.5827, 16.5827) * CHOOSE(CONTROL!$C$21, $C$9, 100%, $E$9)</f>
        <v>16.582699999999999</v>
      </c>
      <c r="O596" s="10">
        <f>CHOOSE(CONTROL!$C$42, 16.7888, 16.7888) * CHOOSE(CONTROL!$C$21, $C$9, 100%, $E$9)</f>
        <v>16.788799999999998</v>
      </c>
      <c r="P596" s="10">
        <f>CHOOSE(CONTROL!$C$42, 16.5618, 16.5618) * CHOOSE(CONTROL!$C$21, $C$9, 100%, $E$9)</f>
        <v>16.561800000000002</v>
      </c>
      <c r="Q596" s="10">
        <f>CHOOSE(CONTROL!$C$42, 17.3841, 17.3841) * CHOOSE(CONTROL!$C$21, $C$9, 100%, $E$9)</f>
        <v>17.3841</v>
      </c>
      <c r="R596" s="10">
        <f>CHOOSE(CONTROL!$C$42, 18.0146, 18.0146) * CHOOSE(CONTROL!$C$21, $C$9, 100%, $E$9)</f>
        <v>18.014600000000002</v>
      </c>
      <c r="S596" s="10">
        <f>CHOOSE(CONTROL!$C$42, 16.2518, 16.2518) * CHOOSE(CONTROL!$C$21, $C$9, 100%, $E$9)</f>
        <v>16.251799999999999</v>
      </c>
      <c r="T596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96" s="58">
        <f>(1000*CHOOSE(CONTROL!$C$42, 695, 695)*CHOOSE(CONTROL!$C$42, 0.5599, 0.5599)*CHOOSE(CONTROL!$C$42, 31, 31))/1000000</f>
        <v>12.063045499999998</v>
      </c>
      <c r="V596" s="58">
        <f>(1000*CHOOSE(CONTROL!$C$42, 500, 500)*CHOOSE(CONTROL!$C$42, 0.275, 0.275)*CHOOSE(CONTROL!$C$42, 31, 31))/1000000</f>
        <v>4.2625000000000002</v>
      </c>
      <c r="W596" s="58">
        <f>(1000*CHOOSE(CONTROL!$C$42, 0.1146, 0.1146)*CHOOSE(CONTROL!$C$42, 121.5, 121.5)*CHOOSE(CONTROL!$C$42, 31, 31))/1000000</f>
        <v>0.43164089999999994</v>
      </c>
      <c r="X596" s="58">
        <f>(31*0.1790888*245000/1000000)+(31*0.2374*100000/1000000)</f>
        <v>2.0961194359999999</v>
      </c>
      <c r="Y596" s="58"/>
      <c r="Z596" s="10"/>
      <c r="AA596" s="57"/>
      <c r="AB596" s="51">
        <f>(B596*194.205+C596*267.466+D596*133.845+E596*53.484+F596*40+G596*185+H596*0+I596*100+J596*300)/(194.205+267.466+133.845+53.484+0+40+185+100+300)</f>
        <v>16.763902191758241</v>
      </c>
      <c r="AC596" s="27">
        <f>(M596*'RAP TEMPLATE-GAS AVAILABILITY'!O595+N596*'RAP TEMPLATE-GAS AVAILABILITY'!P595+O596*'RAP TEMPLATE-GAS AVAILABILITY'!Q595+P596*'RAP TEMPLATE-GAS AVAILABILITY'!R595)/('RAP TEMPLATE-GAS AVAILABILITY'!O595+'RAP TEMPLATE-GAS AVAILABILITY'!P595+'RAP TEMPLATE-GAS AVAILABILITY'!Q595+'RAP TEMPLATE-GAS AVAILABILITY'!R595)</f>
        <v>16.666854676258993</v>
      </c>
    </row>
    <row r="597" spans="1:29" ht="15.75" x14ac:dyDescent="0.25">
      <c r="A597" s="13">
        <v>59444</v>
      </c>
      <c r="B597" s="10">
        <f>CHOOSE(CONTROL!$C$42, 15.6774, 15.6774) * CHOOSE(CONTROL!$C$21, $C$9, 100%, $E$9)</f>
        <v>15.6774</v>
      </c>
      <c r="C597" s="10">
        <f>CHOOSE(CONTROL!$C$42, 15.6853, 15.6853) * CHOOSE(CONTROL!$C$21, $C$9, 100%, $E$9)</f>
        <v>15.6853</v>
      </c>
      <c r="D597" s="10">
        <f>CHOOSE(CONTROL!$C$42, 15.8638, 15.8638) * CHOOSE(CONTROL!$C$21, $C$9, 100%, $E$9)</f>
        <v>15.863799999999999</v>
      </c>
      <c r="E597" s="10">
        <f>CHOOSE(CONTROL!$C$42, 15.895, 15.895) * CHOOSE(CONTROL!$C$21, $C$9, 100%, $E$9)</f>
        <v>15.895</v>
      </c>
      <c r="F597" s="10">
        <f>CHOOSE(CONTROL!$C$42, 15.6638, 15.6638)*CHOOSE(CONTROL!$C$21, $C$9, 100%, $E$9)</f>
        <v>15.6638</v>
      </c>
      <c r="G597" s="10">
        <f>CHOOSE(CONTROL!$C$42, 15.682, 15.682)*CHOOSE(CONTROL!$C$21, $C$9, 100%, $E$9)</f>
        <v>15.682</v>
      </c>
      <c r="H597" s="10">
        <f>CHOOSE(CONTROL!$C$42, 15.8836, 15.8836) * CHOOSE(CONTROL!$C$21, $C$9, 100%, $E$9)</f>
        <v>15.883599999999999</v>
      </c>
      <c r="I597" s="10">
        <f>CHOOSE(CONTROL!$C$42, 15.6543, 15.6543)* CHOOSE(CONTROL!$C$21, $C$9, 100%, $E$9)</f>
        <v>15.654299999999999</v>
      </c>
      <c r="J597" s="10">
        <f>CHOOSE(CONTROL!$C$42, 15.6568, 15.6568)* CHOOSE(CONTROL!$C$21, $C$9, 100%, $E$9)</f>
        <v>15.6568</v>
      </c>
      <c r="K597" s="54">
        <f>CHOOSE(CONTROL!$C$42, 15.6504, 15.6504) * CHOOSE(CONTROL!$C$21, $C$9, 100%, $E$9)</f>
        <v>15.650399999999999</v>
      </c>
      <c r="L597" s="10">
        <f>CHOOSE(CONTROL!$C$42, 16.4706, 16.4706) * CHOOSE(CONTROL!$C$21, $C$9, 100%, $E$9)</f>
        <v>16.470600000000001</v>
      </c>
      <c r="M597" s="10">
        <f>CHOOSE(CONTROL!$C$42, 15.5126, 15.5126) * CHOOSE(CONTROL!$C$21, $C$9, 100%, $E$9)</f>
        <v>15.512600000000001</v>
      </c>
      <c r="N597" s="10">
        <f>CHOOSE(CONTROL!$C$42, 15.5306, 15.5306) * CHOOSE(CONTROL!$C$21, $C$9, 100%, $E$9)</f>
        <v>15.5306</v>
      </c>
      <c r="O597" s="10">
        <f>CHOOSE(CONTROL!$C$42, 15.7371, 15.7371) * CHOOSE(CONTROL!$C$21, $C$9, 100%, $E$9)</f>
        <v>15.7371</v>
      </c>
      <c r="P597" s="10">
        <f>CHOOSE(CONTROL!$C$42, 15.5101, 15.5101) * CHOOSE(CONTROL!$C$21, $C$9, 100%, $E$9)</f>
        <v>15.5101</v>
      </c>
      <c r="Q597" s="10">
        <f>CHOOSE(CONTROL!$C$42, 16.3324, 16.3324) * CHOOSE(CONTROL!$C$21, $C$9, 100%, $E$9)</f>
        <v>16.3324</v>
      </c>
      <c r="R597" s="10">
        <f>CHOOSE(CONTROL!$C$42, 16.9603, 16.9603) * CHOOSE(CONTROL!$C$21, $C$9, 100%, $E$9)</f>
        <v>16.9603</v>
      </c>
      <c r="S597" s="10">
        <f>CHOOSE(CONTROL!$C$42, 15.2201, 15.2201) * CHOOSE(CONTROL!$C$21, $C$9, 100%, $E$9)</f>
        <v>15.2201</v>
      </c>
      <c r="T597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97" s="58">
        <f>(1000*CHOOSE(CONTROL!$C$42, 695, 695)*CHOOSE(CONTROL!$C$42, 0.5599, 0.5599)*CHOOSE(CONTROL!$C$42, 30, 30))/1000000</f>
        <v>11.673914999999997</v>
      </c>
      <c r="V597" s="58">
        <f>(1000*CHOOSE(CONTROL!$C$42, 500, 500)*CHOOSE(CONTROL!$C$42, 0.275, 0.275)*CHOOSE(CONTROL!$C$42, 30, 30))/1000000</f>
        <v>4.125</v>
      </c>
      <c r="W597" s="58">
        <f>(1000*CHOOSE(CONTROL!$C$42, 0.1146, 0.1146)*CHOOSE(CONTROL!$C$42, 121.5, 121.5)*CHOOSE(CONTROL!$C$42, 30, 30))/1000000</f>
        <v>0.417717</v>
      </c>
      <c r="X597" s="58">
        <f>(30*0.1790888*245000/1000000)+(30*0.2374*100000/1000000)</f>
        <v>2.0285026799999999</v>
      </c>
      <c r="Y597" s="58"/>
      <c r="Z597" s="10"/>
      <c r="AA597" s="57"/>
      <c r="AB597" s="51">
        <f>(B597*194.205+C597*267.466+D597*133.845+E597*53.484+F597*40+G597*185+H597*0+I597*100+J597*300)/(194.205+267.466+133.845+53.484+0+40+185+100+300)</f>
        <v>15.701353538304552</v>
      </c>
      <c r="AC597" s="27">
        <f>(M597*'RAP TEMPLATE-GAS AVAILABILITY'!O596+N597*'RAP TEMPLATE-GAS AVAILABILITY'!P596+O597*'RAP TEMPLATE-GAS AVAILABILITY'!Q596+P597*'RAP TEMPLATE-GAS AVAILABILITY'!R596)/('RAP TEMPLATE-GAS AVAILABILITY'!O596+'RAP TEMPLATE-GAS AVAILABILITY'!P596+'RAP TEMPLATE-GAS AVAILABILITY'!Q596+'RAP TEMPLATE-GAS AVAILABILITY'!R596)</f>
        <v>15.615028057553957</v>
      </c>
    </row>
    <row r="598" spans="1:29" ht="15.75" x14ac:dyDescent="0.25">
      <c r="A598" s="13">
        <v>59475</v>
      </c>
      <c r="B598" s="10">
        <f>CHOOSE(CONTROL!$C$42, 15.357, 15.357) * CHOOSE(CONTROL!$C$21, $C$9, 100%, $E$9)</f>
        <v>15.356999999999999</v>
      </c>
      <c r="C598" s="10">
        <f>CHOOSE(CONTROL!$C$42, 15.3623, 15.3623) * CHOOSE(CONTROL!$C$21, $C$9, 100%, $E$9)</f>
        <v>15.362299999999999</v>
      </c>
      <c r="D598" s="10">
        <f>CHOOSE(CONTROL!$C$42, 15.5458, 15.5458) * CHOOSE(CONTROL!$C$21, $C$9, 100%, $E$9)</f>
        <v>15.5458</v>
      </c>
      <c r="E598" s="10">
        <f>CHOOSE(CONTROL!$C$42, 15.5745, 15.5745) * CHOOSE(CONTROL!$C$21, $C$9, 100%, $E$9)</f>
        <v>15.5745</v>
      </c>
      <c r="F598" s="10">
        <f>CHOOSE(CONTROL!$C$42, 15.3454, 15.3454)*CHOOSE(CONTROL!$C$21, $C$9, 100%, $E$9)</f>
        <v>15.3454</v>
      </c>
      <c r="G598" s="10">
        <f>CHOOSE(CONTROL!$C$42, 15.3632, 15.3632)*CHOOSE(CONTROL!$C$21, $C$9, 100%, $E$9)</f>
        <v>15.363200000000001</v>
      </c>
      <c r="H598" s="10">
        <f>CHOOSE(CONTROL!$C$42, 15.565, 15.565) * CHOOSE(CONTROL!$C$21, $C$9, 100%, $E$9)</f>
        <v>15.565</v>
      </c>
      <c r="I598" s="10">
        <f>CHOOSE(CONTROL!$C$42, 15.3357, 15.3357)* CHOOSE(CONTROL!$C$21, $C$9, 100%, $E$9)</f>
        <v>15.335699999999999</v>
      </c>
      <c r="J598" s="10">
        <f>CHOOSE(CONTROL!$C$42, 15.3384, 15.3384)* CHOOSE(CONTROL!$C$21, $C$9, 100%, $E$9)</f>
        <v>15.3384</v>
      </c>
      <c r="K598" s="54">
        <f>CHOOSE(CONTROL!$C$42, 15.3318, 15.3318) * CHOOSE(CONTROL!$C$21, $C$9, 100%, $E$9)</f>
        <v>15.331799999999999</v>
      </c>
      <c r="L598" s="10">
        <f>CHOOSE(CONTROL!$C$42, 16.152, 16.152) * CHOOSE(CONTROL!$C$21, $C$9, 100%, $E$9)</f>
        <v>16.152000000000001</v>
      </c>
      <c r="M598" s="10">
        <f>CHOOSE(CONTROL!$C$42, 15.1974, 15.1974) * CHOOSE(CONTROL!$C$21, $C$9, 100%, $E$9)</f>
        <v>15.1974</v>
      </c>
      <c r="N598" s="10">
        <f>CHOOSE(CONTROL!$C$42, 15.2151, 15.2151) * CHOOSE(CONTROL!$C$21, $C$9, 100%, $E$9)</f>
        <v>15.2151</v>
      </c>
      <c r="O598" s="10">
        <f>CHOOSE(CONTROL!$C$42, 15.4218, 15.4218) * CHOOSE(CONTROL!$C$21, $C$9, 100%, $E$9)</f>
        <v>15.421799999999999</v>
      </c>
      <c r="P598" s="10">
        <f>CHOOSE(CONTROL!$C$42, 15.1948, 15.1948) * CHOOSE(CONTROL!$C$21, $C$9, 100%, $E$9)</f>
        <v>15.194800000000001</v>
      </c>
      <c r="Q598" s="10">
        <f>CHOOSE(CONTROL!$C$42, 16.0171, 16.0171) * CHOOSE(CONTROL!$C$21, $C$9, 100%, $E$9)</f>
        <v>16.017099999999999</v>
      </c>
      <c r="R598" s="10">
        <f>CHOOSE(CONTROL!$C$42, 16.6441, 16.6441) * CHOOSE(CONTROL!$C$21, $C$9, 100%, $E$9)</f>
        <v>16.644100000000002</v>
      </c>
      <c r="S598" s="10">
        <f>CHOOSE(CONTROL!$C$42, 14.9107, 14.9107) * CHOOSE(CONTROL!$C$21, $C$9, 100%, $E$9)</f>
        <v>14.9107</v>
      </c>
      <c r="T598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98" s="58">
        <f>(1000*CHOOSE(CONTROL!$C$42, 695, 695)*CHOOSE(CONTROL!$C$42, 0.5599, 0.5599)*CHOOSE(CONTROL!$C$42, 31, 31))/1000000</f>
        <v>12.063045499999998</v>
      </c>
      <c r="V598" s="58">
        <f>(1000*CHOOSE(CONTROL!$C$42, 500, 500)*CHOOSE(CONTROL!$C$42, 0.275, 0.275)*CHOOSE(CONTROL!$C$42, 31, 31))/1000000</f>
        <v>4.2625000000000002</v>
      </c>
      <c r="W598" s="58">
        <f>(1000*CHOOSE(CONTROL!$C$42, 0.1146, 0.1146)*CHOOSE(CONTROL!$C$42, 121.5, 121.5)*CHOOSE(CONTROL!$C$42, 31, 31))/1000000</f>
        <v>0.43164089999999994</v>
      </c>
      <c r="X598" s="58">
        <f>(31*0.1790888*245000/1000000)+(31*0.2374*100000/1000000)</f>
        <v>2.0961194359999999</v>
      </c>
      <c r="Y598" s="58"/>
      <c r="Z598" s="10"/>
      <c r="AA598" s="57"/>
      <c r="AB598" s="51">
        <f>(B598*131.881+C598*277.167+D598*79.08+E598*125.872+F598*40+G598*185+H598*0+I598*100+J598*300)/(131.881+277.167+79.08+125.872+0+40+185+100+300)</f>
        <v>15.386660572316384</v>
      </c>
      <c r="AC598" s="27">
        <f>(M598*'RAP TEMPLATE-GAS AVAILABILITY'!O597+N598*'RAP TEMPLATE-GAS AVAILABILITY'!P597+O598*'RAP TEMPLATE-GAS AVAILABILITY'!Q597+P598*'RAP TEMPLATE-GAS AVAILABILITY'!R597)/('RAP TEMPLATE-GAS AVAILABILITY'!O597+'RAP TEMPLATE-GAS AVAILABILITY'!P597+'RAP TEMPLATE-GAS AVAILABILITY'!Q597+'RAP TEMPLATE-GAS AVAILABILITY'!R597)</f>
        <v>15.299751079136692</v>
      </c>
    </row>
    <row r="599" spans="1:29" ht="15.75" x14ac:dyDescent="0.25">
      <c r="A599" s="13">
        <v>59505</v>
      </c>
      <c r="B599" s="10">
        <f>CHOOSE(CONTROL!$C$42, 15.7611, 15.7611) * CHOOSE(CONTROL!$C$21, $C$9, 100%, $E$9)</f>
        <v>15.761100000000001</v>
      </c>
      <c r="C599" s="10">
        <f>CHOOSE(CONTROL!$C$42, 15.7661, 15.7661) * CHOOSE(CONTROL!$C$21, $C$9, 100%, $E$9)</f>
        <v>15.7661</v>
      </c>
      <c r="D599" s="10">
        <f>CHOOSE(CONTROL!$C$42, 15.7957, 15.7957) * CHOOSE(CONTROL!$C$21, $C$9, 100%, $E$9)</f>
        <v>15.7957</v>
      </c>
      <c r="E599" s="10">
        <f>CHOOSE(CONTROL!$C$42, 15.8295, 15.8295) * CHOOSE(CONTROL!$C$21, $C$9, 100%, $E$9)</f>
        <v>15.829499999999999</v>
      </c>
      <c r="F599" s="10">
        <f>CHOOSE(CONTROL!$C$42, 15.7469, 15.7469)*CHOOSE(CONTROL!$C$21, $C$9, 100%, $E$9)</f>
        <v>15.7469</v>
      </c>
      <c r="G599" s="10">
        <f>CHOOSE(CONTROL!$C$42, 15.7649, 15.7649)*CHOOSE(CONTROL!$C$21, $C$9, 100%, $E$9)</f>
        <v>15.764900000000001</v>
      </c>
      <c r="H599" s="10">
        <f>CHOOSE(CONTROL!$C$42, 15.8186, 15.8186) * CHOOSE(CONTROL!$C$21, $C$9, 100%, $E$9)</f>
        <v>15.8186</v>
      </c>
      <c r="I599" s="10">
        <f>CHOOSE(CONTROL!$C$42, 15.7273, 15.7273)* CHOOSE(CONTROL!$C$21, $C$9, 100%, $E$9)</f>
        <v>15.7273</v>
      </c>
      <c r="J599" s="10">
        <f>CHOOSE(CONTROL!$C$42, 15.7399, 15.7399)* CHOOSE(CONTROL!$C$21, $C$9, 100%, $E$9)</f>
        <v>15.7399</v>
      </c>
      <c r="K599" s="54">
        <f>CHOOSE(CONTROL!$C$42, 15.7234, 15.7234) * CHOOSE(CONTROL!$C$21, $C$9, 100%, $E$9)</f>
        <v>15.7234</v>
      </c>
      <c r="L599" s="10">
        <f>CHOOSE(CONTROL!$C$42, 16.4056, 16.4056) * CHOOSE(CONTROL!$C$21, $C$9, 100%, $E$9)</f>
        <v>16.4056</v>
      </c>
      <c r="M599" s="10">
        <f>CHOOSE(CONTROL!$C$42, 15.5948, 15.5948) * CHOOSE(CONTROL!$C$21, $C$9, 100%, $E$9)</f>
        <v>15.594799999999999</v>
      </c>
      <c r="N599" s="10">
        <f>CHOOSE(CONTROL!$C$42, 15.6127, 15.6127) * CHOOSE(CONTROL!$C$21, $C$9, 100%, $E$9)</f>
        <v>15.6127</v>
      </c>
      <c r="O599" s="10">
        <f>CHOOSE(CONTROL!$C$42, 15.6728, 15.6728) * CHOOSE(CONTROL!$C$21, $C$9, 100%, $E$9)</f>
        <v>15.672800000000001</v>
      </c>
      <c r="P599" s="10">
        <f>CHOOSE(CONTROL!$C$42, 15.5824, 15.5824) * CHOOSE(CONTROL!$C$21, $C$9, 100%, $E$9)</f>
        <v>15.5824</v>
      </c>
      <c r="Q599" s="10">
        <f>CHOOSE(CONTROL!$C$42, 16.2681, 16.2681) * CHOOSE(CONTROL!$C$21, $C$9, 100%, $E$9)</f>
        <v>16.2681</v>
      </c>
      <c r="R599" s="10">
        <f>CHOOSE(CONTROL!$C$42, 16.8958, 16.8958) * CHOOSE(CONTROL!$C$21, $C$9, 100%, $E$9)</f>
        <v>16.895800000000001</v>
      </c>
      <c r="S599" s="10">
        <f>CHOOSE(CONTROL!$C$42, 15.3035, 15.3035) * CHOOSE(CONTROL!$C$21, $C$9, 100%, $E$9)</f>
        <v>15.3035</v>
      </c>
      <c r="T599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99" s="58">
        <f>(1000*CHOOSE(CONTROL!$C$42, 695, 695)*CHOOSE(CONTROL!$C$42, 0.5599, 0.5599)*CHOOSE(CONTROL!$C$42, 30, 30))/1000000</f>
        <v>11.673914999999997</v>
      </c>
      <c r="V599" s="58">
        <f>(1000*CHOOSE(CONTROL!$C$42, 500, 500)*CHOOSE(CONTROL!$C$42, 0.275, 0.275)*CHOOSE(CONTROL!$C$42, 30, 30))/1000000</f>
        <v>4.125</v>
      </c>
      <c r="W599" s="58">
        <f>(1000*CHOOSE(CONTROL!$C$42, 0.1146, 0.1146)*CHOOSE(CONTROL!$C$42, 121.5, 121.5)*CHOOSE(CONTROL!$C$42, 30, 30))/1000000</f>
        <v>0.417717</v>
      </c>
      <c r="X599" s="58">
        <f>(30*0.1790888*100000/1000000)+(30*0.2374*100000/1000000)</f>
        <v>1.2494664</v>
      </c>
      <c r="Y599" s="58"/>
      <c r="Z599" s="10"/>
      <c r="AA599" s="57"/>
      <c r="AB599" s="51">
        <f>(B599*122.58+C599*297.941+D599*89.177+E599*40.302+F599*40+G599*160+H599*0+I599*100+J599*300)/(122.58+297.941+89.177+40.302+0+40+160+100+300)</f>
        <v>15.759040770434781</v>
      </c>
      <c r="AC599" s="27">
        <f>(M599*'RAP TEMPLATE-GAS AVAILABILITY'!O598+N599*'RAP TEMPLATE-GAS AVAILABILITY'!P598+O599*'RAP TEMPLATE-GAS AVAILABILITY'!Q598+P599*'RAP TEMPLATE-GAS AVAILABILITY'!R598)/('RAP TEMPLATE-GAS AVAILABILITY'!O598+'RAP TEMPLATE-GAS AVAILABILITY'!P598+'RAP TEMPLATE-GAS AVAILABILITY'!Q598+'RAP TEMPLATE-GAS AVAILABILITY'!R598)</f>
        <v>15.629398561151078</v>
      </c>
    </row>
    <row r="600" spans="1:29" ht="15.75" x14ac:dyDescent="0.25">
      <c r="A600" s="13">
        <v>59536</v>
      </c>
      <c r="B600" s="10">
        <f>CHOOSE(CONTROL!$C$42, 16.8355, 16.8355) * CHOOSE(CONTROL!$C$21, $C$9, 100%, $E$9)</f>
        <v>16.8355</v>
      </c>
      <c r="C600" s="10">
        <f>CHOOSE(CONTROL!$C$42, 16.8404, 16.8404) * CHOOSE(CONTROL!$C$21, $C$9, 100%, $E$9)</f>
        <v>16.840399999999999</v>
      </c>
      <c r="D600" s="10">
        <f>CHOOSE(CONTROL!$C$42, 16.8701, 16.8701) * CHOOSE(CONTROL!$C$21, $C$9, 100%, $E$9)</f>
        <v>16.870100000000001</v>
      </c>
      <c r="E600" s="10">
        <f>CHOOSE(CONTROL!$C$42, 16.9038, 16.9038) * CHOOSE(CONTROL!$C$21, $C$9, 100%, $E$9)</f>
        <v>16.9038</v>
      </c>
      <c r="F600" s="10">
        <f>CHOOSE(CONTROL!$C$42, 16.8228, 16.8228)*CHOOSE(CONTROL!$C$21, $C$9, 100%, $E$9)</f>
        <v>16.822800000000001</v>
      </c>
      <c r="G600" s="10">
        <f>CHOOSE(CONTROL!$C$42, 16.8412, 16.8412)*CHOOSE(CONTROL!$C$21, $C$9, 100%, $E$9)</f>
        <v>16.841200000000001</v>
      </c>
      <c r="H600" s="10">
        <f>CHOOSE(CONTROL!$C$42, 16.893, 16.893) * CHOOSE(CONTROL!$C$21, $C$9, 100%, $E$9)</f>
        <v>16.893000000000001</v>
      </c>
      <c r="I600" s="10">
        <f>CHOOSE(CONTROL!$C$42, 16.8017, 16.8017)* CHOOSE(CONTROL!$C$21, $C$9, 100%, $E$9)</f>
        <v>16.8017</v>
      </c>
      <c r="J600" s="10">
        <f>CHOOSE(CONTROL!$C$42, 16.8158, 16.8158)* CHOOSE(CONTROL!$C$21, $C$9, 100%, $E$9)</f>
        <v>16.815799999999999</v>
      </c>
      <c r="K600" s="54">
        <f>CHOOSE(CONTROL!$C$42, 16.7978, 16.7978) * CHOOSE(CONTROL!$C$21, $C$9, 100%, $E$9)</f>
        <v>16.797799999999999</v>
      </c>
      <c r="L600" s="10">
        <f>CHOOSE(CONTROL!$C$42, 17.48, 17.48) * CHOOSE(CONTROL!$C$21, $C$9, 100%, $E$9)</f>
        <v>17.48</v>
      </c>
      <c r="M600" s="10">
        <f>CHOOSE(CONTROL!$C$42, 16.6599, 16.6599) * CHOOSE(CONTROL!$C$21, $C$9, 100%, $E$9)</f>
        <v>16.6599</v>
      </c>
      <c r="N600" s="10">
        <f>CHOOSE(CONTROL!$C$42, 16.6782, 16.6782) * CHOOSE(CONTROL!$C$21, $C$9, 100%, $E$9)</f>
        <v>16.6782</v>
      </c>
      <c r="O600" s="10">
        <f>CHOOSE(CONTROL!$C$42, 16.7364, 16.7364) * CHOOSE(CONTROL!$C$21, $C$9, 100%, $E$9)</f>
        <v>16.7364</v>
      </c>
      <c r="P600" s="10">
        <f>CHOOSE(CONTROL!$C$42, 16.646, 16.646) * CHOOSE(CONTROL!$C$21, $C$9, 100%, $E$9)</f>
        <v>16.646000000000001</v>
      </c>
      <c r="Q600" s="10">
        <f>CHOOSE(CONTROL!$C$42, 17.3317, 17.3317) * CHOOSE(CONTROL!$C$21, $C$9, 100%, $E$9)</f>
        <v>17.331700000000001</v>
      </c>
      <c r="R600" s="10">
        <f>CHOOSE(CONTROL!$C$42, 17.962, 17.962) * CHOOSE(CONTROL!$C$21, $C$9, 100%, $E$9)</f>
        <v>17.962</v>
      </c>
      <c r="S600" s="10">
        <f>CHOOSE(CONTROL!$C$42, 16.3468, 16.3468) * CHOOSE(CONTROL!$C$21, $C$9, 100%, $E$9)</f>
        <v>16.346800000000002</v>
      </c>
      <c r="T600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00" s="58">
        <f>(1000*CHOOSE(CONTROL!$C$42, 695, 695)*CHOOSE(CONTROL!$C$42, 0.5599, 0.5599)*CHOOSE(CONTROL!$C$42, 31, 31))/1000000</f>
        <v>12.063045499999998</v>
      </c>
      <c r="V600" s="58">
        <f>(1000*CHOOSE(CONTROL!$C$42, 500, 500)*CHOOSE(CONTROL!$C$42, 0.275, 0.275)*CHOOSE(CONTROL!$C$42, 31, 31))/1000000</f>
        <v>4.2625000000000002</v>
      </c>
      <c r="W600" s="58">
        <f>(1000*CHOOSE(CONTROL!$C$42, 0.1146, 0.1146)*CHOOSE(CONTROL!$C$42, 121.5, 121.5)*CHOOSE(CONTROL!$C$42, 31, 31))/1000000</f>
        <v>0.43164089999999994</v>
      </c>
      <c r="X600" s="58">
        <f>(31*0.1790888*100000/1000000)+(31*0.2374*100000/1000000)</f>
        <v>1.2911152800000001</v>
      </c>
      <c r="Y600" s="58"/>
      <c r="Z600" s="10"/>
      <c r="AA600" s="57"/>
      <c r="AB600" s="51">
        <f>(B600*122.58+C600*297.941+D600*89.177+E600*40.302+F600*40+G600*160+H600*0+I600*100+J600*300)/(122.58+297.941+89.177+40.302+0+40+160+100+300)</f>
        <v>16.834119184086958</v>
      </c>
      <c r="AC600" s="27">
        <f>(M600*'RAP TEMPLATE-GAS AVAILABILITY'!O599+N600*'RAP TEMPLATE-GAS AVAILABILITY'!P599+O600*'RAP TEMPLATE-GAS AVAILABILITY'!Q599+P600*'RAP TEMPLATE-GAS AVAILABILITY'!R599)/('RAP TEMPLATE-GAS AVAILABILITY'!O599+'RAP TEMPLATE-GAS AVAILABILITY'!P599+'RAP TEMPLATE-GAS AVAILABILITY'!Q599+'RAP TEMPLATE-GAS AVAILABILITY'!R599)</f>
        <v>16.693625899280576</v>
      </c>
    </row>
    <row r="601" spans="1:29" ht="15.75" x14ac:dyDescent="0.25">
      <c r="A601" s="13">
        <v>59567</v>
      </c>
      <c r="B601" s="10">
        <f>CHOOSE(CONTROL!$C$42, 17.9716, 17.9716) * CHOOSE(CONTROL!$C$21, $C$9, 100%, $E$9)</f>
        <v>17.971599999999999</v>
      </c>
      <c r="C601" s="10">
        <f>CHOOSE(CONTROL!$C$42, 17.9765, 17.9765) * CHOOSE(CONTROL!$C$21, $C$9, 100%, $E$9)</f>
        <v>17.976500000000001</v>
      </c>
      <c r="D601" s="10">
        <f>CHOOSE(CONTROL!$C$42, 18.0267, 18.0267) * CHOOSE(CONTROL!$C$21, $C$9, 100%, $E$9)</f>
        <v>18.026700000000002</v>
      </c>
      <c r="E601" s="10">
        <f>CHOOSE(CONTROL!$C$42, 18.0605, 18.0605) * CHOOSE(CONTROL!$C$21, $C$9, 100%, $E$9)</f>
        <v>18.060500000000001</v>
      </c>
      <c r="F601" s="10">
        <f>CHOOSE(CONTROL!$C$42, 17.937, 17.937)*CHOOSE(CONTROL!$C$21, $C$9, 100%, $E$9)</f>
        <v>17.937000000000001</v>
      </c>
      <c r="G601" s="10">
        <f>CHOOSE(CONTROL!$C$42, 17.9545, 17.9545)*CHOOSE(CONTROL!$C$21, $C$9, 100%, $E$9)</f>
        <v>17.954499999999999</v>
      </c>
      <c r="H601" s="10">
        <f>CHOOSE(CONTROL!$C$42, 18.0497, 18.0497) * CHOOSE(CONTROL!$C$21, $C$9, 100%, $E$9)</f>
        <v>18.049700000000001</v>
      </c>
      <c r="I601" s="10">
        <f>CHOOSE(CONTROL!$C$42, 17.9455, 17.9455)* CHOOSE(CONTROL!$C$21, $C$9, 100%, $E$9)</f>
        <v>17.945499999999999</v>
      </c>
      <c r="J601" s="10">
        <f>CHOOSE(CONTROL!$C$42, 17.93, 17.93)* CHOOSE(CONTROL!$C$21, $C$9, 100%, $E$9)</f>
        <v>17.93</v>
      </c>
      <c r="K601" s="54">
        <f>CHOOSE(CONTROL!$C$42, 17.9416, 17.9416) * CHOOSE(CONTROL!$C$21, $C$9, 100%, $E$9)</f>
        <v>17.941600000000001</v>
      </c>
      <c r="L601" s="10">
        <f>CHOOSE(CONTROL!$C$42, 18.6367, 18.6367) * CHOOSE(CONTROL!$C$21, $C$9, 100%, $E$9)</f>
        <v>18.636700000000001</v>
      </c>
      <c r="M601" s="10">
        <f>CHOOSE(CONTROL!$C$42, 17.7628, 17.7628) * CHOOSE(CONTROL!$C$21, $C$9, 100%, $E$9)</f>
        <v>17.762799999999999</v>
      </c>
      <c r="N601" s="10">
        <f>CHOOSE(CONTROL!$C$42, 17.7802, 17.7802) * CHOOSE(CONTROL!$C$21, $C$9, 100%, $E$9)</f>
        <v>17.780200000000001</v>
      </c>
      <c r="O601" s="10">
        <f>CHOOSE(CONTROL!$C$42, 17.8814, 17.8814) * CHOOSE(CONTROL!$C$21, $C$9, 100%, $E$9)</f>
        <v>17.881399999999999</v>
      </c>
      <c r="P601" s="10">
        <f>CHOOSE(CONTROL!$C$42, 17.7783, 17.7783) * CHOOSE(CONTROL!$C$21, $C$9, 100%, $E$9)</f>
        <v>17.778300000000002</v>
      </c>
      <c r="Q601" s="10">
        <f>CHOOSE(CONTROL!$C$42, 18.4767, 18.4767) * CHOOSE(CONTROL!$C$21, $C$9, 100%, $E$9)</f>
        <v>18.476700000000001</v>
      </c>
      <c r="R601" s="10">
        <f>CHOOSE(CONTROL!$C$42, 19.1099, 19.1099) * CHOOSE(CONTROL!$C$21, $C$9, 100%, $E$9)</f>
        <v>19.1099</v>
      </c>
      <c r="S601" s="10">
        <f>CHOOSE(CONTROL!$C$42, 17.4501, 17.4501) * CHOOSE(CONTROL!$C$21, $C$9, 100%, $E$9)</f>
        <v>17.450099999999999</v>
      </c>
      <c r="T601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01" s="58">
        <f>(1000*CHOOSE(CONTROL!$C$42, 695, 695)*CHOOSE(CONTROL!$C$42, 0.5599, 0.5599)*CHOOSE(CONTROL!$C$42, 31, 31))/1000000</f>
        <v>12.063045499999998</v>
      </c>
      <c r="V601" s="58">
        <f>(1000*CHOOSE(CONTROL!$C$42, 500, 500)*CHOOSE(CONTROL!$C$42, 0.275, 0.275)*CHOOSE(CONTROL!$C$42, 31, 31))/1000000</f>
        <v>4.2625000000000002</v>
      </c>
      <c r="W601" s="58">
        <f>(1000*CHOOSE(CONTROL!$C$42, 0.1146, 0.1146)*CHOOSE(CONTROL!$C$42, 121.5, 121.5)*CHOOSE(CONTROL!$C$42, 31, 31))/1000000</f>
        <v>0.43164089999999994</v>
      </c>
      <c r="X601" s="58">
        <f>(31*0.1790888*100000/1000000)+(31*0.2374*100000/1000000)</f>
        <v>1.2911152800000001</v>
      </c>
      <c r="Y601" s="58"/>
      <c r="Z601" s="10"/>
      <c r="AA601" s="57"/>
      <c r="AB601" s="51">
        <f>(B601*122.58+C601*297.941+D601*89.177+E601*40.302+F601*40+G601*160+H601*0+I601*100+J601*300)/(122.58+297.941+89.177+40.302+0+40+160+100+300)</f>
        <v>17.963553401217393</v>
      </c>
      <c r="AC601" s="27">
        <f>(M601*'RAP TEMPLATE-GAS AVAILABILITY'!O600+N601*'RAP TEMPLATE-GAS AVAILABILITY'!P600+O601*'RAP TEMPLATE-GAS AVAILABILITY'!Q600+P601*'RAP TEMPLATE-GAS AVAILABILITY'!R600)/('RAP TEMPLATE-GAS AVAILABILITY'!O600+'RAP TEMPLATE-GAS AVAILABILITY'!P600+'RAP TEMPLATE-GAS AVAILABILITY'!Q600+'RAP TEMPLATE-GAS AVAILABILITY'!R600)</f>
        <v>17.819785611510792</v>
      </c>
    </row>
    <row r="602" spans="1:29" ht="15.75" x14ac:dyDescent="0.25">
      <c r="A602" s="13">
        <v>59595</v>
      </c>
      <c r="B602" s="10">
        <f>CHOOSE(CONTROL!$C$42, 18.2915, 18.2915) * CHOOSE(CONTROL!$C$21, $C$9, 100%, $E$9)</f>
        <v>18.291499999999999</v>
      </c>
      <c r="C602" s="10">
        <f>CHOOSE(CONTROL!$C$42, 18.2964, 18.2964) * CHOOSE(CONTROL!$C$21, $C$9, 100%, $E$9)</f>
        <v>18.296399999999998</v>
      </c>
      <c r="D602" s="10">
        <f>CHOOSE(CONTROL!$C$42, 18.4135, 18.4135) * CHOOSE(CONTROL!$C$21, $C$9, 100%, $E$9)</f>
        <v>18.413499999999999</v>
      </c>
      <c r="E602" s="10">
        <f>CHOOSE(CONTROL!$C$42, 18.4473, 18.4473) * CHOOSE(CONTROL!$C$21, $C$9, 100%, $E$9)</f>
        <v>18.447299999999998</v>
      </c>
      <c r="F602" s="10">
        <f>CHOOSE(CONTROL!$C$42, 18.3691, 18.3691)*CHOOSE(CONTROL!$C$21, $C$9, 100%, $E$9)</f>
        <v>18.3691</v>
      </c>
      <c r="G602" s="10">
        <f>CHOOSE(CONTROL!$C$42, 18.391, 18.391)*CHOOSE(CONTROL!$C$21, $C$9, 100%, $E$9)</f>
        <v>18.390999999999998</v>
      </c>
      <c r="H602" s="10">
        <f>CHOOSE(CONTROL!$C$42, 18.4365, 18.4365) * CHOOSE(CONTROL!$C$21, $C$9, 100%, $E$9)</f>
        <v>18.436499999999999</v>
      </c>
      <c r="I602" s="10">
        <f>CHOOSE(CONTROL!$C$42, 18.3271, 18.3271)* CHOOSE(CONTROL!$C$21, $C$9, 100%, $E$9)</f>
        <v>18.327100000000002</v>
      </c>
      <c r="J602" s="10">
        <f>CHOOSE(CONTROL!$C$42, 18.3621, 18.3621)* CHOOSE(CONTROL!$C$21, $C$9, 100%, $E$9)</f>
        <v>18.362100000000002</v>
      </c>
      <c r="K602" s="54">
        <f>CHOOSE(CONTROL!$C$42, 18.3232, 18.3232) * CHOOSE(CONTROL!$C$21, $C$9, 100%, $E$9)</f>
        <v>18.3232</v>
      </c>
      <c r="L602" s="10">
        <f>CHOOSE(CONTROL!$C$42, 19.0235, 19.0235) * CHOOSE(CONTROL!$C$21, $C$9, 100%, $E$9)</f>
        <v>19.023499999999999</v>
      </c>
      <c r="M602" s="10">
        <f>CHOOSE(CONTROL!$C$42, 18.1906, 18.1906) * CHOOSE(CONTROL!$C$21, $C$9, 100%, $E$9)</f>
        <v>18.1906</v>
      </c>
      <c r="N602" s="10">
        <f>CHOOSE(CONTROL!$C$42, 18.2123, 18.2123) * CHOOSE(CONTROL!$C$21, $C$9, 100%, $E$9)</f>
        <v>18.212299999999999</v>
      </c>
      <c r="O602" s="10">
        <f>CHOOSE(CONTROL!$C$42, 18.2643, 18.2643) * CHOOSE(CONTROL!$C$21, $C$9, 100%, $E$9)</f>
        <v>18.264299999999999</v>
      </c>
      <c r="P602" s="10">
        <f>CHOOSE(CONTROL!$C$42, 18.1561, 18.1561) * CHOOSE(CONTROL!$C$21, $C$9, 100%, $E$9)</f>
        <v>18.156099999999999</v>
      </c>
      <c r="Q602" s="10">
        <f>CHOOSE(CONTROL!$C$42, 18.8596, 18.8596) * CHOOSE(CONTROL!$C$21, $C$9, 100%, $E$9)</f>
        <v>18.8596</v>
      </c>
      <c r="R602" s="10">
        <f>CHOOSE(CONTROL!$C$42, 19.4937, 19.4937) * CHOOSE(CONTROL!$C$21, $C$9, 100%, $E$9)</f>
        <v>19.4937</v>
      </c>
      <c r="S602" s="10">
        <f>CHOOSE(CONTROL!$C$42, 17.7607, 17.7607) * CHOOSE(CONTROL!$C$21, $C$9, 100%, $E$9)</f>
        <v>17.7607</v>
      </c>
      <c r="T602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602" s="58">
        <f>(1000*CHOOSE(CONTROL!$C$42, 695, 695)*CHOOSE(CONTROL!$C$42, 0.5599, 0.5599)*CHOOSE(CONTROL!$C$42, 28, 28))/1000000</f>
        <v>10.895653999999999</v>
      </c>
      <c r="V602" s="58">
        <f>(1000*CHOOSE(CONTROL!$C$42, 500, 500)*CHOOSE(CONTROL!$C$42, 0.275, 0.275)*CHOOSE(CONTROL!$C$42, 28, 28))/1000000</f>
        <v>3.85</v>
      </c>
      <c r="W602" s="58">
        <f>(1000*CHOOSE(CONTROL!$C$42, 0.1146, 0.1146)*CHOOSE(CONTROL!$C$42, 121.5, 121.5)*CHOOSE(CONTROL!$C$42, 28, 28))/1000000</f>
        <v>0.38986920000000003</v>
      </c>
      <c r="X602" s="58">
        <f>(28*0.1790888*100000/1000000)+(28*0.2374*100000/1000000)</f>
        <v>1.16616864</v>
      </c>
      <c r="Y602" s="58"/>
      <c r="Z602" s="10"/>
      <c r="AA602" s="57"/>
      <c r="AB602" s="51">
        <f>(B602*122.58+C602*297.941+D602*89.177+E602*40.302+F602*40+G602*160+H602*0+I602*100+J602*300)/(122.58+297.941+89.177+40.302+0+40+160+100+300)</f>
        <v>18.345745701304349</v>
      </c>
      <c r="AC602" s="27">
        <f>(M602*'RAP TEMPLATE-GAS AVAILABILITY'!O601+N602*'RAP TEMPLATE-GAS AVAILABILITY'!P601+O602*'RAP TEMPLATE-GAS AVAILABILITY'!Q601+P602*'RAP TEMPLATE-GAS AVAILABILITY'!R601)/('RAP TEMPLATE-GAS AVAILABILITY'!O601+'RAP TEMPLATE-GAS AVAILABILITY'!P601+'RAP TEMPLATE-GAS AVAILABILITY'!Q601+'RAP TEMPLATE-GAS AVAILABILITY'!R601)</f>
        <v>18.220288489208635</v>
      </c>
    </row>
    <row r="603" spans="1:29" ht="15.75" x14ac:dyDescent="0.25">
      <c r="A603" s="13">
        <v>59626</v>
      </c>
      <c r="B603" s="10">
        <f>CHOOSE(CONTROL!$C$42, 17.7722, 17.7722) * CHOOSE(CONTROL!$C$21, $C$9, 100%, $E$9)</f>
        <v>17.772200000000002</v>
      </c>
      <c r="C603" s="10">
        <f>CHOOSE(CONTROL!$C$42, 17.7772, 17.7772) * CHOOSE(CONTROL!$C$21, $C$9, 100%, $E$9)</f>
        <v>17.777200000000001</v>
      </c>
      <c r="D603" s="10">
        <f>CHOOSE(CONTROL!$C$42, 17.8686, 17.8686) * CHOOSE(CONTROL!$C$21, $C$9, 100%, $E$9)</f>
        <v>17.868600000000001</v>
      </c>
      <c r="E603" s="10">
        <f>CHOOSE(CONTROL!$C$42, 17.9024, 17.9024) * CHOOSE(CONTROL!$C$21, $C$9, 100%, $E$9)</f>
        <v>17.9024</v>
      </c>
      <c r="F603" s="10">
        <f>CHOOSE(CONTROL!$C$42, 17.8021, 17.8021)*CHOOSE(CONTROL!$C$21, $C$9, 100%, $E$9)</f>
        <v>17.802099999999999</v>
      </c>
      <c r="G603" s="10">
        <f>CHOOSE(CONTROL!$C$42, 17.8216, 17.8216)*CHOOSE(CONTROL!$C$21, $C$9, 100%, $E$9)</f>
        <v>17.8216</v>
      </c>
      <c r="H603" s="10">
        <f>CHOOSE(CONTROL!$C$42, 17.8916, 17.8916) * CHOOSE(CONTROL!$C$21, $C$9, 100%, $E$9)</f>
        <v>17.8916</v>
      </c>
      <c r="I603" s="10">
        <f>CHOOSE(CONTROL!$C$42, 17.795, 17.795)* CHOOSE(CONTROL!$C$21, $C$9, 100%, $E$9)</f>
        <v>17.795000000000002</v>
      </c>
      <c r="J603" s="10">
        <f>CHOOSE(CONTROL!$C$42, 17.7951, 17.7951)* CHOOSE(CONTROL!$C$21, $C$9, 100%, $E$9)</f>
        <v>17.795100000000001</v>
      </c>
      <c r="K603" s="54">
        <f>CHOOSE(CONTROL!$C$42, 17.7912, 17.7912) * CHOOSE(CONTROL!$C$21, $C$9, 100%, $E$9)</f>
        <v>17.7912</v>
      </c>
      <c r="L603" s="10">
        <f>CHOOSE(CONTROL!$C$42, 18.4786, 18.4786) * CHOOSE(CONTROL!$C$21, $C$9, 100%, $E$9)</f>
        <v>18.4786</v>
      </c>
      <c r="M603" s="10">
        <f>CHOOSE(CONTROL!$C$42, 17.6293, 17.6293) * CHOOSE(CONTROL!$C$21, $C$9, 100%, $E$9)</f>
        <v>17.629300000000001</v>
      </c>
      <c r="N603" s="10">
        <f>CHOOSE(CONTROL!$C$42, 17.6486, 17.6486) * CHOOSE(CONTROL!$C$21, $C$9, 100%, $E$9)</f>
        <v>17.648599999999998</v>
      </c>
      <c r="O603" s="10">
        <f>CHOOSE(CONTROL!$C$42, 17.7248, 17.7248) * CHOOSE(CONTROL!$C$21, $C$9, 100%, $E$9)</f>
        <v>17.724799999999998</v>
      </c>
      <c r="P603" s="10">
        <f>CHOOSE(CONTROL!$C$42, 17.6293, 17.6293) * CHOOSE(CONTROL!$C$21, $C$9, 100%, $E$9)</f>
        <v>17.629300000000001</v>
      </c>
      <c r="Q603" s="10">
        <f>CHOOSE(CONTROL!$C$42, 18.3201, 18.3201) * CHOOSE(CONTROL!$C$21, $C$9, 100%, $E$9)</f>
        <v>18.3201</v>
      </c>
      <c r="R603" s="10">
        <f>CHOOSE(CONTROL!$C$42, 18.9529, 18.9529) * CHOOSE(CONTROL!$C$21, $C$9, 100%, $E$9)</f>
        <v>18.9529</v>
      </c>
      <c r="S603" s="10">
        <f>CHOOSE(CONTROL!$C$42, 17.2565, 17.2565) * CHOOSE(CONTROL!$C$21, $C$9, 100%, $E$9)</f>
        <v>17.256499999999999</v>
      </c>
      <c r="T603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03" s="58">
        <f>(1000*CHOOSE(CONTROL!$C$42, 695, 695)*CHOOSE(CONTROL!$C$42, 0.5599, 0.5599)*CHOOSE(CONTROL!$C$42, 31, 31))/1000000</f>
        <v>12.063045499999998</v>
      </c>
      <c r="V603" s="58">
        <f>(1000*CHOOSE(CONTROL!$C$42, 500, 500)*CHOOSE(CONTROL!$C$42, 0.275, 0.275)*CHOOSE(CONTROL!$C$42, 31, 31))/1000000</f>
        <v>4.2625000000000002</v>
      </c>
      <c r="W603" s="58">
        <f>(1000*CHOOSE(CONTROL!$C$42, 0.1146, 0.1146)*CHOOSE(CONTROL!$C$42, 121.5, 121.5)*CHOOSE(CONTROL!$C$42, 31, 31))/1000000</f>
        <v>0.43164089999999994</v>
      </c>
      <c r="X603" s="58">
        <f>(31*0.1790888*100000/1000000)+(31*0.2374*100000/1000000)</f>
        <v>1.2911152800000001</v>
      </c>
      <c r="Y603" s="58"/>
      <c r="Z603" s="10"/>
      <c r="AA603" s="57"/>
      <c r="AB603" s="51">
        <f>(B603*122.58+C603*297.941+D603*89.177+E603*40.302+F603*40+G603*160+H603*0+I603*100+J603*300)/(122.58+297.941+89.177+40.302+0+40+160+100+300)</f>
        <v>17.801403207130434</v>
      </c>
      <c r="AC603" s="27">
        <f>(M603*'RAP TEMPLATE-GAS AVAILABILITY'!O602+N603*'RAP TEMPLATE-GAS AVAILABILITY'!P602+O603*'RAP TEMPLATE-GAS AVAILABILITY'!Q602+P603*'RAP TEMPLATE-GAS AVAILABILITY'!R602)/('RAP TEMPLATE-GAS AVAILABILITY'!O602+'RAP TEMPLATE-GAS AVAILABILITY'!P602+'RAP TEMPLATE-GAS AVAILABILITY'!Q602+'RAP TEMPLATE-GAS AVAILABILITY'!R602)</f>
        <v>17.67369496402878</v>
      </c>
    </row>
    <row r="604" spans="1:29" ht="15.75" x14ac:dyDescent="0.25">
      <c r="A604" s="13">
        <v>59656</v>
      </c>
      <c r="B604" s="10">
        <f>CHOOSE(CONTROL!$C$42, 17.7198, 17.7198) * CHOOSE(CONTROL!$C$21, $C$9, 100%, $E$9)</f>
        <v>17.719799999999999</v>
      </c>
      <c r="C604" s="10">
        <f>CHOOSE(CONTROL!$C$42, 17.7242, 17.7242) * CHOOSE(CONTROL!$C$21, $C$9, 100%, $E$9)</f>
        <v>17.7242</v>
      </c>
      <c r="D604" s="10">
        <f>CHOOSE(CONTROL!$C$42, 17.9059, 17.9059) * CHOOSE(CONTROL!$C$21, $C$9, 100%, $E$9)</f>
        <v>17.905899999999999</v>
      </c>
      <c r="E604" s="10">
        <f>CHOOSE(CONTROL!$C$42, 17.9376, 17.9376) * CHOOSE(CONTROL!$C$21, $C$9, 100%, $E$9)</f>
        <v>17.9376</v>
      </c>
      <c r="F604" s="10">
        <f>CHOOSE(CONTROL!$C$42, 17.7081, 17.7081)*CHOOSE(CONTROL!$C$21, $C$9, 100%, $E$9)</f>
        <v>17.708100000000002</v>
      </c>
      <c r="G604" s="10">
        <f>CHOOSE(CONTROL!$C$42, 17.7261, 17.7261)*CHOOSE(CONTROL!$C$21, $C$9, 100%, $E$9)</f>
        <v>17.726099999999999</v>
      </c>
      <c r="H604" s="10">
        <f>CHOOSE(CONTROL!$C$42, 17.9274, 17.9274) * CHOOSE(CONTROL!$C$21, $C$9, 100%, $E$9)</f>
        <v>17.927399999999999</v>
      </c>
      <c r="I604" s="10">
        <f>CHOOSE(CONTROL!$C$42, 17.6981, 17.6981)* CHOOSE(CONTROL!$C$21, $C$9, 100%, $E$9)</f>
        <v>17.6981</v>
      </c>
      <c r="J604" s="10">
        <f>CHOOSE(CONTROL!$C$42, 17.7011, 17.7011)* CHOOSE(CONTROL!$C$21, $C$9, 100%, $E$9)</f>
        <v>17.7011</v>
      </c>
      <c r="K604" s="54">
        <f>CHOOSE(CONTROL!$C$42, 17.6942, 17.6942) * CHOOSE(CONTROL!$C$21, $C$9, 100%, $E$9)</f>
        <v>17.694199999999999</v>
      </c>
      <c r="L604" s="10">
        <f>CHOOSE(CONTROL!$C$42, 18.5144, 18.5144) * CHOOSE(CONTROL!$C$21, $C$9, 100%, $E$9)</f>
        <v>18.514399999999998</v>
      </c>
      <c r="M604" s="10">
        <f>CHOOSE(CONTROL!$C$42, 17.5363, 17.5363) * CHOOSE(CONTROL!$C$21, $C$9, 100%, $E$9)</f>
        <v>17.536300000000001</v>
      </c>
      <c r="N604" s="10">
        <f>CHOOSE(CONTROL!$C$42, 17.5541, 17.5541) * CHOOSE(CONTROL!$C$21, $C$9, 100%, $E$9)</f>
        <v>17.554099999999998</v>
      </c>
      <c r="O604" s="10">
        <f>CHOOSE(CONTROL!$C$42, 17.7603, 17.7603) * CHOOSE(CONTROL!$C$21, $C$9, 100%, $E$9)</f>
        <v>17.760300000000001</v>
      </c>
      <c r="P604" s="10">
        <f>CHOOSE(CONTROL!$C$42, 17.5333, 17.5333) * CHOOSE(CONTROL!$C$21, $C$9, 100%, $E$9)</f>
        <v>17.533300000000001</v>
      </c>
      <c r="Q604" s="10">
        <f>CHOOSE(CONTROL!$C$42, 18.3556, 18.3556) * CHOOSE(CONTROL!$C$21, $C$9, 100%, $E$9)</f>
        <v>18.355599999999999</v>
      </c>
      <c r="R604" s="10">
        <f>CHOOSE(CONTROL!$C$42, 18.9885, 18.9885) * CHOOSE(CONTROL!$C$21, $C$9, 100%, $E$9)</f>
        <v>18.988499999999998</v>
      </c>
      <c r="S604" s="10">
        <f>CHOOSE(CONTROL!$C$42, 17.2048, 17.2048) * CHOOSE(CONTROL!$C$21, $C$9, 100%, $E$9)</f>
        <v>17.204799999999999</v>
      </c>
      <c r="T604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04" s="58">
        <f>(1000*CHOOSE(CONTROL!$C$42, 695, 695)*CHOOSE(CONTROL!$C$42, 0.5599, 0.5599)*CHOOSE(CONTROL!$C$42, 30, 30))/1000000</f>
        <v>11.673914999999997</v>
      </c>
      <c r="V604" s="58">
        <f>(1000*CHOOSE(CONTROL!$C$42, 500, 500)*CHOOSE(CONTROL!$C$42, 0.275, 0.275)*CHOOSE(CONTROL!$C$42, 30, 30))/1000000</f>
        <v>4.125</v>
      </c>
      <c r="W604" s="58">
        <f>(1000*CHOOSE(CONTROL!$C$42, 0.1146, 0.1146)*CHOOSE(CONTROL!$C$42, 121.5, 121.5)*CHOOSE(CONTROL!$C$42, 30, 30))/1000000</f>
        <v>0.417717</v>
      </c>
      <c r="X604" s="58">
        <f>(30*0.1790888*245000/1000000)+(30*0.2374*100000/1000000)</f>
        <v>2.0285026799999999</v>
      </c>
      <c r="Y604" s="58"/>
      <c r="Z604" s="10"/>
      <c r="AA604" s="57"/>
      <c r="AB604" s="51">
        <f>(B604*141.293+C604*267.993+D604*115.016+E604*89.698+F604*40+G604*185+H604*0+I604*100+J604*300)/(141.293+267.993+115.016+89.698+0+40+185+100+300)</f>
        <v>17.748078749959642</v>
      </c>
      <c r="AC604" s="27">
        <f>(M604*'RAP TEMPLATE-GAS AVAILABILITY'!O603+N604*'RAP TEMPLATE-GAS AVAILABILITY'!P603+O604*'RAP TEMPLATE-GAS AVAILABILITY'!Q603+P604*'RAP TEMPLATE-GAS AVAILABILITY'!R603)/('RAP TEMPLATE-GAS AVAILABILITY'!O603+'RAP TEMPLATE-GAS AVAILABILITY'!P603+'RAP TEMPLATE-GAS AVAILABILITY'!Q603+'RAP TEMPLATE-GAS AVAILABILITY'!R603)</f>
        <v>17.638417985611511</v>
      </c>
    </row>
    <row r="605" spans="1:29" ht="15.75" x14ac:dyDescent="0.25">
      <c r="A605" s="13">
        <v>59687</v>
      </c>
      <c r="B605" s="10">
        <f>CHOOSE(CONTROL!$C$42, 17.878, 17.878) * CHOOSE(CONTROL!$C$21, $C$9, 100%, $E$9)</f>
        <v>17.878</v>
      </c>
      <c r="C605" s="10">
        <f>CHOOSE(CONTROL!$C$42, 17.8859, 17.8859) * CHOOSE(CONTROL!$C$21, $C$9, 100%, $E$9)</f>
        <v>17.885899999999999</v>
      </c>
      <c r="D605" s="10">
        <f>CHOOSE(CONTROL!$C$42, 18.0644, 18.0644) * CHOOSE(CONTROL!$C$21, $C$9, 100%, $E$9)</f>
        <v>18.064399999999999</v>
      </c>
      <c r="E605" s="10">
        <f>CHOOSE(CONTROL!$C$42, 18.0955, 18.0955) * CHOOSE(CONTROL!$C$21, $C$9, 100%, $E$9)</f>
        <v>18.095500000000001</v>
      </c>
      <c r="F605" s="10">
        <f>CHOOSE(CONTROL!$C$42, 17.8641, 17.8641)*CHOOSE(CONTROL!$C$21, $C$9, 100%, $E$9)</f>
        <v>17.864100000000001</v>
      </c>
      <c r="G605" s="10">
        <f>CHOOSE(CONTROL!$C$42, 17.8823, 17.8823)*CHOOSE(CONTROL!$C$21, $C$9, 100%, $E$9)</f>
        <v>17.882300000000001</v>
      </c>
      <c r="H605" s="10">
        <f>CHOOSE(CONTROL!$C$42, 18.0842, 18.0842) * CHOOSE(CONTROL!$C$21, $C$9, 100%, $E$9)</f>
        <v>18.084199999999999</v>
      </c>
      <c r="I605" s="10">
        <f>CHOOSE(CONTROL!$C$42, 17.8548, 17.8548)* CHOOSE(CONTROL!$C$21, $C$9, 100%, $E$9)</f>
        <v>17.854800000000001</v>
      </c>
      <c r="J605" s="10">
        <f>CHOOSE(CONTROL!$C$42, 17.8571, 17.8571)* CHOOSE(CONTROL!$C$21, $C$9, 100%, $E$9)</f>
        <v>17.857099999999999</v>
      </c>
      <c r="K605" s="54">
        <f>CHOOSE(CONTROL!$C$42, 17.8509, 17.8509) * CHOOSE(CONTROL!$C$21, $C$9, 100%, $E$9)</f>
        <v>17.850899999999999</v>
      </c>
      <c r="L605" s="10">
        <f>CHOOSE(CONTROL!$C$42, 18.6712, 18.6712) * CHOOSE(CONTROL!$C$21, $C$9, 100%, $E$9)</f>
        <v>18.671199999999999</v>
      </c>
      <c r="M605" s="10">
        <f>CHOOSE(CONTROL!$C$42, 17.6908, 17.6908) * CHOOSE(CONTROL!$C$21, $C$9, 100%, $E$9)</f>
        <v>17.690799999999999</v>
      </c>
      <c r="N605" s="10">
        <f>CHOOSE(CONTROL!$C$42, 17.7087, 17.7087) * CHOOSE(CONTROL!$C$21, $C$9, 100%, $E$9)</f>
        <v>17.7087</v>
      </c>
      <c r="O605" s="10">
        <f>CHOOSE(CONTROL!$C$42, 17.9155, 17.9155) * CHOOSE(CONTROL!$C$21, $C$9, 100%, $E$9)</f>
        <v>17.915500000000002</v>
      </c>
      <c r="P605" s="10">
        <f>CHOOSE(CONTROL!$C$42, 17.6885, 17.6885) * CHOOSE(CONTROL!$C$21, $C$9, 100%, $E$9)</f>
        <v>17.688500000000001</v>
      </c>
      <c r="Q605" s="10">
        <f>CHOOSE(CONTROL!$C$42, 18.5108, 18.5108) * CHOOSE(CONTROL!$C$21, $C$9, 100%, $E$9)</f>
        <v>18.5108</v>
      </c>
      <c r="R605" s="10">
        <f>CHOOSE(CONTROL!$C$42, 19.1441, 19.1441) * CHOOSE(CONTROL!$C$21, $C$9, 100%, $E$9)</f>
        <v>19.144100000000002</v>
      </c>
      <c r="S605" s="10">
        <f>CHOOSE(CONTROL!$C$42, 17.357, 17.357) * CHOOSE(CONTROL!$C$21, $C$9, 100%, $E$9)</f>
        <v>17.356999999999999</v>
      </c>
      <c r="T605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05" s="58">
        <f>(1000*CHOOSE(CONTROL!$C$42, 695, 695)*CHOOSE(CONTROL!$C$42, 0.5599, 0.5599)*CHOOSE(CONTROL!$C$42, 31, 31))/1000000</f>
        <v>12.063045499999998</v>
      </c>
      <c r="V605" s="58">
        <f>(1000*CHOOSE(CONTROL!$C$42, 500, 500)*CHOOSE(CONTROL!$C$42, 0.275, 0.275)*CHOOSE(CONTROL!$C$42, 31, 31))/1000000</f>
        <v>4.2625000000000002</v>
      </c>
      <c r="W605" s="58">
        <f>(1000*CHOOSE(CONTROL!$C$42, 0.1146, 0.1146)*CHOOSE(CONTROL!$C$42, 121.5, 121.5)*CHOOSE(CONTROL!$C$42, 31, 31))/1000000</f>
        <v>0.43164089999999994</v>
      </c>
      <c r="X605" s="58">
        <f>(31*0.1790888*245000/1000000)+(31*0.2374*100000/1000000)</f>
        <v>2.0961194359999999</v>
      </c>
      <c r="Y605" s="58"/>
      <c r="Z605" s="10"/>
      <c r="AA605" s="57"/>
      <c r="AB605" s="51">
        <f>(B605*194.205+C605*267.466+D605*133.845+E605*53.484+F605*40+G605*185+H605*0+I605*100+J605*300)/(194.205+267.466+133.845+53.484+0+40+185+100+300)</f>
        <v>17.901817864521195</v>
      </c>
      <c r="AC605" s="27">
        <f>(M605*'RAP TEMPLATE-GAS AVAILABILITY'!O604+N605*'RAP TEMPLATE-GAS AVAILABILITY'!P604+O605*'RAP TEMPLATE-GAS AVAILABILITY'!Q604+P605*'RAP TEMPLATE-GAS AVAILABILITY'!R604)/('RAP TEMPLATE-GAS AVAILABILITY'!O604+'RAP TEMPLATE-GAS AVAILABILITY'!P604+'RAP TEMPLATE-GAS AVAILABILITY'!Q604+'RAP TEMPLATE-GAS AVAILABILITY'!R604)</f>
        <v>17.793341726618703</v>
      </c>
    </row>
    <row r="606" spans="1:29" ht="15.75" x14ac:dyDescent="0.25">
      <c r="A606" s="13">
        <v>59717</v>
      </c>
      <c r="B606" s="10">
        <f>CHOOSE(CONTROL!$C$42, 18.3849, 18.3849) * CHOOSE(CONTROL!$C$21, $C$9, 100%, $E$9)</f>
        <v>18.384899999999998</v>
      </c>
      <c r="C606" s="10">
        <f>CHOOSE(CONTROL!$C$42, 18.3929, 18.3929) * CHOOSE(CONTROL!$C$21, $C$9, 100%, $E$9)</f>
        <v>18.392900000000001</v>
      </c>
      <c r="D606" s="10">
        <f>CHOOSE(CONTROL!$C$42, 18.5714, 18.5714) * CHOOSE(CONTROL!$C$21, $C$9, 100%, $E$9)</f>
        <v>18.571400000000001</v>
      </c>
      <c r="E606" s="10">
        <f>CHOOSE(CONTROL!$C$42, 18.6025, 18.6025) * CHOOSE(CONTROL!$C$21, $C$9, 100%, $E$9)</f>
        <v>18.602499999999999</v>
      </c>
      <c r="F606" s="10">
        <f>CHOOSE(CONTROL!$C$42, 18.3714, 18.3714)*CHOOSE(CONTROL!$C$21, $C$9, 100%, $E$9)</f>
        <v>18.371400000000001</v>
      </c>
      <c r="G606" s="10">
        <f>CHOOSE(CONTROL!$C$42, 18.3896, 18.3896)*CHOOSE(CONTROL!$C$21, $C$9, 100%, $E$9)</f>
        <v>18.389600000000002</v>
      </c>
      <c r="H606" s="10">
        <f>CHOOSE(CONTROL!$C$42, 18.5912, 18.5912) * CHOOSE(CONTROL!$C$21, $C$9, 100%, $E$9)</f>
        <v>18.591200000000001</v>
      </c>
      <c r="I606" s="10">
        <f>CHOOSE(CONTROL!$C$42, 18.3618, 18.3618)* CHOOSE(CONTROL!$C$21, $C$9, 100%, $E$9)</f>
        <v>18.361799999999999</v>
      </c>
      <c r="J606" s="10">
        <f>CHOOSE(CONTROL!$C$42, 18.3644, 18.3644)* CHOOSE(CONTROL!$C$21, $C$9, 100%, $E$9)</f>
        <v>18.3644</v>
      </c>
      <c r="K606" s="54">
        <f>CHOOSE(CONTROL!$C$42, 18.3579, 18.3579) * CHOOSE(CONTROL!$C$21, $C$9, 100%, $E$9)</f>
        <v>18.357900000000001</v>
      </c>
      <c r="L606" s="10">
        <f>CHOOSE(CONTROL!$C$42, 19.1782, 19.1782) * CHOOSE(CONTROL!$C$21, $C$9, 100%, $E$9)</f>
        <v>19.1782</v>
      </c>
      <c r="M606" s="10">
        <f>CHOOSE(CONTROL!$C$42, 18.1929, 18.1929) * CHOOSE(CONTROL!$C$21, $C$9, 100%, $E$9)</f>
        <v>18.192900000000002</v>
      </c>
      <c r="N606" s="10">
        <f>CHOOSE(CONTROL!$C$42, 18.2109, 18.2109) * CHOOSE(CONTROL!$C$21, $C$9, 100%, $E$9)</f>
        <v>18.210899999999999</v>
      </c>
      <c r="O606" s="10">
        <f>CHOOSE(CONTROL!$C$42, 18.4174, 18.4174) * CHOOSE(CONTROL!$C$21, $C$9, 100%, $E$9)</f>
        <v>18.417400000000001</v>
      </c>
      <c r="P606" s="10">
        <f>CHOOSE(CONTROL!$C$42, 18.1904, 18.1904) * CHOOSE(CONTROL!$C$21, $C$9, 100%, $E$9)</f>
        <v>18.1904</v>
      </c>
      <c r="Q606" s="10">
        <f>CHOOSE(CONTROL!$C$42, 19.0127, 19.0127) * CHOOSE(CONTROL!$C$21, $C$9, 100%, $E$9)</f>
        <v>19.012699999999999</v>
      </c>
      <c r="R606" s="10">
        <f>CHOOSE(CONTROL!$C$42, 19.6472, 19.6472) * CHOOSE(CONTROL!$C$21, $C$9, 100%, $E$9)</f>
        <v>19.647200000000002</v>
      </c>
      <c r="S606" s="10">
        <f>CHOOSE(CONTROL!$C$42, 17.8494, 17.8494) * CHOOSE(CONTROL!$C$21, $C$9, 100%, $E$9)</f>
        <v>17.849399999999999</v>
      </c>
      <c r="T606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06" s="58">
        <f>(1000*CHOOSE(CONTROL!$C$42, 695, 695)*CHOOSE(CONTROL!$C$42, 0.5599, 0.5599)*CHOOSE(CONTROL!$C$42, 30, 30))/1000000</f>
        <v>11.673914999999997</v>
      </c>
      <c r="V606" s="58">
        <f>(1000*CHOOSE(CONTROL!$C$42, 500, 500)*CHOOSE(CONTROL!$C$42, 0.275, 0.275)*CHOOSE(CONTROL!$C$42, 30, 30))/1000000</f>
        <v>4.125</v>
      </c>
      <c r="W606" s="58">
        <f>(1000*CHOOSE(CONTROL!$C$42, 0.1146, 0.1146)*CHOOSE(CONTROL!$C$42, 121.5, 121.5)*CHOOSE(CONTROL!$C$42, 30, 30))/1000000</f>
        <v>0.417717</v>
      </c>
      <c r="X606" s="58">
        <f>(30*0.1790888*245000/1000000)+(30*0.2374*100000/1000000)</f>
        <v>2.0285026799999999</v>
      </c>
      <c r="Y606" s="58"/>
      <c r="Z606" s="10"/>
      <c r="AA606" s="57"/>
      <c r="AB606" s="51">
        <f>(B606*194.205+C606*267.466+D606*133.845+E606*53.484+F606*40+G606*185+H606*0+I606*100+J606*300)/(194.205+267.466+133.845+53.484+0+40+185+100+300)</f>
        <v>18.408926247174257</v>
      </c>
      <c r="AC606" s="27">
        <f>(M606*'RAP TEMPLATE-GAS AVAILABILITY'!O605+N606*'RAP TEMPLATE-GAS AVAILABILITY'!P605+O606*'RAP TEMPLATE-GAS AVAILABILITY'!Q605+P606*'RAP TEMPLATE-GAS AVAILABILITY'!R605)/('RAP TEMPLATE-GAS AVAILABILITY'!O605+'RAP TEMPLATE-GAS AVAILABILITY'!P605+'RAP TEMPLATE-GAS AVAILABILITY'!Q605+'RAP TEMPLATE-GAS AVAILABILITY'!R605)</f>
        <v>18.295328057553959</v>
      </c>
    </row>
    <row r="607" spans="1:29" ht="15.75" x14ac:dyDescent="0.25">
      <c r="A607" s="13">
        <v>59748</v>
      </c>
      <c r="B607" s="10">
        <f>CHOOSE(CONTROL!$C$42, 18.0323, 18.0323) * CHOOSE(CONTROL!$C$21, $C$9, 100%, $E$9)</f>
        <v>18.032299999999999</v>
      </c>
      <c r="C607" s="10">
        <f>CHOOSE(CONTROL!$C$42, 18.0403, 18.0403) * CHOOSE(CONTROL!$C$21, $C$9, 100%, $E$9)</f>
        <v>18.040299999999998</v>
      </c>
      <c r="D607" s="10">
        <f>CHOOSE(CONTROL!$C$42, 18.2188, 18.2188) * CHOOSE(CONTROL!$C$21, $C$9, 100%, $E$9)</f>
        <v>18.218800000000002</v>
      </c>
      <c r="E607" s="10">
        <f>CHOOSE(CONTROL!$C$42, 18.2499, 18.2499) * CHOOSE(CONTROL!$C$21, $C$9, 100%, $E$9)</f>
        <v>18.2499</v>
      </c>
      <c r="F607" s="10">
        <f>CHOOSE(CONTROL!$C$42, 18.019, 18.019)*CHOOSE(CONTROL!$C$21, $C$9, 100%, $E$9)</f>
        <v>18.018999999999998</v>
      </c>
      <c r="G607" s="10">
        <f>CHOOSE(CONTROL!$C$42, 18.0374, 18.0374)*CHOOSE(CONTROL!$C$21, $C$9, 100%, $E$9)</f>
        <v>18.037400000000002</v>
      </c>
      <c r="H607" s="10">
        <f>CHOOSE(CONTROL!$C$42, 18.2386, 18.2386) * CHOOSE(CONTROL!$C$21, $C$9, 100%, $E$9)</f>
        <v>18.238600000000002</v>
      </c>
      <c r="I607" s="10">
        <f>CHOOSE(CONTROL!$C$42, 18.0092, 18.0092)* CHOOSE(CONTROL!$C$21, $C$9, 100%, $E$9)</f>
        <v>18.0092</v>
      </c>
      <c r="J607" s="10">
        <f>CHOOSE(CONTROL!$C$42, 18.012, 18.012)* CHOOSE(CONTROL!$C$21, $C$9, 100%, $E$9)</f>
        <v>18.012</v>
      </c>
      <c r="K607" s="54">
        <f>CHOOSE(CONTROL!$C$42, 18.0053, 18.0053) * CHOOSE(CONTROL!$C$21, $C$9, 100%, $E$9)</f>
        <v>18.005299999999998</v>
      </c>
      <c r="L607" s="10">
        <f>CHOOSE(CONTROL!$C$42, 18.8256, 18.8256) * CHOOSE(CONTROL!$C$21, $C$9, 100%, $E$9)</f>
        <v>18.825600000000001</v>
      </c>
      <c r="M607" s="10">
        <f>CHOOSE(CONTROL!$C$42, 17.8441, 17.8441) * CHOOSE(CONTROL!$C$21, $C$9, 100%, $E$9)</f>
        <v>17.844100000000001</v>
      </c>
      <c r="N607" s="10">
        <f>CHOOSE(CONTROL!$C$42, 17.8622, 17.8622) * CHOOSE(CONTROL!$C$21, $C$9, 100%, $E$9)</f>
        <v>17.862200000000001</v>
      </c>
      <c r="O607" s="10">
        <f>CHOOSE(CONTROL!$C$42, 18.0683, 18.0683) * CHOOSE(CONTROL!$C$21, $C$9, 100%, $E$9)</f>
        <v>18.068300000000001</v>
      </c>
      <c r="P607" s="10">
        <f>CHOOSE(CONTROL!$C$42, 17.8413, 17.8413) * CHOOSE(CONTROL!$C$21, $C$9, 100%, $E$9)</f>
        <v>17.8413</v>
      </c>
      <c r="Q607" s="10">
        <f>CHOOSE(CONTROL!$C$42, 18.6636, 18.6636) * CHOOSE(CONTROL!$C$21, $C$9, 100%, $E$9)</f>
        <v>18.663599999999999</v>
      </c>
      <c r="R607" s="10">
        <f>CHOOSE(CONTROL!$C$42, 19.2973, 19.2973) * CHOOSE(CONTROL!$C$21, $C$9, 100%, $E$9)</f>
        <v>19.2973</v>
      </c>
      <c r="S607" s="10">
        <f>CHOOSE(CONTROL!$C$42, 17.507, 17.507) * CHOOSE(CONTROL!$C$21, $C$9, 100%, $E$9)</f>
        <v>17.507000000000001</v>
      </c>
      <c r="T607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07" s="58">
        <f>(1000*CHOOSE(CONTROL!$C$42, 695, 695)*CHOOSE(CONTROL!$C$42, 0.5599, 0.5599)*CHOOSE(CONTROL!$C$42, 31, 31))/1000000</f>
        <v>12.063045499999998</v>
      </c>
      <c r="V607" s="58">
        <f>(1000*CHOOSE(CONTROL!$C$42, 500, 500)*CHOOSE(CONTROL!$C$42, 0.275, 0.275)*CHOOSE(CONTROL!$C$42, 31, 31))/1000000</f>
        <v>4.2625000000000002</v>
      </c>
      <c r="W607" s="58">
        <f>(1000*CHOOSE(CONTROL!$C$42, 0.1146, 0.1146)*CHOOSE(CONTROL!$C$42, 121.5, 121.5)*CHOOSE(CONTROL!$C$42, 31, 31))/1000000</f>
        <v>0.43164089999999994</v>
      </c>
      <c r="X607" s="58">
        <f>(31*0.1790888*245000/1000000)+(31*0.2374*100000/1000000)</f>
        <v>2.0961194359999999</v>
      </c>
      <c r="Y607" s="58"/>
      <c r="Z607" s="10"/>
      <c r="AA607" s="57"/>
      <c r="AB607" s="51">
        <f>(B607*194.205+C607*267.466+D607*133.845+E607*53.484+F607*40+G607*185+H607*0+I607*100+J607*300)/(194.205+267.466+133.845+53.484+0+40+185+100+300)</f>
        <v>18.056437707142859</v>
      </c>
      <c r="AC607" s="27">
        <f>(M607*'RAP TEMPLATE-GAS AVAILABILITY'!O606+N607*'RAP TEMPLATE-GAS AVAILABILITY'!P606+O607*'RAP TEMPLATE-GAS AVAILABILITY'!Q606+P607*'RAP TEMPLATE-GAS AVAILABILITY'!R606)/('RAP TEMPLATE-GAS AVAILABILITY'!O606+'RAP TEMPLATE-GAS AVAILABILITY'!P606+'RAP TEMPLATE-GAS AVAILABILITY'!Q606+'RAP TEMPLATE-GAS AVAILABILITY'!R606)</f>
        <v>17.946354676258995</v>
      </c>
    </row>
    <row r="608" spans="1:29" ht="15.75" x14ac:dyDescent="0.25">
      <c r="A608" s="13">
        <v>59779</v>
      </c>
      <c r="B608" s="10">
        <f>CHOOSE(CONTROL!$C$42, 17.1419, 17.1419) * CHOOSE(CONTROL!$C$21, $C$9, 100%, $E$9)</f>
        <v>17.1419</v>
      </c>
      <c r="C608" s="10">
        <f>CHOOSE(CONTROL!$C$42, 17.1498, 17.1498) * CHOOSE(CONTROL!$C$21, $C$9, 100%, $E$9)</f>
        <v>17.149799999999999</v>
      </c>
      <c r="D608" s="10">
        <f>CHOOSE(CONTROL!$C$42, 17.3283, 17.3283) * CHOOSE(CONTROL!$C$21, $C$9, 100%, $E$9)</f>
        <v>17.328299999999999</v>
      </c>
      <c r="E608" s="10">
        <f>CHOOSE(CONTROL!$C$42, 17.3595, 17.3595) * CHOOSE(CONTROL!$C$21, $C$9, 100%, $E$9)</f>
        <v>17.359500000000001</v>
      </c>
      <c r="F608" s="10">
        <f>CHOOSE(CONTROL!$C$42, 17.1285, 17.1285)*CHOOSE(CONTROL!$C$21, $C$9, 100%, $E$9)</f>
        <v>17.128499999999999</v>
      </c>
      <c r="G608" s="10">
        <f>CHOOSE(CONTROL!$C$42, 17.1468, 17.1468)*CHOOSE(CONTROL!$C$21, $C$9, 100%, $E$9)</f>
        <v>17.146799999999999</v>
      </c>
      <c r="H608" s="10">
        <f>CHOOSE(CONTROL!$C$42, 17.3481, 17.3481) * CHOOSE(CONTROL!$C$21, $C$9, 100%, $E$9)</f>
        <v>17.348099999999999</v>
      </c>
      <c r="I608" s="10">
        <f>CHOOSE(CONTROL!$C$42, 17.1188, 17.1188)* CHOOSE(CONTROL!$C$21, $C$9, 100%, $E$9)</f>
        <v>17.1188</v>
      </c>
      <c r="J608" s="10">
        <f>CHOOSE(CONTROL!$C$42, 17.1215, 17.1215)* CHOOSE(CONTROL!$C$21, $C$9, 100%, $E$9)</f>
        <v>17.121500000000001</v>
      </c>
      <c r="K608" s="54">
        <f>CHOOSE(CONTROL!$C$42, 17.1149, 17.1149) * CHOOSE(CONTROL!$C$21, $C$9, 100%, $E$9)</f>
        <v>17.114899999999999</v>
      </c>
      <c r="L608" s="10">
        <f>CHOOSE(CONTROL!$C$42, 17.9351, 17.9351) * CHOOSE(CONTROL!$C$21, $C$9, 100%, $E$9)</f>
        <v>17.935099999999998</v>
      </c>
      <c r="M608" s="10">
        <f>CHOOSE(CONTROL!$C$42, 16.9626, 16.9626) * CHOOSE(CONTROL!$C$21, $C$9, 100%, $E$9)</f>
        <v>16.962599999999998</v>
      </c>
      <c r="N608" s="10">
        <f>CHOOSE(CONTROL!$C$42, 16.9807, 16.9807) * CHOOSE(CONTROL!$C$21, $C$9, 100%, $E$9)</f>
        <v>16.980699999999999</v>
      </c>
      <c r="O608" s="10">
        <f>CHOOSE(CONTROL!$C$42, 17.1869, 17.1869) * CHOOSE(CONTROL!$C$21, $C$9, 100%, $E$9)</f>
        <v>17.186900000000001</v>
      </c>
      <c r="P608" s="10">
        <f>CHOOSE(CONTROL!$C$42, 16.9599, 16.9599) * CHOOSE(CONTROL!$C$21, $C$9, 100%, $E$9)</f>
        <v>16.959900000000001</v>
      </c>
      <c r="Q608" s="10">
        <f>CHOOSE(CONTROL!$C$42, 17.7822, 17.7822) * CHOOSE(CONTROL!$C$21, $C$9, 100%, $E$9)</f>
        <v>17.7822</v>
      </c>
      <c r="R608" s="10">
        <f>CHOOSE(CONTROL!$C$42, 18.4136, 18.4136) * CHOOSE(CONTROL!$C$21, $C$9, 100%, $E$9)</f>
        <v>18.413599999999999</v>
      </c>
      <c r="S608" s="10">
        <f>CHOOSE(CONTROL!$C$42, 16.6422, 16.6422) * CHOOSE(CONTROL!$C$21, $C$9, 100%, $E$9)</f>
        <v>16.642199999999999</v>
      </c>
      <c r="T608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08" s="58">
        <f>(1000*CHOOSE(CONTROL!$C$42, 695, 695)*CHOOSE(CONTROL!$C$42, 0.5599, 0.5599)*CHOOSE(CONTROL!$C$42, 31, 31))/1000000</f>
        <v>12.063045499999998</v>
      </c>
      <c r="V608" s="58">
        <f>(1000*CHOOSE(CONTROL!$C$42, 500, 500)*CHOOSE(CONTROL!$C$42, 0.275, 0.275)*CHOOSE(CONTROL!$C$42, 31, 31))/1000000</f>
        <v>4.2625000000000002</v>
      </c>
      <c r="W608" s="58">
        <f>(1000*CHOOSE(CONTROL!$C$42, 0.1146, 0.1146)*CHOOSE(CONTROL!$C$42, 121.5, 121.5)*CHOOSE(CONTROL!$C$42, 31, 31))/1000000</f>
        <v>0.43164089999999994</v>
      </c>
      <c r="X608" s="58">
        <f>(31*0.1790888*245000/1000000)+(31*0.2374*100000/1000000)</f>
        <v>2.0961194359999999</v>
      </c>
      <c r="Y608" s="58"/>
      <c r="Z608" s="10"/>
      <c r="AA608" s="57"/>
      <c r="AB608" s="51">
        <f>(B608*194.205+C608*267.466+D608*133.845+E608*53.484+F608*40+G608*185+H608*0+I608*100+J608*300)/(194.205+267.466+133.845+53.484+0+40+185+100+300)</f>
        <v>17.165950477080063</v>
      </c>
      <c r="AC608" s="27">
        <f>(M608*'RAP TEMPLATE-GAS AVAILABILITY'!O607+N608*'RAP TEMPLATE-GAS AVAILABILITY'!P607+O608*'RAP TEMPLATE-GAS AVAILABILITY'!Q607+P608*'RAP TEMPLATE-GAS AVAILABILITY'!R607)/('RAP TEMPLATE-GAS AVAILABILITY'!O607+'RAP TEMPLATE-GAS AVAILABILITY'!P607+'RAP TEMPLATE-GAS AVAILABILITY'!Q607+'RAP TEMPLATE-GAS AVAILABILITY'!R607)</f>
        <v>17.064914388489207</v>
      </c>
    </row>
    <row r="609" spans="1:29" ht="15.75" x14ac:dyDescent="0.25">
      <c r="A609" s="13">
        <v>59809</v>
      </c>
      <c r="B609" s="10">
        <f>CHOOSE(CONTROL!$C$42, 16.0539, 16.0539) * CHOOSE(CONTROL!$C$21, $C$9, 100%, $E$9)</f>
        <v>16.053899999999999</v>
      </c>
      <c r="C609" s="10">
        <f>CHOOSE(CONTROL!$C$42, 16.0619, 16.0619) * CHOOSE(CONTROL!$C$21, $C$9, 100%, $E$9)</f>
        <v>16.061900000000001</v>
      </c>
      <c r="D609" s="10">
        <f>CHOOSE(CONTROL!$C$42, 16.2404, 16.2404) * CHOOSE(CONTROL!$C$21, $C$9, 100%, $E$9)</f>
        <v>16.240400000000001</v>
      </c>
      <c r="E609" s="10">
        <f>CHOOSE(CONTROL!$C$42, 16.2715, 16.2715) * CHOOSE(CONTROL!$C$21, $C$9, 100%, $E$9)</f>
        <v>16.2715</v>
      </c>
      <c r="F609" s="10">
        <f>CHOOSE(CONTROL!$C$42, 16.0403, 16.0403)*CHOOSE(CONTROL!$C$21, $C$9, 100%, $E$9)</f>
        <v>16.040299999999998</v>
      </c>
      <c r="G609" s="10">
        <f>CHOOSE(CONTROL!$C$42, 16.0585, 16.0585)*CHOOSE(CONTROL!$C$21, $C$9, 100%, $E$9)</f>
        <v>16.058499999999999</v>
      </c>
      <c r="H609" s="10">
        <f>CHOOSE(CONTROL!$C$42, 16.2602, 16.2602) * CHOOSE(CONTROL!$C$21, $C$9, 100%, $E$9)</f>
        <v>16.260200000000001</v>
      </c>
      <c r="I609" s="10">
        <f>CHOOSE(CONTROL!$C$42, 16.0308, 16.0308)* CHOOSE(CONTROL!$C$21, $C$9, 100%, $E$9)</f>
        <v>16.030799999999999</v>
      </c>
      <c r="J609" s="10">
        <f>CHOOSE(CONTROL!$C$42, 16.0333, 16.0333)* CHOOSE(CONTROL!$C$21, $C$9, 100%, $E$9)</f>
        <v>16.033300000000001</v>
      </c>
      <c r="K609" s="54">
        <f>CHOOSE(CONTROL!$C$42, 16.0269, 16.0269) * CHOOSE(CONTROL!$C$21, $C$9, 100%, $E$9)</f>
        <v>16.026900000000001</v>
      </c>
      <c r="L609" s="10">
        <f>CHOOSE(CONTROL!$C$42, 16.8472, 16.8472) * CHOOSE(CONTROL!$C$21, $C$9, 100%, $E$9)</f>
        <v>16.847200000000001</v>
      </c>
      <c r="M609" s="10">
        <f>CHOOSE(CONTROL!$C$42, 15.8853, 15.8853) * CHOOSE(CONTROL!$C$21, $C$9, 100%, $E$9)</f>
        <v>15.885300000000001</v>
      </c>
      <c r="N609" s="10">
        <f>CHOOSE(CONTROL!$C$42, 15.9034, 15.9034) * CHOOSE(CONTROL!$C$21, $C$9, 100%, $E$9)</f>
        <v>15.9034</v>
      </c>
      <c r="O609" s="10">
        <f>CHOOSE(CONTROL!$C$42, 16.1099, 16.1099) * CHOOSE(CONTROL!$C$21, $C$9, 100%, $E$9)</f>
        <v>16.1099</v>
      </c>
      <c r="P609" s="10">
        <f>CHOOSE(CONTROL!$C$42, 15.8829, 15.8829) * CHOOSE(CONTROL!$C$21, $C$9, 100%, $E$9)</f>
        <v>15.882899999999999</v>
      </c>
      <c r="Q609" s="10">
        <f>CHOOSE(CONTROL!$C$42, 16.7052, 16.7052) * CHOOSE(CONTROL!$C$21, $C$9, 100%, $E$9)</f>
        <v>16.705200000000001</v>
      </c>
      <c r="R609" s="10">
        <f>CHOOSE(CONTROL!$C$42, 17.334, 17.334) * CHOOSE(CONTROL!$C$21, $C$9, 100%, $E$9)</f>
        <v>17.334</v>
      </c>
      <c r="S609" s="10">
        <f>CHOOSE(CONTROL!$C$42, 15.5857, 15.5857) * CHOOSE(CONTROL!$C$21, $C$9, 100%, $E$9)</f>
        <v>15.585699999999999</v>
      </c>
      <c r="T609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09" s="58">
        <f>(1000*CHOOSE(CONTROL!$C$42, 695, 695)*CHOOSE(CONTROL!$C$42, 0.5599, 0.5599)*CHOOSE(CONTROL!$C$42, 30, 30))/1000000</f>
        <v>11.673914999999997</v>
      </c>
      <c r="V609" s="58">
        <f>(1000*CHOOSE(CONTROL!$C$42, 500, 500)*CHOOSE(CONTROL!$C$42, 0.275, 0.275)*CHOOSE(CONTROL!$C$42, 30, 30))/1000000</f>
        <v>4.125</v>
      </c>
      <c r="W609" s="58">
        <f>(1000*CHOOSE(CONTROL!$C$42, 0.1146, 0.1146)*CHOOSE(CONTROL!$C$42, 121.5, 121.5)*CHOOSE(CONTROL!$C$42, 30, 30))/1000000</f>
        <v>0.417717</v>
      </c>
      <c r="X609" s="58">
        <f>(30*0.1790888*245000/1000000)+(30*0.2374*100000/1000000)</f>
        <v>2.0285026799999999</v>
      </c>
      <c r="Y609" s="58"/>
      <c r="Z609" s="10"/>
      <c r="AA609" s="57"/>
      <c r="AB609" s="51">
        <f>(B609*194.205+C609*267.466+D609*133.845+E609*53.484+F609*40+G609*185+H609*0+I609*100+J609*300)/(194.205+267.466+133.845+53.484+0+40+185+100+300)</f>
        <v>16.077885038383045</v>
      </c>
      <c r="AC609" s="27">
        <f>(M609*'RAP TEMPLATE-GAS AVAILABILITY'!O608+N609*'RAP TEMPLATE-GAS AVAILABILITY'!P608+O609*'RAP TEMPLATE-GAS AVAILABILITY'!Q608+P609*'RAP TEMPLATE-GAS AVAILABILITY'!R608)/('RAP TEMPLATE-GAS AVAILABILITY'!O608+'RAP TEMPLATE-GAS AVAILABILITY'!P608+'RAP TEMPLATE-GAS AVAILABILITY'!Q608+'RAP TEMPLATE-GAS AVAILABILITY'!R608)</f>
        <v>15.987793525179859</v>
      </c>
    </row>
    <row r="610" spans="1:29" ht="15.75" x14ac:dyDescent="0.25">
      <c r="A610" s="13">
        <v>59840</v>
      </c>
      <c r="B610" s="10">
        <f>CHOOSE(CONTROL!$C$42, 15.7259, 15.7259) * CHOOSE(CONTROL!$C$21, $C$9, 100%, $E$9)</f>
        <v>15.725899999999999</v>
      </c>
      <c r="C610" s="10">
        <f>CHOOSE(CONTROL!$C$42, 15.7312, 15.7312) * CHOOSE(CONTROL!$C$21, $C$9, 100%, $E$9)</f>
        <v>15.731199999999999</v>
      </c>
      <c r="D610" s="10">
        <f>CHOOSE(CONTROL!$C$42, 15.9147, 15.9147) * CHOOSE(CONTROL!$C$21, $C$9, 100%, $E$9)</f>
        <v>15.9147</v>
      </c>
      <c r="E610" s="10">
        <f>CHOOSE(CONTROL!$C$42, 15.9435, 15.9435) * CHOOSE(CONTROL!$C$21, $C$9, 100%, $E$9)</f>
        <v>15.9435</v>
      </c>
      <c r="F610" s="10">
        <f>CHOOSE(CONTROL!$C$42, 15.7143, 15.7143)*CHOOSE(CONTROL!$C$21, $C$9, 100%, $E$9)</f>
        <v>15.7143</v>
      </c>
      <c r="G610" s="10">
        <f>CHOOSE(CONTROL!$C$42, 15.7322, 15.7322)*CHOOSE(CONTROL!$C$21, $C$9, 100%, $E$9)</f>
        <v>15.732200000000001</v>
      </c>
      <c r="H610" s="10">
        <f>CHOOSE(CONTROL!$C$42, 15.9339, 15.9339) * CHOOSE(CONTROL!$C$21, $C$9, 100%, $E$9)</f>
        <v>15.9339</v>
      </c>
      <c r="I610" s="10">
        <f>CHOOSE(CONTROL!$C$42, 15.7046, 15.7046)* CHOOSE(CONTROL!$C$21, $C$9, 100%, $E$9)</f>
        <v>15.704599999999999</v>
      </c>
      <c r="J610" s="10">
        <f>CHOOSE(CONTROL!$C$42, 15.7073, 15.7073)* CHOOSE(CONTROL!$C$21, $C$9, 100%, $E$9)</f>
        <v>15.7073</v>
      </c>
      <c r="K610" s="54">
        <f>CHOOSE(CONTROL!$C$42, 15.7007, 15.7007) * CHOOSE(CONTROL!$C$21, $C$9, 100%, $E$9)</f>
        <v>15.700699999999999</v>
      </c>
      <c r="L610" s="10">
        <f>CHOOSE(CONTROL!$C$42, 16.5209, 16.5209) * CHOOSE(CONTROL!$C$21, $C$9, 100%, $E$9)</f>
        <v>16.520900000000001</v>
      </c>
      <c r="M610" s="10">
        <f>CHOOSE(CONTROL!$C$42, 15.5626, 15.5626) * CHOOSE(CONTROL!$C$21, $C$9, 100%, $E$9)</f>
        <v>15.5626</v>
      </c>
      <c r="N610" s="10">
        <f>CHOOSE(CONTROL!$C$42, 15.5803, 15.5803) * CHOOSE(CONTROL!$C$21, $C$9, 100%, $E$9)</f>
        <v>15.580299999999999</v>
      </c>
      <c r="O610" s="10">
        <f>CHOOSE(CONTROL!$C$42, 15.787, 15.787) * CHOOSE(CONTROL!$C$21, $C$9, 100%, $E$9)</f>
        <v>15.787000000000001</v>
      </c>
      <c r="P610" s="10">
        <f>CHOOSE(CONTROL!$C$42, 15.56, 15.56) * CHOOSE(CONTROL!$C$21, $C$9, 100%, $E$9)</f>
        <v>15.56</v>
      </c>
      <c r="Q610" s="10">
        <f>CHOOSE(CONTROL!$C$42, 16.3823, 16.3823) * CHOOSE(CONTROL!$C$21, $C$9, 100%, $E$9)</f>
        <v>16.382300000000001</v>
      </c>
      <c r="R610" s="10">
        <f>CHOOSE(CONTROL!$C$42, 17.0102, 17.0102) * CHOOSE(CONTROL!$C$21, $C$9, 100%, $E$9)</f>
        <v>17.010200000000001</v>
      </c>
      <c r="S610" s="10">
        <f>CHOOSE(CONTROL!$C$42, 15.2689, 15.2689) * CHOOSE(CONTROL!$C$21, $C$9, 100%, $E$9)</f>
        <v>15.2689</v>
      </c>
      <c r="T610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610" s="58">
        <f>(1000*CHOOSE(CONTROL!$C$42, 695, 695)*CHOOSE(CONTROL!$C$42, 0.5599, 0.5599)*CHOOSE(CONTROL!$C$42, 31, 31))/1000000</f>
        <v>12.063045499999998</v>
      </c>
      <c r="V610" s="58">
        <f>(1000*CHOOSE(CONTROL!$C$42, 500, 500)*CHOOSE(CONTROL!$C$42, 0.275, 0.275)*CHOOSE(CONTROL!$C$42, 31, 31))/1000000</f>
        <v>4.2625000000000002</v>
      </c>
      <c r="W610" s="58">
        <f>(1000*CHOOSE(CONTROL!$C$42, 0.1146, 0.1146)*CHOOSE(CONTROL!$C$42, 121.5, 121.5)*CHOOSE(CONTROL!$C$42, 31, 31))/1000000</f>
        <v>0.43164089999999994</v>
      </c>
      <c r="X610" s="58">
        <f>(31*0.1790888*245000/1000000)+(31*0.2374*100000/1000000)</f>
        <v>2.0961194359999999</v>
      </c>
      <c r="Y610" s="58"/>
      <c r="Z610" s="10"/>
      <c r="AA610" s="57"/>
      <c r="AB610" s="51">
        <f>(B610*131.881+C610*277.167+D610*79.08+E610*125.872+F610*40+G610*185+H610*0+I610*100+J610*300)/(131.881+277.167+79.08+125.872+0+40+185+100+300)</f>
        <v>15.755585662873283</v>
      </c>
      <c r="AC610" s="27">
        <f>(M610*'RAP TEMPLATE-GAS AVAILABILITY'!O609+N610*'RAP TEMPLATE-GAS AVAILABILITY'!P609+O610*'RAP TEMPLATE-GAS AVAILABILITY'!Q609+P610*'RAP TEMPLATE-GAS AVAILABILITY'!R609)/('RAP TEMPLATE-GAS AVAILABILITY'!O609+'RAP TEMPLATE-GAS AVAILABILITY'!P609+'RAP TEMPLATE-GAS AVAILABILITY'!Q609+'RAP TEMPLATE-GAS AVAILABILITY'!R609)</f>
        <v>15.66495107913669</v>
      </c>
    </row>
    <row r="611" spans="1:29" ht="15.75" x14ac:dyDescent="0.25">
      <c r="A611" s="13">
        <v>59870</v>
      </c>
      <c r="B611" s="10">
        <f>CHOOSE(CONTROL!$C$42, 16.1397, 16.1397) * CHOOSE(CONTROL!$C$21, $C$9, 100%, $E$9)</f>
        <v>16.139700000000001</v>
      </c>
      <c r="C611" s="10">
        <f>CHOOSE(CONTROL!$C$42, 16.1447, 16.1447) * CHOOSE(CONTROL!$C$21, $C$9, 100%, $E$9)</f>
        <v>16.1447</v>
      </c>
      <c r="D611" s="10">
        <f>CHOOSE(CONTROL!$C$42, 16.1743, 16.1743) * CHOOSE(CONTROL!$C$21, $C$9, 100%, $E$9)</f>
        <v>16.174299999999999</v>
      </c>
      <c r="E611" s="10">
        <f>CHOOSE(CONTROL!$C$42, 16.2081, 16.2081) * CHOOSE(CONTROL!$C$21, $C$9, 100%, $E$9)</f>
        <v>16.208100000000002</v>
      </c>
      <c r="F611" s="10">
        <f>CHOOSE(CONTROL!$C$42, 16.1255, 16.1255)*CHOOSE(CONTROL!$C$21, $C$9, 100%, $E$9)</f>
        <v>16.125499999999999</v>
      </c>
      <c r="G611" s="10">
        <f>CHOOSE(CONTROL!$C$42, 16.1435, 16.1435)*CHOOSE(CONTROL!$C$21, $C$9, 100%, $E$9)</f>
        <v>16.1435</v>
      </c>
      <c r="H611" s="10">
        <f>CHOOSE(CONTROL!$C$42, 16.1973, 16.1973) * CHOOSE(CONTROL!$C$21, $C$9, 100%, $E$9)</f>
        <v>16.197299999999998</v>
      </c>
      <c r="I611" s="10">
        <f>CHOOSE(CONTROL!$C$42, 16.1059, 16.1059)* CHOOSE(CONTROL!$C$21, $C$9, 100%, $E$9)</f>
        <v>16.105899999999998</v>
      </c>
      <c r="J611" s="10">
        <f>CHOOSE(CONTROL!$C$42, 16.1185, 16.1185)* CHOOSE(CONTROL!$C$21, $C$9, 100%, $E$9)</f>
        <v>16.118500000000001</v>
      </c>
      <c r="K611" s="54">
        <f>CHOOSE(CONTROL!$C$42, 16.102, 16.102) * CHOOSE(CONTROL!$C$21, $C$9, 100%, $E$9)</f>
        <v>16.102</v>
      </c>
      <c r="L611" s="10">
        <f>CHOOSE(CONTROL!$C$42, 16.7843, 16.7843) * CHOOSE(CONTROL!$C$21, $C$9, 100%, $E$9)</f>
        <v>16.784300000000002</v>
      </c>
      <c r="M611" s="10">
        <f>CHOOSE(CONTROL!$C$42, 15.9697, 15.9697) * CHOOSE(CONTROL!$C$21, $C$9, 100%, $E$9)</f>
        <v>15.9697</v>
      </c>
      <c r="N611" s="10">
        <f>CHOOSE(CONTROL!$C$42, 15.9875, 15.9875) * CHOOSE(CONTROL!$C$21, $C$9, 100%, $E$9)</f>
        <v>15.987500000000001</v>
      </c>
      <c r="O611" s="10">
        <f>CHOOSE(CONTROL!$C$42, 16.0476, 16.0476) * CHOOSE(CONTROL!$C$21, $C$9, 100%, $E$9)</f>
        <v>16.047599999999999</v>
      </c>
      <c r="P611" s="10">
        <f>CHOOSE(CONTROL!$C$42, 15.9572, 15.9572) * CHOOSE(CONTROL!$C$21, $C$9, 100%, $E$9)</f>
        <v>15.9572</v>
      </c>
      <c r="Q611" s="10">
        <f>CHOOSE(CONTROL!$C$42, 16.6429, 16.6429) * CHOOSE(CONTROL!$C$21, $C$9, 100%, $E$9)</f>
        <v>16.642900000000001</v>
      </c>
      <c r="R611" s="10">
        <f>CHOOSE(CONTROL!$C$42, 17.2715, 17.2715) * CHOOSE(CONTROL!$C$21, $C$9, 100%, $E$9)</f>
        <v>17.2715</v>
      </c>
      <c r="S611" s="10">
        <f>CHOOSE(CONTROL!$C$42, 15.6712, 15.6712) * CHOOSE(CONTROL!$C$21, $C$9, 100%, $E$9)</f>
        <v>15.671200000000001</v>
      </c>
      <c r="T611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611" s="58">
        <f>(1000*CHOOSE(CONTROL!$C$42, 695, 695)*CHOOSE(CONTROL!$C$42, 0.5599, 0.5599)*CHOOSE(CONTROL!$C$42, 30, 30))/1000000</f>
        <v>11.673914999999997</v>
      </c>
      <c r="V611" s="58">
        <f>(1000*CHOOSE(CONTROL!$C$42, 500, 500)*CHOOSE(CONTROL!$C$42, 0.275, 0.275)*CHOOSE(CONTROL!$C$42, 30, 30))/1000000</f>
        <v>4.125</v>
      </c>
      <c r="W611" s="58">
        <f>(1000*CHOOSE(CONTROL!$C$42, 0.1146, 0.1146)*CHOOSE(CONTROL!$C$42, 121.5, 121.5)*CHOOSE(CONTROL!$C$42, 30, 30))/1000000</f>
        <v>0.417717</v>
      </c>
      <c r="X611" s="58">
        <f>(30*0.1790888*100000/1000000)+(30*0.2374*100000/1000000)</f>
        <v>1.2494664</v>
      </c>
      <c r="Y611" s="58"/>
      <c r="Z611" s="10"/>
      <c r="AA611" s="57"/>
      <c r="AB611" s="51">
        <f>(B611*122.58+C611*297.941+D611*89.177+E611*40.302+F611*40+G611*160+H611*0+I611*100+J611*300)/(122.58+297.941+89.177+40.302+0+40+160+100+300)</f>
        <v>16.137640770434782</v>
      </c>
      <c r="AC611" s="27">
        <f>(M611*'RAP TEMPLATE-GAS AVAILABILITY'!O610+N611*'RAP TEMPLATE-GAS AVAILABILITY'!P610+O611*'RAP TEMPLATE-GAS AVAILABILITY'!Q610+P611*'RAP TEMPLATE-GAS AVAILABILITY'!R610)/('RAP TEMPLATE-GAS AVAILABILITY'!O610+'RAP TEMPLATE-GAS AVAILABILITY'!P610+'RAP TEMPLATE-GAS AVAILABILITY'!Q610+'RAP TEMPLATE-GAS AVAILABILITY'!R610)</f>
        <v>16.00423309352518</v>
      </c>
    </row>
    <row r="612" spans="1:29" ht="15.75" x14ac:dyDescent="0.25">
      <c r="A612" s="13">
        <v>59901</v>
      </c>
      <c r="B612" s="10">
        <f>CHOOSE(CONTROL!$C$42, 17.2399, 17.2399) * CHOOSE(CONTROL!$C$21, $C$9, 100%, $E$9)</f>
        <v>17.239899999999999</v>
      </c>
      <c r="C612" s="10">
        <f>CHOOSE(CONTROL!$C$42, 17.2449, 17.2449) * CHOOSE(CONTROL!$C$21, $C$9, 100%, $E$9)</f>
        <v>17.244900000000001</v>
      </c>
      <c r="D612" s="10">
        <f>CHOOSE(CONTROL!$C$42, 17.2745, 17.2745) * CHOOSE(CONTROL!$C$21, $C$9, 100%, $E$9)</f>
        <v>17.2745</v>
      </c>
      <c r="E612" s="10">
        <f>CHOOSE(CONTROL!$C$42, 17.3083, 17.3083) * CHOOSE(CONTROL!$C$21, $C$9, 100%, $E$9)</f>
        <v>17.308299999999999</v>
      </c>
      <c r="F612" s="10">
        <f>CHOOSE(CONTROL!$C$42, 17.2272, 17.2272)*CHOOSE(CONTROL!$C$21, $C$9, 100%, $E$9)</f>
        <v>17.2272</v>
      </c>
      <c r="G612" s="10">
        <f>CHOOSE(CONTROL!$C$42, 17.2457, 17.2457)*CHOOSE(CONTROL!$C$21, $C$9, 100%, $E$9)</f>
        <v>17.245699999999999</v>
      </c>
      <c r="H612" s="10">
        <f>CHOOSE(CONTROL!$C$42, 17.2975, 17.2975) * CHOOSE(CONTROL!$C$21, $C$9, 100%, $E$9)</f>
        <v>17.297499999999999</v>
      </c>
      <c r="I612" s="10">
        <f>CHOOSE(CONTROL!$C$42, 17.2061, 17.2061)* CHOOSE(CONTROL!$C$21, $C$9, 100%, $E$9)</f>
        <v>17.206099999999999</v>
      </c>
      <c r="J612" s="10">
        <f>CHOOSE(CONTROL!$C$42, 17.2202, 17.2202)* CHOOSE(CONTROL!$C$21, $C$9, 100%, $E$9)</f>
        <v>17.220199999999998</v>
      </c>
      <c r="K612" s="54">
        <f>CHOOSE(CONTROL!$C$42, 17.2022, 17.2022) * CHOOSE(CONTROL!$C$21, $C$9, 100%, $E$9)</f>
        <v>17.202200000000001</v>
      </c>
      <c r="L612" s="10">
        <f>CHOOSE(CONTROL!$C$42, 17.8845, 17.8845) * CHOOSE(CONTROL!$C$21, $C$9, 100%, $E$9)</f>
        <v>17.884499999999999</v>
      </c>
      <c r="M612" s="10">
        <f>CHOOSE(CONTROL!$C$42, 17.0603, 17.0603) * CHOOSE(CONTROL!$C$21, $C$9, 100%, $E$9)</f>
        <v>17.060300000000002</v>
      </c>
      <c r="N612" s="10">
        <f>CHOOSE(CONTROL!$C$42, 17.0785, 17.0785) * CHOOSE(CONTROL!$C$21, $C$9, 100%, $E$9)</f>
        <v>17.078499999999998</v>
      </c>
      <c r="O612" s="10">
        <f>CHOOSE(CONTROL!$C$42, 17.1367, 17.1367) * CHOOSE(CONTROL!$C$21, $C$9, 100%, $E$9)</f>
        <v>17.136700000000001</v>
      </c>
      <c r="P612" s="10">
        <f>CHOOSE(CONTROL!$C$42, 17.0463, 17.0463) * CHOOSE(CONTROL!$C$21, $C$9, 100%, $E$9)</f>
        <v>17.046299999999999</v>
      </c>
      <c r="Q612" s="10">
        <f>CHOOSE(CONTROL!$C$42, 17.732, 17.732) * CHOOSE(CONTROL!$C$21, $C$9, 100%, $E$9)</f>
        <v>17.731999999999999</v>
      </c>
      <c r="R612" s="10">
        <f>CHOOSE(CONTROL!$C$42, 18.3634, 18.3634) * CHOOSE(CONTROL!$C$21, $C$9, 100%, $E$9)</f>
        <v>18.363399999999999</v>
      </c>
      <c r="S612" s="10">
        <f>CHOOSE(CONTROL!$C$42, 16.7396, 16.7396) * CHOOSE(CONTROL!$C$21, $C$9, 100%, $E$9)</f>
        <v>16.739599999999999</v>
      </c>
      <c r="T612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12" s="58">
        <f>(1000*CHOOSE(CONTROL!$C$42, 695, 695)*CHOOSE(CONTROL!$C$42, 0.5599, 0.5599)*CHOOSE(CONTROL!$C$42, 31, 31))/1000000</f>
        <v>12.063045499999998</v>
      </c>
      <c r="V612" s="58">
        <f>(1000*CHOOSE(CONTROL!$C$42, 500, 500)*CHOOSE(CONTROL!$C$42, 0.275, 0.275)*CHOOSE(CONTROL!$C$42, 31, 31))/1000000</f>
        <v>4.2625000000000002</v>
      </c>
      <c r="W612" s="58">
        <f>(1000*CHOOSE(CONTROL!$C$42, 0.1146, 0.1146)*CHOOSE(CONTROL!$C$42, 121.5, 121.5)*CHOOSE(CONTROL!$C$42, 31, 31))/1000000</f>
        <v>0.43164089999999994</v>
      </c>
      <c r="X612" s="58">
        <f>(31*0.1790888*100000/1000000)+(31*0.2374*100000/1000000)</f>
        <v>1.2911152800000001</v>
      </c>
      <c r="Y612" s="58"/>
      <c r="Z612" s="10"/>
      <c r="AA612" s="57"/>
      <c r="AB612" s="51">
        <f>(B612*122.58+C612*297.941+D612*89.177+E612*40.302+F612*40+G612*160+H612*0+I612*100+J612*300)/(122.58+297.941+89.177+40.302+0+40+160+100+300)</f>
        <v>17.238562509565217</v>
      </c>
      <c r="AC612" s="27">
        <f>(M612*'RAP TEMPLATE-GAS AVAILABILITY'!O611+N612*'RAP TEMPLATE-GAS AVAILABILITY'!P611+O612*'RAP TEMPLATE-GAS AVAILABILITY'!Q611+P612*'RAP TEMPLATE-GAS AVAILABILITY'!R611)/('RAP TEMPLATE-GAS AVAILABILITY'!O611+'RAP TEMPLATE-GAS AVAILABILITY'!P611+'RAP TEMPLATE-GAS AVAILABILITY'!Q611+'RAP TEMPLATE-GAS AVAILABILITY'!R611)</f>
        <v>17.093960431654676</v>
      </c>
    </row>
    <row r="613" spans="1:29" ht="15.75" x14ac:dyDescent="0.25">
      <c r="A613" s="13">
        <v>59932</v>
      </c>
      <c r="B613" s="10">
        <f>CHOOSE(CONTROL!$C$42, 18.4033, 18.4033) * CHOOSE(CONTROL!$C$21, $C$9, 100%, $E$9)</f>
        <v>18.403300000000002</v>
      </c>
      <c r="C613" s="10">
        <f>CHOOSE(CONTROL!$C$42, 18.4083, 18.4083) * CHOOSE(CONTROL!$C$21, $C$9, 100%, $E$9)</f>
        <v>18.408300000000001</v>
      </c>
      <c r="D613" s="10">
        <f>CHOOSE(CONTROL!$C$42, 18.4585, 18.4585) * CHOOSE(CONTROL!$C$21, $C$9, 100%, $E$9)</f>
        <v>18.458500000000001</v>
      </c>
      <c r="E613" s="10">
        <f>CHOOSE(CONTROL!$C$42, 18.4923, 18.4923) * CHOOSE(CONTROL!$C$21, $C$9, 100%, $E$9)</f>
        <v>18.4923</v>
      </c>
      <c r="F613" s="10">
        <f>CHOOSE(CONTROL!$C$42, 18.3687, 18.3687)*CHOOSE(CONTROL!$C$21, $C$9, 100%, $E$9)</f>
        <v>18.3687</v>
      </c>
      <c r="G613" s="10">
        <f>CHOOSE(CONTROL!$C$42, 18.3862, 18.3862)*CHOOSE(CONTROL!$C$21, $C$9, 100%, $E$9)</f>
        <v>18.386199999999999</v>
      </c>
      <c r="H613" s="10">
        <f>CHOOSE(CONTROL!$C$42, 18.4815, 18.4815) * CHOOSE(CONTROL!$C$21, $C$9, 100%, $E$9)</f>
        <v>18.4815</v>
      </c>
      <c r="I613" s="10">
        <f>CHOOSE(CONTROL!$C$42, 18.3772, 18.3772)* CHOOSE(CONTROL!$C$21, $C$9, 100%, $E$9)</f>
        <v>18.377199999999998</v>
      </c>
      <c r="J613" s="10">
        <f>CHOOSE(CONTROL!$C$42, 18.3617, 18.3617)* CHOOSE(CONTROL!$C$21, $C$9, 100%, $E$9)</f>
        <v>18.361699999999999</v>
      </c>
      <c r="K613" s="54">
        <f>CHOOSE(CONTROL!$C$42, 18.3733, 18.3733) * CHOOSE(CONTROL!$C$21, $C$9, 100%, $E$9)</f>
        <v>18.3733</v>
      </c>
      <c r="L613" s="10">
        <f>CHOOSE(CONTROL!$C$42, 19.0685, 19.0685) * CHOOSE(CONTROL!$C$21, $C$9, 100%, $E$9)</f>
        <v>19.0685</v>
      </c>
      <c r="M613" s="10">
        <f>CHOOSE(CONTROL!$C$42, 18.1902, 18.1902) * CHOOSE(CONTROL!$C$21, $C$9, 100%, $E$9)</f>
        <v>18.190200000000001</v>
      </c>
      <c r="N613" s="10">
        <f>CHOOSE(CONTROL!$C$42, 18.2076, 18.2076) * CHOOSE(CONTROL!$C$21, $C$9, 100%, $E$9)</f>
        <v>18.207599999999999</v>
      </c>
      <c r="O613" s="10">
        <f>CHOOSE(CONTROL!$C$42, 18.3088, 18.3088) * CHOOSE(CONTROL!$C$21, $C$9, 100%, $E$9)</f>
        <v>18.308800000000002</v>
      </c>
      <c r="P613" s="10">
        <f>CHOOSE(CONTROL!$C$42, 18.2056, 18.2056) * CHOOSE(CONTROL!$C$21, $C$9, 100%, $E$9)</f>
        <v>18.2056</v>
      </c>
      <c r="Q613" s="10">
        <f>CHOOSE(CONTROL!$C$42, 18.9041, 18.9041) * CHOOSE(CONTROL!$C$21, $C$9, 100%, $E$9)</f>
        <v>18.9041</v>
      </c>
      <c r="R613" s="10">
        <f>CHOOSE(CONTROL!$C$42, 19.5383, 19.5383) * CHOOSE(CONTROL!$C$21, $C$9, 100%, $E$9)</f>
        <v>19.5383</v>
      </c>
      <c r="S613" s="10">
        <f>CHOOSE(CONTROL!$C$42, 17.8693, 17.8693) * CHOOSE(CONTROL!$C$21, $C$9, 100%, $E$9)</f>
        <v>17.869299999999999</v>
      </c>
      <c r="T613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13" s="58">
        <f>(1000*CHOOSE(CONTROL!$C$42, 695, 695)*CHOOSE(CONTROL!$C$42, 0.5599, 0.5599)*CHOOSE(CONTROL!$C$42, 31, 31))/1000000</f>
        <v>12.063045499999998</v>
      </c>
      <c r="V613" s="58">
        <f>(1000*CHOOSE(CONTROL!$C$42, 500, 500)*CHOOSE(CONTROL!$C$42, 0.275, 0.275)*CHOOSE(CONTROL!$C$42, 31, 31))/1000000</f>
        <v>4.2625000000000002</v>
      </c>
      <c r="W613" s="58">
        <f>(1000*CHOOSE(CONTROL!$C$42, 0.1146, 0.1146)*CHOOSE(CONTROL!$C$42, 121.5, 121.5)*CHOOSE(CONTROL!$C$42, 31, 31))/1000000</f>
        <v>0.43164089999999994</v>
      </c>
      <c r="X613" s="58">
        <f>(31*0.1790888*100000/1000000)+(31*0.2374*100000/1000000)</f>
        <v>1.2911152800000001</v>
      </c>
      <c r="Y613" s="58"/>
      <c r="Z613" s="10"/>
      <c r="AA613" s="57"/>
      <c r="AB613" s="51">
        <f>(B613*122.58+C613*297.941+D613*89.177+E613*40.302+F613*40+G613*160+H613*0+I613*100+J613*300)/(122.58+297.941+89.177+40.302+0+40+160+100+300)</f>
        <v>18.395290568173909</v>
      </c>
      <c r="AC613" s="27">
        <f>(M613*'RAP TEMPLATE-GAS AVAILABILITY'!O612+N613*'RAP TEMPLATE-GAS AVAILABILITY'!P612+O613*'RAP TEMPLATE-GAS AVAILABILITY'!Q612+P613*'RAP TEMPLATE-GAS AVAILABILITY'!R612)/('RAP TEMPLATE-GAS AVAILABILITY'!O612+'RAP TEMPLATE-GAS AVAILABILITY'!P612+'RAP TEMPLATE-GAS AVAILABILITY'!Q612+'RAP TEMPLATE-GAS AVAILABILITY'!R612)</f>
        <v>18.247171223021585</v>
      </c>
    </row>
    <row r="614" spans="1:29" ht="15.75" x14ac:dyDescent="0.25">
      <c r="A614" s="13">
        <v>59961</v>
      </c>
      <c r="B614" s="10">
        <f>CHOOSE(CONTROL!$C$42, 18.7309, 18.7309) * CHOOSE(CONTROL!$C$21, $C$9, 100%, $E$9)</f>
        <v>18.730899999999998</v>
      </c>
      <c r="C614" s="10">
        <f>CHOOSE(CONTROL!$C$42, 18.7358, 18.7358) * CHOOSE(CONTROL!$C$21, $C$9, 100%, $E$9)</f>
        <v>18.735800000000001</v>
      </c>
      <c r="D614" s="10">
        <f>CHOOSE(CONTROL!$C$42, 18.853, 18.853) * CHOOSE(CONTROL!$C$21, $C$9, 100%, $E$9)</f>
        <v>18.853000000000002</v>
      </c>
      <c r="E614" s="10">
        <f>CHOOSE(CONTROL!$C$42, 18.8868, 18.8868) * CHOOSE(CONTROL!$C$21, $C$9, 100%, $E$9)</f>
        <v>18.886800000000001</v>
      </c>
      <c r="F614" s="10">
        <f>CHOOSE(CONTROL!$C$42, 18.8085, 18.8085)*CHOOSE(CONTROL!$C$21, $C$9, 100%, $E$9)</f>
        <v>18.808499999999999</v>
      </c>
      <c r="G614" s="10">
        <f>CHOOSE(CONTROL!$C$42, 18.8304, 18.8304)*CHOOSE(CONTROL!$C$21, $C$9, 100%, $E$9)</f>
        <v>18.830400000000001</v>
      </c>
      <c r="H614" s="10">
        <f>CHOOSE(CONTROL!$C$42, 18.8759, 18.8759) * CHOOSE(CONTROL!$C$21, $C$9, 100%, $E$9)</f>
        <v>18.875900000000001</v>
      </c>
      <c r="I614" s="10">
        <f>CHOOSE(CONTROL!$C$42, 18.7666, 18.7666)* CHOOSE(CONTROL!$C$21, $C$9, 100%, $E$9)</f>
        <v>18.7666</v>
      </c>
      <c r="J614" s="10">
        <f>CHOOSE(CONTROL!$C$42, 18.8015, 18.8015)* CHOOSE(CONTROL!$C$21, $C$9, 100%, $E$9)</f>
        <v>18.801500000000001</v>
      </c>
      <c r="K614" s="54">
        <f>CHOOSE(CONTROL!$C$42, 18.7627, 18.7627) * CHOOSE(CONTROL!$C$21, $C$9, 100%, $E$9)</f>
        <v>18.762699999999999</v>
      </c>
      <c r="L614" s="10">
        <f>CHOOSE(CONTROL!$C$42, 19.4629, 19.4629) * CHOOSE(CONTROL!$C$21, $C$9, 100%, $E$9)</f>
        <v>19.462900000000001</v>
      </c>
      <c r="M614" s="10">
        <f>CHOOSE(CONTROL!$C$42, 18.6256, 18.6256) * CHOOSE(CONTROL!$C$21, $C$9, 100%, $E$9)</f>
        <v>18.625599999999999</v>
      </c>
      <c r="N614" s="10">
        <f>CHOOSE(CONTROL!$C$42, 18.6472, 18.6472) * CHOOSE(CONTROL!$C$21, $C$9, 100%, $E$9)</f>
        <v>18.647200000000002</v>
      </c>
      <c r="O614" s="10">
        <f>CHOOSE(CONTROL!$C$42, 18.6993, 18.6993) * CHOOSE(CONTROL!$C$21, $C$9, 100%, $E$9)</f>
        <v>18.699300000000001</v>
      </c>
      <c r="P614" s="10">
        <f>CHOOSE(CONTROL!$C$42, 18.591, 18.591) * CHOOSE(CONTROL!$C$21, $C$9, 100%, $E$9)</f>
        <v>18.591000000000001</v>
      </c>
      <c r="Q614" s="10">
        <f>CHOOSE(CONTROL!$C$42, 19.2946, 19.2946) * CHOOSE(CONTROL!$C$21, $C$9, 100%, $E$9)</f>
        <v>19.294599999999999</v>
      </c>
      <c r="R614" s="10">
        <f>CHOOSE(CONTROL!$C$42, 19.9298, 19.9298) * CHOOSE(CONTROL!$C$21, $C$9, 100%, $E$9)</f>
        <v>19.9298</v>
      </c>
      <c r="S614" s="10">
        <f>CHOOSE(CONTROL!$C$42, 18.1874, 18.1874) * CHOOSE(CONTROL!$C$21, $C$9, 100%, $E$9)</f>
        <v>18.1874</v>
      </c>
      <c r="T614" s="5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614" s="58">
        <f>(1000*CHOOSE(CONTROL!$C$42, 695, 695)*CHOOSE(CONTROL!$C$42, 0.5599, 0.5599)*CHOOSE(CONTROL!$C$42, 29, 29))/1000000</f>
        <v>11.284784499999999</v>
      </c>
      <c r="V614" s="58">
        <f>(1000*CHOOSE(CONTROL!$C$42, 500, 500)*CHOOSE(CONTROL!$C$42, 0.275, 0.275)*CHOOSE(CONTROL!$C$42, 29, 29))/1000000</f>
        <v>3.9874999999999998</v>
      </c>
      <c r="W614" s="58">
        <f>(1000*CHOOSE(CONTROL!$C$42, 0.1146, 0.1146)*CHOOSE(CONTROL!$C$42, 121.5, 121.5)*CHOOSE(CONTROL!$C$42, 29, 29))/1000000</f>
        <v>0.40379309999999996</v>
      </c>
      <c r="X614" s="58">
        <f>(29*0.1790888*100000/1000000)+(29*0.2374*100000/1000000)</f>
        <v>1.2078175199999999</v>
      </c>
      <c r="Y614" s="58"/>
      <c r="Z614" s="10"/>
      <c r="AA614" s="57"/>
      <c r="AB614" s="51">
        <f>(B614*122.58+C614*297.941+D614*89.177+E614*40.302+F614*40+G614*160+H614*0+I614*100+J614*300)/(122.58+297.941+89.177+40.302+0+40+160+100+300)</f>
        <v>18.785165655999997</v>
      </c>
      <c r="AC614" s="27">
        <f>(M614*'RAP TEMPLATE-GAS AVAILABILITY'!O613+N614*'RAP TEMPLATE-GAS AVAILABILITY'!P613+O614*'RAP TEMPLATE-GAS AVAILABILITY'!Q613+P614*'RAP TEMPLATE-GAS AVAILABILITY'!R613)/('RAP TEMPLATE-GAS AVAILABILITY'!O613+'RAP TEMPLATE-GAS AVAILABILITY'!P613+'RAP TEMPLATE-GAS AVAILABILITY'!Q613+'RAP TEMPLATE-GAS AVAILABILITY'!R613)</f>
        <v>18.655268345323741</v>
      </c>
    </row>
    <row r="615" spans="1:29" ht="15.75" x14ac:dyDescent="0.25">
      <c r="A615" s="13">
        <v>59992</v>
      </c>
      <c r="B615" s="10">
        <f>CHOOSE(CONTROL!$C$42, 18.1992, 18.1992) * CHOOSE(CONTROL!$C$21, $C$9, 100%, $E$9)</f>
        <v>18.199200000000001</v>
      </c>
      <c r="C615" s="10">
        <f>CHOOSE(CONTROL!$C$42, 18.2041, 18.2041) * CHOOSE(CONTROL!$C$21, $C$9, 100%, $E$9)</f>
        <v>18.2041</v>
      </c>
      <c r="D615" s="10">
        <f>CHOOSE(CONTROL!$C$42, 18.2955, 18.2955) * CHOOSE(CONTROL!$C$21, $C$9, 100%, $E$9)</f>
        <v>18.295500000000001</v>
      </c>
      <c r="E615" s="10">
        <f>CHOOSE(CONTROL!$C$42, 18.3293, 18.3293) * CHOOSE(CONTROL!$C$21, $C$9, 100%, $E$9)</f>
        <v>18.3293</v>
      </c>
      <c r="F615" s="10">
        <f>CHOOSE(CONTROL!$C$42, 18.229, 18.229)*CHOOSE(CONTROL!$C$21, $C$9, 100%, $E$9)</f>
        <v>18.228999999999999</v>
      </c>
      <c r="G615" s="10">
        <f>CHOOSE(CONTROL!$C$42, 18.2485, 18.2485)*CHOOSE(CONTROL!$C$21, $C$9, 100%, $E$9)</f>
        <v>18.2485</v>
      </c>
      <c r="H615" s="10">
        <f>CHOOSE(CONTROL!$C$42, 18.3185, 18.3185) * CHOOSE(CONTROL!$C$21, $C$9, 100%, $E$9)</f>
        <v>18.3185</v>
      </c>
      <c r="I615" s="10">
        <f>CHOOSE(CONTROL!$C$42, 18.222, 18.222)* CHOOSE(CONTROL!$C$21, $C$9, 100%, $E$9)</f>
        <v>18.222000000000001</v>
      </c>
      <c r="J615" s="10">
        <f>CHOOSE(CONTROL!$C$42, 18.222, 18.222)* CHOOSE(CONTROL!$C$21, $C$9, 100%, $E$9)</f>
        <v>18.222000000000001</v>
      </c>
      <c r="K615" s="54">
        <f>CHOOSE(CONTROL!$C$42, 18.2181, 18.2181) * CHOOSE(CONTROL!$C$21, $C$9, 100%, $E$9)</f>
        <v>18.2181</v>
      </c>
      <c r="L615" s="10">
        <f>CHOOSE(CONTROL!$C$42, 18.9055, 18.9055) * CHOOSE(CONTROL!$C$21, $C$9, 100%, $E$9)</f>
        <v>18.9055</v>
      </c>
      <c r="M615" s="10">
        <f>CHOOSE(CONTROL!$C$42, 18.052, 18.052) * CHOOSE(CONTROL!$C$21, $C$9, 100%, $E$9)</f>
        <v>18.052</v>
      </c>
      <c r="N615" s="10">
        <f>CHOOSE(CONTROL!$C$42, 18.0713, 18.0713) * CHOOSE(CONTROL!$C$21, $C$9, 100%, $E$9)</f>
        <v>18.071300000000001</v>
      </c>
      <c r="O615" s="10">
        <f>CHOOSE(CONTROL!$C$42, 18.1475, 18.1475) * CHOOSE(CONTROL!$C$21, $C$9, 100%, $E$9)</f>
        <v>18.147500000000001</v>
      </c>
      <c r="P615" s="10">
        <f>CHOOSE(CONTROL!$C$42, 18.052, 18.052) * CHOOSE(CONTROL!$C$21, $C$9, 100%, $E$9)</f>
        <v>18.052</v>
      </c>
      <c r="Q615" s="10">
        <f>CHOOSE(CONTROL!$C$42, 18.7428, 18.7428) * CHOOSE(CONTROL!$C$21, $C$9, 100%, $E$9)</f>
        <v>18.742799999999999</v>
      </c>
      <c r="R615" s="10">
        <f>CHOOSE(CONTROL!$C$42, 19.3766, 19.3766) * CHOOSE(CONTROL!$C$21, $C$9, 100%, $E$9)</f>
        <v>19.3766</v>
      </c>
      <c r="S615" s="10">
        <f>CHOOSE(CONTROL!$C$42, 17.6711, 17.6711) * CHOOSE(CONTROL!$C$21, $C$9, 100%, $E$9)</f>
        <v>17.671099999999999</v>
      </c>
      <c r="T615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15" s="58">
        <f>(1000*CHOOSE(CONTROL!$C$42, 695, 695)*CHOOSE(CONTROL!$C$42, 0.5599, 0.5599)*CHOOSE(CONTROL!$C$42, 31, 31))/1000000</f>
        <v>12.063045499999998</v>
      </c>
      <c r="V615" s="58">
        <f>(1000*CHOOSE(CONTROL!$C$42, 500, 500)*CHOOSE(CONTROL!$C$42, 0.275, 0.275)*CHOOSE(CONTROL!$C$42, 31, 31))/1000000</f>
        <v>4.2625000000000002</v>
      </c>
      <c r="W615" s="58">
        <f>(1000*CHOOSE(CONTROL!$C$42, 0.1146, 0.1146)*CHOOSE(CONTROL!$C$42, 121.5, 121.5)*CHOOSE(CONTROL!$C$42, 31, 31))/1000000</f>
        <v>0.43164089999999994</v>
      </c>
      <c r="X615" s="58">
        <f>(31*0.1790888*100000/1000000)+(31*0.2374*100000/1000000)</f>
        <v>1.2911152800000001</v>
      </c>
      <c r="Y615" s="58"/>
      <c r="Z615" s="10"/>
      <c r="AA615" s="57"/>
      <c r="AB615" s="51">
        <f>(B615*122.58+C615*297.941+D615*89.177+E615*40.302+F615*40+G615*160+H615*0+I615*100+J615*300)/(122.58+297.941+89.177+40.302+0+40+160+100+300)</f>
        <v>18.228322561913046</v>
      </c>
      <c r="AC615" s="27">
        <f>(M615*'RAP TEMPLATE-GAS AVAILABILITY'!O614+N615*'RAP TEMPLATE-GAS AVAILABILITY'!P614+O615*'RAP TEMPLATE-GAS AVAILABILITY'!Q614+P615*'RAP TEMPLATE-GAS AVAILABILITY'!R614)/('RAP TEMPLATE-GAS AVAILABILITY'!O614+'RAP TEMPLATE-GAS AVAILABILITY'!P614+'RAP TEMPLATE-GAS AVAILABILITY'!Q614+'RAP TEMPLATE-GAS AVAILABILITY'!R614)</f>
        <v>18.096394964028779</v>
      </c>
    </row>
    <row r="616" spans="1:29" ht="15.75" x14ac:dyDescent="0.25">
      <c r="A616" s="13">
        <v>60022</v>
      </c>
      <c r="B616" s="10">
        <f>CHOOSE(CONTROL!$C$42, 18.1455, 18.1455) * CHOOSE(CONTROL!$C$21, $C$9, 100%, $E$9)</f>
        <v>18.145499999999998</v>
      </c>
      <c r="C616" s="10">
        <f>CHOOSE(CONTROL!$C$42, 18.1499, 18.1499) * CHOOSE(CONTROL!$C$21, $C$9, 100%, $E$9)</f>
        <v>18.149899999999999</v>
      </c>
      <c r="D616" s="10">
        <f>CHOOSE(CONTROL!$C$42, 18.3315, 18.3315) * CHOOSE(CONTROL!$C$21, $C$9, 100%, $E$9)</f>
        <v>18.331499999999998</v>
      </c>
      <c r="E616" s="10">
        <f>CHOOSE(CONTROL!$C$42, 18.3633, 18.3633) * CHOOSE(CONTROL!$C$21, $C$9, 100%, $E$9)</f>
        <v>18.363299999999999</v>
      </c>
      <c r="F616" s="10">
        <f>CHOOSE(CONTROL!$C$42, 18.1338, 18.1338)*CHOOSE(CONTROL!$C$21, $C$9, 100%, $E$9)</f>
        <v>18.133800000000001</v>
      </c>
      <c r="G616" s="10">
        <f>CHOOSE(CONTROL!$C$42, 18.1518, 18.1518)*CHOOSE(CONTROL!$C$21, $C$9, 100%, $E$9)</f>
        <v>18.151800000000001</v>
      </c>
      <c r="H616" s="10">
        <f>CHOOSE(CONTROL!$C$42, 18.3531, 18.3531) * CHOOSE(CONTROL!$C$21, $C$9, 100%, $E$9)</f>
        <v>18.353100000000001</v>
      </c>
      <c r="I616" s="10">
        <f>CHOOSE(CONTROL!$C$42, 18.1237, 18.1237)* CHOOSE(CONTROL!$C$21, $C$9, 100%, $E$9)</f>
        <v>18.123699999999999</v>
      </c>
      <c r="J616" s="10">
        <f>CHOOSE(CONTROL!$C$42, 18.1268, 18.1268)* CHOOSE(CONTROL!$C$21, $C$9, 100%, $E$9)</f>
        <v>18.126799999999999</v>
      </c>
      <c r="K616" s="54">
        <f>CHOOSE(CONTROL!$C$42, 18.1199, 18.1199) * CHOOSE(CONTROL!$C$21, $C$9, 100%, $E$9)</f>
        <v>18.119900000000001</v>
      </c>
      <c r="L616" s="10">
        <f>CHOOSE(CONTROL!$C$42, 18.9401, 18.9401) * CHOOSE(CONTROL!$C$21, $C$9, 100%, $E$9)</f>
        <v>18.940100000000001</v>
      </c>
      <c r="M616" s="10">
        <f>CHOOSE(CONTROL!$C$42, 17.9577, 17.9577) * CHOOSE(CONTROL!$C$21, $C$9, 100%, $E$9)</f>
        <v>17.957699999999999</v>
      </c>
      <c r="N616" s="10">
        <f>CHOOSE(CONTROL!$C$42, 17.9755, 17.9755) * CHOOSE(CONTROL!$C$21, $C$9, 100%, $E$9)</f>
        <v>17.9755</v>
      </c>
      <c r="O616" s="10">
        <f>CHOOSE(CONTROL!$C$42, 18.1817, 18.1817) * CHOOSE(CONTROL!$C$21, $C$9, 100%, $E$9)</f>
        <v>18.181699999999999</v>
      </c>
      <c r="P616" s="10">
        <f>CHOOSE(CONTROL!$C$42, 17.9547, 17.9547) * CHOOSE(CONTROL!$C$21, $C$9, 100%, $E$9)</f>
        <v>17.954699999999999</v>
      </c>
      <c r="Q616" s="10">
        <f>CHOOSE(CONTROL!$C$42, 18.777, 18.777) * CHOOSE(CONTROL!$C$21, $C$9, 100%, $E$9)</f>
        <v>18.777000000000001</v>
      </c>
      <c r="R616" s="10">
        <f>CHOOSE(CONTROL!$C$42, 19.411, 19.411) * CHOOSE(CONTROL!$C$21, $C$9, 100%, $E$9)</f>
        <v>19.411000000000001</v>
      </c>
      <c r="S616" s="10">
        <f>CHOOSE(CONTROL!$C$42, 17.6182, 17.6182) * CHOOSE(CONTROL!$C$21, $C$9, 100%, $E$9)</f>
        <v>17.618200000000002</v>
      </c>
      <c r="T616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16" s="58">
        <f>(1000*CHOOSE(CONTROL!$C$42, 695, 695)*CHOOSE(CONTROL!$C$42, 0.5599, 0.5599)*CHOOSE(CONTROL!$C$42, 30, 30))/1000000</f>
        <v>11.673914999999997</v>
      </c>
      <c r="V616" s="58">
        <f>(1000*CHOOSE(CONTROL!$C$42, 500, 500)*CHOOSE(CONTROL!$C$42, 0.275, 0.275)*CHOOSE(CONTROL!$C$42, 30, 30))/1000000</f>
        <v>4.125</v>
      </c>
      <c r="W616" s="58">
        <f>(1000*CHOOSE(CONTROL!$C$42, 0.1146, 0.1146)*CHOOSE(CONTROL!$C$42, 121.5, 121.5)*CHOOSE(CONTROL!$C$42, 30, 30))/1000000</f>
        <v>0.417717</v>
      </c>
      <c r="X616" s="58">
        <f>(30*0.1790888*245000/1000000)+(30*0.2374*100000/1000000)</f>
        <v>2.0285026799999999</v>
      </c>
      <c r="Y616" s="58"/>
      <c r="Z616" s="10"/>
      <c r="AA616" s="57"/>
      <c r="AB616" s="51">
        <f>(B616*141.293+C616*267.993+D616*115.016+E616*89.698+F616*40+G616*185+H616*0+I616*100+J616*300)/(141.293+267.993+115.016+89.698+0+40+185+100+300)</f>
        <v>18.17376139596449</v>
      </c>
      <c r="AC616" s="27">
        <f>(M616*'RAP TEMPLATE-GAS AVAILABILITY'!O615+N616*'RAP TEMPLATE-GAS AVAILABILITY'!P615+O616*'RAP TEMPLATE-GAS AVAILABILITY'!Q615+P616*'RAP TEMPLATE-GAS AVAILABILITY'!R615)/('RAP TEMPLATE-GAS AVAILABILITY'!O615+'RAP TEMPLATE-GAS AVAILABILITY'!P615+'RAP TEMPLATE-GAS AVAILABILITY'!Q615+'RAP TEMPLATE-GAS AVAILABILITY'!R615)</f>
        <v>18.059817985611513</v>
      </c>
    </row>
    <row r="617" spans="1:29" ht="15.75" x14ac:dyDescent="0.25">
      <c r="A617" s="13">
        <v>60053</v>
      </c>
      <c r="B617" s="10">
        <f>CHOOSE(CONTROL!$C$42, 18.3074, 18.3074) * CHOOSE(CONTROL!$C$21, $C$9, 100%, $E$9)</f>
        <v>18.307400000000001</v>
      </c>
      <c r="C617" s="10">
        <f>CHOOSE(CONTROL!$C$42, 18.3153, 18.3153) * CHOOSE(CONTROL!$C$21, $C$9, 100%, $E$9)</f>
        <v>18.315300000000001</v>
      </c>
      <c r="D617" s="10">
        <f>CHOOSE(CONTROL!$C$42, 18.4938, 18.4938) * CHOOSE(CONTROL!$C$21, $C$9, 100%, $E$9)</f>
        <v>18.4938</v>
      </c>
      <c r="E617" s="10">
        <f>CHOOSE(CONTROL!$C$42, 18.525, 18.525) * CHOOSE(CONTROL!$C$21, $C$9, 100%, $E$9)</f>
        <v>18.524999999999999</v>
      </c>
      <c r="F617" s="10">
        <f>CHOOSE(CONTROL!$C$42, 18.2936, 18.2936)*CHOOSE(CONTROL!$C$21, $C$9, 100%, $E$9)</f>
        <v>18.293600000000001</v>
      </c>
      <c r="G617" s="10">
        <f>CHOOSE(CONTROL!$C$42, 18.3117, 18.3117)*CHOOSE(CONTROL!$C$21, $C$9, 100%, $E$9)</f>
        <v>18.311699999999998</v>
      </c>
      <c r="H617" s="10">
        <f>CHOOSE(CONTROL!$C$42, 18.5136, 18.5136) * CHOOSE(CONTROL!$C$21, $C$9, 100%, $E$9)</f>
        <v>18.5136</v>
      </c>
      <c r="I617" s="10">
        <f>CHOOSE(CONTROL!$C$42, 18.2843, 18.2843)* CHOOSE(CONTROL!$C$21, $C$9, 100%, $E$9)</f>
        <v>18.284300000000002</v>
      </c>
      <c r="J617" s="10">
        <f>CHOOSE(CONTROL!$C$42, 18.2866, 18.2866)* CHOOSE(CONTROL!$C$21, $C$9, 100%, $E$9)</f>
        <v>18.2866</v>
      </c>
      <c r="K617" s="54">
        <f>CHOOSE(CONTROL!$C$42, 18.2804, 18.2804) * CHOOSE(CONTROL!$C$21, $C$9, 100%, $E$9)</f>
        <v>18.2804</v>
      </c>
      <c r="L617" s="10">
        <f>CHOOSE(CONTROL!$C$42, 19.1006, 19.1006) * CHOOSE(CONTROL!$C$21, $C$9, 100%, $E$9)</f>
        <v>19.1006</v>
      </c>
      <c r="M617" s="10">
        <f>CHOOSE(CONTROL!$C$42, 18.1159, 18.1159) * CHOOSE(CONTROL!$C$21, $C$9, 100%, $E$9)</f>
        <v>18.1159</v>
      </c>
      <c r="N617" s="10">
        <f>CHOOSE(CONTROL!$C$42, 18.1338, 18.1338) * CHOOSE(CONTROL!$C$21, $C$9, 100%, $E$9)</f>
        <v>18.133800000000001</v>
      </c>
      <c r="O617" s="10">
        <f>CHOOSE(CONTROL!$C$42, 18.3406, 18.3406) * CHOOSE(CONTROL!$C$21, $C$9, 100%, $E$9)</f>
        <v>18.340599999999998</v>
      </c>
      <c r="P617" s="10">
        <f>CHOOSE(CONTROL!$C$42, 18.1136, 18.1136) * CHOOSE(CONTROL!$C$21, $C$9, 100%, $E$9)</f>
        <v>18.113600000000002</v>
      </c>
      <c r="Q617" s="10">
        <f>CHOOSE(CONTROL!$C$42, 18.9359, 18.9359) * CHOOSE(CONTROL!$C$21, $C$9, 100%, $E$9)</f>
        <v>18.9359</v>
      </c>
      <c r="R617" s="10">
        <f>CHOOSE(CONTROL!$C$42, 19.5702, 19.5702) * CHOOSE(CONTROL!$C$21, $C$9, 100%, $E$9)</f>
        <v>19.5702</v>
      </c>
      <c r="S617" s="10">
        <f>CHOOSE(CONTROL!$C$42, 17.7741, 17.7741) * CHOOSE(CONTROL!$C$21, $C$9, 100%, $E$9)</f>
        <v>17.774100000000001</v>
      </c>
      <c r="T617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17" s="58">
        <f>(1000*CHOOSE(CONTROL!$C$42, 695, 695)*CHOOSE(CONTROL!$C$42, 0.5599, 0.5599)*CHOOSE(CONTROL!$C$42, 31, 31))/1000000</f>
        <v>12.063045499999998</v>
      </c>
      <c r="V617" s="58">
        <f>(1000*CHOOSE(CONTROL!$C$42, 500, 500)*CHOOSE(CONTROL!$C$42, 0.275, 0.275)*CHOOSE(CONTROL!$C$42, 31, 31))/1000000</f>
        <v>4.2625000000000002</v>
      </c>
      <c r="W617" s="58">
        <f>(1000*CHOOSE(CONTROL!$C$42, 0.1146, 0.1146)*CHOOSE(CONTROL!$C$42, 121.5, 121.5)*CHOOSE(CONTROL!$C$42, 31, 31))/1000000</f>
        <v>0.43164089999999994</v>
      </c>
      <c r="X617" s="58">
        <f>(31*0.1790888*245000/1000000)+(31*0.2374*100000/1000000)</f>
        <v>2.0961194359999999</v>
      </c>
      <c r="Y617" s="58"/>
      <c r="Z617" s="10"/>
      <c r="AA617" s="57"/>
      <c r="AB617" s="51">
        <f>(B617*194.205+C617*267.466+D617*133.845+E617*53.484+F617*40+G617*185+H617*0+I617*100+J617*300)/(194.205+267.466+133.845+53.484+0+40+185+100+300)</f>
        <v>18.331256599529041</v>
      </c>
      <c r="AC617" s="27">
        <f>(M617*'RAP TEMPLATE-GAS AVAILABILITY'!O616+N617*'RAP TEMPLATE-GAS AVAILABILITY'!P616+O617*'RAP TEMPLATE-GAS AVAILABILITY'!Q616+P617*'RAP TEMPLATE-GAS AVAILABILITY'!R616)/('RAP TEMPLATE-GAS AVAILABILITY'!O616+'RAP TEMPLATE-GAS AVAILABILITY'!P616+'RAP TEMPLATE-GAS AVAILABILITY'!Q616+'RAP TEMPLATE-GAS AVAILABILITY'!R616)</f>
        <v>18.218441726618703</v>
      </c>
    </row>
    <row r="618" spans="1:29" ht="15.75" x14ac:dyDescent="0.25">
      <c r="A618" s="13">
        <v>60083</v>
      </c>
      <c r="B618" s="10">
        <f>CHOOSE(CONTROL!$C$42, 18.8265, 18.8265) * CHOOSE(CONTROL!$C$21, $C$9, 100%, $E$9)</f>
        <v>18.826499999999999</v>
      </c>
      <c r="C618" s="10">
        <f>CHOOSE(CONTROL!$C$42, 18.8345, 18.8345) * CHOOSE(CONTROL!$C$21, $C$9, 100%, $E$9)</f>
        <v>18.834499999999998</v>
      </c>
      <c r="D618" s="10">
        <f>CHOOSE(CONTROL!$C$42, 19.013, 19.013) * CHOOSE(CONTROL!$C$21, $C$9, 100%, $E$9)</f>
        <v>19.013000000000002</v>
      </c>
      <c r="E618" s="10">
        <f>CHOOSE(CONTROL!$C$42, 19.0441, 19.0441) * CHOOSE(CONTROL!$C$21, $C$9, 100%, $E$9)</f>
        <v>19.0441</v>
      </c>
      <c r="F618" s="10">
        <f>CHOOSE(CONTROL!$C$42, 18.813, 18.813)*CHOOSE(CONTROL!$C$21, $C$9, 100%, $E$9)</f>
        <v>18.812999999999999</v>
      </c>
      <c r="G618" s="10">
        <f>CHOOSE(CONTROL!$C$42, 18.8312, 18.8312)*CHOOSE(CONTROL!$C$21, $C$9, 100%, $E$9)</f>
        <v>18.831199999999999</v>
      </c>
      <c r="H618" s="10">
        <f>CHOOSE(CONTROL!$C$42, 19.0328, 19.0328) * CHOOSE(CONTROL!$C$21, $C$9, 100%, $E$9)</f>
        <v>19.032800000000002</v>
      </c>
      <c r="I618" s="10">
        <f>CHOOSE(CONTROL!$C$42, 18.8034, 18.8034)* CHOOSE(CONTROL!$C$21, $C$9, 100%, $E$9)</f>
        <v>18.8034</v>
      </c>
      <c r="J618" s="10">
        <f>CHOOSE(CONTROL!$C$42, 18.806, 18.806)* CHOOSE(CONTROL!$C$21, $C$9, 100%, $E$9)</f>
        <v>18.806000000000001</v>
      </c>
      <c r="K618" s="54">
        <f>CHOOSE(CONTROL!$C$42, 18.7995, 18.7995) * CHOOSE(CONTROL!$C$21, $C$9, 100%, $E$9)</f>
        <v>18.799499999999998</v>
      </c>
      <c r="L618" s="10">
        <f>CHOOSE(CONTROL!$C$42, 19.6198, 19.6198) * CHOOSE(CONTROL!$C$21, $C$9, 100%, $E$9)</f>
        <v>19.619800000000001</v>
      </c>
      <c r="M618" s="10">
        <f>CHOOSE(CONTROL!$C$42, 18.63, 18.63) * CHOOSE(CONTROL!$C$21, $C$9, 100%, $E$9)</f>
        <v>18.63</v>
      </c>
      <c r="N618" s="10">
        <f>CHOOSE(CONTROL!$C$42, 18.6481, 18.6481) * CHOOSE(CONTROL!$C$21, $C$9, 100%, $E$9)</f>
        <v>18.648099999999999</v>
      </c>
      <c r="O618" s="10">
        <f>CHOOSE(CONTROL!$C$42, 18.8545, 18.8545) * CHOOSE(CONTROL!$C$21, $C$9, 100%, $E$9)</f>
        <v>18.854500000000002</v>
      </c>
      <c r="P618" s="10">
        <f>CHOOSE(CONTROL!$C$42, 18.6275, 18.6275) * CHOOSE(CONTROL!$C$21, $C$9, 100%, $E$9)</f>
        <v>18.627500000000001</v>
      </c>
      <c r="Q618" s="10">
        <f>CHOOSE(CONTROL!$C$42, 19.4498, 19.4498) * CHOOSE(CONTROL!$C$21, $C$9, 100%, $E$9)</f>
        <v>19.4498</v>
      </c>
      <c r="R618" s="10">
        <f>CHOOSE(CONTROL!$C$42, 20.0854, 20.0854) * CHOOSE(CONTROL!$C$21, $C$9, 100%, $E$9)</f>
        <v>20.0854</v>
      </c>
      <c r="S618" s="10">
        <f>CHOOSE(CONTROL!$C$42, 18.2782, 18.2782) * CHOOSE(CONTROL!$C$21, $C$9, 100%, $E$9)</f>
        <v>18.278199999999998</v>
      </c>
      <c r="T618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18" s="58">
        <f>(1000*CHOOSE(CONTROL!$C$42, 695, 695)*CHOOSE(CONTROL!$C$42, 0.5599, 0.5599)*CHOOSE(CONTROL!$C$42, 30, 30))/1000000</f>
        <v>11.673914999999997</v>
      </c>
      <c r="V618" s="58">
        <f>(1000*CHOOSE(CONTROL!$C$42, 500, 500)*CHOOSE(CONTROL!$C$42, 0.275, 0.275)*CHOOSE(CONTROL!$C$42, 30, 30))/1000000</f>
        <v>4.125</v>
      </c>
      <c r="W618" s="58">
        <f>(1000*CHOOSE(CONTROL!$C$42, 0.1146, 0.1146)*CHOOSE(CONTROL!$C$42, 121.5, 121.5)*CHOOSE(CONTROL!$C$42, 30, 30))/1000000</f>
        <v>0.417717</v>
      </c>
      <c r="X618" s="58">
        <f>(30*0.1790888*245000/1000000)+(30*0.2374*100000/1000000)</f>
        <v>2.0285026799999999</v>
      </c>
      <c r="Y618" s="58"/>
      <c r="Z618" s="10"/>
      <c r="AA618" s="57"/>
      <c r="AB618" s="51">
        <f>(B618*194.205+C618*267.466+D618*133.845+E618*53.484+F618*40+G618*185+H618*0+I618*100+J618*300)/(194.205+267.466+133.845+53.484+0+40+185+100+300)</f>
        <v>18.850526247174255</v>
      </c>
      <c r="AC618" s="27">
        <f>(M618*'RAP TEMPLATE-GAS AVAILABILITY'!O617+N618*'RAP TEMPLATE-GAS AVAILABILITY'!P617+O618*'RAP TEMPLATE-GAS AVAILABILITY'!Q617+P618*'RAP TEMPLATE-GAS AVAILABILITY'!R617)/('RAP TEMPLATE-GAS AVAILABILITY'!O617+'RAP TEMPLATE-GAS AVAILABILITY'!P617+'RAP TEMPLATE-GAS AVAILABILITY'!Q617+'RAP TEMPLATE-GAS AVAILABILITY'!R617)</f>
        <v>18.73243381294964</v>
      </c>
    </row>
    <row r="619" spans="1:29" ht="15.75" x14ac:dyDescent="0.25">
      <c r="A619" s="13">
        <v>60114</v>
      </c>
      <c r="B619" s="10">
        <f>CHOOSE(CONTROL!$C$42, 18.4655, 18.4655) * CHOOSE(CONTROL!$C$21, $C$9, 100%, $E$9)</f>
        <v>18.465499999999999</v>
      </c>
      <c r="C619" s="10">
        <f>CHOOSE(CONTROL!$C$42, 18.4734, 18.4734) * CHOOSE(CONTROL!$C$21, $C$9, 100%, $E$9)</f>
        <v>18.473400000000002</v>
      </c>
      <c r="D619" s="10">
        <f>CHOOSE(CONTROL!$C$42, 18.6519, 18.6519) * CHOOSE(CONTROL!$C$21, $C$9, 100%, $E$9)</f>
        <v>18.651900000000001</v>
      </c>
      <c r="E619" s="10">
        <f>CHOOSE(CONTROL!$C$42, 18.6831, 18.6831) * CHOOSE(CONTROL!$C$21, $C$9, 100%, $E$9)</f>
        <v>18.6831</v>
      </c>
      <c r="F619" s="10">
        <f>CHOOSE(CONTROL!$C$42, 18.4522, 18.4522)*CHOOSE(CONTROL!$C$21, $C$9, 100%, $E$9)</f>
        <v>18.452200000000001</v>
      </c>
      <c r="G619" s="10">
        <f>CHOOSE(CONTROL!$C$42, 18.4705, 18.4705)*CHOOSE(CONTROL!$C$21, $C$9, 100%, $E$9)</f>
        <v>18.470500000000001</v>
      </c>
      <c r="H619" s="10">
        <f>CHOOSE(CONTROL!$C$42, 18.6717, 18.6717) * CHOOSE(CONTROL!$C$21, $C$9, 100%, $E$9)</f>
        <v>18.671700000000001</v>
      </c>
      <c r="I619" s="10">
        <f>CHOOSE(CONTROL!$C$42, 18.4423, 18.4423)* CHOOSE(CONTROL!$C$21, $C$9, 100%, $E$9)</f>
        <v>18.442299999999999</v>
      </c>
      <c r="J619" s="10">
        <f>CHOOSE(CONTROL!$C$42, 18.4452, 18.4452)* CHOOSE(CONTROL!$C$21, $C$9, 100%, $E$9)</f>
        <v>18.4452</v>
      </c>
      <c r="K619" s="54">
        <f>CHOOSE(CONTROL!$C$42, 18.4384, 18.4384) * CHOOSE(CONTROL!$C$21, $C$9, 100%, $E$9)</f>
        <v>18.438400000000001</v>
      </c>
      <c r="L619" s="10">
        <f>CHOOSE(CONTROL!$C$42, 19.2587, 19.2587) * CHOOSE(CONTROL!$C$21, $C$9, 100%, $E$9)</f>
        <v>19.258700000000001</v>
      </c>
      <c r="M619" s="10">
        <f>CHOOSE(CONTROL!$C$42, 18.2729, 18.2729) * CHOOSE(CONTROL!$C$21, $C$9, 100%, $E$9)</f>
        <v>18.2729</v>
      </c>
      <c r="N619" s="10">
        <f>CHOOSE(CONTROL!$C$42, 18.291, 18.291) * CHOOSE(CONTROL!$C$21, $C$9, 100%, $E$9)</f>
        <v>18.291</v>
      </c>
      <c r="O619" s="10">
        <f>CHOOSE(CONTROL!$C$42, 18.4971, 18.4971) * CHOOSE(CONTROL!$C$21, $C$9, 100%, $E$9)</f>
        <v>18.4971</v>
      </c>
      <c r="P619" s="10">
        <f>CHOOSE(CONTROL!$C$42, 18.2701, 18.2701) * CHOOSE(CONTROL!$C$21, $C$9, 100%, $E$9)</f>
        <v>18.270099999999999</v>
      </c>
      <c r="Q619" s="10">
        <f>CHOOSE(CONTROL!$C$42, 19.0924, 19.0924) * CHOOSE(CONTROL!$C$21, $C$9, 100%, $E$9)</f>
        <v>19.092400000000001</v>
      </c>
      <c r="R619" s="10">
        <f>CHOOSE(CONTROL!$C$42, 19.7271, 19.7271) * CHOOSE(CONTROL!$C$21, $C$9, 100%, $E$9)</f>
        <v>19.7271</v>
      </c>
      <c r="S619" s="10">
        <f>CHOOSE(CONTROL!$C$42, 17.9276, 17.9276) * CHOOSE(CONTROL!$C$21, $C$9, 100%, $E$9)</f>
        <v>17.927600000000002</v>
      </c>
      <c r="T619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19" s="58">
        <f>(1000*CHOOSE(CONTROL!$C$42, 695, 695)*CHOOSE(CONTROL!$C$42, 0.5599, 0.5599)*CHOOSE(CONTROL!$C$42, 31, 31))/1000000</f>
        <v>12.063045499999998</v>
      </c>
      <c r="V619" s="58">
        <f>(1000*CHOOSE(CONTROL!$C$42, 500, 500)*CHOOSE(CONTROL!$C$42, 0.275, 0.275)*CHOOSE(CONTROL!$C$42, 31, 31))/1000000</f>
        <v>4.2625000000000002</v>
      </c>
      <c r="W619" s="58">
        <f>(1000*CHOOSE(CONTROL!$C$42, 0.1146, 0.1146)*CHOOSE(CONTROL!$C$42, 121.5, 121.5)*CHOOSE(CONTROL!$C$42, 31, 31))/1000000</f>
        <v>0.43164089999999994</v>
      </c>
      <c r="X619" s="58">
        <f>(31*0.1790888*245000/1000000)+(31*0.2374*100000/1000000)</f>
        <v>2.0961194359999999</v>
      </c>
      <c r="Y619" s="58"/>
      <c r="Z619" s="10"/>
      <c r="AA619" s="57"/>
      <c r="AB619" s="51">
        <f>(B619*194.205+C619*267.466+D619*133.845+E619*53.484+F619*40+G619*185+H619*0+I619*100+J619*300)/(194.205+267.466+133.845+53.484+0+40+185+100+300)</f>
        <v>18.489583836577708</v>
      </c>
      <c r="AC619" s="27">
        <f>(M619*'RAP TEMPLATE-GAS AVAILABILITY'!O618+N619*'RAP TEMPLATE-GAS AVAILABILITY'!P618+O619*'RAP TEMPLATE-GAS AVAILABILITY'!Q618+P619*'RAP TEMPLATE-GAS AVAILABILITY'!R618)/('RAP TEMPLATE-GAS AVAILABILITY'!O618+'RAP TEMPLATE-GAS AVAILABILITY'!P618+'RAP TEMPLATE-GAS AVAILABILITY'!Q618+'RAP TEMPLATE-GAS AVAILABILITY'!R618)</f>
        <v>18.375154676258994</v>
      </c>
    </row>
    <row r="620" spans="1:29" ht="15.75" x14ac:dyDescent="0.25">
      <c r="A620" s="13">
        <v>60145</v>
      </c>
      <c r="B620" s="10">
        <f>CHOOSE(CONTROL!$C$42, 17.5536, 17.5536) * CHOOSE(CONTROL!$C$21, $C$9, 100%, $E$9)</f>
        <v>17.553599999999999</v>
      </c>
      <c r="C620" s="10">
        <f>CHOOSE(CONTROL!$C$42, 17.5616, 17.5616) * CHOOSE(CONTROL!$C$21, $C$9, 100%, $E$9)</f>
        <v>17.561599999999999</v>
      </c>
      <c r="D620" s="10">
        <f>CHOOSE(CONTROL!$C$42, 17.7401, 17.7401) * CHOOSE(CONTROL!$C$21, $C$9, 100%, $E$9)</f>
        <v>17.740100000000002</v>
      </c>
      <c r="E620" s="10">
        <f>CHOOSE(CONTROL!$C$42, 17.7712, 17.7712) * CHOOSE(CONTROL!$C$21, $C$9, 100%, $E$9)</f>
        <v>17.7712</v>
      </c>
      <c r="F620" s="10">
        <f>CHOOSE(CONTROL!$C$42, 17.5403, 17.5403)*CHOOSE(CONTROL!$C$21, $C$9, 100%, $E$9)</f>
        <v>17.540299999999998</v>
      </c>
      <c r="G620" s="10">
        <f>CHOOSE(CONTROL!$C$42, 17.5586, 17.5586)*CHOOSE(CONTROL!$C$21, $C$9, 100%, $E$9)</f>
        <v>17.558599999999998</v>
      </c>
      <c r="H620" s="10">
        <f>CHOOSE(CONTROL!$C$42, 17.7599, 17.7599) * CHOOSE(CONTROL!$C$21, $C$9, 100%, $E$9)</f>
        <v>17.759899999999998</v>
      </c>
      <c r="I620" s="10">
        <f>CHOOSE(CONTROL!$C$42, 17.5305, 17.5305)* CHOOSE(CONTROL!$C$21, $C$9, 100%, $E$9)</f>
        <v>17.5305</v>
      </c>
      <c r="J620" s="10">
        <f>CHOOSE(CONTROL!$C$42, 17.5333, 17.5333)* CHOOSE(CONTROL!$C$21, $C$9, 100%, $E$9)</f>
        <v>17.533300000000001</v>
      </c>
      <c r="K620" s="54">
        <f>CHOOSE(CONTROL!$C$42, 17.5266, 17.5266) * CHOOSE(CONTROL!$C$21, $C$9, 100%, $E$9)</f>
        <v>17.526599999999998</v>
      </c>
      <c r="L620" s="10">
        <f>CHOOSE(CONTROL!$C$42, 18.3469, 18.3469) * CHOOSE(CONTROL!$C$21, $C$9, 100%, $E$9)</f>
        <v>18.346900000000002</v>
      </c>
      <c r="M620" s="10">
        <f>CHOOSE(CONTROL!$C$42, 17.3702, 17.3702) * CHOOSE(CONTROL!$C$21, $C$9, 100%, $E$9)</f>
        <v>17.370200000000001</v>
      </c>
      <c r="N620" s="10">
        <f>CHOOSE(CONTROL!$C$42, 17.3883, 17.3883) * CHOOSE(CONTROL!$C$21, $C$9, 100%, $E$9)</f>
        <v>17.388300000000001</v>
      </c>
      <c r="O620" s="10">
        <f>CHOOSE(CONTROL!$C$42, 17.5945, 17.5945) * CHOOSE(CONTROL!$C$21, $C$9, 100%, $E$9)</f>
        <v>17.5945</v>
      </c>
      <c r="P620" s="10">
        <f>CHOOSE(CONTROL!$C$42, 17.3675, 17.3675) * CHOOSE(CONTROL!$C$21, $C$9, 100%, $E$9)</f>
        <v>17.3675</v>
      </c>
      <c r="Q620" s="10">
        <f>CHOOSE(CONTROL!$C$42, 18.1898, 18.1898) * CHOOSE(CONTROL!$C$21, $C$9, 100%, $E$9)</f>
        <v>18.189800000000002</v>
      </c>
      <c r="R620" s="10">
        <f>CHOOSE(CONTROL!$C$42, 18.8222, 18.8222) * CHOOSE(CONTROL!$C$21, $C$9, 100%, $E$9)</f>
        <v>18.822199999999999</v>
      </c>
      <c r="S620" s="10">
        <f>CHOOSE(CONTROL!$C$42, 17.0421, 17.0421) * CHOOSE(CONTROL!$C$21, $C$9, 100%, $E$9)</f>
        <v>17.042100000000001</v>
      </c>
      <c r="T620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20" s="58">
        <f>(1000*CHOOSE(CONTROL!$C$42, 695, 695)*CHOOSE(CONTROL!$C$42, 0.5599, 0.5599)*CHOOSE(CONTROL!$C$42, 31, 31))/1000000</f>
        <v>12.063045499999998</v>
      </c>
      <c r="V620" s="58">
        <f>(1000*CHOOSE(CONTROL!$C$42, 500, 500)*CHOOSE(CONTROL!$C$42, 0.275, 0.275)*CHOOSE(CONTROL!$C$42, 31, 31))/1000000</f>
        <v>4.2625000000000002</v>
      </c>
      <c r="W620" s="58">
        <f>(1000*CHOOSE(CONTROL!$C$42, 0.1146, 0.1146)*CHOOSE(CONTROL!$C$42, 121.5, 121.5)*CHOOSE(CONTROL!$C$42, 31, 31))/1000000</f>
        <v>0.43164089999999994</v>
      </c>
      <c r="X620" s="58">
        <f>(31*0.1790888*245000/1000000)+(31*0.2374*100000/1000000)</f>
        <v>2.0961194359999999</v>
      </c>
      <c r="Y620" s="58"/>
      <c r="Z620" s="10"/>
      <c r="AA620" s="57"/>
      <c r="AB620" s="51">
        <f>(B620*194.205+C620*267.466+D620*133.845+E620*53.484+F620*40+G620*185+H620*0+I620*100+J620*300)/(194.205+267.466+133.845+53.484+0+40+185+100+300)</f>
        <v>17.577723185949761</v>
      </c>
      <c r="AC620" s="27">
        <f>(M620*'RAP TEMPLATE-GAS AVAILABILITY'!O619+N620*'RAP TEMPLATE-GAS AVAILABILITY'!P619+O620*'RAP TEMPLATE-GAS AVAILABILITY'!Q619+P620*'RAP TEMPLATE-GAS AVAILABILITY'!R619)/('RAP TEMPLATE-GAS AVAILABILITY'!O619+'RAP TEMPLATE-GAS AVAILABILITY'!P619+'RAP TEMPLATE-GAS AVAILABILITY'!Q619+'RAP TEMPLATE-GAS AVAILABILITY'!R619)</f>
        <v>17.472514388489209</v>
      </c>
    </row>
    <row r="621" spans="1:29" ht="15.75" x14ac:dyDescent="0.25">
      <c r="A621" s="13">
        <v>60175</v>
      </c>
      <c r="B621" s="10">
        <f>CHOOSE(CONTROL!$C$42, 16.4395, 16.4395) * CHOOSE(CONTROL!$C$21, $C$9, 100%, $E$9)</f>
        <v>16.439499999999999</v>
      </c>
      <c r="C621" s="10">
        <f>CHOOSE(CONTROL!$C$42, 16.4475, 16.4475) * CHOOSE(CONTROL!$C$21, $C$9, 100%, $E$9)</f>
        <v>16.447500000000002</v>
      </c>
      <c r="D621" s="10">
        <f>CHOOSE(CONTROL!$C$42, 16.626, 16.626) * CHOOSE(CONTROL!$C$21, $C$9, 100%, $E$9)</f>
        <v>16.626000000000001</v>
      </c>
      <c r="E621" s="10">
        <f>CHOOSE(CONTROL!$C$42, 16.6571, 16.6571) * CHOOSE(CONTROL!$C$21, $C$9, 100%, $E$9)</f>
        <v>16.6571</v>
      </c>
      <c r="F621" s="10">
        <f>CHOOSE(CONTROL!$C$42, 16.4259, 16.4259)*CHOOSE(CONTROL!$C$21, $C$9, 100%, $E$9)</f>
        <v>16.425899999999999</v>
      </c>
      <c r="G621" s="10">
        <f>CHOOSE(CONTROL!$C$42, 16.4441, 16.4441)*CHOOSE(CONTROL!$C$21, $C$9, 100%, $E$9)</f>
        <v>16.444099999999999</v>
      </c>
      <c r="H621" s="10">
        <f>CHOOSE(CONTROL!$C$42, 16.6458, 16.6458) * CHOOSE(CONTROL!$C$21, $C$9, 100%, $E$9)</f>
        <v>16.645800000000001</v>
      </c>
      <c r="I621" s="10">
        <f>CHOOSE(CONTROL!$C$42, 16.4164, 16.4164)* CHOOSE(CONTROL!$C$21, $C$9, 100%, $E$9)</f>
        <v>16.416399999999999</v>
      </c>
      <c r="J621" s="10">
        <f>CHOOSE(CONTROL!$C$42, 16.4189, 16.4189)* CHOOSE(CONTROL!$C$21, $C$9, 100%, $E$9)</f>
        <v>16.418900000000001</v>
      </c>
      <c r="K621" s="54">
        <f>CHOOSE(CONTROL!$C$42, 16.4125, 16.4125) * CHOOSE(CONTROL!$C$21, $C$9, 100%, $E$9)</f>
        <v>16.412500000000001</v>
      </c>
      <c r="L621" s="10">
        <f>CHOOSE(CONTROL!$C$42, 17.2328, 17.2328) * CHOOSE(CONTROL!$C$21, $C$9, 100%, $E$9)</f>
        <v>17.232800000000001</v>
      </c>
      <c r="M621" s="10">
        <f>CHOOSE(CONTROL!$C$42, 16.267, 16.267) * CHOOSE(CONTROL!$C$21, $C$9, 100%, $E$9)</f>
        <v>16.266999999999999</v>
      </c>
      <c r="N621" s="10">
        <f>CHOOSE(CONTROL!$C$42, 16.2851, 16.2851) * CHOOSE(CONTROL!$C$21, $C$9, 100%, $E$9)</f>
        <v>16.2851</v>
      </c>
      <c r="O621" s="10">
        <f>CHOOSE(CONTROL!$C$42, 16.4916, 16.4916) * CHOOSE(CONTROL!$C$21, $C$9, 100%, $E$9)</f>
        <v>16.491599999999998</v>
      </c>
      <c r="P621" s="10">
        <f>CHOOSE(CONTROL!$C$42, 16.2646, 16.2646) * CHOOSE(CONTROL!$C$21, $C$9, 100%, $E$9)</f>
        <v>16.264600000000002</v>
      </c>
      <c r="Q621" s="10">
        <f>CHOOSE(CONTROL!$C$42, 17.0869, 17.0869) * CHOOSE(CONTROL!$C$21, $C$9, 100%, $E$9)</f>
        <v>17.0869</v>
      </c>
      <c r="R621" s="10">
        <f>CHOOSE(CONTROL!$C$42, 17.7166, 17.7166) * CHOOSE(CONTROL!$C$21, $C$9, 100%, $E$9)</f>
        <v>17.7166</v>
      </c>
      <c r="S621" s="10">
        <f>CHOOSE(CONTROL!$C$42, 15.9602, 15.9602) * CHOOSE(CONTROL!$C$21, $C$9, 100%, $E$9)</f>
        <v>15.9602</v>
      </c>
      <c r="T621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21" s="58">
        <f>(1000*CHOOSE(CONTROL!$C$42, 695, 695)*CHOOSE(CONTROL!$C$42, 0.5599, 0.5599)*CHOOSE(CONTROL!$C$42, 30, 30))/1000000</f>
        <v>11.673914999999997</v>
      </c>
      <c r="V621" s="58">
        <f>(1000*CHOOSE(CONTROL!$C$42, 500, 500)*CHOOSE(CONTROL!$C$42, 0.275, 0.275)*CHOOSE(CONTROL!$C$42, 30, 30))/1000000</f>
        <v>4.125</v>
      </c>
      <c r="W621" s="58">
        <f>(1000*CHOOSE(CONTROL!$C$42, 0.1146, 0.1146)*CHOOSE(CONTROL!$C$42, 121.5, 121.5)*CHOOSE(CONTROL!$C$42, 30, 30))/1000000</f>
        <v>0.417717</v>
      </c>
      <c r="X621" s="58">
        <f>(30*0.1790888*245000/1000000)+(30*0.2374*100000/1000000)</f>
        <v>2.0285026799999999</v>
      </c>
      <c r="Y621" s="58"/>
      <c r="Z621" s="10"/>
      <c r="AA621" s="57"/>
      <c r="AB621" s="51">
        <f>(B621*194.205+C621*267.466+D621*133.845+E621*53.484+F621*40+G621*185+H621*0+I621*100+J621*300)/(194.205+267.466+133.845+53.484+0+40+185+100+300)</f>
        <v>16.463485038383045</v>
      </c>
      <c r="AC621" s="27">
        <f>(M621*'RAP TEMPLATE-GAS AVAILABILITY'!O620+N621*'RAP TEMPLATE-GAS AVAILABILITY'!P620+O621*'RAP TEMPLATE-GAS AVAILABILITY'!Q620+P621*'RAP TEMPLATE-GAS AVAILABILITY'!R620)/('RAP TEMPLATE-GAS AVAILABILITY'!O620+'RAP TEMPLATE-GAS AVAILABILITY'!P620+'RAP TEMPLATE-GAS AVAILABILITY'!Q620+'RAP TEMPLATE-GAS AVAILABILITY'!R620)</f>
        <v>16.369493525179855</v>
      </c>
    </row>
    <row r="622" spans="1:29" ht="15.75" x14ac:dyDescent="0.25">
      <c r="A622" s="13">
        <v>60206</v>
      </c>
      <c r="B622" s="10">
        <f>CHOOSE(CONTROL!$C$42, 16.1037, 16.1037) * CHOOSE(CONTROL!$C$21, $C$9, 100%, $E$9)</f>
        <v>16.1037</v>
      </c>
      <c r="C622" s="10">
        <f>CHOOSE(CONTROL!$C$42, 16.1089, 16.1089) * CHOOSE(CONTROL!$C$21, $C$9, 100%, $E$9)</f>
        <v>16.108899999999998</v>
      </c>
      <c r="D622" s="10">
        <f>CHOOSE(CONTROL!$C$42, 16.2924, 16.2924) * CHOOSE(CONTROL!$C$21, $C$9, 100%, $E$9)</f>
        <v>16.292400000000001</v>
      </c>
      <c r="E622" s="10">
        <f>CHOOSE(CONTROL!$C$42, 16.3212, 16.3212) * CHOOSE(CONTROL!$C$21, $C$9, 100%, $E$9)</f>
        <v>16.321200000000001</v>
      </c>
      <c r="F622" s="10">
        <f>CHOOSE(CONTROL!$C$42, 16.092, 16.092)*CHOOSE(CONTROL!$C$21, $C$9, 100%, $E$9)</f>
        <v>16.091999999999999</v>
      </c>
      <c r="G622" s="10">
        <f>CHOOSE(CONTROL!$C$42, 16.1099, 16.1099)*CHOOSE(CONTROL!$C$21, $C$9, 100%, $E$9)</f>
        <v>16.1099</v>
      </c>
      <c r="H622" s="10">
        <f>CHOOSE(CONTROL!$C$42, 16.3117, 16.3117) * CHOOSE(CONTROL!$C$21, $C$9, 100%, $E$9)</f>
        <v>16.311699999999998</v>
      </c>
      <c r="I622" s="10">
        <f>CHOOSE(CONTROL!$C$42, 16.0823, 16.0823)* CHOOSE(CONTROL!$C$21, $C$9, 100%, $E$9)</f>
        <v>16.0823</v>
      </c>
      <c r="J622" s="10">
        <f>CHOOSE(CONTROL!$C$42, 16.085, 16.085)* CHOOSE(CONTROL!$C$21, $C$9, 100%, $E$9)</f>
        <v>16.085000000000001</v>
      </c>
      <c r="K622" s="54">
        <f>CHOOSE(CONTROL!$C$42, 16.0785, 16.0785) * CHOOSE(CONTROL!$C$21, $C$9, 100%, $E$9)</f>
        <v>16.078499999999998</v>
      </c>
      <c r="L622" s="10">
        <f>CHOOSE(CONTROL!$C$42, 16.8987, 16.8987) * CHOOSE(CONTROL!$C$21, $C$9, 100%, $E$9)</f>
        <v>16.898700000000002</v>
      </c>
      <c r="M622" s="10">
        <f>CHOOSE(CONTROL!$C$42, 15.9365, 15.9365) * CHOOSE(CONTROL!$C$21, $C$9, 100%, $E$9)</f>
        <v>15.936500000000001</v>
      </c>
      <c r="N622" s="10">
        <f>CHOOSE(CONTROL!$C$42, 15.9542, 15.9542) * CHOOSE(CONTROL!$C$21, $C$9, 100%, $E$9)</f>
        <v>15.9542</v>
      </c>
      <c r="O622" s="10">
        <f>CHOOSE(CONTROL!$C$42, 16.1609, 16.1609) * CHOOSE(CONTROL!$C$21, $C$9, 100%, $E$9)</f>
        <v>16.160900000000002</v>
      </c>
      <c r="P622" s="10">
        <f>CHOOSE(CONTROL!$C$42, 15.9339, 15.9339) * CHOOSE(CONTROL!$C$21, $C$9, 100%, $E$9)</f>
        <v>15.9339</v>
      </c>
      <c r="Q622" s="10">
        <f>CHOOSE(CONTROL!$C$42, 16.7562, 16.7562) * CHOOSE(CONTROL!$C$21, $C$9, 100%, $E$9)</f>
        <v>16.7562</v>
      </c>
      <c r="R622" s="10">
        <f>CHOOSE(CONTROL!$C$42, 17.3851, 17.3851) * CHOOSE(CONTROL!$C$21, $C$9, 100%, $E$9)</f>
        <v>17.385100000000001</v>
      </c>
      <c r="S622" s="10">
        <f>CHOOSE(CONTROL!$C$42, 15.6358, 15.6358) * CHOOSE(CONTROL!$C$21, $C$9, 100%, $E$9)</f>
        <v>15.6358</v>
      </c>
      <c r="T622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622" s="58">
        <f>(1000*CHOOSE(CONTROL!$C$42, 695, 695)*CHOOSE(CONTROL!$C$42, 0.5599, 0.5599)*CHOOSE(CONTROL!$C$42, 31, 31))/1000000</f>
        <v>12.063045499999998</v>
      </c>
      <c r="V622" s="58">
        <f>(1000*CHOOSE(CONTROL!$C$42, 500, 500)*CHOOSE(CONTROL!$C$42, 0.275, 0.275)*CHOOSE(CONTROL!$C$42, 31, 31))/1000000</f>
        <v>4.2625000000000002</v>
      </c>
      <c r="W622" s="58">
        <f>(1000*CHOOSE(CONTROL!$C$42, 0.1146, 0.1146)*CHOOSE(CONTROL!$C$42, 121.5, 121.5)*CHOOSE(CONTROL!$C$42, 31, 31))/1000000</f>
        <v>0.43164089999999994</v>
      </c>
      <c r="X622" s="58">
        <f>(31*0.1790888*245000/1000000)+(31*0.2374*100000/1000000)</f>
        <v>2.0961194359999999</v>
      </c>
      <c r="Y622" s="58"/>
      <c r="Z622" s="10"/>
      <c r="AA622" s="57"/>
      <c r="AB622" s="51">
        <f>(B622*131.881+C622*277.167+D622*79.08+E622*125.872+F622*40+G622*185+H622*0+I622*100+J622*300)/(131.881+277.167+79.08+125.872+0+40+185+100+300)</f>
        <v>16.133296307021791</v>
      </c>
      <c r="AC622" s="27">
        <f>(M622*'RAP TEMPLATE-GAS AVAILABILITY'!O621+N622*'RAP TEMPLATE-GAS AVAILABILITY'!P621+O622*'RAP TEMPLATE-GAS AVAILABILITY'!Q621+P622*'RAP TEMPLATE-GAS AVAILABILITY'!R621)/('RAP TEMPLATE-GAS AVAILABILITY'!O621+'RAP TEMPLATE-GAS AVAILABILITY'!P621+'RAP TEMPLATE-GAS AVAILABILITY'!Q621+'RAP TEMPLATE-GAS AVAILABILITY'!R621)</f>
        <v>16.038851079136688</v>
      </c>
    </row>
    <row r="623" spans="1:29" ht="15.75" x14ac:dyDescent="0.25">
      <c r="A623" s="13">
        <v>60236</v>
      </c>
      <c r="B623" s="10">
        <f>CHOOSE(CONTROL!$C$42, 16.5275, 16.5275) * CHOOSE(CONTROL!$C$21, $C$9, 100%, $E$9)</f>
        <v>16.5275</v>
      </c>
      <c r="C623" s="10">
        <f>CHOOSE(CONTROL!$C$42, 16.5324, 16.5324) * CHOOSE(CONTROL!$C$21, $C$9, 100%, $E$9)</f>
        <v>16.532399999999999</v>
      </c>
      <c r="D623" s="10">
        <f>CHOOSE(CONTROL!$C$42, 16.562, 16.562) * CHOOSE(CONTROL!$C$21, $C$9, 100%, $E$9)</f>
        <v>16.562000000000001</v>
      </c>
      <c r="E623" s="10">
        <f>CHOOSE(CONTROL!$C$42, 16.5958, 16.5958) * CHOOSE(CONTROL!$C$21, $C$9, 100%, $E$9)</f>
        <v>16.595800000000001</v>
      </c>
      <c r="F623" s="10">
        <f>CHOOSE(CONTROL!$C$42, 16.5132, 16.5132)*CHOOSE(CONTROL!$C$21, $C$9, 100%, $E$9)</f>
        <v>16.513200000000001</v>
      </c>
      <c r="G623" s="10">
        <f>CHOOSE(CONTROL!$C$42, 16.5313, 16.5313)*CHOOSE(CONTROL!$C$21, $C$9, 100%, $E$9)</f>
        <v>16.531300000000002</v>
      </c>
      <c r="H623" s="10">
        <f>CHOOSE(CONTROL!$C$42, 16.585, 16.585) * CHOOSE(CONTROL!$C$21, $C$9, 100%, $E$9)</f>
        <v>16.585000000000001</v>
      </c>
      <c r="I623" s="10">
        <f>CHOOSE(CONTROL!$C$42, 16.4936, 16.4936)* CHOOSE(CONTROL!$C$21, $C$9, 100%, $E$9)</f>
        <v>16.493600000000001</v>
      </c>
      <c r="J623" s="10">
        <f>CHOOSE(CONTROL!$C$42, 16.5062, 16.5062)* CHOOSE(CONTROL!$C$21, $C$9, 100%, $E$9)</f>
        <v>16.5062</v>
      </c>
      <c r="K623" s="54">
        <f>CHOOSE(CONTROL!$C$42, 16.4897, 16.4897) * CHOOSE(CONTROL!$C$21, $C$9, 100%, $E$9)</f>
        <v>16.489699999999999</v>
      </c>
      <c r="L623" s="10">
        <f>CHOOSE(CONTROL!$C$42, 17.172, 17.172) * CHOOSE(CONTROL!$C$21, $C$9, 100%, $E$9)</f>
        <v>17.172000000000001</v>
      </c>
      <c r="M623" s="10">
        <f>CHOOSE(CONTROL!$C$42, 16.3535, 16.3535) * CHOOSE(CONTROL!$C$21, $C$9, 100%, $E$9)</f>
        <v>16.3535</v>
      </c>
      <c r="N623" s="10">
        <f>CHOOSE(CONTROL!$C$42, 16.3713, 16.3713) * CHOOSE(CONTROL!$C$21, $C$9, 100%, $E$9)</f>
        <v>16.371300000000002</v>
      </c>
      <c r="O623" s="10">
        <f>CHOOSE(CONTROL!$C$42, 16.4315, 16.4315) * CHOOSE(CONTROL!$C$21, $C$9, 100%, $E$9)</f>
        <v>16.4315</v>
      </c>
      <c r="P623" s="10">
        <f>CHOOSE(CONTROL!$C$42, 16.3411, 16.3411) * CHOOSE(CONTROL!$C$21, $C$9, 100%, $E$9)</f>
        <v>16.341100000000001</v>
      </c>
      <c r="Q623" s="10">
        <f>CHOOSE(CONTROL!$C$42, 17.0268, 17.0268) * CHOOSE(CONTROL!$C$21, $C$9, 100%, $E$9)</f>
        <v>17.026800000000001</v>
      </c>
      <c r="R623" s="10">
        <f>CHOOSE(CONTROL!$C$42, 17.6563, 17.6563) * CHOOSE(CONTROL!$C$21, $C$9, 100%, $E$9)</f>
        <v>17.656300000000002</v>
      </c>
      <c r="S623" s="10">
        <f>CHOOSE(CONTROL!$C$42, 16.0477, 16.0477) * CHOOSE(CONTROL!$C$21, $C$9, 100%, $E$9)</f>
        <v>16.047699999999999</v>
      </c>
      <c r="T623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623" s="58">
        <f>(1000*CHOOSE(CONTROL!$C$42, 695, 695)*CHOOSE(CONTROL!$C$42, 0.5599, 0.5599)*CHOOSE(CONTROL!$C$42, 30, 30))/1000000</f>
        <v>11.673914999999997</v>
      </c>
      <c r="V623" s="58">
        <f>(1000*CHOOSE(CONTROL!$C$42, 500, 500)*CHOOSE(CONTROL!$C$42, 0.275, 0.275)*CHOOSE(CONTROL!$C$42, 30, 30))/1000000</f>
        <v>4.125</v>
      </c>
      <c r="W623" s="58">
        <f>(1000*CHOOSE(CONTROL!$C$42, 0.1146, 0.1146)*CHOOSE(CONTROL!$C$42, 121.5, 121.5)*CHOOSE(CONTROL!$C$42, 30, 30))/1000000</f>
        <v>0.417717</v>
      </c>
      <c r="X623" s="58">
        <f>(30*0.1790888*100000/1000000)+(30*0.2374*100000/1000000)</f>
        <v>1.2494664</v>
      </c>
      <c r="Y623" s="58"/>
      <c r="Z623" s="10"/>
      <c r="AA623" s="57"/>
      <c r="AB623" s="51">
        <f>(B623*122.58+C623*297.941+D623*89.177+E623*40.302+F623*40+G623*160+H623*0+I623*100+J623*300)/(122.58+297.941+89.177+40.302+0+40+160+100+300)</f>
        <v>16.525365342608694</v>
      </c>
      <c r="AC623" s="27">
        <f>(M623*'RAP TEMPLATE-GAS AVAILABILITY'!O622+N623*'RAP TEMPLATE-GAS AVAILABILITY'!P622+O623*'RAP TEMPLATE-GAS AVAILABILITY'!Q622+P623*'RAP TEMPLATE-GAS AVAILABILITY'!R622)/('RAP TEMPLATE-GAS AVAILABILITY'!O622+'RAP TEMPLATE-GAS AVAILABILITY'!P622+'RAP TEMPLATE-GAS AVAILABILITY'!Q622+'RAP TEMPLATE-GAS AVAILABILITY'!R622)</f>
        <v>16.388092805755395</v>
      </c>
    </row>
    <row r="624" spans="1:29" ht="15.75" x14ac:dyDescent="0.25">
      <c r="A624" s="13">
        <v>60267</v>
      </c>
      <c r="B624" s="10">
        <f>CHOOSE(CONTROL!$C$42, 17.6541, 17.6541) * CHOOSE(CONTROL!$C$21, $C$9, 100%, $E$9)</f>
        <v>17.6541</v>
      </c>
      <c r="C624" s="10">
        <f>CHOOSE(CONTROL!$C$42, 17.659, 17.659) * CHOOSE(CONTROL!$C$21, $C$9, 100%, $E$9)</f>
        <v>17.658999999999999</v>
      </c>
      <c r="D624" s="10">
        <f>CHOOSE(CONTROL!$C$42, 17.6887, 17.6887) * CHOOSE(CONTROL!$C$21, $C$9, 100%, $E$9)</f>
        <v>17.688700000000001</v>
      </c>
      <c r="E624" s="10">
        <f>CHOOSE(CONTROL!$C$42, 17.7224, 17.7224) * CHOOSE(CONTROL!$C$21, $C$9, 100%, $E$9)</f>
        <v>17.7224</v>
      </c>
      <c r="F624" s="10">
        <f>CHOOSE(CONTROL!$C$42, 17.6414, 17.6414)*CHOOSE(CONTROL!$C$21, $C$9, 100%, $E$9)</f>
        <v>17.641400000000001</v>
      </c>
      <c r="G624" s="10">
        <f>CHOOSE(CONTROL!$C$42, 17.6598, 17.6598)*CHOOSE(CONTROL!$C$21, $C$9, 100%, $E$9)</f>
        <v>17.659800000000001</v>
      </c>
      <c r="H624" s="10">
        <f>CHOOSE(CONTROL!$C$42, 17.7116, 17.7116) * CHOOSE(CONTROL!$C$21, $C$9, 100%, $E$9)</f>
        <v>17.711600000000001</v>
      </c>
      <c r="I624" s="10">
        <f>CHOOSE(CONTROL!$C$42, 17.6203, 17.6203)* CHOOSE(CONTROL!$C$21, $C$9, 100%, $E$9)</f>
        <v>17.6203</v>
      </c>
      <c r="J624" s="10">
        <f>CHOOSE(CONTROL!$C$42, 17.6344, 17.6344)* CHOOSE(CONTROL!$C$21, $C$9, 100%, $E$9)</f>
        <v>17.634399999999999</v>
      </c>
      <c r="K624" s="54">
        <f>CHOOSE(CONTROL!$C$42, 17.6164, 17.6164) * CHOOSE(CONTROL!$C$21, $C$9, 100%, $E$9)</f>
        <v>17.616399999999999</v>
      </c>
      <c r="L624" s="10">
        <f>CHOOSE(CONTROL!$C$42, 18.2986, 18.2986) * CHOOSE(CONTROL!$C$21, $C$9, 100%, $E$9)</f>
        <v>18.2986</v>
      </c>
      <c r="M624" s="10">
        <f>CHOOSE(CONTROL!$C$42, 17.4703, 17.4703) * CHOOSE(CONTROL!$C$21, $C$9, 100%, $E$9)</f>
        <v>17.470300000000002</v>
      </c>
      <c r="N624" s="10">
        <f>CHOOSE(CONTROL!$C$42, 17.4885, 17.4885) * CHOOSE(CONTROL!$C$21, $C$9, 100%, $E$9)</f>
        <v>17.488499999999998</v>
      </c>
      <c r="O624" s="10">
        <f>CHOOSE(CONTROL!$C$42, 17.5467, 17.5467) * CHOOSE(CONTROL!$C$21, $C$9, 100%, $E$9)</f>
        <v>17.546700000000001</v>
      </c>
      <c r="P624" s="10">
        <f>CHOOSE(CONTROL!$C$42, 17.4563, 17.4563) * CHOOSE(CONTROL!$C$21, $C$9, 100%, $E$9)</f>
        <v>17.456299999999999</v>
      </c>
      <c r="Q624" s="10">
        <f>CHOOSE(CONTROL!$C$42, 18.142, 18.142) * CHOOSE(CONTROL!$C$21, $C$9, 100%, $E$9)</f>
        <v>18.141999999999999</v>
      </c>
      <c r="R624" s="10">
        <f>CHOOSE(CONTROL!$C$42, 18.7744, 18.7744) * CHOOSE(CONTROL!$C$21, $C$9, 100%, $E$9)</f>
        <v>18.7744</v>
      </c>
      <c r="S624" s="10">
        <f>CHOOSE(CONTROL!$C$42, 17.1418, 17.1418) * CHOOSE(CONTROL!$C$21, $C$9, 100%, $E$9)</f>
        <v>17.1418</v>
      </c>
      <c r="T624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24" s="58">
        <f>(1000*CHOOSE(CONTROL!$C$42, 695, 695)*CHOOSE(CONTROL!$C$42, 0.5599, 0.5599)*CHOOSE(CONTROL!$C$42, 31, 31))/1000000</f>
        <v>12.063045499999998</v>
      </c>
      <c r="V624" s="58">
        <f>(1000*CHOOSE(CONTROL!$C$42, 500, 500)*CHOOSE(CONTROL!$C$42, 0.275, 0.275)*CHOOSE(CONTROL!$C$42, 31, 31))/1000000</f>
        <v>4.2625000000000002</v>
      </c>
      <c r="W624" s="58">
        <f>(1000*CHOOSE(CONTROL!$C$42, 0.1146, 0.1146)*CHOOSE(CONTROL!$C$42, 121.5, 121.5)*CHOOSE(CONTROL!$C$42, 31, 31))/1000000</f>
        <v>0.43164089999999994</v>
      </c>
      <c r="X624" s="58">
        <f>(31*0.1790888*100000/1000000)+(31*0.2374*100000/1000000)</f>
        <v>1.2911152800000001</v>
      </c>
      <c r="Y624" s="58"/>
      <c r="Z624" s="10"/>
      <c r="AA624" s="57"/>
      <c r="AB624" s="51">
        <f>(B624*122.58+C624*297.941+D624*89.177+E624*40.302+F624*40+G624*160+H624*0+I624*100+J624*300)/(122.58+297.941+89.177+40.302+0+40+160+100+300)</f>
        <v>17.652719184086955</v>
      </c>
      <c r="AC624" s="27">
        <f>(M624*'RAP TEMPLATE-GAS AVAILABILITY'!O623+N624*'RAP TEMPLATE-GAS AVAILABILITY'!P623+O624*'RAP TEMPLATE-GAS AVAILABILITY'!Q623+P624*'RAP TEMPLATE-GAS AVAILABILITY'!R623)/('RAP TEMPLATE-GAS AVAILABILITY'!O623+'RAP TEMPLATE-GAS AVAILABILITY'!P623+'RAP TEMPLATE-GAS AVAILABILITY'!Q623+'RAP TEMPLATE-GAS AVAILABILITY'!R623)</f>
        <v>17.503960431654676</v>
      </c>
    </row>
    <row r="625" spans="1:29" ht="15.75" x14ac:dyDescent="0.25">
      <c r="A625" s="13">
        <v>60298</v>
      </c>
      <c r="B625" s="10">
        <f>CHOOSE(CONTROL!$C$42, 18.8454, 18.8454) * CHOOSE(CONTROL!$C$21, $C$9, 100%, $E$9)</f>
        <v>18.845400000000001</v>
      </c>
      <c r="C625" s="10">
        <f>CHOOSE(CONTROL!$C$42, 18.8504, 18.8504) * CHOOSE(CONTROL!$C$21, $C$9, 100%, $E$9)</f>
        <v>18.8504</v>
      </c>
      <c r="D625" s="10">
        <f>CHOOSE(CONTROL!$C$42, 18.9006, 18.9006) * CHOOSE(CONTROL!$C$21, $C$9, 100%, $E$9)</f>
        <v>18.900600000000001</v>
      </c>
      <c r="E625" s="10">
        <f>CHOOSE(CONTROL!$C$42, 18.9344, 18.9344) * CHOOSE(CONTROL!$C$21, $C$9, 100%, $E$9)</f>
        <v>18.9344</v>
      </c>
      <c r="F625" s="10">
        <f>CHOOSE(CONTROL!$C$42, 18.8108, 18.8108)*CHOOSE(CONTROL!$C$21, $C$9, 100%, $E$9)</f>
        <v>18.8108</v>
      </c>
      <c r="G625" s="10">
        <f>CHOOSE(CONTROL!$C$42, 18.8284, 18.8284)*CHOOSE(CONTROL!$C$21, $C$9, 100%, $E$9)</f>
        <v>18.828399999999998</v>
      </c>
      <c r="H625" s="10">
        <f>CHOOSE(CONTROL!$C$42, 18.9236, 18.9236) * CHOOSE(CONTROL!$C$21, $C$9, 100%, $E$9)</f>
        <v>18.9236</v>
      </c>
      <c r="I625" s="10">
        <f>CHOOSE(CONTROL!$C$42, 18.8193, 18.8193)* CHOOSE(CONTROL!$C$21, $C$9, 100%, $E$9)</f>
        <v>18.819299999999998</v>
      </c>
      <c r="J625" s="10">
        <f>CHOOSE(CONTROL!$C$42, 18.8038, 18.8038)* CHOOSE(CONTROL!$C$21, $C$9, 100%, $E$9)</f>
        <v>18.803799999999999</v>
      </c>
      <c r="K625" s="54">
        <f>CHOOSE(CONTROL!$C$42, 18.8154, 18.8154) * CHOOSE(CONTROL!$C$21, $C$9, 100%, $E$9)</f>
        <v>18.8154</v>
      </c>
      <c r="L625" s="10">
        <f>CHOOSE(CONTROL!$C$42, 19.5106, 19.5106) * CHOOSE(CONTROL!$C$21, $C$9, 100%, $E$9)</f>
        <v>19.5106</v>
      </c>
      <c r="M625" s="10">
        <f>CHOOSE(CONTROL!$C$42, 18.6279, 18.6279) * CHOOSE(CONTROL!$C$21, $C$9, 100%, $E$9)</f>
        <v>18.6279</v>
      </c>
      <c r="N625" s="10">
        <f>CHOOSE(CONTROL!$C$42, 18.6452, 18.6452) * CHOOSE(CONTROL!$C$21, $C$9, 100%, $E$9)</f>
        <v>18.645199999999999</v>
      </c>
      <c r="O625" s="10">
        <f>CHOOSE(CONTROL!$C$42, 18.7464, 18.7464) * CHOOSE(CONTROL!$C$21, $C$9, 100%, $E$9)</f>
        <v>18.746400000000001</v>
      </c>
      <c r="P625" s="10">
        <f>CHOOSE(CONTROL!$C$42, 18.6433, 18.6433) * CHOOSE(CONTROL!$C$21, $C$9, 100%, $E$9)</f>
        <v>18.6433</v>
      </c>
      <c r="Q625" s="10">
        <f>CHOOSE(CONTROL!$C$42, 19.3417, 19.3417) * CHOOSE(CONTROL!$C$21, $C$9, 100%, $E$9)</f>
        <v>19.341699999999999</v>
      </c>
      <c r="R625" s="10">
        <f>CHOOSE(CONTROL!$C$42, 19.9771, 19.9771) * CHOOSE(CONTROL!$C$21, $C$9, 100%, $E$9)</f>
        <v>19.9771</v>
      </c>
      <c r="S625" s="10">
        <f>CHOOSE(CONTROL!$C$42, 18.2987, 18.2987) * CHOOSE(CONTROL!$C$21, $C$9, 100%, $E$9)</f>
        <v>18.2987</v>
      </c>
      <c r="T625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25" s="58">
        <f>(1000*CHOOSE(CONTROL!$C$42, 695, 695)*CHOOSE(CONTROL!$C$42, 0.5599, 0.5599)*CHOOSE(CONTROL!$C$42, 31, 31))/1000000</f>
        <v>12.063045499999998</v>
      </c>
      <c r="V625" s="58">
        <f>(1000*CHOOSE(CONTROL!$C$42, 500, 500)*CHOOSE(CONTROL!$C$42, 0.275, 0.275)*CHOOSE(CONTROL!$C$42, 31, 31))/1000000</f>
        <v>4.2625000000000002</v>
      </c>
      <c r="W625" s="58">
        <f>(1000*CHOOSE(CONTROL!$C$42, 0.1146, 0.1146)*CHOOSE(CONTROL!$C$42, 121.5, 121.5)*CHOOSE(CONTROL!$C$42, 31, 31))/1000000</f>
        <v>0.43164089999999994</v>
      </c>
      <c r="X625" s="58">
        <f>(31*0.1790888*100000/1000000)+(31*0.2374*100000/1000000)</f>
        <v>1.2911152800000001</v>
      </c>
      <c r="Y625" s="58"/>
      <c r="Z625" s="10"/>
      <c r="AA625" s="57"/>
      <c r="AB625" s="51">
        <f>(B625*122.58+C625*297.941+D625*89.177+E625*40.302+F625*40+G625*160+H625*0+I625*100+J625*300)/(122.58+297.941+89.177+40.302+0+40+160+100+300)</f>
        <v>18.837404481217391</v>
      </c>
      <c r="AC625" s="27">
        <f>(M625*'RAP TEMPLATE-GAS AVAILABILITY'!O624+N625*'RAP TEMPLATE-GAS AVAILABILITY'!P624+O625*'RAP TEMPLATE-GAS AVAILABILITY'!Q624+P625*'RAP TEMPLATE-GAS AVAILABILITY'!R624)/('RAP TEMPLATE-GAS AVAILABILITY'!O624+'RAP TEMPLATE-GAS AVAILABILITY'!P624+'RAP TEMPLATE-GAS AVAILABILITY'!Q624+'RAP TEMPLATE-GAS AVAILABILITY'!R624)</f>
        <v>18.684820143884892</v>
      </c>
    </row>
    <row r="626" spans="1:29" ht="15.75" x14ac:dyDescent="0.25">
      <c r="A626" s="13">
        <v>60326</v>
      </c>
      <c r="B626" s="10">
        <f>CHOOSE(CONTROL!$C$42, 19.1809, 19.1809) * CHOOSE(CONTROL!$C$21, $C$9, 100%, $E$9)</f>
        <v>19.180900000000001</v>
      </c>
      <c r="C626" s="10">
        <f>CHOOSE(CONTROL!$C$42, 19.1858, 19.1858) * CHOOSE(CONTROL!$C$21, $C$9, 100%, $E$9)</f>
        <v>19.1858</v>
      </c>
      <c r="D626" s="10">
        <f>CHOOSE(CONTROL!$C$42, 19.303, 19.303) * CHOOSE(CONTROL!$C$21, $C$9, 100%, $E$9)</f>
        <v>19.303000000000001</v>
      </c>
      <c r="E626" s="10">
        <f>CHOOSE(CONTROL!$C$42, 19.3367, 19.3367) * CHOOSE(CONTROL!$C$21, $C$9, 100%, $E$9)</f>
        <v>19.3367</v>
      </c>
      <c r="F626" s="10">
        <f>CHOOSE(CONTROL!$C$42, 19.2585, 19.2585)*CHOOSE(CONTROL!$C$21, $C$9, 100%, $E$9)</f>
        <v>19.258500000000002</v>
      </c>
      <c r="G626" s="10">
        <f>CHOOSE(CONTROL!$C$42, 19.2804, 19.2804)*CHOOSE(CONTROL!$C$21, $C$9, 100%, $E$9)</f>
        <v>19.2804</v>
      </c>
      <c r="H626" s="10">
        <f>CHOOSE(CONTROL!$C$42, 19.3259, 19.3259) * CHOOSE(CONTROL!$C$21, $C$9, 100%, $E$9)</f>
        <v>19.325900000000001</v>
      </c>
      <c r="I626" s="10">
        <f>CHOOSE(CONTROL!$C$42, 19.2165, 19.2165)* CHOOSE(CONTROL!$C$21, $C$9, 100%, $E$9)</f>
        <v>19.2165</v>
      </c>
      <c r="J626" s="10">
        <f>CHOOSE(CONTROL!$C$42, 19.2515, 19.2515)* CHOOSE(CONTROL!$C$21, $C$9, 100%, $E$9)</f>
        <v>19.2515</v>
      </c>
      <c r="K626" s="54">
        <f>CHOOSE(CONTROL!$C$42, 19.2127, 19.2127) * CHOOSE(CONTROL!$C$21, $C$9, 100%, $E$9)</f>
        <v>19.212700000000002</v>
      </c>
      <c r="L626" s="10">
        <f>CHOOSE(CONTROL!$C$42, 19.9129, 19.9129) * CHOOSE(CONTROL!$C$21, $C$9, 100%, $E$9)</f>
        <v>19.9129</v>
      </c>
      <c r="M626" s="10">
        <f>CHOOSE(CONTROL!$C$42, 19.071, 19.071) * CHOOSE(CONTROL!$C$21, $C$9, 100%, $E$9)</f>
        <v>19.071000000000002</v>
      </c>
      <c r="N626" s="10">
        <f>CHOOSE(CONTROL!$C$42, 19.0927, 19.0927) * CHOOSE(CONTROL!$C$21, $C$9, 100%, $E$9)</f>
        <v>19.092700000000001</v>
      </c>
      <c r="O626" s="10">
        <f>CHOOSE(CONTROL!$C$42, 19.1447, 19.1447) * CHOOSE(CONTROL!$C$21, $C$9, 100%, $E$9)</f>
        <v>19.1447</v>
      </c>
      <c r="P626" s="10">
        <f>CHOOSE(CONTROL!$C$42, 19.0365, 19.0365) * CHOOSE(CONTROL!$C$21, $C$9, 100%, $E$9)</f>
        <v>19.0365</v>
      </c>
      <c r="Q626" s="10">
        <f>CHOOSE(CONTROL!$C$42, 19.74, 19.74) * CHOOSE(CONTROL!$C$21, $C$9, 100%, $E$9)</f>
        <v>19.739999999999998</v>
      </c>
      <c r="R626" s="10">
        <f>CHOOSE(CONTROL!$C$42, 20.3764, 20.3764) * CHOOSE(CONTROL!$C$21, $C$9, 100%, $E$9)</f>
        <v>20.3764</v>
      </c>
      <c r="S626" s="10">
        <f>CHOOSE(CONTROL!$C$42, 18.6244, 18.6244) * CHOOSE(CONTROL!$C$21, $C$9, 100%, $E$9)</f>
        <v>18.624400000000001</v>
      </c>
      <c r="T626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626" s="58">
        <f>(1000*CHOOSE(CONTROL!$C$42, 695, 695)*CHOOSE(CONTROL!$C$42, 0.5599, 0.5599)*CHOOSE(CONTROL!$C$42, 28, 28))/1000000</f>
        <v>10.895653999999999</v>
      </c>
      <c r="V626" s="58">
        <f>(1000*CHOOSE(CONTROL!$C$42, 500, 500)*CHOOSE(CONTROL!$C$42, 0.275, 0.275)*CHOOSE(CONTROL!$C$42, 28, 28))/1000000</f>
        <v>3.85</v>
      </c>
      <c r="W626" s="58">
        <f>(1000*CHOOSE(CONTROL!$C$42, 0.1146, 0.1146)*CHOOSE(CONTROL!$C$42, 121.5, 121.5)*CHOOSE(CONTROL!$C$42, 28, 28))/1000000</f>
        <v>0.38986920000000003</v>
      </c>
      <c r="X626" s="58">
        <f>(28*0.1790888*100000/1000000)+(28*0.2374*100000/1000000)</f>
        <v>1.16616864</v>
      </c>
      <c r="Y626" s="58"/>
      <c r="Z626" s="10"/>
      <c r="AA626" s="57"/>
      <c r="AB626" s="51">
        <f>(B626*122.58+C626*297.941+D626*89.177+E626*40.302+F626*40+G626*160+H626*0+I626*100+J626*300)/(122.58+297.941+89.177+40.302+0+40+160+100+300)</f>
        <v>19.235153455826087</v>
      </c>
      <c r="AC626" s="27">
        <f>(M626*'RAP TEMPLATE-GAS AVAILABILITY'!O625+N626*'RAP TEMPLATE-GAS AVAILABILITY'!P625+O626*'RAP TEMPLATE-GAS AVAILABILITY'!Q625+P626*'RAP TEMPLATE-GAS AVAILABILITY'!R625)/('RAP TEMPLATE-GAS AVAILABILITY'!O625+'RAP TEMPLATE-GAS AVAILABILITY'!P625+'RAP TEMPLATE-GAS AVAILABILITY'!Q625+'RAP TEMPLATE-GAS AVAILABILITY'!R625)</f>
        <v>19.100688489208633</v>
      </c>
    </row>
    <row r="627" spans="1:29" ht="15.75" x14ac:dyDescent="0.25">
      <c r="A627" s="13">
        <v>60357</v>
      </c>
      <c r="B627" s="10">
        <f>CHOOSE(CONTROL!$C$42, 18.6364, 18.6364) * CHOOSE(CONTROL!$C$21, $C$9, 100%, $E$9)</f>
        <v>18.636399999999998</v>
      </c>
      <c r="C627" s="10">
        <f>CHOOSE(CONTROL!$C$42, 18.6413, 18.6413) * CHOOSE(CONTROL!$C$21, $C$9, 100%, $E$9)</f>
        <v>18.641300000000001</v>
      </c>
      <c r="D627" s="10">
        <f>CHOOSE(CONTROL!$C$42, 18.7327, 18.7327) * CHOOSE(CONTROL!$C$21, $C$9, 100%, $E$9)</f>
        <v>18.732700000000001</v>
      </c>
      <c r="E627" s="10">
        <f>CHOOSE(CONTROL!$C$42, 18.7665, 18.7665) * CHOOSE(CONTROL!$C$21, $C$9, 100%, $E$9)</f>
        <v>18.766500000000001</v>
      </c>
      <c r="F627" s="10">
        <f>CHOOSE(CONTROL!$C$42, 18.6662, 18.6662)*CHOOSE(CONTROL!$C$21, $C$9, 100%, $E$9)</f>
        <v>18.6662</v>
      </c>
      <c r="G627" s="10">
        <f>CHOOSE(CONTROL!$C$42, 18.6857, 18.6857)*CHOOSE(CONTROL!$C$21, $C$9, 100%, $E$9)</f>
        <v>18.685700000000001</v>
      </c>
      <c r="H627" s="10">
        <f>CHOOSE(CONTROL!$C$42, 18.7557, 18.7557) * CHOOSE(CONTROL!$C$21, $C$9, 100%, $E$9)</f>
        <v>18.755700000000001</v>
      </c>
      <c r="I627" s="10">
        <f>CHOOSE(CONTROL!$C$42, 18.6592, 18.6592)* CHOOSE(CONTROL!$C$21, $C$9, 100%, $E$9)</f>
        <v>18.659199999999998</v>
      </c>
      <c r="J627" s="10">
        <f>CHOOSE(CONTROL!$C$42, 18.6592, 18.6592)* CHOOSE(CONTROL!$C$21, $C$9, 100%, $E$9)</f>
        <v>18.659199999999998</v>
      </c>
      <c r="K627" s="54">
        <f>CHOOSE(CONTROL!$C$42, 18.6553, 18.6553) * CHOOSE(CONTROL!$C$21, $C$9, 100%, $E$9)</f>
        <v>18.6553</v>
      </c>
      <c r="L627" s="10">
        <f>CHOOSE(CONTROL!$C$42, 19.3427, 19.3427) * CHOOSE(CONTROL!$C$21, $C$9, 100%, $E$9)</f>
        <v>19.342700000000001</v>
      </c>
      <c r="M627" s="10">
        <f>CHOOSE(CONTROL!$C$42, 18.4848, 18.4848) * CHOOSE(CONTROL!$C$21, $C$9, 100%, $E$9)</f>
        <v>18.4848</v>
      </c>
      <c r="N627" s="10">
        <f>CHOOSE(CONTROL!$C$42, 18.5041, 18.5041) * CHOOSE(CONTROL!$C$21, $C$9, 100%, $E$9)</f>
        <v>18.504100000000001</v>
      </c>
      <c r="O627" s="10">
        <f>CHOOSE(CONTROL!$C$42, 18.5803, 18.5803) * CHOOSE(CONTROL!$C$21, $C$9, 100%, $E$9)</f>
        <v>18.580300000000001</v>
      </c>
      <c r="P627" s="10">
        <f>CHOOSE(CONTROL!$C$42, 18.4848, 18.4848) * CHOOSE(CONTROL!$C$21, $C$9, 100%, $E$9)</f>
        <v>18.4848</v>
      </c>
      <c r="Q627" s="10">
        <f>CHOOSE(CONTROL!$C$42, 19.1756, 19.1756) * CHOOSE(CONTROL!$C$21, $C$9, 100%, $E$9)</f>
        <v>19.175599999999999</v>
      </c>
      <c r="R627" s="10">
        <f>CHOOSE(CONTROL!$C$42, 19.8105, 19.8105) * CHOOSE(CONTROL!$C$21, $C$9, 100%, $E$9)</f>
        <v>19.810500000000001</v>
      </c>
      <c r="S627" s="10">
        <f>CHOOSE(CONTROL!$C$42, 18.0957, 18.0957) * CHOOSE(CONTROL!$C$21, $C$9, 100%, $E$9)</f>
        <v>18.095700000000001</v>
      </c>
      <c r="T627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27" s="58">
        <f>(1000*CHOOSE(CONTROL!$C$42, 695, 695)*CHOOSE(CONTROL!$C$42, 0.5599, 0.5599)*CHOOSE(CONTROL!$C$42, 31, 31))/1000000</f>
        <v>12.063045499999998</v>
      </c>
      <c r="V627" s="58">
        <f>(1000*CHOOSE(CONTROL!$C$42, 500, 500)*CHOOSE(CONTROL!$C$42, 0.275, 0.275)*CHOOSE(CONTROL!$C$42, 31, 31))/1000000</f>
        <v>4.2625000000000002</v>
      </c>
      <c r="W627" s="58">
        <f>(1000*CHOOSE(CONTROL!$C$42, 0.1146, 0.1146)*CHOOSE(CONTROL!$C$42, 121.5, 121.5)*CHOOSE(CONTROL!$C$42, 31, 31))/1000000</f>
        <v>0.43164089999999994</v>
      </c>
      <c r="X627" s="58">
        <f>(31*0.1790888*100000/1000000)+(31*0.2374*100000/1000000)</f>
        <v>1.2911152800000001</v>
      </c>
      <c r="Y627" s="58"/>
      <c r="Z627" s="10"/>
      <c r="AA627" s="57"/>
      <c r="AB627" s="51">
        <f>(B627*122.58+C627*297.941+D627*89.177+E627*40.302+F627*40+G627*160+H627*0+I627*100+J627*300)/(122.58+297.941+89.177+40.302+0+40+160+100+300)</f>
        <v>18.66552256191304</v>
      </c>
      <c r="AC627" s="27">
        <f>(M627*'RAP TEMPLATE-GAS AVAILABILITY'!O626+N627*'RAP TEMPLATE-GAS AVAILABILITY'!P626+O627*'RAP TEMPLATE-GAS AVAILABILITY'!Q626+P627*'RAP TEMPLATE-GAS AVAILABILITY'!R626)/('RAP TEMPLATE-GAS AVAILABILITY'!O626+'RAP TEMPLATE-GAS AVAILABILITY'!P626+'RAP TEMPLATE-GAS AVAILABILITY'!Q626+'RAP TEMPLATE-GAS AVAILABILITY'!R626)</f>
        <v>18.529194964028775</v>
      </c>
    </row>
    <row r="628" spans="1:29" ht="15.75" x14ac:dyDescent="0.25">
      <c r="A628" s="13">
        <v>60387</v>
      </c>
      <c r="B628" s="10">
        <f>CHOOSE(CONTROL!$C$42, 18.5814, 18.5814) * CHOOSE(CONTROL!$C$21, $C$9, 100%, $E$9)</f>
        <v>18.581399999999999</v>
      </c>
      <c r="C628" s="10">
        <f>CHOOSE(CONTROL!$C$42, 18.5858, 18.5858) * CHOOSE(CONTROL!$C$21, $C$9, 100%, $E$9)</f>
        <v>18.585799999999999</v>
      </c>
      <c r="D628" s="10">
        <f>CHOOSE(CONTROL!$C$42, 18.7674, 18.7674) * CHOOSE(CONTROL!$C$21, $C$9, 100%, $E$9)</f>
        <v>18.767399999999999</v>
      </c>
      <c r="E628" s="10">
        <f>CHOOSE(CONTROL!$C$42, 18.7992, 18.7992) * CHOOSE(CONTROL!$C$21, $C$9, 100%, $E$9)</f>
        <v>18.799199999999999</v>
      </c>
      <c r="F628" s="10">
        <f>CHOOSE(CONTROL!$C$42, 18.5697, 18.5697)*CHOOSE(CONTROL!$C$21, $C$9, 100%, $E$9)</f>
        <v>18.569700000000001</v>
      </c>
      <c r="G628" s="10">
        <f>CHOOSE(CONTROL!$C$42, 18.5877, 18.5877)*CHOOSE(CONTROL!$C$21, $C$9, 100%, $E$9)</f>
        <v>18.587700000000002</v>
      </c>
      <c r="H628" s="10">
        <f>CHOOSE(CONTROL!$C$42, 18.789, 18.789) * CHOOSE(CONTROL!$C$21, $C$9, 100%, $E$9)</f>
        <v>18.789000000000001</v>
      </c>
      <c r="I628" s="10">
        <f>CHOOSE(CONTROL!$C$42, 18.5596, 18.5596)* CHOOSE(CONTROL!$C$21, $C$9, 100%, $E$9)</f>
        <v>18.5596</v>
      </c>
      <c r="J628" s="10">
        <f>CHOOSE(CONTROL!$C$42, 18.5627, 18.5627)* CHOOSE(CONTROL!$C$21, $C$9, 100%, $E$9)</f>
        <v>18.5627</v>
      </c>
      <c r="K628" s="54">
        <f>CHOOSE(CONTROL!$C$42, 18.5558, 18.5558) * CHOOSE(CONTROL!$C$21, $C$9, 100%, $E$9)</f>
        <v>18.555800000000001</v>
      </c>
      <c r="L628" s="10">
        <f>CHOOSE(CONTROL!$C$42, 19.376, 19.376) * CHOOSE(CONTROL!$C$21, $C$9, 100%, $E$9)</f>
        <v>19.376000000000001</v>
      </c>
      <c r="M628" s="10">
        <f>CHOOSE(CONTROL!$C$42, 18.3892, 18.3892) * CHOOSE(CONTROL!$C$21, $C$9, 100%, $E$9)</f>
        <v>18.389199999999999</v>
      </c>
      <c r="N628" s="10">
        <f>CHOOSE(CONTROL!$C$42, 18.407, 18.407) * CHOOSE(CONTROL!$C$21, $C$9, 100%, $E$9)</f>
        <v>18.407</v>
      </c>
      <c r="O628" s="10">
        <f>CHOOSE(CONTROL!$C$42, 18.6132, 18.6132) * CHOOSE(CONTROL!$C$21, $C$9, 100%, $E$9)</f>
        <v>18.613199999999999</v>
      </c>
      <c r="P628" s="10">
        <f>CHOOSE(CONTROL!$C$42, 18.3862, 18.3862) * CHOOSE(CONTROL!$C$21, $C$9, 100%, $E$9)</f>
        <v>18.386199999999999</v>
      </c>
      <c r="Q628" s="10">
        <f>CHOOSE(CONTROL!$C$42, 19.2085, 19.2085) * CHOOSE(CONTROL!$C$21, $C$9, 100%, $E$9)</f>
        <v>19.208500000000001</v>
      </c>
      <c r="R628" s="10">
        <f>CHOOSE(CONTROL!$C$42, 19.8435, 19.8435) * CHOOSE(CONTROL!$C$21, $C$9, 100%, $E$9)</f>
        <v>19.843499999999999</v>
      </c>
      <c r="S628" s="10">
        <f>CHOOSE(CONTROL!$C$42, 18.0415, 18.0415) * CHOOSE(CONTROL!$C$21, $C$9, 100%, $E$9)</f>
        <v>18.041499999999999</v>
      </c>
      <c r="T628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28" s="58">
        <f>(1000*CHOOSE(CONTROL!$C$42, 695, 695)*CHOOSE(CONTROL!$C$42, 0.5599, 0.5599)*CHOOSE(CONTROL!$C$42, 30, 30))/1000000</f>
        <v>11.673914999999997</v>
      </c>
      <c r="V628" s="58">
        <f>(1000*CHOOSE(CONTROL!$C$42, 500, 500)*CHOOSE(CONTROL!$C$42, 0.275, 0.275)*CHOOSE(CONTROL!$C$42, 30, 30))/1000000</f>
        <v>4.125</v>
      </c>
      <c r="W628" s="58">
        <f>(1000*CHOOSE(CONTROL!$C$42, 0.1146, 0.1146)*CHOOSE(CONTROL!$C$42, 121.5, 121.5)*CHOOSE(CONTROL!$C$42, 30, 30))/1000000</f>
        <v>0.417717</v>
      </c>
      <c r="X628" s="58">
        <f>(30*0.1790888*245000/1000000)+(30*0.2374*100000/1000000)</f>
        <v>2.0285026799999999</v>
      </c>
      <c r="Y628" s="58"/>
      <c r="Z628" s="10"/>
      <c r="AA628" s="57"/>
      <c r="AB628" s="51">
        <f>(B628*141.293+C628*267.993+D628*115.016+E628*89.698+F628*40+G628*185+H628*0+I628*100+J628*300)/(141.293+267.993+115.016+89.698+0+40+185+100+300)</f>
        <v>18.609661395964487</v>
      </c>
      <c r="AC628" s="27">
        <f>(M628*'RAP TEMPLATE-GAS AVAILABILITY'!O627+N628*'RAP TEMPLATE-GAS AVAILABILITY'!P627+O628*'RAP TEMPLATE-GAS AVAILABILITY'!Q627+P628*'RAP TEMPLATE-GAS AVAILABILITY'!R627)/('RAP TEMPLATE-GAS AVAILABILITY'!O627+'RAP TEMPLATE-GAS AVAILABILITY'!P627+'RAP TEMPLATE-GAS AVAILABILITY'!Q627+'RAP TEMPLATE-GAS AVAILABILITY'!R627)</f>
        <v>18.491317985611506</v>
      </c>
    </row>
    <row r="629" spans="1:29" ht="15.75" x14ac:dyDescent="0.25">
      <c r="A629" s="13">
        <v>60418</v>
      </c>
      <c r="B629" s="10">
        <f>CHOOSE(CONTROL!$C$42, 18.7471, 18.7471) * CHOOSE(CONTROL!$C$21, $C$9, 100%, $E$9)</f>
        <v>18.7471</v>
      </c>
      <c r="C629" s="10">
        <f>CHOOSE(CONTROL!$C$42, 18.7551, 18.7551) * CHOOSE(CONTROL!$C$21, $C$9, 100%, $E$9)</f>
        <v>18.755099999999999</v>
      </c>
      <c r="D629" s="10">
        <f>CHOOSE(CONTROL!$C$42, 18.9336, 18.9336) * CHOOSE(CONTROL!$C$21, $C$9, 100%, $E$9)</f>
        <v>18.933599999999998</v>
      </c>
      <c r="E629" s="10">
        <f>CHOOSE(CONTROL!$C$42, 18.9647, 18.9647) * CHOOSE(CONTROL!$C$21, $C$9, 100%, $E$9)</f>
        <v>18.964700000000001</v>
      </c>
      <c r="F629" s="10">
        <f>CHOOSE(CONTROL!$C$42, 18.7333, 18.7333)*CHOOSE(CONTROL!$C$21, $C$9, 100%, $E$9)</f>
        <v>18.7333</v>
      </c>
      <c r="G629" s="10">
        <f>CHOOSE(CONTROL!$C$42, 18.7515, 18.7515)*CHOOSE(CONTROL!$C$21, $C$9, 100%, $E$9)</f>
        <v>18.7515</v>
      </c>
      <c r="H629" s="10">
        <f>CHOOSE(CONTROL!$C$42, 18.9534, 18.9534) * CHOOSE(CONTROL!$C$21, $C$9, 100%, $E$9)</f>
        <v>18.953399999999998</v>
      </c>
      <c r="I629" s="10">
        <f>CHOOSE(CONTROL!$C$42, 18.724, 18.724)* CHOOSE(CONTROL!$C$21, $C$9, 100%, $E$9)</f>
        <v>18.724</v>
      </c>
      <c r="J629" s="10">
        <f>CHOOSE(CONTROL!$C$42, 18.7263, 18.7263)* CHOOSE(CONTROL!$C$21, $C$9, 100%, $E$9)</f>
        <v>18.726299999999998</v>
      </c>
      <c r="K629" s="54">
        <f>CHOOSE(CONTROL!$C$42, 18.7201, 18.7201) * CHOOSE(CONTROL!$C$21, $C$9, 100%, $E$9)</f>
        <v>18.720099999999999</v>
      </c>
      <c r="L629" s="10">
        <f>CHOOSE(CONTROL!$C$42, 19.5404, 19.5404) * CHOOSE(CONTROL!$C$21, $C$9, 100%, $E$9)</f>
        <v>19.540400000000002</v>
      </c>
      <c r="M629" s="10">
        <f>CHOOSE(CONTROL!$C$42, 18.5512, 18.5512) * CHOOSE(CONTROL!$C$21, $C$9, 100%, $E$9)</f>
        <v>18.551200000000001</v>
      </c>
      <c r="N629" s="10">
        <f>CHOOSE(CONTROL!$C$42, 18.5692, 18.5692) * CHOOSE(CONTROL!$C$21, $C$9, 100%, $E$9)</f>
        <v>18.569199999999999</v>
      </c>
      <c r="O629" s="10">
        <f>CHOOSE(CONTROL!$C$42, 18.7759, 18.7759) * CHOOSE(CONTROL!$C$21, $C$9, 100%, $E$9)</f>
        <v>18.7759</v>
      </c>
      <c r="P629" s="10">
        <f>CHOOSE(CONTROL!$C$42, 18.5489, 18.5489) * CHOOSE(CONTROL!$C$21, $C$9, 100%, $E$9)</f>
        <v>18.5489</v>
      </c>
      <c r="Q629" s="10">
        <f>CHOOSE(CONTROL!$C$42, 19.3712, 19.3712) * CHOOSE(CONTROL!$C$21, $C$9, 100%, $E$9)</f>
        <v>19.371200000000002</v>
      </c>
      <c r="R629" s="10">
        <f>CHOOSE(CONTROL!$C$42, 20.0066, 20.0066) * CHOOSE(CONTROL!$C$21, $C$9, 100%, $E$9)</f>
        <v>20.006599999999999</v>
      </c>
      <c r="S629" s="10">
        <f>CHOOSE(CONTROL!$C$42, 18.2011, 18.2011) * CHOOSE(CONTROL!$C$21, $C$9, 100%, $E$9)</f>
        <v>18.2011</v>
      </c>
      <c r="T629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29" s="58">
        <f>(1000*CHOOSE(CONTROL!$C$42, 695, 695)*CHOOSE(CONTROL!$C$42, 0.5599, 0.5599)*CHOOSE(CONTROL!$C$42, 31, 31))/1000000</f>
        <v>12.063045499999998</v>
      </c>
      <c r="V629" s="58">
        <f>(1000*CHOOSE(CONTROL!$C$42, 500, 500)*CHOOSE(CONTROL!$C$42, 0.275, 0.275)*CHOOSE(CONTROL!$C$42, 31, 31))/1000000</f>
        <v>4.2625000000000002</v>
      </c>
      <c r="W629" s="58">
        <f>(1000*CHOOSE(CONTROL!$C$42, 0.1146, 0.1146)*CHOOSE(CONTROL!$C$42, 121.5, 121.5)*CHOOSE(CONTROL!$C$42, 31, 31))/1000000</f>
        <v>0.43164089999999994</v>
      </c>
      <c r="X629" s="58">
        <f>(31*0.1790888*245000/1000000)+(31*0.2374*100000/1000000)</f>
        <v>2.0961194359999999</v>
      </c>
      <c r="Y629" s="58"/>
      <c r="Z629" s="10"/>
      <c r="AA629" s="57"/>
      <c r="AB629" s="51">
        <f>(B629*194.205+C629*267.466+D629*133.845+E629*53.484+F629*40+G629*185+H629*0+I629*100+J629*300)/(194.205+267.466+133.845+53.484+0+40+185+100+300)</f>
        <v>18.77100262080063</v>
      </c>
      <c r="AC629" s="27">
        <f>(M629*'RAP TEMPLATE-GAS AVAILABILITY'!O628+N629*'RAP TEMPLATE-GAS AVAILABILITY'!P628+O629*'RAP TEMPLATE-GAS AVAILABILITY'!Q628+P629*'RAP TEMPLATE-GAS AVAILABILITY'!R628)/('RAP TEMPLATE-GAS AVAILABILITY'!O628+'RAP TEMPLATE-GAS AVAILABILITY'!P628+'RAP TEMPLATE-GAS AVAILABILITY'!Q628+'RAP TEMPLATE-GAS AVAILABILITY'!R628)</f>
        <v>18.653747482014392</v>
      </c>
    </row>
    <row r="630" spans="1:29" ht="15.75" x14ac:dyDescent="0.25">
      <c r="A630" s="13">
        <v>60448</v>
      </c>
      <c r="B630" s="10">
        <f>CHOOSE(CONTROL!$C$42, 19.2788, 19.2788) * CHOOSE(CONTROL!$C$21, $C$9, 100%, $E$9)</f>
        <v>19.2788</v>
      </c>
      <c r="C630" s="10">
        <f>CHOOSE(CONTROL!$C$42, 19.2867, 19.2867) * CHOOSE(CONTROL!$C$21, $C$9, 100%, $E$9)</f>
        <v>19.2867</v>
      </c>
      <c r="D630" s="10">
        <f>CHOOSE(CONTROL!$C$42, 19.4652, 19.4652) * CHOOSE(CONTROL!$C$21, $C$9, 100%, $E$9)</f>
        <v>19.465199999999999</v>
      </c>
      <c r="E630" s="10">
        <f>CHOOSE(CONTROL!$C$42, 19.4964, 19.4964) * CHOOSE(CONTROL!$C$21, $C$9, 100%, $E$9)</f>
        <v>19.496400000000001</v>
      </c>
      <c r="F630" s="10">
        <f>CHOOSE(CONTROL!$C$42, 19.2652, 19.2652)*CHOOSE(CONTROL!$C$21, $C$9, 100%, $E$9)</f>
        <v>19.2652</v>
      </c>
      <c r="G630" s="10">
        <f>CHOOSE(CONTROL!$C$42, 19.2834, 19.2834)*CHOOSE(CONTROL!$C$21, $C$9, 100%, $E$9)</f>
        <v>19.2834</v>
      </c>
      <c r="H630" s="10">
        <f>CHOOSE(CONTROL!$C$42, 19.485, 19.485) * CHOOSE(CONTROL!$C$21, $C$9, 100%, $E$9)</f>
        <v>19.484999999999999</v>
      </c>
      <c r="I630" s="10">
        <f>CHOOSE(CONTROL!$C$42, 19.2556, 19.2556)* CHOOSE(CONTROL!$C$21, $C$9, 100%, $E$9)</f>
        <v>19.255600000000001</v>
      </c>
      <c r="J630" s="10">
        <f>CHOOSE(CONTROL!$C$42, 19.2582, 19.2582)* CHOOSE(CONTROL!$C$21, $C$9, 100%, $E$9)</f>
        <v>19.258199999999999</v>
      </c>
      <c r="K630" s="54">
        <f>CHOOSE(CONTROL!$C$42, 19.2517, 19.2517) * CHOOSE(CONTROL!$C$21, $C$9, 100%, $E$9)</f>
        <v>19.2517</v>
      </c>
      <c r="L630" s="10">
        <f>CHOOSE(CONTROL!$C$42, 20.072, 20.072) * CHOOSE(CONTROL!$C$21, $C$9, 100%, $E$9)</f>
        <v>20.071999999999999</v>
      </c>
      <c r="M630" s="10">
        <f>CHOOSE(CONTROL!$C$42, 19.0777, 19.0777) * CHOOSE(CONTROL!$C$21, $C$9, 100%, $E$9)</f>
        <v>19.0777</v>
      </c>
      <c r="N630" s="10">
        <f>CHOOSE(CONTROL!$C$42, 19.0957, 19.0957) * CHOOSE(CONTROL!$C$21, $C$9, 100%, $E$9)</f>
        <v>19.095700000000001</v>
      </c>
      <c r="O630" s="10">
        <f>CHOOSE(CONTROL!$C$42, 19.3022, 19.3022) * CHOOSE(CONTROL!$C$21, $C$9, 100%, $E$9)</f>
        <v>19.302199999999999</v>
      </c>
      <c r="P630" s="10">
        <f>CHOOSE(CONTROL!$C$42, 19.0752, 19.0752) * CHOOSE(CONTROL!$C$21, $C$9, 100%, $E$9)</f>
        <v>19.075199999999999</v>
      </c>
      <c r="Q630" s="10">
        <f>CHOOSE(CONTROL!$C$42, 19.8975, 19.8975) * CHOOSE(CONTROL!$C$21, $C$9, 100%, $E$9)</f>
        <v>19.897500000000001</v>
      </c>
      <c r="R630" s="10">
        <f>CHOOSE(CONTROL!$C$42, 20.5342, 20.5342) * CHOOSE(CONTROL!$C$21, $C$9, 100%, $E$9)</f>
        <v>20.534199999999998</v>
      </c>
      <c r="S630" s="10">
        <f>CHOOSE(CONTROL!$C$42, 18.7174, 18.7174) * CHOOSE(CONTROL!$C$21, $C$9, 100%, $E$9)</f>
        <v>18.717400000000001</v>
      </c>
      <c r="T630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30" s="58">
        <f>(1000*CHOOSE(CONTROL!$C$42, 695, 695)*CHOOSE(CONTROL!$C$42, 0.5599, 0.5599)*CHOOSE(CONTROL!$C$42, 30, 30))/1000000</f>
        <v>11.673914999999997</v>
      </c>
      <c r="V630" s="58">
        <f>(1000*CHOOSE(CONTROL!$C$42, 500, 500)*CHOOSE(CONTROL!$C$42, 0.275, 0.275)*CHOOSE(CONTROL!$C$42, 30, 30))/1000000</f>
        <v>4.125</v>
      </c>
      <c r="W630" s="58">
        <f>(1000*CHOOSE(CONTROL!$C$42, 0.1146, 0.1146)*CHOOSE(CONTROL!$C$42, 121.5, 121.5)*CHOOSE(CONTROL!$C$42, 30, 30))/1000000</f>
        <v>0.417717</v>
      </c>
      <c r="X630" s="58">
        <f>(30*0.1790888*245000/1000000)+(30*0.2374*100000/1000000)</f>
        <v>2.0285026799999999</v>
      </c>
      <c r="Y630" s="58"/>
      <c r="Z630" s="10"/>
      <c r="AA630" s="57"/>
      <c r="AB630" s="51">
        <f>(B630*194.205+C630*267.466+D630*133.845+E630*53.484+F630*40+G630*185+H630*0+I630*100+J630*300)/(194.205+267.466+133.845+53.484+0+40+185+100+300)</f>
        <v>19.30274568901099</v>
      </c>
      <c r="AC630" s="27">
        <f>(M630*'RAP TEMPLATE-GAS AVAILABILITY'!O629+N630*'RAP TEMPLATE-GAS AVAILABILITY'!P629+O630*'RAP TEMPLATE-GAS AVAILABILITY'!Q629+P630*'RAP TEMPLATE-GAS AVAILABILITY'!R629)/('RAP TEMPLATE-GAS AVAILABILITY'!O629+'RAP TEMPLATE-GAS AVAILABILITY'!P629+'RAP TEMPLATE-GAS AVAILABILITY'!Q629+'RAP TEMPLATE-GAS AVAILABILITY'!R629)</f>
        <v>19.180128057553958</v>
      </c>
    </row>
    <row r="631" spans="1:29" ht="15.75" x14ac:dyDescent="0.25">
      <c r="A631" s="13">
        <v>60479</v>
      </c>
      <c r="B631" s="10">
        <f>CHOOSE(CONTROL!$C$42, 18.909, 18.909) * CHOOSE(CONTROL!$C$21, $C$9, 100%, $E$9)</f>
        <v>18.908999999999999</v>
      </c>
      <c r="C631" s="10">
        <f>CHOOSE(CONTROL!$C$42, 18.9169, 18.9169) * CHOOSE(CONTROL!$C$21, $C$9, 100%, $E$9)</f>
        <v>18.916899999999998</v>
      </c>
      <c r="D631" s="10">
        <f>CHOOSE(CONTROL!$C$42, 19.0955, 19.0955) * CHOOSE(CONTROL!$C$21, $C$9, 100%, $E$9)</f>
        <v>19.095500000000001</v>
      </c>
      <c r="E631" s="10">
        <f>CHOOSE(CONTROL!$C$42, 19.1266, 19.1266) * CHOOSE(CONTROL!$C$21, $C$9, 100%, $E$9)</f>
        <v>19.1266</v>
      </c>
      <c r="F631" s="10">
        <f>CHOOSE(CONTROL!$C$42, 18.8957, 18.8957)*CHOOSE(CONTROL!$C$21, $C$9, 100%, $E$9)</f>
        <v>18.895700000000001</v>
      </c>
      <c r="G631" s="10">
        <f>CHOOSE(CONTROL!$C$42, 18.914, 18.914)*CHOOSE(CONTROL!$C$21, $C$9, 100%, $E$9)</f>
        <v>18.914000000000001</v>
      </c>
      <c r="H631" s="10">
        <f>CHOOSE(CONTROL!$C$42, 19.1152, 19.1152) * CHOOSE(CONTROL!$C$21, $C$9, 100%, $E$9)</f>
        <v>19.115200000000002</v>
      </c>
      <c r="I631" s="10">
        <f>CHOOSE(CONTROL!$C$42, 18.8859, 18.8859)* CHOOSE(CONTROL!$C$21, $C$9, 100%, $E$9)</f>
        <v>18.885899999999999</v>
      </c>
      <c r="J631" s="10">
        <f>CHOOSE(CONTROL!$C$42, 18.8887, 18.8887)* CHOOSE(CONTROL!$C$21, $C$9, 100%, $E$9)</f>
        <v>18.8887</v>
      </c>
      <c r="K631" s="54">
        <f>CHOOSE(CONTROL!$C$42, 18.882, 18.882) * CHOOSE(CONTROL!$C$21, $C$9, 100%, $E$9)</f>
        <v>18.882000000000001</v>
      </c>
      <c r="L631" s="10">
        <f>CHOOSE(CONTROL!$C$42, 19.7022, 19.7022) * CHOOSE(CONTROL!$C$21, $C$9, 100%, $E$9)</f>
        <v>19.702200000000001</v>
      </c>
      <c r="M631" s="10">
        <f>CHOOSE(CONTROL!$C$42, 18.7119, 18.7119) * CHOOSE(CONTROL!$C$21, $C$9, 100%, $E$9)</f>
        <v>18.7119</v>
      </c>
      <c r="N631" s="10">
        <f>CHOOSE(CONTROL!$C$42, 18.7301, 18.7301) * CHOOSE(CONTROL!$C$21, $C$9, 100%, $E$9)</f>
        <v>18.7301</v>
      </c>
      <c r="O631" s="10">
        <f>CHOOSE(CONTROL!$C$42, 18.9362, 18.9362) * CHOOSE(CONTROL!$C$21, $C$9, 100%, $E$9)</f>
        <v>18.936199999999999</v>
      </c>
      <c r="P631" s="10">
        <f>CHOOSE(CONTROL!$C$42, 18.7092, 18.7092) * CHOOSE(CONTROL!$C$21, $C$9, 100%, $E$9)</f>
        <v>18.709199999999999</v>
      </c>
      <c r="Q631" s="10">
        <f>CHOOSE(CONTROL!$C$42, 19.5315, 19.5315) * CHOOSE(CONTROL!$C$21, $C$9, 100%, $E$9)</f>
        <v>19.531500000000001</v>
      </c>
      <c r="R631" s="10">
        <f>CHOOSE(CONTROL!$C$42, 20.1673, 20.1673) * CHOOSE(CONTROL!$C$21, $C$9, 100%, $E$9)</f>
        <v>20.167300000000001</v>
      </c>
      <c r="S631" s="10">
        <f>CHOOSE(CONTROL!$C$42, 18.3583, 18.3583) * CHOOSE(CONTROL!$C$21, $C$9, 100%, $E$9)</f>
        <v>18.3583</v>
      </c>
      <c r="T631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31" s="58">
        <f>(1000*CHOOSE(CONTROL!$C$42, 695, 695)*CHOOSE(CONTROL!$C$42, 0.5599, 0.5599)*CHOOSE(CONTROL!$C$42, 31, 31))/1000000</f>
        <v>12.063045499999998</v>
      </c>
      <c r="V631" s="58">
        <f>(1000*CHOOSE(CONTROL!$C$42, 500, 500)*CHOOSE(CONTROL!$C$42, 0.275, 0.275)*CHOOSE(CONTROL!$C$42, 31, 31))/1000000</f>
        <v>4.2625000000000002</v>
      </c>
      <c r="W631" s="58">
        <f>(1000*CHOOSE(CONTROL!$C$42, 0.1146, 0.1146)*CHOOSE(CONTROL!$C$42, 121.5, 121.5)*CHOOSE(CONTROL!$C$42, 31, 31))/1000000</f>
        <v>0.43164089999999994</v>
      </c>
      <c r="X631" s="58">
        <f>(31*0.1790888*245000/1000000)+(31*0.2374*100000/1000000)</f>
        <v>2.0961194359999999</v>
      </c>
      <c r="Y631" s="58"/>
      <c r="Z631" s="10"/>
      <c r="AA631" s="57"/>
      <c r="AB631" s="51">
        <f>(B631*194.205+C631*267.466+D631*133.845+E631*53.484+F631*40+G631*185+H631*0+I631*100+J631*300)/(194.205+267.466+133.845+53.484+0+40+185+100+300)</f>
        <v>18.933102191758245</v>
      </c>
      <c r="AC631" s="27">
        <f>(M631*'RAP TEMPLATE-GAS AVAILABILITY'!O630+N631*'RAP TEMPLATE-GAS AVAILABILITY'!P630+O631*'RAP TEMPLATE-GAS AVAILABILITY'!Q630+P631*'RAP TEMPLATE-GAS AVAILABILITY'!R630)/('RAP TEMPLATE-GAS AVAILABILITY'!O630+'RAP TEMPLATE-GAS AVAILABILITY'!P630+'RAP TEMPLATE-GAS AVAILABILITY'!Q630+'RAP TEMPLATE-GAS AVAILABILITY'!R630)</f>
        <v>18.814220143884892</v>
      </c>
    </row>
    <row r="632" spans="1:29" ht="15.75" x14ac:dyDescent="0.25">
      <c r="A632" s="13">
        <v>60510</v>
      </c>
      <c r="B632" s="10">
        <f>CHOOSE(CONTROL!$C$42, 17.9753, 17.9753) * CHOOSE(CONTROL!$C$21, $C$9, 100%, $E$9)</f>
        <v>17.975300000000001</v>
      </c>
      <c r="C632" s="10">
        <f>CHOOSE(CONTROL!$C$42, 17.9832, 17.9832) * CHOOSE(CONTROL!$C$21, $C$9, 100%, $E$9)</f>
        <v>17.9832</v>
      </c>
      <c r="D632" s="10">
        <f>CHOOSE(CONTROL!$C$42, 18.1617, 18.1617) * CHOOSE(CONTROL!$C$21, $C$9, 100%, $E$9)</f>
        <v>18.1617</v>
      </c>
      <c r="E632" s="10">
        <f>CHOOSE(CONTROL!$C$42, 18.1929, 18.1929) * CHOOSE(CONTROL!$C$21, $C$9, 100%, $E$9)</f>
        <v>18.192900000000002</v>
      </c>
      <c r="F632" s="10">
        <f>CHOOSE(CONTROL!$C$42, 17.9619, 17.9619)*CHOOSE(CONTROL!$C$21, $C$9, 100%, $E$9)</f>
        <v>17.9619</v>
      </c>
      <c r="G632" s="10">
        <f>CHOOSE(CONTROL!$C$42, 17.9802, 17.9802)*CHOOSE(CONTROL!$C$21, $C$9, 100%, $E$9)</f>
        <v>17.9802</v>
      </c>
      <c r="H632" s="10">
        <f>CHOOSE(CONTROL!$C$42, 18.1815, 18.1815) * CHOOSE(CONTROL!$C$21, $C$9, 100%, $E$9)</f>
        <v>18.1815</v>
      </c>
      <c r="I632" s="10">
        <f>CHOOSE(CONTROL!$C$42, 17.9521, 17.9521)* CHOOSE(CONTROL!$C$21, $C$9, 100%, $E$9)</f>
        <v>17.952100000000002</v>
      </c>
      <c r="J632" s="10">
        <f>CHOOSE(CONTROL!$C$42, 17.9549, 17.9549)* CHOOSE(CONTROL!$C$21, $C$9, 100%, $E$9)</f>
        <v>17.954899999999999</v>
      </c>
      <c r="K632" s="54">
        <f>CHOOSE(CONTROL!$C$42, 17.9483, 17.9483) * CHOOSE(CONTROL!$C$21, $C$9, 100%, $E$9)</f>
        <v>17.9483</v>
      </c>
      <c r="L632" s="10">
        <f>CHOOSE(CONTROL!$C$42, 18.7685, 18.7685) * CHOOSE(CONTROL!$C$21, $C$9, 100%, $E$9)</f>
        <v>18.7685</v>
      </c>
      <c r="M632" s="10">
        <f>CHOOSE(CONTROL!$C$42, 17.7875, 17.7875) * CHOOSE(CONTROL!$C$21, $C$9, 100%, $E$9)</f>
        <v>17.787500000000001</v>
      </c>
      <c r="N632" s="10">
        <f>CHOOSE(CONTROL!$C$42, 17.8057, 17.8057) * CHOOSE(CONTROL!$C$21, $C$9, 100%, $E$9)</f>
        <v>17.805700000000002</v>
      </c>
      <c r="O632" s="10">
        <f>CHOOSE(CONTROL!$C$42, 18.0118, 18.0118) * CHOOSE(CONTROL!$C$21, $C$9, 100%, $E$9)</f>
        <v>18.011800000000001</v>
      </c>
      <c r="P632" s="10">
        <f>CHOOSE(CONTROL!$C$42, 17.7848, 17.7848) * CHOOSE(CONTROL!$C$21, $C$9, 100%, $E$9)</f>
        <v>17.784800000000001</v>
      </c>
      <c r="Q632" s="10">
        <f>CHOOSE(CONTROL!$C$42, 18.6071, 18.6071) * CHOOSE(CONTROL!$C$21, $C$9, 100%, $E$9)</f>
        <v>18.607099999999999</v>
      </c>
      <c r="R632" s="10">
        <f>CHOOSE(CONTROL!$C$42, 19.2407, 19.2407) * CHOOSE(CONTROL!$C$21, $C$9, 100%, $E$9)</f>
        <v>19.2407</v>
      </c>
      <c r="S632" s="10">
        <f>CHOOSE(CONTROL!$C$42, 17.4515, 17.4515) * CHOOSE(CONTROL!$C$21, $C$9, 100%, $E$9)</f>
        <v>17.451499999999999</v>
      </c>
      <c r="T632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32" s="58">
        <f>(1000*CHOOSE(CONTROL!$C$42, 695, 695)*CHOOSE(CONTROL!$C$42, 0.5599, 0.5599)*CHOOSE(CONTROL!$C$42, 31, 31))/1000000</f>
        <v>12.063045499999998</v>
      </c>
      <c r="V632" s="58">
        <f>(1000*CHOOSE(CONTROL!$C$42, 500, 500)*CHOOSE(CONTROL!$C$42, 0.275, 0.275)*CHOOSE(CONTROL!$C$42, 31, 31))/1000000</f>
        <v>4.2625000000000002</v>
      </c>
      <c r="W632" s="58">
        <f>(1000*CHOOSE(CONTROL!$C$42, 0.1146, 0.1146)*CHOOSE(CONTROL!$C$42, 121.5, 121.5)*CHOOSE(CONTROL!$C$42, 31, 31))/1000000</f>
        <v>0.43164089999999994</v>
      </c>
      <c r="X632" s="58">
        <f>(31*0.1790888*245000/1000000)+(31*0.2374*100000/1000000)</f>
        <v>2.0961194359999999</v>
      </c>
      <c r="Y632" s="58"/>
      <c r="Z632" s="10"/>
      <c r="AA632" s="57"/>
      <c r="AB632" s="51">
        <f>(B632*194.205+C632*267.466+D632*133.845+E632*53.484+F632*40+G632*185+H632*0+I632*100+J632*300)/(194.205+267.466+133.845+53.484+0+40+185+100+300)</f>
        <v>17.999342627786501</v>
      </c>
      <c r="AC632" s="27">
        <f>(M632*'RAP TEMPLATE-GAS AVAILABILITY'!O631+N632*'RAP TEMPLATE-GAS AVAILABILITY'!P631+O632*'RAP TEMPLATE-GAS AVAILABILITY'!Q631+P632*'RAP TEMPLATE-GAS AVAILABILITY'!R631)/('RAP TEMPLATE-GAS AVAILABILITY'!O631+'RAP TEMPLATE-GAS AVAILABILITY'!P631+'RAP TEMPLATE-GAS AVAILABILITY'!Q631+'RAP TEMPLATE-GAS AVAILABILITY'!R631)</f>
        <v>17.88982014388489</v>
      </c>
    </row>
    <row r="633" spans="1:29" ht="15.75" x14ac:dyDescent="0.25">
      <c r="A633" s="13">
        <v>60540</v>
      </c>
      <c r="B633" s="10">
        <f>CHOOSE(CONTROL!$C$42, 16.8344, 16.8344) * CHOOSE(CONTROL!$C$21, $C$9, 100%, $E$9)</f>
        <v>16.834399999999999</v>
      </c>
      <c r="C633" s="10">
        <f>CHOOSE(CONTROL!$C$42, 16.8423, 16.8423) * CHOOSE(CONTROL!$C$21, $C$9, 100%, $E$9)</f>
        <v>16.842300000000002</v>
      </c>
      <c r="D633" s="10">
        <f>CHOOSE(CONTROL!$C$42, 17.0209, 17.0209) * CHOOSE(CONTROL!$C$21, $C$9, 100%, $E$9)</f>
        <v>17.020900000000001</v>
      </c>
      <c r="E633" s="10">
        <f>CHOOSE(CONTROL!$C$42, 17.052, 17.052) * CHOOSE(CONTROL!$C$21, $C$9, 100%, $E$9)</f>
        <v>17.052</v>
      </c>
      <c r="F633" s="10">
        <f>CHOOSE(CONTROL!$C$42, 16.8208, 16.8208)*CHOOSE(CONTROL!$C$21, $C$9, 100%, $E$9)</f>
        <v>16.820799999999998</v>
      </c>
      <c r="G633" s="10">
        <f>CHOOSE(CONTROL!$C$42, 16.839, 16.839)*CHOOSE(CONTROL!$C$21, $C$9, 100%, $E$9)</f>
        <v>16.838999999999999</v>
      </c>
      <c r="H633" s="10">
        <f>CHOOSE(CONTROL!$C$42, 17.0406, 17.0406) * CHOOSE(CONTROL!$C$21, $C$9, 100%, $E$9)</f>
        <v>17.040600000000001</v>
      </c>
      <c r="I633" s="10">
        <f>CHOOSE(CONTROL!$C$42, 16.8113, 16.8113)* CHOOSE(CONTROL!$C$21, $C$9, 100%, $E$9)</f>
        <v>16.811299999999999</v>
      </c>
      <c r="J633" s="10">
        <f>CHOOSE(CONTROL!$C$42, 16.8138, 16.8138)* CHOOSE(CONTROL!$C$21, $C$9, 100%, $E$9)</f>
        <v>16.813800000000001</v>
      </c>
      <c r="K633" s="54">
        <f>CHOOSE(CONTROL!$C$42, 16.8074, 16.8074) * CHOOSE(CONTROL!$C$21, $C$9, 100%, $E$9)</f>
        <v>16.807400000000001</v>
      </c>
      <c r="L633" s="10">
        <f>CHOOSE(CONTROL!$C$42, 17.6276, 17.6276) * CHOOSE(CONTROL!$C$21, $C$9, 100%, $E$9)</f>
        <v>17.627600000000001</v>
      </c>
      <c r="M633" s="10">
        <f>CHOOSE(CONTROL!$C$42, 16.6579, 16.6579) * CHOOSE(CONTROL!$C$21, $C$9, 100%, $E$9)</f>
        <v>16.657900000000001</v>
      </c>
      <c r="N633" s="10">
        <f>CHOOSE(CONTROL!$C$42, 16.676, 16.676) * CHOOSE(CONTROL!$C$21, $C$9, 100%, $E$9)</f>
        <v>16.675999999999998</v>
      </c>
      <c r="O633" s="10">
        <f>CHOOSE(CONTROL!$C$42, 16.8825, 16.8825) * CHOOSE(CONTROL!$C$21, $C$9, 100%, $E$9)</f>
        <v>16.8825</v>
      </c>
      <c r="P633" s="10">
        <f>CHOOSE(CONTROL!$C$42, 16.6555, 16.6555) * CHOOSE(CONTROL!$C$21, $C$9, 100%, $E$9)</f>
        <v>16.6555</v>
      </c>
      <c r="Q633" s="10">
        <f>CHOOSE(CONTROL!$C$42, 17.4778, 17.4778) * CHOOSE(CONTROL!$C$21, $C$9, 100%, $E$9)</f>
        <v>17.477799999999998</v>
      </c>
      <c r="R633" s="10">
        <f>CHOOSE(CONTROL!$C$42, 18.1085, 18.1085) * CHOOSE(CONTROL!$C$21, $C$9, 100%, $E$9)</f>
        <v>18.108499999999999</v>
      </c>
      <c r="S633" s="10">
        <f>CHOOSE(CONTROL!$C$42, 16.3436, 16.3436) * CHOOSE(CONTROL!$C$21, $C$9, 100%, $E$9)</f>
        <v>16.343599999999999</v>
      </c>
      <c r="T633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33" s="58">
        <f>(1000*CHOOSE(CONTROL!$C$42, 695, 695)*CHOOSE(CONTROL!$C$42, 0.5599, 0.5599)*CHOOSE(CONTROL!$C$42, 30, 30))/1000000</f>
        <v>11.673914999999997</v>
      </c>
      <c r="V633" s="58">
        <f>(1000*CHOOSE(CONTROL!$C$42, 500, 500)*CHOOSE(CONTROL!$C$42, 0.275, 0.275)*CHOOSE(CONTROL!$C$42, 30, 30))/1000000</f>
        <v>4.125</v>
      </c>
      <c r="W633" s="58">
        <f>(1000*CHOOSE(CONTROL!$C$42, 0.1146, 0.1146)*CHOOSE(CONTROL!$C$42, 121.5, 121.5)*CHOOSE(CONTROL!$C$42, 30, 30))/1000000</f>
        <v>0.417717</v>
      </c>
      <c r="X633" s="58">
        <f>(30*0.1790888*245000/1000000)+(30*0.2374*100000/1000000)</f>
        <v>2.0285026799999999</v>
      </c>
      <c r="Y633" s="58"/>
      <c r="Z633" s="10"/>
      <c r="AA633" s="57"/>
      <c r="AB633" s="51">
        <f>(B633*194.205+C633*267.466+D633*133.845+E633*53.484+F633*40+G633*185+H633*0+I633*100+J633*300)/(194.205+267.466+133.845+53.484+0+40+185+100+300)</f>
        <v>16.858364044191525</v>
      </c>
      <c r="AC633" s="27">
        <f>(M633*'RAP TEMPLATE-GAS AVAILABILITY'!O632+N633*'RAP TEMPLATE-GAS AVAILABILITY'!P632+O633*'RAP TEMPLATE-GAS AVAILABILITY'!Q632+P633*'RAP TEMPLATE-GAS AVAILABILITY'!R632)/('RAP TEMPLATE-GAS AVAILABILITY'!O632+'RAP TEMPLATE-GAS AVAILABILITY'!P632+'RAP TEMPLATE-GAS AVAILABILITY'!Q632+'RAP TEMPLATE-GAS AVAILABILITY'!R632)</f>
        <v>16.760393525179857</v>
      </c>
    </row>
    <row r="634" spans="1:29" ht="15.75" x14ac:dyDescent="0.25">
      <c r="A634" s="13">
        <v>60571</v>
      </c>
      <c r="B634" s="10">
        <f>CHOOSE(CONTROL!$C$42, 16.4906, 16.4906) * CHOOSE(CONTROL!$C$21, $C$9, 100%, $E$9)</f>
        <v>16.490600000000001</v>
      </c>
      <c r="C634" s="10">
        <f>CHOOSE(CONTROL!$C$42, 16.4958, 16.4958) * CHOOSE(CONTROL!$C$21, $C$9, 100%, $E$9)</f>
        <v>16.495799999999999</v>
      </c>
      <c r="D634" s="10">
        <f>CHOOSE(CONTROL!$C$42, 16.6793, 16.6793) * CHOOSE(CONTROL!$C$21, $C$9, 100%, $E$9)</f>
        <v>16.679300000000001</v>
      </c>
      <c r="E634" s="10">
        <f>CHOOSE(CONTROL!$C$42, 16.7081, 16.7081) * CHOOSE(CONTROL!$C$21, $C$9, 100%, $E$9)</f>
        <v>16.708100000000002</v>
      </c>
      <c r="F634" s="10">
        <f>CHOOSE(CONTROL!$C$42, 16.4789, 16.4789)*CHOOSE(CONTROL!$C$21, $C$9, 100%, $E$9)</f>
        <v>16.478899999999999</v>
      </c>
      <c r="G634" s="10">
        <f>CHOOSE(CONTROL!$C$42, 16.4968, 16.4968)*CHOOSE(CONTROL!$C$21, $C$9, 100%, $E$9)</f>
        <v>16.4968</v>
      </c>
      <c r="H634" s="10">
        <f>CHOOSE(CONTROL!$C$42, 16.6985, 16.6985) * CHOOSE(CONTROL!$C$21, $C$9, 100%, $E$9)</f>
        <v>16.698499999999999</v>
      </c>
      <c r="I634" s="10">
        <f>CHOOSE(CONTROL!$C$42, 16.4692, 16.4692)* CHOOSE(CONTROL!$C$21, $C$9, 100%, $E$9)</f>
        <v>16.469200000000001</v>
      </c>
      <c r="J634" s="10">
        <f>CHOOSE(CONTROL!$C$42, 16.4719, 16.4719)* CHOOSE(CONTROL!$C$21, $C$9, 100%, $E$9)</f>
        <v>16.471900000000002</v>
      </c>
      <c r="K634" s="54">
        <f>CHOOSE(CONTROL!$C$42, 16.4653, 16.4653) * CHOOSE(CONTROL!$C$21, $C$9, 100%, $E$9)</f>
        <v>16.465299999999999</v>
      </c>
      <c r="L634" s="10">
        <f>CHOOSE(CONTROL!$C$42, 17.2855, 17.2855) * CHOOSE(CONTROL!$C$21, $C$9, 100%, $E$9)</f>
        <v>17.285499999999999</v>
      </c>
      <c r="M634" s="10">
        <f>CHOOSE(CONTROL!$C$42, 16.3195, 16.3195) * CHOOSE(CONTROL!$C$21, $C$9, 100%, $E$9)</f>
        <v>16.319500000000001</v>
      </c>
      <c r="N634" s="10">
        <f>CHOOSE(CONTROL!$C$42, 16.3372, 16.3372) * CHOOSE(CONTROL!$C$21, $C$9, 100%, $E$9)</f>
        <v>16.337199999999999</v>
      </c>
      <c r="O634" s="10">
        <f>CHOOSE(CONTROL!$C$42, 16.5439, 16.5439) * CHOOSE(CONTROL!$C$21, $C$9, 100%, $E$9)</f>
        <v>16.543900000000001</v>
      </c>
      <c r="P634" s="10">
        <f>CHOOSE(CONTROL!$C$42, 16.3169, 16.3169) * CHOOSE(CONTROL!$C$21, $C$9, 100%, $E$9)</f>
        <v>16.3169</v>
      </c>
      <c r="Q634" s="10">
        <f>CHOOSE(CONTROL!$C$42, 17.1392, 17.1392) * CHOOSE(CONTROL!$C$21, $C$9, 100%, $E$9)</f>
        <v>17.139199999999999</v>
      </c>
      <c r="R634" s="10">
        <f>CHOOSE(CONTROL!$C$42, 17.769, 17.769) * CHOOSE(CONTROL!$C$21, $C$9, 100%, $E$9)</f>
        <v>17.768999999999998</v>
      </c>
      <c r="S634" s="10">
        <f>CHOOSE(CONTROL!$C$42, 16.0115, 16.0115) * CHOOSE(CONTROL!$C$21, $C$9, 100%, $E$9)</f>
        <v>16.011500000000002</v>
      </c>
      <c r="T634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634" s="58">
        <f>(1000*CHOOSE(CONTROL!$C$42, 695, 695)*CHOOSE(CONTROL!$C$42, 0.5599, 0.5599)*CHOOSE(CONTROL!$C$42, 31, 31))/1000000</f>
        <v>12.063045499999998</v>
      </c>
      <c r="V634" s="58">
        <f>(1000*CHOOSE(CONTROL!$C$42, 500, 500)*CHOOSE(CONTROL!$C$42, 0.275, 0.275)*CHOOSE(CONTROL!$C$42, 31, 31))/1000000</f>
        <v>4.2625000000000002</v>
      </c>
      <c r="W634" s="58">
        <f>(1000*CHOOSE(CONTROL!$C$42, 0.1146, 0.1146)*CHOOSE(CONTROL!$C$42, 121.5, 121.5)*CHOOSE(CONTROL!$C$42, 31, 31))/1000000</f>
        <v>0.43164089999999994</v>
      </c>
      <c r="X634" s="58">
        <f>(31*0.1790888*245000/1000000)+(31*0.2374*100000/1000000)</f>
        <v>2.0961194359999999</v>
      </c>
      <c r="Y634" s="58"/>
      <c r="Z634" s="10"/>
      <c r="AA634" s="57"/>
      <c r="AB634" s="51">
        <f>(B634*131.881+C634*277.167+D634*79.08+E634*125.872+F634*40+G634*185+H634*0+I634*100+J634*300)/(131.881+277.167+79.08+125.872+0+40+185+100+300)</f>
        <v>16.520196307021791</v>
      </c>
      <c r="AC634" s="27">
        <f>(M634*'RAP TEMPLATE-GAS AVAILABILITY'!O633+N634*'RAP TEMPLATE-GAS AVAILABILITY'!P633+O634*'RAP TEMPLATE-GAS AVAILABILITY'!Q633+P634*'RAP TEMPLATE-GAS AVAILABILITY'!R633)/('RAP TEMPLATE-GAS AVAILABILITY'!O633+'RAP TEMPLATE-GAS AVAILABILITY'!P633+'RAP TEMPLATE-GAS AVAILABILITY'!Q633+'RAP TEMPLATE-GAS AVAILABILITY'!R633)</f>
        <v>16.421851079136694</v>
      </c>
    </row>
    <row r="635" spans="1:29" ht="15.75" x14ac:dyDescent="0.25">
      <c r="A635" s="13">
        <v>60601</v>
      </c>
      <c r="B635" s="10">
        <f>CHOOSE(CONTROL!$C$42, 16.9245, 16.9245) * CHOOSE(CONTROL!$C$21, $C$9, 100%, $E$9)</f>
        <v>16.924499999999998</v>
      </c>
      <c r="C635" s="10">
        <f>CHOOSE(CONTROL!$C$42, 16.9295, 16.9295) * CHOOSE(CONTROL!$C$21, $C$9, 100%, $E$9)</f>
        <v>16.929500000000001</v>
      </c>
      <c r="D635" s="10">
        <f>CHOOSE(CONTROL!$C$42, 16.9591, 16.9591) * CHOOSE(CONTROL!$C$21, $C$9, 100%, $E$9)</f>
        <v>16.959099999999999</v>
      </c>
      <c r="E635" s="10">
        <f>CHOOSE(CONTROL!$C$42, 16.9928, 16.9928) * CHOOSE(CONTROL!$C$21, $C$9, 100%, $E$9)</f>
        <v>16.992799999999999</v>
      </c>
      <c r="F635" s="10">
        <f>CHOOSE(CONTROL!$C$42, 16.9103, 16.9103)*CHOOSE(CONTROL!$C$21, $C$9, 100%, $E$9)</f>
        <v>16.910299999999999</v>
      </c>
      <c r="G635" s="10">
        <f>CHOOSE(CONTROL!$C$42, 16.9283, 16.9283)*CHOOSE(CONTROL!$C$21, $C$9, 100%, $E$9)</f>
        <v>16.9283</v>
      </c>
      <c r="H635" s="10">
        <f>CHOOSE(CONTROL!$C$42, 16.982, 16.982) * CHOOSE(CONTROL!$C$21, $C$9, 100%, $E$9)</f>
        <v>16.981999999999999</v>
      </c>
      <c r="I635" s="10">
        <f>CHOOSE(CONTROL!$C$42, 16.8907, 16.8907)* CHOOSE(CONTROL!$C$21, $C$9, 100%, $E$9)</f>
        <v>16.890699999999999</v>
      </c>
      <c r="J635" s="10">
        <f>CHOOSE(CONTROL!$C$42, 16.9033, 16.9033)* CHOOSE(CONTROL!$C$21, $C$9, 100%, $E$9)</f>
        <v>16.903300000000002</v>
      </c>
      <c r="K635" s="54">
        <f>CHOOSE(CONTROL!$C$42, 16.8868, 16.8868) * CHOOSE(CONTROL!$C$21, $C$9, 100%, $E$9)</f>
        <v>16.886800000000001</v>
      </c>
      <c r="L635" s="10">
        <f>CHOOSE(CONTROL!$C$42, 17.569, 17.569) * CHOOSE(CONTROL!$C$21, $C$9, 100%, $E$9)</f>
        <v>17.568999999999999</v>
      </c>
      <c r="M635" s="10">
        <f>CHOOSE(CONTROL!$C$42, 16.7465, 16.7465) * CHOOSE(CONTROL!$C$21, $C$9, 100%, $E$9)</f>
        <v>16.746500000000001</v>
      </c>
      <c r="N635" s="10">
        <f>CHOOSE(CONTROL!$C$42, 16.7644, 16.7644) * CHOOSE(CONTROL!$C$21, $C$9, 100%, $E$9)</f>
        <v>16.764399999999998</v>
      </c>
      <c r="O635" s="10">
        <f>CHOOSE(CONTROL!$C$42, 16.8245, 16.8245) * CHOOSE(CONTROL!$C$21, $C$9, 100%, $E$9)</f>
        <v>16.8245</v>
      </c>
      <c r="P635" s="10">
        <f>CHOOSE(CONTROL!$C$42, 16.7341, 16.7341) * CHOOSE(CONTROL!$C$21, $C$9, 100%, $E$9)</f>
        <v>16.734100000000002</v>
      </c>
      <c r="Q635" s="10">
        <f>CHOOSE(CONTROL!$C$42, 17.4198, 17.4198) * CHOOSE(CONTROL!$C$21, $C$9, 100%, $E$9)</f>
        <v>17.419799999999999</v>
      </c>
      <c r="R635" s="10">
        <f>CHOOSE(CONTROL!$C$42, 18.0503, 18.0503) * CHOOSE(CONTROL!$C$21, $C$9, 100%, $E$9)</f>
        <v>18.0503</v>
      </c>
      <c r="S635" s="10">
        <f>CHOOSE(CONTROL!$C$42, 16.4332, 16.4332) * CHOOSE(CONTROL!$C$21, $C$9, 100%, $E$9)</f>
        <v>16.433199999999999</v>
      </c>
      <c r="T635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635" s="58">
        <f>(1000*CHOOSE(CONTROL!$C$42, 695, 695)*CHOOSE(CONTROL!$C$42, 0.5599, 0.5599)*CHOOSE(CONTROL!$C$42, 30, 30))/1000000</f>
        <v>11.673914999999997</v>
      </c>
      <c r="V635" s="58">
        <f>(1000*CHOOSE(CONTROL!$C$42, 500, 500)*CHOOSE(CONTROL!$C$42, 0.275, 0.275)*CHOOSE(CONTROL!$C$42, 30, 30))/1000000</f>
        <v>4.125</v>
      </c>
      <c r="W635" s="58">
        <f>(1000*CHOOSE(CONTROL!$C$42, 0.1146, 0.1146)*CHOOSE(CONTROL!$C$42, 121.5, 121.5)*CHOOSE(CONTROL!$C$42, 30, 30))/1000000</f>
        <v>0.417717</v>
      </c>
      <c r="X635" s="58">
        <f>(30*0.1790888*100000/1000000)+(30*0.2374*100000/1000000)</f>
        <v>1.2494664</v>
      </c>
      <c r="Y635" s="58"/>
      <c r="Z635" s="10"/>
      <c r="AA635" s="57"/>
      <c r="AB635" s="51">
        <f>(B635*122.58+C635*297.941+D635*89.177+E635*40.302+F635*40+G635*160+H635*0+I635*100+J635*300)/(122.58+297.941+89.177+40.302+0+40+160+100+300)</f>
        <v>16.922437265913043</v>
      </c>
      <c r="AC635" s="27">
        <f>(M635*'RAP TEMPLATE-GAS AVAILABILITY'!O634+N635*'RAP TEMPLATE-GAS AVAILABILITY'!P634+O635*'RAP TEMPLATE-GAS AVAILABILITY'!Q634+P635*'RAP TEMPLATE-GAS AVAILABILITY'!R634)/('RAP TEMPLATE-GAS AVAILABILITY'!O634+'RAP TEMPLATE-GAS AVAILABILITY'!P634+'RAP TEMPLATE-GAS AVAILABILITY'!Q634+'RAP TEMPLATE-GAS AVAILABILITY'!R634)</f>
        <v>16.781098561151079</v>
      </c>
    </row>
    <row r="636" spans="1:29" ht="15.75" x14ac:dyDescent="0.25">
      <c r="A636" s="13">
        <v>60632</v>
      </c>
      <c r="B636" s="10">
        <f>CHOOSE(CONTROL!$C$42, 18.0782, 18.0782) * CHOOSE(CONTROL!$C$21, $C$9, 100%, $E$9)</f>
        <v>18.078199999999999</v>
      </c>
      <c r="C636" s="10">
        <f>CHOOSE(CONTROL!$C$42, 18.0832, 18.0832) * CHOOSE(CONTROL!$C$21, $C$9, 100%, $E$9)</f>
        <v>18.083200000000001</v>
      </c>
      <c r="D636" s="10">
        <f>CHOOSE(CONTROL!$C$42, 18.1128, 18.1128) * CHOOSE(CONTROL!$C$21, $C$9, 100%, $E$9)</f>
        <v>18.1128</v>
      </c>
      <c r="E636" s="10">
        <f>CHOOSE(CONTROL!$C$42, 18.1465, 18.1465) * CHOOSE(CONTROL!$C$21, $C$9, 100%, $E$9)</f>
        <v>18.1465</v>
      </c>
      <c r="F636" s="10">
        <f>CHOOSE(CONTROL!$C$42, 18.0655, 18.0655)*CHOOSE(CONTROL!$C$21, $C$9, 100%, $E$9)</f>
        <v>18.0655</v>
      </c>
      <c r="G636" s="10">
        <f>CHOOSE(CONTROL!$C$42, 18.084, 18.084)*CHOOSE(CONTROL!$C$21, $C$9, 100%, $E$9)</f>
        <v>18.084</v>
      </c>
      <c r="H636" s="10">
        <f>CHOOSE(CONTROL!$C$42, 18.1357, 18.1357) * CHOOSE(CONTROL!$C$21, $C$9, 100%, $E$9)</f>
        <v>18.1357</v>
      </c>
      <c r="I636" s="10">
        <f>CHOOSE(CONTROL!$C$42, 18.0444, 18.0444)* CHOOSE(CONTROL!$C$21, $C$9, 100%, $E$9)</f>
        <v>18.0444</v>
      </c>
      <c r="J636" s="10">
        <f>CHOOSE(CONTROL!$C$42, 18.0585, 18.0585)* CHOOSE(CONTROL!$C$21, $C$9, 100%, $E$9)</f>
        <v>18.058499999999999</v>
      </c>
      <c r="K636" s="54">
        <f>CHOOSE(CONTROL!$C$42, 18.0405, 18.0405) * CHOOSE(CONTROL!$C$21, $C$9, 100%, $E$9)</f>
        <v>18.040500000000002</v>
      </c>
      <c r="L636" s="10">
        <f>CHOOSE(CONTROL!$C$42, 18.7227, 18.7227) * CHOOSE(CONTROL!$C$21, $C$9, 100%, $E$9)</f>
        <v>18.7227</v>
      </c>
      <c r="M636" s="10">
        <f>CHOOSE(CONTROL!$C$42, 17.8901, 17.8901) * CHOOSE(CONTROL!$C$21, $C$9, 100%, $E$9)</f>
        <v>17.8901</v>
      </c>
      <c r="N636" s="10">
        <f>CHOOSE(CONTROL!$C$42, 17.9084, 17.9084) * CHOOSE(CONTROL!$C$21, $C$9, 100%, $E$9)</f>
        <v>17.9084</v>
      </c>
      <c r="O636" s="10">
        <f>CHOOSE(CONTROL!$C$42, 17.9665, 17.9665) * CHOOSE(CONTROL!$C$21, $C$9, 100%, $E$9)</f>
        <v>17.9665</v>
      </c>
      <c r="P636" s="10">
        <f>CHOOSE(CONTROL!$C$42, 17.8761, 17.8761) * CHOOSE(CONTROL!$C$21, $C$9, 100%, $E$9)</f>
        <v>17.876100000000001</v>
      </c>
      <c r="Q636" s="10">
        <f>CHOOSE(CONTROL!$C$42, 18.5618, 18.5618) * CHOOSE(CONTROL!$C$21, $C$9, 100%, $E$9)</f>
        <v>18.561800000000002</v>
      </c>
      <c r="R636" s="10">
        <f>CHOOSE(CONTROL!$C$42, 19.1952, 19.1952) * CHOOSE(CONTROL!$C$21, $C$9, 100%, $E$9)</f>
        <v>19.1952</v>
      </c>
      <c r="S636" s="10">
        <f>CHOOSE(CONTROL!$C$42, 17.5536, 17.5536) * CHOOSE(CONTROL!$C$21, $C$9, 100%, $E$9)</f>
        <v>17.553599999999999</v>
      </c>
      <c r="T636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36" s="58">
        <f>(1000*CHOOSE(CONTROL!$C$42, 695, 695)*CHOOSE(CONTROL!$C$42, 0.5599, 0.5599)*CHOOSE(CONTROL!$C$42, 31, 31))/1000000</f>
        <v>12.063045499999998</v>
      </c>
      <c r="V636" s="58">
        <f>(1000*CHOOSE(CONTROL!$C$42, 500, 500)*CHOOSE(CONTROL!$C$42, 0.275, 0.275)*CHOOSE(CONTROL!$C$42, 31, 31))/1000000</f>
        <v>4.2625000000000002</v>
      </c>
      <c r="W636" s="58">
        <f>(1000*CHOOSE(CONTROL!$C$42, 0.1146, 0.1146)*CHOOSE(CONTROL!$C$42, 121.5, 121.5)*CHOOSE(CONTROL!$C$42, 31, 31))/1000000</f>
        <v>0.43164089999999994</v>
      </c>
      <c r="X636" s="58">
        <f>(31*0.1790888*100000/1000000)+(31*0.2374*100000/1000000)</f>
        <v>1.2911152800000001</v>
      </c>
      <c r="Y636" s="58"/>
      <c r="Z636" s="10"/>
      <c r="AA636" s="57"/>
      <c r="AB636" s="51">
        <f>(B636*122.58+C636*297.941+D636*89.177+E636*40.302+F636*40+G636*160+H636*0+I636*100+J636*300)/(122.58+297.941+89.177+40.302+0+40+160+100+300)</f>
        <v>18.076859005043477</v>
      </c>
      <c r="AC636" s="27">
        <f>(M636*'RAP TEMPLATE-GAS AVAILABILITY'!O635+N636*'RAP TEMPLATE-GAS AVAILABILITY'!P635+O636*'RAP TEMPLATE-GAS AVAILABILITY'!Q635+P636*'RAP TEMPLATE-GAS AVAILABILITY'!R635)/('RAP TEMPLATE-GAS AVAILABILITY'!O635+'RAP TEMPLATE-GAS AVAILABILITY'!P635+'RAP TEMPLATE-GAS AVAILABILITY'!Q635+'RAP TEMPLATE-GAS AVAILABILITY'!R635)</f>
        <v>17.923766187050362</v>
      </c>
    </row>
    <row r="637" spans="1:29" ht="15.75" x14ac:dyDescent="0.25">
      <c r="A637" s="13">
        <v>60663</v>
      </c>
      <c r="B637" s="10">
        <f>CHOOSE(CONTROL!$C$42, 19.2982, 19.2982) * CHOOSE(CONTROL!$C$21, $C$9, 100%, $E$9)</f>
        <v>19.298200000000001</v>
      </c>
      <c r="C637" s="10">
        <f>CHOOSE(CONTROL!$C$42, 19.3031, 19.3031) * CHOOSE(CONTROL!$C$21, $C$9, 100%, $E$9)</f>
        <v>19.303100000000001</v>
      </c>
      <c r="D637" s="10">
        <f>CHOOSE(CONTROL!$C$42, 19.3533, 19.3533) * CHOOSE(CONTROL!$C$21, $C$9, 100%, $E$9)</f>
        <v>19.353300000000001</v>
      </c>
      <c r="E637" s="10">
        <f>CHOOSE(CONTROL!$C$42, 19.3871, 19.3871) * CHOOSE(CONTROL!$C$21, $C$9, 100%, $E$9)</f>
        <v>19.3871</v>
      </c>
      <c r="F637" s="10">
        <f>CHOOSE(CONTROL!$C$42, 19.2635, 19.2635)*CHOOSE(CONTROL!$C$21, $C$9, 100%, $E$9)</f>
        <v>19.263500000000001</v>
      </c>
      <c r="G637" s="10">
        <f>CHOOSE(CONTROL!$C$42, 19.2811, 19.2811)*CHOOSE(CONTROL!$C$21, $C$9, 100%, $E$9)</f>
        <v>19.281099999999999</v>
      </c>
      <c r="H637" s="10">
        <f>CHOOSE(CONTROL!$C$42, 19.3763, 19.3763) * CHOOSE(CONTROL!$C$21, $C$9, 100%, $E$9)</f>
        <v>19.376300000000001</v>
      </c>
      <c r="I637" s="10">
        <f>CHOOSE(CONTROL!$C$42, 19.2721, 19.2721)* CHOOSE(CONTROL!$C$21, $C$9, 100%, $E$9)</f>
        <v>19.272099999999998</v>
      </c>
      <c r="J637" s="10">
        <f>CHOOSE(CONTROL!$C$42, 19.2565, 19.2565)* CHOOSE(CONTROL!$C$21, $C$9, 100%, $E$9)</f>
        <v>19.256499999999999</v>
      </c>
      <c r="K637" s="54">
        <f>CHOOSE(CONTROL!$C$42, 19.2682, 19.2682) * CHOOSE(CONTROL!$C$21, $C$9, 100%, $E$9)</f>
        <v>19.2682</v>
      </c>
      <c r="L637" s="10">
        <f>CHOOSE(CONTROL!$C$42, 19.9633, 19.9633) * CHOOSE(CONTROL!$C$21, $C$9, 100%, $E$9)</f>
        <v>19.9633</v>
      </c>
      <c r="M637" s="10">
        <f>CHOOSE(CONTROL!$C$42, 19.076, 19.076) * CHOOSE(CONTROL!$C$21, $C$9, 100%, $E$9)</f>
        <v>19.076000000000001</v>
      </c>
      <c r="N637" s="10">
        <f>CHOOSE(CONTROL!$C$42, 19.0934, 19.0934) * CHOOSE(CONTROL!$C$21, $C$9, 100%, $E$9)</f>
        <v>19.093399999999999</v>
      </c>
      <c r="O637" s="10">
        <f>CHOOSE(CONTROL!$C$42, 19.1946, 19.1946) * CHOOSE(CONTROL!$C$21, $C$9, 100%, $E$9)</f>
        <v>19.194600000000001</v>
      </c>
      <c r="P637" s="10">
        <f>CHOOSE(CONTROL!$C$42, 19.0915, 19.0915) * CHOOSE(CONTROL!$C$21, $C$9, 100%, $E$9)</f>
        <v>19.0915</v>
      </c>
      <c r="Q637" s="10">
        <f>CHOOSE(CONTROL!$C$42, 19.7899, 19.7899) * CHOOSE(CONTROL!$C$21, $C$9, 100%, $E$9)</f>
        <v>19.789899999999999</v>
      </c>
      <c r="R637" s="10">
        <f>CHOOSE(CONTROL!$C$42, 20.4264, 20.4264) * CHOOSE(CONTROL!$C$21, $C$9, 100%, $E$9)</f>
        <v>20.426400000000001</v>
      </c>
      <c r="S637" s="10">
        <f>CHOOSE(CONTROL!$C$42, 18.7383, 18.7383) * CHOOSE(CONTROL!$C$21, $C$9, 100%, $E$9)</f>
        <v>18.738299999999999</v>
      </c>
      <c r="T637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37" s="58">
        <f>(1000*CHOOSE(CONTROL!$C$42, 695, 695)*CHOOSE(CONTROL!$C$42, 0.5599, 0.5599)*CHOOSE(CONTROL!$C$42, 31, 31))/1000000</f>
        <v>12.063045499999998</v>
      </c>
      <c r="V637" s="58">
        <f>(1000*CHOOSE(CONTROL!$C$42, 500, 500)*CHOOSE(CONTROL!$C$42, 0.275, 0.275)*CHOOSE(CONTROL!$C$42, 31, 31))/1000000</f>
        <v>4.2625000000000002</v>
      </c>
      <c r="W637" s="58">
        <f>(1000*CHOOSE(CONTROL!$C$42, 0.1146, 0.1146)*CHOOSE(CONTROL!$C$42, 121.5, 121.5)*CHOOSE(CONTROL!$C$42, 31, 31))/1000000</f>
        <v>0.43164089999999994</v>
      </c>
      <c r="X637" s="58">
        <f>(31*0.1790888*100000/1000000)+(31*0.2374*100000/1000000)</f>
        <v>1.2911152800000001</v>
      </c>
      <c r="Y637" s="58"/>
      <c r="Z637" s="10"/>
      <c r="AA637" s="57"/>
      <c r="AB637" s="51">
        <f>(B637*122.58+C637*297.941+D637*89.177+E637*40.302+F637*40+G637*160+H637*0+I637*100+J637*300)/(122.58+297.941+89.177+40.302+0+40+160+100+300)</f>
        <v>19.290123835999999</v>
      </c>
      <c r="AC637" s="27">
        <f>(M637*'RAP TEMPLATE-GAS AVAILABILITY'!O636+N637*'RAP TEMPLATE-GAS AVAILABILITY'!P636+O637*'RAP TEMPLATE-GAS AVAILABILITY'!Q636+P637*'RAP TEMPLATE-GAS AVAILABILITY'!R636)/('RAP TEMPLATE-GAS AVAILABILITY'!O636+'RAP TEMPLATE-GAS AVAILABILITY'!P636+'RAP TEMPLATE-GAS AVAILABILITY'!Q636+'RAP TEMPLATE-GAS AVAILABILITY'!R636)</f>
        <v>19.13298561151079</v>
      </c>
    </row>
    <row r="638" spans="1:29" ht="15.75" x14ac:dyDescent="0.25">
      <c r="A638" s="13">
        <v>60691</v>
      </c>
      <c r="B638" s="10">
        <f>CHOOSE(CONTROL!$C$42, 19.6417, 19.6417) * CHOOSE(CONTROL!$C$21, $C$9, 100%, $E$9)</f>
        <v>19.6417</v>
      </c>
      <c r="C638" s="10">
        <f>CHOOSE(CONTROL!$C$42, 19.6466, 19.6466) * CHOOSE(CONTROL!$C$21, $C$9, 100%, $E$9)</f>
        <v>19.646599999999999</v>
      </c>
      <c r="D638" s="10">
        <f>CHOOSE(CONTROL!$C$42, 19.7638, 19.7638) * CHOOSE(CONTROL!$C$21, $C$9, 100%, $E$9)</f>
        <v>19.7638</v>
      </c>
      <c r="E638" s="10">
        <f>CHOOSE(CONTROL!$C$42, 19.7975, 19.7975) * CHOOSE(CONTROL!$C$21, $C$9, 100%, $E$9)</f>
        <v>19.797499999999999</v>
      </c>
      <c r="F638" s="10">
        <f>CHOOSE(CONTROL!$C$42, 19.7193, 19.7193)*CHOOSE(CONTROL!$C$21, $C$9, 100%, $E$9)</f>
        <v>19.7193</v>
      </c>
      <c r="G638" s="10">
        <f>CHOOSE(CONTROL!$C$42, 19.7412, 19.7412)*CHOOSE(CONTROL!$C$21, $C$9, 100%, $E$9)</f>
        <v>19.741199999999999</v>
      </c>
      <c r="H638" s="10">
        <f>CHOOSE(CONTROL!$C$42, 19.7867, 19.7867) * CHOOSE(CONTROL!$C$21, $C$9, 100%, $E$9)</f>
        <v>19.7867</v>
      </c>
      <c r="I638" s="10">
        <f>CHOOSE(CONTROL!$C$42, 19.6773, 19.6773)* CHOOSE(CONTROL!$C$21, $C$9, 100%, $E$9)</f>
        <v>19.677299999999999</v>
      </c>
      <c r="J638" s="10">
        <f>CHOOSE(CONTROL!$C$42, 19.7123, 19.7123)* CHOOSE(CONTROL!$C$21, $C$9, 100%, $E$9)</f>
        <v>19.712299999999999</v>
      </c>
      <c r="K638" s="54">
        <f>CHOOSE(CONTROL!$C$42, 19.6735, 19.6735) * CHOOSE(CONTROL!$C$21, $C$9, 100%, $E$9)</f>
        <v>19.673500000000001</v>
      </c>
      <c r="L638" s="10">
        <f>CHOOSE(CONTROL!$C$42, 20.3737, 20.3737) * CHOOSE(CONTROL!$C$21, $C$9, 100%, $E$9)</f>
        <v>20.373699999999999</v>
      </c>
      <c r="M638" s="10">
        <f>CHOOSE(CONTROL!$C$42, 19.5272, 19.5272) * CHOOSE(CONTROL!$C$21, $C$9, 100%, $E$9)</f>
        <v>19.527200000000001</v>
      </c>
      <c r="N638" s="10">
        <f>CHOOSE(CONTROL!$C$42, 19.5488, 19.5488) * CHOOSE(CONTROL!$C$21, $C$9, 100%, $E$9)</f>
        <v>19.5488</v>
      </c>
      <c r="O638" s="10">
        <f>CHOOSE(CONTROL!$C$42, 19.6009, 19.6009) * CHOOSE(CONTROL!$C$21, $C$9, 100%, $E$9)</f>
        <v>19.600899999999999</v>
      </c>
      <c r="P638" s="10">
        <f>CHOOSE(CONTROL!$C$42, 19.4926, 19.4926) * CHOOSE(CONTROL!$C$21, $C$9, 100%, $E$9)</f>
        <v>19.492599999999999</v>
      </c>
      <c r="Q638" s="10">
        <f>CHOOSE(CONTROL!$C$42, 20.1962, 20.1962) * CHOOSE(CONTROL!$C$21, $C$9, 100%, $E$9)</f>
        <v>20.196200000000001</v>
      </c>
      <c r="R638" s="10">
        <f>CHOOSE(CONTROL!$C$42, 20.8337, 20.8337) * CHOOSE(CONTROL!$C$21, $C$9, 100%, $E$9)</f>
        <v>20.8337</v>
      </c>
      <c r="S638" s="10">
        <f>CHOOSE(CONTROL!$C$42, 19.0719, 19.0719) * CHOOSE(CONTROL!$C$21, $C$9, 100%, $E$9)</f>
        <v>19.071899999999999</v>
      </c>
      <c r="T638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638" s="58">
        <f>(1000*CHOOSE(CONTROL!$C$42, 695, 695)*CHOOSE(CONTROL!$C$42, 0.5599, 0.5599)*CHOOSE(CONTROL!$C$42, 28, 28))/1000000</f>
        <v>10.895653999999999</v>
      </c>
      <c r="V638" s="58">
        <f>(1000*CHOOSE(CONTROL!$C$42, 500, 500)*CHOOSE(CONTROL!$C$42, 0.275, 0.275)*CHOOSE(CONTROL!$C$42, 28, 28))/1000000</f>
        <v>3.85</v>
      </c>
      <c r="W638" s="58">
        <f>(1000*CHOOSE(CONTROL!$C$42, 0.1146, 0.1146)*CHOOSE(CONTROL!$C$42, 121.5, 121.5)*CHOOSE(CONTROL!$C$42, 28, 28))/1000000</f>
        <v>0.38986920000000003</v>
      </c>
      <c r="X638" s="58">
        <f>(28*0.1790888*100000/1000000)+(28*0.2374*100000/1000000)</f>
        <v>1.16616864</v>
      </c>
      <c r="Y638" s="58"/>
      <c r="Z638" s="10"/>
      <c r="AA638" s="57"/>
      <c r="AB638" s="51">
        <f>(B638*122.58+C638*297.941+D638*89.177+E638*40.302+F638*40+G638*160+H638*0+I638*100+J638*300)/(122.58+297.941+89.177+40.302+0+40+160+100+300)</f>
        <v>19.695953455826082</v>
      </c>
      <c r="AC638" s="27">
        <f>(M638*'RAP TEMPLATE-GAS AVAILABILITY'!O637+N638*'RAP TEMPLATE-GAS AVAILABILITY'!P637+O638*'RAP TEMPLATE-GAS AVAILABILITY'!Q637+P638*'RAP TEMPLATE-GAS AVAILABILITY'!R637)/('RAP TEMPLATE-GAS AVAILABILITY'!O637+'RAP TEMPLATE-GAS AVAILABILITY'!P637+'RAP TEMPLATE-GAS AVAILABILITY'!Q637+'RAP TEMPLATE-GAS AVAILABILITY'!R637)</f>
        <v>19.556868345323743</v>
      </c>
    </row>
    <row r="639" spans="1:29" ht="15.75" x14ac:dyDescent="0.25">
      <c r="A639" s="13">
        <v>60722</v>
      </c>
      <c r="B639" s="10">
        <f>CHOOSE(CONTROL!$C$42, 19.0841, 19.0841) * CHOOSE(CONTROL!$C$21, $C$9, 100%, $E$9)</f>
        <v>19.084099999999999</v>
      </c>
      <c r="C639" s="10">
        <f>CHOOSE(CONTROL!$C$42, 19.0891, 19.0891) * CHOOSE(CONTROL!$C$21, $C$9, 100%, $E$9)</f>
        <v>19.089099999999998</v>
      </c>
      <c r="D639" s="10">
        <f>CHOOSE(CONTROL!$C$42, 19.1805, 19.1805) * CHOOSE(CONTROL!$C$21, $C$9, 100%, $E$9)</f>
        <v>19.180499999999999</v>
      </c>
      <c r="E639" s="10">
        <f>CHOOSE(CONTROL!$C$42, 19.2142, 19.2142) * CHOOSE(CONTROL!$C$21, $C$9, 100%, $E$9)</f>
        <v>19.214200000000002</v>
      </c>
      <c r="F639" s="10">
        <f>CHOOSE(CONTROL!$C$42, 19.114, 19.114)*CHOOSE(CONTROL!$C$21, $C$9, 100%, $E$9)</f>
        <v>19.114000000000001</v>
      </c>
      <c r="G639" s="10">
        <f>CHOOSE(CONTROL!$C$42, 19.1334, 19.1334)*CHOOSE(CONTROL!$C$21, $C$9, 100%, $E$9)</f>
        <v>19.133400000000002</v>
      </c>
      <c r="H639" s="10">
        <f>CHOOSE(CONTROL!$C$42, 19.2034, 19.2034) * CHOOSE(CONTROL!$C$21, $C$9, 100%, $E$9)</f>
        <v>19.203399999999998</v>
      </c>
      <c r="I639" s="10">
        <f>CHOOSE(CONTROL!$C$42, 19.1069, 19.1069)* CHOOSE(CONTROL!$C$21, $C$9, 100%, $E$9)</f>
        <v>19.1069</v>
      </c>
      <c r="J639" s="10">
        <f>CHOOSE(CONTROL!$C$42, 19.107, 19.107)* CHOOSE(CONTROL!$C$21, $C$9, 100%, $E$9)</f>
        <v>19.106999999999999</v>
      </c>
      <c r="K639" s="54">
        <f>CHOOSE(CONTROL!$C$42, 19.103, 19.103) * CHOOSE(CONTROL!$C$21, $C$9, 100%, $E$9)</f>
        <v>19.103000000000002</v>
      </c>
      <c r="L639" s="10">
        <f>CHOOSE(CONTROL!$C$42, 19.7904, 19.7904) * CHOOSE(CONTROL!$C$21, $C$9, 100%, $E$9)</f>
        <v>19.790400000000002</v>
      </c>
      <c r="M639" s="10">
        <f>CHOOSE(CONTROL!$C$42, 18.928, 18.928) * CHOOSE(CONTROL!$C$21, $C$9, 100%, $E$9)</f>
        <v>18.928000000000001</v>
      </c>
      <c r="N639" s="10">
        <f>CHOOSE(CONTROL!$C$42, 18.9473, 18.9473) * CHOOSE(CONTROL!$C$21, $C$9, 100%, $E$9)</f>
        <v>18.947299999999998</v>
      </c>
      <c r="O639" s="10">
        <f>CHOOSE(CONTROL!$C$42, 19.0235, 19.0235) * CHOOSE(CONTROL!$C$21, $C$9, 100%, $E$9)</f>
        <v>19.023499999999999</v>
      </c>
      <c r="P639" s="10">
        <f>CHOOSE(CONTROL!$C$42, 18.928, 18.928) * CHOOSE(CONTROL!$C$21, $C$9, 100%, $E$9)</f>
        <v>18.928000000000001</v>
      </c>
      <c r="Q639" s="10">
        <f>CHOOSE(CONTROL!$C$42, 19.6188, 19.6188) * CHOOSE(CONTROL!$C$21, $C$9, 100%, $E$9)</f>
        <v>19.6188</v>
      </c>
      <c r="R639" s="10">
        <f>CHOOSE(CONTROL!$C$42, 20.2548, 20.2548) * CHOOSE(CONTROL!$C$21, $C$9, 100%, $E$9)</f>
        <v>20.254799999999999</v>
      </c>
      <c r="S639" s="10">
        <f>CHOOSE(CONTROL!$C$42, 18.5304, 18.5304) * CHOOSE(CONTROL!$C$21, $C$9, 100%, $E$9)</f>
        <v>18.5304</v>
      </c>
      <c r="T639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39" s="58">
        <f>(1000*CHOOSE(CONTROL!$C$42, 695, 695)*CHOOSE(CONTROL!$C$42, 0.5599, 0.5599)*CHOOSE(CONTROL!$C$42, 31, 31))/1000000</f>
        <v>12.063045499999998</v>
      </c>
      <c r="V639" s="58">
        <f>(1000*CHOOSE(CONTROL!$C$42, 500, 500)*CHOOSE(CONTROL!$C$42, 0.275, 0.275)*CHOOSE(CONTROL!$C$42, 31, 31))/1000000</f>
        <v>4.2625000000000002</v>
      </c>
      <c r="W639" s="58">
        <f>(1000*CHOOSE(CONTROL!$C$42, 0.1146, 0.1146)*CHOOSE(CONTROL!$C$42, 121.5, 121.5)*CHOOSE(CONTROL!$C$42, 31, 31))/1000000</f>
        <v>0.43164089999999994</v>
      </c>
      <c r="X639" s="58">
        <f>(31*0.1790888*100000/1000000)+(31*0.2374*100000/1000000)</f>
        <v>1.2911152800000001</v>
      </c>
      <c r="Y639" s="58"/>
      <c r="Z639" s="10"/>
      <c r="AA639" s="57"/>
      <c r="AB639" s="51">
        <f>(B639*122.58+C639*297.941+D639*89.177+E639*40.302+F639*40+G639*160+H639*0+I639*100+J639*300)/(122.58+297.941+89.177+40.302+0+40+160+100+300)</f>
        <v>19.113285789565218</v>
      </c>
      <c r="AC639" s="27">
        <f>(M639*'RAP TEMPLATE-GAS AVAILABILITY'!O638+N639*'RAP TEMPLATE-GAS AVAILABILITY'!P638+O639*'RAP TEMPLATE-GAS AVAILABILITY'!Q638+P639*'RAP TEMPLATE-GAS AVAILABILITY'!R638)/('RAP TEMPLATE-GAS AVAILABILITY'!O638+'RAP TEMPLATE-GAS AVAILABILITY'!P638+'RAP TEMPLATE-GAS AVAILABILITY'!Q638+'RAP TEMPLATE-GAS AVAILABILITY'!R638)</f>
        <v>18.972394964028776</v>
      </c>
    </row>
    <row r="640" spans="1:29" ht="15.75" x14ac:dyDescent="0.25">
      <c r="A640" s="13">
        <v>60752</v>
      </c>
      <c r="B640" s="10">
        <f>CHOOSE(CONTROL!$C$42, 19.0278, 19.0278) * CHOOSE(CONTROL!$C$21, $C$9, 100%, $E$9)</f>
        <v>19.027799999999999</v>
      </c>
      <c r="C640" s="10">
        <f>CHOOSE(CONTROL!$C$42, 19.0321, 19.0321) * CHOOSE(CONTROL!$C$21, $C$9, 100%, $E$9)</f>
        <v>19.0321</v>
      </c>
      <c r="D640" s="10">
        <f>CHOOSE(CONTROL!$C$42, 19.2138, 19.2138) * CHOOSE(CONTROL!$C$21, $C$9, 100%, $E$9)</f>
        <v>19.213799999999999</v>
      </c>
      <c r="E640" s="10">
        <f>CHOOSE(CONTROL!$C$42, 19.2456, 19.2456) * CHOOSE(CONTROL!$C$21, $C$9, 100%, $E$9)</f>
        <v>19.2456</v>
      </c>
      <c r="F640" s="10">
        <f>CHOOSE(CONTROL!$C$42, 19.0161, 19.0161)*CHOOSE(CONTROL!$C$21, $C$9, 100%, $E$9)</f>
        <v>19.016100000000002</v>
      </c>
      <c r="G640" s="10">
        <f>CHOOSE(CONTROL!$C$42, 19.0341, 19.0341)*CHOOSE(CONTROL!$C$21, $C$9, 100%, $E$9)</f>
        <v>19.034099999999999</v>
      </c>
      <c r="H640" s="10">
        <f>CHOOSE(CONTROL!$C$42, 19.2354, 19.2354) * CHOOSE(CONTROL!$C$21, $C$9, 100%, $E$9)</f>
        <v>19.235399999999998</v>
      </c>
      <c r="I640" s="10">
        <f>CHOOSE(CONTROL!$C$42, 19.006, 19.006)* CHOOSE(CONTROL!$C$21, $C$9, 100%, $E$9)</f>
        <v>19.006</v>
      </c>
      <c r="J640" s="10">
        <f>CHOOSE(CONTROL!$C$42, 19.0091, 19.0091)* CHOOSE(CONTROL!$C$21, $C$9, 100%, $E$9)</f>
        <v>19.0091</v>
      </c>
      <c r="K640" s="54">
        <f>CHOOSE(CONTROL!$C$42, 19.0021, 19.0021) * CHOOSE(CONTROL!$C$21, $C$9, 100%, $E$9)</f>
        <v>19.002099999999999</v>
      </c>
      <c r="L640" s="10">
        <f>CHOOSE(CONTROL!$C$42, 19.8224, 19.8224) * CHOOSE(CONTROL!$C$21, $C$9, 100%, $E$9)</f>
        <v>19.822399999999998</v>
      </c>
      <c r="M640" s="10">
        <f>CHOOSE(CONTROL!$C$42, 18.8311, 18.8311) * CHOOSE(CONTROL!$C$21, $C$9, 100%, $E$9)</f>
        <v>18.831099999999999</v>
      </c>
      <c r="N640" s="10">
        <f>CHOOSE(CONTROL!$C$42, 18.8489, 18.8489) * CHOOSE(CONTROL!$C$21, $C$9, 100%, $E$9)</f>
        <v>18.8489</v>
      </c>
      <c r="O640" s="10">
        <f>CHOOSE(CONTROL!$C$42, 19.0551, 19.0551) * CHOOSE(CONTROL!$C$21, $C$9, 100%, $E$9)</f>
        <v>19.055099999999999</v>
      </c>
      <c r="P640" s="10">
        <f>CHOOSE(CONTROL!$C$42, 18.8281, 18.8281) * CHOOSE(CONTROL!$C$21, $C$9, 100%, $E$9)</f>
        <v>18.828099999999999</v>
      </c>
      <c r="Q640" s="10">
        <f>CHOOSE(CONTROL!$C$42, 19.6504, 19.6504) * CHOOSE(CONTROL!$C$21, $C$9, 100%, $E$9)</f>
        <v>19.650400000000001</v>
      </c>
      <c r="R640" s="10">
        <f>CHOOSE(CONTROL!$C$42, 20.2865, 20.2865) * CHOOSE(CONTROL!$C$21, $C$9, 100%, $E$9)</f>
        <v>20.2865</v>
      </c>
      <c r="S640" s="10">
        <f>CHOOSE(CONTROL!$C$42, 18.475, 18.475) * CHOOSE(CONTROL!$C$21, $C$9, 100%, $E$9)</f>
        <v>18.475000000000001</v>
      </c>
      <c r="T640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40" s="58">
        <f>(1000*CHOOSE(CONTROL!$C$42, 695, 695)*CHOOSE(CONTROL!$C$42, 0.5599, 0.5599)*CHOOSE(CONTROL!$C$42, 30, 30))/1000000</f>
        <v>11.673914999999997</v>
      </c>
      <c r="V640" s="58">
        <f>(1000*CHOOSE(CONTROL!$C$42, 500, 500)*CHOOSE(CONTROL!$C$42, 0.275, 0.275)*CHOOSE(CONTROL!$C$42, 30, 30))/1000000</f>
        <v>4.125</v>
      </c>
      <c r="W640" s="58">
        <f>(1000*CHOOSE(CONTROL!$C$42, 0.1146, 0.1146)*CHOOSE(CONTROL!$C$42, 121.5, 121.5)*CHOOSE(CONTROL!$C$42, 30, 30))/1000000</f>
        <v>0.417717</v>
      </c>
      <c r="X640" s="58">
        <f>(30*0.1790888*245000/1000000)+(30*0.2374*100000/1000000)</f>
        <v>2.0285026799999999</v>
      </c>
      <c r="Y640" s="58"/>
      <c r="Z640" s="10"/>
      <c r="AA640" s="57"/>
      <c r="AB640" s="51">
        <f>(B640*141.293+C640*267.993+D640*115.016+E640*89.698+F640*40+G640*185+H640*0+I640*100+J640*300)/(141.293+267.993+115.016+89.698+0+40+185+100+300)</f>
        <v>19.056039766182401</v>
      </c>
      <c r="AC640" s="27">
        <f>(M640*'RAP TEMPLATE-GAS AVAILABILITY'!O639+N640*'RAP TEMPLATE-GAS AVAILABILITY'!P639+O640*'RAP TEMPLATE-GAS AVAILABILITY'!Q639+P640*'RAP TEMPLATE-GAS AVAILABILITY'!R639)/('RAP TEMPLATE-GAS AVAILABILITY'!O639+'RAP TEMPLATE-GAS AVAILABILITY'!P639+'RAP TEMPLATE-GAS AVAILABILITY'!Q639+'RAP TEMPLATE-GAS AVAILABILITY'!R639)</f>
        <v>18.93321798561151</v>
      </c>
    </row>
    <row r="641" spans="1:29" ht="15.75" x14ac:dyDescent="0.25">
      <c r="A641" s="13">
        <v>60783</v>
      </c>
      <c r="B641" s="10">
        <f>CHOOSE(CONTROL!$C$42, 19.1974, 19.1974) * CHOOSE(CONTROL!$C$21, $C$9, 100%, $E$9)</f>
        <v>19.197399999999998</v>
      </c>
      <c r="C641" s="10">
        <f>CHOOSE(CONTROL!$C$42, 19.2054, 19.2054) * CHOOSE(CONTROL!$C$21, $C$9, 100%, $E$9)</f>
        <v>19.205400000000001</v>
      </c>
      <c r="D641" s="10">
        <f>CHOOSE(CONTROL!$C$42, 19.3839, 19.3839) * CHOOSE(CONTROL!$C$21, $C$9, 100%, $E$9)</f>
        <v>19.383900000000001</v>
      </c>
      <c r="E641" s="10">
        <f>CHOOSE(CONTROL!$C$42, 19.415, 19.415) * CHOOSE(CONTROL!$C$21, $C$9, 100%, $E$9)</f>
        <v>19.414999999999999</v>
      </c>
      <c r="F641" s="10">
        <f>CHOOSE(CONTROL!$C$42, 19.1836, 19.1836)*CHOOSE(CONTROL!$C$21, $C$9, 100%, $E$9)</f>
        <v>19.183599999999998</v>
      </c>
      <c r="G641" s="10">
        <f>CHOOSE(CONTROL!$C$42, 19.2018, 19.2018)*CHOOSE(CONTROL!$C$21, $C$9, 100%, $E$9)</f>
        <v>19.201799999999999</v>
      </c>
      <c r="H641" s="10">
        <f>CHOOSE(CONTROL!$C$42, 19.4037, 19.4037) * CHOOSE(CONTROL!$C$21, $C$9, 100%, $E$9)</f>
        <v>19.403700000000001</v>
      </c>
      <c r="I641" s="10">
        <f>CHOOSE(CONTROL!$C$42, 19.1743, 19.1743)* CHOOSE(CONTROL!$C$21, $C$9, 100%, $E$9)</f>
        <v>19.174299999999999</v>
      </c>
      <c r="J641" s="10">
        <f>CHOOSE(CONTROL!$C$42, 19.1766, 19.1766)* CHOOSE(CONTROL!$C$21, $C$9, 100%, $E$9)</f>
        <v>19.176600000000001</v>
      </c>
      <c r="K641" s="54">
        <f>CHOOSE(CONTROL!$C$42, 19.1704, 19.1704) * CHOOSE(CONTROL!$C$21, $C$9, 100%, $E$9)</f>
        <v>19.170400000000001</v>
      </c>
      <c r="L641" s="10">
        <f>CHOOSE(CONTROL!$C$42, 19.9907, 19.9907) * CHOOSE(CONTROL!$C$21, $C$9, 100%, $E$9)</f>
        <v>19.9907</v>
      </c>
      <c r="M641" s="10">
        <f>CHOOSE(CONTROL!$C$42, 18.9969, 18.9969) * CHOOSE(CONTROL!$C$21, $C$9, 100%, $E$9)</f>
        <v>18.9969</v>
      </c>
      <c r="N641" s="10">
        <f>CHOOSE(CONTROL!$C$42, 19.0149, 19.0149) * CHOOSE(CONTROL!$C$21, $C$9, 100%, $E$9)</f>
        <v>19.014900000000001</v>
      </c>
      <c r="O641" s="10">
        <f>CHOOSE(CONTROL!$C$42, 19.2217, 19.2217) * CHOOSE(CONTROL!$C$21, $C$9, 100%, $E$9)</f>
        <v>19.221699999999998</v>
      </c>
      <c r="P641" s="10">
        <f>CHOOSE(CONTROL!$C$42, 18.9947, 18.9947) * CHOOSE(CONTROL!$C$21, $C$9, 100%, $E$9)</f>
        <v>18.994700000000002</v>
      </c>
      <c r="Q641" s="10">
        <f>CHOOSE(CONTROL!$C$42, 19.817, 19.817) * CHOOSE(CONTROL!$C$21, $C$9, 100%, $E$9)</f>
        <v>19.817</v>
      </c>
      <c r="R641" s="10">
        <f>CHOOSE(CONTROL!$C$42, 20.4535, 20.4535) * CHOOSE(CONTROL!$C$21, $C$9, 100%, $E$9)</f>
        <v>20.453499999999998</v>
      </c>
      <c r="S641" s="10">
        <f>CHOOSE(CONTROL!$C$42, 18.6384, 18.6384) * CHOOSE(CONTROL!$C$21, $C$9, 100%, $E$9)</f>
        <v>18.638400000000001</v>
      </c>
      <c r="T641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41" s="58">
        <f>(1000*CHOOSE(CONTROL!$C$42, 695, 695)*CHOOSE(CONTROL!$C$42, 0.5599, 0.5599)*CHOOSE(CONTROL!$C$42, 31, 31))/1000000</f>
        <v>12.063045499999998</v>
      </c>
      <c r="V641" s="58">
        <f>(1000*CHOOSE(CONTROL!$C$42, 500, 500)*CHOOSE(CONTROL!$C$42, 0.275, 0.275)*CHOOSE(CONTROL!$C$42, 31, 31))/1000000</f>
        <v>4.2625000000000002</v>
      </c>
      <c r="W641" s="58">
        <f>(1000*CHOOSE(CONTROL!$C$42, 0.1146, 0.1146)*CHOOSE(CONTROL!$C$42, 121.5, 121.5)*CHOOSE(CONTROL!$C$42, 31, 31))/1000000</f>
        <v>0.43164089999999994</v>
      </c>
      <c r="X641" s="58">
        <f>(31*0.1790888*245000/1000000)+(31*0.2374*100000/1000000)</f>
        <v>2.0961194359999999</v>
      </c>
      <c r="Y641" s="58"/>
      <c r="Z641" s="10"/>
      <c r="AA641" s="57"/>
      <c r="AB641" s="51">
        <f>(B641*194.205+C641*267.466+D641*133.845+E641*53.484+F641*40+G641*185+H641*0+I641*100+J641*300)/(194.205+267.466+133.845+53.484+0+40+185+100+300)</f>
        <v>19.221302620800628</v>
      </c>
      <c r="AC641" s="27">
        <f>(M641*'RAP TEMPLATE-GAS AVAILABILITY'!O640+N641*'RAP TEMPLATE-GAS AVAILABILITY'!P640+O641*'RAP TEMPLATE-GAS AVAILABILITY'!Q640+P641*'RAP TEMPLATE-GAS AVAILABILITY'!R640)/('RAP TEMPLATE-GAS AVAILABILITY'!O640+'RAP TEMPLATE-GAS AVAILABILITY'!P640+'RAP TEMPLATE-GAS AVAILABILITY'!Q640+'RAP TEMPLATE-GAS AVAILABILITY'!R640)</f>
        <v>19.099507194244605</v>
      </c>
    </row>
    <row r="642" spans="1:29" ht="15.75" x14ac:dyDescent="0.25">
      <c r="A642" s="13">
        <v>60813</v>
      </c>
      <c r="B642" s="10">
        <f>CHOOSE(CONTROL!$C$42, 19.7419, 19.7419) * CHOOSE(CONTROL!$C$21, $C$9, 100%, $E$9)</f>
        <v>19.741900000000001</v>
      </c>
      <c r="C642" s="10">
        <f>CHOOSE(CONTROL!$C$42, 19.7498, 19.7498) * CHOOSE(CONTROL!$C$21, $C$9, 100%, $E$9)</f>
        <v>19.7498</v>
      </c>
      <c r="D642" s="10">
        <f>CHOOSE(CONTROL!$C$42, 19.9283, 19.9283) * CHOOSE(CONTROL!$C$21, $C$9, 100%, $E$9)</f>
        <v>19.9283</v>
      </c>
      <c r="E642" s="10">
        <f>CHOOSE(CONTROL!$C$42, 19.9594, 19.9594) * CHOOSE(CONTROL!$C$21, $C$9, 100%, $E$9)</f>
        <v>19.959399999999999</v>
      </c>
      <c r="F642" s="10">
        <f>CHOOSE(CONTROL!$C$42, 19.7283, 19.7283)*CHOOSE(CONTROL!$C$21, $C$9, 100%, $E$9)</f>
        <v>19.728300000000001</v>
      </c>
      <c r="G642" s="10">
        <f>CHOOSE(CONTROL!$C$42, 19.7465, 19.7465)*CHOOSE(CONTROL!$C$21, $C$9, 100%, $E$9)</f>
        <v>19.746500000000001</v>
      </c>
      <c r="H642" s="10">
        <f>CHOOSE(CONTROL!$C$42, 19.9481, 19.9481) * CHOOSE(CONTROL!$C$21, $C$9, 100%, $E$9)</f>
        <v>19.9481</v>
      </c>
      <c r="I642" s="10">
        <f>CHOOSE(CONTROL!$C$42, 19.7187, 19.7187)* CHOOSE(CONTROL!$C$21, $C$9, 100%, $E$9)</f>
        <v>19.718699999999998</v>
      </c>
      <c r="J642" s="10">
        <f>CHOOSE(CONTROL!$C$42, 19.7213, 19.7213)* CHOOSE(CONTROL!$C$21, $C$9, 100%, $E$9)</f>
        <v>19.721299999999999</v>
      </c>
      <c r="K642" s="54">
        <f>CHOOSE(CONTROL!$C$42, 19.7148, 19.7148) * CHOOSE(CONTROL!$C$21, $C$9, 100%, $E$9)</f>
        <v>19.7148</v>
      </c>
      <c r="L642" s="10">
        <f>CHOOSE(CONTROL!$C$42, 20.5351, 20.5351) * CHOOSE(CONTROL!$C$21, $C$9, 100%, $E$9)</f>
        <v>20.5351</v>
      </c>
      <c r="M642" s="10">
        <f>CHOOSE(CONTROL!$C$42, 19.5361, 19.5361) * CHOOSE(CONTROL!$C$21, $C$9, 100%, $E$9)</f>
        <v>19.536100000000001</v>
      </c>
      <c r="N642" s="10">
        <f>CHOOSE(CONTROL!$C$42, 19.5541, 19.5541) * CHOOSE(CONTROL!$C$21, $C$9, 100%, $E$9)</f>
        <v>19.554099999999998</v>
      </c>
      <c r="O642" s="10">
        <f>CHOOSE(CONTROL!$C$42, 19.7606, 19.7606) * CHOOSE(CONTROL!$C$21, $C$9, 100%, $E$9)</f>
        <v>19.7606</v>
      </c>
      <c r="P642" s="10">
        <f>CHOOSE(CONTROL!$C$42, 19.5336, 19.5336) * CHOOSE(CONTROL!$C$21, $C$9, 100%, $E$9)</f>
        <v>19.5336</v>
      </c>
      <c r="Q642" s="10">
        <f>CHOOSE(CONTROL!$C$42, 20.3559, 20.3559) * CHOOSE(CONTROL!$C$21, $C$9, 100%, $E$9)</f>
        <v>20.355899999999998</v>
      </c>
      <c r="R642" s="10">
        <f>CHOOSE(CONTROL!$C$42, 20.9938, 20.9938) * CHOOSE(CONTROL!$C$21, $C$9, 100%, $E$9)</f>
        <v>20.9938</v>
      </c>
      <c r="S642" s="10">
        <f>CHOOSE(CONTROL!$C$42, 19.1671, 19.1671) * CHOOSE(CONTROL!$C$21, $C$9, 100%, $E$9)</f>
        <v>19.167100000000001</v>
      </c>
      <c r="T642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42" s="58">
        <f>(1000*CHOOSE(CONTROL!$C$42, 695, 695)*CHOOSE(CONTROL!$C$42, 0.5599, 0.5599)*CHOOSE(CONTROL!$C$42, 30, 30))/1000000</f>
        <v>11.673914999999997</v>
      </c>
      <c r="V642" s="58">
        <f>(1000*CHOOSE(CONTROL!$C$42, 500, 500)*CHOOSE(CONTROL!$C$42, 0.275, 0.275)*CHOOSE(CONTROL!$C$42, 30, 30))/1000000</f>
        <v>4.125</v>
      </c>
      <c r="W642" s="58">
        <f>(1000*CHOOSE(CONTROL!$C$42, 0.1146, 0.1146)*CHOOSE(CONTROL!$C$42, 121.5, 121.5)*CHOOSE(CONTROL!$C$42, 30, 30))/1000000</f>
        <v>0.417717</v>
      </c>
      <c r="X642" s="58">
        <f>(30*0.1790888*245000/1000000)+(30*0.2374*100000/1000000)</f>
        <v>2.0285026799999999</v>
      </c>
      <c r="Y642" s="58"/>
      <c r="Z642" s="10"/>
      <c r="AA642" s="57"/>
      <c r="AB642" s="51">
        <f>(B642*194.205+C642*267.466+D642*133.845+E642*53.484+F642*40+G642*185+H642*0+I642*100+J642*300)/(194.205+267.466+133.845+53.484+0+40+185+100+300)</f>
        <v>19.765841490894818</v>
      </c>
      <c r="AC642" s="27">
        <f>(M642*'RAP TEMPLATE-GAS AVAILABILITY'!O641+N642*'RAP TEMPLATE-GAS AVAILABILITY'!P641+O642*'RAP TEMPLATE-GAS AVAILABILITY'!Q641+P642*'RAP TEMPLATE-GAS AVAILABILITY'!R641)/('RAP TEMPLATE-GAS AVAILABILITY'!O641+'RAP TEMPLATE-GAS AVAILABILITY'!P641+'RAP TEMPLATE-GAS AVAILABILITY'!Q641+'RAP TEMPLATE-GAS AVAILABILITY'!R641)</f>
        <v>19.638528057553959</v>
      </c>
    </row>
    <row r="643" spans="1:29" ht="15.75" x14ac:dyDescent="0.25">
      <c r="A643" s="13">
        <v>60844</v>
      </c>
      <c r="B643" s="10">
        <f>CHOOSE(CONTROL!$C$42, 19.3632, 19.3632) * CHOOSE(CONTROL!$C$21, $C$9, 100%, $E$9)</f>
        <v>19.363199999999999</v>
      </c>
      <c r="C643" s="10">
        <f>CHOOSE(CONTROL!$C$42, 19.3711, 19.3711) * CHOOSE(CONTROL!$C$21, $C$9, 100%, $E$9)</f>
        <v>19.371099999999998</v>
      </c>
      <c r="D643" s="10">
        <f>CHOOSE(CONTROL!$C$42, 19.5497, 19.5497) * CHOOSE(CONTROL!$C$21, $C$9, 100%, $E$9)</f>
        <v>19.549700000000001</v>
      </c>
      <c r="E643" s="10">
        <f>CHOOSE(CONTROL!$C$42, 19.5808, 19.5808) * CHOOSE(CONTROL!$C$21, $C$9, 100%, $E$9)</f>
        <v>19.5808</v>
      </c>
      <c r="F643" s="10">
        <f>CHOOSE(CONTROL!$C$42, 19.3499, 19.3499)*CHOOSE(CONTROL!$C$21, $C$9, 100%, $E$9)</f>
        <v>19.349900000000002</v>
      </c>
      <c r="G643" s="10">
        <f>CHOOSE(CONTROL!$C$42, 19.3682, 19.3682)*CHOOSE(CONTROL!$C$21, $C$9, 100%, $E$9)</f>
        <v>19.368200000000002</v>
      </c>
      <c r="H643" s="10">
        <f>CHOOSE(CONTROL!$C$42, 19.5694, 19.5694) * CHOOSE(CONTROL!$C$21, $C$9, 100%, $E$9)</f>
        <v>19.569400000000002</v>
      </c>
      <c r="I643" s="10">
        <f>CHOOSE(CONTROL!$C$42, 19.3401, 19.3401)* CHOOSE(CONTROL!$C$21, $C$9, 100%, $E$9)</f>
        <v>19.3401</v>
      </c>
      <c r="J643" s="10">
        <f>CHOOSE(CONTROL!$C$42, 19.3429, 19.3429)* CHOOSE(CONTROL!$C$21, $C$9, 100%, $E$9)</f>
        <v>19.3429</v>
      </c>
      <c r="K643" s="54">
        <f>CHOOSE(CONTROL!$C$42, 19.3362, 19.3362) * CHOOSE(CONTROL!$C$21, $C$9, 100%, $E$9)</f>
        <v>19.336200000000002</v>
      </c>
      <c r="L643" s="10">
        <f>CHOOSE(CONTROL!$C$42, 20.1564, 20.1564) * CHOOSE(CONTROL!$C$21, $C$9, 100%, $E$9)</f>
        <v>20.156400000000001</v>
      </c>
      <c r="M643" s="10">
        <f>CHOOSE(CONTROL!$C$42, 19.1615, 19.1615) * CHOOSE(CONTROL!$C$21, $C$9, 100%, $E$9)</f>
        <v>19.1615</v>
      </c>
      <c r="N643" s="10">
        <f>CHOOSE(CONTROL!$C$42, 19.1797, 19.1797) * CHOOSE(CONTROL!$C$21, $C$9, 100%, $E$9)</f>
        <v>19.1797</v>
      </c>
      <c r="O643" s="10">
        <f>CHOOSE(CONTROL!$C$42, 19.3858, 19.3858) * CHOOSE(CONTROL!$C$21, $C$9, 100%, $E$9)</f>
        <v>19.3858</v>
      </c>
      <c r="P643" s="10">
        <f>CHOOSE(CONTROL!$C$42, 19.1588, 19.1588) * CHOOSE(CONTROL!$C$21, $C$9, 100%, $E$9)</f>
        <v>19.158799999999999</v>
      </c>
      <c r="Q643" s="10">
        <f>CHOOSE(CONTROL!$C$42, 19.9811, 19.9811) * CHOOSE(CONTROL!$C$21, $C$9, 100%, $E$9)</f>
        <v>19.981100000000001</v>
      </c>
      <c r="R643" s="10">
        <f>CHOOSE(CONTROL!$C$42, 20.618, 20.618) * CHOOSE(CONTROL!$C$21, $C$9, 100%, $E$9)</f>
        <v>20.617999999999999</v>
      </c>
      <c r="S643" s="10">
        <f>CHOOSE(CONTROL!$C$42, 18.7994, 18.7994) * CHOOSE(CONTROL!$C$21, $C$9, 100%, $E$9)</f>
        <v>18.799399999999999</v>
      </c>
      <c r="T643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43" s="58">
        <f>(1000*CHOOSE(CONTROL!$C$42, 695, 695)*CHOOSE(CONTROL!$C$42, 0.5599, 0.5599)*CHOOSE(CONTROL!$C$42, 31, 31))/1000000</f>
        <v>12.063045499999998</v>
      </c>
      <c r="V643" s="58">
        <f>(1000*CHOOSE(CONTROL!$C$42, 500, 500)*CHOOSE(CONTROL!$C$42, 0.275, 0.275)*CHOOSE(CONTROL!$C$42, 31, 31))/1000000</f>
        <v>4.2625000000000002</v>
      </c>
      <c r="W643" s="58">
        <f>(1000*CHOOSE(CONTROL!$C$42, 0.1146, 0.1146)*CHOOSE(CONTROL!$C$42, 121.5, 121.5)*CHOOSE(CONTROL!$C$42, 31, 31))/1000000</f>
        <v>0.43164089999999994</v>
      </c>
      <c r="X643" s="58">
        <f>(31*0.1790888*245000/1000000)+(31*0.2374*100000/1000000)</f>
        <v>2.0961194359999999</v>
      </c>
      <c r="Y643" s="58"/>
      <c r="Z643" s="10"/>
      <c r="AA643" s="57"/>
      <c r="AB643" s="51">
        <f>(B643*194.205+C643*267.466+D643*133.845+E643*53.484+F643*40+G643*185+H643*0+I643*100+J643*300)/(194.205+267.466+133.845+53.484+0+40+185+100+300)</f>
        <v>19.387302191758245</v>
      </c>
      <c r="AC643" s="27">
        <f>(M643*'RAP TEMPLATE-GAS AVAILABILITY'!O642+N643*'RAP TEMPLATE-GAS AVAILABILITY'!P642+O643*'RAP TEMPLATE-GAS AVAILABILITY'!Q642+P643*'RAP TEMPLATE-GAS AVAILABILITY'!R642)/('RAP TEMPLATE-GAS AVAILABILITY'!O642+'RAP TEMPLATE-GAS AVAILABILITY'!P642+'RAP TEMPLATE-GAS AVAILABILITY'!Q642+'RAP TEMPLATE-GAS AVAILABILITY'!R642)</f>
        <v>19.263820143884892</v>
      </c>
    </row>
    <row r="644" spans="1:29" ht="15.75" x14ac:dyDescent="0.25">
      <c r="A644" s="13">
        <v>60875</v>
      </c>
      <c r="B644" s="10">
        <f>CHOOSE(CONTROL!$C$42, 18.407, 18.407) * CHOOSE(CONTROL!$C$21, $C$9, 100%, $E$9)</f>
        <v>18.407</v>
      </c>
      <c r="C644" s="10">
        <f>CHOOSE(CONTROL!$C$42, 18.415, 18.415) * CHOOSE(CONTROL!$C$21, $C$9, 100%, $E$9)</f>
        <v>18.414999999999999</v>
      </c>
      <c r="D644" s="10">
        <f>CHOOSE(CONTROL!$C$42, 18.5935, 18.5935) * CHOOSE(CONTROL!$C$21, $C$9, 100%, $E$9)</f>
        <v>18.593499999999999</v>
      </c>
      <c r="E644" s="10">
        <f>CHOOSE(CONTROL!$C$42, 18.6246, 18.6246) * CHOOSE(CONTROL!$C$21, $C$9, 100%, $E$9)</f>
        <v>18.624600000000001</v>
      </c>
      <c r="F644" s="10">
        <f>CHOOSE(CONTROL!$C$42, 18.3937, 18.3937)*CHOOSE(CONTROL!$C$21, $C$9, 100%, $E$9)</f>
        <v>18.393699999999999</v>
      </c>
      <c r="G644" s="10">
        <f>CHOOSE(CONTROL!$C$42, 18.412, 18.412)*CHOOSE(CONTROL!$C$21, $C$9, 100%, $E$9)</f>
        <v>18.411999999999999</v>
      </c>
      <c r="H644" s="10">
        <f>CHOOSE(CONTROL!$C$42, 18.6133, 18.6133) * CHOOSE(CONTROL!$C$21, $C$9, 100%, $E$9)</f>
        <v>18.613299999999999</v>
      </c>
      <c r="I644" s="10">
        <f>CHOOSE(CONTROL!$C$42, 18.3839, 18.3839)* CHOOSE(CONTROL!$C$21, $C$9, 100%, $E$9)</f>
        <v>18.383900000000001</v>
      </c>
      <c r="J644" s="10">
        <f>CHOOSE(CONTROL!$C$42, 18.3867, 18.3867)* CHOOSE(CONTROL!$C$21, $C$9, 100%, $E$9)</f>
        <v>18.386700000000001</v>
      </c>
      <c r="K644" s="54">
        <f>CHOOSE(CONTROL!$C$42, 18.38, 18.38) * CHOOSE(CONTROL!$C$21, $C$9, 100%, $E$9)</f>
        <v>18.38</v>
      </c>
      <c r="L644" s="10">
        <f>CHOOSE(CONTROL!$C$42, 19.2003, 19.2003) * CHOOSE(CONTROL!$C$21, $C$9, 100%, $E$9)</f>
        <v>19.200299999999999</v>
      </c>
      <c r="M644" s="10">
        <f>CHOOSE(CONTROL!$C$42, 18.215, 18.215) * CHOOSE(CONTROL!$C$21, $C$9, 100%, $E$9)</f>
        <v>18.215</v>
      </c>
      <c r="N644" s="10">
        <f>CHOOSE(CONTROL!$C$42, 18.2331, 18.2331) * CHOOSE(CONTROL!$C$21, $C$9, 100%, $E$9)</f>
        <v>18.2331</v>
      </c>
      <c r="O644" s="10">
        <f>CHOOSE(CONTROL!$C$42, 18.4392, 18.4392) * CHOOSE(CONTROL!$C$21, $C$9, 100%, $E$9)</f>
        <v>18.4392</v>
      </c>
      <c r="P644" s="10">
        <f>CHOOSE(CONTROL!$C$42, 18.2122, 18.2122) * CHOOSE(CONTROL!$C$21, $C$9, 100%, $E$9)</f>
        <v>18.212199999999999</v>
      </c>
      <c r="Q644" s="10">
        <f>CHOOSE(CONTROL!$C$42, 19.0345, 19.0345) * CHOOSE(CONTROL!$C$21, $C$9, 100%, $E$9)</f>
        <v>19.034500000000001</v>
      </c>
      <c r="R644" s="10">
        <f>CHOOSE(CONTROL!$C$42, 19.6691, 19.6691) * CHOOSE(CONTROL!$C$21, $C$9, 100%, $E$9)</f>
        <v>19.6691</v>
      </c>
      <c r="S644" s="10">
        <f>CHOOSE(CONTROL!$C$42, 17.8708, 17.8708) * CHOOSE(CONTROL!$C$21, $C$9, 100%, $E$9)</f>
        <v>17.870799999999999</v>
      </c>
      <c r="T644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44" s="58">
        <f>(1000*CHOOSE(CONTROL!$C$42, 695, 695)*CHOOSE(CONTROL!$C$42, 0.5599, 0.5599)*CHOOSE(CONTROL!$C$42, 31, 31))/1000000</f>
        <v>12.063045499999998</v>
      </c>
      <c r="V644" s="58">
        <f>(1000*CHOOSE(CONTROL!$C$42, 500, 500)*CHOOSE(CONTROL!$C$42, 0.275, 0.275)*CHOOSE(CONTROL!$C$42, 31, 31))/1000000</f>
        <v>4.2625000000000002</v>
      </c>
      <c r="W644" s="58">
        <f>(1000*CHOOSE(CONTROL!$C$42, 0.1146, 0.1146)*CHOOSE(CONTROL!$C$42, 121.5, 121.5)*CHOOSE(CONTROL!$C$42, 31, 31))/1000000</f>
        <v>0.43164089999999994</v>
      </c>
      <c r="X644" s="58">
        <f>(31*0.1790888*245000/1000000)+(31*0.2374*100000/1000000)</f>
        <v>2.0961194359999999</v>
      </c>
      <c r="Y644" s="58"/>
      <c r="Z644" s="10"/>
      <c r="AA644" s="57"/>
      <c r="AB644" s="51">
        <f>(B644*194.205+C644*267.466+D644*133.845+E644*53.484+F644*40+G644*185+H644*0+I644*100+J644*300)/(194.205+267.466+133.845+53.484+0+40+185+100+300)</f>
        <v>18.431123185949762</v>
      </c>
      <c r="AC644" s="27">
        <f>(M644*'RAP TEMPLATE-GAS AVAILABILITY'!O643+N644*'RAP TEMPLATE-GAS AVAILABILITY'!P643+O644*'RAP TEMPLATE-GAS AVAILABILITY'!Q643+P644*'RAP TEMPLATE-GAS AVAILABILITY'!R643)/('RAP TEMPLATE-GAS AVAILABILITY'!O643+'RAP TEMPLATE-GAS AVAILABILITY'!P643+'RAP TEMPLATE-GAS AVAILABILITY'!Q643+'RAP TEMPLATE-GAS AVAILABILITY'!R643)</f>
        <v>18.317254676258994</v>
      </c>
    </row>
    <row r="645" spans="1:29" ht="15.75" x14ac:dyDescent="0.25">
      <c r="A645" s="13">
        <v>60905</v>
      </c>
      <c r="B645" s="10">
        <f>CHOOSE(CONTROL!$C$42, 17.2388, 17.2388) * CHOOSE(CONTROL!$C$21, $C$9, 100%, $E$9)</f>
        <v>17.238800000000001</v>
      </c>
      <c r="C645" s="10">
        <f>CHOOSE(CONTROL!$C$42, 17.2467, 17.2467) * CHOOSE(CONTROL!$C$21, $C$9, 100%, $E$9)</f>
        <v>17.246700000000001</v>
      </c>
      <c r="D645" s="10">
        <f>CHOOSE(CONTROL!$C$42, 17.4252, 17.4252) * CHOOSE(CONTROL!$C$21, $C$9, 100%, $E$9)</f>
        <v>17.4252</v>
      </c>
      <c r="E645" s="10">
        <f>CHOOSE(CONTROL!$C$42, 17.4564, 17.4564) * CHOOSE(CONTROL!$C$21, $C$9, 100%, $E$9)</f>
        <v>17.456399999999999</v>
      </c>
      <c r="F645" s="10">
        <f>CHOOSE(CONTROL!$C$42, 17.2251, 17.2251)*CHOOSE(CONTROL!$C$21, $C$9, 100%, $E$9)</f>
        <v>17.225100000000001</v>
      </c>
      <c r="G645" s="10">
        <f>CHOOSE(CONTROL!$C$42, 17.2434, 17.2434)*CHOOSE(CONTROL!$C$21, $C$9, 100%, $E$9)</f>
        <v>17.243400000000001</v>
      </c>
      <c r="H645" s="10">
        <f>CHOOSE(CONTROL!$C$42, 17.445, 17.445) * CHOOSE(CONTROL!$C$21, $C$9, 100%, $E$9)</f>
        <v>17.445</v>
      </c>
      <c r="I645" s="10">
        <f>CHOOSE(CONTROL!$C$42, 17.2156, 17.2156)* CHOOSE(CONTROL!$C$21, $C$9, 100%, $E$9)</f>
        <v>17.215599999999998</v>
      </c>
      <c r="J645" s="10">
        <f>CHOOSE(CONTROL!$C$42, 17.2181, 17.2181)* CHOOSE(CONTROL!$C$21, $C$9, 100%, $E$9)</f>
        <v>17.2181</v>
      </c>
      <c r="K645" s="54">
        <f>CHOOSE(CONTROL!$C$42, 17.2117, 17.2117) * CHOOSE(CONTROL!$C$21, $C$9, 100%, $E$9)</f>
        <v>17.2117</v>
      </c>
      <c r="L645" s="10">
        <f>CHOOSE(CONTROL!$C$42, 18.032, 18.032) * CHOOSE(CONTROL!$C$21, $C$9, 100%, $E$9)</f>
        <v>18.032</v>
      </c>
      <c r="M645" s="10">
        <f>CHOOSE(CONTROL!$C$42, 17.0582, 17.0582) * CHOOSE(CONTROL!$C$21, $C$9, 100%, $E$9)</f>
        <v>17.058199999999999</v>
      </c>
      <c r="N645" s="10">
        <f>CHOOSE(CONTROL!$C$42, 17.0762, 17.0762) * CHOOSE(CONTROL!$C$21, $C$9, 100%, $E$9)</f>
        <v>17.0762</v>
      </c>
      <c r="O645" s="10">
        <f>CHOOSE(CONTROL!$C$42, 17.2828, 17.2828) * CHOOSE(CONTROL!$C$21, $C$9, 100%, $E$9)</f>
        <v>17.282800000000002</v>
      </c>
      <c r="P645" s="10">
        <f>CHOOSE(CONTROL!$C$42, 17.0558, 17.0558) * CHOOSE(CONTROL!$C$21, $C$9, 100%, $E$9)</f>
        <v>17.055800000000001</v>
      </c>
      <c r="Q645" s="10">
        <f>CHOOSE(CONTROL!$C$42, 17.8781, 17.8781) * CHOOSE(CONTROL!$C$21, $C$9, 100%, $E$9)</f>
        <v>17.8781</v>
      </c>
      <c r="R645" s="10">
        <f>CHOOSE(CONTROL!$C$42, 18.5098, 18.5098) * CHOOSE(CONTROL!$C$21, $C$9, 100%, $E$9)</f>
        <v>18.509799999999998</v>
      </c>
      <c r="S645" s="10">
        <f>CHOOSE(CONTROL!$C$42, 16.7363, 16.7363) * CHOOSE(CONTROL!$C$21, $C$9, 100%, $E$9)</f>
        <v>16.7363</v>
      </c>
      <c r="T645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45" s="58">
        <f>(1000*CHOOSE(CONTROL!$C$42, 695, 695)*CHOOSE(CONTROL!$C$42, 0.5599, 0.5599)*CHOOSE(CONTROL!$C$42, 30, 30))/1000000</f>
        <v>11.673914999999997</v>
      </c>
      <c r="V645" s="58">
        <f>(1000*CHOOSE(CONTROL!$C$42, 500, 500)*CHOOSE(CONTROL!$C$42, 0.275, 0.275)*CHOOSE(CONTROL!$C$42, 30, 30))/1000000</f>
        <v>4.125</v>
      </c>
      <c r="W645" s="58">
        <f>(1000*CHOOSE(CONTROL!$C$42, 0.1146, 0.1146)*CHOOSE(CONTROL!$C$42, 121.5, 121.5)*CHOOSE(CONTROL!$C$42, 30, 30))/1000000</f>
        <v>0.417717</v>
      </c>
      <c r="X645" s="58">
        <f>(30*0.1790888*245000/1000000)+(30*0.2374*100000/1000000)</f>
        <v>2.0285026799999999</v>
      </c>
      <c r="Y645" s="58"/>
      <c r="Z645" s="10"/>
      <c r="AA645" s="57"/>
      <c r="AB645" s="51">
        <f>(B645*194.205+C645*267.466+D645*133.845+E645*53.484+F645*40+G645*185+H645*0+I645*100+J645*300)/(194.205+267.466+133.845+53.484+0+40+185+100+300)</f>
        <v>17.262719001412876</v>
      </c>
      <c r="AC645" s="27">
        <f>(M645*'RAP TEMPLATE-GAS AVAILABILITY'!O644+N645*'RAP TEMPLATE-GAS AVAILABILITY'!P644+O645*'RAP TEMPLATE-GAS AVAILABILITY'!Q644+P645*'RAP TEMPLATE-GAS AVAILABILITY'!R644)/('RAP TEMPLATE-GAS AVAILABILITY'!O644+'RAP TEMPLATE-GAS AVAILABILITY'!P644+'RAP TEMPLATE-GAS AVAILABILITY'!Q644+'RAP TEMPLATE-GAS AVAILABILITY'!R644)</f>
        <v>17.160687769784172</v>
      </c>
    </row>
    <row r="646" spans="1:29" ht="15.75" x14ac:dyDescent="0.25">
      <c r="A646" s="13">
        <v>60936</v>
      </c>
      <c r="B646" s="10">
        <f>CHOOSE(CONTROL!$C$42, 16.8867, 16.8867) * CHOOSE(CONTROL!$C$21, $C$9, 100%, $E$9)</f>
        <v>16.886700000000001</v>
      </c>
      <c r="C646" s="10">
        <f>CHOOSE(CONTROL!$C$42, 16.8919, 16.8919) * CHOOSE(CONTROL!$C$21, $C$9, 100%, $E$9)</f>
        <v>16.8919</v>
      </c>
      <c r="D646" s="10">
        <f>CHOOSE(CONTROL!$C$42, 17.0754, 17.0754) * CHOOSE(CONTROL!$C$21, $C$9, 100%, $E$9)</f>
        <v>17.075399999999998</v>
      </c>
      <c r="E646" s="10">
        <f>CHOOSE(CONTROL!$C$42, 17.1042, 17.1042) * CHOOSE(CONTROL!$C$21, $C$9, 100%, $E$9)</f>
        <v>17.104199999999999</v>
      </c>
      <c r="F646" s="10">
        <f>CHOOSE(CONTROL!$C$42, 16.875, 16.875)*CHOOSE(CONTROL!$C$21, $C$9, 100%, $E$9)</f>
        <v>16.875</v>
      </c>
      <c r="G646" s="10">
        <f>CHOOSE(CONTROL!$C$42, 16.8929, 16.8929)*CHOOSE(CONTROL!$C$21, $C$9, 100%, $E$9)</f>
        <v>16.892900000000001</v>
      </c>
      <c r="H646" s="10">
        <f>CHOOSE(CONTROL!$C$42, 17.0947, 17.0947) * CHOOSE(CONTROL!$C$21, $C$9, 100%, $E$9)</f>
        <v>17.0947</v>
      </c>
      <c r="I646" s="10">
        <f>CHOOSE(CONTROL!$C$42, 16.8653, 16.8653)* CHOOSE(CONTROL!$C$21, $C$9, 100%, $E$9)</f>
        <v>16.865300000000001</v>
      </c>
      <c r="J646" s="10">
        <f>CHOOSE(CONTROL!$C$42, 16.868, 16.868)* CHOOSE(CONTROL!$C$21, $C$9, 100%, $E$9)</f>
        <v>16.867999999999999</v>
      </c>
      <c r="K646" s="54">
        <f>CHOOSE(CONTROL!$C$42, 16.8615, 16.8615) * CHOOSE(CONTROL!$C$21, $C$9, 100%, $E$9)</f>
        <v>16.861499999999999</v>
      </c>
      <c r="L646" s="10">
        <f>CHOOSE(CONTROL!$C$42, 17.6817, 17.6817) * CHOOSE(CONTROL!$C$21, $C$9, 100%, $E$9)</f>
        <v>17.681699999999999</v>
      </c>
      <c r="M646" s="10">
        <f>CHOOSE(CONTROL!$C$42, 16.7116, 16.7116) * CHOOSE(CONTROL!$C$21, $C$9, 100%, $E$9)</f>
        <v>16.711600000000001</v>
      </c>
      <c r="N646" s="10">
        <f>CHOOSE(CONTROL!$C$42, 16.7293, 16.7293) * CHOOSE(CONTROL!$C$21, $C$9, 100%, $E$9)</f>
        <v>16.729299999999999</v>
      </c>
      <c r="O646" s="10">
        <f>CHOOSE(CONTROL!$C$42, 16.936, 16.936) * CHOOSE(CONTROL!$C$21, $C$9, 100%, $E$9)</f>
        <v>16.936</v>
      </c>
      <c r="P646" s="10">
        <f>CHOOSE(CONTROL!$C$42, 16.709, 16.709) * CHOOSE(CONTROL!$C$21, $C$9, 100%, $E$9)</f>
        <v>16.709</v>
      </c>
      <c r="Q646" s="10">
        <f>CHOOSE(CONTROL!$C$42, 17.5313, 17.5313) * CHOOSE(CONTROL!$C$21, $C$9, 100%, $E$9)</f>
        <v>17.531300000000002</v>
      </c>
      <c r="R646" s="10">
        <f>CHOOSE(CONTROL!$C$42, 18.1621, 18.1621) * CHOOSE(CONTROL!$C$21, $C$9, 100%, $E$9)</f>
        <v>18.162099999999999</v>
      </c>
      <c r="S646" s="10">
        <f>CHOOSE(CONTROL!$C$42, 16.3961, 16.3961) * CHOOSE(CONTROL!$C$21, $C$9, 100%, $E$9)</f>
        <v>16.396100000000001</v>
      </c>
      <c r="T646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646" s="58">
        <f>(1000*CHOOSE(CONTROL!$C$42, 695, 695)*CHOOSE(CONTROL!$C$42, 0.5599, 0.5599)*CHOOSE(CONTROL!$C$42, 31, 31))/1000000</f>
        <v>12.063045499999998</v>
      </c>
      <c r="V646" s="58">
        <f>(1000*CHOOSE(CONTROL!$C$42, 500, 500)*CHOOSE(CONTROL!$C$42, 0.275, 0.275)*CHOOSE(CONTROL!$C$42, 31, 31))/1000000</f>
        <v>4.2625000000000002</v>
      </c>
      <c r="W646" s="58">
        <f>(1000*CHOOSE(CONTROL!$C$42, 0.1146, 0.1146)*CHOOSE(CONTROL!$C$42, 121.5, 121.5)*CHOOSE(CONTROL!$C$42, 31, 31))/1000000</f>
        <v>0.43164089999999994</v>
      </c>
      <c r="X646" s="58">
        <f>(31*0.1790888*245000/1000000)+(31*0.2374*100000/1000000)</f>
        <v>2.0961194359999999</v>
      </c>
      <c r="Y646" s="58"/>
      <c r="Z646" s="10"/>
      <c r="AA646" s="57"/>
      <c r="AB646" s="51">
        <f>(B646*131.881+C646*277.167+D646*79.08+E646*125.872+F646*40+G646*185+H646*0+I646*100+J646*300)/(131.881+277.167+79.08+125.872+0+40+185+100+300)</f>
        <v>16.916296307021792</v>
      </c>
      <c r="AC646" s="27">
        <f>(M646*'RAP TEMPLATE-GAS AVAILABILITY'!O645+N646*'RAP TEMPLATE-GAS AVAILABILITY'!P645+O646*'RAP TEMPLATE-GAS AVAILABILITY'!Q645+P646*'RAP TEMPLATE-GAS AVAILABILITY'!R645)/('RAP TEMPLATE-GAS AVAILABILITY'!O645+'RAP TEMPLATE-GAS AVAILABILITY'!P645+'RAP TEMPLATE-GAS AVAILABILITY'!Q645+'RAP TEMPLATE-GAS AVAILABILITY'!R645)</f>
        <v>16.81395107913669</v>
      </c>
    </row>
    <row r="647" spans="1:29" ht="15.75" x14ac:dyDescent="0.25">
      <c r="A647" s="13">
        <v>60966</v>
      </c>
      <c r="B647" s="10">
        <f>CHOOSE(CONTROL!$C$42, 17.3311, 17.3311) * CHOOSE(CONTROL!$C$21, $C$9, 100%, $E$9)</f>
        <v>17.331099999999999</v>
      </c>
      <c r="C647" s="10">
        <f>CHOOSE(CONTROL!$C$42, 17.336, 17.336) * CHOOSE(CONTROL!$C$21, $C$9, 100%, $E$9)</f>
        <v>17.335999999999999</v>
      </c>
      <c r="D647" s="10">
        <f>CHOOSE(CONTROL!$C$42, 17.3656, 17.3656) * CHOOSE(CONTROL!$C$21, $C$9, 100%, $E$9)</f>
        <v>17.365600000000001</v>
      </c>
      <c r="E647" s="10">
        <f>CHOOSE(CONTROL!$C$42, 17.3994, 17.3994) * CHOOSE(CONTROL!$C$21, $C$9, 100%, $E$9)</f>
        <v>17.3994</v>
      </c>
      <c r="F647" s="10">
        <f>CHOOSE(CONTROL!$C$42, 17.3168, 17.3168)*CHOOSE(CONTROL!$C$21, $C$9, 100%, $E$9)</f>
        <v>17.316800000000001</v>
      </c>
      <c r="G647" s="10">
        <f>CHOOSE(CONTROL!$C$42, 17.3349, 17.3349)*CHOOSE(CONTROL!$C$21, $C$9, 100%, $E$9)</f>
        <v>17.334900000000001</v>
      </c>
      <c r="H647" s="10">
        <f>CHOOSE(CONTROL!$C$42, 17.3886, 17.3886) * CHOOSE(CONTROL!$C$21, $C$9, 100%, $E$9)</f>
        <v>17.3886</v>
      </c>
      <c r="I647" s="10">
        <f>CHOOSE(CONTROL!$C$42, 17.2973, 17.2973)* CHOOSE(CONTROL!$C$21, $C$9, 100%, $E$9)</f>
        <v>17.2973</v>
      </c>
      <c r="J647" s="10">
        <f>CHOOSE(CONTROL!$C$42, 17.3098, 17.3098)* CHOOSE(CONTROL!$C$21, $C$9, 100%, $E$9)</f>
        <v>17.309799999999999</v>
      </c>
      <c r="K647" s="54">
        <f>CHOOSE(CONTROL!$C$42, 17.2934, 17.2934) * CHOOSE(CONTROL!$C$21, $C$9, 100%, $E$9)</f>
        <v>17.293399999999998</v>
      </c>
      <c r="L647" s="10">
        <f>CHOOSE(CONTROL!$C$42, 17.9756, 17.9756) * CHOOSE(CONTROL!$C$21, $C$9, 100%, $E$9)</f>
        <v>17.9756</v>
      </c>
      <c r="M647" s="10">
        <f>CHOOSE(CONTROL!$C$42, 17.149, 17.149) * CHOOSE(CONTROL!$C$21, $C$9, 100%, $E$9)</f>
        <v>17.149000000000001</v>
      </c>
      <c r="N647" s="10">
        <f>CHOOSE(CONTROL!$C$42, 17.1668, 17.1668) * CHOOSE(CONTROL!$C$21, $C$9, 100%, $E$9)</f>
        <v>17.166799999999999</v>
      </c>
      <c r="O647" s="10">
        <f>CHOOSE(CONTROL!$C$42, 17.227, 17.227) * CHOOSE(CONTROL!$C$21, $C$9, 100%, $E$9)</f>
        <v>17.227</v>
      </c>
      <c r="P647" s="10">
        <f>CHOOSE(CONTROL!$C$42, 17.1366, 17.1366) * CHOOSE(CONTROL!$C$21, $C$9, 100%, $E$9)</f>
        <v>17.136600000000001</v>
      </c>
      <c r="Q647" s="10">
        <f>CHOOSE(CONTROL!$C$42, 17.8223, 17.8223) * CHOOSE(CONTROL!$C$21, $C$9, 100%, $E$9)</f>
        <v>17.822299999999998</v>
      </c>
      <c r="R647" s="10">
        <f>CHOOSE(CONTROL!$C$42, 18.4538, 18.4538) * CHOOSE(CONTROL!$C$21, $C$9, 100%, $E$9)</f>
        <v>18.453800000000001</v>
      </c>
      <c r="S647" s="10">
        <f>CHOOSE(CONTROL!$C$42, 16.8281, 16.8281) * CHOOSE(CONTROL!$C$21, $C$9, 100%, $E$9)</f>
        <v>16.828099999999999</v>
      </c>
      <c r="T647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647" s="58">
        <f>(1000*CHOOSE(CONTROL!$C$42, 695, 695)*CHOOSE(CONTROL!$C$42, 0.5599, 0.5599)*CHOOSE(CONTROL!$C$42, 30, 30))/1000000</f>
        <v>11.673914999999997</v>
      </c>
      <c r="V647" s="58">
        <f>(1000*CHOOSE(CONTROL!$C$42, 500, 500)*CHOOSE(CONTROL!$C$42, 0.275, 0.275)*CHOOSE(CONTROL!$C$42, 30, 30))/1000000</f>
        <v>4.125</v>
      </c>
      <c r="W647" s="58">
        <f>(1000*CHOOSE(CONTROL!$C$42, 0.1146, 0.1146)*CHOOSE(CONTROL!$C$42, 121.5, 121.5)*CHOOSE(CONTROL!$C$42, 30, 30))/1000000</f>
        <v>0.417717</v>
      </c>
      <c r="X647" s="58">
        <f>(30*0.1790888*100000/1000000)+(30*0.2374*100000/1000000)</f>
        <v>1.2494664</v>
      </c>
      <c r="Y647" s="58"/>
      <c r="Z647" s="10"/>
      <c r="AA647" s="57"/>
      <c r="AB647" s="51">
        <f>(B647*122.58+C647*297.941+D647*89.177+E647*40.302+F647*40+G647*160+H647*0+I647*100+J647*300)/(122.58+297.941+89.177+40.302+0+40+160+100+300)</f>
        <v>17.328974038260871</v>
      </c>
      <c r="AC647" s="27">
        <f>(M647*'RAP TEMPLATE-GAS AVAILABILITY'!O646+N647*'RAP TEMPLATE-GAS AVAILABILITY'!P646+O647*'RAP TEMPLATE-GAS AVAILABILITY'!Q646+P647*'RAP TEMPLATE-GAS AVAILABILITY'!R646)/('RAP TEMPLATE-GAS AVAILABILITY'!O646+'RAP TEMPLATE-GAS AVAILABILITY'!P646+'RAP TEMPLATE-GAS AVAILABILITY'!Q646+'RAP TEMPLATE-GAS AVAILABILITY'!R646)</f>
        <v>17.183592805755396</v>
      </c>
    </row>
    <row r="648" spans="1:29" ht="15.75" x14ac:dyDescent="0.25">
      <c r="A648" s="13">
        <v>60997</v>
      </c>
      <c r="B648" s="10">
        <f>CHOOSE(CONTROL!$C$42, 18.5125, 18.5125) * CHOOSE(CONTROL!$C$21, $C$9, 100%, $E$9)</f>
        <v>18.512499999999999</v>
      </c>
      <c r="C648" s="10">
        <f>CHOOSE(CONTROL!$C$42, 18.5175, 18.5175) * CHOOSE(CONTROL!$C$21, $C$9, 100%, $E$9)</f>
        <v>18.517499999999998</v>
      </c>
      <c r="D648" s="10">
        <f>CHOOSE(CONTROL!$C$42, 18.5471, 18.5471) * CHOOSE(CONTROL!$C$21, $C$9, 100%, $E$9)</f>
        <v>18.5471</v>
      </c>
      <c r="E648" s="10">
        <f>CHOOSE(CONTROL!$C$42, 18.5808, 18.5808) * CHOOSE(CONTROL!$C$21, $C$9, 100%, $E$9)</f>
        <v>18.5808</v>
      </c>
      <c r="F648" s="10">
        <f>CHOOSE(CONTROL!$C$42, 18.4998, 18.4998)*CHOOSE(CONTROL!$C$21, $C$9, 100%, $E$9)</f>
        <v>18.4998</v>
      </c>
      <c r="G648" s="10">
        <f>CHOOSE(CONTROL!$C$42, 18.5183, 18.5183)*CHOOSE(CONTROL!$C$21, $C$9, 100%, $E$9)</f>
        <v>18.5183</v>
      </c>
      <c r="H648" s="10">
        <f>CHOOSE(CONTROL!$C$42, 18.57, 18.57) * CHOOSE(CONTROL!$C$21, $C$9, 100%, $E$9)</f>
        <v>18.57</v>
      </c>
      <c r="I648" s="10">
        <f>CHOOSE(CONTROL!$C$42, 18.4787, 18.4787)* CHOOSE(CONTROL!$C$21, $C$9, 100%, $E$9)</f>
        <v>18.4787</v>
      </c>
      <c r="J648" s="10">
        <f>CHOOSE(CONTROL!$C$42, 18.4928, 18.4928)* CHOOSE(CONTROL!$C$21, $C$9, 100%, $E$9)</f>
        <v>18.492799999999999</v>
      </c>
      <c r="K648" s="54">
        <f>CHOOSE(CONTROL!$C$42, 18.4748, 18.4748) * CHOOSE(CONTROL!$C$21, $C$9, 100%, $E$9)</f>
        <v>18.474799999999998</v>
      </c>
      <c r="L648" s="10">
        <f>CHOOSE(CONTROL!$C$42, 19.157, 19.157) * CHOOSE(CONTROL!$C$21, $C$9, 100%, $E$9)</f>
        <v>19.157</v>
      </c>
      <c r="M648" s="10">
        <f>CHOOSE(CONTROL!$C$42, 18.32, 18.32) * CHOOSE(CONTROL!$C$21, $C$9, 100%, $E$9)</f>
        <v>18.32</v>
      </c>
      <c r="N648" s="10">
        <f>CHOOSE(CONTROL!$C$42, 18.3383, 18.3383) * CHOOSE(CONTROL!$C$21, $C$9, 100%, $E$9)</f>
        <v>18.3383</v>
      </c>
      <c r="O648" s="10">
        <f>CHOOSE(CONTROL!$C$42, 18.3965, 18.3965) * CHOOSE(CONTROL!$C$21, $C$9, 100%, $E$9)</f>
        <v>18.3965</v>
      </c>
      <c r="P648" s="10">
        <f>CHOOSE(CONTROL!$C$42, 18.3061, 18.3061) * CHOOSE(CONTROL!$C$21, $C$9, 100%, $E$9)</f>
        <v>18.306100000000001</v>
      </c>
      <c r="Q648" s="10">
        <f>CHOOSE(CONTROL!$C$42, 18.9918, 18.9918) * CHOOSE(CONTROL!$C$21, $C$9, 100%, $E$9)</f>
        <v>18.991800000000001</v>
      </c>
      <c r="R648" s="10">
        <f>CHOOSE(CONTROL!$C$42, 19.6262, 19.6262) * CHOOSE(CONTROL!$C$21, $C$9, 100%, $E$9)</f>
        <v>19.626200000000001</v>
      </c>
      <c r="S648" s="10">
        <f>CHOOSE(CONTROL!$C$42, 17.9754, 17.9754) * CHOOSE(CONTROL!$C$21, $C$9, 100%, $E$9)</f>
        <v>17.9754</v>
      </c>
      <c r="T648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48" s="58">
        <f>(1000*CHOOSE(CONTROL!$C$42, 695, 695)*CHOOSE(CONTROL!$C$42, 0.5599, 0.5599)*CHOOSE(CONTROL!$C$42, 31, 31))/1000000</f>
        <v>12.063045499999998</v>
      </c>
      <c r="V648" s="58">
        <f>(1000*CHOOSE(CONTROL!$C$42, 500, 500)*CHOOSE(CONTROL!$C$42, 0.275, 0.275)*CHOOSE(CONTROL!$C$42, 31, 31))/1000000</f>
        <v>4.2625000000000002</v>
      </c>
      <c r="W648" s="58">
        <f>(1000*CHOOSE(CONTROL!$C$42, 0.1146, 0.1146)*CHOOSE(CONTROL!$C$42, 121.5, 121.5)*CHOOSE(CONTROL!$C$42, 31, 31))/1000000</f>
        <v>0.43164089999999994</v>
      </c>
      <c r="X648" s="58">
        <f>(31*0.1790888*100000/1000000)+(31*0.2374*100000/1000000)</f>
        <v>1.2911152800000001</v>
      </c>
      <c r="Y648" s="58"/>
      <c r="Z648" s="10"/>
      <c r="AA648" s="57"/>
      <c r="AB648" s="51">
        <f>(B648*122.58+C648*297.941+D648*89.177+E648*40.302+F648*40+G648*160+H648*0+I648*100+J648*300)/(122.58+297.941+89.177+40.302+0+40+160+100+300)</f>
        <v>18.511159005043478</v>
      </c>
      <c r="AC648" s="27">
        <f>(M648*'RAP TEMPLATE-GAS AVAILABILITY'!O647+N648*'RAP TEMPLATE-GAS AVAILABILITY'!P647+O648*'RAP TEMPLATE-GAS AVAILABILITY'!Q647+P648*'RAP TEMPLATE-GAS AVAILABILITY'!R647)/('RAP TEMPLATE-GAS AVAILABILITY'!O647+'RAP TEMPLATE-GAS AVAILABILITY'!P647+'RAP TEMPLATE-GAS AVAILABILITY'!Q647+'RAP TEMPLATE-GAS AVAILABILITY'!R647)</f>
        <v>18.35372589928058</v>
      </c>
    </row>
    <row r="649" spans="1:29" ht="15.75" x14ac:dyDescent="0.25">
      <c r="A649" s="13">
        <v>61028</v>
      </c>
      <c r="B649" s="10">
        <f>CHOOSE(CONTROL!$C$42, 19.7618, 19.7618) * CHOOSE(CONTROL!$C$21, $C$9, 100%, $E$9)</f>
        <v>19.761800000000001</v>
      </c>
      <c r="C649" s="10">
        <f>CHOOSE(CONTROL!$C$42, 19.7667, 19.7667) * CHOOSE(CONTROL!$C$21, $C$9, 100%, $E$9)</f>
        <v>19.7667</v>
      </c>
      <c r="D649" s="10">
        <f>CHOOSE(CONTROL!$C$42, 19.8169, 19.8169) * CHOOSE(CONTROL!$C$21, $C$9, 100%, $E$9)</f>
        <v>19.8169</v>
      </c>
      <c r="E649" s="10">
        <f>CHOOSE(CONTROL!$C$42, 19.8507, 19.8507) * CHOOSE(CONTROL!$C$21, $C$9, 100%, $E$9)</f>
        <v>19.8507</v>
      </c>
      <c r="F649" s="10">
        <f>CHOOSE(CONTROL!$C$42, 19.7272, 19.7272)*CHOOSE(CONTROL!$C$21, $C$9, 100%, $E$9)</f>
        <v>19.7272</v>
      </c>
      <c r="G649" s="10">
        <f>CHOOSE(CONTROL!$C$42, 19.7447, 19.7447)*CHOOSE(CONTROL!$C$21, $C$9, 100%, $E$9)</f>
        <v>19.744700000000002</v>
      </c>
      <c r="H649" s="10">
        <f>CHOOSE(CONTROL!$C$42, 19.8399, 19.8399) * CHOOSE(CONTROL!$C$21, $C$9, 100%, $E$9)</f>
        <v>19.8399</v>
      </c>
      <c r="I649" s="10">
        <f>CHOOSE(CONTROL!$C$42, 19.7357, 19.7357)* CHOOSE(CONTROL!$C$21, $C$9, 100%, $E$9)</f>
        <v>19.735700000000001</v>
      </c>
      <c r="J649" s="10">
        <f>CHOOSE(CONTROL!$C$42, 19.7202, 19.7202)* CHOOSE(CONTROL!$C$21, $C$9, 100%, $E$9)</f>
        <v>19.720199999999998</v>
      </c>
      <c r="K649" s="54">
        <f>CHOOSE(CONTROL!$C$42, 19.7318, 19.7318) * CHOOSE(CONTROL!$C$21, $C$9, 100%, $E$9)</f>
        <v>19.7318</v>
      </c>
      <c r="L649" s="10">
        <f>CHOOSE(CONTROL!$C$42, 20.4269, 20.4269) * CHOOSE(CONTROL!$C$21, $C$9, 100%, $E$9)</f>
        <v>20.4269</v>
      </c>
      <c r="M649" s="10">
        <f>CHOOSE(CONTROL!$C$42, 19.535, 19.535) * CHOOSE(CONTROL!$C$21, $C$9, 100%, $E$9)</f>
        <v>19.535</v>
      </c>
      <c r="N649" s="10">
        <f>CHOOSE(CONTROL!$C$42, 19.5523, 19.5523) * CHOOSE(CONTROL!$C$21, $C$9, 100%, $E$9)</f>
        <v>19.552299999999999</v>
      </c>
      <c r="O649" s="10">
        <f>CHOOSE(CONTROL!$C$42, 19.6535, 19.6535) * CHOOSE(CONTROL!$C$21, $C$9, 100%, $E$9)</f>
        <v>19.653500000000001</v>
      </c>
      <c r="P649" s="10">
        <f>CHOOSE(CONTROL!$C$42, 19.5504, 19.5504) * CHOOSE(CONTROL!$C$21, $C$9, 100%, $E$9)</f>
        <v>19.5504</v>
      </c>
      <c r="Q649" s="10">
        <f>CHOOSE(CONTROL!$C$42, 20.2488, 20.2488) * CHOOSE(CONTROL!$C$21, $C$9, 100%, $E$9)</f>
        <v>20.248799999999999</v>
      </c>
      <c r="R649" s="10">
        <f>CHOOSE(CONTROL!$C$42, 20.8865, 20.8865) * CHOOSE(CONTROL!$C$21, $C$9, 100%, $E$9)</f>
        <v>20.886500000000002</v>
      </c>
      <c r="S649" s="10">
        <f>CHOOSE(CONTROL!$C$42, 19.1885, 19.1885) * CHOOSE(CONTROL!$C$21, $C$9, 100%, $E$9)</f>
        <v>19.188500000000001</v>
      </c>
      <c r="T649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49" s="58">
        <f>(1000*CHOOSE(CONTROL!$C$42, 695, 695)*CHOOSE(CONTROL!$C$42, 0.5599, 0.5599)*CHOOSE(CONTROL!$C$42, 31, 31))/1000000</f>
        <v>12.063045499999998</v>
      </c>
      <c r="V649" s="58">
        <f>(1000*CHOOSE(CONTROL!$C$42, 500, 500)*CHOOSE(CONTROL!$C$42, 0.275, 0.275)*CHOOSE(CONTROL!$C$42, 31, 31))/1000000</f>
        <v>4.2625000000000002</v>
      </c>
      <c r="W649" s="58">
        <f>(1000*CHOOSE(CONTROL!$C$42, 0.1146, 0.1146)*CHOOSE(CONTROL!$C$42, 121.5, 121.5)*CHOOSE(CONTROL!$C$42, 31, 31))/1000000</f>
        <v>0.43164089999999994</v>
      </c>
      <c r="X649" s="58">
        <f>(31*0.1790888*100000/1000000)+(31*0.2374*100000/1000000)</f>
        <v>1.2911152800000001</v>
      </c>
      <c r="Y649" s="58"/>
      <c r="Z649" s="10"/>
      <c r="AA649" s="57"/>
      <c r="AB649" s="51">
        <f>(B649*122.58+C649*297.941+D649*89.177+E649*40.302+F649*40+G649*160+H649*0+I649*100+J649*300)/(122.58+297.941+89.177+40.302+0+40+160+100+300)</f>
        <v>19.753753401217395</v>
      </c>
      <c r="AC649" s="27">
        <f>(M649*'RAP TEMPLATE-GAS AVAILABILITY'!O648+N649*'RAP TEMPLATE-GAS AVAILABILITY'!P648+O649*'RAP TEMPLATE-GAS AVAILABILITY'!Q648+P649*'RAP TEMPLATE-GAS AVAILABILITY'!R648)/('RAP TEMPLATE-GAS AVAILABILITY'!O648+'RAP TEMPLATE-GAS AVAILABILITY'!P648+'RAP TEMPLATE-GAS AVAILABILITY'!Q648+'RAP TEMPLATE-GAS AVAILABILITY'!R648)</f>
        <v>19.591920143884892</v>
      </c>
    </row>
    <row r="650" spans="1:29" ht="15.75" x14ac:dyDescent="0.25">
      <c r="A650" s="13">
        <v>61056</v>
      </c>
      <c r="B650" s="10">
        <f>CHOOSE(CONTROL!$C$42, 20.1135, 20.1135) * CHOOSE(CONTROL!$C$21, $C$9, 100%, $E$9)</f>
        <v>20.113499999999998</v>
      </c>
      <c r="C650" s="10">
        <f>CHOOSE(CONTROL!$C$42, 20.1185, 20.1185) * CHOOSE(CONTROL!$C$21, $C$9, 100%, $E$9)</f>
        <v>20.118500000000001</v>
      </c>
      <c r="D650" s="10">
        <f>CHOOSE(CONTROL!$C$42, 20.2356, 20.2356) * CHOOSE(CONTROL!$C$21, $C$9, 100%, $E$9)</f>
        <v>20.235600000000002</v>
      </c>
      <c r="E650" s="10">
        <f>CHOOSE(CONTROL!$C$42, 20.2694, 20.2694) * CHOOSE(CONTROL!$C$21, $C$9, 100%, $E$9)</f>
        <v>20.269400000000001</v>
      </c>
      <c r="F650" s="10">
        <f>CHOOSE(CONTROL!$C$42, 20.1911, 20.1911)*CHOOSE(CONTROL!$C$21, $C$9, 100%, $E$9)</f>
        <v>20.191099999999999</v>
      </c>
      <c r="G650" s="10">
        <f>CHOOSE(CONTROL!$C$42, 20.213, 20.213)*CHOOSE(CONTROL!$C$21, $C$9, 100%, $E$9)</f>
        <v>20.213000000000001</v>
      </c>
      <c r="H650" s="10">
        <f>CHOOSE(CONTROL!$C$42, 20.2586, 20.2586) * CHOOSE(CONTROL!$C$21, $C$9, 100%, $E$9)</f>
        <v>20.258600000000001</v>
      </c>
      <c r="I650" s="10">
        <f>CHOOSE(CONTROL!$C$42, 20.1492, 20.1492)* CHOOSE(CONTROL!$C$21, $C$9, 100%, $E$9)</f>
        <v>20.1492</v>
      </c>
      <c r="J650" s="10">
        <f>CHOOSE(CONTROL!$C$42, 20.1841, 20.1841)* CHOOSE(CONTROL!$C$21, $C$9, 100%, $E$9)</f>
        <v>20.184100000000001</v>
      </c>
      <c r="K650" s="54">
        <f>CHOOSE(CONTROL!$C$42, 20.1453, 20.1453) * CHOOSE(CONTROL!$C$21, $C$9, 100%, $E$9)</f>
        <v>20.145299999999999</v>
      </c>
      <c r="L650" s="10">
        <f>CHOOSE(CONTROL!$C$42, 20.8456, 20.8456) * CHOOSE(CONTROL!$C$21, $C$9, 100%, $E$9)</f>
        <v>20.845600000000001</v>
      </c>
      <c r="M650" s="10">
        <f>CHOOSE(CONTROL!$C$42, 19.9943, 19.9943) * CHOOSE(CONTROL!$C$21, $C$9, 100%, $E$9)</f>
        <v>19.994299999999999</v>
      </c>
      <c r="N650" s="10">
        <f>CHOOSE(CONTROL!$C$42, 20.0159, 20.0159) * CHOOSE(CONTROL!$C$21, $C$9, 100%, $E$9)</f>
        <v>20.015899999999998</v>
      </c>
      <c r="O650" s="10">
        <f>CHOOSE(CONTROL!$C$42, 20.068, 20.068) * CHOOSE(CONTROL!$C$21, $C$9, 100%, $E$9)</f>
        <v>20.068000000000001</v>
      </c>
      <c r="P650" s="10">
        <f>CHOOSE(CONTROL!$C$42, 19.9597, 19.9597) * CHOOSE(CONTROL!$C$21, $C$9, 100%, $E$9)</f>
        <v>19.959700000000002</v>
      </c>
      <c r="Q650" s="10">
        <f>CHOOSE(CONTROL!$C$42, 20.6633, 20.6633) * CHOOSE(CONTROL!$C$21, $C$9, 100%, $E$9)</f>
        <v>20.6633</v>
      </c>
      <c r="R650" s="10">
        <f>CHOOSE(CONTROL!$C$42, 21.3019, 21.3019) * CHOOSE(CONTROL!$C$21, $C$9, 100%, $E$9)</f>
        <v>21.3019</v>
      </c>
      <c r="S650" s="10">
        <f>CHOOSE(CONTROL!$C$42, 19.5301, 19.5301) * CHOOSE(CONTROL!$C$21, $C$9, 100%, $E$9)</f>
        <v>19.530100000000001</v>
      </c>
      <c r="T650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650" s="58">
        <f>(1000*CHOOSE(CONTROL!$C$42, 695, 695)*CHOOSE(CONTROL!$C$42, 0.5599, 0.5599)*CHOOSE(CONTROL!$C$42, 28, 28))/1000000</f>
        <v>10.895653999999999</v>
      </c>
      <c r="V650" s="58">
        <f>(1000*CHOOSE(CONTROL!$C$42, 500, 500)*CHOOSE(CONTROL!$C$42, 0.275, 0.275)*CHOOSE(CONTROL!$C$42, 28, 28))/1000000</f>
        <v>3.85</v>
      </c>
      <c r="W650" s="58">
        <f>(1000*CHOOSE(CONTROL!$C$42, 0.1146, 0.1146)*CHOOSE(CONTROL!$C$42, 121.5, 121.5)*CHOOSE(CONTROL!$C$42, 28, 28))/1000000</f>
        <v>0.38986920000000003</v>
      </c>
      <c r="X650" s="58">
        <f>(28*0.1790888*100000/1000000)+(28*0.2374*100000/1000000)</f>
        <v>1.16616864</v>
      </c>
      <c r="Y650" s="58"/>
      <c r="Z650" s="10"/>
      <c r="AA650" s="57"/>
      <c r="AB650" s="51">
        <f>(B650*122.58+C650*297.941+D650*89.177+E650*40.302+F650*40+G650*160+H650*0+I650*100+J650*300)/(122.58+297.941+89.177+40.302+0+40+160+100+300)</f>
        <v>20.167791563913042</v>
      </c>
      <c r="AC650" s="27">
        <f>(M650*'RAP TEMPLATE-GAS AVAILABILITY'!O649+N650*'RAP TEMPLATE-GAS AVAILABILITY'!P649+O650*'RAP TEMPLATE-GAS AVAILABILITY'!Q649+P650*'RAP TEMPLATE-GAS AVAILABILITY'!R649)/('RAP TEMPLATE-GAS AVAILABILITY'!O649+'RAP TEMPLATE-GAS AVAILABILITY'!P649+'RAP TEMPLATE-GAS AVAILABILITY'!Q649+'RAP TEMPLATE-GAS AVAILABILITY'!R649)</f>
        <v>20.023968345323741</v>
      </c>
    </row>
    <row r="651" spans="1:29" ht="15.75" x14ac:dyDescent="0.25">
      <c r="A651" s="13">
        <v>61087</v>
      </c>
      <c r="B651" s="10">
        <f>CHOOSE(CONTROL!$C$42, 19.5426, 19.5426) * CHOOSE(CONTROL!$C$21, $C$9, 100%, $E$9)</f>
        <v>19.5426</v>
      </c>
      <c r="C651" s="10">
        <f>CHOOSE(CONTROL!$C$42, 19.5475, 19.5475) * CHOOSE(CONTROL!$C$21, $C$9, 100%, $E$9)</f>
        <v>19.547499999999999</v>
      </c>
      <c r="D651" s="10">
        <f>CHOOSE(CONTROL!$C$42, 19.6389, 19.6389) * CHOOSE(CONTROL!$C$21, $C$9, 100%, $E$9)</f>
        <v>19.6389</v>
      </c>
      <c r="E651" s="10">
        <f>CHOOSE(CONTROL!$C$42, 19.6727, 19.6727) * CHOOSE(CONTROL!$C$21, $C$9, 100%, $E$9)</f>
        <v>19.672699999999999</v>
      </c>
      <c r="F651" s="10">
        <f>CHOOSE(CONTROL!$C$42, 19.5724, 19.5724)*CHOOSE(CONTROL!$C$21, $C$9, 100%, $E$9)</f>
        <v>19.572399999999998</v>
      </c>
      <c r="G651" s="10">
        <f>CHOOSE(CONTROL!$C$42, 19.5919, 19.5919)*CHOOSE(CONTROL!$C$21, $C$9, 100%, $E$9)</f>
        <v>19.591899999999999</v>
      </c>
      <c r="H651" s="10">
        <f>CHOOSE(CONTROL!$C$42, 19.6619, 19.6619) * CHOOSE(CONTROL!$C$21, $C$9, 100%, $E$9)</f>
        <v>19.661899999999999</v>
      </c>
      <c r="I651" s="10">
        <f>CHOOSE(CONTROL!$C$42, 19.5654, 19.5654)* CHOOSE(CONTROL!$C$21, $C$9, 100%, $E$9)</f>
        <v>19.5654</v>
      </c>
      <c r="J651" s="10">
        <f>CHOOSE(CONTROL!$C$42, 19.5654, 19.5654)* CHOOSE(CONTROL!$C$21, $C$9, 100%, $E$9)</f>
        <v>19.5654</v>
      </c>
      <c r="K651" s="54">
        <f>CHOOSE(CONTROL!$C$42, 19.5615, 19.5615) * CHOOSE(CONTROL!$C$21, $C$9, 100%, $E$9)</f>
        <v>19.561499999999999</v>
      </c>
      <c r="L651" s="10">
        <f>CHOOSE(CONTROL!$C$42, 20.2489, 20.2489) * CHOOSE(CONTROL!$C$21, $C$9, 100%, $E$9)</f>
        <v>20.248899999999999</v>
      </c>
      <c r="M651" s="10">
        <f>CHOOSE(CONTROL!$C$42, 19.3818, 19.3818) * CHOOSE(CONTROL!$C$21, $C$9, 100%, $E$9)</f>
        <v>19.381799999999998</v>
      </c>
      <c r="N651" s="10">
        <f>CHOOSE(CONTROL!$C$42, 19.4011, 19.4011) * CHOOSE(CONTROL!$C$21, $C$9, 100%, $E$9)</f>
        <v>19.4011</v>
      </c>
      <c r="O651" s="10">
        <f>CHOOSE(CONTROL!$C$42, 19.4773, 19.4773) * CHOOSE(CONTROL!$C$21, $C$9, 100%, $E$9)</f>
        <v>19.4773</v>
      </c>
      <c r="P651" s="10">
        <f>CHOOSE(CONTROL!$C$42, 19.3818, 19.3818) * CHOOSE(CONTROL!$C$21, $C$9, 100%, $E$9)</f>
        <v>19.381799999999998</v>
      </c>
      <c r="Q651" s="10">
        <f>CHOOSE(CONTROL!$C$42, 20.0726, 20.0726) * CHOOSE(CONTROL!$C$21, $C$9, 100%, $E$9)</f>
        <v>20.072600000000001</v>
      </c>
      <c r="R651" s="10">
        <f>CHOOSE(CONTROL!$C$42, 20.7098, 20.7098) * CHOOSE(CONTROL!$C$21, $C$9, 100%, $E$9)</f>
        <v>20.709800000000001</v>
      </c>
      <c r="S651" s="10">
        <f>CHOOSE(CONTROL!$C$42, 18.9757, 18.9757) * CHOOSE(CONTROL!$C$21, $C$9, 100%, $E$9)</f>
        <v>18.9757</v>
      </c>
      <c r="T651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51" s="58">
        <f>(1000*CHOOSE(CONTROL!$C$42, 695, 695)*CHOOSE(CONTROL!$C$42, 0.5599, 0.5599)*CHOOSE(CONTROL!$C$42, 31, 31))/1000000</f>
        <v>12.063045499999998</v>
      </c>
      <c r="V651" s="58">
        <f>(1000*CHOOSE(CONTROL!$C$42, 500, 500)*CHOOSE(CONTROL!$C$42, 0.275, 0.275)*CHOOSE(CONTROL!$C$42, 31, 31))/1000000</f>
        <v>4.2625000000000002</v>
      </c>
      <c r="W651" s="58">
        <f>(1000*CHOOSE(CONTROL!$C$42, 0.1146, 0.1146)*CHOOSE(CONTROL!$C$42, 121.5, 121.5)*CHOOSE(CONTROL!$C$42, 31, 31))/1000000</f>
        <v>0.43164089999999994</v>
      </c>
      <c r="X651" s="58">
        <f>(31*0.1790888*100000/1000000)+(31*0.2374*100000/1000000)</f>
        <v>1.2911152800000001</v>
      </c>
      <c r="Y651" s="58"/>
      <c r="Z651" s="10"/>
      <c r="AA651" s="57"/>
      <c r="AB651" s="51">
        <f>(B651*122.58+C651*297.941+D651*89.177+E651*40.302+F651*40+G651*160+H651*0+I651*100+J651*300)/(122.58+297.941+89.177+40.302+0+40+160+100+300)</f>
        <v>19.571722561913042</v>
      </c>
      <c r="AC651" s="27">
        <f>(M651*'RAP TEMPLATE-GAS AVAILABILITY'!O650+N651*'RAP TEMPLATE-GAS AVAILABILITY'!P650+O651*'RAP TEMPLATE-GAS AVAILABILITY'!Q650+P651*'RAP TEMPLATE-GAS AVAILABILITY'!R650)/('RAP TEMPLATE-GAS AVAILABILITY'!O650+'RAP TEMPLATE-GAS AVAILABILITY'!P650+'RAP TEMPLATE-GAS AVAILABILITY'!Q650+'RAP TEMPLATE-GAS AVAILABILITY'!R650)</f>
        <v>19.426194964028777</v>
      </c>
    </row>
    <row r="652" spans="1:29" ht="15.75" x14ac:dyDescent="0.25">
      <c r="A652" s="13">
        <v>61117</v>
      </c>
      <c r="B652" s="10">
        <f>CHOOSE(CONTROL!$C$42, 19.4848, 19.4848) * CHOOSE(CONTROL!$C$21, $C$9, 100%, $E$9)</f>
        <v>19.4848</v>
      </c>
      <c r="C652" s="10">
        <f>CHOOSE(CONTROL!$C$42, 19.4892, 19.4892) * CHOOSE(CONTROL!$C$21, $C$9, 100%, $E$9)</f>
        <v>19.4892</v>
      </c>
      <c r="D652" s="10">
        <f>CHOOSE(CONTROL!$C$42, 19.6709, 19.6709) * CHOOSE(CONTROL!$C$21, $C$9, 100%, $E$9)</f>
        <v>19.6709</v>
      </c>
      <c r="E652" s="10">
        <f>CHOOSE(CONTROL!$C$42, 19.7027, 19.7027) * CHOOSE(CONTROL!$C$21, $C$9, 100%, $E$9)</f>
        <v>19.7027</v>
      </c>
      <c r="F652" s="10">
        <f>CHOOSE(CONTROL!$C$42, 19.4732, 19.4732)*CHOOSE(CONTROL!$C$21, $C$9, 100%, $E$9)</f>
        <v>19.473199999999999</v>
      </c>
      <c r="G652" s="10">
        <f>CHOOSE(CONTROL!$C$42, 19.4912, 19.4912)*CHOOSE(CONTROL!$C$21, $C$9, 100%, $E$9)</f>
        <v>19.491199999999999</v>
      </c>
      <c r="H652" s="10">
        <f>CHOOSE(CONTROL!$C$42, 19.6925, 19.6925) * CHOOSE(CONTROL!$C$21, $C$9, 100%, $E$9)</f>
        <v>19.692499999999999</v>
      </c>
      <c r="I652" s="10">
        <f>CHOOSE(CONTROL!$C$42, 19.4631, 19.4631)* CHOOSE(CONTROL!$C$21, $C$9, 100%, $E$9)</f>
        <v>19.463100000000001</v>
      </c>
      <c r="J652" s="10">
        <f>CHOOSE(CONTROL!$C$42, 19.4662, 19.4662)* CHOOSE(CONTROL!$C$21, $C$9, 100%, $E$9)</f>
        <v>19.466200000000001</v>
      </c>
      <c r="K652" s="54">
        <f>CHOOSE(CONTROL!$C$42, 19.4592, 19.4592) * CHOOSE(CONTROL!$C$21, $C$9, 100%, $E$9)</f>
        <v>19.459199999999999</v>
      </c>
      <c r="L652" s="10">
        <f>CHOOSE(CONTROL!$C$42, 20.2795, 20.2795) * CHOOSE(CONTROL!$C$21, $C$9, 100%, $E$9)</f>
        <v>20.279499999999999</v>
      </c>
      <c r="M652" s="10">
        <f>CHOOSE(CONTROL!$C$42, 19.2836, 19.2836) * CHOOSE(CONTROL!$C$21, $C$9, 100%, $E$9)</f>
        <v>19.2836</v>
      </c>
      <c r="N652" s="10">
        <f>CHOOSE(CONTROL!$C$42, 19.3014, 19.3014) * CHOOSE(CONTROL!$C$21, $C$9, 100%, $E$9)</f>
        <v>19.301400000000001</v>
      </c>
      <c r="O652" s="10">
        <f>CHOOSE(CONTROL!$C$42, 19.5076, 19.5076) * CHOOSE(CONTROL!$C$21, $C$9, 100%, $E$9)</f>
        <v>19.5076</v>
      </c>
      <c r="P652" s="10">
        <f>CHOOSE(CONTROL!$C$42, 19.2806, 19.2806) * CHOOSE(CONTROL!$C$21, $C$9, 100%, $E$9)</f>
        <v>19.2806</v>
      </c>
      <c r="Q652" s="10">
        <f>CHOOSE(CONTROL!$C$42, 20.1029, 20.1029) * CHOOSE(CONTROL!$C$21, $C$9, 100%, $E$9)</f>
        <v>20.102900000000002</v>
      </c>
      <c r="R652" s="10">
        <f>CHOOSE(CONTROL!$C$42, 20.7401, 20.7401) * CHOOSE(CONTROL!$C$21, $C$9, 100%, $E$9)</f>
        <v>20.740100000000002</v>
      </c>
      <c r="S652" s="10">
        <f>CHOOSE(CONTROL!$C$42, 18.9188, 18.9188) * CHOOSE(CONTROL!$C$21, $C$9, 100%, $E$9)</f>
        <v>18.918800000000001</v>
      </c>
      <c r="T652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52" s="58">
        <f>(1000*CHOOSE(CONTROL!$C$42, 695, 695)*CHOOSE(CONTROL!$C$42, 0.5599, 0.5599)*CHOOSE(CONTROL!$C$42, 30, 30))/1000000</f>
        <v>11.673914999999997</v>
      </c>
      <c r="V652" s="58">
        <f>(1000*CHOOSE(CONTROL!$C$42, 500, 500)*CHOOSE(CONTROL!$C$42, 0.275, 0.275)*CHOOSE(CONTROL!$C$42, 30, 30))/1000000</f>
        <v>4.125</v>
      </c>
      <c r="W652" s="58">
        <f>(1000*CHOOSE(CONTROL!$C$42, 0.1146, 0.1146)*CHOOSE(CONTROL!$C$42, 121.5, 121.5)*CHOOSE(CONTROL!$C$42, 30, 30))/1000000</f>
        <v>0.417717</v>
      </c>
      <c r="X652" s="58">
        <f>(30*0.1790888*245000/1000000)+(30*0.2374*100000/1000000)</f>
        <v>2.0285026799999999</v>
      </c>
      <c r="Y652" s="58"/>
      <c r="Z652" s="10"/>
      <c r="AA652" s="57"/>
      <c r="AB652" s="51">
        <f>(B652*141.293+C652*267.993+D652*115.016+E652*89.698+F652*40+G652*185+H652*0+I652*100+J652*300)/(141.293+267.993+115.016+89.698+0+40+185+100+300)</f>
        <v>19.513128362389025</v>
      </c>
      <c r="AC652" s="27">
        <f>(M652*'RAP TEMPLATE-GAS AVAILABILITY'!O651+N652*'RAP TEMPLATE-GAS AVAILABILITY'!P651+O652*'RAP TEMPLATE-GAS AVAILABILITY'!Q651+P652*'RAP TEMPLATE-GAS AVAILABILITY'!R651)/('RAP TEMPLATE-GAS AVAILABILITY'!O651+'RAP TEMPLATE-GAS AVAILABILITY'!P651+'RAP TEMPLATE-GAS AVAILABILITY'!Q651+'RAP TEMPLATE-GAS AVAILABILITY'!R651)</f>
        <v>19.38571798561151</v>
      </c>
    </row>
    <row r="653" spans="1:29" ht="15.75" x14ac:dyDescent="0.25">
      <c r="A653" s="13">
        <v>61148</v>
      </c>
      <c r="B653" s="10">
        <f>CHOOSE(CONTROL!$C$42, 19.6586, 19.6586) * CHOOSE(CONTROL!$C$21, $C$9, 100%, $E$9)</f>
        <v>19.6586</v>
      </c>
      <c r="C653" s="10">
        <f>CHOOSE(CONTROL!$C$42, 19.6665, 19.6665) * CHOOSE(CONTROL!$C$21, $C$9, 100%, $E$9)</f>
        <v>19.666499999999999</v>
      </c>
      <c r="D653" s="10">
        <f>CHOOSE(CONTROL!$C$42, 19.845, 19.845) * CHOOSE(CONTROL!$C$21, $C$9, 100%, $E$9)</f>
        <v>19.844999999999999</v>
      </c>
      <c r="E653" s="10">
        <f>CHOOSE(CONTROL!$C$42, 19.8762, 19.8762) * CHOOSE(CONTROL!$C$21, $C$9, 100%, $E$9)</f>
        <v>19.876200000000001</v>
      </c>
      <c r="F653" s="10">
        <f>CHOOSE(CONTROL!$C$42, 19.6448, 19.6448)*CHOOSE(CONTROL!$C$21, $C$9, 100%, $E$9)</f>
        <v>19.6448</v>
      </c>
      <c r="G653" s="10">
        <f>CHOOSE(CONTROL!$C$42, 19.6629, 19.6629)*CHOOSE(CONTROL!$C$21, $C$9, 100%, $E$9)</f>
        <v>19.6629</v>
      </c>
      <c r="H653" s="10">
        <f>CHOOSE(CONTROL!$C$42, 19.8648, 19.8648) * CHOOSE(CONTROL!$C$21, $C$9, 100%, $E$9)</f>
        <v>19.864799999999999</v>
      </c>
      <c r="I653" s="10">
        <f>CHOOSE(CONTROL!$C$42, 19.6354, 19.6354)* CHOOSE(CONTROL!$C$21, $C$9, 100%, $E$9)</f>
        <v>19.635400000000001</v>
      </c>
      <c r="J653" s="10">
        <f>CHOOSE(CONTROL!$C$42, 19.6378, 19.6378)* CHOOSE(CONTROL!$C$21, $C$9, 100%, $E$9)</f>
        <v>19.637799999999999</v>
      </c>
      <c r="K653" s="54">
        <f>CHOOSE(CONTROL!$C$42, 19.6316, 19.6316) * CHOOSE(CONTROL!$C$21, $C$9, 100%, $E$9)</f>
        <v>19.631599999999999</v>
      </c>
      <c r="L653" s="10">
        <f>CHOOSE(CONTROL!$C$42, 20.4518, 20.4518) * CHOOSE(CONTROL!$C$21, $C$9, 100%, $E$9)</f>
        <v>20.451799999999999</v>
      </c>
      <c r="M653" s="10">
        <f>CHOOSE(CONTROL!$C$42, 19.4534, 19.4534) * CHOOSE(CONTROL!$C$21, $C$9, 100%, $E$9)</f>
        <v>19.453399999999998</v>
      </c>
      <c r="N653" s="10">
        <f>CHOOSE(CONTROL!$C$42, 19.4714, 19.4714) * CHOOSE(CONTROL!$C$21, $C$9, 100%, $E$9)</f>
        <v>19.471399999999999</v>
      </c>
      <c r="O653" s="10">
        <f>CHOOSE(CONTROL!$C$42, 19.6782, 19.6782) * CHOOSE(CONTROL!$C$21, $C$9, 100%, $E$9)</f>
        <v>19.6782</v>
      </c>
      <c r="P653" s="10">
        <f>CHOOSE(CONTROL!$C$42, 19.4512, 19.4512) * CHOOSE(CONTROL!$C$21, $C$9, 100%, $E$9)</f>
        <v>19.4512</v>
      </c>
      <c r="Q653" s="10">
        <f>CHOOSE(CONTROL!$C$42, 20.2735, 20.2735) * CHOOSE(CONTROL!$C$21, $C$9, 100%, $E$9)</f>
        <v>20.273499999999999</v>
      </c>
      <c r="R653" s="10">
        <f>CHOOSE(CONTROL!$C$42, 20.9111, 20.9111) * CHOOSE(CONTROL!$C$21, $C$9, 100%, $E$9)</f>
        <v>20.911100000000001</v>
      </c>
      <c r="S653" s="10">
        <f>CHOOSE(CONTROL!$C$42, 19.0862, 19.0862) * CHOOSE(CONTROL!$C$21, $C$9, 100%, $E$9)</f>
        <v>19.086200000000002</v>
      </c>
      <c r="T653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53" s="58">
        <f>(1000*CHOOSE(CONTROL!$C$42, 695, 695)*CHOOSE(CONTROL!$C$42, 0.5599, 0.5599)*CHOOSE(CONTROL!$C$42, 31, 31))/1000000</f>
        <v>12.063045499999998</v>
      </c>
      <c r="V653" s="58">
        <f>(1000*CHOOSE(CONTROL!$C$42, 500, 500)*CHOOSE(CONTROL!$C$42, 0.275, 0.275)*CHOOSE(CONTROL!$C$42, 31, 31))/1000000</f>
        <v>4.2625000000000002</v>
      </c>
      <c r="W653" s="58">
        <f>(1000*CHOOSE(CONTROL!$C$42, 0.1146, 0.1146)*CHOOSE(CONTROL!$C$42, 121.5, 121.5)*CHOOSE(CONTROL!$C$42, 31, 31))/1000000</f>
        <v>0.43164089999999994</v>
      </c>
      <c r="X653" s="58">
        <f>(31*0.1790888*245000/1000000)+(31*0.2374*100000/1000000)</f>
        <v>2.0961194359999999</v>
      </c>
      <c r="Y653" s="58"/>
      <c r="Z653" s="10"/>
      <c r="AA653" s="57"/>
      <c r="AB653" s="51">
        <f>(B653*194.205+C653*267.466+D653*133.845+E653*53.484+F653*40+G653*185+H653*0+I653*100+J653*300)/(194.205+267.466+133.845+53.484+0+40+185+100+300)</f>
        <v>19.68244875023548</v>
      </c>
      <c r="AC653" s="27">
        <f>(M653*'RAP TEMPLATE-GAS AVAILABILITY'!O652+N653*'RAP TEMPLATE-GAS AVAILABILITY'!P652+O653*'RAP TEMPLATE-GAS AVAILABILITY'!Q652+P653*'RAP TEMPLATE-GAS AVAILABILITY'!R652)/('RAP TEMPLATE-GAS AVAILABILITY'!O652+'RAP TEMPLATE-GAS AVAILABILITY'!P652+'RAP TEMPLATE-GAS AVAILABILITY'!Q652+'RAP TEMPLATE-GAS AVAILABILITY'!R652)</f>
        <v>19.556007194244604</v>
      </c>
    </row>
    <row r="654" spans="1:29" ht="15.75" x14ac:dyDescent="0.25">
      <c r="A654" s="13">
        <v>61178</v>
      </c>
      <c r="B654" s="10">
        <f>CHOOSE(CONTROL!$C$42, 20.2161, 20.2161) * CHOOSE(CONTROL!$C$21, $C$9, 100%, $E$9)</f>
        <v>20.216100000000001</v>
      </c>
      <c r="C654" s="10">
        <f>CHOOSE(CONTROL!$C$42, 20.224, 20.224) * CHOOSE(CONTROL!$C$21, $C$9, 100%, $E$9)</f>
        <v>20.224</v>
      </c>
      <c r="D654" s="10">
        <f>CHOOSE(CONTROL!$C$42, 20.4025, 20.4025) * CHOOSE(CONTROL!$C$21, $C$9, 100%, $E$9)</f>
        <v>20.4025</v>
      </c>
      <c r="E654" s="10">
        <f>CHOOSE(CONTROL!$C$42, 20.4337, 20.4337) * CHOOSE(CONTROL!$C$21, $C$9, 100%, $E$9)</f>
        <v>20.433700000000002</v>
      </c>
      <c r="F654" s="10">
        <f>CHOOSE(CONTROL!$C$42, 20.2025, 20.2025)*CHOOSE(CONTROL!$C$21, $C$9, 100%, $E$9)</f>
        <v>20.202500000000001</v>
      </c>
      <c r="G654" s="10">
        <f>CHOOSE(CONTROL!$C$42, 20.2207, 20.2207)*CHOOSE(CONTROL!$C$21, $C$9, 100%, $E$9)</f>
        <v>20.220700000000001</v>
      </c>
      <c r="H654" s="10">
        <f>CHOOSE(CONTROL!$C$42, 20.4223, 20.4223) * CHOOSE(CONTROL!$C$21, $C$9, 100%, $E$9)</f>
        <v>20.4223</v>
      </c>
      <c r="I654" s="10">
        <f>CHOOSE(CONTROL!$C$42, 20.1929, 20.1929)* CHOOSE(CONTROL!$C$21, $C$9, 100%, $E$9)</f>
        <v>20.192900000000002</v>
      </c>
      <c r="J654" s="10">
        <f>CHOOSE(CONTROL!$C$42, 20.1955, 20.1955)* CHOOSE(CONTROL!$C$21, $C$9, 100%, $E$9)</f>
        <v>20.195499999999999</v>
      </c>
      <c r="K654" s="54">
        <f>CHOOSE(CONTROL!$C$42, 20.189, 20.189) * CHOOSE(CONTROL!$C$21, $C$9, 100%, $E$9)</f>
        <v>20.189</v>
      </c>
      <c r="L654" s="10">
        <f>CHOOSE(CONTROL!$C$42, 21.0093, 21.0093) * CHOOSE(CONTROL!$C$21, $C$9, 100%, $E$9)</f>
        <v>21.0093</v>
      </c>
      <c r="M654" s="10">
        <f>CHOOSE(CONTROL!$C$42, 20.0055, 20.0055) * CHOOSE(CONTROL!$C$21, $C$9, 100%, $E$9)</f>
        <v>20.005500000000001</v>
      </c>
      <c r="N654" s="10">
        <f>CHOOSE(CONTROL!$C$42, 20.0236, 20.0236) * CHOOSE(CONTROL!$C$21, $C$9, 100%, $E$9)</f>
        <v>20.023599999999998</v>
      </c>
      <c r="O654" s="10">
        <f>CHOOSE(CONTROL!$C$42, 20.23, 20.23) * CHOOSE(CONTROL!$C$21, $C$9, 100%, $E$9)</f>
        <v>20.23</v>
      </c>
      <c r="P654" s="10">
        <f>CHOOSE(CONTROL!$C$42, 20.003, 20.003) * CHOOSE(CONTROL!$C$21, $C$9, 100%, $E$9)</f>
        <v>20.003</v>
      </c>
      <c r="Q654" s="10">
        <f>CHOOSE(CONTROL!$C$42, 20.8253, 20.8253) * CHOOSE(CONTROL!$C$21, $C$9, 100%, $E$9)</f>
        <v>20.825299999999999</v>
      </c>
      <c r="R654" s="10">
        <f>CHOOSE(CONTROL!$C$42, 21.4644, 21.4644) * CHOOSE(CONTROL!$C$21, $C$9, 100%, $E$9)</f>
        <v>21.464400000000001</v>
      </c>
      <c r="S654" s="10">
        <f>CHOOSE(CONTROL!$C$42, 19.6276, 19.6276) * CHOOSE(CONTROL!$C$21, $C$9, 100%, $E$9)</f>
        <v>19.627600000000001</v>
      </c>
      <c r="T654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54" s="58">
        <f>(1000*CHOOSE(CONTROL!$C$42, 695, 695)*CHOOSE(CONTROL!$C$42, 0.5599, 0.5599)*CHOOSE(CONTROL!$C$42, 30, 30))/1000000</f>
        <v>11.673914999999997</v>
      </c>
      <c r="V654" s="58">
        <f>(1000*CHOOSE(CONTROL!$C$42, 500, 500)*CHOOSE(CONTROL!$C$42, 0.275, 0.275)*CHOOSE(CONTROL!$C$42, 30, 30))/1000000</f>
        <v>4.125</v>
      </c>
      <c r="W654" s="58">
        <f>(1000*CHOOSE(CONTROL!$C$42, 0.1146, 0.1146)*CHOOSE(CONTROL!$C$42, 121.5, 121.5)*CHOOSE(CONTROL!$C$42, 30, 30))/1000000</f>
        <v>0.417717</v>
      </c>
      <c r="X654" s="58">
        <f>(30*0.1790888*245000/1000000)+(30*0.2374*100000/1000000)</f>
        <v>2.0285026799999999</v>
      </c>
      <c r="Y654" s="58"/>
      <c r="Z654" s="10"/>
      <c r="AA654" s="57"/>
      <c r="AB654" s="51">
        <f>(B654*194.205+C654*267.466+D654*133.845+E654*53.484+F654*40+G654*185+H654*0+I654*100+J654*300)/(194.205+267.466+133.845+53.484+0+40+185+100+300)</f>
        <v>20.240045689010991</v>
      </c>
      <c r="AC654" s="27">
        <f>(M654*'RAP TEMPLATE-GAS AVAILABILITY'!O653+N654*'RAP TEMPLATE-GAS AVAILABILITY'!P653+O654*'RAP TEMPLATE-GAS AVAILABILITY'!Q653+P654*'RAP TEMPLATE-GAS AVAILABILITY'!R653)/('RAP TEMPLATE-GAS AVAILABILITY'!O653+'RAP TEMPLATE-GAS AVAILABILITY'!P653+'RAP TEMPLATE-GAS AVAILABILITY'!Q653+'RAP TEMPLATE-GAS AVAILABILITY'!R653)</f>
        <v>20.107933812949639</v>
      </c>
    </row>
    <row r="655" spans="1:29" ht="15.75" x14ac:dyDescent="0.25">
      <c r="A655" s="13">
        <v>61209</v>
      </c>
      <c r="B655" s="10">
        <f>CHOOSE(CONTROL!$C$42, 19.8283, 19.8283) * CHOOSE(CONTROL!$C$21, $C$9, 100%, $E$9)</f>
        <v>19.828299999999999</v>
      </c>
      <c r="C655" s="10">
        <f>CHOOSE(CONTROL!$C$42, 19.8362, 19.8362) * CHOOSE(CONTROL!$C$21, $C$9, 100%, $E$9)</f>
        <v>19.836200000000002</v>
      </c>
      <c r="D655" s="10">
        <f>CHOOSE(CONTROL!$C$42, 20.0148, 20.0148) * CHOOSE(CONTROL!$C$21, $C$9, 100%, $E$9)</f>
        <v>20.014800000000001</v>
      </c>
      <c r="E655" s="10">
        <f>CHOOSE(CONTROL!$C$42, 20.0459, 20.0459) * CHOOSE(CONTROL!$C$21, $C$9, 100%, $E$9)</f>
        <v>20.0459</v>
      </c>
      <c r="F655" s="10">
        <f>CHOOSE(CONTROL!$C$42, 19.815, 19.815)*CHOOSE(CONTROL!$C$21, $C$9, 100%, $E$9)</f>
        <v>19.815000000000001</v>
      </c>
      <c r="G655" s="10">
        <f>CHOOSE(CONTROL!$C$42, 19.8334, 19.8334)*CHOOSE(CONTROL!$C$21, $C$9, 100%, $E$9)</f>
        <v>19.833400000000001</v>
      </c>
      <c r="H655" s="10">
        <f>CHOOSE(CONTROL!$C$42, 20.0345, 20.0345) * CHOOSE(CONTROL!$C$21, $C$9, 100%, $E$9)</f>
        <v>20.034500000000001</v>
      </c>
      <c r="I655" s="10">
        <f>CHOOSE(CONTROL!$C$42, 19.8052, 19.8052)* CHOOSE(CONTROL!$C$21, $C$9, 100%, $E$9)</f>
        <v>19.805199999999999</v>
      </c>
      <c r="J655" s="10">
        <f>CHOOSE(CONTROL!$C$42, 19.808, 19.808)* CHOOSE(CONTROL!$C$21, $C$9, 100%, $E$9)</f>
        <v>19.808</v>
      </c>
      <c r="K655" s="54">
        <f>CHOOSE(CONTROL!$C$42, 19.8013, 19.8013) * CHOOSE(CONTROL!$C$21, $C$9, 100%, $E$9)</f>
        <v>19.801300000000001</v>
      </c>
      <c r="L655" s="10">
        <f>CHOOSE(CONTROL!$C$42, 20.6215, 20.6215) * CHOOSE(CONTROL!$C$21, $C$9, 100%, $E$9)</f>
        <v>20.621500000000001</v>
      </c>
      <c r="M655" s="10">
        <f>CHOOSE(CONTROL!$C$42, 19.622, 19.622) * CHOOSE(CONTROL!$C$21, $C$9, 100%, $E$9)</f>
        <v>19.622</v>
      </c>
      <c r="N655" s="10">
        <f>CHOOSE(CONTROL!$C$42, 19.6401, 19.6401) * CHOOSE(CONTROL!$C$21, $C$9, 100%, $E$9)</f>
        <v>19.6401</v>
      </c>
      <c r="O655" s="10">
        <f>CHOOSE(CONTROL!$C$42, 19.8462, 19.8462) * CHOOSE(CONTROL!$C$21, $C$9, 100%, $E$9)</f>
        <v>19.8462</v>
      </c>
      <c r="P655" s="10">
        <f>CHOOSE(CONTROL!$C$42, 19.6192, 19.6192) * CHOOSE(CONTROL!$C$21, $C$9, 100%, $E$9)</f>
        <v>19.619199999999999</v>
      </c>
      <c r="Q655" s="10">
        <f>CHOOSE(CONTROL!$C$42, 20.4415, 20.4415) * CHOOSE(CONTROL!$C$21, $C$9, 100%, $E$9)</f>
        <v>20.441500000000001</v>
      </c>
      <c r="R655" s="10">
        <f>CHOOSE(CONTROL!$C$42, 21.0796, 21.0796) * CHOOSE(CONTROL!$C$21, $C$9, 100%, $E$9)</f>
        <v>21.079599999999999</v>
      </c>
      <c r="S655" s="10">
        <f>CHOOSE(CONTROL!$C$42, 19.251, 19.251) * CHOOSE(CONTROL!$C$21, $C$9, 100%, $E$9)</f>
        <v>19.251000000000001</v>
      </c>
      <c r="T655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55" s="58">
        <f>(1000*CHOOSE(CONTROL!$C$42, 695, 695)*CHOOSE(CONTROL!$C$42, 0.5599, 0.5599)*CHOOSE(CONTROL!$C$42, 31, 31))/1000000</f>
        <v>12.063045499999998</v>
      </c>
      <c r="V655" s="58">
        <f>(1000*CHOOSE(CONTROL!$C$42, 500, 500)*CHOOSE(CONTROL!$C$42, 0.275, 0.275)*CHOOSE(CONTROL!$C$42, 31, 31))/1000000</f>
        <v>4.2625000000000002</v>
      </c>
      <c r="W655" s="58">
        <f>(1000*CHOOSE(CONTROL!$C$42, 0.1146, 0.1146)*CHOOSE(CONTROL!$C$42, 121.5, 121.5)*CHOOSE(CONTROL!$C$42, 31, 31))/1000000</f>
        <v>0.43164089999999994</v>
      </c>
      <c r="X655" s="58">
        <f>(31*0.1790888*245000/1000000)+(31*0.2374*100000/1000000)</f>
        <v>2.0961194359999999</v>
      </c>
      <c r="Y655" s="58"/>
      <c r="Z655" s="10"/>
      <c r="AA655" s="57"/>
      <c r="AB655" s="51">
        <f>(B655*194.205+C655*267.466+D655*133.845+E655*53.484+F655*40+G655*185+H655*0+I655*100+J655*300)/(194.205+267.466+133.845+53.484+0+40+185+100+300)</f>
        <v>19.852416712951335</v>
      </c>
      <c r="AC655" s="27">
        <f>(M655*'RAP TEMPLATE-GAS AVAILABILITY'!O654+N655*'RAP TEMPLATE-GAS AVAILABILITY'!P654+O655*'RAP TEMPLATE-GAS AVAILABILITY'!Q654+P655*'RAP TEMPLATE-GAS AVAILABILITY'!R654)/('RAP TEMPLATE-GAS AVAILABILITY'!O654+'RAP TEMPLATE-GAS AVAILABILITY'!P654+'RAP TEMPLATE-GAS AVAILABILITY'!Q654+'RAP TEMPLATE-GAS AVAILABILITY'!R654)</f>
        <v>19.724254676258994</v>
      </c>
    </row>
    <row r="656" spans="1:29" ht="15.75" x14ac:dyDescent="0.25">
      <c r="A656" s="13">
        <v>61240</v>
      </c>
      <c r="B656" s="10">
        <f>CHOOSE(CONTROL!$C$42, 18.8492, 18.8492) * CHOOSE(CONTROL!$C$21, $C$9, 100%, $E$9)</f>
        <v>18.8492</v>
      </c>
      <c r="C656" s="10">
        <f>CHOOSE(CONTROL!$C$42, 18.8571, 18.8571) * CHOOSE(CONTROL!$C$21, $C$9, 100%, $E$9)</f>
        <v>18.857099999999999</v>
      </c>
      <c r="D656" s="10">
        <f>CHOOSE(CONTROL!$C$42, 19.0356, 19.0356) * CHOOSE(CONTROL!$C$21, $C$9, 100%, $E$9)</f>
        <v>19.035599999999999</v>
      </c>
      <c r="E656" s="10">
        <f>CHOOSE(CONTROL!$C$42, 19.0668, 19.0668) * CHOOSE(CONTROL!$C$21, $C$9, 100%, $E$9)</f>
        <v>19.066800000000001</v>
      </c>
      <c r="F656" s="10">
        <f>CHOOSE(CONTROL!$C$42, 18.8358, 18.8358)*CHOOSE(CONTROL!$C$21, $C$9, 100%, $E$9)</f>
        <v>18.835799999999999</v>
      </c>
      <c r="G656" s="10">
        <f>CHOOSE(CONTROL!$C$42, 18.8541, 18.8541)*CHOOSE(CONTROL!$C$21, $C$9, 100%, $E$9)</f>
        <v>18.854099999999999</v>
      </c>
      <c r="H656" s="10">
        <f>CHOOSE(CONTROL!$C$42, 19.0554, 19.0554) * CHOOSE(CONTROL!$C$21, $C$9, 100%, $E$9)</f>
        <v>19.055399999999999</v>
      </c>
      <c r="I656" s="10">
        <f>CHOOSE(CONTROL!$C$42, 18.826, 18.826)* CHOOSE(CONTROL!$C$21, $C$9, 100%, $E$9)</f>
        <v>18.826000000000001</v>
      </c>
      <c r="J656" s="10">
        <f>CHOOSE(CONTROL!$C$42, 18.8288, 18.8288)* CHOOSE(CONTROL!$C$21, $C$9, 100%, $E$9)</f>
        <v>18.828800000000001</v>
      </c>
      <c r="K656" s="54">
        <f>CHOOSE(CONTROL!$C$42, 18.8222, 18.8222) * CHOOSE(CONTROL!$C$21, $C$9, 100%, $E$9)</f>
        <v>18.822199999999999</v>
      </c>
      <c r="L656" s="10">
        <f>CHOOSE(CONTROL!$C$42, 19.6424, 19.6424) * CHOOSE(CONTROL!$C$21, $C$9, 100%, $E$9)</f>
        <v>19.642399999999999</v>
      </c>
      <c r="M656" s="10">
        <f>CHOOSE(CONTROL!$C$42, 18.6526, 18.6526) * CHOOSE(CONTROL!$C$21, $C$9, 100%, $E$9)</f>
        <v>18.6526</v>
      </c>
      <c r="N656" s="10">
        <f>CHOOSE(CONTROL!$C$42, 18.6707, 18.6707) * CHOOSE(CONTROL!$C$21, $C$9, 100%, $E$9)</f>
        <v>18.6707</v>
      </c>
      <c r="O656" s="10">
        <f>CHOOSE(CONTROL!$C$42, 18.8769, 18.8769) * CHOOSE(CONTROL!$C$21, $C$9, 100%, $E$9)</f>
        <v>18.876899999999999</v>
      </c>
      <c r="P656" s="10">
        <f>CHOOSE(CONTROL!$C$42, 18.6499, 18.6499) * CHOOSE(CONTROL!$C$21, $C$9, 100%, $E$9)</f>
        <v>18.649899999999999</v>
      </c>
      <c r="Q656" s="10">
        <f>CHOOSE(CONTROL!$C$42, 19.4722, 19.4722) * CHOOSE(CONTROL!$C$21, $C$9, 100%, $E$9)</f>
        <v>19.472200000000001</v>
      </c>
      <c r="R656" s="10">
        <f>CHOOSE(CONTROL!$C$42, 20.1079, 20.1079) * CHOOSE(CONTROL!$C$21, $C$9, 100%, $E$9)</f>
        <v>20.107900000000001</v>
      </c>
      <c r="S656" s="10">
        <f>CHOOSE(CONTROL!$C$42, 18.3002, 18.3002) * CHOOSE(CONTROL!$C$21, $C$9, 100%, $E$9)</f>
        <v>18.3002</v>
      </c>
      <c r="T656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56" s="58">
        <f>(1000*CHOOSE(CONTROL!$C$42, 695, 695)*CHOOSE(CONTROL!$C$42, 0.5599, 0.5599)*CHOOSE(CONTROL!$C$42, 31, 31))/1000000</f>
        <v>12.063045499999998</v>
      </c>
      <c r="V656" s="58">
        <f>(1000*CHOOSE(CONTROL!$C$42, 500, 500)*CHOOSE(CONTROL!$C$42, 0.275, 0.275)*CHOOSE(CONTROL!$C$42, 31, 31))/1000000</f>
        <v>4.2625000000000002</v>
      </c>
      <c r="W656" s="58">
        <f>(1000*CHOOSE(CONTROL!$C$42, 0.1146, 0.1146)*CHOOSE(CONTROL!$C$42, 121.5, 121.5)*CHOOSE(CONTROL!$C$42, 31, 31))/1000000</f>
        <v>0.43164089999999994</v>
      </c>
      <c r="X656" s="58">
        <f>(31*0.1790888*245000/1000000)+(31*0.2374*100000/1000000)</f>
        <v>2.0961194359999999</v>
      </c>
      <c r="Y656" s="58"/>
      <c r="Z656" s="10"/>
      <c r="AA656" s="57"/>
      <c r="AB656" s="51">
        <f>(B656*194.205+C656*267.466+D656*133.845+E656*53.484+F656*40+G656*185+H656*0+I656*100+J656*300)/(194.205+267.466+133.845+53.484+0+40+185+100+300)</f>
        <v>18.873242627786496</v>
      </c>
      <c r="AC656" s="27">
        <f>(M656*'RAP TEMPLATE-GAS AVAILABILITY'!O655+N656*'RAP TEMPLATE-GAS AVAILABILITY'!P655+O656*'RAP TEMPLATE-GAS AVAILABILITY'!Q655+P656*'RAP TEMPLATE-GAS AVAILABILITY'!R655)/('RAP TEMPLATE-GAS AVAILABILITY'!O655+'RAP TEMPLATE-GAS AVAILABILITY'!P655+'RAP TEMPLATE-GAS AVAILABILITY'!Q655+'RAP TEMPLATE-GAS AVAILABILITY'!R655)</f>
        <v>18.754914388489208</v>
      </c>
    </row>
    <row r="657" spans="1:29" ht="15.75" x14ac:dyDescent="0.25">
      <c r="A657" s="13">
        <v>61270</v>
      </c>
      <c r="B657" s="10">
        <f>CHOOSE(CONTROL!$C$42, 17.6528, 17.6528) * CHOOSE(CONTROL!$C$21, $C$9, 100%, $E$9)</f>
        <v>17.652799999999999</v>
      </c>
      <c r="C657" s="10">
        <f>CHOOSE(CONTROL!$C$42, 17.6608, 17.6608) * CHOOSE(CONTROL!$C$21, $C$9, 100%, $E$9)</f>
        <v>17.660799999999998</v>
      </c>
      <c r="D657" s="10">
        <f>CHOOSE(CONTROL!$C$42, 17.8393, 17.8393) * CHOOSE(CONTROL!$C$21, $C$9, 100%, $E$9)</f>
        <v>17.839300000000001</v>
      </c>
      <c r="E657" s="10">
        <f>CHOOSE(CONTROL!$C$42, 17.8704, 17.8704) * CHOOSE(CONTROL!$C$21, $C$9, 100%, $E$9)</f>
        <v>17.8704</v>
      </c>
      <c r="F657" s="10">
        <f>CHOOSE(CONTROL!$C$42, 17.6392, 17.6392)*CHOOSE(CONTROL!$C$21, $C$9, 100%, $E$9)</f>
        <v>17.639199999999999</v>
      </c>
      <c r="G657" s="10">
        <f>CHOOSE(CONTROL!$C$42, 17.6574, 17.6574)*CHOOSE(CONTROL!$C$21, $C$9, 100%, $E$9)</f>
        <v>17.657399999999999</v>
      </c>
      <c r="H657" s="10">
        <f>CHOOSE(CONTROL!$C$42, 17.8591, 17.8591) * CHOOSE(CONTROL!$C$21, $C$9, 100%, $E$9)</f>
        <v>17.859100000000002</v>
      </c>
      <c r="I657" s="10">
        <f>CHOOSE(CONTROL!$C$42, 17.6297, 17.6297)* CHOOSE(CONTROL!$C$21, $C$9, 100%, $E$9)</f>
        <v>17.6297</v>
      </c>
      <c r="J657" s="10">
        <f>CHOOSE(CONTROL!$C$42, 17.6322, 17.6322)* CHOOSE(CONTROL!$C$21, $C$9, 100%, $E$9)</f>
        <v>17.632200000000001</v>
      </c>
      <c r="K657" s="54">
        <f>CHOOSE(CONTROL!$C$42, 17.6258, 17.6258) * CHOOSE(CONTROL!$C$21, $C$9, 100%, $E$9)</f>
        <v>17.625800000000002</v>
      </c>
      <c r="L657" s="10">
        <f>CHOOSE(CONTROL!$C$42, 18.4461, 18.4461) * CHOOSE(CONTROL!$C$21, $C$9, 100%, $E$9)</f>
        <v>18.446100000000001</v>
      </c>
      <c r="M657" s="10">
        <f>CHOOSE(CONTROL!$C$42, 17.4681, 17.4681) * CHOOSE(CONTROL!$C$21, $C$9, 100%, $E$9)</f>
        <v>17.4681</v>
      </c>
      <c r="N657" s="10">
        <f>CHOOSE(CONTROL!$C$42, 17.4861, 17.4861) * CHOOSE(CONTROL!$C$21, $C$9, 100%, $E$9)</f>
        <v>17.4861</v>
      </c>
      <c r="O657" s="10">
        <f>CHOOSE(CONTROL!$C$42, 17.6927, 17.6927) * CHOOSE(CONTROL!$C$21, $C$9, 100%, $E$9)</f>
        <v>17.692699999999999</v>
      </c>
      <c r="P657" s="10">
        <f>CHOOSE(CONTROL!$C$42, 17.4657, 17.4657) * CHOOSE(CONTROL!$C$21, $C$9, 100%, $E$9)</f>
        <v>17.465699999999998</v>
      </c>
      <c r="Q657" s="10">
        <f>CHOOSE(CONTROL!$C$42, 18.288, 18.288) * CHOOSE(CONTROL!$C$21, $C$9, 100%, $E$9)</f>
        <v>18.288</v>
      </c>
      <c r="R657" s="10">
        <f>CHOOSE(CONTROL!$C$42, 18.9207, 18.9207) * CHOOSE(CONTROL!$C$21, $C$9, 100%, $E$9)</f>
        <v>18.9207</v>
      </c>
      <c r="S657" s="10">
        <f>CHOOSE(CONTROL!$C$42, 17.1384, 17.1384) * CHOOSE(CONTROL!$C$21, $C$9, 100%, $E$9)</f>
        <v>17.138400000000001</v>
      </c>
      <c r="T657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57" s="58">
        <f>(1000*CHOOSE(CONTROL!$C$42, 695, 695)*CHOOSE(CONTROL!$C$42, 0.5599, 0.5599)*CHOOSE(CONTROL!$C$42, 30, 30))/1000000</f>
        <v>11.673914999999997</v>
      </c>
      <c r="V657" s="58">
        <f>(1000*CHOOSE(CONTROL!$C$42, 500, 500)*CHOOSE(CONTROL!$C$42, 0.275, 0.275)*CHOOSE(CONTROL!$C$42, 30, 30))/1000000</f>
        <v>4.125</v>
      </c>
      <c r="W657" s="58">
        <f>(1000*CHOOSE(CONTROL!$C$42, 0.1146, 0.1146)*CHOOSE(CONTROL!$C$42, 121.5, 121.5)*CHOOSE(CONTROL!$C$42, 30, 30))/1000000</f>
        <v>0.417717</v>
      </c>
      <c r="X657" s="58">
        <f>(30*0.1790888*245000/1000000)+(30*0.2374*100000/1000000)</f>
        <v>2.0285026799999999</v>
      </c>
      <c r="Y657" s="58"/>
      <c r="Z657" s="10"/>
      <c r="AA657" s="57"/>
      <c r="AB657" s="51">
        <f>(B657*194.205+C657*267.466+D657*133.845+E657*53.484+F657*40+G657*185+H657*0+I657*100+J657*300)/(194.205+267.466+133.845+53.484+0+40+185+100+300)</f>
        <v>17.676785038383045</v>
      </c>
      <c r="AC657" s="27">
        <f>(M657*'RAP TEMPLATE-GAS AVAILABILITY'!O656+N657*'RAP TEMPLATE-GAS AVAILABILITY'!P656+O657*'RAP TEMPLATE-GAS AVAILABILITY'!Q656+P657*'RAP TEMPLATE-GAS AVAILABILITY'!R656)/('RAP TEMPLATE-GAS AVAILABILITY'!O656+'RAP TEMPLATE-GAS AVAILABILITY'!P656+'RAP TEMPLATE-GAS AVAILABILITY'!Q656+'RAP TEMPLATE-GAS AVAILABILITY'!R656)</f>
        <v>17.570587769784172</v>
      </c>
    </row>
    <row r="658" spans="1:29" ht="15.75" x14ac:dyDescent="0.25">
      <c r="A658" s="13">
        <v>61301</v>
      </c>
      <c r="B658" s="10">
        <f>CHOOSE(CONTROL!$C$42, 17.2924, 17.2924) * CHOOSE(CONTROL!$C$21, $C$9, 100%, $E$9)</f>
        <v>17.292400000000001</v>
      </c>
      <c r="C658" s="10">
        <f>CHOOSE(CONTROL!$C$42, 17.2976, 17.2976) * CHOOSE(CONTROL!$C$21, $C$9, 100%, $E$9)</f>
        <v>17.297599999999999</v>
      </c>
      <c r="D658" s="10">
        <f>CHOOSE(CONTROL!$C$42, 17.4811, 17.4811) * CHOOSE(CONTROL!$C$21, $C$9, 100%, $E$9)</f>
        <v>17.481100000000001</v>
      </c>
      <c r="E658" s="10">
        <f>CHOOSE(CONTROL!$C$42, 17.5099, 17.5099) * CHOOSE(CONTROL!$C$21, $C$9, 100%, $E$9)</f>
        <v>17.509899999999998</v>
      </c>
      <c r="F658" s="10">
        <f>CHOOSE(CONTROL!$C$42, 17.2807, 17.2807)*CHOOSE(CONTROL!$C$21, $C$9, 100%, $E$9)</f>
        <v>17.2807</v>
      </c>
      <c r="G658" s="10">
        <f>CHOOSE(CONTROL!$C$42, 17.2986, 17.2986)*CHOOSE(CONTROL!$C$21, $C$9, 100%, $E$9)</f>
        <v>17.2986</v>
      </c>
      <c r="H658" s="10">
        <f>CHOOSE(CONTROL!$C$42, 17.5004, 17.5004) * CHOOSE(CONTROL!$C$21, $C$9, 100%, $E$9)</f>
        <v>17.500399999999999</v>
      </c>
      <c r="I658" s="10">
        <f>CHOOSE(CONTROL!$C$42, 17.271, 17.271)* CHOOSE(CONTROL!$C$21, $C$9, 100%, $E$9)</f>
        <v>17.271000000000001</v>
      </c>
      <c r="J658" s="10">
        <f>CHOOSE(CONTROL!$C$42, 17.2737, 17.2737)* CHOOSE(CONTROL!$C$21, $C$9, 100%, $E$9)</f>
        <v>17.273700000000002</v>
      </c>
      <c r="K658" s="54">
        <f>CHOOSE(CONTROL!$C$42, 17.2671, 17.2671) * CHOOSE(CONTROL!$C$21, $C$9, 100%, $E$9)</f>
        <v>17.267099999999999</v>
      </c>
      <c r="L658" s="10">
        <f>CHOOSE(CONTROL!$C$42, 18.0874, 18.0874) * CHOOSE(CONTROL!$C$21, $C$9, 100%, $E$9)</f>
        <v>18.087399999999999</v>
      </c>
      <c r="M658" s="10">
        <f>CHOOSE(CONTROL!$C$42, 17.1132, 17.1132) * CHOOSE(CONTROL!$C$21, $C$9, 100%, $E$9)</f>
        <v>17.113199999999999</v>
      </c>
      <c r="N658" s="10">
        <f>CHOOSE(CONTROL!$C$42, 17.1309, 17.1309) * CHOOSE(CONTROL!$C$21, $C$9, 100%, $E$9)</f>
        <v>17.1309</v>
      </c>
      <c r="O658" s="10">
        <f>CHOOSE(CONTROL!$C$42, 17.3376, 17.3376) * CHOOSE(CONTROL!$C$21, $C$9, 100%, $E$9)</f>
        <v>17.337599999999998</v>
      </c>
      <c r="P658" s="10">
        <f>CHOOSE(CONTROL!$C$42, 17.1106, 17.1106) * CHOOSE(CONTROL!$C$21, $C$9, 100%, $E$9)</f>
        <v>17.110600000000002</v>
      </c>
      <c r="Q658" s="10">
        <f>CHOOSE(CONTROL!$C$42, 17.9329, 17.9329) * CHOOSE(CONTROL!$C$21, $C$9, 100%, $E$9)</f>
        <v>17.9329</v>
      </c>
      <c r="R658" s="10">
        <f>CHOOSE(CONTROL!$C$42, 18.5647, 18.5647) * CHOOSE(CONTROL!$C$21, $C$9, 100%, $E$9)</f>
        <v>18.564699999999998</v>
      </c>
      <c r="S658" s="10">
        <f>CHOOSE(CONTROL!$C$42, 16.7901, 16.7901) * CHOOSE(CONTROL!$C$21, $C$9, 100%, $E$9)</f>
        <v>16.790099999999999</v>
      </c>
      <c r="T658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658" s="58">
        <f>(1000*CHOOSE(CONTROL!$C$42, 695, 695)*CHOOSE(CONTROL!$C$42, 0.5599, 0.5599)*CHOOSE(CONTROL!$C$42, 31, 31))/1000000</f>
        <v>12.063045499999998</v>
      </c>
      <c r="V658" s="58">
        <f>(1000*CHOOSE(CONTROL!$C$42, 500, 500)*CHOOSE(CONTROL!$C$42, 0.275, 0.275)*CHOOSE(CONTROL!$C$42, 31, 31))/1000000</f>
        <v>4.2625000000000002</v>
      </c>
      <c r="W658" s="58">
        <f>(1000*CHOOSE(CONTROL!$C$42, 0.1146, 0.1146)*CHOOSE(CONTROL!$C$42, 121.5, 121.5)*CHOOSE(CONTROL!$C$42, 31, 31))/1000000</f>
        <v>0.43164089999999994</v>
      </c>
      <c r="X658" s="58">
        <f>(31*0.1790888*245000/1000000)+(31*0.2374*100000/1000000)</f>
        <v>2.0961194359999999</v>
      </c>
      <c r="Y658" s="58"/>
      <c r="Z658" s="10"/>
      <c r="AA658" s="57"/>
      <c r="AB658" s="51">
        <f>(B658*131.881+C658*277.167+D658*79.08+E658*125.872+F658*40+G658*185+H658*0+I658*100+J658*300)/(131.881+277.167+79.08+125.872+0+40+185+100+300)</f>
        <v>17.321996307021795</v>
      </c>
      <c r="AC658" s="27">
        <f>(M658*'RAP TEMPLATE-GAS AVAILABILITY'!O657+N658*'RAP TEMPLATE-GAS AVAILABILITY'!P657+O658*'RAP TEMPLATE-GAS AVAILABILITY'!Q657+P658*'RAP TEMPLATE-GAS AVAILABILITY'!R657)/('RAP TEMPLATE-GAS AVAILABILITY'!O657+'RAP TEMPLATE-GAS AVAILABILITY'!P657+'RAP TEMPLATE-GAS AVAILABILITY'!Q657+'RAP TEMPLATE-GAS AVAILABILITY'!R657)</f>
        <v>17.215551079136688</v>
      </c>
    </row>
    <row r="659" spans="1:29" ht="15.75" x14ac:dyDescent="0.25">
      <c r="A659" s="13">
        <v>61331</v>
      </c>
      <c r="B659" s="10">
        <f>CHOOSE(CONTROL!$C$42, 17.7474, 17.7474) * CHOOSE(CONTROL!$C$21, $C$9, 100%, $E$9)</f>
        <v>17.747399999999999</v>
      </c>
      <c r="C659" s="10">
        <f>CHOOSE(CONTROL!$C$42, 17.7524, 17.7524) * CHOOSE(CONTROL!$C$21, $C$9, 100%, $E$9)</f>
        <v>17.752400000000002</v>
      </c>
      <c r="D659" s="10">
        <f>CHOOSE(CONTROL!$C$42, 17.782, 17.782) * CHOOSE(CONTROL!$C$21, $C$9, 100%, $E$9)</f>
        <v>17.782</v>
      </c>
      <c r="E659" s="10">
        <f>CHOOSE(CONTROL!$C$42, 17.8158, 17.8158) * CHOOSE(CONTROL!$C$21, $C$9, 100%, $E$9)</f>
        <v>17.815799999999999</v>
      </c>
      <c r="F659" s="10">
        <f>CHOOSE(CONTROL!$C$42, 17.7332, 17.7332)*CHOOSE(CONTROL!$C$21, $C$9, 100%, $E$9)</f>
        <v>17.7332</v>
      </c>
      <c r="G659" s="10">
        <f>CHOOSE(CONTROL!$C$42, 17.7512, 17.7512)*CHOOSE(CONTROL!$C$21, $C$9, 100%, $E$9)</f>
        <v>17.751200000000001</v>
      </c>
      <c r="H659" s="10">
        <f>CHOOSE(CONTROL!$C$42, 17.805, 17.805) * CHOOSE(CONTROL!$C$21, $C$9, 100%, $E$9)</f>
        <v>17.805</v>
      </c>
      <c r="I659" s="10">
        <f>CHOOSE(CONTROL!$C$42, 17.7136, 17.7136)* CHOOSE(CONTROL!$C$21, $C$9, 100%, $E$9)</f>
        <v>17.7136</v>
      </c>
      <c r="J659" s="10">
        <f>CHOOSE(CONTROL!$C$42, 17.7262, 17.7262)* CHOOSE(CONTROL!$C$21, $C$9, 100%, $E$9)</f>
        <v>17.726199999999999</v>
      </c>
      <c r="K659" s="54">
        <f>CHOOSE(CONTROL!$C$42, 17.7097, 17.7097) * CHOOSE(CONTROL!$C$21, $C$9, 100%, $E$9)</f>
        <v>17.709700000000002</v>
      </c>
      <c r="L659" s="10">
        <f>CHOOSE(CONTROL!$C$42, 18.392, 18.392) * CHOOSE(CONTROL!$C$21, $C$9, 100%, $E$9)</f>
        <v>18.391999999999999</v>
      </c>
      <c r="M659" s="10">
        <f>CHOOSE(CONTROL!$C$42, 17.5611, 17.5611) * CHOOSE(CONTROL!$C$21, $C$9, 100%, $E$9)</f>
        <v>17.5611</v>
      </c>
      <c r="N659" s="10">
        <f>CHOOSE(CONTROL!$C$42, 17.579, 17.579) * CHOOSE(CONTROL!$C$21, $C$9, 100%, $E$9)</f>
        <v>17.579000000000001</v>
      </c>
      <c r="O659" s="10">
        <f>CHOOSE(CONTROL!$C$42, 17.6391, 17.6391) * CHOOSE(CONTROL!$C$21, $C$9, 100%, $E$9)</f>
        <v>17.639099999999999</v>
      </c>
      <c r="P659" s="10">
        <f>CHOOSE(CONTROL!$C$42, 17.5487, 17.5487) * CHOOSE(CONTROL!$C$21, $C$9, 100%, $E$9)</f>
        <v>17.5487</v>
      </c>
      <c r="Q659" s="10">
        <f>CHOOSE(CONTROL!$C$42, 18.2344, 18.2344) * CHOOSE(CONTROL!$C$21, $C$9, 100%, $E$9)</f>
        <v>18.234400000000001</v>
      </c>
      <c r="R659" s="10">
        <f>CHOOSE(CONTROL!$C$42, 18.867, 18.867) * CHOOSE(CONTROL!$C$21, $C$9, 100%, $E$9)</f>
        <v>18.867000000000001</v>
      </c>
      <c r="S659" s="10">
        <f>CHOOSE(CONTROL!$C$42, 17.2324, 17.2324) * CHOOSE(CONTROL!$C$21, $C$9, 100%, $E$9)</f>
        <v>17.232399999999998</v>
      </c>
      <c r="T659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659" s="58">
        <f>(1000*CHOOSE(CONTROL!$C$42, 695, 695)*CHOOSE(CONTROL!$C$42, 0.5599, 0.5599)*CHOOSE(CONTROL!$C$42, 30, 30))/1000000</f>
        <v>11.673914999999997</v>
      </c>
      <c r="V659" s="58">
        <f>(1000*CHOOSE(CONTROL!$C$42, 500, 500)*CHOOSE(CONTROL!$C$42, 0.275, 0.275)*CHOOSE(CONTROL!$C$42, 30, 30))/1000000</f>
        <v>4.125</v>
      </c>
      <c r="W659" s="58">
        <f>(1000*CHOOSE(CONTROL!$C$42, 0.1146, 0.1146)*CHOOSE(CONTROL!$C$42, 121.5, 121.5)*CHOOSE(CONTROL!$C$42, 30, 30))/1000000</f>
        <v>0.417717</v>
      </c>
      <c r="X659" s="58">
        <f>(30*0.1790888*100000/1000000)+(30*0.2374*100000/1000000)</f>
        <v>1.2494664</v>
      </c>
      <c r="Y659" s="58"/>
      <c r="Z659" s="10"/>
      <c r="AA659" s="57"/>
      <c r="AB659" s="51">
        <f>(B659*122.58+C659*297.941+D659*89.177+E659*40.302+F659*40+G659*160+H659*0+I659*100+J659*300)/(122.58+297.941+89.177+40.302+0+40+160+100+300)</f>
        <v>17.745340770434783</v>
      </c>
      <c r="AC659" s="27">
        <f>(M659*'RAP TEMPLATE-GAS AVAILABILITY'!O658+N659*'RAP TEMPLATE-GAS AVAILABILITY'!P658+O659*'RAP TEMPLATE-GAS AVAILABILITY'!Q658+P659*'RAP TEMPLATE-GAS AVAILABILITY'!R658)/('RAP TEMPLATE-GAS AVAILABILITY'!O658+'RAP TEMPLATE-GAS AVAILABILITY'!P658+'RAP TEMPLATE-GAS AVAILABILITY'!Q658+'RAP TEMPLATE-GAS AVAILABILITY'!R658)</f>
        <v>17.595698561151078</v>
      </c>
    </row>
    <row r="660" spans="1:29" ht="15.75" x14ac:dyDescent="0.25">
      <c r="A660" s="13">
        <v>61362</v>
      </c>
      <c r="B660" s="10">
        <f>CHOOSE(CONTROL!$C$42, 18.9572, 18.9572) * CHOOSE(CONTROL!$C$21, $C$9, 100%, $E$9)</f>
        <v>18.9572</v>
      </c>
      <c r="C660" s="10">
        <f>CHOOSE(CONTROL!$C$42, 18.9622, 18.9622) * CHOOSE(CONTROL!$C$21, $C$9, 100%, $E$9)</f>
        <v>18.962199999999999</v>
      </c>
      <c r="D660" s="10">
        <f>CHOOSE(CONTROL!$C$42, 18.9918, 18.9918) * CHOOSE(CONTROL!$C$21, $C$9, 100%, $E$9)</f>
        <v>18.991800000000001</v>
      </c>
      <c r="E660" s="10">
        <f>CHOOSE(CONTROL!$C$42, 19.0256, 19.0256) * CHOOSE(CONTROL!$C$21, $C$9, 100%, $E$9)</f>
        <v>19.025600000000001</v>
      </c>
      <c r="F660" s="10">
        <f>CHOOSE(CONTROL!$C$42, 18.9445, 18.9445)*CHOOSE(CONTROL!$C$21, $C$9, 100%, $E$9)</f>
        <v>18.944500000000001</v>
      </c>
      <c r="G660" s="10">
        <f>CHOOSE(CONTROL!$C$42, 18.963, 18.963)*CHOOSE(CONTROL!$C$21, $C$9, 100%, $E$9)</f>
        <v>18.963000000000001</v>
      </c>
      <c r="H660" s="10">
        <f>CHOOSE(CONTROL!$C$42, 19.0148, 19.0148) * CHOOSE(CONTROL!$C$21, $C$9, 100%, $E$9)</f>
        <v>19.014800000000001</v>
      </c>
      <c r="I660" s="10">
        <f>CHOOSE(CONTROL!$C$42, 18.9234, 18.9234)* CHOOSE(CONTROL!$C$21, $C$9, 100%, $E$9)</f>
        <v>18.923400000000001</v>
      </c>
      <c r="J660" s="10">
        <f>CHOOSE(CONTROL!$C$42, 18.9375, 18.9375)* CHOOSE(CONTROL!$C$21, $C$9, 100%, $E$9)</f>
        <v>18.9375</v>
      </c>
      <c r="K660" s="54">
        <f>CHOOSE(CONTROL!$C$42, 18.9195, 18.9195) * CHOOSE(CONTROL!$C$21, $C$9, 100%, $E$9)</f>
        <v>18.919499999999999</v>
      </c>
      <c r="L660" s="10">
        <f>CHOOSE(CONTROL!$C$42, 19.6018, 19.6018) * CHOOSE(CONTROL!$C$21, $C$9, 100%, $E$9)</f>
        <v>19.601800000000001</v>
      </c>
      <c r="M660" s="10">
        <f>CHOOSE(CONTROL!$C$42, 18.7603, 18.7603) * CHOOSE(CONTROL!$C$21, $C$9, 100%, $E$9)</f>
        <v>18.760300000000001</v>
      </c>
      <c r="N660" s="10">
        <f>CHOOSE(CONTROL!$C$42, 18.7785, 18.7785) * CHOOSE(CONTROL!$C$21, $C$9, 100%, $E$9)</f>
        <v>18.778500000000001</v>
      </c>
      <c r="O660" s="10">
        <f>CHOOSE(CONTROL!$C$42, 18.8367, 18.8367) * CHOOSE(CONTROL!$C$21, $C$9, 100%, $E$9)</f>
        <v>18.8367</v>
      </c>
      <c r="P660" s="10">
        <f>CHOOSE(CONTROL!$C$42, 18.7463, 18.7463) * CHOOSE(CONTROL!$C$21, $C$9, 100%, $E$9)</f>
        <v>18.746300000000002</v>
      </c>
      <c r="Q660" s="10">
        <f>CHOOSE(CONTROL!$C$42, 19.432, 19.432) * CHOOSE(CONTROL!$C$21, $C$9, 100%, $E$9)</f>
        <v>19.431999999999999</v>
      </c>
      <c r="R660" s="10">
        <f>CHOOSE(CONTROL!$C$42, 20.0676, 20.0676) * CHOOSE(CONTROL!$C$21, $C$9, 100%, $E$9)</f>
        <v>20.067599999999999</v>
      </c>
      <c r="S660" s="10">
        <f>CHOOSE(CONTROL!$C$42, 18.4072, 18.4072) * CHOOSE(CONTROL!$C$21, $C$9, 100%, $E$9)</f>
        <v>18.4072</v>
      </c>
      <c r="T660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60" s="58">
        <f>(1000*CHOOSE(CONTROL!$C$42, 695, 695)*CHOOSE(CONTROL!$C$42, 0.5599, 0.5599)*CHOOSE(CONTROL!$C$42, 31, 31))/1000000</f>
        <v>12.063045499999998</v>
      </c>
      <c r="V660" s="58">
        <f>(1000*CHOOSE(CONTROL!$C$42, 500, 500)*CHOOSE(CONTROL!$C$42, 0.275, 0.275)*CHOOSE(CONTROL!$C$42, 31, 31))/1000000</f>
        <v>4.2625000000000002</v>
      </c>
      <c r="W660" s="58">
        <f>(1000*CHOOSE(CONTROL!$C$42, 0.1146, 0.1146)*CHOOSE(CONTROL!$C$42, 121.5, 121.5)*CHOOSE(CONTROL!$C$42, 31, 31))/1000000</f>
        <v>0.43164089999999994</v>
      </c>
      <c r="X660" s="58">
        <f>(31*0.1790888*100000/1000000)+(31*0.2374*100000/1000000)</f>
        <v>1.2911152800000001</v>
      </c>
      <c r="Y660" s="58"/>
      <c r="Z660" s="10"/>
      <c r="AA660" s="57"/>
      <c r="AB660" s="51">
        <f>(B660*122.58+C660*297.941+D660*89.177+E660*40.302+F660*40+G660*160+H660*0+I660*100+J660*300)/(122.58+297.941+89.177+40.302+0+40+160+100+300)</f>
        <v>18.955862509565222</v>
      </c>
      <c r="AC660" s="27">
        <f>(M660*'RAP TEMPLATE-GAS AVAILABILITY'!O659+N660*'RAP TEMPLATE-GAS AVAILABILITY'!P659+O660*'RAP TEMPLATE-GAS AVAILABILITY'!Q659+P660*'RAP TEMPLATE-GAS AVAILABILITY'!R659)/('RAP TEMPLATE-GAS AVAILABILITY'!O659+'RAP TEMPLATE-GAS AVAILABILITY'!P659+'RAP TEMPLATE-GAS AVAILABILITY'!Q659+'RAP TEMPLATE-GAS AVAILABILITY'!R659)</f>
        <v>18.793960431654678</v>
      </c>
    </row>
    <row r="661" spans="1:29" ht="15.75" x14ac:dyDescent="0.25">
      <c r="A661" s="13">
        <v>61393</v>
      </c>
      <c r="B661" s="10">
        <f>CHOOSE(CONTROL!$C$42, 20.2365, 20.2365) * CHOOSE(CONTROL!$C$21, $C$9, 100%, $E$9)</f>
        <v>20.236499999999999</v>
      </c>
      <c r="C661" s="10">
        <f>CHOOSE(CONTROL!$C$42, 20.2415, 20.2415) * CHOOSE(CONTROL!$C$21, $C$9, 100%, $E$9)</f>
        <v>20.241499999999998</v>
      </c>
      <c r="D661" s="10">
        <f>CHOOSE(CONTROL!$C$42, 20.2917, 20.2917) * CHOOSE(CONTROL!$C$21, $C$9, 100%, $E$9)</f>
        <v>20.291699999999999</v>
      </c>
      <c r="E661" s="10">
        <f>CHOOSE(CONTROL!$C$42, 20.3255, 20.3255) * CHOOSE(CONTROL!$C$21, $C$9, 100%, $E$9)</f>
        <v>20.325500000000002</v>
      </c>
      <c r="F661" s="10">
        <f>CHOOSE(CONTROL!$C$42, 20.2019, 20.2019)*CHOOSE(CONTROL!$C$21, $C$9, 100%, $E$9)</f>
        <v>20.201899999999998</v>
      </c>
      <c r="G661" s="10">
        <f>CHOOSE(CONTROL!$C$42, 20.2195, 20.2195)*CHOOSE(CONTROL!$C$21, $C$9, 100%, $E$9)</f>
        <v>20.2195</v>
      </c>
      <c r="H661" s="10">
        <f>CHOOSE(CONTROL!$C$42, 20.3147, 20.3147) * CHOOSE(CONTROL!$C$21, $C$9, 100%, $E$9)</f>
        <v>20.314699999999998</v>
      </c>
      <c r="I661" s="10">
        <f>CHOOSE(CONTROL!$C$42, 20.2104, 20.2104)* CHOOSE(CONTROL!$C$21, $C$9, 100%, $E$9)</f>
        <v>20.2104</v>
      </c>
      <c r="J661" s="10">
        <f>CHOOSE(CONTROL!$C$42, 20.1949, 20.1949)* CHOOSE(CONTROL!$C$21, $C$9, 100%, $E$9)</f>
        <v>20.194900000000001</v>
      </c>
      <c r="K661" s="54">
        <f>CHOOSE(CONTROL!$C$42, 20.2066, 20.2066) * CHOOSE(CONTROL!$C$21, $C$9, 100%, $E$9)</f>
        <v>20.206600000000002</v>
      </c>
      <c r="L661" s="10">
        <f>CHOOSE(CONTROL!$C$42, 20.9017, 20.9017) * CHOOSE(CONTROL!$C$21, $C$9, 100%, $E$9)</f>
        <v>20.901700000000002</v>
      </c>
      <c r="M661" s="10">
        <f>CHOOSE(CONTROL!$C$42, 20.0049, 20.0049) * CHOOSE(CONTROL!$C$21, $C$9, 100%, $E$9)</f>
        <v>20.004899999999999</v>
      </c>
      <c r="N661" s="10">
        <f>CHOOSE(CONTROL!$C$42, 20.0223, 20.0223) * CHOOSE(CONTROL!$C$21, $C$9, 100%, $E$9)</f>
        <v>20.022300000000001</v>
      </c>
      <c r="O661" s="10">
        <f>CHOOSE(CONTROL!$C$42, 20.1235, 20.1235) * CHOOSE(CONTROL!$C$21, $C$9, 100%, $E$9)</f>
        <v>20.1235</v>
      </c>
      <c r="P661" s="10">
        <f>CHOOSE(CONTROL!$C$42, 20.0203, 20.0203) * CHOOSE(CONTROL!$C$21, $C$9, 100%, $E$9)</f>
        <v>20.020299999999999</v>
      </c>
      <c r="Q661" s="10">
        <f>CHOOSE(CONTROL!$C$42, 20.7188, 20.7188) * CHOOSE(CONTROL!$C$21, $C$9, 100%, $E$9)</f>
        <v>20.718800000000002</v>
      </c>
      <c r="R661" s="10">
        <f>CHOOSE(CONTROL!$C$42, 21.3576, 21.3576) * CHOOSE(CONTROL!$C$21, $C$9, 100%, $E$9)</f>
        <v>21.357600000000001</v>
      </c>
      <c r="S661" s="10">
        <f>CHOOSE(CONTROL!$C$42, 19.6496, 19.6496) * CHOOSE(CONTROL!$C$21, $C$9, 100%, $E$9)</f>
        <v>19.6496</v>
      </c>
      <c r="T661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61" s="58">
        <f>(1000*CHOOSE(CONTROL!$C$42, 695, 695)*CHOOSE(CONTROL!$C$42, 0.5599, 0.5599)*CHOOSE(CONTROL!$C$42, 31, 31))/1000000</f>
        <v>12.063045499999998</v>
      </c>
      <c r="V661" s="58">
        <f>(1000*CHOOSE(CONTROL!$C$42, 500, 500)*CHOOSE(CONTROL!$C$42, 0.275, 0.275)*CHOOSE(CONTROL!$C$42, 31, 31))/1000000</f>
        <v>4.2625000000000002</v>
      </c>
      <c r="W661" s="58">
        <f>(1000*CHOOSE(CONTROL!$C$42, 0.1146, 0.1146)*CHOOSE(CONTROL!$C$42, 121.5, 121.5)*CHOOSE(CONTROL!$C$42, 31, 31))/1000000</f>
        <v>0.43164089999999994</v>
      </c>
      <c r="X661" s="58">
        <f>(31*0.1790888*100000/1000000)+(31*0.2374*100000/1000000)</f>
        <v>1.2911152800000001</v>
      </c>
      <c r="Y661" s="58"/>
      <c r="Z661" s="10"/>
      <c r="AA661" s="57"/>
      <c r="AB661" s="51">
        <f>(B661*122.58+C661*297.941+D661*89.177+E661*40.302+F661*40+G661*160+H661*0+I661*100+J661*300)/(122.58+297.941+89.177+40.302+0+40+160+100+300)</f>
        <v>20.228504481217392</v>
      </c>
      <c r="AC661" s="27">
        <f>(M661*'RAP TEMPLATE-GAS AVAILABILITY'!O660+N661*'RAP TEMPLATE-GAS AVAILABILITY'!P660+O661*'RAP TEMPLATE-GAS AVAILABILITY'!Q660+P661*'RAP TEMPLATE-GAS AVAILABILITY'!R660)/('RAP TEMPLATE-GAS AVAILABILITY'!O660+'RAP TEMPLATE-GAS AVAILABILITY'!P660+'RAP TEMPLATE-GAS AVAILABILITY'!Q660+'RAP TEMPLATE-GAS AVAILABILITY'!R660)</f>
        <v>20.061871223021583</v>
      </c>
    </row>
    <row r="662" spans="1:29" ht="15.75" x14ac:dyDescent="0.25">
      <c r="A662" s="13">
        <v>61422</v>
      </c>
      <c r="B662" s="10">
        <f>CHOOSE(CONTROL!$C$42, 20.5967, 20.5967) * CHOOSE(CONTROL!$C$21, $C$9, 100%, $E$9)</f>
        <v>20.596699999999998</v>
      </c>
      <c r="C662" s="10">
        <f>CHOOSE(CONTROL!$C$42, 20.6017, 20.6017) * CHOOSE(CONTROL!$C$21, $C$9, 100%, $E$9)</f>
        <v>20.601700000000001</v>
      </c>
      <c r="D662" s="10">
        <f>CHOOSE(CONTROL!$C$42, 20.7188, 20.7188) * CHOOSE(CONTROL!$C$21, $C$9, 100%, $E$9)</f>
        <v>20.718800000000002</v>
      </c>
      <c r="E662" s="10">
        <f>CHOOSE(CONTROL!$C$42, 20.7526, 20.7526) * CHOOSE(CONTROL!$C$21, $C$9, 100%, $E$9)</f>
        <v>20.752600000000001</v>
      </c>
      <c r="F662" s="10">
        <f>CHOOSE(CONTROL!$C$42, 20.6743, 20.6743)*CHOOSE(CONTROL!$C$21, $C$9, 100%, $E$9)</f>
        <v>20.674299999999999</v>
      </c>
      <c r="G662" s="10">
        <f>CHOOSE(CONTROL!$C$42, 20.6962, 20.6962)*CHOOSE(CONTROL!$C$21, $C$9, 100%, $E$9)</f>
        <v>20.696200000000001</v>
      </c>
      <c r="H662" s="10">
        <f>CHOOSE(CONTROL!$C$42, 20.7418, 20.7418) * CHOOSE(CONTROL!$C$21, $C$9, 100%, $E$9)</f>
        <v>20.741800000000001</v>
      </c>
      <c r="I662" s="10">
        <f>CHOOSE(CONTROL!$C$42, 20.6324, 20.6324)* CHOOSE(CONTROL!$C$21, $C$9, 100%, $E$9)</f>
        <v>20.632400000000001</v>
      </c>
      <c r="J662" s="10">
        <f>CHOOSE(CONTROL!$C$42, 20.6673, 20.6673)* CHOOSE(CONTROL!$C$21, $C$9, 100%, $E$9)</f>
        <v>20.667300000000001</v>
      </c>
      <c r="K662" s="54">
        <f>CHOOSE(CONTROL!$C$42, 20.6285, 20.6285) * CHOOSE(CONTROL!$C$21, $C$9, 100%, $E$9)</f>
        <v>20.628499999999999</v>
      </c>
      <c r="L662" s="10">
        <f>CHOOSE(CONTROL!$C$42, 21.3288, 21.3288) * CHOOSE(CONTROL!$C$21, $C$9, 100%, $E$9)</f>
        <v>21.328800000000001</v>
      </c>
      <c r="M662" s="10">
        <f>CHOOSE(CONTROL!$C$42, 20.4726, 20.4726) * CHOOSE(CONTROL!$C$21, $C$9, 100%, $E$9)</f>
        <v>20.4726</v>
      </c>
      <c r="N662" s="10">
        <f>CHOOSE(CONTROL!$C$42, 20.4943, 20.4943) * CHOOSE(CONTROL!$C$21, $C$9, 100%, $E$9)</f>
        <v>20.494299999999999</v>
      </c>
      <c r="O662" s="10">
        <f>CHOOSE(CONTROL!$C$42, 20.5463, 20.5463) * CHOOSE(CONTROL!$C$21, $C$9, 100%, $E$9)</f>
        <v>20.546299999999999</v>
      </c>
      <c r="P662" s="10">
        <f>CHOOSE(CONTROL!$C$42, 20.4381, 20.4381) * CHOOSE(CONTROL!$C$21, $C$9, 100%, $E$9)</f>
        <v>20.438099999999999</v>
      </c>
      <c r="Q662" s="10">
        <f>CHOOSE(CONTROL!$C$42, 21.1416, 21.1416) * CHOOSE(CONTROL!$C$21, $C$9, 100%, $E$9)</f>
        <v>21.1416</v>
      </c>
      <c r="R662" s="10">
        <f>CHOOSE(CONTROL!$C$42, 21.7815, 21.7815) * CHOOSE(CONTROL!$C$21, $C$9, 100%, $E$9)</f>
        <v>21.781500000000001</v>
      </c>
      <c r="S662" s="10">
        <f>CHOOSE(CONTROL!$C$42, 19.9994, 19.9994) * CHOOSE(CONTROL!$C$21, $C$9, 100%, $E$9)</f>
        <v>19.999400000000001</v>
      </c>
      <c r="T662" s="5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662" s="58">
        <f>(1000*CHOOSE(CONTROL!$C$42, 695, 695)*CHOOSE(CONTROL!$C$42, 0.5599, 0.5599)*CHOOSE(CONTROL!$C$42, 29, 29))/1000000</f>
        <v>11.284784499999999</v>
      </c>
      <c r="V662" s="58">
        <f>(1000*CHOOSE(CONTROL!$C$42, 500, 500)*CHOOSE(CONTROL!$C$42, 0.275, 0.275)*CHOOSE(CONTROL!$C$42, 29, 29))/1000000</f>
        <v>3.9874999999999998</v>
      </c>
      <c r="W662" s="58">
        <f>(1000*CHOOSE(CONTROL!$C$42, 0.1146, 0.1146)*CHOOSE(CONTROL!$C$42, 121.5, 121.5)*CHOOSE(CONTROL!$C$42, 29, 29))/1000000</f>
        <v>0.40379309999999996</v>
      </c>
      <c r="X662" s="58">
        <f>(29*0.1790888*100000/1000000)+(29*0.2374*100000/1000000)</f>
        <v>1.2078175199999999</v>
      </c>
      <c r="Y662" s="58"/>
      <c r="Z662" s="10"/>
      <c r="AA662" s="57"/>
      <c r="AB662" s="51">
        <f>(B662*122.58+C662*297.941+D662*89.177+E662*40.302+F662*40+G662*160+H662*0+I662*100+J662*300)/(122.58+297.941+89.177+40.302+0+40+160+100+300)</f>
        <v>20.650991563913045</v>
      </c>
      <c r="AC662" s="27">
        <f>(M662*'RAP TEMPLATE-GAS AVAILABILITY'!O661+N662*'RAP TEMPLATE-GAS AVAILABILITY'!P661+O662*'RAP TEMPLATE-GAS AVAILABILITY'!Q661+P662*'RAP TEMPLATE-GAS AVAILABILITY'!R661)/('RAP TEMPLATE-GAS AVAILABILITY'!O661+'RAP TEMPLATE-GAS AVAILABILITY'!P661+'RAP TEMPLATE-GAS AVAILABILITY'!Q661+'RAP TEMPLATE-GAS AVAILABILITY'!R661)</f>
        <v>20.502288489208635</v>
      </c>
    </row>
    <row r="663" spans="1:29" ht="15.75" x14ac:dyDescent="0.25">
      <c r="A663" s="13">
        <v>61453</v>
      </c>
      <c r="B663" s="10">
        <f>CHOOSE(CONTROL!$C$42, 20.0121, 20.0121) * CHOOSE(CONTROL!$C$21, $C$9, 100%, $E$9)</f>
        <v>20.0121</v>
      </c>
      <c r="C663" s="10">
        <f>CHOOSE(CONTROL!$C$42, 20.017, 20.017) * CHOOSE(CONTROL!$C$21, $C$9, 100%, $E$9)</f>
        <v>20.016999999999999</v>
      </c>
      <c r="D663" s="10">
        <f>CHOOSE(CONTROL!$C$42, 20.1084, 20.1084) * CHOOSE(CONTROL!$C$21, $C$9, 100%, $E$9)</f>
        <v>20.1084</v>
      </c>
      <c r="E663" s="10">
        <f>CHOOSE(CONTROL!$C$42, 20.1422, 20.1422) * CHOOSE(CONTROL!$C$21, $C$9, 100%, $E$9)</f>
        <v>20.142199999999999</v>
      </c>
      <c r="F663" s="10">
        <f>CHOOSE(CONTROL!$C$42, 20.0419, 20.0419)*CHOOSE(CONTROL!$C$21, $C$9, 100%, $E$9)</f>
        <v>20.041899999999998</v>
      </c>
      <c r="G663" s="10">
        <f>CHOOSE(CONTROL!$C$42, 20.0614, 20.0614)*CHOOSE(CONTROL!$C$21, $C$9, 100%, $E$9)</f>
        <v>20.061399999999999</v>
      </c>
      <c r="H663" s="10">
        <f>CHOOSE(CONTROL!$C$42, 20.1314, 20.1314) * CHOOSE(CONTROL!$C$21, $C$9, 100%, $E$9)</f>
        <v>20.131399999999999</v>
      </c>
      <c r="I663" s="10">
        <f>CHOOSE(CONTROL!$C$42, 20.0349, 20.0349)* CHOOSE(CONTROL!$C$21, $C$9, 100%, $E$9)</f>
        <v>20.0349</v>
      </c>
      <c r="J663" s="10">
        <f>CHOOSE(CONTROL!$C$42, 20.0349, 20.0349)* CHOOSE(CONTROL!$C$21, $C$9, 100%, $E$9)</f>
        <v>20.0349</v>
      </c>
      <c r="K663" s="54">
        <f>CHOOSE(CONTROL!$C$42, 20.031, 20.031) * CHOOSE(CONTROL!$C$21, $C$9, 100%, $E$9)</f>
        <v>20.030999999999999</v>
      </c>
      <c r="L663" s="10">
        <f>CHOOSE(CONTROL!$C$42, 20.7184, 20.7184) * CHOOSE(CONTROL!$C$21, $C$9, 100%, $E$9)</f>
        <v>20.718399999999999</v>
      </c>
      <c r="M663" s="10">
        <f>CHOOSE(CONTROL!$C$42, 19.8465, 19.8465) * CHOOSE(CONTROL!$C$21, $C$9, 100%, $E$9)</f>
        <v>19.846499999999999</v>
      </c>
      <c r="N663" s="10">
        <f>CHOOSE(CONTROL!$C$42, 19.8658, 19.8658) * CHOOSE(CONTROL!$C$21, $C$9, 100%, $E$9)</f>
        <v>19.8658</v>
      </c>
      <c r="O663" s="10">
        <f>CHOOSE(CONTROL!$C$42, 19.942, 19.942) * CHOOSE(CONTROL!$C$21, $C$9, 100%, $E$9)</f>
        <v>19.942</v>
      </c>
      <c r="P663" s="10">
        <f>CHOOSE(CONTROL!$C$42, 19.8465, 19.8465) * CHOOSE(CONTROL!$C$21, $C$9, 100%, $E$9)</f>
        <v>19.846499999999999</v>
      </c>
      <c r="Q663" s="10">
        <f>CHOOSE(CONTROL!$C$42, 20.5373, 20.5373) * CHOOSE(CONTROL!$C$21, $C$9, 100%, $E$9)</f>
        <v>20.537299999999998</v>
      </c>
      <c r="R663" s="10">
        <f>CHOOSE(CONTROL!$C$42, 21.1757, 21.1757) * CHOOSE(CONTROL!$C$21, $C$9, 100%, $E$9)</f>
        <v>21.175699999999999</v>
      </c>
      <c r="S663" s="10">
        <f>CHOOSE(CONTROL!$C$42, 19.4316, 19.4316) * CHOOSE(CONTROL!$C$21, $C$9, 100%, $E$9)</f>
        <v>19.4316</v>
      </c>
      <c r="T663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63" s="58">
        <f>(1000*CHOOSE(CONTROL!$C$42, 695, 695)*CHOOSE(CONTROL!$C$42, 0.5599, 0.5599)*CHOOSE(CONTROL!$C$42, 31, 31))/1000000</f>
        <v>12.063045499999998</v>
      </c>
      <c r="V663" s="58">
        <f>(1000*CHOOSE(CONTROL!$C$42, 500, 500)*CHOOSE(CONTROL!$C$42, 0.275, 0.275)*CHOOSE(CONTROL!$C$42, 31, 31))/1000000</f>
        <v>4.2625000000000002</v>
      </c>
      <c r="W663" s="58">
        <f>(1000*CHOOSE(CONTROL!$C$42, 0.1146, 0.1146)*CHOOSE(CONTROL!$C$42, 121.5, 121.5)*CHOOSE(CONTROL!$C$42, 31, 31))/1000000</f>
        <v>0.43164089999999994</v>
      </c>
      <c r="X663" s="58">
        <f>(31*0.1790888*100000/1000000)+(31*0.2374*100000/1000000)</f>
        <v>1.2911152800000001</v>
      </c>
      <c r="Y663" s="58"/>
      <c r="Z663" s="10"/>
      <c r="AA663" s="57"/>
      <c r="AB663" s="51">
        <f>(B663*122.58+C663*297.941+D663*89.177+E663*40.302+F663*40+G663*160+H663*0+I663*100+J663*300)/(122.58+297.941+89.177+40.302+0+40+160+100+300)</f>
        <v>20.041222561913045</v>
      </c>
      <c r="AC663" s="27">
        <f>(M663*'RAP TEMPLATE-GAS AVAILABILITY'!O662+N663*'RAP TEMPLATE-GAS AVAILABILITY'!P662+O663*'RAP TEMPLATE-GAS AVAILABILITY'!Q662+P663*'RAP TEMPLATE-GAS AVAILABILITY'!R662)/('RAP TEMPLATE-GAS AVAILABILITY'!O662+'RAP TEMPLATE-GAS AVAILABILITY'!P662+'RAP TEMPLATE-GAS AVAILABILITY'!Q662+'RAP TEMPLATE-GAS AVAILABILITY'!R662)</f>
        <v>19.890894964028778</v>
      </c>
    </row>
    <row r="664" spans="1:29" ht="15.75" x14ac:dyDescent="0.25">
      <c r="A664" s="13">
        <v>61483</v>
      </c>
      <c r="B664" s="10">
        <f>CHOOSE(CONTROL!$C$42, 19.9529, 19.9529) * CHOOSE(CONTROL!$C$21, $C$9, 100%, $E$9)</f>
        <v>19.9529</v>
      </c>
      <c r="C664" s="10">
        <f>CHOOSE(CONTROL!$C$42, 19.9573, 19.9573) * CHOOSE(CONTROL!$C$21, $C$9, 100%, $E$9)</f>
        <v>19.9573</v>
      </c>
      <c r="D664" s="10">
        <f>CHOOSE(CONTROL!$C$42, 20.139, 20.139) * CHOOSE(CONTROL!$C$21, $C$9, 100%, $E$9)</f>
        <v>20.138999999999999</v>
      </c>
      <c r="E664" s="10">
        <f>CHOOSE(CONTROL!$C$42, 20.1708, 20.1708) * CHOOSE(CONTROL!$C$21, $C$9, 100%, $E$9)</f>
        <v>20.1708</v>
      </c>
      <c r="F664" s="10">
        <f>CHOOSE(CONTROL!$C$42, 19.9413, 19.9413)*CHOOSE(CONTROL!$C$21, $C$9, 100%, $E$9)</f>
        <v>19.941299999999998</v>
      </c>
      <c r="G664" s="10">
        <f>CHOOSE(CONTROL!$C$42, 19.9592, 19.9592)*CHOOSE(CONTROL!$C$21, $C$9, 100%, $E$9)</f>
        <v>19.959199999999999</v>
      </c>
      <c r="H664" s="10">
        <f>CHOOSE(CONTROL!$C$42, 20.1605, 20.1605) * CHOOSE(CONTROL!$C$21, $C$9, 100%, $E$9)</f>
        <v>20.160499999999999</v>
      </c>
      <c r="I664" s="10">
        <f>CHOOSE(CONTROL!$C$42, 19.9312, 19.9312)* CHOOSE(CONTROL!$C$21, $C$9, 100%, $E$9)</f>
        <v>19.9312</v>
      </c>
      <c r="J664" s="10">
        <f>CHOOSE(CONTROL!$C$42, 19.9343, 19.9343)* CHOOSE(CONTROL!$C$21, $C$9, 100%, $E$9)</f>
        <v>19.9343</v>
      </c>
      <c r="K664" s="54">
        <f>CHOOSE(CONTROL!$C$42, 19.9273, 19.9273) * CHOOSE(CONTROL!$C$21, $C$9, 100%, $E$9)</f>
        <v>19.927299999999999</v>
      </c>
      <c r="L664" s="10">
        <f>CHOOSE(CONTROL!$C$42, 20.7475, 20.7475) * CHOOSE(CONTROL!$C$21, $C$9, 100%, $E$9)</f>
        <v>20.747499999999999</v>
      </c>
      <c r="M664" s="10">
        <f>CHOOSE(CONTROL!$C$42, 19.7469, 19.7469) * CHOOSE(CONTROL!$C$21, $C$9, 100%, $E$9)</f>
        <v>19.7469</v>
      </c>
      <c r="N664" s="10">
        <f>CHOOSE(CONTROL!$C$42, 19.7647, 19.7647) * CHOOSE(CONTROL!$C$21, $C$9, 100%, $E$9)</f>
        <v>19.764700000000001</v>
      </c>
      <c r="O664" s="10">
        <f>CHOOSE(CONTROL!$C$42, 19.9709, 19.9709) * CHOOSE(CONTROL!$C$21, $C$9, 100%, $E$9)</f>
        <v>19.9709</v>
      </c>
      <c r="P664" s="10">
        <f>CHOOSE(CONTROL!$C$42, 19.7439, 19.7439) * CHOOSE(CONTROL!$C$21, $C$9, 100%, $E$9)</f>
        <v>19.7439</v>
      </c>
      <c r="Q664" s="10">
        <f>CHOOSE(CONTROL!$C$42, 20.5662, 20.5662) * CHOOSE(CONTROL!$C$21, $C$9, 100%, $E$9)</f>
        <v>20.566199999999998</v>
      </c>
      <c r="R664" s="10">
        <f>CHOOSE(CONTROL!$C$42, 21.2046, 21.2046) * CHOOSE(CONTROL!$C$21, $C$9, 100%, $E$9)</f>
        <v>21.204599999999999</v>
      </c>
      <c r="S664" s="10">
        <f>CHOOSE(CONTROL!$C$42, 19.3734, 19.3734) * CHOOSE(CONTROL!$C$21, $C$9, 100%, $E$9)</f>
        <v>19.3734</v>
      </c>
      <c r="T664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64" s="58">
        <f>(1000*CHOOSE(CONTROL!$C$42, 695, 695)*CHOOSE(CONTROL!$C$42, 0.5599, 0.5599)*CHOOSE(CONTROL!$C$42, 30, 30))/1000000</f>
        <v>11.673914999999997</v>
      </c>
      <c r="V664" s="58">
        <f>(1000*CHOOSE(CONTROL!$C$42, 500, 500)*CHOOSE(CONTROL!$C$42, 0.275, 0.275)*CHOOSE(CONTROL!$C$42, 30, 30))/1000000</f>
        <v>4.125</v>
      </c>
      <c r="W664" s="58">
        <f>(1000*CHOOSE(CONTROL!$C$42, 0.1146, 0.1146)*CHOOSE(CONTROL!$C$42, 121.5, 121.5)*CHOOSE(CONTROL!$C$42, 30, 30))/1000000</f>
        <v>0.417717</v>
      </c>
      <c r="X664" s="58">
        <f>(30*0.1790888*245000/1000000)+(30*0.2374*100000/1000000)</f>
        <v>2.0285026799999999</v>
      </c>
      <c r="Y664" s="58"/>
      <c r="Z664" s="10"/>
      <c r="AA664" s="57"/>
      <c r="AB664" s="51">
        <f>(B664*141.293+C664*267.993+D664*115.016+E664*89.698+F664*40+G664*185+H664*0+I664*100+J664*300)/(141.293+267.993+115.016+89.698+0+40+185+100+300)</f>
        <v>19.981213430992735</v>
      </c>
      <c r="AC664" s="27">
        <f>(M664*'RAP TEMPLATE-GAS AVAILABILITY'!O663+N664*'RAP TEMPLATE-GAS AVAILABILITY'!P663+O664*'RAP TEMPLATE-GAS AVAILABILITY'!Q663+P664*'RAP TEMPLATE-GAS AVAILABILITY'!R663)/('RAP TEMPLATE-GAS AVAILABILITY'!O663+'RAP TEMPLATE-GAS AVAILABILITY'!P663+'RAP TEMPLATE-GAS AVAILABILITY'!Q663+'RAP TEMPLATE-GAS AVAILABILITY'!R663)</f>
        <v>19.849017985611511</v>
      </c>
    </row>
    <row r="665" spans="1:29" ht="15.75" x14ac:dyDescent="0.25">
      <c r="A665" s="13">
        <v>61514</v>
      </c>
      <c r="B665" s="10">
        <f>CHOOSE(CONTROL!$C$42, 20.1308, 20.1308) * CHOOSE(CONTROL!$C$21, $C$9, 100%, $E$9)</f>
        <v>20.130800000000001</v>
      </c>
      <c r="C665" s="10">
        <f>CHOOSE(CONTROL!$C$42, 20.1387, 20.1387) * CHOOSE(CONTROL!$C$21, $C$9, 100%, $E$9)</f>
        <v>20.1387</v>
      </c>
      <c r="D665" s="10">
        <f>CHOOSE(CONTROL!$C$42, 20.3172, 20.3172) * CHOOSE(CONTROL!$C$21, $C$9, 100%, $E$9)</f>
        <v>20.3172</v>
      </c>
      <c r="E665" s="10">
        <f>CHOOSE(CONTROL!$C$42, 20.3484, 20.3484) * CHOOSE(CONTROL!$C$21, $C$9, 100%, $E$9)</f>
        <v>20.348400000000002</v>
      </c>
      <c r="F665" s="10">
        <f>CHOOSE(CONTROL!$C$42, 20.117, 20.117)*CHOOSE(CONTROL!$C$21, $C$9, 100%, $E$9)</f>
        <v>20.117000000000001</v>
      </c>
      <c r="G665" s="10">
        <f>CHOOSE(CONTROL!$C$42, 20.1351, 20.1351)*CHOOSE(CONTROL!$C$21, $C$9, 100%, $E$9)</f>
        <v>20.135100000000001</v>
      </c>
      <c r="H665" s="10">
        <f>CHOOSE(CONTROL!$C$42, 20.337, 20.337) * CHOOSE(CONTROL!$C$21, $C$9, 100%, $E$9)</f>
        <v>20.337</v>
      </c>
      <c r="I665" s="10">
        <f>CHOOSE(CONTROL!$C$42, 20.1077, 20.1077)* CHOOSE(CONTROL!$C$21, $C$9, 100%, $E$9)</f>
        <v>20.107700000000001</v>
      </c>
      <c r="J665" s="10">
        <f>CHOOSE(CONTROL!$C$42, 20.11, 20.11)* CHOOSE(CONTROL!$C$21, $C$9, 100%, $E$9)</f>
        <v>20.11</v>
      </c>
      <c r="K665" s="54">
        <f>CHOOSE(CONTROL!$C$42, 20.1038, 20.1038) * CHOOSE(CONTROL!$C$21, $C$9, 100%, $E$9)</f>
        <v>20.1038</v>
      </c>
      <c r="L665" s="10">
        <f>CHOOSE(CONTROL!$C$42, 20.924, 20.924) * CHOOSE(CONTROL!$C$21, $C$9, 100%, $E$9)</f>
        <v>20.923999999999999</v>
      </c>
      <c r="M665" s="10">
        <f>CHOOSE(CONTROL!$C$42, 19.9209, 19.9209) * CHOOSE(CONTROL!$C$21, $C$9, 100%, $E$9)</f>
        <v>19.9209</v>
      </c>
      <c r="N665" s="10">
        <f>CHOOSE(CONTROL!$C$42, 19.9388, 19.9388) * CHOOSE(CONTROL!$C$21, $C$9, 100%, $E$9)</f>
        <v>19.938800000000001</v>
      </c>
      <c r="O665" s="10">
        <f>CHOOSE(CONTROL!$C$42, 20.1456, 20.1456) * CHOOSE(CONTROL!$C$21, $C$9, 100%, $E$9)</f>
        <v>20.145600000000002</v>
      </c>
      <c r="P665" s="10">
        <f>CHOOSE(CONTROL!$C$42, 19.9186, 19.9186) * CHOOSE(CONTROL!$C$21, $C$9, 100%, $E$9)</f>
        <v>19.918600000000001</v>
      </c>
      <c r="Q665" s="10">
        <f>CHOOSE(CONTROL!$C$42, 20.7409, 20.7409) * CHOOSE(CONTROL!$C$21, $C$9, 100%, $E$9)</f>
        <v>20.7409</v>
      </c>
      <c r="R665" s="10">
        <f>CHOOSE(CONTROL!$C$42, 21.3798, 21.3798) * CHOOSE(CONTROL!$C$21, $C$9, 100%, $E$9)</f>
        <v>21.379799999999999</v>
      </c>
      <c r="S665" s="10">
        <f>CHOOSE(CONTROL!$C$42, 19.5448, 19.5448) * CHOOSE(CONTROL!$C$21, $C$9, 100%, $E$9)</f>
        <v>19.544799999999999</v>
      </c>
      <c r="T665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65" s="58">
        <f>(1000*CHOOSE(CONTROL!$C$42, 695, 695)*CHOOSE(CONTROL!$C$42, 0.5599, 0.5599)*CHOOSE(CONTROL!$C$42, 31, 31))/1000000</f>
        <v>12.063045499999998</v>
      </c>
      <c r="V665" s="58">
        <f>(1000*CHOOSE(CONTROL!$C$42, 500, 500)*CHOOSE(CONTROL!$C$42, 0.275, 0.275)*CHOOSE(CONTROL!$C$42, 31, 31))/1000000</f>
        <v>4.2625000000000002</v>
      </c>
      <c r="W665" s="58">
        <f>(1000*CHOOSE(CONTROL!$C$42, 0.1146, 0.1146)*CHOOSE(CONTROL!$C$42, 121.5, 121.5)*CHOOSE(CONTROL!$C$42, 31, 31))/1000000</f>
        <v>0.43164089999999994</v>
      </c>
      <c r="X665" s="58">
        <f>(31*0.1790888*245000/1000000)+(31*0.2374*100000/1000000)</f>
        <v>2.0961194359999999</v>
      </c>
      <c r="Y665" s="58"/>
      <c r="Z665" s="10"/>
      <c r="AA665" s="57"/>
      <c r="AB665" s="51">
        <f>(B665*194.205+C665*267.466+D665*133.845+E665*53.484+F665*40+G665*185+H665*0+I665*100+J665*300)/(194.205+267.466+133.845+53.484+0+40+185+100+300)</f>
        <v>20.154656599529041</v>
      </c>
      <c r="AC665" s="27">
        <f>(M665*'RAP TEMPLATE-GAS AVAILABILITY'!O664+N665*'RAP TEMPLATE-GAS AVAILABILITY'!P664+O665*'RAP TEMPLATE-GAS AVAILABILITY'!Q664+P665*'RAP TEMPLATE-GAS AVAILABILITY'!R664)/('RAP TEMPLATE-GAS AVAILABILITY'!O664+'RAP TEMPLATE-GAS AVAILABILITY'!P664+'RAP TEMPLATE-GAS AVAILABILITY'!Q664+'RAP TEMPLATE-GAS AVAILABILITY'!R664)</f>
        <v>20.023441726618707</v>
      </c>
    </row>
    <row r="666" spans="1:29" ht="15.75" x14ac:dyDescent="0.25">
      <c r="A666" s="13">
        <v>61544</v>
      </c>
      <c r="B666" s="10">
        <f>CHOOSE(CONTROL!$C$42, 20.7017, 20.7017) * CHOOSE(CONTROL!$C$21, $C$9, 100%, $E$9)</f>
        <v>20.701699999999999</v>
      </c>
      <c r="C666" s="10">
        <f>CHOOSE(CONTROL!$C$42, 20.7096, 20.7096) * CHOOSE(CONTROL!$C$21, $C$9, 100%, $E$9)</f>
        <v>20.709599999999998</v>
      </c>
      <c r="D666" s="10">
        <f>CHOOSE(CONTROL!$C$42, 20.8881, 20.8881) * CHOOSE(CONTROL!$C$21, $C$9, 100%, $E$9)</f>
        <v>20.888100000000001</v>
      </c>
      <c r="E666" s="10">
        <f>CHOOSE(CONTROL!$C$42, 20.9193, 20.9193) * CHOOSE(CONTROL!$C$21, $C$9, 100%, $E$9)</f>
        <v>20.9193</v>
      </c>
      <c r="F666" s="10">
        <f>CHOOSE(CONTROL!$C$42, 20.6881, 20.6881)*CHOOSE(CONTROL!$C$21, $C$9, 100%, $E$9)</f>
        <v>20.688099999999999</v>
      </c>
      <c r="G666" s="10">
        <f>CHOOSE(CONTROL!$C$42, 20.7063, 20.7063)*CHOOSE(CONTROL!$C$21, $C$9, 100%, $E$9)</f>
        <v>20.706299999999999</v>
      </c>
      <c r="H666" s="10">
        <f>CHOOSE(CONTROL!$C$42, 20.9079, 20.9079) * CHOOSE(CONTROL!$C$21, $C$9, 100%, $E$9)</f>
        <v>20.907900000000001</v>
      </c>
      <c r="I666" s="10">
        <f>CHOOSE(CONTROL!$C$42, 20.6785, 20.6785)* CHOOSE(CONTROL!$C$21, $C$9, 100%, $E$9)</f>
        <v>20.6785</v>
      </c>
      <c r="J666" s="10">
        <f>CHOOSE(CONTROL!$C$42, 20.6811, 20.6811)* CHOOSE(CONTROL!$C$21, $C$9, 100%, $E$9)</f>
        <v>20.681100000000001</v>
      </c>
      <c r="K666" s="54">
        <f>CHOOSE(CONTROL!$C$42, 20.6747, 20.6747) * CHOOSE(CONTROL!$C$21, $C$9, 100%, $E$9)</f>
        <v>20.674700000000001</v>
      </c>
      <c r="L666" s="10">
        <f>CHOOSE(CONTROL!$C$42, 21.4949, 21.4949) * CHOOSE(CONTROL!$C$21, $C$9, 100%, $E$9)</f>
        <v>21.494900000000001</v>
      </c>
      <c r="M666" s="10">
        <f>CHOOSE(CONTROL!$C$42, 20.4862, 20.4862) * CHOOSE(CONTROL!$C$21, $C$9, 100%, $E$9)</f>
        <v>20.4862</v>
      </c>
      <c r="N666" s="10">
        <f>CHOOSE(CONTROL!$C$42, 20.5043, 20.5043) * CHOOSE(CONTROL!$C$21, $C$9, 100%, $E$9)</f>
        <v>20.504300000000001</v>
      </c>
      <c r="O666" s="10">
        <f>CHOOSE(CONTROL!$C$42, 20.7107, 20.7107) * CHOOSE(CONTROL!$C$21, $C$9, 100%, $E$9)</f>
        <v>20.710699999999999</v>
      </c>
      <c r="P666" s="10">
        <f>CHOOSE(CONTROL!$C$42, 20.4837, 20.4837) * CHOOSE(CONTROL!$C$21, $C$9, 100%, $E$9)</f>
        <v>20.483699999999999</v>
      </c>
      <c r="Q666" s="10">
        <f>CHOOSE(CONTROL!$C$42, 21.306, 21.306) * CHOOSE(CONTROL!$C$21, $C$9, 100%, $E$9)</f>
        <v>21.306000000000001</v>
      </c>
      <c r="R666" s="10">
        <f>CHOOSE(CONTROL!$C$42, 21.9463, 21.9463) * CHOOSE(CONTROL!$C$21, $C$9, 100%, $E$9)</f>
        <v>21.946300000000001</v>
      </c>
      <c r="S666" s="10">
        <f>CHOOSE(CONTROL!$C$42, 20.0991, 20.0991) * CHOOSE(CONTROL!$C$21, $C$9, 100%, $E$9)</f>
        <v>20.0991</v>
      </c>
      <c r="T666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66" s="58">
        <f>(1000*CHOOSE(CONTROL!$C$42, 695, 695)*CHOOSE(CONTROL!$C$42, 0.5599, 0.5599)*CHOOSE(CONTROL!$C$42, 30, 30))/1000000</f>
        <v>11.673914999999997</v>
      </c>
      <c r="V666" s="58">
        <f>(1000*CHOOSE(CONTROL!$C$42, 500, 500)*CHOOSE(CONTROL!$C$42, 0.275, 0.275)*CHOOSE(CONTROL!$C$42, 30, 30))/1000000</f>
        <v>4.125</v>
      </c>
      <c r="W666" s="58">
        <f>(1000*CHOOSE(CONTROL!$C$42, 0.1146, 0.1146)*CHOOSE(CONTROL!$C$42, 121.5, 121.5)*CHOOSE(CONTROL!$C$42, 30, 30))/1000000</f>
        <v>0.417717</v>
      </c>
      <c r="X666" s="58">
        <f>(30*0.1790888*245000/1000000)+(30*0.2374*100000/1000000)</f>
        <v>2.0285026799999999</v>
      </c>
      <c r="Y666" s="58"/>
      <c r="Z666" s="10"/>
      <c r="AA666" s="57"/>
      <c r="AB666" s="51">
        <f>(B666*194.205+C666*267.466+D666*133.845+E666*53.484+F666*40+G666*185+H666*0+I666*100+J666*300)/(194.205+267.466+133.845+53.484+0+40+185+100+300)</f>
        <v>20.725645689010992</v>
      </c>
      <c r="AC666" s="27">
        <f>(M666*'RAP TEMPLATE-GAS AVAILABILITY'!O665+N666*'RAP TEMPLATE-GAS AVAILABILITY'!P665+O666*'RAP TEMPLATE-GAS AVAILABILITY'!Q665+P666*'RAP TEMPLATE-GAS AVAILABILITY'!R665)/('RAP TEMPLATE-GAS AVAILABILITY'!O665+'RAP TEMPLATE-GAS AVAILABILITY'!P665+'RAP TEMPLATE-GAS AVAILABILITY'!Q665+'RAP TEMPLATE-GAS AVAILABILITY'!R665)</f>
        <v>20.588633812949642</v>
      </c>
    </row>
    <row r="667" spans="1:29" ht="15.75" x14ac:dyDescent="0.25">
      <c r="A667" s="13">
        <v>61575</v>
      </c>
      <c r="B667" s="10">
        <f>CHOOSE(CONTROL!$C$42, 20.3046, 20.3046) * CHOOSE(CONTROL!$C$21, $C$9, 100%, $E$9)</f>
        <v>20.304600000000001</v>
      </c>
      <c r="C667" s="10">
        <f>CHOOSE(CONTROL!$C$42, 20.3125, 20.3125) * CHOOSE(CONTROL!$C$21, $C$9, 100%, $E$9)</f>
        <v>20.3125</v>
      </c>
      <c r="D667" s="10">
        <f>CHOOSE(CONTROL!$C$42, 20.4911, 20.4911) * CHOOSE(CONTROL!$C$21, $C$9, 100%, $E$9)</f>
        <v>20.491099999999999</v>
      </c>
      <c r="E667" s="10">
        <f>CHOOSE(CONTROL!$C$42, 20.5222, 20.5222) * CHOOSE(CONTROL!$C$21, $C$9, 100%, $E$9)</f>
        <v>20.522200000000002</v>
      </c>
      <c r="F667" s="10">
        <f>CHOOSE(CONTROL!$C$42, 20.2913, 20.2913)*CHOOSE(CONTROL!$C$21, $C$9, 100%, $E$9)</f>
        <v>20.2913</v>
      </c>
      <c r="G667" s="10">
        <f>CHOOSE(CONTROL!$C$42, 20.3096, 20.3096)*CHOOSE(CONTROL!$C$21, $C$9, 100%, $E$9)</f>
        <v>20.3096</v>
      </c>
      <c r="H667" s="10">
        <f>CHOOSE(CONTROL!$C$42, 20.5108, 20.5108) * CHOOSE(CONTROL!$C$21, $C$9, 100%, $E$9)</f>
        <v>20.5108</v>
      </c>
      <c r="I667" s="10">
        <f>CHOOSE(CONTROL!$C$42, 20.2815, 20.2815)* CHOOSE(CONTROL!$C$21, $C$9, 100%, $E$9)</f>
        <v>20.281500000000001</v>
      </c>
      <c r="J667" s="10">
        <f>CHOOSE(CONTROL!$C$42, 20.2843, 20.2843)* CHOOSE(CONTROL!$C$21, $C$9, 100%, $E$9)</f>
        <v>20.284300000000002</v>
      </c>
      <c r="K667" s="54">
        <f>CHOOSE(CONTROL!$C$42, 20.2776, 20.2776) * CHOOSE(CONTROL!$C$21, $C$9, 100%, $E$9)</f>
        <v>20.2776</v>
      </c>
      <c r="L667" s="10">
        <f>CHOOSE(CONTROL!$C$42, 21.0978, 21.0978) * CHOOSE(CONTROL!$C$21, $C$9, 100%, $E$9)</f>
        <v>21.097799999999999</v>
      </c>
      <c r="M667" s="10">
        <f>CHOOSE(CONTROL!$C$42, 20.0935, 20.0935) * CHOOSE(CONTROL!$C$21, $C$9, 100%, $E$9)</f>
        <v>20.093499999999999</v>
      </c>
      <c r="N667" s="10">
        <f>CHOOSE(CONTROL!$C$42, 20.1116, 20.1116) * CHOOSE(CONTROL!$C$21, $C$9, 100%, $E$9)</f>
        <v>20.111599999999999</v>
      </c>
      <c r="O667" s="10">
        <f>CHOOSE(CONTROL!$C$42, 20.3177, 20.3177) * CHOOSE(CONTROL!$C$21, $C$9, 100%, $E$9)</f>
        <v>20.317699999999999</v>
      </c>
      <c r="P667" s="10">
        <f>CHOOSE(CONTROL!$C$42, 20.0907, 20.0907) * CHOOSE(CONTROL!$C$21, $C$9, 100%, $E$9)</f>
        <v>20.090699999999998</v>
      </c>
      <c r="Q667" s="10">
        <f>CHOOSE(CONTROL!$C$42, 20.913, 20.913) * CHOOSE(CONTROL!$C$21, $C$9, 100%, $E$9)</f>
        <v>20.913</v>
      </c>
      <c r="R667" s="10">
        <f>CHOOSE(CONTROL!$C$42, 21.5523, 21.5523) * CHOOSE(CONTROL!$C$21, $C$9, 100%, $E$9)</f>
        <v>21.552299999999999</v>
      </c>
      <c r="S667" s="10">
        <f>CHOOSE(CONTROL!$C$42, 19.7136, 19.7136) * CHOOSE(CONTROL!$C$21, $C$9, 100%, $E$9)</f>
        <v>19.7136</v>
      </c>
      <c r="T667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67" s="58">
        <f>(1000*CHOOSE(CONTROL!$C$42, 695, 695)*CHOOSE(CONTROL!$C$42, 0.5599, 0.5599)*CHOOSE(CONTROL!$C$42, 31, 31))/1000000</f>
        <v>12.063045499999998</v>
      </c>
      <c r="V667" s="58">
        <f>(1000*CHOOSE(CONTROL!$C$42, 500, 500)*CHOOSE(CONTROL!$C$42, 0.275, 0.275)*CHOOSE(CONTROL!$C$42, 31, 31))/1000000</f>
        <v>4.2625000000000002</v>
      </c>
      <c r="W667" s="58">
        <f>(1000*CHOOSE(CONTROL!$C$42, 0.1146, 0.1146)*CHOOSE(CONTROL!$C$42, 121.5, 121.5)*CHOOSE(CONTROL!$C$42, 31, 31))/1000000</f>
        <v>0.43164089999999994</v>
      </c>
      <c r="X667" s="58">
        <f>(31*0.1790888*245000/1000000)+(31*0.2374*100000/1000000)</f>
        <v>2.0961194359999999</v>
      </c>
      <c r="Y667" s="58"/>
      <c r="Z667" s="10"/>
      <c r="AA667" s="57"/>
      <c r="AB667" s="51">
        <f>(B667*194.205+C667*267.466+D667*133.845+E667*53.484+F667*40+G667*185+H667*0+I667*100+J667*300)/(194.205+267.466+133.845+53.484+0+40+185+100+300)</f>
        <v>20.328702191758243</v>
      </c>
      <c r="AC667" s="27">
        <f>(M667*'RAP TEMPLATE-GAS AVAILABILITY'!O666+N667*'RAP TEMPLATE-GAS AVAILABILITY'!P666+O667*'RAP TEMPLATE-GAS AVAILABILITY'!Q666+P667*'RAP TEMPLATE-GAS AVAILABILITY'!R666)/('RAP TEMPLATE-GAS AVAILABILITY'!O666+'RAP TEMPLATE-GAS AVAILABILITY'!P666+'RAP TEMPLATE-GAS AVAILABILITY'!Q666+'RAP TEMPLATE-GAS AVAILABILITY'!R666)</f>
        <v>20.195754676258993</v>
      </c>
    </row>
    <row r="668" spans="1:29" ht="15.75" x14ac:dyDescent="0.25">
      <c r="A668" s="13">
        <v>61606</v>
      </c>
      <c r="B668" s="10">
        <f>CHOOSE(CONTROL!$C$42, 19.3019, 19.3019) * CHOOSE(CONTROL!$C$21, $C$9, 100%, $E$9)</f>
        <v>19.3019</v>
      </c>
      <c r="C668" s="10">
        <f>CHOOSE(CONTROL!$C$42, 19.3099, 19.3099) * CHOOSE(CONTROL!$C$21, $C$9, 100%, $E$9)</f>
        <v>19.309899999999999</v>
      </c>
      <c r="D668" s="10">
        <f>CHOOSE(CONTROL!$C$42, 19.4884, 19.4884) * CHOOSE(CONTROL!$C$21, $C$9, 100%, $E$9)</f>
        <v>19.488399999999999</v>
      </c>
      <c r="E668" s="10">
        <f>CHOOSE(CONTROL!$C$42, 19.5195, 19.5195) * CHOOSE(CONTROL!$C$21, $C$9, 100%, $E$9)</f>
        <v>19.519500000000001</v>
      </c>
      <c r="F668" s="10">
        <f>CHOOSE(CONTROL!$C$42, 19.2886, 19.2886)*CHOOSE(CONTROL!$C$21, $C$9, 100%, $E$9)</f>
        <v>19.288599999999999</v>
      </c>
      <c r="G668" s="10">
        <f>CHOOSE(CONTROL!$C$42, 19.3069, 19.3069)*CHOOSE(CONTROL!$C$21, $C$9, 100%, $E$9)</f>
        <v>19.306899999999999</v>
      </c>
      <c r="H668" s="10">
        <f>CHOOSE(CONTROL!$C$42, 19.5082, 19.5082) * CHOOSE(CONTROL!$C$21, $C$9, 100%, $E$9)</f>
        <v>19.508199999999999</v>
      </c>
      <c r="I668" s="10">
        <f>CHOOSE(CONTROL!$C$42, 19.2788, 19.2788)* CHOOSE(CONTROL!$C$21, $C$9, 100%, $E$9)</f>
        <v>19.2788</v>
      </c>
      <c r="J668" s="10">
        <f>CHOOSE(CONTROL!$C$42, 19.2816, 19.2816)* CHOOSE(CONTROL!$C$21, $C$9, 100%, $E$9)</f>
        <v>19.281600000000001</v>
      </c>
      <c r="K668" s="54">
        <f>CHOOSE(CONTROL!$C$42, 19.2749, 19.2749) * CHOOSE(CONTROL!$C$21, $C$9, 100%, $E$9)</f>
        <v>19.274899999999999</v>
      </c>
      <c r="L668" s="10">
        <f>CHOOSE(CONTROL!$C$42, 20.0952, 20.0952) * CHOOSE(CONTROL!$C$21, $C$9, 100%, $E$9)</f>
        <v>20.095199999999998</v>
      </c>
      <c r="M668" s="10">
        <f>CHOOSE(CONTROL!$C$42, 19.1008, 19.1008) * CHOOSE(CONTROL!$C$21, $C$9, 100%, $E$9)</f>
        <v>19.1008</v>
      </c>
      <c r="N668" s="10">
        <f>CHOOSE(CONTROL!$C$42, 19.1189, 19.1189) * CHOOSE(CONTROL!$C$21, $C$9, 100%, $E$9)</f>
        <v>19.1189</v>
      </c>
      <c r="O668" s="10">
        <f>CHOOSE(CONTROL!$C$42, 19.3251, 19.3251) * CHOOSE(CONTROL!$C$21, $C$9, 100%, $E$9)</f>
        <v>19.325099999999999</v>
      </c>
      <c r="P668" s="10">
        <f>CHOOSE(CONTROL!$C$42, 19.0981, 19.0981) * CHOOSE(CONTROL!$C$21, $C$9, 100%, $E$9)</f>
        <v>19.098099999999999</v>
      </c>
      <c r="Q668" s="10">
        <f>CHOOSE(CONTROL!$C$42, 19.9204, 19.9204) * CHOOSE(CONTROL!$C$21, $C$9, 100%, $E$9)</f>
        <v>19.920400000000001</v>
      </c>
      <c r="R668" s="10">
        <f>CHOOSE(CONTROL!$C$42, 20.5572, 20.5572) * CHOOSE(CONTROL!$C$21, $C$9, 100%, $E$9)</f>
        <v>20.557200000000002</v>
      </c>
      <c r="S668" s="10">
        <f>CHOOSE(CONTROL!$C$42, 18.7399, 18.7399) * CHOOSE(CONTROL!$C$21, $C$9, 100%, $E$9)</f>
        <v>18.739899999999999</v>
      </c>
      <c r="T668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68" s="58">
        <f>(1000*CHOOSE(CONTROL!$C$42, 695, 695)*CHOOSE(CONTROL!$C$42, 0.5599, 0.5599)*CHOOSE(CONTROL!$C$42, 31, 31))/1000000</f>
        <v>12.063045499999998</v>
      </c>
      <c r="V668" s="58">
        <f>(1000*CHOOSE(CONTROL!$C$42, 500, 500)*CHOOSE(CONTROL!$C$42, 0.275, 0.275)*CHOOSE(CONTROL!$C$42, 31, 31))/1000000</f>
        <v>4.2625000000000002</v>
      </c>
      <c r="W668" s="58">
        <f>(1000*CHOOSE(CONTROL!$C$42, 0.1146, 0.1146)*CHOOSE(CONTROL!$C$42, 121.5, 121.5)*CHOOSE(CONTROL!$C$42, 31, 31))/1000000</f>
        <v>0.43164089999999994</v>
      </c>
      <c r="X668" s="58">
        <f>(31*0.1790888*245000/1000000)+(31*0.2374*100000/1000000)</f>
        <v>2.0961194359999999</v>
      </c>
      <c r="Y668" s="58"/>
      <c r="Z668" s="10"/>
      <c r="AA668" s="57"/>
      <c r="AB668" s="51">
        <f>(B668*194.205+C668*267.466+D668*133.845+E668*53.484+F668*40+G668*185+H668*0+I668*100+J668*300)/(194.205+267.466+133.845+53.484+0+40+185+100+300)</f>
        <v>19.326023185949765</v>
      </c>
      <c r="AC668" s="27">
        <f>(M668*'RAP TEMPLATE-GAS AVAILABILITY'!O667+N668*'RAP TEMPLATE-GAS AVAILABILITY'!P667+O668*'RAP TEMPLATE-GAS AVAILABILITY'!Q667+P668*'RAP TEMPLATE-GAS AVAILABILITY'!R667)/('RAP TEMPLATE-GAS AVAILABILITY'!O667+'RAP TEMPLATE-GAS AVAILABILITY'!P667+'RAP TEMPLATE-GAS AVAILABILITY'!Q667+'RAP TEMPLATE-GAS AVAILABILITY'!R667)</f>
        <v>19.203114388489208</v>
      </c>
    </row>
    <row r="669" spans="1:29" ht="15.75" x14ac:dyDescent="0.25">
      <c r="A669" s="13">
        <v>61636</v>
      </c>
      <c r="B669" s="10">
        <f>CHOOSE(CONTROL!$C$42, 18.0769, 18.0769) * CHOOSE(CONTROL!$C$21, $C$9, 100%, $E$9)</f>
        <v>18.076899999999998</v>
      </c>
      <c r="C669" s="10">
        <f>CHOOSE(CONTROL!$C$42, 18.0848, 18.0848) * CHOOSE(CONTROL!$C$21, $C$9, 100%, $E$9)</f>
        <v>18.084800000000001</v>
      </c>
      <c r="D669" s="10">
        <f>CHOOSE(CONTROL!$C$42, 18.2633, 18.2633) * CHOOSE(CONTROL!$C$21, $C$9, 100%, $E$9)</f>
        <v>18.263300000000001</v>
      </c>
      <c r="E669" s="10">
        <f>CHOOSE(CONTROL!$C$42, 18.2944, 18.2944) * CHOOSE(CONTROL!$C$21, $C$9, 100%, $E$9)</f>
        <v>18.2944</v>
      </c>
      <c r="F669" s="10">
        <f>CHOOSE(CONTROL!$C$42, 18.0632, 18.0632)*CHOOSE(CONTROL!$C$21, $C$9, 100%, $E$9)</f>
        <v>18.063199999999998</v>
      </c>
      <c r="G669" s="10">
        <f>CHOOSE(CONTROL!$C$42, 18.0814, 18.0814)*CHOOSE(CONTROL!$C$21, $C$9, 100%, $E$9)</f>
        <v>18.081399999999999</v>
      </c>
      <c r="H669" s="10">
        <f>CHOOSE(CONTROL!$C$42, 18.2831, 18.2831) * CHOOSE(CONTROL!$C$21, $C$9, 100%, $E$9)</f>
        <v>18.283100000000001</v>
      </c>
      <c r="I669" s="10">
        <f>CHOOSE(CONTROL!$C$42, 18.0537, 18.0537)* CHOOSE(CONTROL!$C$21, $C$9, 100%, $E$9)</f>
        <v>18.053699999999999</v>
      </c>
      <c r="J669" s="10">
        <f>CHOOSE(CONTROL!$C$42, 18.0562, 18.0562)* CHOOSE(CONTROL!$C$21, $C$9, 100%, $E$9)</f>
        <v>18.0562</v>
      </c>
      <c r="K669" s="54">
        <f>CHOOSE(CONTROL!$C$42, 18.0498, 18.0498) * CHOOSE(CONTROL!$C$21, $C$9, 100%, $E$9)</f>
        <v>18.049800000000001</v>
      </c>
      <c r="L669" s="10">
        <f>CHOOSE(CONTROL!$C$42, 18.8701, 18.8701) * CHOOSE(CONTROL!$C$21, $C$9, 100%, $E$9)</f>
        <v>18.870100000000001</v>
      </c>
      <c r="M669" s="10">
        <f>CHOOSE(CONTROL!$C$42, 17.8878, 17.8878) * CHOOSE(CONTROL!$C$21, $C$9, 100%, $E$9)</f>
        <v>17.887799999999999</v>
      </c>
      <c r="N669" s="10">
        <f>CHOOSE(CONTROL!$C$42, 17.9059, 17.9059) * CHOOSE(CONTROL!$C$21, $C$9, 100%, $E$9)</f>
        <v>17.905899999999999</v>
      </c>
      <c r="O669" s="10">
        <f>CHOOSE(CONTROL!$C$42, 18.1124, 18.1124) * CHOOSE(CONTROL!$C$21, $C$9, 100%, $E$9)</f>
        <v>18.112400000000001</v>
      </c>
      <c r="P669" s="10">
        <f>CHOOSE(CONTROL!$C$42, 17.8854, 17.8854) * CHOOSE(CONTROL!$C$21, $C$9, 100%, $E$9)</f>
        <v>17.885400000000001</v>
      </c>
      <c r="Q669" s="10">
        <f>CHOOSE(CONTROL!$C$42, 18.7077, 18.7077) * CHOOSE(CONTROL!$C$21, $C$9, 100%, $E$9)</f>
        <v>18.707699999999999</v>
      </c>
      <c r="R669" s="10">
        <f>CHOOSE(CONTROL!$C$42, 19.3415, 19.3415) * CHOOSE(CONTROL!$C$21, $C$9, 100%, $E$9)</f>
        <v>19.3415</v>
      </c>
      <c r="S669" s="10">
        <f>CHOOSE(CONTROL!$C$42, 17.5502, 17.5502) * CHOOSE(CONTROL!$C$21, $C$9, 100%, $E$9)</f>
        <v>17.5502</v>
      </c>
      <c r="T669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69" s="58">
        <f>(1000*CHOOSE(CONTROL!$C$42, 695, 695)*CHOOSE(CONTROL!$C$42, 0.5599, 0.5599)*CHOOSE(CONTROL!$C$42, 30, 30))/1000000</f>
        <v>11.673914999999997</v>
      </c>
      <c r="V669" s="58">
        <f>(1000*CHOOSE(CONTROL!$C$42, 500, 500)*CHOOSE(CONTROL!$C$42, 0.275, 0.275)*CHOOSE(CONTROL!$C$42, 30, 30))/1000000</f>
        <v>4.125</v>
      </c>
      <c r="W669" s="58">
        <f>(1000*CHOOSE(CONTROL!$C$42, 0.1146, 0.1146)*CHOOSE(CONTROL!$C$42, 121.5, 121.5)*CHOOSE(CONTROL!$C$42, 30, 30))/1000000</f>
        <v>0.417717</v>
      </c>
      <c r="X669" s="58">
        <f>(30*0.1790888*245000/1000000)+(30*0.2374*100000/1000000)</f>
        <v>2.0285026799999999</v>
      </c>
      <c r="Y669" s="58"/>
      <c r="Z669" s="10"/>
      <c r="AA669" s="57"/>
      <c r="AB669" s="51">
        <f>(B669*194.205+C669*267.466+D669*133.845+E669*53.484+F669*40+G669*185+H669*0+I669*100+J669*300)/(194.205+267.466+133.845+53.484+0+40+185+100+300)</f>
        <v>18.100800282103613</v>
      </c>
      <c r="AC669" s="27">
        <f>(M669*'RAP TEMPLATE-GAS AVAILABILITY'!O668+N669*'RAP TEMPLATE-GAS AVAILABILITY'!P668+O669*'RAP TEMPLATE-GAS AVAILABILITY'!Q668+P669*'RAP TEMPLATE-GAS AVAILABILITY'!R668)/('RAP TEMPLATE-GAS AVAILABILITY'!O668+'RAP TEMPLATE-GAS AVAILABILITY'!P668+'RAP TEMPLATE-GAS AVAILABILITY'!Q668+'RAP TEMPLATE-GAS AVAILABILITY'!R668)</f>
        <v>17.990293525179858</v>
      </c>
    </row>
    <row r="670" spans="1:29" ht="15.75" x14ac:dyDescent="0.25">
      <c r="A670" s="13">
        <v>61667</v>
      </c>
      <c r="B670" s="10">
        <f>CHOOSE(CONTROL!$C$42, 17.7078, 17.7078) * CHOOSE(CONTROL!$C$21, $C$9, 100%, $E$9)</f>
        <v>17.707799999999999</v>
      </c>
      <c r="C670" s="10">
        <f>CHOOSE(CONTROL!$C$42, 17.713, 17.713) * CHOOSE(CONTROL!$C$21, $C$9, 100%, $E$9)</f>
        <v>17.713000000000001</v>
      </c>
      <c r="D670" s="10">
        <f>CHOOSE(CONTROL!$C$42, 17.8965, 17.8965) * CHOOSE(CONTROL!$C$21, $C$9, 100%, $E$9)</f>
        <v>17.8965</v>
      </c>
      <c r="E670" s="10">
        <f>CHOOSE(CONTROL!$C$42, 17.9253, 17.9253) * CHOOSE(CONTROL!$C$21, $C$9, 100%, $E$9)</f>
        <v>17.9253</v>
      </c>
      <c r="F670" s="10">
        <f>CHOOSE(CONTROL!$C$42, 17.6961, 17.6961)*CHOOSE(CONTROL!$C$21, $C$9, 100%, $E$9)</f>
        <v>17.696100000000001</v>
      </c>
      <c r="G670" s="10">
        <f>CHOOSE(CONTROL!$C$42, 17.714, 17.714)*CHOOSE(CONTROL!$C$21, $C$9, 100%, $E$9)</f>
        <v>17.713999999999999</v>
      </c>
      <c r="H670" s="10">
        <f>CHOOSE(CONTROL!$C$42, 17.9158, 17.9158) * CHOOSE(CONTROL!$C$21, $C$9, 100%, $E$9)</f>
        <v>17.915800000000001</v>
      </c>
      <c r="I670" s="10">
        <f>CHOOSE(CONTROL!$C$42, 17.6864, 17.6864)* CHOOSE(CONTROL!$C$21, $C$9, 100%, $E$9)</f>
        <v>17.686399999999999</v>
      </c>
      <c r="J670" s="10">
        <f>CHOOSE(CONTROL!$C$42, 17.6891, 17.6891)* CHOOSE(CONTROL!$C$21, $C$9, 100%, $E$9)</f>
        <v>17.6891</v>
      </c>
      <c r="K670" s="54">
        <f>CHOOSE(CONTROL!$C$42, 17.6825, 17.6825) * CHOOSE(CONTROL!$C$21, $C$9, 100%, $E$9)</f>
        <v>17.682500000000001</v>
      </c>
      <c r="L670" s="10">
        <f>CHOOSE(CONTROL!$C$42, 18.5028, 18.5028) * CHOOSE(CONTROL!$C$21, $C$9, 100%, $E$9)</f>
        <v>18.502800000000001</v>
      </c>
      <c r="M670" s="10">
        <f>CHOOSE(CONTROL!$C$42, 17.5244, 17.5244) * CHOOSE(CONTROL!$C$21, $C$9, 100%, $E$9)</f>
        <v>17.5244</v>
      </c>
      <c r="N670" s="10">
        <f>CHOOSE(CONTROL!$C$42, 17.5421, 17.5421) * CHOOSE(CONTROL!$C$21, $C$9, 100%, $E$9)</f>
        <v>17.542100000000001</v>
      </c>
      <c r="O670" s="10">
        <f>CHOOSE(CONTROL!$C$42, 17.7488, 17.7488) * CHOOSE(CONTROL!$C$21, $C$9, 100%, $E$9)</f>
        <v>17.748799999999999</v>
      </c>
      <c r="P670" s="10">
        <f>CHOOSE(CONTROL!$C$42, 17.5218, 17.5218) * CHOOSE(CONTROL!$C$21, $C$9, 100%, $E$9)</f>
        <v>17.521799999999999</v>
      </c>
      <c r="Q670" s="10">
        <f>CHOOSE(CONTROL!$C$42, 18.3441, 18.3441) * CHOOSE(CONTROL!$C$21, $C$9, 100%, $E$9)</f>
        <v>18.344100000000001</v>
      </c>
      <c r="R670" s="10">
        <f>CHOOSE(CONTROL!$C$42, 18.9769, 18.9769) * CHOOSE(CONTROL!$C$21, $C$9, 100%, $E$9)</f>
        <v>18.976900000000001</v>
      </c>
      <c r="S670" s="10">
        <f>CHOOSE(CONTROL!$C$42, 17.1935, 17.1935) * CHOOSE(CONTROL!$C$21, $C$9, 100%, $E$9)</f>
        <v>17.1935</v>
      </c>
      <c r="T670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670" s="58">
        <f>(1000*CHOOSE(CONTROL!$C$42, 695, 695)*CHOOSE(CONTROL!$C$42, 0.5599, 0.5599)*CHOOSE(CONTROL!$C$42, 31, 31))/1000000</f>
        <v>12.063045499999998</v>
      </c>
      <c r="V670" s="58">
        <f>(1000*CHOOSE(CONTROL!$C$42, 500, 500)*CHOOSE(CONTROL!$C$42, 0.275, 0.275)*CHOOSE(CONTROL!$C$42, 31, 31))/1000000</f>
        <v>4.2625000000000002</v>
      </c>
      <c r="W670" s="58">
        <f>(1000*CHOOSE(CONTROL!$C$42, 0.1146, 0.1146)*CHOOSE(CONTROL!$C$42, 121.5, 121.5)*CHOOSE(CONTROL!$C$42, 31, 31))/1000000</f>
        <v>0.43164089999999994</v>
      </c>
      <c r="X670" s="58">
        <f>(31*0.1790888*245000/1000000)+(31*0.2374*100000/1000000)</f>
        <v>2.0961194359999999</v>
      </c>
      <c r="Y670" s="58"/>
      <c r="Z670" s="10"/>
      <c r="AA670" s="57"/>
      <c r="AB670" s="51">
        <f>(B670*131.881+C670*277.167+D670*79.08+E670*125.872+F670*40+G670*185+H670*0+I670*100+J670*300)/(131.881+277.167+79.08+125.872+0+40+185+100+300)</f>
        <v>17.737396307021793</v>
      </c>
      <c r="AC670" s="27">
        <f>(M670*'RAP TEMPLATE-GAS AVAILABILITY'!O669+N670*'RAP TEMPLATE-GAS AVAILABILITY'!P669+O670*'RAP TEMPLATE-GAS AVAILABILITY'!Q669+P670*'RAP TEMPLATE-GAS AVAILABILITY'!R669)/('RAP TEMPLATE-GAS AVAILABILITY'!O669+'RAP TEMPLATE-GAS AVAILABILITY'!P669+'RAP TEMPLATE-GAS AVAILABILITY'!Q669+'RAP TEMPLATE-GAS AVAILABILITY'!R669)</f>
        <v>17.626751079136692</v>
      </c>
    </row>
    <row r="671" spans="1:29" ht="15.75" x14ac:dyDescent="0.25">
      <c r="A671" s="13">
        <v>61697</v>
      </c>
      <c r="B671" s="10">
        <f>CHOOSE(CONTROL!$C$42, 18.1738, 18.1738) * CHOOSE(CONTROL!$C$21, $C$9, 100%, $E$9)</f>
        <v>18.1738</v>
      </c>
      <c r="C671" s="10">
        <f>CHOOSE(CONTROL!$C$42, 18.1787, 18.1787) * CHOOSE(CONTROL!$C$21, $C$9, 100%, $E$9)</f>
        <v>18.178699999999999</v>
      </c>
      <c r="D671" s="10">
        <f>CHOOSE(CONTROL!$C$42, 18.2083, 18.2083) * CHOOSE(CONTROL!$C$21, $C$9, 100%, $E$9)</f>
        <v>18.208300000000001</v>
      </c>
      <c r="E671" s="10">
        <f>CHOOSE(CONTROL!$C$42, 18.2421, 18.2421) * CHOOSE(CONTROL!$C$21, $C$9, 100%, $E$9)</f>
        <v>18.242100000000001</v>
      </c>
      <c r="F671" s="10">
        <f>CHOOSE(CONTROL!$C$42, 18.1595, 18.1595)*CHOOSE(CONTROL!$C$21, $C$9, 100%, $E$9)</f>
        <v>18.159500000000001</v>
      </c>
      <c r="G671" s="10">
        <f>CHOOSE(CONTROL!$C$42, 18.1776, 18.1776)*CHOOSE(CONTROL!$C$21, $C$9, 100%, $E$9)</f>
        <v>18.177600000000002</v>
      </c>
      <c r="H671" s="10">
        <f>CHOOSE(CONTROL!$C$42, 18.2313, 18.2313) * CHOOSE(CONTROL!$C$21, $C$9, 100%, $E$9)</f>
        <v>18.231300000000001</v>
      </c>
      <c r="I671" s="10">
        <f>CHOOSE(CONTROL!$C$42, 18.14, 18.14)* CHOOSE(CONTROL!$C$21, $C$9, 100%, $E$9)</f>
        <v>18.14</v>
      </c>
      <c r="J671" s="10">
        <f>CHOOSE(CONTROL!$C$42, 18.1525, 18.1525)* CHOOSE(CONTROL!$C$21, $C$9, 100%, $E$9)</f>
        <v>18.1525</v>
      </c>
      <c r="K671" s="54">
        <f>CHOOSE(CONTROL!$C$42, 18.1361, 18.1361) * CHOOSE(CONTROL!$C$21, $C$9, 100%, $E$9)</f>
        <v>18.136099999999999</v>
      </c>
      <c r="L671" s="10">
        <f>CHOOSE(CONTROL!$C$42, 18.8183, 18.8183) * CHOOSE(CONTROL!$C$21, $C$9, 100%, $E$9)</f>
        <v>18.818300000000001</v>
      </c>
      <c r="M671" s="10">
        <f>CHOOSE(CONTROL!$C$42, 17.9832, 17.9832) * CHOOSE(CONTROL!$C$21, $C$9, 100%, $E$9)</f>
        <v>17.9832</v>
      </c>
      <c r="N671" s="10">
        <f>CHOOSE(CONTROL!$C$42, 18.001, 18.001) * CHOOSE(CONTROL!$C$21, $C$9, 100%, $E$9)</f>
        <v>18.001000000000001</v>
      </c>
      <c r="O671" s="10">
        <f>CHOOSE(CONTROL!$C$42, 18.0612, 18.0612) * CHOOSE(CONTROL!$C$21, $C$9, 100%, $E$9)</f>
        <v>18.061199999999999</v>
      </c>
      <c r="P671" s="10">
        <f>CHOOSE(CONTROL!$C$42, 17.9708, 17.9708) * CHOOSE(CONTROL!$C$21, $C$9, 100%, $E$9)</f>
        <v>17.970800000000001</v>
      </c>
      <c r="Q671" s="10">
        <f>CHOOSE(CONTROL!$C$42, 18.6565, 18.6565) * CHOOSE(CONTROL!$C$21, $C$9, 100%, $E$9)</f>
        <v>18.656500000000001</v>
      </c>
      <c r="R671" s="10">
        <f>CHOOSE(CONTROL!$C$42, 19.2901, 19.2901) * CHOOSE(CONTROL!$C$21, $C$9, 100%, $E$9)</f>
        <v>19.290099999999999</v>
      </c>
      <c r="S671" s="10">
        <f>CHOOSE(CONTROL!$C$42, 17.6464, 17.6464) * CHOOSE(CONTROL!$C$21, $C$9, 100%, $E$9)</f>
        <v>17.6464</v>
      </c>
      <c r="T671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671" s="58">
        <f>(1000*CHOOSE(CONTROL!$C$42, 695, 695)*CHOOSE(CONTROL!$C$42, 0.5599, 0.5599)*CHOOSE(CONTROL!$C$42, 30, 30))/1000000</f>
        <v>11.673914999999997</v>
      </c>
      <c r="V671" s="58">
        <f>(1000*CHOOSE(CONTROL!$C$42, 500, 500)*CHOOSE(CONTROL!$C$42, 0.275, 0.275)*CHOOSE(CONTROL!$C$42, 30, 30))/1000000</f>
        <v>4.125</v>
      </c>
      <c r="W671" s="58">
        <f>(1000*CHOOSE(CONTROL!$C$42, 0.1146, 0.1146)*CHOOSE(CONTROL!$C$42, 121.5, 121.5)*CHOOSE(CONTROL!$C$42, 30, 30))/1000000</f>
        <v>0.417717</v>
      </c>
      <c r="X671" s="58">
        <f>(30*0.1790888*100000/1000000)+(30*0.2374*100000/1000000)</f>
        <v>1.2494664</v>
      </c>
      <c r="Y671" s="58"/>
      <c r="Z671" s="10"/>
      <c r="AA671" s="57"/>
      <c r="AB671" s="51">
        <f>(B671*122.58+C671*297.941+D671*89.177+E671*40.302+F671*40+G671*160+H671*0+I671*100+J671*300)/(122.58+297.941+89.177+40.302+0+40+160+100+300)</f>
        <v>18.171674038260871</v>
      </c>
      <c r="AC671" s="27">
        <f>(M671*'RAP TEMPLATE-GAS AVAILABILITY'!O670+N671*'RAP TEMPLATE-GAS AVAILABILITY'!P670+O671*'RAP TEMPLATE-GAS AVAILABILITY'!Q670+P671*'RAP TEMPLATE-GAS AVAILABILITY'!R670)/('RAP TEMPLATE-GAS AVAILABILITY'!O670+'RAP TEMPLATE-GAS AVAILABILITY'!P670+'RAP TEMPLATE-GAS AVAILABILITY'!Q670+'RAP TEMPLATE-GAS AVAILABILITY'!R670)</f>
        <v>18.017792805755395</v>
      </c>
    </row>
    <row r="672" spans="1:29" ht="15.75" x14ac:dyDescent="0.25">
      <c r="A672" s="13">
        <v>61728</v>
      </c>
      <c r="B672" s="10">
        <f>CHOOSE(CONTROL!$C$42, 19.4127, 19.4127) * CHOOSE(CONTROL!$C$21, $C$9, 100%, $E$9)</f>
        <v>19.412700000000001</v>
      </c>
      <c r="C672" s="10">
        <f>CHOOSE(CONTROL!$C$42, 19.4176, 19.4176) * CHOOSE(CONTROL!$C$21, $C$9, 100%, $E$9)</f>
        <v>19.4176</v>
      </c>
      <c r="D672" s="10">
        <f>CHOOSE(CONTROL!$C$42, 19.4472, 19.4472) * CHOOSE(CONTROL!$C$21, $C$9, 100%, $E$9)</f>
        <v>19.447199999999999</v>
      </c>
      <c r="E672" s="10">
        <f>CHOOSE(CONTROL!$C$42, 19.481, 19.481) * CHOOSE(CONTROL!$C$21, $C$9, 100%, $E$9)</f>
        <v>19.481000000000002</v>
      </c>
      <c r="F672" s="10">
        <f>CHOOSE(CONTROL!$C$42, 19.4, 19.4)*CHOOSE(CONTROL!$C$21, $C$9, 100%, $E$9)</f>
        <v>19.399999999999999</v>
      </c>
      <c r="G672" s="10">
        <f>CHOOSE(CONTROL!$C$42, 19.4184, 19.4184)*CHOOSE(CONTROL!$C$21, $C$9, 100%, $E$9)</f>
        <v>19.418399999999998</v>
      </c>
      <c r="H672" s="10">
        <f>CHOOSE(CONTROL!$C$42, 19.4702, 19.4702) * CHOOSE(CONTROL!$C$21, $C$9, 100%, $E$9)</f>
        <v>19.470199999999998</v>
      </c>
      <c r="I672" s="10">
        <f>CHOOSE(CONTROL!$C$42, 19.3788, 19.3788)* CHOOSE(CONTROL!$C$21, $C$9, 100%, $E$9)</f>
        <v>19.378799999999998</v>
      </c>
      <c r="J672" s="10">
        <f>CHOOSE(CONTROL!$C$42, 19.393, 19.393)* CHOOSE(CONTROL!$C$21, $C$9, 100%, $E$9)</f>
        <v>19.393000000000001</v>
      </c>
      <c r="K672" s="54">
        <f>CHOOSE(CONTROL!$C$42, 19.3749, 19.3749) * CHOOSE(CONTROL!$C$21, $C$9, 100%, $E$9)</f>
        <v>19.3749</v>
      </c>
      <c r="L672" s="10">
        <f>CHOOSE(CONTROL!$C$42, 20.0572, 20.0572) * CHOOSE(CONTROL!$C$21, $C$9, 100%, $E$9)</f>
        <v>20.057200000000002</v>
      </c>
      <c r="M672" s="10">
        <f>CHOOSE(CONTROL!$C$42, 19.2111, 19.2111) * CHOOSE(CONTROL!$C$21, $C$9, 100%, $E$9)</f>
        <v>19.211099999999998</v>
      </c>
      <c r="N672" s="10">
        <f>CHOOSE(CONTROL!$C$42, 19.2294, 19.2294) * CHOOSE(CONTROL!$C$21, $C$9, 100%, $E$9)</f>
        <v>19.229399999999998</v>
      </c>
      <c r="O672" s="10">
        <f>CHOOSE(CONTROL!$C$42, 19.2875, 19.2875) * CHOOSE(CONTROL!$C$21, $C$9, 100%, $E$9)</f>
        <v>19.287500000000001</v>
      </c>
      <c r="P672" s="10">
        <f>CHOOSE(CONTROL!$C$42, 19.1971, 19.1971) * CHOOSE(CONTROL!$C$21, $C$9, 100%, $E$9)</f>
        <v>19.197099999999999</v>
      </c>
      <c r="Q672" s="10">
        <f>CHOOSE(CONTROL!$C$42, 19.8828, 19.8828) * CHOOSE(CONTROL!$C$21, $C$9, 100%, $E$9)</f>
        <v>19.8828</v>
      </c>
      <c r="R672" s="10">
        <f>CHOOSE(CONTROL!$C$42, 20.5195, 20.5195) * CHOOSE(CONTROL!$C$21, $C$9, 100%, $E$9)</f>
        <v>20.519500000000001</v>
      </c>
      <c r="S672" s="10">
        <f>CHOOSE(CONTROL!$C$42, 18.8495, 18.8495) * CHOOSE(CONTROL!$C$21, $C$9, 100%, $E$9)</f>
        <v>18.849499999999999</v>
      </c>
      <c r="T672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72" s="58">
        <f>(1000*CHOOSE(CONTROL!$C$42, 695, 695)*CHOOSE(CONTROL!$C$42, 0.5599, 0.5599)*CHOOSE(CONTROL!$C$42, 31, 31))/1000000</f>
        <v>12.063045499999998</v>
      </c>
      <c r="V672" s="58">
        <f>(1000*CHOOSE(CONTROL!$C$42, 500, 500)*CHOOSE(CONTROL!$C$42, 0.275, 0.275)*CHOOSE(CONTROL!$C$42, 31, 31))/1000000</f>
        <v>4.2625000000000002</v>
      </c>
      <c r="W672" s="58">
        <f>(1000*CHOOSE(CONTROL!$C$42, 0.1146, 0.1146)*CHOOSE(CONTROL!$C$42, 121.5, 121.5)*CHOOSE(CONTROL!$C$42, 31, 31))/1000000</f>
        <v>0.43164089999999994</v>
      </c>
      <c r="X672" s="58">
        <f>(31*0.1790888*100000/1000000)+(31*0.2374*100000/1000000)</f>
        <v>1.2911152800000001</v>
      </c>
      <c r="Y672" s="58"/>
      <c r="Z672" s="10"/>
      <c r="AA672" s="57"/>
      <c r="AB672" s="51">
        <f>(B672*122.58+C672*297.941+D672*89.177+E672*40.302+F672*40+G672*160+H672*0+I672*100+J672*300)/(122.58+297.941+89.177+40.302+0+40+160+100+300)</f>
        <v>19.411302733913043</v>
      </c>
      <c r="AC672" s="27">
        <f>(M672*'RAP TEMPLATE-GAS AVAILABILITY'!O671+N672*'RAP TEMPLATE-GAS AVAILABILITY'!P671+O672*'RAP TEMPLATE-GAS AVAILABILITY'!Q671+P672*'RAP TEMPLATE-GAS AVAILABILITY'!R671)/('RAP TEMPLATE-GAS AVAILABILITY'!O671+'RAP TEMPLATE-GAS AVAILABILITY'!P671+'RAP TEMPLATE-GAS AVAILABILITY'!Q671+'RAP TEMPLATE-GAS AVAILABILITY'!R671)</f>
        <v>19.244766187050359</v>
      </c>
    </row>
    <row r="673" spans="1:29" ht="15.75" x14ac:dyDescent="0.25">
      <c r="A673" s="13">
        <v>61759</v>
      </c>
      <c r="B673" s="10">
        <f>CHOOSE(CONTROL!$C$42, 20.7227, 20.7227) * CHOOSE(CONTROL!$C$21, $C$9, 100%, $E$9)</f>
        <v>20.7227</v>
      </c>
      <c r="C673" s="10">
        <f>CHOOSE(CONTROL!$C$42, 20.7277, 20.7277) * CHOOSE(CONTROL!$C$21, $C$9, 100%, $E$9)</f>
        <v>20.727699999999999</v>
      </c>
      <c r="D673" s="10">
        <f>CHOOSE(CONTROL!$C$42, 20.7779, 20.7779) * CHOOSE(CONTROL!$C$21, $C$9, 100%, $E$9)</f>
        <v>20.777899999999999</v>
      </c>
      <c r="E673" s="10">
        <f>CHOOSE(CONTROL!$C$42, 20.8116, 20.8116) * CHOOSE(CONTROL!$C$21, $C$9, 100%, $E$9)</f>
        <v>20.811599999999999</v>
      </c>
      <c r="F673" s="10">
        <f>CHOOSE(CONTROL!$C$42, 20.6881, 20.6881)*CHOOSE(CONTROL!$C$21, $C$9, 100%, $E$9)</f>
        <v>20.688099999999999</v>
      </c>
      <c r="G673" s="10">
        <f>CHOOSE(CONTROL!$C$42, 20.7056, 20.7056)*CHOOSE(CONTROL!$C$21, $C$9, 100%, $E$9)</f>
        <v>20.7056</v>
      </c>
      <c r="H673" s="10">
        <f>CHOOSE(CONTROL!$C$42, 20.8008, 20.8008) * CHOOSE(CONTROL!$C$21, $C$9, 100%, $E$9)</f>
        <v>20.800799999999999</v>
      </c>
      <c r="I673" s="10">
        <f>CHOOSE(CONTROL!$C$42, 20.6966, 20.6966)* CHOOSE(CONTROL!$C$21, $C$9, 100%, $E$9)</f>
        <v>20.6966</v>
      </c>
      <c r="J673" s="10">
        <f>CHOOSE(CONTROL!$C$42, 20.6811, 20.6811)* CHOOSE(CONTROL!$C$21, $C$9, 100%, $E$9)</f>
        <v>20.681100000000001</v>
      </c>
      <c r="K673" s="54">
        <f>CHOOSE(CONTROL!$C$42, 20.6927, 20.6927) * CHOOSE(CONTROL!$C$21, $C$9, 100%, $E$9)</f>
        <v>20.692699999999999</v>
      </c>
      <c r="L673" s="10">
        <f>CHOOSE(CONTROL!$C$42, 21.3878, 21.3878) * CHOOSE(CONTROL!$C$21, $C$9, 100%, $E$9)</f>
        <v>21.387799999999999</v>
      </c>
      <c r="M673" s="10">
        <f>CHOOSE(CONTROL!$C$42, 20.4862, 20.4862) * CHOOSE(CONTROL!$C$21, $C$9, 100%, $E$9)</f>
        <v>20.4862</v>
      </c>
      <c r="N673" s="10">
        <f>CHOOSE(CONTROL!$C$42, 20.5036, 20.5036) * CHOOSE(CONTROL!$C$21, $C$9, 100%, $E$9)</f>
        <v>20.503599999999999</v>
      </c>
      <c r="O673" s="10">
        <f>CHOOSE(CONTROL!$C$42, 20.6047, 20.6047) * CHOOSE(CONTROL!$C$21, $C$9, 100%, $E$9)</f>
        <v>20.604700000000001</v>
      </c>
      <c r="P673" s="10">
        <f>CHOOSE(CONTROL!$C$42, 20.5016, 20.5016) * CHOOSE(CONTROL!$C$21, $C$9, 100%, $E$9)</f>
        <v>20.5016</v>
      </c>
      <c r="Q673" s="10">
        <f>CHOOSE(CONTROL!$C$42, 21.2, 21.2) * CHOOSE(CONTROL!$C$21, $C$9, 100%, $E$9)</f>
        <v>21.2</v>
      </c>
      <c r="R673" s="10">
        <f>CHOOSE(CONTROL!$C$42, 21.84, 21.84) * CHOOSE(CONTROL!$C$21, $C$9, 100%, $E$9)</f>
        <v>21.84</v>
      </c>
      <c r="S673" s="10">
        <f>CHOOSE(CONTROL!$C$42, 20.1217, 20.1217) * CHOOSE(CONTROL!$C$21, $C$9, 100%, $E$9)</f>
        <v>20.121700000000001</v>
      </c>
      <c r="T673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73" s="58">
        <f>(1000*CHOOSE(CONTROL!$C$42, 695, 695)*CHOOSE(CONTROL!$C$42, 0.5599, 0.5599)*CHOOSE(CONTROL!$C$42, 31, 31))/1000000</f>
        <v>12.063045499999998</v>
      </c>
      <c r="V673" s="58">
        <f>(1000*CHOOSE(CONTROL!$C$42, 500, 500)*CHOOSE(CONTROL!$C$42, 0.275, 0.275)*CHOOSE(CONTROL!$C$42, 31, 31))/1000000</f>
        <v>4.2625000000000002</v>
      </c>
      <c r="W673" s="58">
        <f>(1000*CHOOSE(CONTROL!$C$42, 0.1146, 0.1146)*CHOOSE(CONTROL!$C$42, 121.5, 121.5)*CHOOSE(CONTROL!$C$42, 31, 31))/1000000</f>
        <v>0.43164089999999994</v>
      </c>
      <c r="X673" s="58">
        <f>(31*0.1790888*100000/1000000)+(31*0.2374*100000/1000000)</f>
        <v>1.2911152800000001</v>
      </c>
      <c r="Y673" s="58"/>
      <c r="Z673" s="10"/>
      <c r="AA673" s="57"/>
      <c r="AB673" s="51">
        <f>(B673*122.58+C673*297.941+D673*89.177+E673*40.302+F673*40+G673*160+H673*0+I673*100+J673*300)/(122.58+297.941+89.177+40.302+0+40+160+100+300)</f>
        <v>20.714687063652175</v>
      </c>
      <c r="AC673" s="27">
        <f>(M673*'RAP TEMPLATE-GAS AVAILABILITY'!O672+N673*'RAP TEMPLATE-GAS AVAILABILITY'!P672+O673*'RAP TEMPLATE-GAS AVAILABILITY'!Q672+P673*'RAP TEMPLATE-GAS AVAILABILITY'!R672)/('RAP TEMPLATE-GAS AVAILABILITY'!O672+'RAP TEMPLATE-GAS AVAILABILITY'!P672+'RAP TEMPLATE-GAS AVAILABILITY'!Q672+'RAP TEMPLATE-GAS AVAILABILITY'!R672)</f>
        <v>20.543125899280575</v>
      </c>
    </row>
    <row r="674" spans="1:29" ht="15.75" x14ac:dyDescent="0.25">
      <c r="A674" s="13">
        <v>61787</v>
      </c>
      <c r="B674" s="10">
        <f>CHOOSE(CONTROL!$C$42, 21.0915, 21.0915) * CHOOSE(CONTROL!$C$21, $C$9, 100%, $E$9)</f>
        <v>21.0915</v>
      </c>
      <c r="C674" s="10">
        <f>CHOOSE(CONTROL!$C$42, 21.0965, 21.0965) * CHOOSE(CONTROL!$C$21, $C$9, 100%, $E$9)</f>
        <v>21.096499999999999</v>
      </c>
      <c r="D674" s="10">
        <f>CHOOSE(CONTROL!$C$42, 21.2136, 21.2136) * CHOOSE(CONTROL!$C$21, $C$9, 100%, $E$9)</f>
        <v>21.2136</v>
      </c>
      <c r="E674" s="10">
        <f>CHOOSE(CONTROL!$C$42, 21.2474, 21.2474) * CHOOSE(CONTROL!$C$21, $C$9, 100%, $E$9)</f>
        <v>21.247399999999999</v>
      </c>
      <c r="F674" s="10">
        <f>CHOOSE(CONTROL!$C$42, 21.1691, 21.1691)*CHOOSE(CONTROL!$C$21, $C$9, 100%, $E$9)</f>
        <v>21.1691</v>
      </c>
      <c r="G674" s="10">
        <f>CHOOSE(CONTROL!$C$42, 21.191, 21.191)*CHOOSE(CONTROL!$C$21, $C$9, 100%, $E$9)</f>
        <v>21.190999999999999</v>
      </c>
      <c r="H674" s="10">
        <f>CHOOSE(CONTROL!$C$42, 21.2366, 21.2366) * CHOOSE(CONTROL!$C$21, $C$9, 100%, $E$9)</f>
        <v>21.236599999999999</v>
      </c>
      <c r="I674" s="10">
        <f>CHOOSE(CONTROL!$C$42, 21.1272, 21.1272)* CHOOSE(CONTROL!$C$21, $C$9, 100%, $E$9)</f>
        <v>21.127199999999998</v>
      </c>
      <c r="J674" s="10">
        <f>CHOOSE(CONTROL!$C$42, 21.1621, 21.1621)* CHOOSE(CONTROL!$C$21, $C$9, 100%, $E$9)</f>
        <v>21.162099999999999</v>
      </c>
      <c r="K674" s="54">
        <f>CHOOSE(CONTROL!$C$42, 21.1233, 21.1233) * CHOOSE(CONTROL!$C$21, $C$9, 100%, $E$9)</f>
        <v>21.1233</v>
      </c>
      <c r="L674" s="10">
        <f>CHOOSE(CONTROL!$C$42, 21.8236, 21.8236) * CHOOSE(CONTROL!$C$21, $C$9, 100%, $E$9)</f>
        <v>21.823599999999999</v>
      </c>
      <c r="M674" s="10">
        <f>CHOOSE(CONTROL!$C$42, 20.9624, 20.9624) * CHOOSE(CONTROL!$C$21, $C$9, 100%, $E$9)</f>
        <v>20.962399999999999</v>
      </c>
      <c r="N674" s="10">
        <f>CHOOSE(CONTROL!$C$42, 20.9841, 20.9841) * CHOOSE(CONTROL!$C$21, $C$9, 100%, $E$9)</f>
        <v>20.984100000000002</v>
      </c>
      <c r="O674" s="10">
        <f>CHOOSE(CONTROL!$C$42, 21.0361, 21.0361) * CHOOSE(CONTROL!$C$21, $C$9, 100%, $E$9)</f>
        <v>21.036100000000001</v>
      </c>
      <c r="P674" s="10">
        <f>CHOOSE(CONTROL!$C$42, 20.9279, 20.9279) * CHOOSE(CONTROL!$C$21, $C$9, 100%, $E$9)</f>
        <v>20.927900000000001</v>
      </c>
      <c r="Q674" s="10">
        <f>CHOOSE(CONTROL!$C$42, 21.6314, 21.6314) * CHOOSE(CONTROL!$C$21, $C$9, 100%, $E$9)</f>
        <v>21.631399999999999</v>
      </c>
      <c r="R674" s="10">
        <f>CHOOSE(CONTROL!$C$42, 22.2725, 22.2725) * CHOOSE(CONTROL!$C$21, $C$9, 100%, $E$9)</f>
        <v>22.272500000000001</v>
      </c>
      <c r="S674" s="10">
        <f>CHOOSE(CONTROL!$C$42, 20.4799, 20.4799) * CHOOSE(CONTROL!$C$21, $C$9, 100%, $E$9)</f>
        <v>20.479900000000001</v>
      </c>
      <c r="T674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674" s="58">
        <f>(1000*CHOOSE(CONTROL!$C$42, 695, 695)*CHOOSE(CONTROL!$C$42, 0.5599, 0.5599)*CHOOSE(CONTROL!$C$42, 28, 28))/1000000</f>
        <v>10.895653999999999</v>
      </c>
      <c r="V674" s="58">
        <f>(1000*CHOOSE(CONTROL!$C$42, 500, 500)*CHOOSE(CONTROL!$C$42, 0.275, 0.275)*CHOOSE(CONTROL!$C$42, 28, 28))/1000000</f>
        <v>3.85</v>
      </c>
      <c r="W674" s="58">
        <f>(1000*CHOOSE(CONTROL!$C$42, 0.1146, 0.1146)*CHOOSE(CONTROL!$C$42, 121.5, 121.5)*CHOOSE(CONTROL!$C$42, 28, 28))/1000000</f>
        <v>0.38986920000000003</v>
      </c>
      <c r="X674" s="58">
        <f>(28*0.1790888*100000/1000000)+(28*0.2374*100000/1000000)</f>
        <v>1.16616864</v>
      </c>
      <c r="Y674" s="58"/>
      <c r="Z674" s="10"/>
      <c r="AA674" s="57"/>
      <c r="AB674" s="51">
        <f>(B674*122.58+C674*297.941+D674*89.177+E674*40.302+F674*40+G674*160+H674*0+I674*100+J674*300)/(122.58+297.941+89.177+40.302+0+40+160+100+300)</f>
        <v>21.145791563913043</v>
      </c>
      <c r="AC674" s="27">
        <f>(M674*'RAP TEMPLATE-GAS AVAILABILITY'!O673+N674*'RAP TEMPLATE-GAS AVAILABILITY'!P673+O674*'RAP TEMPLATE-GAS AVAILABILITY'!Q673+P674*'RAP TEMPLATE-GAS AVAILABILITY'!R673)/('RAP TEMPLATE-GAS AVAILABILITY'!O673+'RAP TEMPLATE-GAS AVAILABILITY'!P673+'RAP TEMPLATE-GAS AVAILABILITY'!Q673+'RAP TEMPLATE-GAS AVAILABILITY'!R673)</f>
        <v>20.992088489208637</v>
      </c>
    </row>
    <row r="675" spans="1:29" ht="15.75" x14ac:dyDescent="0.25">
      <c r="A675" s="13">
        <v>61818</v>
      </c>
      <c r="B675" s="10">
        <f>CHOOSE(CONTROL!$C$42, 20.4928, 20.4928) * CHOOSE(CONTROL!$C$21, $C$9, 100%, $E$9)</f>
        <v>20.492799999999999</v>
      </c>
      <c r="C675" s="10">
        <f>CHOOSE(CONTROL!$C$42, 20.4978, 20.4978) * CHOOSE(CONTROL!$C$21, $C$9, 100%, $E$9)</f>
        <v>20.497800000000002</v>
      </c>
      <c r="D675" s="10">
        <f>CHOOSE(CONTROL!$C$42, 20.5892, 20.5892) * CHOOSE(CONTROL!$C$21, $C$9, 100%, $E$9)</f>
        <v>20.589200000000002</v>
      </c>
      <c r="E675" s="10">
        <f>CHOOSE(CONTROL!$C$42, 20.623, 20.623) * CHOOSE(CONTROL!$C$21, $C$9, 100%, $E$9)</f>
        <v>20.623000000000001</v>
      </c>
      <c r="F675" s="10">
        <f>CHOOSE(CONTROL!$C$42, 20.5227, 20.5227)*CHOOSE(CONTROL!$C$21, $C$9, 100%, $E$9)</f>
        <v>20.5227</v>
      </c>
      <c r="G675" s="10">
        <f>CHOOSE(CONTROL!$C$42, 20.5422, 20.5422)*CHOOSE(CONTROL!$C$21, $C$9, 100%, $E$9)</f>
        <v>20.542200000000001</v>
      </c>
      <c r="H675" s="10">
        <f>CHOOSE(CONTROL!$C$42, 20.6121, 20.6121) * CHOOSE(CONTROL!$C$21, $C$9, 100%, $E$9)</f>
        <v>20.612100000000002</v>
      </c>
      <c r="I675" s="10">
        <f>CHOOSE(CONTROL!$C$42, 20.5156, 20.5156)* CHOOSE(CONTROL!$C$21, $C$9, 100%, $E$9)</f>
        <v>20.515599999999999</v>
      </c>
      <c r="J675" s="10">
        <f>CHOOSE(CONTROL!$C$42, 20.5157, 20.5157)* CHOOSE(CONTROL!$C$21, $C$9, 100%, $E$9)</f>
        <v>20.515699999999999</v>
      </c>
      <c r="K675" s="54">
        <f>CHOOSE(CONTROL!$C$42, 20.5117, 20.5117) * CHOOSE(CONTROL!$C$21, $C$9, 100%, $E$9)</f>
        <v>20.511700000000001</v>
      </c>
      <c r="L675" s="10">
        <f>CHOOSE(CONTROL!$C$42, 21.1991, 21.1991) * CHOOSE(CONTROL!$C$21, $C$9, 100%, $E$9)</f>
        <v>21.199100000000001</v>
      </c>
      <c r="M675" s="10">
        <f>CHOOSE(CONTROL!$C$42, 20.3225, 20.3225) * CHOOSE(CONTROL!$C$21, $C$9, 100%, $E$9)</f>
        <v>20.322500000000002</v>
      </c>
      <c r="N675" s="10">
        <f>CHOOSE(CONTROL!$C$42, 20.3418, 20.3418) * CHOOSE(CONTROL!$C$21, $C$9, 100%, $E$9)</f>
        <v>20.341799999999999</v>
      </c>
      <c r="O675" s="10">
        <f>CHOOSE(CONTROL!$C$42, 20.418, 20.418) * CHOOSE(CONTROL!$C$21, $C$9, 100%, $E$9)</f>
        <v>20.417999999999999</v>
      </c>
      <c r="P675" s="10">
        <f>CHOOSE(CONTROL!$C$42, 20.3225, 20.3225) * CHOOSE(CONTROL!$C$21, $C$9, 100%, $E$9)</f>
        <v>20.322500000000002</v>
      </c>
      <c r="Q675" s="10">
        <f>CHOOSE(CONTROL!$C$42, 21.0133, 21.0133) * CHOOSE(CONTROL!$C$21, $C$9, 100%, $E$9)</f>
        <v>21.013300000000001</v>
      </c>
      <c r="R675" s="10">
        <f>CHOOSE(CONTROL!$C$42, 21.6528, 21.6528) * CHOOSE(CONTROL!$C$21, $C$9, 100%, $E$9)</f>
        <v>21.652799999999999</v>
      </c>
      <c r="S675" s="10">
        <f>CHOOSE(CONTROL!$C$42, 19.8984, 19.8984) * CHOOSE(CONTROL!$C$21, $C$9, 100%, $E$9)</f>
        <v>19.898399999999999</v>
      </c>
      <c r="T675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75" s="58">
        <f>(1000*CHOOSE(CONTROL!$C$42, 695, 695)*CHOOSE(CONTROL!$C$42, 0.5599, 0.5599)*CHOOSE(CONTROL!$C$42, 31, 31))/1000000</f>
        <v>12.063045499999998</v>
      </c>
      <c r="V675" s="58">
        <f>(1000*CHOOSE(CONTROL!$C$42, 500, 500)*CHOOSE(CONTROL!$C$42, 0.275, 0.275)*CHOOSE(CONTROL!$C$42, 31, 31))/1000000</f>
        <v>4.2625000000000002</v>
      </c>
      <c r="W675" s="58">
        <f>(1000*CHOOSE(CONTROL!$C$42, 0.1146, 0.1146)*CHOOSE(CONTROL!$C$42, 121.5, 121.5)*CHOOSE(CONTROL!$C$42, 31, 31))/1000000</f>
        <v>0.43164089999999994</v>
      </c>
      <c r="X675" s="58">
        <f>(31*0.1790888*100000/1000000)+(31*0.2374*100000/1000000)</f>
        <v>1.2911152800000001</v>
      </c>
      <c r="Y675" s="58"/>
      <c r="Z675" s="10"/>
      <c r="AA675" s="57"/>
      <c r="AB675" s="51">
        <f>(B675*122.58+C675*297.941+D675*89.177+E675*40.302+F675*40+G675*160+H675*0+I675*100+J675*300)/(122.58+297.941+89.177+40.302+0+40+160+100+300)</f>
        <v>20.522003207130432</v>
      </c>
      <c r="AC675" s="27">
        <f>(M675*'RAP TEMPLATE-GAS AVAILABILITY'!O674+N675*'RAP TEMPLATE-GAS AVAILABILITY'!P674+O675*'RAP TEMPLATE-GAS AVAILABILITY'!Q674+P675*'RAP TEMPLATE-GAS AVAILABILITY'!R674)/('RAP TEMPLATE-GAS AVAILABILITY'!O674+'RAP TEMPLATE-GAS AVAILABILITY'!P674+'RAP TEMPLATE-GAS AVAILABILITY'!Q674+'RAP TEMPLATE-GAS AVAILABILITY'!R674)</f>
        <v>20.366894964028777</v>
      </c>
    </row>
    <row r="676" spans="1:29" ht="15.75" x14ac:dyDescent="0.25">
      <c r="A676" s="13">
        <v>61848</v>
      </c>
      <c r="B676" s="10">
        <f>CHOOSE(CONTROL!$C$42, 20.4323, 20.4323) * CHOOSE(CONTROL!$C$21, $C$9, 100%, $E$9)</f>
        <v>20.432300000000001</v>
      </c>
      <c r="C676" s="10">
        <f>CHOOSE(CONTROL!$C$42, 20.4366, 20.4366) * CHOOSE(CONTROL!$C$21, $C$9, 100%, $E$9)</f>
        <v>20.436599999999999</v>
      </c>
      <c r="D676" s="10">
        <f>CHOOSE(CONTROL!$C$42, 20.6183, 20.6183) * CHOOSE(CONTROL!$C$21, $C$9, 100%, $E$9)</f>
        <v>20.618300000000001</v>
      </c>
      <c r="E676" s="10">
        <f>CHOOSE(CONTROL!$C$42, 20.6501, 20.6501) * CHOOSE(CONTROL!$C$21, $C$9, 100%, $E$9)</f>
        <v>20.650099999999998</v>
      </c>
      <c r="F676" s="10">
        <f>CHOOSE(CONTROL!$C$42, 20.4206, 20.4206)*CHOOSE(CONTROL!$C$21, $C$9, 100%, $E$9)</f>
        <v>20.4206</v>
      </c>
      <c r="G676" s="10">
        <f>CHOOSE(CONTROL!$C$42, 20.4386, 20.4386)*CHOOSE(CONTROL!$C$21, $C$9, 100%, $E$9)</f>
        <v>20.438600000000001</v>
      </c>
      <c r="H676" s="10">
        <f>CHOOSE(CONTROL!$C$42, 20.6399, 20.6399) * CHOOSE(CONTROL!$C$21, $C$9, 100%, $E$9)</f>
        <v>20.639900000000001</v>
      </c>
      <c r="I676" s="10">
        <f>CHOOSE(CONTROL!$C$42, 20.4105, 20.4105)* CHOOSE(CONTROL!$C$21, $C$9, 100%, $E$9)</f>
        <v>20.410499999999999</v>
      </c>
      <c r="J676" s="10">
        <f>CHOOSE(CONTROL!$C$42, 20.4136, 20.4136)* CHOOSE(CONTROL!$C$21, $C$9, 100%, $E$9)</f>
        <v>20.413599999999999</v>
      </c>
      <c r="K676" s="54">
        <f>CHOOSE(CONTROL!$C$42, 20.4066, 20.4066) * CHOOSE(CONTROL!$C$21, $C$9, 100%, $E$9)</f>
        <v>20.406600000000001</v>
      </c>
      <c r="L676" s="10">
        <f>CHOOSE(CONTROL!$C$42, 21.2269, 21.2269) * CHOOSE(CONTROL!$C$21, $C$9, 100%, $E$9)</f>
        <v>21.226900000000001</v>
      </c>
      <c r="M676" s="10">
        <f>CHOOSE(CONTROL!$C$42, 20.2214, 20.2214) * CHOOSE(CONTROL!$C$21, $C$9, 100%, $E$9)</f>
        <v>20.221399999999999</v>
      </c>
      <c r="N676" s="10">
        <f>CHOOSE(CONTROL!$C$42, 20.2392, 20.2392) * CHOOSE(CONTROL!$C$21, $C$9, 100%, $E$9)</f>
        <v>20.2392</v>
      </c>
      <c r="O676" s="10">
        <f>CHOOSE(CONTROL!$C$42, 20.4454, 20.4454) * CHOOSE(CONTROL!$C$21, $C$9, 100%, $E$9)</f>
        <v>20.445399999999999</v>
      </c>
      <c r="P676" s="10">
        <f>CHOOSE(CONTROL!$C$42, 20.2184, 20.2184) * CHOOSE(CONTROL!$C$21, $C$9, 100%, $E$9)</f>
        <v>20.218399999999999</v>
      </c>
      <c r="Q676" s="10">
        <f>CHOOSE(CONTROL!$C$42, 21.0407, 21.0407) * CHOOSE(CONTROL!$C$21, $C$9, 100%, $E$9)</f>
        <v>21.040700000000001</v>
      </c>
      <c r="R676" s="10">
        <f>CHOOSE(CONTROL!$C$42, 21.6803, 21.6803) * CHOOSE(CONTROL!$C$21, $C$9, 100%, $E$9)</f>
        <v>21.680299999999999</v>
      </c>
      <c r="S676" s="10">
        <f>CHOOSE(CONTROL!$C$42, 19.8389, 19.8389) * CHOOSE(CONTROL!$C$21, $C$9, 100%, $E$9)</f>
        <v>19.838899999999999</v>
      </c>
      <c r="T676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76" s="58">
        <f>(1000*CHOOSE(CONTROL!$C$42, 695, 695)*CHOOSE(CONTROL!$C$42, 0.5599, 0.5599)*CHOOSE(CONTROL!$C$42, 30, 30))/1000000</f>
        <v>11.673914999999997</v>
      </c>
      <c r="V676" s="58">
        <f>(1000*CHOOSE(CONTROL!$C$42, 500, 500)*CHOOSE(CONTROL!$C$42, 0.275, 0.275)*CHOOSE(CONTROL!$C$42, 30, 30))/1000000</f>
        <v>4.125</v>
      </c>
      <c r="W676" s="58">
        <f>(1000*CHOOSE(CONTROL!$C$42, 0.1146, 0.1146)*CHOOSE(CONTROL!$C$42, 121.5, 121.5)*CHOOSE(CONTROL!$C$42, 30, 30))/1000000</f>
        <v>0.417717</v>
      </c>
      <c r="X676" s="58">
        <f>(30*0.1790888*245000/1000000)+(30*0.2374*100000/1000000)</f>
        <v>2.0285026799999999</v>
      </c>
      <c r="Y676" s="58"/>
      <c r="Z676" s="10"/>
      <c r="AA676" s="57"/>
      <c r="AB676" s="51">
        <f>(B676*141.293+C676*267.993+D676*115.016+E676*89.698+F676*40+G676*185+H676*0+I676*100+J676*300)/(141.293+267.993+115.016+89.698+0+40+185+100+300)</f>
        <v>20.460539766182407</v>
      </c>
      <c r="AC676" s="27">
        <f>(M676*'RAP TEMPLATE-GAS AVAILABILITY'!O675+N676*'RAP TEMPLATE-GAS AVAILABILITY'!P675+O676*'RAP TEMPLATE-GAS AVAILABILITY'!Q675+P676*'RAP TEMPLATE-GAS AVAILABILITY'!R675)/('RAP TEMPLATE-GAS AVAILABILITY'!O675+'RAP TEMPLATE-GAS AVAILABILITY'!P675+'RAP TEMPLATE-GAS AVAILABILITY'!Q675+'RAP TEMPLATE-GAS AVAILABILITY'!R675)</f>
        <v>20.32351798561151</v>
      </c>
    </row>
    <row r="677" spans="1:29" ht="15.75" x14ac:dyDescent="0.25">
      <c r="A677" s="13">
        <v>61879</v>
      </c>
      <c r="B677" s="10">
        <f>CHOOSE(CONTROL!$C$42, 20.6143, 20.6143) * CHOOSE(CONTROL!$C$21, $C$9, 100%, $E$9)</f>
        <v>20.6143</v>
      </c>
      <c r="C677" s="10">
        <f>CHOOSE(CONTROL!$C$42, 20.6223, 20.6223) * CHOOSE(CONTROL!$C$21, $C$9, 100%, $E$9)</f>
        <v>20.622299999999999</v>
      </c>
      <c r="D677" s="10">
        <f>CHOOSE(CONTROL!$C$42, 20.8008, 20.8008) * CHOOSE(CONTROL!$C$21, $C$9, 100%, $E$9)</f>
        <v>20.800799999999999</v>
      </c>
      <c r="E677" s="10">
        <f>CHOOSE(CONTROL!$C$42, 20.8319, 20.8319) * CHOOSE(CONTROL!$C$21, $C$9, 100%, $E$9)</f>
        <v>20.831900000000001</v>
      </c>
      <c r="F677" s="10">
        <f>CHOOSE(CONTROL!$C$42, 20.6005, 20.6005)*CHOOSE(CONTROL!$C$21, $C$9, 100%, $E$9)</f>
        <v>20.6005</v>
      </c>
      <c r="G677" s="10">
        <f>CHOOSE(CONTROL!$C$42, 20.6187, 20.6187)*CHOOSE(CONTROL!$C$21, $C$9, 100%, $E$9)</f>
        <v>20.6187</v>
      </c>
      <c r="H677" s="10">
        <f>CHOOSE(CONTROL!$C$42, 20.8206, 20.8206) * CHOOSE(CONTROL!$C$21, $C$9, 100%, $E$9)</f>
        <v>20.820599999999999</v>
      </c>
      <c r="I677" s="10">
        <f>CHOOSE(CONTROL!$C$42, 20.5912, 20.5912)* CHOOSE(CONTROL!$C$21, $C$9, 100%, $E$9)</f>
        <v>20.591200000000001</v>
      </c>
      <c r="J677" s="10">
        <f>CHOOSE(CONTROL!$C$42, 20.5935, 20.5935)* CHOOSE(CONTROL!$C$21, $C$9, 100%, $E$9)</f>
        <v>20.593499999999999</v>
      </c>
      <c r="K677" s="54">
        <f>CHOOSE(CONTROL!$C$42, 20.5873, 20.5873) * CHOOSE(CONTROL!$C$21, $C$9, 100%, $E$9)</f>
        <v>20.587299999999999</v>
      </c>
      <c r="L677" s="10">
        <f>CHOOSE(CONTROL!$C$42, 21.4076, 21.4076) * CHOOSE(CONTROL!$C$21, $C$9, 100%, $E$9)</f>
        <v>21.407599999999999</v>
      </c>
      <c r="M677" s="10">
        <f>CHOOSE(CONTROL!$C$42, 20.3995, 20.3995) * CHOOSE(CONTROL!$C$21, $C$9, 100%, $E$9)</f>
        <v>20.3995</v>
      </c>
      <c r="N677" s="10">
        <f>CHOOSE(CONTROL!$C$42, 20.4175, 20.4175) * CHOOSE(CONTROL!$C$21, $C$9, 100%, $E$9)</f>
        <v>20.4175</v>
      </c>
      <c r="O677" s="10">
        <f>CHOOSE(CONTROL!$C$42, 20.6243, 20.6243) * CHOOSE(CONTROL!$C$21, $C$9, 100%, $E$9)</f>
        <v>20.624300000000002</v>
      </c>
      <c r="P677" s="10">
        <f>CHOOSE(CONTROL!$C$42, 20.3973, 20.3973) * CHOOSE(CONTROL!$C$21, $C$9, 100%, $E$9)</f>
        <v>20.397300000000001</v>
      </c>
      <c r="Q677" s="10">
        <f>CHOOSE(CONTROL!$C$42, 21.2196, 21.2196) * CHOOSE(CONTROL!$C$21, $C$9, 100%, $E$9)</f>
        <v>21.2196</v>
      </c>
      <c r="R677" s="10">
        <f>CHOOSE(CONTROL!$C$42, 21.8596, 21.8596) * CHOOSE(CONTROL!$C$21, $C$9, 100%, $E$9)</f>
        <v>21.8596</v>
      </c>
      <c r="S677" s="10">
        <f>CHOOSE(CONTROL!$C$42, 20.0143, 20.0143) * CHOOSE(CONTROL!$C$21, $C$9, 100%, $E$9)</f>
        <v>20.014299999999999</v>
      </c>
      <c r="T677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77" s="58">
        <f>(1000*CHOOSE(CONTROL!$C$42, 695, 695)*CHOOSE(CONTROL!$C$42, 0.5599, 0.5599)*CHOOSE(CONTROL!$C$42, 31, 31))/1000000</f>
        <v>12.063045499999998</v>
      </c>
      <c r="V677" s="58">
        <f>(1000*CHOOSE(CONTROL!$C$42, 500, 500)*CHOOSE(CONTROL!$C$42, 0.275, 0.275)*CHOOSE(CONTROL!$C$42, 31, 31))/1000000</f>
        <v>4.2625000000000002</v>
      </c>
      <c r="W677" s="58">
        <f>(1000*CHOOSE(CONTROL!$C$42, 0.1146, 0.1146)*CHOOSE(CONTROL!$C$42, 121.5, 121.5)*CHOOSE(CONTROL!$C$42, 31, 31))/1000000</f>
        <v>0.43164089999999994</v>
      </c>
      <c r="X677" s="58">
        <f>(31*0.1790888*245000/1000000)+(31*0.2374*100000/1000000)</f>
        <v>2.0961194359999999</v>
      </c>
      <c r="Y677" s="58"/>
      <c r="Z677" s="10"/>
      <c r="AA677" s="57"/>
      <c r="AB677" s="51">
        <f>(B677*194.205+C677*267.466+D677*133.845+E677*53.484+F677*40+G677*185+H677*0+I677*100+J677*300)/(194.205+267.466+133.845+53.484+0+40+185+100+300)</f>
        <v>20.638202620800627</v>
      </c>
      <c r="AC677" s="27">
        <f>(M677*'RAP TEMPLATE-GAS AVAILABILITY'!O676+N677*'RAP TEMPLATE-GAS AVAILABILITY'!P676+O677*'RAP TEMPLATE-GAS AVAILABILITY'!Q676+P677*'RAP TEMPLATE-GAS AVAILABILITY'!R676)/('RAP TEMPLATE-GAS AVAILABILITY'!O676+'RAP TEMPLATE-GAS AVAILABILITY'!P676+'RAP TEMPLATE-GAS AVAILABILITY'!Q676+'RAP TEMPLATE-GAS AVAILABILITY'!R676)</f>
        <v>20.502107194244605</v>
      </c>
    </row>
    <row r="678" spans="1:29" ht="15.75" x14ac:dyDescent="0.25">
      <c r="A678" s="13">
        <v>61909</v>
      </c>
      <c r="B678" s="10">
        <f>CHOOSE(CONTROL!$C$42, 21.1989, 21.1989) * CHOOSE(CONTROL!$C$21, $C$9, 100%, $E$9)</f>
        <v>21.198899999999998</v>
      </c>
      <c r="C678" s="10">
        <f>CHOOSE(CONTROL!$C$42, 21.2069, 21.2069) * CHOOSE(CONTROL!$C$21, $C$9, 100%, $E$9)</f>
        <v>21.206900000000001</v>
      </c>
      <c r="D678" s="10">
        <f>CHOOSE(CONTROL!$C$42, 21.3854, 21.3854) * CHOOSE(CONTROL!$C$21, $C$9, 100%, $E$9)</f>
        <v>21.385400000000001</v>
      </c>
      <c r="E678" s="10">
        <f>CHOOSE(CONTROL!$C$42, 21.4165, 21.4165) * CHOOSE(CONTROL!$C$21, $C$9, 100%, $E$9)</f>
        <v>21.416499999999999</v>
      </c>
      <c r="F678" s="10">
        <f>CHOOSE(CONTROL!$C$42, 21.1854, 21.1854)*CHOOSE(CONTROL!$C$21, $C$9, 100%, $E$9)</f>
        <v>21.185400000000001</v>
      </c>
      <c r="G678" s="10">
        <f>CHOOSE(CONTROL!$C$42, 21.2036, 21.2036)*CHOOSE(CONTROL!$C$21, $C$9, 100%, $E$9)</f>
        <v>21.203600000000002</v>
      </c>
      <c r="H678" s="10">
        <f>CHOOSE(CONTROL!$C$42, 21.4052, 21.4052) * CHOOSE(CONTROL!$C$21, $C$9, 100%, $E$9)</f>
        <v>21.405200000000001</v>
      </c>
      <c r="I678" s="10">
        <f>CHOOSE(CONTROL!$C$42, 21.1758, 21.1758)* CHOOSE(CONTROL!$C$21, $C$9, 100%, $E$9)</f>
        <v>21.175799999999999</v>
      </c>
      <c r="J678" s="10">
        <f>CHOOSE(CONTROL!$C$42, 21.1784, 21.1784)* CHOOSE(CONTROL!$C$21, $C$9, 100%, $E$9)</f>
        <v>21.1784</v>
      </c>
      <c r="K678" s="54">
        <f>CHOOSE(CONTROL!$C$42, 21.1719, 21.1719) * CHOOSE(CONTROL!$C$21, $C$9, 100%, $E$9)</f>
        <v>21.171900000000001</v>
      </c>
      <c r="L678" s="10">
        <f>CHOOSE(CONTROL!$C$42, 21.9922, 21.9922) * CHOOSE(CONTROL!$C$21, $C$9, 100%, $E$9)</f>
        <v>21.9922</v>
      </c>
      <c r="M678" s="10">
        <f>CHOOSE(CONTROL!$C$42, 20.9785, 20.9785) * CHOOSE(CONTROL!$C$21, $C$9, 100%, $E$9)</f>
        <v>20.9785</v>
      </c>
      <c r="N678" s="10">
        <f>CHOOSE(CONTROL!$C$42, 20.9965, 20.9965) * CHOOSE(CONTROL!$C$21, $C$9, 100%, $E$9)</f>
        <v>20.996500000000001</v>
      </c>
      <c r="O678" s="10">
        <f>CHOOSE(CONTROL!$C$42, 21.203, 21.203) * CHOOSE(CONTROL!$C$21, $C$9, 100%, $E$9)</f>
        <v>21.202999999999999</v>
      </c>
      <c r="P678" s="10">
        <f>CHOOSE(CONTROL!$C$42, 20.976, 20.976) * CHOOSE(CONTROL!$C$21, $C$9, 100%, $E$9)</f>
        <v>20.975999999999999</v>
      </c>
      <c r="Q678" s="10">
        <f>CHOOSE(CONTROL!$C$42, 21.7983, 21.7983) * CHOOSE(CONTROL!$C$21, $C$9, 100%, $E$9)</f>
        <v>21.798300000000001</v>
      </c>
      <c r="R678" s="10">
        <f>CHOOSE(CONTROL!$C$42, 22.4398, 22.4398) * CHOOSE(CONTROL!$C$21, $C$9, 100%, $E$9)</f>
        <v>22.439800000000002</v>
      </c>
      <c r="S678" s="10">
        <f>CHOOSE(CONTROL!$C$42, 20.582, 20.582) * CHOOSE(CONTROL!$C$21, $C$9, 100%, $E$9)</f>
        <v>20.582000000000001</v>
      </c>
      <c r="T678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78" s="58">
        <f>(1000*CHOOSE(CONTROL!$C$42, 695, 695)*CHOOSE(CONTROL!$C$42, 0.5599, 0.5599)*CHOOSE(CONTROL!$C$42, 30, 30))/1000000</f>
        <v>11.673914999999997</v>
      </c>
      <c r="V678" s="58">
        <f>(1000*CHOOSE(CONTROL!$C$42, 500, 500)*CHOOSE(CONTROL!$C$42, 0.275, 0.275)*CHOOSE(CONTROL!$C$42, 30, 30))/1000000</f>
        <v>4.125</v>
      </c>
      <c r="W678" s="58">
        <f>(1000*CHOOSE(CONTROL!$C$42, 0.1146, 0.1146)*CHOOSE(CONTROL!$C$42, 121.5, 121.5)*CHOOSE(CONTROL!$C$42, 30, 30))/1000000</f>
        <v>0.417717</v>
      </c>
      <c r="X678" s="58">
        <f>(30*0.1790888*245000/1000000)+(30*0.2374*100000/1000000)</f>
        <v>2.0285026799999999</v>
      </c>
      <c r="Y678" s="58"/>
      <c r="Z678" s="10"/>
      <c r="AA678" s="57"/>
      <c r="AB678" s="51">
        <f>(B678*194.205+C678*267.466+D678*133.845+E678*53.484+F678*40+G678*185+H678*0+I678*100+J678*300)/(194.205+267.466+133.845+53.484+0+40+185+100+300)</f>
        <v>21.222926247174257</v>
      </c>
      <c r="AC678" s="27">
        <f>(M678*'RAP TEMPLATE-GAS AVAILABILITY'!O677+N678*'RAP TEMPLATE-GAS AVAILABILITY'!P677+O678*'RAP TEMPLATE-GAS AVAILABILITY'!Q677+P678*'RAP TEMPLATE-GAS AVAILABILITY'!R677)/('RAP TEMPLATE-GAS AVAILABILITY'!O677+'RAP TEMPLATE-GAS AVAILABILITY'!P677+'RAP TEMPLATE-GAS AVAILABILITY'!Q677+'RAP TEMPLATE-GAS AVAILABILITY'!R677)</f>
        <v>21.080928057553958</v>
      </c>
    </row>
    <row r="679" spans="1:29" ht="15.75" x14ac:dyDescent="0.25">
      <c r="A679" s="13">
        <v>61940</v>
      </c>
      <c r="B679" s="10">
        <f>CHOOSE(CONTROL!$C$42, 20.7924, 20.7924) * CHOOSE(CONTROL!$C$21, $C$9, 100%, $E$9)</f>
        <v>20.792400000000001</v>
      </c>
      <c r="C679" s="10">
        <f>CHOOSE(CONTROL!$C$42, 20.8003, 20.8003) * CHOOSE(CONTROL!$C$21, $C$9, 100%, $E$9)</f>
        <v>20.8003</v>
      </c>
      <c r="D679" s="10">
        <f>CHOOSE(CONTROL!$C$42, 20.9788, 20.9788) * CHOOSE(CONTROL!$C$21, $C$9, 100%, $E$9)</f>
        <v>20.9788</v>
      </c>
      <c r="E679" s="10">
        <f>CHOOSE(CONTROL!$C$42, 21.0099, 21.0099) * CHOOSE(CONTROL!$C$21, $C$9, 100%, $E$9)</f>
        <v>21.009899999999998</v>
      </c>
      <c r="F679" s="10">
        <f>CHOOSE(CONTROL!$C$42, 20.7791, 20.7791)*CHOOSE(CONTROL!$C$21, $C$9, 100%, $E$9)</f>
        <v>20.7791</v>
      </c>
      <c r="G679" s="10">
        <f>CHOOSE(CONTROL!$C$42, 20.7974, 20.7974)*CHOOSE(CONTROL!$C$21, $C$9, 100%, $E$9)</f>
        <v>20.7974</v>
      </c>
      <c r="H679" s="10">
        <f>CHOOSE(CONTROL!$C$42, 20.9986, 20.9986) * CHOOSE(CONTROL!$C$21, $C$9, 100%, $E$9)</f>
        <v>20.9986</v>
      </c>
      <c r="I679" s="10">
        <f>CHOOSE(CONTROL!$C$42, 20.7692, 20.7692)* CHOOSE(CONTROL!$C$21, $C$9, 100%, $E$9)</f>
        <v>20.769200000000001</v>
      </c>
      <c r="J679" s="10">
        <f>CHOOSE(CONTROL!$C$42, 20.7721, 20.7721)* CHOOSE(CONTROL!$C$21, $C$9, 100%, $E$9)</f>
        <v>20.772099999999998</v>
      </c>
      <c r="K679" s="54">
        <f>CHOOSE(CONTROL!$C$42, 20.7653, 20.7653) * CHOOSE(CONTROL!$C$21, $C$9, 100%, $E$9)</f>
        <v>20.7653</v>
      </c>
      <c r="L679" s="10">
        <f>CHOOSE(CONTROL!$C$42, 21.5856, 21.5856) * CHOOSE(CONTROL!$C$21, $C$9, 100%, $E$9)</f>
        <v>21.585599999999999</v>
      </c>
      <c r="M679" s="10">
        <f>CHOOSE(CONTROL!$C$42, 20.5763, 20.5763) * CHOOSE(CONTROL!$C$21, $C$9, 100%, $E$9)</f>
        <v>20.5763</v>
      </c>
      <c r="N679" s="10">
        <f>CHOOSE(CONTROL!$C$42, 20.5944, 20.5944) * CHOOSE(CONTROL!$C$21, $C$9, 100%, $E$9)</f>
        <v>20.5944</v>
      </c>
      <c r="O679" s="10">
        <f>CHOOSE(CONTROL!$C$42, 20.8005, 20.8005) * CHOOSE(CONTROL!$C$21, $C$9, 100%, $E$9)</f>
        <v>20.8005</v>
      </c>
      <c r="P679" s="10">
        <f>CHOOSE(CONTROL!$C$42, 20.5735, 20.5735) * CHOOSE(CONTROL!$C$21, $C$9, 100%, $E$9)</f>
        <v>20.573499999999999</v>
      </c>
      <c r="Q679" s="10">
        <f>CHOOSE(CONTROL!$C$42, 21.3958, 21.3958) * CHOOSE(CONTROL!$C$21, $C$9, 100%, $E$9)</f>
        <v>21.395800000000001</v>
      </c>
      <c r="R679" s="10">
        <f>CHOOSE(CONTROL!$C$42, 22.0363, 22.0363) * CHOOSE(CONTROL!$C$21, $C$9, 100%, $E$9)</f>
        <v>22.036300000000001</v>
      </c>
      <c r="S679" s="10">
        <f>CHOOSE(CONTROL!$C$42, 20.1872, 20.1872) * CHOOSE(CONTROL!$C$21, $C$9, 100%, $E$9)</f>
        <v>20.187200000000001</v>
      </c>
      <c r="T679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79" s="58">
        <f>(1000*CHOOSE(CONTROL!$C$42, 695, 695)*CHOOSE(CONTROL!$C$42, 0.5599, 0.5599)*CHOOSE(CONTROL!$C$42, 31, 31))/1000000</f>
        <v>12.063045499999998</v>
      </c>
      <c r="V679" s="58">
        <f>(1000*CHOOSE(CONTROL!$C$42, 500, 500)*CHOOSE(CONTROL!$C$42, 0.275, 0.275)*CHOOSE(CONTROL!$C$42, 31, 31))/1000000</f>
        <v>4.2625000000000002</v>
      </c>
      <c r="W679" s="58">
        <f>(1000*CHOOSE(CONTROL!$C$42, 0.1146, 0.1146)*CHOOSE(CONTROL!$C$42, 121.5, 121.5)*CHOOSE(CONTROL!$C$42, 31, 31))/1000000</f>
        <v>0.43164089999999994</v>
      </c>
      <c r="X679" s="58">
        <f>(31*0.1790888*245000/1000000)+(31*0.2374*100000/1000000)</f>
        <v>2.0961194359999999</v>
      </c>
      <c r="Y679" s="58"/>
      <c r="Z679" s="10"/>
      <c r="AA679" s="57"/>
      <c r="AB679" s="51">
        <f>(B679*194.205+C679*267.466+D679*133.845+E679*53.484+F679*40+G679*185+H679*0+I679*100+J679*300)/(194.205+267.466+133.845+53.484+0+40+185+100+300)</f>
        <v>20.816479638461541</v>
      </c>
      <c r="AC679" s="27">
        <f>(M679*'RAP TEMPLATE-GAS AVAILABILITY'!O678+N679*'RAP TEMPLATE-GAS AVAILABILITY'!P678+O679*'RAP TEMPLATE-GAS AVAILABILITY'!Q678+P679*'RAP TEMPLATE-GAS AVAILABILITY'!R678)/('RAP TEMPLATE-GAS AVAILABILITY'!O678+'RAP TEMPLATE-GAS AVAILABILITY'!P678+'RAP TEMPLATE-GAS AVAILABILITY'!Q678+'RAP TEMPLATE-GAS AVAILABILITY'!R678)</f>
        <v>20.678554676258994</v>
      </c>
    </row>
    <row r="680" spans="1:29" ht="15.75" x14ac:dyDescent="0.25">
      <c r="A680" s="13">
        <v>61971</v>
      </c>
      <c r="B680" s="10">
        <f>CHOOSE(CONTROL!$C$42, 19.7656, 19.7656) * CHOOSE(CONTROL!$C$21, $C$9, 100%, $E$9)</f>
        <v>19.765599999999999</v>
      </c>
      <c r="C680" s="10">
        <f>CHOOSE(CONTROL!$C$42, 19.7735, 19.7735) * CHOOSE(CONTROL!$C$21, $C$9, 100%, $E$9)</f>
        <v>19.773499999999999</v>
      </c>
      <c r="D680" s="10">
        <f>CHOOSE(CONTROL!$C$42, 19.952, 19.952) * CHOOSE(CONTROL!$C$21, $C$9, 100%, $E$9)</f>
        <v>19.952000000000002</v>
      </c>
      <c r="E680" s="10">
        <f>CHOOSE(CONTROL!$C$42, 19.9832, 19.9832) * CHOOSE(CONTROL!$C$21, $C$9, 100%, $E$9)</f>
        <v>19.9832</v>
      </c>
      <c r="F680" s="10">
        <f>CHOOSE(CONTROL!$C$42, 19.7522, 19.7522)*CHOOSE(CONTROL!$C$21, $C$9, 100%, $E$9)</f>
        <v>19.752199999999998</v>
      </c>
      <c r="G680" s="10">
        <f>CHOOSE(CONTROL!$C$42, 19.7705, 19.7705)*CHOOSE(CONTROL!$C$21, $C$9, 100%, $E$9)</f>
        <v>19.770499999999998</v>
      </c>
      <c r="H680" s="10">
        <f>CHOOSE(CONTROL!$C$42, 19.9718, 19.9718) * CHOOSE(CONTROL!$C$21, $C$9, 100%, $E$9)</f>
        <v>19.971800000000002</v>
      </c>
      <c r="I680" s="10">
        <f>CHOOSE(CONTROL!$C$42, 19.7425, 19.7425)* CHOOSE(CONTROL!$C$21, $C$9, 100%, $E$9)</f>
        <v>19.7425</v>
      </c>
      <c r="J680" s="10">
        <f>CHOOSE(CONTROL!$C$42, 19.7452, 19.7452)* CHOOSE(CONTROL!$C$21, $C$9, 100%, $E$9)</f>
        <v>19.745200000000001</v>
      </c>
      <c r="K680" s="54">
        <f>CHOOSE(CONTROL!$C$42, 19.7386, 19.7386) * CHOOSE(CONTROL!$C$21, $C$9, 100%, $E$9)</f>
        <v>19.738600000000002</v>
      </c>
      <c r="L680" s="10">
        <f>CHOOSE(CONTROL!$C$42, 20.5588, 20.5588) * CHOOSE(CONTROL!$C$21, $C$9, 100%, $E$9)</f>
        <v>20.558800000000002</v>
      </c>
      <c r="M680" s="10">
        <f>CHOOSE(CONTROL!$C$42, 19.5598, 19.5598) * CHOOSE(CONTROL!$C$21, $C$9, 100%, $E$9)</f>
        <v>19.559799999999999</v>
      </c>
      <c r="N680" s="10">
        <f>CHOOSE(CONTROL!$C$42, 19.5779, 19.5779) * CHOOSE(CONTROL!$C$21, $C$9, 100%, $E$9)</f>
        <v>19.5779</v>
      </c>
      <c r="O680" s="10">
        <f>CHOOSE(CONTROL!$C$42, 19.7841, 19.7841) * CHOOSE(CONTROL!$C$21, $C$9, 100%, $E$9)</f>
        <v>19.784099999999999</v>
      </c>
      <c r="P680" s="10">
        <f>CHOOSE(CONTROL!$C$42, 19.5571, 19.5571) * CHOOSE(CONTROL!$C$21, $C$9, 100%, $E$9)</f>
        <v>19.557099999999998</v>
      </c>
      <c r="Q680" s="10">
        <f>CHOOSE(CONTROL!$C$42, 20.3794, 20.3794) * CHOOSE(CONTROL!$C$21, $C$9, 100%, $E$9)</f>
        <v>20.3794</v>
      </c>
      <c r="R680" s="10">
        <f>CHOOSE(CONTROL!$C$42, 21.0173, 21.0173) * CHOOSE(CONTROL!$C$21, $C$9, 100%, $E$9)</f>
        <v>21.017299999999999</v>
      </c>
      <c r="S680" s="10">
        <f>CHOOSE(CONTROL!$C$42, 19.1901, 19.1901) * CHOOSE(CONTROL!$C$21, $C$9, 100%, $E$9)</f>
        <v>19.190100000000001</v>
      </c>
      <c r="T680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80" s="58">
        <f>(1000*CHOOSE(CONTROL!$C$42, 695, 695)*CHOOSE(CONTROL!$C$42, 0.5599, 0.5599)*CHOOSE(CONTROL!$C$42, 31, 31))/1000000</f>
        <v>12.063045499999998</v>
      </c>
      <c r="V680" s="58">
        <f>(1000*CHOOSE(CONTROL!$C$42, 500, 500)*CHOOSE(CONTROL!$C$42, 0.275, 0.275)*CHOOSE(CONTROL!$C$42, 31, 31))/1000000</f>
        <v>4.2625000000000002</v>
      </c>
      <c r="W680" s="58">
        <f>(1000*CHOOSE(CONTROL!$C$42, 0.1146, 0.1146)*CHOOSE(CONTROL!$C$42, 121.5, 121.5)*CHOOSE(CONTROL!$C$42, 31, 31))/1000000</f>
        <v>0.43164089999999994</v>
      </c>
      <c r="X680" s="58">
        <f>(31*0.1790888*245000/1000000)+(31*0.2374*100000/1000000)</f>
        <v>2.0961194359999999</v>
      </c>
      <c r="Y680" s="58"/>
      <c r="Z680" s="10"/>
      <c r="AA680" s="57"/>
      <c r="AB680" s="51">
        <f>(B680*194.205+C680*267.466+D680*133.845+E680*53.484+F680*40+G680*185+H680*0+I680*100+J680*300)/(194.205+267.466+133.845+53.484+0+40+185+100+300)</f>
        <v>19.789650477080059</v>
      </c>
      <c r="AC680" s="27">
        <f>(M680*'RAP TEMPLATE-GAS AVAILABILITY'!O679+N680*'RAP TEMPLATE-GAS AVAILABILITY'!P679+O680*'RAP TEMPLATE-GAS AVAILABILITY'!Q679+P680*'RAP TEMPLATE-GAS AVAILABILITY'!R679)/('RAP TEMPLATE-GAS AVAILABILITY'!O679+'RAP TEMPLATE-GAS AVAILABILITY'!P679+'RAP TEMPLATE-GAS AVAILABILITY'!Q679+'RAP TEMPLATE-GAS AVAILABILITY'!R679)</f>
        <v>19.662114388489204</v>
      </c>
    </row>
    <row r="681" spans="1:29" ht="15.75" x14ac:dyDescent="0.25">
      <c r="A681" s="13">
        <v>62001</v>
      </c>
      <c r="B681" s="10">
        <f>CHOOSE(CONTROL!$C$42, 18.5111, 18.5111) * CHOOSE(CONTROL!$C$21, $C$9, 100%, $E$9)</f>
        <v>18.511099999999999</v>
      </c>
      <c r="C681" s="10">
        <f>CHOOSE(CONTROL!$C$42, 18.519, 18.519) * CHOOSE(CONTROL!$C$21, $C$9, 100%, $E$9)</f>
        <v>18.518999999999998</v>
      </c>
      <c r="D681" s="10">
        <f>CHOOSE(CONTROL!$C$42, 18.6975, 18.6975) * CHOOSE(CONTROL!$C$21, $C$9, 100%, $E$9)</f>
        <v>18.697500000000002</v>
      </c>
      <c r="E681" s="10">
        <f>CHOOSE(CONTROL!$C$42, 18.7286, 18.7286) * CHOOSE(CONTROL!$C$21, $C$9, 100%, $E$9)</f>
        <v>18.7286</v>
      </c>
      <c r="F681" s="10">
        <f>CHOOSE(CONTROL!$C$42, 18.4974, 18.4974)*CHOOSE(CONTROL!$C$21, $C$9, 100%, $E$9)</f>
        <v>18.497399999999999</v>
      </c>
      <c r="G681" s="10">
        <f>CHOOSE(CONTROL!$C$42, 18.5156, 18.5156)*CHOOSE(CONTROL!$C$21, $C$9, 100%, $E$9)</f>
        <v>18.515599999999999</v>
      </c>
      <c r="H681" s="10">
        <f>CHOOSE(CONTROL!$C$42, 18.7173, 18.7173) * CHOOSE(CONTROL!$C$21, $C$9, 100%, $E$9)</f>
        <v>18.717300000000002</v>
      </c>
      <c r="I681" s="10">
        <f>CHOOSE(CONTROL!$C$42, 18.4879, 18.4879)* CHOOSE(CONTROL!$C$21, $C$9, 100%, $E$9)</f>
        <v>18.4879</v>
      </c>
      <c r="J681" s="10">
        <f>CHOOSE(CONTROL!$C$42, 18.4904, 18.4904)* CHOOSE(CONTROL!$C$21, $C$9, 100%, $E$9)</f>
        <v>18.490400000000001</v>
      </c>
      <c r="K681" s="54">
        <f>CHOOSE(CONTROL!$C$42, 18.484, 18.484) * CHOOSE(CONTROL!$C$21, $C$9, 100%, $E$9)</f>
        <v>18.484000000000002</v>
      </c>
      <c r="L681" s="10">
        <f>CHOOSE(CONTROL!$C$42, 19.3043, 19.3043) * CHOOSE(CONTROL!$C$21, $C$9, 100%, $E$9)</f>
        <v>19.304300000000001</v>
      </c>
      <c r="M681" s="10">
        <f>CHOOSE(CONTROL!$C$42, 18.3177, 18.3177) * CHOOSE(CONTROL!$C$21, $C$9, 100%, $E$9)</f>
        <v>18.317699999999999</v>
      </c>
      <c r="N681" s="10">
        <f>CHOOSE(CONTROL!$C$42, 18.3357, 18.3357) * CHOOSE(CONTROL!$C$21, $C$9, 100%, $E$9)</f>
        <v>18.335699999999999</v>
      </c>
      <c r="O681" s="10">
        <f>CHOOSE(CONTROL!$C$42, 18.5422, 18.5422) * CHOOSE(CONTROL!$C$21, $C$9, 100%, $E$9)</f>
        <v>18.542200000000001</v>
      </c>
      <c r="P681" s="10">
        <f>CHOOSE(CONTROL!$C$42, 18.3152, 18.3152) * CHOOSE(CONTROL!$C$21, $C$9, 100%, $E$9)</f>
        <v>18.315200000000001</v>
      </c>
      <c r="Q681" s="10">
        <f>CHOOSE(CONTROL!$C$42, 19.1375, 19.1375) * CHOOSE(CONTROL!$C$21, $C$9, 100%, $E$9)</f>
        <v>19.137499999999999</v>
      </c>
      <c r="R681" s="10">
        <f>CHOOSE(CONTROL!$C$42, 19.7724, 19.7724) * CHOOSE(CONTROL!$C$21, $C$9, 100%, $E$9)</f>
        <v>19.772400000000001</v>
      </c>
      <c r="S681" s="10">
        <f>CHOOSE(CONTROL!$C$42, 17.9718, 17.9718) * CHOOSE(CONTROL!$C$21, $C$9, 100%, $E$9)</f>
        <v>17.971800000000002</v>
      </c>
      <c r="T681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81" s="58">
        <f>(1000*CHOOSE(CONTROL!$C$42, 695, 695)*CHOOSE(CONTROL!$C$42, 0.5599, 0.5599)*CHOOSE(CONTROL!$C$42, 30, 30))/1000000</f>
        <v>11.673914999999997</v>
      </c>
      <c r="V681" s="58">
        <f>(1000*CHOOSE(CONTROL!$C$42, 500, 500)*CHOOSE(CONTROL!$C$42, 0.275, 0.275)*CHOOSE(CONTROL!$C$42, 30, 30))/1000000</f>
        <v>4.125</v>
      </c>
      <c r="W681" s="58">
        <f>(1000*CHOOSE(CONTROL!$C$42, 0.1146, 0.1146)*CHOOSE(CONTROL!$C$42, 121.5, 121.5)*CHOOSE(CONTROL!$C$42, 30, 30))/1000000</f>
        <v>0.417717</v>
      </c>
      <c r="X681" s="58">
        <f>(30*0.1790888*245000/1000000)+(30*0.2374*100000/1000000)</f>
        <v>2.0285026799999999</v>
      </c>
      <c r="Y681" s="58"/>
      <c r="Z681" s="10"/>
      <c r="AA681" s="57"/>
      <c r="AB681" s="51">
        <f>(B681*194.205+C681*267.466+D681*133.845+E681*53.484+F681*40+G681*185+H681*0+I681*100+J681*300)/(194.205+267.466+133.845+53.484+0+40+185+100+300)</f>
        <v>18.53500028210361</v>
      </c>
      <c r="AC681" s="27">
        <f>(M681*'RAP TEMPLATE-GAS AVAILABILITY'!O680+N681*'RAP TEMPLATE-GAS AVAILABILITY'!P680+O681*'RAP TEMPLATE-GAS AVAILABILITY'!Q680+P681*'RAP TEMPLATE-GAS AVAILABILITY'!R680)/('RAP TEMPLATE-GAS AVAILABILITY'!O680+'RAP TEMPLATE-GAS AVAILABILITY'!P680+'RAP TEMPLATE-GAS AVAILABILITY'!Q680+'RAP TEMPLATE-GAS AVAILABILITY'!R680)</f>
        <v>18.42012805755396</v>
      </c>
    </row>
    <row r="682" spans="1:29" ht="15.75" x14ac:dyDescent="0.25">
      <c r="A682" s="13">
        <v>62032</v>
      </c>
      <c r="B682" s="10">
        <f>CHOOSE(CONTROL!$C$42, 18.1332, 18.1332) * CHOOSE(CONTROL!$C$21, $C$9, 100%, $E$9)</f>
        <v>18.133199999999999</v>
      </c>
      <c r="C682" s="10">
        <f>CHOOSE(CONTROL!$C$42, 18.1384, 18.1384) * CHOOSE(CONTROL!$C$21, $C$9, 100%, $E$9)</f>
        <v>18.138400000000001</v>
      </c>
      <c r="D682" s="10">
        <f>CHOOSE(CONTROL!$C$42, 18.3219, 18.3219) * CHOOSE(CONTROL!$C$21, $C$9, 100%, $E$9)</f>
        <v>18.321899999999999</v>
      </c>
      <c r="E682" s="10">
        <f>CHOOSE(CONTROL!$C$42, 18.3507, 18.3507) * CHOOSE(CONTROL!$C$21, $C$9, 100%, $E$9)</f>
        <v>18.3507</v>
      </c>
      <c r="F682" s="10">
        <f>CHOOSE(CONTROL!$C$42, 18.1215, 18.1215)*CHOOSE(CONTROL!$C$21, $C$9, 100%, $E$9)</f>
        <v>18.121500000000001</v>
      </c>
      <c r="G682" s="10">
        <f>CHOOSE(CONTROL!$C$42, 18.1394, 18.1394)*CHOOSE(CONTROL!$C$21, $C$9, 100%, $E$9)</f>
        <v>18.139399999999998</v>
      </c>
      <c r="H682" s="10">
        <f>CHOOSE(CONTROL!$C$42, 18.3412, 18.3412) * CHOOSE(CONTROL!$C$21, $C$9, 100%, $E$9)</f>
        <v>18.341200000000001</v>
      </c>
      <c r="I682" s="10">
        <f>CHOOSE(CONTROL!$C$42, 18.1118, 18.1118)* CHOOSE(CONTROL!$C$21, $C$9, 100%, $E$9)</f>
        <v>18.111799999999999</v>
      </c>
      <c r="J682" s="10">
        <f>CHOOSE(CONTROL!$C$42, 18.1145, 18.1145)* CHOOSE(CONTROL!$C$21, $C$9, 100%, $E$9)</f>
        <v>18.1145</v>
      </c>
      <c r="K682" s="54">
        <f>CHOOSE(CONTROL!$C$42, 18.1079, 18.1079) * CHOOSE(CONTROL!$C$21, $C$9, 100%, $E$9)</f>
        <v>18.107900000000001</v>
      </c>
      <c r="L682" s="10">
        <f>CHOOSE(CONTROL!$C$42, 18.9282, 18.9282) * CHOOSE(CONTROL!$C$21, $C$9, 100%, $E$9)</f>
        <v>18.9282</v>
      </c>
      <c r="M682" s="10">
        <f>CHOOSE(CONTROL!$C$42, 17.9455, 17.9455) * CHOOSE(CONTROL!$C$21, $C$9, 100%, $E$9)</f>
        <v>17.945499999999999</v>
      </c>
      <c r="N682" s="10">
        <f>CHOOSE(CONTROL!$C$42, 17.9632, 17.9632) * CHOOSE(CONTROL!$C$21, $C$9, 100%, $E$9)</f>
        <v>17.963200000000001</v>
      </c>
      <c r="O682" s="10">
        <f>CHOOSE(CONTROL!$C$42, 18.1699, 18.1699) * CHOOSE(CONTROL!$C$21, $C$9, 100%, $E$9)</f>
        <v>18.169899999999998</v>
      </c>
      <c r="P682" s="10">
        <f>CHOOSE(CONTROL!$C$42, 17.9429, 17.9429) * CHOOSE(CONTROL!$C$21, $C$9, 100%, $E$9)</f>
        <v>17.942900000000002</v>
      </c>
      <c r="Q682" s="10">
        <f>CHOOSE(CONTROL!$C$42, 18.7652, 18.7652) * CHOOSE(CONTROL!$C$21, $C$9, 100%, $E$9)</f>
        <v>18.7652</v>
      </c>
      <c r="R682" s="10">
        <f>CHOOSE(CONTROL!$C$42, 19.3991, 19.3991) * CHOOSE(CONTROL!$C$21, $C$9, 100%, $E$9)</f>
        <v>19.399100000000001</v>
      </c>
      <c r="S682" s="10">
        <f>CHOOSE(CONTROL!$C$42, 17.6066, 17.6066) * CHOOSE(CONTROL!$C$21, $C$9, 100%, $E$9)</f>
        <v>17.6066</v>
      </c>
      <c r="T682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682" s="58">
        <f>(1000*CHOOSE(CONTROL!$C$42, 695, 695)*CHOOSE(CONTROL!$C$42, 0.5599, 0.5599)*CHOOSE(CONTROL!$C$42, 31, 31))/1000000</f>
        <v>12.063045499999998</v>
      </c>
      <c r="V682" s="58">
        <f>(1000*CHOOSE(CONTROL!$C$42, 500, 500)*CHOOSE(CONTROL!$C$42, 0.275, 0.275)*CHOOSE(CONTROL!$C$42, 31, 31))/1000000</f>
        <v>4.2625000000000002</v>
      </c>
      <c r="W682" s="58">
        <f>(1000*CHOOSE(CONTROL!$C$42, 0.1146, 0.1146)*CHOOSE(CONTROL!$C$42, 121.5, 121.5)*CHOOSE(CONTROL!$C$42, 31, 31))/1000000</f>
        <v>0.43164089999999994</v>
      </c>
      <c r="X682" s="58">
        <f>(31*0.1790888*245000/1000000)+(31*0.2374*100000/1000000)</f>
        <v>2.0961194359999999</v>
      </c>
      <c r="Y682" s="58"/>
      <c r="Z682" s="10"/>
      <c r="AA682" s="57"/>
      <c r="AB682" s="51">
        <f>(B682*131.881+C682*277.167+D682*79.08+E682*125.872+F682*40+G682*185+H682*0+I682*100+J682*300)/(131.881+277.167+79.08+125.872+0+40+185+100+300)</f>
        <v>18.162796307021793</v>
      </c>
      <c r="AC682" s="27">
        <f>(M682*'RAP TEMPLATE-GAS AVAILABILITY'!O681+N682*'RAP TEMPLATE-GAS AVAILABILITY'!P681+O682*'RAP TEMPLATE-GAS AVAILABILITY'!Q681+P682*'RAP TEMPLATE-GAS AVAILABILITY'!R681)/('RAP TEMPLATE-GAS AVAILABILITY'!O681+'RAP TEMPLATE-GAS AVAILABILITY'!P681+'RAP TEMPLATE-GAS AVAILABILITY'!Q681+'RAP TEMPLATE-GAS AVAILABILITY'!R681)</f>
        <v>18.047851079136692</v>
      </c>
    </row>
    <row r="683" spans="1:29" ht="15.75" x14ac:dyDescent="0.25">
      <c r="A683" s="13">
        <v>62062</v>
      </c>
      <c r="B683" s="10">
        <f>CHOOSE(CONTROL!$C$42, 18.6104, 18.6104) * CHOOSE(CONTROL!$C$21, $C$9, 100%, $E$9)</f>
        <v>18.610399999999998</v>
      </c>
      <c r="C683" s="10">
        <f>CHOOSE(CONTROL!$C$42, 18.6153, 18.6153) * CHOOSE(CONTROL!$C$21, $C$9, 100%, $E$9)</f>
        <v>18.615300000000001</v>
      </c>
      <c r="D683" s="10">
        <f>CHOOSE(CONTROL!$C$42, 18.6449, 18.6449) * CHOOSE(CONTROL!$C$21, $C$9, 100%, $E$9)</f>
        <v>18.6449</v>
      </c>
      <c r="E683" s="10">
        <f>CHOOSE(CONTROL!$C$42, 18.6787, 18.6787) * CHOOSE(CONTROL!$C$21, $C$9, 100%, $E$9)</f>
        <v>18.678699999999999</v>
      </c>
      <c r="F683" s="10">
        <f>CHOOSE(CONTROL!$C$42, 18.5961, 18.5961)*CHOOSE(CONTROL!$C$21, $C$9, 100%, $E$9)</f>
        <v>18.5961</v>
      </c>
      <c r="G683" s="10">
        <f>CHOOSE(CONTROL!$C$42, 18.6142, 18.6142)*CHOOSE(CONTROL!$C$21, $C$9, 100%, $E$9)</f>
        <v>18.6142</v>
      </c>
      <c r="H683" s="10">
        <f>CHOOSE(CONTROL!$C$42, 18.6679, 18.6679) * CHOOSE(CONTROL!$C$21, $C$9, 100%, $E$9)</f>
        <v>18.667899999999999</v>
      </c>
      <c r="I683" s="10">
        <f>CHOOSE(CONTROL!$C$42, 18.5766, 18.5766)* CHOOSE(CONTROL!$C$21, $C$9, 100%, $E$9)</f>
        <v>18.576599999999999</v>
      </c>
      <c r="J683" s="10">
        <f>CHOOSE(CONTROL!$C$42, 18.5891, 18.5891)* CHOOSE(CONTROL!$C$21, $C$9, 100%, $E$9)</f>
        <v>18.589099999999998</v>
      </c>
      <c r="K683" s="54">
        <f>CHOOSE(CONTROL!$C$42, 18.5727, 18.5727) * CHOOSE(CONTROL!$C$21, $C$9, 100%, $E$9)</f>
        <v>18.572700000000001</v>
      </c>
      <c r="L683" s="10">
        <f>CHOOSE(CONTROL!$C$42, 19.2549, 19.2549) * CHOOSE(CONTROL!$C$21, $C$9, 100%, $E$9)</f>
        <v>19.254899999999999</v>
      </c>
      <c r="M683" s="10">
        <f>CHOOSE(CONTROL!$C$42, 18.4154, 18.4154) * CHOOSE(CONTROL!$C$21, $C$9, 100%, $E$9)</f>
        <v>18.415400000000002</v>
      </c>
      <c r="N683" s="10">
        <f>CHOOSE(CONTROL!$C$42, 18.4332, 18.4332) * CHOOSE(CONTROL!$C$21, $C$9, 100%, $E$9)</f>
        <v>18.433199999999999</v>
      </c>
      <c r="O683" s="10">
        <f>CHOOSE(CONTROL!$C$42, 18.4934, 18.4934) * CHOOSE(CONTROL!$C$21, $C$9, 100%, $E$9)</f>
        <v>18.493400000000001</v>
      </c>
      <c r="P683" s="10">
        <f>CHOOSE(CONTROL!$C$42, 18.403, 18.403) * CHOOSE(CONTROL!$C$21, $C$9, 100%, $E$9)</f>
        <v>18.402999999999999</v>
      </c>
      <c r="Q683" s="10">
        <f>CHOOSE(CONTROL!$C$42, 19.0887, 19.0887) * CHOOSE(CONTROL!$C$21, $C$9, 100%, $E$9)</f>
        <v>19.088699999999999</v>
      </c>
      <c r="R683" s="10">
        <f>CHOOSE(CONTROL!$C$42, 19.7234, 19.7234) * CHOOSE(CONTROL!$C$21, $C$9, 100%, $E$9)</f>
        <v>19.723400000000002</v>
      </c>
      <c r="S683" s="10">
        <f>CHOOSE(CONTROL!$C$42, 18.0704, 18.0704) * CHOOSE(CONTROL!$C$21, $C$9, 100%, $E$9)</f>
        <v>18.070399999999999</v>
      </c>
      <c r="T683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683" s="58">
        <f>(1000*CHOOSE(CONTROL!$C$42, 695, 695)*CHOOSE(CONTROL!$C$42, 0.5599, 0.5599)*CHOOSE(CONTROL!$C$42, 30, 30))/1000000</f>
        <v>11.673914999999997</v>
      </c>
      <c r="V683" s="58">
        <f>(1000*CHOOSE(CONTROL!$C$42, 500, 500)*CHOOSE(CONTROL!$C$42, 0.275, 0.275)*CHOOSE(CONTROL!$C$42, 30, 30))/1000000</f>
        <v>4.125</v>
      </c>
      <c r="W683" s="58">
        <f>(1000*CHOOSE(CONTROL!$C$42, 0.1146, 0.1146)*CHOOSE(CONTROL!$C$42, 121.5, 121.5)*CHOOSE(CONTROL!$C$42, 30, 30))/1000000</f>
        <v>0.417717</v>
      </c>
      <c r="X683" s="58">
        <f>(30*0.1790888*100000/1000000)+(30*0.2374*100000/1000000)</f>
        <v>1.2494664</v>
      </c>
      <c r="Y683" s="58"/>
      <c r="Z683" s="10"/>
      <c r="AA683" s="57"/>
      <c r="AB683" s="51">
        <f>(B683*122.58+C683*297.941+D683*89.177+E683*40.302+F683*40+G683*160+H683*0+I683*100+J683*300)/(122.58+297.941+89.177+40.302+0+40+160+100+300)</f>
        <v>18.60827403826087</v>
      </c>
      <c r="AC683" s="27">
        <f>(M683*'RAP TEMPLATE-GAS AVAILABILITY'!O682+N683*'RAP TEMPLATE-GAS AVAILABILITY'!P682+O683*'RAP TEMPLATE-GAS AVAILABILITY'!Q682+P683*'RAP TEMPLATE-GAS AVAILABILITY'!R682)/('RAP TEMPLATE-GAS AVAILABILITY'!O682+'RAP TEMPLATE-GAS AVAILABILITY'!P682+'RAP TEMPLATE-GAS AVAILABILITY'!Q682+'RAP TEMPLATE-GAS AVAILABILITY'!R682)</f>
        <v>18.449992805755397</v>
      </c>
    </row>
    <row r="684" spans="1:29" ht="15.75" x14ac:dyDescent="0.25">
      <c r="A684" s="13">
        <v>62093</v>
      </c>
      <c r="B684" s="10">
        <f>CHOOSE(CONTROL!$C$42, 19.879, 19.879) * CHOOSE(CONTROL!$C$21, $C$9, 100%, $E$9)</f>
        <v>19.879000000000001</v>
      </c>
      <c r="C684" s="10">
        <f>CHOOSE(CONTROL!$C$42, 19.884, 19.884) * CHOOSE(CONTROL!$C$21, $C$9, 100%, $E$9)</f>
        <v>19.884</v>
      </c>
      <c r="D684" s="10">
        <f>CHOOSE(CONTROL!$C$42, 19.9136, 19.9136) * CHOOSE(CONTROL!$C$21, $C$9, 100%, $E$9)</f>
        <v>19.913599999999999</v>
      </c>
      <c r="E684" s="10">
        <f>CHOOSE(CONTROL!$C$42, 19.9474, 19.9474) * CHOOSE(CONTROL!$C$21, $C$9, 100%, $E$9)</f>
        <v>19.947399999999998</v>
      </c>
      <c r="F684" s="10">
        <f>CHOOSE(CONTROL!$C$42, 19.8663, 19.8663)*CHOOSE(CONTROL!$C$21, $C$9, 100%, $E$9)</f>
        <v>19.866299999999999</v>
      </c>
      <c r="G684" s="10">
        <f>CHOOSE(CONTROL!$C$42, 19.8848, 19.8848)*CHOOSE(CONTROL!$C$21, $C$9, 100%, $E$9)</f>
        <v>19.884799999999998</v>
      </c>
      <c r="H684" s="10">
        <f>CHOOSE(CONTROL!$C$42, 19.9366, 19.9366) * CHOOSE(CONTROL!$C$21, $C$9, 100%, $E$9)</f>
        <v>19.936599999999999</v>
      </c>
      <c r="I684" s="10">
        <f>CHOOSE(CONTROL!$C$42, 19.8452, 19.8452)* CHOOSE(CONTROL!$C$21, $C$9, 100%, $E$9)</f>
        <v>19.845199999999998</v>
      </c>
      <c r="J684" s="10">
        <f>CHOOSE(CONTROL!$C$42, 19.8593, 19.8593)* CHOOSE(CONTROL!$C$21, $C$9, 100%, $E$9)</f>
        <v>19.859300000000001</v>
      </c>
      <c r="K684" s="54">
        <f>CHOOSE(CONTROL!$C$42, 19.8413, 19.8413) * CHOOSE(CONTROL!$C$21, $C$9, 100%, $E$9)</f>
        <v>19.8413</v>
      </c>
      <c r="L684" s="10">
        <f>CHOOSE(CONTROL!$C$42, 20.5236, 20.5236) * CHOOSE(CONTROL!$C$21, $C$9, 100%, $E$9)</f>
        <v>20.523599999999998</v>
      </c>
      <c r="M684" s="10">
        <f>CHOOSE(CONTROL!$C$42, 19.6727, 19.6727) * CHOOSE(CONTROL!$C$21, $C$9, 100%, $E$9)</f>
        <v>19.672699999999999</v>
      </c>
      <c r="N684" s="10">
        <f>CHOOSE(CONTROL!$C$42, 19.691, 19.691) * CHOOSE(CONTROL!$C$21, $C$9, 100%, $E$9)</f>
        <v>19.690999999999999</v>
      </c>
      <c r="O684" s="10">
        <f>CHOOSE(CONTROL!$C$42, 19.7492, 19.7492) * CHOOSE(CONTROL!$C$21, $C$9, 100%, $E$9)</f>
        <v>19.749199999999998</v>
      </c>
      <c r="P684" s="10">
        <f>CHOOSE(CONTROL!$C$42, 19.6588, 19.6588) * CHOOSE(CONTROL!$C$21, $C$9, 100%, $E$9)</f>
        <v>19.658799999999999</v>
      </c>
      <c r="Q684" s="10">
        <f>CHOOSE(CONTROL!$C$42, 20.3445, 20.3445) * CHOOSE(CONTROL!$C$21, $C$9, 100%, $E$9)</f>
        <v>20.3445</v>
      </c>
      <c r="R684" s="10">
        <f>CHOOSE(CONTROL!$C$42, 20.9824, 20.9824) * CHOOSE(CONTROL!$C$21, $C$9, 100%, $E$9)</f>
        <v>20.982399999999998</v>
      </c>
      <c r="S684" s="10">
        <f>CHOOSE(CONTROL!$C$42, 19.3024, 19.3024) * CHOOSE(CONTROL!$C$21, $C$9, 100%, $E$9)</f>
        <v>19.302399999999999</v>
      </c>
      <c r="T684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84" s="58">
        <f>(1000*CHOOSE(CONTROL!$C$42, 695, 695)*CHOOSE(CONTROL!$C$42, 0.5599, 0.5599)*CHOOSE(CONTROL!$C$42, 31, 31))/1000000</f>
        <v>12.063045499999998</v>
      </c>
      <c r="V684" s="58">
        <f>(1000*CHOOSE(CONTROL!$C$42, 500, 500)*CHOOSE(CONTROL!$C$42, 0.275, 0.275)*CHOOSE(CONTROL!$C$42, 31, 31))/1000000</f>
        <v>4.2625000000000002</v>
      </c>
      <c r="W684" s="58">
        <f>(1000*CHOOSE(CONTROL!$C$42, 0.1146, 0.1146)*CHOOSE(CONTROL!$C$42, 121.5, 121.5)*CHOOSE(CONTROL!$C$42, 31, 31))/1000000</f>
        <v>0.43164089999999994</v>
      </c>
      <c r="X684" s="58">
        <f>(31*0.1790888*100000/1000000)+(31*0.2374*100000/1000000)</f>
        <v>1.2911152800000001</v>
      </c>
      <c r="Y684" s="58"/>
      <c r="Z684" s="10"/>
      <c r="AA684" s="57"/>
      <c r="AB684" s="51">
        <f>(B684*122.58+C684*297.941+D684*89.177+E684*40.302+F684*40+G684*160+H684*0+I684*100+J684*300)/(122.58+297.941+89.177+40.302+0+40+160+100+300)</f>
        <v>19.877662509565216</v>
      </c>
      <c r="AC684" s="27">
        <f>(M684*'RAP TEMPLATE-GAS AVAILABILITY'!O683+N684*'RAP TEMPLATE-GAS AVAILABILITY'!P683+O684*'RAP TEMPLATE-GAS AVAILABILITY'!Q683+P684*'RAP TEMPLATE-GAS AVAILABILITY'!R683)/('RAP TEMPLATE-GAS AVAILABILITY'!O683+'RAP TEMPLATE-GAS AVAILABILITY'!P683+'RAP TEMPLATE-GAS AVAILABILITY'!Q683+'RAP TEMPLATE-GAS AVAILABILITY'!R683)</f>
        <v>19.706425899280575</v>
      </c>
    </row>
    <row r="685" spans="1:29" ht="15.75" x14ac:dyDescent="0.25">
      <c r="A685" s="13">
        <v>62124</v>
      </c>
      <c r="B685" s="10">
        <f>CHOOSE(CONTROL!$C$42, 21.2205, 21.2205) * CHOOSE(CONTROL!$C$21, $C$9, 100%, $E$9)</f>
        <v>21.220500000000001</v>
      </c>
      <c r="C685" s="10">
        <f>CHOOSE(CONTROL!$C$42, 21.2255, 21.2255) * CHOOSE(CONTROL!$C$21, $C$9, 100%, $E$9)</f>
        <v>21.2255</v>
      </c>
      <c r="D685" s="10">
        <f>CHOOSE(CONTROL!$C$42, 21.2757, 21.2757) * CHOOSE(CONTROL!$C$21, $C$9, 100%, $E$9)</f>
        <v>21.275700000000001</v>
      </c>
      <c r="E685" s="10">
        <f>CHOOSE(CONTROL!$C$42, 21.3095, 21.3095) * CHOOSE(CONTROL!$C$21, $C$9, 100%, $E$9)</f>
        <v>21.3095</v>
      </c>
      <c r="F685" s="10">
        <f>CHOOSE(CONTROL!$C$42, 21.1859, 21.1859)*CHOOSE(CONTROL!$C$21, $C$9, 100%, $E$9)</f>
        <v>21.1859</v>
      </c>
      <c r="G685" s="10">
        <f>CHOOSE(CONTROL!$C$42, 21.2035, 21.2035)*CHOOSE(CONTROL!$C$21, $C$9, 100%, $E$9)</f>
        <v>21.203499999999998</v>
      </c>
      <c r="H685" s="10">
        <f>CHOOSE(CONTROL!$C$42, 21.2987, 21.2987) * CHOOSE(CONTROL!$C$21, $C$9, 100%, $E$9)</f>
        <v>21.2987</v>
      </c>
      <c r="I685" s="10">
        <f>CHOOSE(CONTROL!$C$42, 21.1944, 21.1944)* CHOOSE(CONTROL!$C$21, $C$9, 100%, $E$9)</f>
        <v>21.194400000000002</v>
      </c>
      <c r="J685" s="10">
        <f>CHOOSE(CONTROL!$C$42, 21.1789, 21.1789)* CHOOSE(CONTROL!$C$21, $C$9, 100%, $E$9)</f>
        <v>21.178899999999999</v>
      </c>
      <c r="K685" s="54">
        <f>CHOOSE(CONTROL!$C$42, 21.1906, 21.1906) * CHOOSE(CONTROL!$C$21, $C$9, 100%, $E$9)</f>
        <v>21.1906</v>
      </c>
      <c r="L685" s="10">
        <f>CHOOSE(CONTROL!$C$42, 21.8857, 21.8857) * CHOOSE(CONTROL!$C$21, $C$9, 100%, $E$9)</f>
        <v>21.8857</v>
      </c>
      <c r="M685" s="10">
        <f>CHOOSE(CONTROL!$C$42, 20.979, 20.979) * CHOOSE(CONTROL!$C$21, $C$9, 100%, $E$9)</f>
        <v>20.978999999999999</v>
      </c>
      <c r="N685" s="10">
        <f>CHOOSE(CONTROL!$C$42, 20.9964, 20.9964) * CHOOSE(CONTROL!$C$21, $C$9, 100%, $E$9)</f>
        <v>20.996400000000001</v>
      </c>
      <c r="O685" s="10">
        <f>CHOOSE(CONTROL!$C$42, 21.0976, 21.0976) * CHOOSE(CONTROL!$C$21, $C$9, 100%, $E$9)</f>
        <v>21.0976</v>
      </c>
      <c r="P685" s="10">
        <f>CHOOSE(CONTROL!$C$42, 20.9944, 20.9944) * CHOOSE(CONTROL!$C$21, $C$9, 100%, $E$9)</f>
        <v>20.994399999999999</v>
      </c>
      <c r="Q685" s="10">
        <f>CHOOSE(CONTROL!$C$42, 21.6929, 21.6929) * CHOOSE(CONTROL!$C$21, $C$9, 100%, $E$9)</f>
        <v>21.692900000000002</v>
      </c>
      <c r="R685" s="10">
        <f>CHOOSE(CONTROL!$C$42, 22.3341, 22.3341) * CHOOSE(CONTROL!$C$21, $C$9, 100%, $E$9)</f>
        <v>22.334099999999999</v>
      </c>
      <c r="S685" s="10">
        <f>CHOOSE(CONTROL!$C$42, 20.6051, 20.6051) * CHOOSE(CONTROL!$C$21, $C$9, 100%, $E$9)</f>
        <v>20.6051</v>
      </c>
      <c r="T685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85" s="58">
        <f>(1000*CHOOSE(CONTROL!$C$42, 695, 695)*CHOOSE(CONTROL!$C$42, 0.5599, 0.5599)*CHOOSE(CONTROL!$C$42, 31, 31))/1000000</f>
        <v>12.063045499999998</v>
      </c>
      <c r="V685" s="58">
        <f>(1000*CHOOSE(CONTROL!$C$42, 500, 500)*CHOOSE(CONTROL!$C$42, 0.275, 0.275)*CHOOSE(CONTROL!$C$42, 31, 31))/1000000</f>
        <v>4.2625000000000002</v>
      </c>
      <c r="W685" s="58">
        <f>(1000*CHOOSE(CONTROL!$C$42, 0.1146, 0.1146)*CHOOSE(CONTROL!$C$42, 121.5, 121.5)*CHOOSE(CONTROL!$C$42, 31, 31))/1000000</f>
        <v>0.43164089999999994</v>
      </c>
      <c r="X685" s="58">
        <f>(31*0.1790888*100000/1000000)+(31*0.2374*100000/1000000)</f>
        <v>1.2911152800000001</v>
      </c>
      <c r="Y685" s="58"/>
      <c r="Z685" s="10"/>
      <c r="AA685" s="57"/>
      <c r="AB685" s="51">
        <f>(B685*122.58+C685*297.941+D685*89.177+E685*40.302+F685*40+G685*160+H685*0+I685*100+J685*300)/(122.58+297.941+89.177+40.302+0+40+160+100+300)</f>
        <v>21.212504481217394</v>
      </c>
      <c r="AC685" s="27">
        <f>(M685*'RAP TEMPLATE-GAS AVAILABILITY'!O684+N685*'RAP TEMPLATE-GAS AVAILABILITY'!P684+O685*'RAP TEMPLATE-GAS AVAILABILITY'!Q684+P685*'RAP TEMPLATE-GAS AVAILABILITY'!R684)/('RAP TEMPLATE-GAS AVAILABILITY'!O684+'RAP TEMPLATE-GAS AVAILABILITY'!P684+'RAP TEMPLATE-GAS AVAILABILITY'!Q684+'RAP TEMPLATE-GAS AVAILABILITY'!R684)</f>
        <v>21.035971223021583</v>
      </c>
    </row>
    <row r="686" spans="1:29" ht="15.75" x14ac:dyDescent="0.25">
      <c r="A686" s="13">
        <v>62152</v>
      </c>
      <c r="B686" s="10">
        <f>CHOOSE(CONTROL!$C$42, 21.5982, 21.5982) * CHOOSE(CONTROL!$C$21, $C$9, 100%, $E$9)</f>
        <v>21.598199999999999</v>
      </c>
      <c r="C686" s="10">
        <f>CHOOSE(CONTROL!$C$42, 21.6032, 21.6032) * CHOOSE(CONTROL!$C$21, $C$9, 100%, $E$9)</f>
        <v>21.603200000000001</v>
      </c>
      <c r="D686" s="10">
        <f>CHOOSE(CONTROL!$C$42, 21.7203, 21.7203) * CHOOSE(CONTROL!$C$21, $C$9, 100%, $E$9)</f>
        <v>21.720300000000002</v>
      </c>
      <c r="E686" s="10">
        <f>CHOOSE(CONTROL!$C$42, 21.7541, 21.7541) * CHOOSE(CONTROL!$C$21, $C$9, 100%, $E$9)</f>
        <v>21.754100000000001</v>
      </c>
      <c r="F686" s="10">
        <f>CHOOSE(CONTROL!$C$42, 21.6758, 21.6758)*CHOOSE(CONTROL!$C$21, $C$9, 100%, $E$9)</f>
        <v>21.675799999999999</v>
      </c>
      <c r="G686" s="10">
        <f>CHOOSE(CONTROL!$C$42, 21.6977, 21.6977)*CHOOSE(CONTROL!$C$21, $C$9, 100%, $E$9)</f>
        <v>21.697700000000001</v>
      </c>
      <c r="H686" s="10">
        <f>CHOOSE(CONTROL!$C$42, 21.7433, 21.7433) * CHOOSE(CONTROL!$C$21, $C$9, 100%, $E$9)</f>
        <v>21.743300000000001</v>
      </c>
      <c r="I686" s="10">
        <f>CHOOSE(CONTROL!$C$42, 21.6339, 21.6339)* CHOOSE(CONTROL!$C$21, $C$9, 100%, $E$9)</f>
        <v>21.633900000000001</v>
      </c>
      <c r="J686" s="10">
        <f>CHOOSE(CONTROL!$C$42, 21.6688, 21.6688)* CHOOSE(CONTROL!$C$21, $C$9, 100%, $E$9)</f>
        <v>21.668800000000001</v>
      </c>
      <c r="K686" s="54">
        <f>CHOOSE(CONTROL!$C$42, 21.63, 21.63) * CHOOSE(CONTROL!$C$21, $C$9, 100%, $E$9)</f>
        <v>21.63</v>
      </c>
      <c r="L686" s="10">
        <f>CHOOSE(CONTROL!$C$42, 22.3303, 22.3303) * CHOOSE(CONTROL!$C$21, $C$9, 100%, $E$9)</f>
        <v>22.330300000000001</v>
      </c>
      <c r="M686" s="10">
        <f>CHOOSE(CONTROL!$C$42, 21.464, 21.464) * CHOOSE(CONTROL!$C$21, $C$9, 100%, $E$9)</f>
        <v>21.463999999999999</v>
      </c>
      <c r="N686" s="10">
        <f>CHOOSE(CONTROL!$C$42, 21.4857, 21.4857) * CHOOSE(CONTROL!$C$21, $C$9, 100%, $E$9)</f>
        <v>21.485700000000001</v>
      </c>
      <c r="O686" s="10">
        <f>CHOOSE(CONTROL!$C$42, 21.5377, 21.5377) * CHOOSE(CONTROL!$C$21, $C$9, 100%, $E$9)</f>
        <v>21.537700000000001</v>
      </c>
      <c r="P686" s="10">
        <f>CHOOSE(CONTROL!$C$42, 21.4295, 21.4295) * CHOOSE(CONTROL!$C$21, $C$9, 100%, $E$9)</f>
        <v>21.429500000000001</v>
      </c>
      <c r="Q686" s="10">
        <f>CHOOSE(CONTROL!$C$42, 22.133, 22.133) * CHOOSE(CONTROL!$C$21, $C$9, 100%, $E$9)</f>
        <v>22.132999999999999</v>
      </c>
      <c r="R686" s="10">
        <f>CHOOSE(CONTROL!$C$42, 22.7753, 22.7753) * CHOOSE(CONTROL!$C$21, $C$9, 100%, $E$9)</f>
        <v>22.775300000000001</v>
      </c>
      <c r="S686" s="10">
        <f>CHOOSE(CONTROL!$C$42, 20.9719, 20.9719) * CHOOSE(CONTROL!$C$21, $C$9, 100%, $E$9)</f>
        <v>20.971900000000002</v>
      </c>
      <c r="T686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686" s="58">
        <f>(1000*CHOOSE(CONTROL!$C$42, 695, 695)*CHOOSE(CONTROL!$C$42, 0.5599, 0.5599)*CHOOSE(CONTROL!$C$42, 28, 28))/1000000</f>
        <v>10.895653999999999</v>
      </c>
      <c r="V686" s="58">
        <f>(1000*CHOOSE(CONTROL!$C$42, 500, 500)*CHOOSE(CONTROL!$C$42, 0.275, 0.275)*CHOOSE(CONTROL!$C$42, 28, 28))/1000000</f>
        <v>3.85</v>
      </c>
      <c r="W686" s="58">
        <f>(1000*CHOOSE(CONTROL!$C$42, 0.1146, 0.1146)*CHOOSE(CONTROL!$C$42, 121.5, 121.5)*CHOOSE(CONTROL!$C$42, 28, 28))/1000000</f>
        <v>0.38986920000000003</v>
      </c>
      <c r="X686" s="58">
        <f>(28*0.1790888*100000/1000000)+(28*0.2374*100000/1000000)</f>
        <v>1.16616864</v>
      </c>
      <c r="Y686" s="58"/>
      <c r="Z686" s="10"/>
      <c r="AA686" s="57"/>
      <c r="AB686" s="51">
        <f>(B686*122.58+C686*297.941+D686*89.177+E686*40.302+F686*40+G686*160+H686*0+I686*100+J686*300)/(122.58+297.941+89.177+40.302+0+40+160+100+300)</f>
        <v>21.652491563913042</v>
      </c>
      <c r="AC686" s="27">
        <f>(M686*'RAP TEMPLATE-GAS AVAILABILITY'!O685+N686*'RAP TEMPLATE-GAS AVAILABILITY'!P685+O686*'RAP TEMPLATE-GAS AVAILABILITY'!Q685+P686*'RAP TEMPLATE-GAS AVAILABILITY'!R685)/('RAP TEMPLATE-GAS AVAILABILITY'!O685+'RAP TEMPLATE-GAS AVAILABILITY'!P685+'RAP TEMPLATE-GAS AVAILABILITY'!Q685+'RAP TEMPLATE-GAS AVAILABILITY'!R685)</f>
        <v>21.493688489208633</v>
      </c>
    </row>
    <row r="687" spans="1:29" ht="15.75" x14ac:dyDescent="0.25">
      <c r="A687" s="13">
        <v>62183</v>
      </c>
      <c r="B687" s="10">
        <f>CHOOSE(CONTROL!$C$42, 20.9851, 20.9851) * CHOOSE(CONTROL!$C$21, $C$9, 100%, $E$9)</f>
        <v>20.985099999999999</v>
      </c>
      <c r="C687" s="10">
        <f>CHOOSE(CONTROL!$C$42, 20.9901, 20.9901) * CHOOSE(CONTROL!$C$21, $C$9, 100%, $E$9)</f>
        <v>20.990100000000002</v>
      </c>
      <c r="D687" s="10">
        <f>CHOOSE(CONTROL!$C$42, 21.0815, 21.0815) * CHOOSE(CONTROL!$C$21, $C$9, 100%, $E$9)</f>
        <v>21.081499999999998</v>
      </c>
      <c r="E687" s="10">
        <f>CHOOSE(CONTROL!$C$42, 21.1153, 21.1153) * CHOOSE(CONTROL!$C$21, $C$9, 100%, $E$9)</f>
        <v>21.115300000000001</v>
      </c>
      <c r="F687" s="10">
        <f>CHOOSE(CONTROL!$C$42, 21.015, 21.015)*CHOOSE(CONTROL!$C$21, $C$9, 100%, $E$9)</f>
        <v>21.015000000000001</v>
      </c>
      <c r="G687" s="10">
        <f>CHOOSE(CONTROL!$C$42, 21.0345, 21.0345)*CHOOSE(CONTROL!$C$21, $C$9, 100%, $E$9)</f>
        <v>21.034500000000001</v>
      </c>
      <c r="H687" s="10">
        <f>CHOOSE(CONTROL!$C$42, 21.1045, 21.1045) * CHOOSE(CONTROL!$C$21, $C$9, 100%, $E$9)</f>
        <v>21.104500000000002</v>
      </c>
      <c r="I687" s="10">
        <f>CHOOSE(CONTROL!$C$42, 21.008, 21.008)* CHOOSE(CONTROL!$C$21, $C$9, 100%, $E$9)</f>
        <v>21.007999999999999</v>
      </c>
      <c r="J687" s="10">
        <f>CHOOSE(CONTROL!$C$42, 21.008, 21.008)* CHOOSE(CONTROL!$C$21, $C$9, 100%, $E$9)</f>
        <v>21.007999999999999</v>
      </c>
      <c r="K687" s="54">
        <f>CHOOSE(CONTROL!$C$42, 21.0041, 21.0041) * CHOOSE(CONTROL!$C$21, $C$9, 100%, $E$9)</f>
        <v>21.004100000000001</v>
      </c>
      <c r="L687" s="10">
        <f>CHOOSE(CONTROL!$C$42, 21.6915, 21.6915) * CHOOSE(CONTROL!$C$21, $C$9, 100%, $E$9)</f>
        <v>21.691500000000001</v>
      </c>
      <c r="M687" s="10">
        <f>CHOOSE(CONTROL!$C$42, 20.8098, 20.8098) * CHOOSE(CONTROL!$C$21, $C$9, 100%, $E$9)</f>
        <v>20.809799999999999</v>
      </c>
      <c r="N687" s="10">
        <f>CHOOSE(CONTROL!$C$42, 20.8291, 20.8291) * CHOOSE(CONTROL!$C$21, $C$9, 100%, $E$9)</f>
        <v>20.8291</v>
      </c>
      <c r="O687" s="10">
        <f>CHOOSE(CONTROL!$C$42, 20.9053, 20.9053) * CHOOSE(CONTROL!$C$21, $C$9, 100%, $E$9)</f>
        <v>20.9053</v>
      </c>
      <c r="P687" s="10">
        <f>CHOOSE(CONTROL!$C$42, 20.8098, 20.8098) * CHOOSE(CONTROL!$C$21, $C$9, 100%, $E$9)</f>
        <v>20.809799999999999</v>
      </c>
      <c r="Q687" s="10">
        <f>CHOOSE(CONTROL!$C$42, 21.5006, 21.5006) * CHOOSE(CONTROL!$C$21, $C$9, 100%, $E$9)</f>
        <v>21.500599999999999</v>
      </c>
      <c r="R687" s="10">
        <f>CHOOSE(CONTROL!$C$42, 22.1414, 22.1414) * CHOOSE(CONTROL!$C$21, $C$9, 100%, $E$9)</f>
        <v>22.141400000000001</v>
      </c>
      <c r="S687" s="10">
        <f>CHOOSE(CONTROL!$C$42, 20.3765, 20.3765) * CHOOSE(CONTROL!$C$21, $C$9, 100%, $E$9)</f>
        <v>20.3765</v>
      </c>
      <c r="T687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87" s="58">
        <f>(1000*CHOOSE(CONTROL!$C$42, 695, 695)*CHOOSE(CONTROL!$C$42, 0.5599, 0.5599)*CHOOSE(CONTROL!$C$42, 31, 31))/1000000</f>
        <v>12.063045499999998</v>
      </c>
      <c r="V687" s="58">
        <f>(1000*CHOOSE(CONTROL!$C$42, 500, 500)*CHOOSE(CONTROL!$C$42, 0.275, 0.275)*CHOOSE(CONTROL!$C$42, 31, 31))/1000000</f>
        <v>4.2625000000000002</v>
      </c>
      <c r="W687" s="58">
        <f>(1000*CHOOSE(CONTROL!$C$42, 0.1146, 0.1146)*CHOOSE(CONTROL!$C$42, 121.5, 121.5)*CHOOSE(CONTROL!$C$42, 31, 31))/1000000</f>
        <v>0.43164089999999994</v>
      </c>
      <c r="X687" s="58">
        <f>(31*0.1790888*100000/1000000)+(31*0.2374*100000/1000000)</f>
        <v>1.2911152800000001</v>
      </c>
      <c r="Y687" s="58"/>
      <c r="Z687" s="10"/>
      <c r="AA687" s="57"/>
      <c r="AB687" s="51">
        <f>(B687*122.58+C687*297.941+D687*89.177+E687*40.302+F687*40+G687*160+H687*0+I687*100+J687*300)/(122.58+297.941+89.177+40.302+0+40+160+100+300)</f>
        <v>21.014311902782609</v>
      </c>
      <c r="AC687" s="27">
        <f>(M687*'RAP TEMPLATE-GAS AVAILABILITY'!O686+N687*'RAP TEMPLATE-GAS AVAILABILITY'!P686+O687*'RAP TEMPLATE-GAS AVAILABILITY'!Q686+P687*'RAP TEMPLATE-GAS AVAILABILITY'!R686)/('RAP TEMPLATE-GAS AVAILABILITY'!O686+'RAP TEMPLATE-GAS AVAILABILITY'!P686+'RAP TEMPLATE-GAS AVAILABILITY'!Q686+'RAP TEMPLATE-GAS AVAILABILITY'!R686)</f>
        <v>20.854194964028775</v>
      </c>
    </row>
    <row r="688" spans="1:29" ht="15.75" x14ac:dyDescent="0.25">
      <c r="A688" s="13">
        <v>62213</v>
      </c>
      <c r="B688" s="10">
        <f>CHOOSE(CONTROL!$C$42, 20.9231, 20.9231) * CHOOSE(CONTROL!$C$21, $C$9, 100%, $E$9)</f>
        <v>20.923100000000002</v>
      </c>
      <c r="C688" s="10">
        <f>CHOOSE(CONTROL!$C$42, 20.9275, 20.9275) * CHOOSE(CONTROL!$C$21, $C$9, 100%, $E$9)</f>
        <v>20.927499999999998</v>
      </c>
      <c r="D688" s="10">
        <f>CHOOSE(CONTROL!$C$42, 21.1092, 21.1092) * CHOOSE(CONTROL!$C$21, $C$9, 100%, $E$9)</f>
        <v>21.109200000000001</v>
      </c>
      <c r="E688" s="10">
        <f>CHOOSE(CONTROL!$C$42, 21.1409, 21.1409) * CHOOSE(CONTROL!$C$21, $C$9, 100%, $E$9)</f>
        <v>21.140899999999998</v>
      </c>
      <c r="F688" s="10">
        <f>CHOOSE(CONTROL!$C$42, 20.9114, 20.9114)*CHOOSE(CONTROL!$C$21, $C$9, 100%, $E$9)</f>
        <v>20.9114</v>
      </c>
      <c r="G688" s="10">
        <f>CHOOSE(CONTROL!$C$42, 20.9294, 20.9294)*CHOOSE(CONTROL!$C$21, $C$9, 100%, $E$9)</f>
        <v>20.929400000000001</v>
      </c>
      <c r="H688" s="10">
        <f>CHOOSE(CONTROL!$C$42, 21.1307, 21.1307) * CHOOSE(CONTROL!$C$21, $C$9, 100%, $E$9)</f>
        <v>21.130700000000001</v>
      </c>
      <c r="I688" s="10">
        <f>CHOOSE(CONTROL!$C$42, 20.9014, 20.9014)* CHOOSE(CONTROL!$C$21, $C$9, 100%, $E$9)</f>
        <v>20.901399999999999</v>
      </c>
      <c r="J688" s="10">
        <f>CHOOSE(CONTROL!$C$42, 20.9044, 20.9044)* CHOOSE(CONTROL!$C$21, $C$9, 100%, $E$9)</f>
        <v>20.904399999999999</v>
      </c>
      <c r="K688" s="54">
        <f>CHOOSE(CONTROL!$C$42, 20.8975, 20.8975) * CHOOSE(CONTROL!$C$21, $C$9, 100%, $E$9)</f>
        <v>20.897500000000001</v>
      </c>
      <c r="L688" s="10">
        <f>CHOOSE(CONTROL!$C$42, 21.7177, 21.7177) * CHOOSE(CONTROL!$C$21, $C$9, 100%, $E$9)</f>
        <v>21.717700000000001</v>
      </c>
      <c r="M688" s="10">
        <f>CHOOSE(CONTROL!$C$42, 20.7073, 20.7073) * CHOOSE(CONTROL!$C$21, $C$9, 100%, $E$9)</f>
        <v>20.7073</v>
      </c>
      <c r="N688" s="10">
        <f>CHOOSE(CONTROL!$C$42, 20.7251, 20.7251) * CHOOSE(CONTROL!$C$21, $C$9, 100%, $E$9)</f>
        <v>20.725100000000001</v>
      </c>
      <c r="O688" s="10">
        <f>CHOOSE(CONTROL!$C$42, 20.9313, 20.9313) * CHOOSE(CONTROL!$C$21, $C$9, 100%, $E$9)</f>
        <v>20.9313</v>
      </c>
      <c r="P688" s="10">
        <f>CHOOSE(CONTROL!$C$42, 20.7043, 20.7043) * CHOOSE(CONTROL!$C$21, $C$9, 100%, $E$9)</f>
        <v>20.7043</v>
      </c>
      <c r="Q688" s="10">
        <f>CHOOSE(CONTROL!$C$42, 21.5266, 21.5266) * CHOOSE(CONTROL!$C$21, $C$9, 100%, $E$9)</f>
        <v>21.526599999999998</v>
      </c>
      <c r="R688" s="10">
        <f>CHOOSE(CONTROL!$C$42, 22.1674, 22.1674) * CHOOSE(CONTROL!$C$21, $C$9, 100%, $E$9)</f>
        <v>22.167400000000001</v>
      </c>
      <c r="S688" s="10">
        <f>CHOOSE(CONTROL!$C$42, 20.3155, 20.3155) * CHOOSE(CONTROL!$C$21, $C$9, 100%, $E$9)</f>
        <v>20.3155</v>
      </c>
      <c r="T688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88" s="58">
        <f>(1000*CHOOSE(CONTROL!$C$42, 695, 695)*CHOOSE(CONTROL!$C$42, 0.5599, 0.5599)*CHOOSE(CONTROL!$C$42, 30, 30))/1000000</f>
        <v>11.673914999999997</v>
      </c>
      <c r="V688" s="58">
        <f>(1000*CHOOSE(CONTROL!$C$42, 500, 500)*CHOOSE(CONTROL!$C$42, 0.275, 0.275)*CHOOSE(CONTROL!$C$42, 30, 30))/1000000</f>
        <v>4.125</v>
      </c>
      <c r="W688" s="58">
        <f>(1000*CHOOSE(CONTROL!$C$42, 0.1146, 0.1146)*CHOOSE(CONTROL!$C$42, 121.5, 121.5)*CHOOSE(CONTROL!$C$42, 30, 30))/1000000</f>
        <v>0.417717</v>
      </c>
      <c r="X688" s="58">
        <f>(30*0.1790888*245000/1000000)+(30*0.2374*100000/1000000)</f>
        <v>2.0285026799999999</v>
      </c>
      <c r="Y688" s="58"/>
      <c r="Z688" s="10"/>
      <c r="AA688" s="57"/>
      <c r="AB688" s="51">
        <f>(B688*141.293+C688*267.993+D688*115.016+E688*89.698+F688*40+G688*185+H688*0+I688*100+J688*300)/(141.293+267.993+115.016+89.698+0+40+185+100+300)</f>
        <v>20.951378749959645</v>
      </c>
      <c r="AC688" s="27">
        <f>(M688*'RAP TEMPLATE-GAS AVAILABILITY'!O687+N688*'RAP TEMPLATE-GAS AVAILABILITY'!P687+O688*'RAP TEMPLATE-GAS AVAILABILITY'!Q687+P688*'RAP TEMPLATE-GAS AVAILABILITY'!R687)/('RAP TEMPLATE-GAS AVAILABILITY'!O687+'RAP TEMPLATE-GAS AVAILABILITY'!P687+'RAP TEMPLATE-GAS AVAILABILITY'!Q687+'RAP TEMPLATE-GAS AVAILABILITY'!R687)</f>
        <v>20.80941798561151</v>
      </c>
    </row>
    <row r="689" spans="1:29" ht="15.75" x14ac:dyDescent="0.25">
      <c r="A689" s="13">
        <v>62244</v>
      </c>
      <c r="B689" s="10">
        <f>CHOOSE(CONTROL!$C$42, 21.1095, 21.1095) * CHOOSE(CONTROL!$C$21, $C$9, 100%, $E$9)</f>
        <v>21.109500000000001</v>
      </c>
      <c r="C689" s="10">
        <f>CHOOSE(CONTROL!$C$42, 21.1174, 21.1174) * CHOOSE(CONTROL!$C$21, $C$9, 100%, $E$9)</f>
        <v>21.1174</v>
      </c>
      <c r="D689" s="10">
        <f>CHOOSE(CONTROL!$C$42, 21.296, 21.296) * CHOOSE(CONTROL!$C$21, $C$9, 100%, $E$9)</f>
        <v>21.295999999999999</v>
      </c>
      <c r="E689" s="10">
        <f>CHOOSE(CONTROL!$C$42, 21.3271, 21.3271) * CHOOSE(CONTROL!$C$21, $C$9, 100%, $E$9)</f>
        <v>21.327100000000002</v>
      </c>
      <c r="F689" s="10">
        <f>CHOOSE(CONTROL!$C$42, 21.0957, 21.0957)*CHOOSE(CONTROL!$C$21, $C$9, 100%, $E$9)</f>
        <v>21.095700000000001</v>
      </c>
      <c r="G689" s="10">
        <f>CHOOSE(CONTROL!$C$42, 21.1139, 21.1139)*CHOOSE(CONTROL!$C$21, $C$9, 100%, $E$9)</f>
        <v>21.113900000000001</v>
      </c>
      <c r="H689" s="10">
        <f>CHOOSE(CONTROL!$C$42, 21.3157, 21.3157) * CHOOSE(CONTROL!$C$21, $C$9, 100%, $E$9)</f>
        <v>21.3157</v>
      </c>
      <c r="I689" s="10">
        <f>CHOOSE(CONTROL!$C$42, 21.0864, 21.0864)* CHOOSE(CONTROL!$C$21, $C$9, 100%, $E$9)</f>
        <v>21.086400000000001</v>
      </c>
      <c r="J689" s="10">
        <f>CHOOSE(CONTROL!$C$42, 21.0887, 21.0887)* CHOOSE(CONTROL!$C$21, $C$9, 100%, $E$9)</f>
        <v>21.088699999999999</v>
      </c>
      <c r="K689" s="54">
        <f>CHOOSE(CONTROL!$C$42, 21.0825, 21.0825) * CHOOSE(CONTROL!$C$21, $C$9, 100%, $E$9)</f>
        <v>21.0825</v>
      </c>
      <c r="L689" s="10">
        <f>CHOOSE(CONTROL!$C$42, 21.9027, 21.9027) * CHOOSE(CONTROL!$C$21, $C$9, 100%, $E$9)</f>
        <v>21.902699999999999</v>
      </c>
      <c r="M689" s="10">
        <f>CHOOSE(CONTROL!$C$42, 20.8897, 20.8897) * CHOOSE(CONTROL!$C$21, $C$9, 100%, $E$9)</f>
        <v>20.889700000000001</v>
      </c>
      <c r="N689" s="10">
        <f>CHOOSE(CONTROL!$C$42, 20.9077, 20.9077) * CHOOSE(CONTROL!$C$21, $C$9, 100%, $E$9)</f>
        <v>20.907699999999998</v>
      </c>
      <c r="O689" s="10">
        <f>CHOOSE(CONTROL!$C$42, 21.1145, 21.1145) * CHOOSE(CONTROL!$C$21, $C$9, 100%, $E$9)</f>
        <v>21.1145</v>
      </c>
      <c r="P689" s="10">
        <f>CHOOSE(CONTROL!$C$42, 20.8875, 20.8875) * CHOOSE(CONTROL!$C$21, $C$9, 100%, $E$9)</f>
        <v>20.887499999999999</v>
      </c>
      <c r="Q689" s="10">
        <f>CHOOSE(CONTROL!$C$42, 21.7098, 21.7098) * CHOOSE(CONTROL!$C$21, $C$9, 100%, $E$9)</f>
        <v>21.709800000000001</v>
      </c>
      <c r="R689" s="10">
        <f>CHOOSE(CONTROL!$C$42, 22.351, 22.351) * CHOOSE(CONTROL!$C$21, $C$9, 100%, $E$9)</f>
        <v>22.350999999999999</v>
      </c>
      <c r="S689" s="10">
        <f>CHOOSE(CONTROL!$C$42, 20.4952, 20.4952) * CHOOSE(CONTROL!$C$21, $C$9, 100%, $E$9)</f>
        <v>20.495200000000001</v>
      </c>
      <c r="T689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89" s="58">
        <f>(1000*CHOOSE(CONTROL!$C$42, 695, 695)*CHOOSE(CONTROL!$C$42, 0.5599, 0.5599)*CHOOSE(CONTROL!$C$42, 31, 31))/1000000</f>
        <v>12.063045499999998</v>
      </c>
      <c r="V689" s="58">
        <f>(1000*CHOOSE(CONTROL!$C$42, 500, 500)*CHOOSE(CONTROL!$C$42, 0.275, 0.275)*CHOOSE(CONTROL!$C$42, 31, 31))/1000000</f>
        <v>4.2625000000000002</v>
      </c>
      <c r="W689" s="58">
        <f>(1000*CHOOSE(CONTROL!$C$42, 0.1146, 0.1146)*CHOOSE(CONTROL!$C$42, 121.5, 121.5)*CHOOSE(CONTROL!$C$42, 31, 31))/1000000</f>
        <v>0.43164089999999994</v>
      </c>
      <c r="X689" s="58">
        <f>(31*0.1790888*245000/1000000)+(31*0.2374*100000/1000000)</f>
        <v>2.0961194359999999</v>
      </c>
      <c r="Y689" s="58"/>
      <c r="Z689" s="10"/>
      <c r="AA689" s="57"/>
      <c r="AB689" s="51">
        <f>(B689*194.205+C689*267.466+D689*133.845+E689*53.484+F689*40+G689*185+H689*0+I689*100+J689*300)/(194.205+267.466+133.845+53.484+0+40+185+100+300)</f>
        <v>21.133381626609108</v>
      </c>
      <c r="AC689" s="27">
        <f>(M689*'RAP TEMPLATE-GAS AVAILABILITY'!O688+N689*'RAP TEMPLATE-GAS AVAILABILITY'!P688+O689*'RAP TEMPLATE-GAS AVAILABILITY'!Q688+P689*'RAP TEMPLATE-GAS AVAILABILITY'!R688)/('RAP TEMPLATE-GAS AVAILABILITY'!O688+'RAP TEMPLATE-GAS AVAILABILITY'!P688+'RAP TEMPLATE-GAS AVAILABILITY'!Q688+'RAP TEMPLATE-GAS AVAILABILITY'!R688)</f>
        <v>20.992307194244606</v>
      </c>
    </row>
    <row r="690" spans="1:29" ht="15.75" x14ac:dyDescent="0.25">
      <c r="A690" s="13">
        <v>62274</v>
      </c>
      <c r="B690" s="10">
        <f>CHOOSE(CONTROL!$C$42, 21.7082, 21.7082) * CHOOSE(CONTROL!$C$21, $C$9, 100%, $E$9)</f>
        <v>21.708200000000001</v>
      </c>
      <c r="C690" s="10">
        <f>CHOOSE(CONTROL!$C$42, 21.7161, 21.7161) * CHOOSE(CONTROL!$C$21, $C$9, 100%, $E$9)</f>
        <v>21.716100000000001</v>
      </c>
      <c r="D690" s="10">
        <f>CHOOSE(CONTROL!$C$42, 21.8946, 21.8946) * CHOOSE(CONTROL!$C$21, $C$9, 100%, $E$9)</f>
        <v>21.894600000000001</v>
      </c>
      <c r="E690" s="10">
        <f>CHOOSE(CONTROL!$C$42, 21.9258, 21.9258) * CHOOSE(CONTROL!$C$21, $C$9, 100%, $E$9)</f>
        <v>21.925799999999999</v>
      </c>
      <c r="F690" s="10">
        <f>CHOOSE(CONTROL!$C$42, 21.6946, 21.6946)*CHOOSE(CONTROL!$C$21, $C$9, 100%, $E$9)</f>
        <v>21.694600000000001</v>
      </c>
      <c r="G690" s="10">
        <f>CHOOSE(CONTROL!$C$42, 21.7128, 21.7128)*CHOOSE(CONTROL!$C$21, $C$9, 100%, $E$9)</f>
        <v>21.712800000000001</v>
      </c>
      <c r="H690" s="10">
        <f>CHOOSE(CONTROL!$C$42, 21.9144, 21.9144) * CHOOSE(CONTROL!$C$21, $C$9, 100%, $E$9)</f>
        <v>21.914400000000001</v>
      </c>
      <c r="I690" s="10">
        <f>CHOOSE(CONTROL!$C$42, 21.685, 21.685)* CHOOSE(CONTROL!$C$21, $C$9, 100%, $E$9)</f>
        <v>21.684999999999999</v>
      </c>
      <c r="J690" s="10">
        <f>CHOOSE(CONTROL!$C$42, 21.6876, 21.6876)* CHOOSE(CONTROL!$C$21, $C$9, 100%, $E$9)</f>
        <v>21.6876</v>
      </c>
      <c r="K690" s="54">
        <f>CHOOSE(CONTROL!$C$42, 21.6811, 21.6811) * CHOOSE(CONTROL!$C$21, $C$9, 100%, $E$9)</f>
        <v>21.681100000000001</v>
      </c>
      <c r="L690" s="10">
        <f>CHOOSE(CONTROL!$C$42, 22.5014, 22.5014) * CHOOSE(CONTROL!$C$21, $C$9, 100%, $E$9)</f>
        <v>22.5014</v>
      </c>
      <c r="M690" s="10">
        <f>CHOOSE(CONTROL!$C$42, 21.4826, 21.4826) * CHOOSE(CONTROL!$C$21, $C$9, 100%, $E$9)</f>
        <v>21.482600000000001</v>
      </c>
      <c r="N690" s="10">
        <f>CHOOSE(CONTROL!$C$42, 21.5006, 21.5006) * CHOOSE(CONTROL!$C$21, $C$9, 100%, $E$9)</f>
        <v>21.500599999999999</v>
      </c>
      <c r="O690" s="10">
        <f>CHOOSE(CONTROL!$C$42, 21.7071, 21.7071) * CHOOSE(CONTROL!$C$21, $C$9, 100%, $E$9)</f>
        <v>21.707100000000001</v>
      </c>
      <c r="P690" s="10">
        <f>CHOOSE(CONTROL!$C$42, 21.4801, 21.4801) * CHOOSE(CONTROL!$C$21, $C$9, 100%, $E$9)</f>
        <v>21.4801</v>
      </c>
      <c r="Q690" s="10">
        <f>CHOOSE(CONTROL!$C$42, 22.3024, 22.3024) * CHOOSE(CONTROL!$C$21, $C$9, 100%, $E$9)</f>
        <v>22.302399999999999</v>
      </c>
      <c r="R690" s="10">
        <f>CHOOSE(CONTROL!$C$42, 22.9451, 22.9451) * CHOOSE(CONTROL!$C$21, $C$9, 100%, $E$9)</f>
        <v>22.9451</v>
      </c>
      <c r="S690" s="10">
        <f>CHOOSE(CONTROL!$C$42, 21.0766, 21.0766) * CHOOSE(CONTROL!$C$21, $C$9, 100%, $E$9)</f>
        <v>21.076599999999999</v>
      </c>
      <c r="T690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90" s="58">
        <f>(1000*CHOOSE(CONTROL!$C$42, 695, 695)*CHOOSE(CONTROL!$C$42, 0.5599, 0.5599)*CHOOSE(CONTROL!$C$42, 30, 30))/1000000</f>
        <v>11.673914999999997</v>
      </c>
      <c r="V690" s="58">
        <f>(1000*CHOOSE(CONTROL!$C$42, 500, 500)*CHOOSE(CONTROL!$C$42, 0.275, 0.275)*CHOOSE(CONTROL!$C$42, 30, 30))/1000000</f>
        <v>4.125</v>
      </c>
      <c r="W690" s="58">
        <f>(1000*CHOOSE(CONTROL!$C$42, 0.1146, 0.1146)*CHOOSE(CONTROL!$C$42, 121.5, 121.5)*CHOOSE(CONTROL!$C$42, 30, 30))/1000000</f>
        <v>0.417717</v>
      </c>
      <c r="X690" s="58">
        <f>(30*0.1790888*245000/1000000)+(30*0.2374*100000/1000000)</f>
        <v>2.0285026799999999</v>
      </c>
      <c r="Y690" s="58"/>
      <c r="Z690" s="10"/>
      <c r="AA690" s="57"/>
      <c r="AB690" s="51">
        <f>(B690*194.205+C690*267.466+D690*133.845+E690*53.484+F690*40+G690*185+H690*0+I690*100+J690*300)/(194.205+267.466+133.845+53.484+0+40+185+100+300)</f>
        <v>21.732145689010988</v>
      </c>
      <c r="AC690" s="27">
        <f>(M690*'RAP TEMPLATE-GAS AVAILABILITY'!O689+N690*'RAP TEMPLATE-GAS AVAILABILITY'!P689+O690*'RAP TEMPLATE-GAS AVAILABILITY'!Q689+P690*'RAP TEMPLATE-GAS AVAILABILITY'!R689)/('RAP TEMPLATE-GAS AVAILABILITY'!O689+'RAP TEMPLATE-GAS AVAILABILITY'!P689+'RAP TEMPLATE-GAS AVAILABILITY'!Q689+'RAP TEMPLATE-GAS AVAILABILITY'!R689)</f>
        <v>21.585028057553959</v>
      </c>
    </row>
    <row r="691" spans="1:29" ht="15.75" x14ac:dyDescent="0.25">
      <c r="A691" s="13">
        <v>62305</v>
      </c>
      <c r="B691" s="10">
        <f>CHOOSE(CONTROL!$C$42, 21.2918, 21.2918) * CHOOSE(CONTROL!$C$21, $C$9, 100%, $E$9)</f>
        <v>21.291799999999999</v>
      </c>
      <c r="C691" s="10">
        <f>CHOOSE(CONTROL!$C$42, 21.2997, 21.2997) * CHOOSE(CONTROL!$C$21, $C$9, 100%, $E$9)</f>
        <v>21.299700000000001</v>
      </c>
      <c r="D691" s="10">
        <f>CHOOSE(CONTROL!$C$42, 21.4783, 21.4783) * CHOOSE(CONTROL!$C$21, $C$9, 100%, $E$9)</f>
        <v>21.478300000000001</v>
      </c>
      <c r="E691" s="10">
        <f>CHOOSE(CONTROL!$C$42, 21.5094, 21.5094) * CHOOSE(CONTROL!$C$21, $C$9, 100%, $E$9)</f>
        <v>21.509399999999999</v>
      </c>
      <c r="F691" s="10">
        <f>CHOOSE(CONTROL!$C$42, 21.2785, 21.2785)*CHOOSE(CONTROL!$C$21, $C$9, 100%, $E$9)</f>
        <v>21.278500000000001</v>
      </c>
      <c r="G691" s="10">
        <f>CHOOSE(CONTROL!$C$42, 21.2968, 21.2968)*CHOOSE(CONTROL!$C$21, $C$9, 100%, $E$9)</f>
        <v>21.296800000000001</v>
      </c>
      <c r="H691" s="10">
        <f>CHOOSE(CONTROL!$C$42, 21.498, 21.498) * CHOOSE(CONTROL!$C$21, $C$9, 100%, $E$9)</f>
        <v>21.498000000000001</v>
      </c>
      <c r="I691" s="10">
        <f>CHOOSE(CONTROL!$C$42, 21.2687, 21.2687)* CHOOSE(CONTROL!$C$21, $C$9, 100%, $E$9)</f>
        <v>21.268699999999999</v>
      </c>
      <c r="J691" s="10">
        <f>CHOOSE(CONTROL!$C$42, 21.2715, 21.2715)* CHOOSE(CONTROL!$C$21, $C$9, 100%, $E$9)</f>
        <v>21.2715</v>
      </c>
      <c r="K691" s="54">
        <f>CHOOSE(CONTROL!$C$42, 21.2648, 21.2648) * CHOOSE(CONTROL!$C$21, $C$9, 100%, $E$9)</f>
        <v>21.264800000000001</v>
      </c>
      <c r="L691" s="10">
        <f>CHOOSE(CONTROL!$C$42, 22.085, 22.085) * CHOOSE(CONTROL!$C$21, $C$9, 100%, $E$9)</f>
        <v>22.085000000000001</v>
      </c>
      <c r="M691" s="10">
        <f>CHOOSE(CONTROL!$C$42, 21.0707, 21.0707) * CHOOSE(CONTROL!$C$21, $C$9, 100%, $E$9)</f>
        <v>21.070699999999999</v>
      </c>
      <c r="N691" s="10">
        <f>CHOOSE(CONTROL!$C$42, 21.0888, 21.0888) * CHOOSE(CONTROL!$C$21, $C$9, 100%, $E$9)</f>
        <v>21.088799999999999</v>
      </c>
      <c r="O691" s="10">
        <f>CHOOSE(CONTROL!$C$42, 21.2949, 21.2949) * CHOOSE(CONTROL!$C$21, $C$9, 100%, $E$9)</f>
        <v>21.294899999999998</v>
      </c>
      <c r="P691" s="10">
        <f>CHOOSE(CONTROL!$C$42, 21.0679, 21.0679) * CHOOSE(CONTROL!$C$21, $C$9, 100%, $E$9)</f>
        <v>21.067900000000002</v>
      </c>
      <c r="Q691" s="10">
        <f>CHOOSE(CONTROL!$C$42, 21.8902, 21.8902) * CHOOSE(CONTROL!$C$21, $C$9, 100%, $E$9)</f>
        <v>21.8902</v>
      </c>
      <c r="R691" s="10">
        <f>CHOOSE(CONTROL!$C$42, 22.5319, 22.5319) * CHOOSE(CONTROL!$C$21, $C$9, 100%, $E$9)</f>
        <v>22.5319</v>
      </c>
      <c r="S691" s="10">
        <f>CHOOSE(CONTROL!$C$42, 20.6722, 20.6722) * CHOOSE(CONTROL!$C$21, $C$9, 100%, $E$9)</f>
        <v>20.6722</v>
      </c>
      <c r="T691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91" s="58">
        <f>(1000*CHOOSE(CONTROL!$C$42, 695, 695)*CHOOSE(CONTROL!$C$42, 0.5599, 0.5599)*CHOOSE(CONTROL!$C$42, 31, 31))/1000000</f>
        <v>12.063045499999998</v>
      </c>
      <c r="V691" s="58">
        <f>(1000*CHOOSE(CONTROL!$C$42, 500, 500)*CHOOSE(CONTROL!$C$42, 0.275, 0.275)*CHOOSE(CONTROL!$C$42, 31, 31))/1000000</f>
        <v>4.2625000000000002</v>
      </c>
      <c r="W691" s="58">
        <f>(1000*CHOOSE(CONTROL!$C$42, 0.1146, 0.1146)*CHOOSE(CONTROL!$C$42, 121.5, 121.5)*CHOOSE(CONTROL!$C$42, 31, 31))/1000000</f>
        <v>0.43164089999999994</v>
      </c>
      <c r="X691" s="58">
        <f>(31*0.1790888*245000/1000000)+(31*0.2374*100000/1000000)</f>
        <v>2.0961194359999999</v>
      </c>
      <c r="Y691" s="58"/>
      <c r="Z691" s="10"/>
      <c r="AA691" s="57"/>
      <c r="AB691" s="51">
        <f>(B691*194.205+C691*267.466+D691*133.845+E691*53.484+F691*40+G691*185+H691*0+I691*100+J691*300)/(194.205+267.466+133.845+53.484+0+40+185+100+300)</f>
        <v>21.315902191758241</v>
      </c>
      <c r="AC691" s="27">
        <f>(M691*'RAP TEMPLATE-GAS AVAILABILITY'!O690+N691*'RAP TEMPLATE-GAS AVAILABILITY'!P690+O691*'RAP TEMPLATE-GAS AVAILABILITY'!Q690+P691*'RAP TEMPLATE-GAS AVAILABILITY'!R690)/('RAP TEMPLATE-GAS AVAILABILITY'!O690+'RAP TEMPLATE-GAS AVAILABILITY'!P690+'RAP TEMPLATE-GAS AVAILABILITY'!Q690+'RAP TEMPLATE-GAS AVAILABILITY'!R690)</f>
        <v>21.172954676258993</v>
      </c>
    </row>
    <row r="692" spans="1:29" ht="15.75" x14ac:dyDescent="0.25">
      <c r="A692" s="13">
        <v>62336</v>
      </c>
      <c r="B692" s="10">
        <f>CHOOSE(CONTROL!$C$42, 20.2404, 20.2404) * CHOOSE(CONTROL!$C$21, $C$9, 100%, $E$9)</f>
        <v>20.240400000000001</v>
      </c>
      <c r="C692" s="10">
        <f>CHOOSE(CONTROL!$C$42, 20.2483, 20.2483) * CHOOSE(CONTROL!$C$21, $C$9, 100%, $E$9)</f>
        <v>20.2483</v>
      </c>
      <c r="D692" s="10">
        <f>CHOOSE(CONTROL!$C$42, 20.4268, 20.4268) * CHOOSE(CONTROL!$C$21, $C$9, 100%, $E$9)</f>
        <v>20.4268</v>
      </c>
      <c r="E692" s="10">
        <f>CHOOSE(CONTROL!$C$42, 20.458, 20.458) * CHOOSE(CONTROL!$C$21, $C$9, 100%, $E$9)</f>
        <v>20.457999999999998</v>
      </c>
      <c r="F692" s="10">
        <f>CHOOSE(CONTROL!$C$42, 20.227, 20.227)*CHOOSE(CONTROL!$C$21, $C$9, 100%, $E$9)</f>
        <v>20.227</v>
      </c>
      <c r="G692" s="10">
        <f>CHOOSE(CONTROL!$C$42, 20.2453, 20.2453)*CHOOSE(CONTROL!$C$21, $C$9, 100%, $E$9)</f>
        <v>20.2453</v>
      </c>
      <c r="H692" s="10">
        <f>CHOOSE(CONTROL!$C$42, 20.4466, 20.4466) * CHOOSE(CONTROL!$C$21, $C$9, 100%, $E$9)</f>
        <v>20.4466</v>
      </c>
      <c r="I692" s="10">
        <f>CHOOSE(CONTROL!$C$42, 20.2172, 20.2172)* CHOOSE(CONTROL!$C$21, $C$9, 100%, $E$9)</f>
        <v>20.217199999999998</v>
      </c>
      <c r="J692" s="10">
        <f>CHOOSE(CONTROL!$C$42, 20.22, 20.22)* CHOOSE(CONTROL!$C$21, $C$9, 100%, $E$9)</f>
        <v>20.22</v>
      </c>
      <c r="K692" s="54">
        <f>CHOOSE(CONTROL!$C$42, 20.2133, 20.2133) * CHOOSE(CONTROL!$C$21, $C$9, 100%, $E$9)</f>
        <v>20.2133</v>
      </c>
      <c r="L692" s="10">
        <f>CHOOSE(CONTROL!$C$42, 21.0336, 21.0336) * CHOOSE(CONTROL!$C$21, $C$9, 100%, $E$9)</f>
        <v>21.0336</v>
      </c>
      <c r="M692" s="10">
        <f>CHOOSE(CONTROL!$C$42, 20.0298, 20.0298) * CHOOSE(CONTROL!$C$21, $C$9, 100%, $E$9)</f>
        <v>20.029800000000002</v>
      </c>
      <c r="N692" s="10">
        <f>CHOOSE(CONTROL!$C$42, 20.0479, 20.0479) * CHOOSE(CONTROL!$C$21, $C$9, 100%, $E$9)</f>
        <v>20.047899999999998</v>
      </c>
      <c r="O692" s="10">
        <f>CHOOSE(CONTROL!$C$42, 20.2541, 20.2541) * CHOOSE(CONTROL!$C$21, $C$9, 100%, $E$9)</f>
        <v>20.254100000000001</v>
      </c>
      <c r="P692" s="10">
        <f>CHOOSE(CONTROL!$C$42, 20.0271, 20.0271) * CHOOSE(CONTROL!$C$21, $C$9, 100%, $E$9)</f>
        <v>20.027100000000001</v>
      </c>
      <c r="Q692" s="10">
        <f>CHOOSE(CONTROL!$C$42, 20.8494, 20.8494) * CHOOSE(CONTROL!$C$21, $C$9, 100%, $E$9)</f>
        <v>20.849399999999999</v>
      </c>
      <c r="R692" s="10">
        <f>CHOOSE(CONTROL!$C$42, 21.4885, 21.4885) * CHOOSE(CONTROL!$C$21, $C$9, 100%, $E$9)</f>
        <v>21.488499999999998</v>
      </c>
      <c r="S692" s="10">
        <f>CHOOSE(CONTROL!$C$42, 19.6512, 19.6512) * CHOOSE(CONTROL!$C$21, $C$9, 100%, $E$9)</f>
        <v>19.651199999999999</v>
      </c>
      <c r="T692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92" s="58">
        <f>(1000*CHOOSE(CONTROL!$C$42, 695, 695)*CHOOSE(CONTROL!$C$42, 0.5599, 0.5599)*CHOOSE(CONTROL!$C$42, 31, 31))/1000000</f>
        <v>12.063045499999998</v>
      </c>
      <c r="V692" s="58">
        <f>(1000*CHOOSE(CONTROL!$C$42, 500, 500)*CHOOSE(CONTROL!$C$42, 0.275, 0.275)*CHOOSE(CONTROL!$C$42, 31, 31))/1000000</f>
        <v>4.2625000000000002</v>
      </c>
      <c r="W692" s="58">
        <f>(1000*CHOOSE(CONTROL!$C$42, 0.1146, 0.1146)*CHOOSE(CONTROL!$C$42, 121.5, 121.5)*CHOOSE(CONTROL!$C$42, 31, 31))/1000000</f>
        <v>0.43164089999999994</v>
      </c>
      <c r="X692" s="58">
        <f>(31*0.1790888*245000/1000000)+(31*0.2374*100000/1000000)</f>
        <v>2.0961194359999999</v>
      </c>
      <c r="Y692" s="58"/>
      <c r="Z692" s="10"/>
      <c r="AA692" s="57"/>
      <c r="AB692" s="51">
        <f>(B692*194.205+C692*267.466+D692*133.845+E692*53.484+F692*40+G692*185+H692*0+I692*100+J692*300)/(194.205+267.466+133.845+53.484+0+40+185+100+300)</f>
        <v>20.264442627786501</v>
      </c>
      <c r="AC692" s="27">
        <f>(M692*'RAP TEMPLATE-GAS AVAILABILITY'!O691+N692*'RAP TEMPLATE-GAS AVAILABILITY'!P691+O692*'RAP TEMPLATE-GAS AVAILABILITY'!Q691+P692*'RAP TEMPLATE-GAS AVAILABILITY'!R691)/('RAP TEMPLATE-GAS AVAILABILITY'!O691+'RAP TEMPLATE-GAS AVAILABILITY'!P691+'RAP TEMPLATE-GAS AVAILABILITY'!Q691+'RAP TEMPLATE-GAS AVAILABILITY'!R691)</f>
        <v>20.13211438848921</v>
      </c>
    </row>
    <row r="693" spans="1:29" ht="15.75" x14ac:dyDescent="0.25">
      <c r="A693" s="13">
        <v>62366</v>
      </c>
      <c r="B693" s="10">
        <f>CHOOSE(CONTROL!$C$42, 18.9557, 18.9557) * CHOOSE(CONTROL!$C$21, $C$9, 100%, $E$9)</f>
        <v>18.9557</v>
      </c>
      <c r="C693" s="10">
        <f>CHOOSE(CONTROL!$C$42, 18.9636, 18.9636) * CHOOSE(CONTROL!$C$21, $C$9, 100%, $E$9)</f>
        <v>18.9636</v>
      </c>
      <c r="D693" s="10">
        <f>CHOOSE(CONTROL!$C$42, 19.1422, 19.1422) * CHOOSE(CONTROL!$C$21, $C$9, 100%, $E$9)</f>
        <v>19.142199999999999</v>
      </c>
      <c r="E693" s="10">
        <f>CHOOSE(CONTROL!$C$42, 19.1733, 19.1733) * CHOOSE(CONTROL!$C$21, $C$9, 100%, $E$9)</f>
        <v>19.173300000000001</v>
      </c>
      <c r="F693" s="10">
        <f>CHOOSE(CONTROL!$C$42, 18.9421, 18.9421)*CHOOSE(CONTROL!$C$21, $C$9, 100%, $E$9)</f>
        <v>18.9421</v>
      </c>
      <c r="G693" s="10">
        <f>CHOOSE(CONTROL!$C$42, 18.9603, 18.9603)*CHOOSE(CONTROL!$C$21, $C$9, 100%, $E$9)</f>
        <v>18.9603</v>
      </c>
      <c r="H693" s="10">
        <f>CHOOSE(CONTROL!$C$42, 19.1619, 19.1619) * CHOOSE(CONTROL!$C$21, $C$9, 100%, $E$9)</f>
        <v>19.161899999999999</v>
      </c>
      <c r="I693" s="10">
        <f>CHOOSE(CONTROL!$C$42, 18.9326, 18.9326)* CHOOSE(CONTROL!$C$21, $C$9, 100%, $E$9)</f>
        <v>18.932600000000001</v>
      </c>
      <c r="J693" s="10">
        <f>CHOOSE(CONTROL!$C$42, 18.9351, 18.9351)* CHOOSE(CONTROL!$C$21, $C$9, 100%, $E$9)</f>
        <v>18.935099999999998</v>
      </c>
      <c r="K693" s="54">
        <f>CHOOSE(CONTROL!$C$42, 18.9287, 18.9287) * CHOOSE(CONTROL!$C$21, $C$9, 100%, $E$9)</f>
        <v>18.928699999999999</v>
      </c>
      <c r="L693" s="10">
        <f>CHOOSE(CONTROL!$C$42, 19.7489, 19.7489) * CHOOSE(CONTROL!$C$21, $C$9, 100%, $E$9)</f>
        <v>19.748899999999999</v>
      </c>
      <c r="M693" s="10">
        <f>CHOOSE(CONTROL!$C$42, 18.7578, 18.7578) * CHOOSE(CONTROL!$C$21, $C$9, 100%, $E$9)</f>
        <v>18.7578</v>
      </c>
      <c r="N693" s="10">
        <f>CHOOSE(CONTROL!$C$42, 18.7758, 18.7758) * CHOOSE(CONTROL!$C$21, $C$9, 100%, $E$9)</f>
        <v>18.7758</v>
      </c>
      <c r="O693" s="10">
        <f>CHOOSE(CONTROL!$C$42, 18.9824, 18.9824) * CHOOSE(CONTROL!$C$21, $C$9, 100%, $E$9)</f>
        <v>18.982399999999998</v>
      </c>
      <c r="P693" s="10">
        <f>CHOOSE(CONTROL!$C$42, 18.7554, 18.7554) * CHOOSE(CONTROL!$C$21, $C$9, 100%, $E$9)</f>
        <v>18.755400000000002</v>
      </c>
      <c r="Q693" s="10">
        <f>CHOOSE(CONTROL!$C$42, 19.5777, 19.5777) * CHOOSE(CONTROL!$C$21, $C$9, 100%, $E$9)</f>
        <v>19.5777</v>
      </c>
      <c r="R693" s="10">
        <f>CHOOSE(CONTROL!$C$42, 20.2136, 20.2136) * CHOOSE(CONTROL!$C$21, $C$9, 100%, $E$9)</f>
        <v>20.2136</v>
      </c>
      <c r="S693" s="10">
        <f>CHOOSE(CONTROL!$C$42, 18.4036, 18.4036) * CHOOSE(CONTROL!$C$21, $C$9, 100%, $E$9)</f>
        <v>18.403600000000001</v>
      </c>
      <c r="T693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93" s="58">
        <f>(1000*CHOOSE(CONTROL!$C$42, 695, 695)*CHOOSE(CONTROL!$C$42, 0.5599, 0.5599)*CHOOSE(CONTROL!$C$42, 30, 30))/1000000</f>
        <v>11.673914999999997</v>
      </c>
      <c r="V693" s="58">
        <f>(1000*CHOOSE(CONTROL!$C$42, 500, 500)*CHOOSE(CONTROL!$C$42, 0.275, 0.275)*CHOOSE(CONTROL!$C$42, 30, 30))/1000000</f>
        <v>4.125</v>
      </c>
      <c r="W693" s="58">
        <f>(1000*CHOOSE(CONTROL!$C$42, 0.1146, 0.1146)*CHOOSE(CONTROL!$C$42, 121.5, 121.5)*CHOOSE(CONTROL!$C$42, 30, 30))/1000000</f>
        <v>0.417717</v>
      </c>
      <c r="X693" s="58">
        <f>(30*0.1790888*245000/1000000)+(30*0.2374*100000/1000000)</f>
        <v>2.0285026799999999</v>
      </c>
      <c r="Y693" s="58"/>
      <c r="Z693" s="10"/>
      <c r="AA693" s="57"/>
      <c r="AB693" s="51">
        <f>(B693*194.205+C693*267.466+D693*133.845+E693*53.484+F693*40+G693*185+H693*0+I693*100+J693*300)/(194.205+267.466+133.845+53.484+0+40+185+100+300)</f>
        <v>18.979664044191519</v>
      </c>
      <c r="AC693" s="27">
        <f>(M693*'RAP TEMPLATE-GAS AVAILABILITY'!O692+N693*'RAP TEMPLATE-GAS AVAILABILITY'!P692+O693*'RAP TEMPLATE-GAS AVAILABILITY'!Q692+P693*'RAP TEMPLATE-GAS AVAILABILITY'!R692)/('RAP TEMPLATE-GAS AVAILABILITY'!O692+'RAP TEMPLATE-GAS AVAILABILITY'!P692+'RAP TEMPLATE-GAS AVAILABILITY'!Q692+'RAP TEMPLATE-GAS AVAILABILITY'!R692)</f>
        <v>18.860287769784176</v>
      </c>
    </row>
    <row r="694" spans="1:29" ht="15.75" x14ac:dyDescent="0.25">
      <c r="A694" s="13">
        <v>62397</v>
      </c>
      <c r="B694" s="10">
        <f>CHOOSE(CONTROL!$C$42, 18.5688, 18.5688) * CHOOSE(CONTROL!$C$21, $C$9, 100%, $E$9)</f>
        <v>18.5688</v>
      </c>
      <c r="C694" s="10">
        <f>CHOOSE(CONTROL!$C$42, 18.574, 18.574) * CHOOSE(CONTROL!$C$21, $C$9, 100%, $E$9)</f>
        <v>18.574000000000002</v>
      </c>
      <c r="D694" s="10">
        <f>CHOOSE(CONTROL!$C$42, 18.7575, 18.7575) * CHOOSE(CONTROL!$C$21, $C$9, 100%, $E$9)</f>
        <v>18.7575</v>
      </c>
      <c r="E694" s="10">
        <f>CHOOSE(CONTROL!$C$42, 18.7863, 18.7863) * CHOOSE(CONTROL!$C$21, $C$9, 100%, $E$9)</f>
        <v>18.786300000000001</v>
      </c>
      <c r="F694" s="10">
        <f>CHOOSE(CONTROL!$C$42, 18.5571, 18.5571)*CHOOSE(CONTROL!$C$21, $C$9, 100%, $E$9)</f>
        <v>18.557099999999998</v>
      </c>
      <c r="G694" s="10">
        <f>CHOOSE(CONTROL!$C$42, 18.575, 18.575)*CHOOSE(CONTROL!$C$21, $C$9, 100%, $E$9)</f>
        <v>18.574999999999999</v>
      </c>
      <c r="H694" s="10">
        <f>CHOOSE(CONTROL!$C$42, 18.7768, 18.7768) * CHOOSE(CONTROL!$C$21, $C$9, 100%, $E$9)</f>
        <v>18.776800000000001</v>
      </c>
      <c r="I694" s="10">
        <f>CHOOSE(CONTROL!$C$42, 18.5474, 18.5474)* CHOOSE(CONTROL!$C$21, $C$9, 100%, $E$9)</f>
        <v>18.5474</v>
      </c>
      <c r="J694" s="10">
        <f>CHOOSE(CONTROL!$C$42, 18.5501, 18.5501)* CHOOSE(CONTROL!$C$21, $C$9, 100%, $E$9)</f>
        <v>18.5501</v>
      </c>
      <c r="K694" s="54">
        <f>CHOOSE(CONTROL!$C$42, 18.5435, 18.5435) * CHOOSE(CONTROL!$C$21, $C$9, 100%, $E$9)</f>
        <v>18.543500000000002</v>
      </c>
      <c r="L694" s="10">
        <f>CHOOSE(CONTROL!$C$42, 19.3638, 19.3638) * CHOOSE(CONTROL!$C$21, $C$9, 100%, $E$9)</f>
        <v>19.363800000000001</v>
      </c>
      <c r="M694" s="10">
        <f>CHOOSE(CONTROL!$C$42, 18.3767, 18.3767) * CHOOSE(CONTROL!$C$21, $C$9, 100%, $E$9)</f>
        <v>18.3767</v>
      </c>
      <c r="N694" s="10">
        <f>CHOOSE(CONTROL!$C$42, 18.3944, 18.3944) * CHOOSE(CONTROL!$C$21, $C$9, 100%, $E$9)</f>
        <v>18.394400000000001</v>
      </c>
      <c r="O694" s="10">
        <f>CHOOSE(CONTROL!$C$42, 18.6011, 18.6011) * CHOOSE(CONTROL!$C$21, $C$9, 100%, $E$9)</f>
        <v>18.601099999999999</v>
      </c>
      <c r="P694" s="10">
        <f>CHOOSE(CONTROL!$C$42, 18.3741, 18.3741) * CHOOSE(CONTROL!$C$21, $C$9, 100%, $E$9)</f>
        <v>18.374099999999999</v>
      </c>
      <c r="Q694" s="10">
        <f>CHOOSE(CONTROL!$C$42, 19.1964, 19.1964) * CHOOSE(CONTROL!$C$21, $C$9, 100%, $E$9)</f>
        <v>19.196400000000001</v>
      </c>
      <c r="R694" s="10">
        <f>CHOOSE(CONTROL!$C$42, 19.8314, 19.8314) * CHOOSE(CONTROL!$C$21, $C$9, 100%, $E$9)</f>
        <v>19.831399999999999</v>
      </c>
      <c r="S694" s="10">
        <f>CHOOSE(CONTROL!$C$42, 18.0296, 18.0296) * CHOOSE(CONTROL!$C$21, $C$9, 100%, $E$9)</f>
        <v>18.029599999999999</v>
      </c>
      <c r="T694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694" s="58">
        <f>(1000*CHOOSE(CONTROL!$C$42, 695, 695)*CHOOSE(CONTROL!$C$42, 0.5599, 0.5599)*CHOOSE(CONTROL!$C$42, 31, 31))/1000000</f>
        <v>12.063045499999998</v>
      </c>
      <c r="V694" s="58">
        <f>(1000*CHOOSE(CONTROL!$C$42, 500, 500)*CHOOSE(CONTROL!$C$42, 0.275, 0.275)*CHOOSE(CONTROL!$C$42, 31, 31))/1000000</f>
        <v>4.2625000000000002</v>
      </c>
      <c r="W694" s="58">
        <f>(1000*CHOOSE(CONTROL!$C$42, 0.1146, 0.1146)*CHOOSE(CONTROL!$C$42, 121.5, 121.5)*CHOOSE(CONTROL!$C$42, 31, 31))/1000000</f>
        <v>0.43164089999999994</v>
      </c>
      <c r="X694" s="58">
        <f>(31*0.1790888*245000/1000000)+(31*0.2374*100000/1000000)</f>
        <v>2.0961194359999999</v>
      </c>
      <c r="Y694" s="58"/>
      <c r="Z694" s="10"/>
      <c r="AA694" s="57"/>
      <c r="AB694" s="51">
        <f>(B694*131.881+C694*277.167+D694*79.08+E694*125.872+F694*40+G694*185+H694*0+I694*100+J694*300)/(131.881+277.167+79.08+125.872+0+40+185+100+300)</f>
        <v>18.59839630702179</v>
      </c>
      <c r="AC694" s="27">
        <f>(M694*'RAP TEMPLATE-GAS AVAILABILITY'!O693+N694*'RAP TEMPLATE-GAS AVAILABILITY'!P693+O694*'RAP TEMPLATE-GAS AVAILABILITY'!Q693+P694*'RAP TEMPLATE-GAS AVAILABILITY'!R693)/('RAP TEMPLATE-GAS AVAILABILITY'!O693+'RAP TEMPLATE-GAS AVAILABILITY'!P693+'RAP TEMPLATE-GAS AVAILABILITY'!Q693+'RAP TEMPLATE-GAS AVAILABILITY'!R693)</f>
        <v>18.479051079136688</v>
      </c>
    </row>
    <row r="695" spans="1:29" ht="15.75" x14ac:dyDescent="0.25">
      <c r="A695" s="13">
        <v>62427</v>
      </c>
      <c r="B695" s="10">
        <f>CHOOSE(CONTROL!$C$42, 19.0575, 19.0575) * CHOOSE(CONTROL!$C$21, $C$9, 100%, $E$9)</f>
        <v>19.057500000000001</v>
      </c>
      <c r="C695" s="10">
        <f>CHOOSE(CONTROL!$C$42, 19.0624, 19.0624) * CHOOSE(CONTROL!$C$21, $C$9, 100%, $E$9)</f>
        <v>19.0624</v>
      </c>
      <c r="D695" s="10">
        <f>CHOOSE(CONTROL!$C$42, 19.092, 19.092) * CHOOSE(CONTROL!$C$21, $C$9, 100%, $E$9)</f>
        <v>19.091999999999999</v>
      </c>
      <c r="E695" s="10">
        <f>CHOOSE(CONTROL!$C$42, 19.1258, 19.1258) * CHOOSE(CONTROL!$C$21, $C$9, 100%, $E$9)</f>
        <v>19.125800000000002</v>
      </c>
      <c r="F695" s="10">
        <f>CHOOSE(CONTROL!$C$42, 19.0432, 19.0432)*CHOOSE(CONTROL!$C$21, $C$9, 100%, $E$9)</f>
        <v>19.043199999999999</v>
      </c>
      <c r="G695" s="10">
        <f>CHOOSE(CONTROL!$C$42, 19.0613, 19.0613)*CHOOSE(CONTROL!$C$21, $C$9, 100%, $E$9)</f>
        <v>19.061299999999999</v>
      </c>
      <c r="H695" s="10">
        <f>CHOOSE(CONTROL!$C$42, 19.115, 19.115) * CHOOSE(CONTROL!$C$21, $C$9, 100%, $E$9)</f>
        <v>19.114999999999998</v>
      </c>
      <c r="I695" s="10">
        <f>CHOOSE(CONTROL!$C$42, 19.0236, 19.0236)* CHOOSE(CONTROL!$C$21, $C$9, 100%, $E$9)</f>
        <v>19.023599999999998</v>
      </c>
      <c r="J695" s="10">
        <f>CHOOSE(CONTROL!$C$42, 19.0362, 19.0362)* CHOOSE(CONTROL!$C$21, $C$9, 100%, $E$9)</f>
        <v>19.036200000000001</v>
      </c>
      <c r="K695" s="54">
        <f>CHOOSE(CONTROL!$C$42, 19.0198, 19.0198) * CHOOSE(CONTROL!$C$21, $C$9, 100%, $E$9)</f>
        <v>19.0198</v>
      </c>
      <c r="L695" s="10">
        <f>CHOOSE(CONTROL!$C$42, 19.702, 19.702) * CHOOSE(CONTROL!$C$21, $C$9, 100%, $E$9)</f>
        <v>19.702000000000002</v>
      </c>
      <c r="M695" s="10">
        <f>CHOOSE(CONTROL!$C$42, 18.8579, 18.8579) * CHOOSE(CONTROL!$C$21, $C$9, 100%, $E$9)</f>
        <v>18.857900000000001</v>
      </c>
      <c r="N695" s="10">
        <f>CHOOSE(CONTROL!$C$42, 18.8758, 18.8758) * CHOOSE(CONTROL!$C$21, $C$9, 100%, $E$9)</f>
        <v>18.875800000000002</v>
      </c>
      <c r="O695" s="10">
        <f>CHOOSE(CONTROL!$C$42, 18.9359, 18.9359) * CHOOSE(CONTROL!$C$21, $C$9, 100%, $E$9)</f>
        <v>18.9359</v>
      </c>
      <c r="P695" s="10">
        <f>CHOOSE(CONTROL!$C$42, 18.8455, 18.8455) * CHOOSE(CONTROL!$C$21, $C$9, 100%, $E$9)</f>
        <v>18.845500000000001</v>
      </c>
      <c r="Q695" s="10">
        <f>CHOOSE(CONTROL!$C$42, 19.5312, 19.5312) * CHOOSE(CONTROL!$C$21, $C$9, 100%, $E$9)</f>
        <v>19.531199999999998</v>
      </c>
      <c r="R695" s="10">
        <f>CHOOSE(CONTROL!$C$42, 20.1671, 20.1671) * CHOOSE(CONTROL!$C$21, $C$9, 100%, $E$9)</f>
        <v>20.167100000000001</v>
      </c>
      <c r="S695" s="10">
        <f>CHOOSE(CONTROL!$C$42, 18.5046, 18.5046) * CHOOSE(CONTROL!$C$21, $C$9, 100%, $E$9)</f>
        <v>18.5046</v>
      </c>
      <c r="T695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695" s="58">
        <f>(1000*CHOOSE(CONTROL!$C$42, 695, 695)*CHOOSE(CONTROL!$C$42, 0.5599, 0.5599)*CHOOSE(CONTROL!$C$42, 30, 30))/1000000</f>
        <v>11.673914999999997</v>
      </c>
      <c r="V695" s="58">
        <f>(1000*CHOOSE(CONTROL!$C$42, 500, 500)*CHOOSE(CONTROL!$C$42, 0.275, 0.275)*CHOOSE(CONTROL!$C$42, 30, 30))/1000000</f>
        <v>4.125</v>
      </c>
      <c r="W695" s="58">
        <f>(1000*CHOOSE(CONTROL!$C$42, 0.1146, 0.1146)*CHOOSE(CONTROL!$C$42, 121.5, 121.5)*CHOOSE(CONTROL!$C$42, 30, 30))/1000000</f>
        <v>0.417717</v>
      </c>
      <c r="X695" s="58">
        <f>(30*0.1790888*100000/1000000)+(30*0.2374*100000/1000000)</f>
        <v>1.2494664</v>
      </c>
      <c r="Y695" s="58"/>
      <c r="Z695" s="10"/>
      <c r="AA695" s="57"/>
      <c r="AB695" s="51">
        <f>(B695*122.58+C695*297.941+D695*89.177+E695*40.302+F695*40+G695*160+H695*0+I695*100+J695*300)/(122.58+297.941+89.177+40.302+0+40+160+100+300)</f>
        <v>19.055365342608695</v>
      </c>
      <c r="AC695" s="27">
        <f>(M695*'RAP TEMPLATE-GAS AVAILABILITY'!O694+N695*'RAP TEMPLATE-GAS AVAILABILITY'!P694+O695*'RAP TEMPLATE-GAS AVAILABILITY'!Q694+P695*'RAP TEMPLATE-GAS AVAILABILITY'!R694)/('RAP TEMPLATE-GAS AVAILABILITY'!O694+'RAP TEMPLATE-GAS AVAILABILITY'!P694+'RAP TEMPLATE-GAS AVAILABILITY'!Q694+'RAP TEMPLATE-GAS AVAILABILITY'!R694)</f>
        <v>18.892498561151083</v>
      </c>
    </row>
    <row r="696" spans="1:29" ht="15.75" x14ac:dyDescent="0.25">
      <c r="A696" s="13">
        <v>62458</v>
      </c>
      <c r="B696" s="10">
        <f>CHOOSE(CONTROL!$C$42, 20.3566, 20.3566) * CHOOSE(CONTROL!$C$21, $C$9, 100%, $E$9)</f>
        <v>20.3566</v>
      </c>
      <c r="C696" s="10">
        <f>CHOOSE(CONTROL!$C$42, 20.3615, 20.3615) * CHOOSE(CONTROL!$C$21, $C$9, 100%, $E$9)</f>
        <v>20.361499999999999</v>
      </c>
      <c r="D696" s="10">
        <f>CHOOSE(CONTROL!$C$42, 20.3912, 20.3912) * CHOOSE(CONTROL!$C$21, $C$9, 100%, $E$9)</f>
        <v>20.391200000000001</v>
      </c>
      <c r="E696" s="10">
        <f>CHOOSE(CONTROL!$C$42, 20.4249, 20.4249) * CHOOSE(CONTROL!$C$21, $C$9, 100%, $E$9)</f>
        <v>20.424900000000001</v>
      </c>
      <c r="F696" s="10">
        <f>CHOOSE(CONTROL!$C$42, 20.3439, 20.3439)*CHOOSE(CONTROL!$C$21, $C$9, 100%, $E$9)</f>
        <v>20.343900000000001</v>
      </c>
      <c r="G696" s="10">
        <f>CHOOSE(CONTROL!$C$42, 20.3624, 20.3624)*CHOOSE(CONTROL!$C$21, $C$9, 100%, $E$9)</f>
        <v>20.362400000000001</v>
      </c>
      <c r="H696" s="10">
        <f>CHOOSE(CONTROL!$C$42, 20.4141, 20.4141) * CHOOSE(CONTROL!$C$21, $C$9, 100%, $E$9)</f>
        <v>20.414100000000001</v>
      </c>
      <c r="I696" s="10">
        <f>CHOOSE(CONTROL!$C$42, 20.3228, 20.3228)* CHOOSE(CONTROL!$C$21, $C$9, 100%, $E$9)</f>
        <v>20.322800000000001</v>
      </c>
      <c r="J696" s="10">
        <f>CHOOSE(CONTROL!$C$42, 20.3369, 20.3369)* CHOOSE(CONTROL!$C$21, $C$9, 100%, $E$9)</f>
        <v>20.3369</v>
      </c>
      <c r="K696" s="54">
        <f>CHOOSE(CONTROL!$C$42, 20.3189, 20.3189) * CHOOSE(CONTROL!$C$21, $C$9, 100%, $E$9)</f>
        <v>20.318899999999999</v>
      </c>
      <c r="L696" s="10">
        <f>CHOOSE(CONTROL!$C$42, 21.0011, 21.0011) * CHOOSE(CONTROL!$C$21, $C$9, 100%, $E$9)</f>
        <v>21.001100000000001</v>
      </c>
      <c r="M696" s="10">
        <f>CHOOSE(CONTROL!$C$42, 20.1455, 20.1455) * CHOOSE(CONTROL!$C$21, $C$9, 100%, $E$9)</f>
        <v>20.145499999999998</v>
      </c>
      <c r="N696" s="10">
        <f>CHOOSE(CONTROL!$C$42, 20.1638, 20.1638) * CHOOSE(CONTROL!$C$21, $C$9, 100%, $E$9)</f>
        <v>20.163799999999998</v>
      </c>
      <c r="O696" s="10">
        <f>CHOOSE(CONTROL!$C$42, 20.2219, 20.2219) * CHOOSE(CONTROL!$C$21, $C$9, 100%, $E$9)</f>
        <v>20.221900000000002</v>
      </c>
      <c r="P696" s="10">
        <f>CHOOSE(CONTROL!$C$42, 20.1315, 20.1315) * CHOOSE(CONTROL!$C$21, $C$9, 100%, $E$9)</f>
        <v>20.131499999999999</v>
      </c>
      <c r="Q696" s="10">
        <f>CHOOSE(CONTROL!$C$42, 20.8172, 20.8172) * CHOOSE(CONTROL!$C$21, $C$9, 100%, $E$9)</f>
        <v>20.8172</v>
      </c>
      <c r="R696" s="10">
        <f>CHOOSE(CONTROL!$C$42, 21.4563, 21.4563) * CHOOSE(CONTROL!$C$21, $C$9, 100%, $E$9)</f>
        <v>21.456299999999999</v>
      </c>
      <c r="S696" s="10">
        <f>CHOOSE(CONTROL!$C$42, 19.7662, 19.7662) * CHOOSE(CONTROL!$C$21, $C$9, 100%, $E$9)</f>
        <v>19.766200000000001</v>
      </c>
      <c r="T696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96" s="58">
        <f>(1000*CHOOSE(CONTROL!$C$42, 695, 695)*CHOOSE(CONTROL!$C$42, 0.5599, 0.5599)*CHOOSE(CONTROL!$C$42, 31, 31))/1000000</f>
        <v>12.063045499999998</v>
      </c>
      <c r="V696" s="58">
        <f>(1000*CHOOSE(CONTROL!$C$42, 500, 500)*CHOOSE(CONTROL!$C$42, 0.275, 0.275)*CHOOSE(CONTROL!$C$42, 31, 31))/1000000</f>
        <v>4.2625000000000002</v>
      </c>
      <c r="W696" s="58">
        <f>(1000*CHOOSE(CONTROL!$C$42, 0.1146, 0.1146)*CHOOSE(CONTROL!$C$42, 121.5, 121.5)*CHOOSE(CONTROL!$C$42, 31, 31))/1000000</f>
        <v>0.43164089999999994</v>
      </c>
      <c r="X696" s="58">
        <f>(31*0.1790888*100000/1000000)+(31*0.2374*100000/1000000)</f>
        <v>1.2911152800000001</v>
      </c>
      <c r="Y696" s="58"/>
      <c r="Z696" s="10"/>
      <c r="AA696" s="57"/>
      <c r="AB696" s="51">
        <f>(B696*122.58+C696*297.941+D696*89.177+E696*40.302+F696*40+G696*160+H696*0+I696*100+J696*300)/(122.58+297.941+89.177+40.302+0+40+160+100+300)</f>
        <v>20.355233097130434</v>
      </c>
      <c r="AC696" s="27">
        <f>(M696*'RAP TEMPLATE-GAS AVAILABILITY'!O695+N696*'RAP TEMPLATE-GAS AVAILABILITY'!P695+O696*'RAP TEMPLATE-GAS AVAILABILITY'!Q695+P696*'RAP TEMPLATE-GAS AVAILABILITY'!R695)/('RAP TEMPLATE-GAS AVAILABILITY'!O695+'RAP TEMPLATE-GAS AVAILABILITY'!P695+'RAP TEMPLATE-GAS AVAILABILITY'!Q695+'RAP TEMPLATE-GAS AVAILABILITY'!R695)</f>
        <v>20.17916618705036</v>
      </c>
    </row>
    <row r="697" spans="1:29" ht="15.75" x14ac:dyDescent="0.25">
      <c r="A697" s="13">
        <v>62489</v>
      </c>
      <c r="B697" s="10">
        <f>CHOOSE(CONTROL!$C$42, 21.7303, 21.7303) * CHOOSE(CONTROL!$C$21, $C$9, 100%, $E$9)</f>
        <v>21.7303</v>
      </c>
      <c r="C697" s="10">
        <f>CHOOSE(CONTROL!$C$42, 21.7353, 21.7353) * CHOOSE(CONTROL!$C$21, $C$9, 100%, $E$9)</f>
        <v>21.735299999999999</v>
      </c>
      <c r="D697" s="10">
        <f>CHOOSE(CONTROL!$C$42, 21.7855, 21.7855) * CHOOSE(CONTROL!$C$21, $C$9, 100%, $E$9)</f>
        <v>21.785499999999999</v>
      </c>
      <c r="E697" s="10">
        <f>CHOOSE(CONTROL!$C$42, 21.8193, 21.8193) * CHOOSE(CONTROL!$C$21, $C$9, 100%, $E$9)</f>
        <v>21.819299999999998</v>
      </c>
      <c r="F697" s="10">
        <f>CHOOSE(CONTROL!$C$42, 21.6957, 21.6957)*CHOOSE(CONTROL!$C$21, $C$9, 100%, $E$9)</f>
        <v>21.695699999999999</v>
      </c>
      <c r="G697" s="10">
        <f>CHOOSE(CONTROL!$C$42, 21.7133, 21.7133)*CHOOSE(CONTROL!$C$21, $C$9, 100%, $E$9)</f>
        <v>21.7133</v>
      </c>
      <c r="H697" s="10">
        <f>CHOOSE(CONTROL!$C$42, 21.8085, 21.8085) * CHOOSE(CONTROL!$C$21, $C$9, 100%, $E$9)</f>
        <v>21.808499999999999</v>
      </c>
      <c r="I697" s="10">
        <f>CHOOSE(CONTROL!$C$42, 21.7042, 21.7042)* CHOOSE(CONTROL!$C$21, $C$9, 100%, $E$9)</f>
        <v>21.7042</v>
      </c>
      <c r="J697" s="10">
        <f>CHOOSE(CONTROL!$C$42, 21.6887, 21.6887)* CHOOSE(CONTROL!$C$21, $C$9, 100%, $E$9)</f>
        <v>21.688700000000001</v>
      </c>
      <c r="K697" s="54">
        <f>CHOOSE(CONTROL!$C$42, 21.7004, 21.7004) * CHOOSE(CONTROL!$C$21, $C$9, 100%, $E$9)</f>
        <v>21.700399999999998</v>
      </c>
      <c r="L697" s="10">
        <f>CHOOSE(CONTROL!$C$42, 22.3955, 22.3955) * CHOOSE(CONTROL!$C$21, $C$9, 100%, $E$9)</f>
        <v>22.395499999999998</v>
      </c>
      <c r="M697" s="10">
        <f>CHOOSE(CONTROL!$C$42, 21.4837, 21.4837) * CHOOSE(CONTROL!$C$21, $C$9, 100%, $E$9)</f>
        <v>21.483699999999999</v>
      </c>
      <c r="N697" s="10">
        <f>CHOOSE(CONTROL!$C$42, 21.501, 21.501) * CHOOSE(CONTROL!$C$21, $C$9, 100%, $E$9)</f>
        <v>21.501000000000001</v>
      </c>
      <c r="O697" s="10">
        <f>CHOOSE(CONTROL!$C$42, 21.6022, 21.6022) * CHOOSE(CONTROL!$C$21, $C$9, 100%, $E$9)</f>
        <v>21.6022</v>
      </c>
      <c r="P697" s="10">
        <f>CHOOSE(CONTROL!$C$42, 21.4991, 21.4991) * CHOOSE(CONTROL!$C$21, $C$9, 100%, $E$9)</f>
        <v>21.499099999999999</v>
      </c>
      <c r="Q697" s="10">
        <f>CHOOSE(CONTROL!$C$42, 22.1975, 22.1975) * CHOOSE(CONTROL!$C$21, $C$9, 100%, $E$9)</f>
        <v>22.197500000000002</v>
      </c>
      <c r="R697" s="10">
        <f>CHOOSE(CONTROL!$C$42, 22.84, 22.84) * CHOOSE(CONTROL!$C$21, $C$9, 100%, $E$9)</f>
        <v>22.84</v>
      </c>
      <c r="S697" s="10">
        <f>CHOOSE(CONTROL!$C$42, 21.1002, 21.1002) * CHOOSE(CONTROL!$C$21, $C$9, 100%, $E$9)</f>
        <v>21.100200000000001</v>
      </c>
      <c r="T697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97" s="58">
        <f>(1000*CHOOSE(CONTROL!$C$42, 695, 695)*CHOOSE(CONTROL!$C$42, 0.5599, 0.5599)*CHOOSE(CONTROL!$C$42, 31, 31))/1000000</f>
        <v>12.063045499999998</v>
      </c>
      <c r="V697" s="58">
        <f>(1000*CHOOSE(CONTROL!$C$42, 500, 500)*CHOOSE(CONTROL!$C$42, 0.275, 0.275)*CHOOSE(CONTROL!$C$42, 31, 31))/1000000</f>
        <v>4.2625000000000002</v>
      </c>
      <c r="W697" s="58">
        <f>(1000*CHOOSE(CONTROL!$C$42, 0.1146, 0.1146)*CHOOSE(CONTROL!$C$42, 121.5, 121.5)*CHOOSE(CONTROL!$C$42, 31, 31))/1000000</f>
        <v>0.43164089999999994</v>
      </c>
      <c r="X697" s="58">
        <f>(31*0.1790888*100000/1000000)+(31*0.2374*100000/1000000)</f>
        <v>1.2911152800000001</v>
      </c>
      <c r="Y697" s="58"/>
      <c r="Z697" s="10"/>
      <c r="AA697" s="57"/>
      <c r="AB697" s="51">
        <f>(B697*122.58+C697*297.941+D697*89.177+E697*40.302+F697*40+G697*160+H697*0+I697*100+J697*300)/(122.58+297.941+89.177+40.302+0+40+160+100+300)</f>
        <v>21.722304481217389</v>
      </c>
      <c r="AC697" s="27">
        <f>(M697*'RAP TEMPLATE-GAS AVAILABILITY'!O696+N697*'RAP TEMPLATE-GAS AVAILABILITY'!P696+O697*'RAP TEMPLATE-GAS AVAILABILITY'!Q696+P697*'RAP TEMPLATE-GAS AVAILABILITY'!R696)/('RAP TEMPLATE-GAS AVAILABILITY'!O696+'RAP TEMPLATE-GAS AVAILABILITY'!P696+'RAP TEMPLATE-GAS AVAILABILITY'!Q696+'RAP TEMPLATE-GAS AVAILABILITY'!R696)</f>
        <v>21.54062014388489</v>
      </c>
    </row>
    <row r="698" spans="1:29" ht="15.75" x14ac:dyDescent="0.25">
      <c r="A698" s="13">
        <v>62517</v>
      </c>
      <c r="B698" s="10">
        <f>CHOOSE(CONTROL!$C$42, 22.1171, 22.1171) * CHOOSE(CONTROL!$C$21, $C$9, 100%, $E$9)</f>
        <v>22.117100000000001</v>
      </c>
      <c r="C698" s="10">
        <f>CHOOSE(CONTROL!$C$42, 22.1221, 22.1221) * CHOOSE(CONTROL!$C$21, $C$9, 100%, $E$9)</f>
        <v>22.1221</v>
      </c>
      <c r="D698" s="10">
        <f>CHOOSE(CONTROL!$C$42, 22.2392, 22.2392) * CHOOSE(CONTROL!$C$21, $C$9, 100%, $E$9)</f>
        <v>22.2392</v>
      </c>
      <c r="E698" s="10">
        <f>CHOOSE(CONTROL!$C$42, 22.273, 22.273) * CHOOSE(CONTROL!$C$21, $C$9, 100%, $E$9)</f>
        <v>22.273</v>
      </c>
      <c r="F698" s="10">
        <f>CHOOSE(CONTROL!$C$42, 22.1947, 22.1947)*CHOOSE(CONTROL!$C$21, $C$9, 100%, $E$9)</f>
        <v>22.194700000000001</v>
      </c>
      <c r="G698" s="10">
        <f>CHOOSE(CONTROL!$C$42, 22.2166, 22.2166)*CHOOSE(CONTROL!$C$21, $C$9, 100%, $E$9)</f>
        <v>22.2166</v>
      </c>
      <c r="H698" s="10">
        <f>CHOOSE(CONTROL!$C$42, 22.2622, 22.2622) * CHOOSE(CONTROL!$C$21, $C$9, 100%, $E$9)</f>
        <v>22.2622</v>
      </c>
      <c r="I698" s="10">
        <f>CHOOSE(CONTROL!$C$42, 22.1528, 22.1528)* CHOOSE(CONTROL!$C$21, $C$9, 100%, $E$9)</f>
        <v>22.152799999999999</v>
      </c>
      <c r="J698" s="10">
        <f>CHOOSE(CONTROL!$C$42, 22.1877, 22.1877)* CHOOSE(CONTROL!$C$21, $C$9, 100%, $E$9)</f>
        <v>22.1877</v>
      </c>
      <c r="K698" s="54">
        <f>CHOOSE(CONTROL!$C$42, 22.1489, 22.1489) * CHOOSE(CONTROL!$C$21, $C$9, 100%, $E$9)</f>
        <v>22.148900000000001</v>
      </c>
      <c r="L698" s="10">
        <f>CHOOSE(CONTROL!$C$42, 22.8492, 22.8492) * CHOOSE(CONTROL!$C$21, $C$9, 100%, $E$9)</f>
        <v>22.8492</v>
      </c>
      <c r="M698" s="10">
        <f>CHOOSE(CONTROL!$C$42, 21.9776, 21.9776) * CHOOSE(CONTROL!$C$21, $C$9, 100%, $E$9)</f>
        <v>21.977599999999999</v>
      </c>
      <c r="N698" s="10">
        <f>CHOOSE(CONTROL!$C$42, 21.9993, 21.9993) * CHOOSE(CONTROL!$C$21, $C$9, 100%, $E$9)</f>
        <v>21.999300000000002</v>
      </c>
      <c r="O698" s="10">
        <f>CHOOSE(CONTROL!$C$42, 22.0514, 22.0514) * CHOOSE(CONTROL!$C$21, $C$9, 100%, $E$9)</f>
        <v>22.051400000000001</v>
      </c>
      <c r="P698" s="10">
        <f>CHOOSE(CONTROL!$C$42, 21.9431, 21.9431) * CHOOSE(CONTROL!$C$21, $C$9, 100%, $E$9)</f>
        <v>21.943100000000001</v>
      </c>
      <c r="Q698" s="10">
        <f>CHOOSE(CONTROL!$C$42, 22.6467, 22.6467) * CHOOSE(CONTROL!$C$21, $C$9, 100%, $E$9)</f>
        <v>22.646699999999999</v>
      </c>
      <c r="R698" s="10">
        <f>CHOOSE(CONTROL!$C$42, 23.2903, 23.2903) * CHOOSE(CONTROL!$C$21, $C$9, 100%, $E$9)</f>
        <v>23.290299999999998</v>
      </c>
      <c r="S698" s="10">
        <f>CHOOSE(CONTROL!$C$42, 21.4758, 21.4758) * CHOOSE(CONTROL!$C$21, $C$9, 100%, $E$9)</f>
        <v>21.4758</v>
      </c>
      <c r="T698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698" s="58">
        <f>(1000*CHOOSE(CONTROL!$C$42, 695, 695)*CHOOSE(CONTROL!$C$42, 0.5599, 0.5599)*CHOOSE(CONTROL!$C$42, 28, 28))/1000000</f>
        <v>10.895653999999999</v>
      </c>
      <c r="V698" s="58">
        <f>(1000*CHOOSE(CONTROL!$C$42, 500, 500)*CHOOSE(CONTROL!$C$42, 0.275, 0.275)*CHOOSE(CONTROL!$C$42, 28, 28))/1000000</f>
        <v>3.85</v>
      </c>
      <c r="W698" s="58">
        <f>(1000*CHOOSE(CONTROL!$C$42, 0.1146, 0.1146)*CHOOSE(CONTROL!$C$42, 121.5, 121.5)*CHOOSE(CONTROL!$C$42, 28, 28))/1000000</f>
        <v>0.38986920000000003</v>
      </c>
      <c r="X698" s="58">
        <f>(28*0.1790888*100000/1000000)+(28*0.2374*100000/1000000)</f>
        <v>1.16616864</v>
      </c>
      <c r="Y698" s="58"/>
      <c r="Z698" s="10"/>
      <c r="AA698" s="57"/>
      <c r="AB698" s="51">
        <f>(B698*122.58+C698*297.941+D698*89.177+E698*40.302+F698*40+G698*160+H698*0+I698*100+J698*300)/(122.58+297.941+89.177+40.302+0+40+160+100+300)</f>
        <v>22.171391563913044</v>
      </c>
      <c r="AC698" s="27">
        <f>(M698*'RAP TEMPLATE-GAS AVAILABILITY'!O697+N698*'RAP TEMPLATE-GAS AVAILABILITY'!P697+O698*'RAP TEMPLATE-GAS AVAILABILITY'!Q697+P698*'RAP TEMPLATE-GAS AVAILABILITY'!R697)/('RAP TEMPLATE-GAS AVAILABILITY'!O697+'RAP TEMPLATE-GAS AVAILABILITY'!P697+'RAP TEMPLATE-GAS AVAILABILITY'!Q697+'RAP TEMPLATE-GAS AVAILABILITY'!R697)</f>
        <v>22.007333812949639</v>
      </c>
    </row>
    <row r="699" spans="1:29" ht="15.75" x14ac:dyDescent="0.25">
      <c r="A699" s="13">
        <v>62548</v>
      </c>
      <c r="B699" s="10">
        <f>CHOOSE(CONTROL!$C$42, 21.4893, 21.4893) * CHOOSE(CONTROL!$C$21, $C$9, 100%, $E$9)</f>
        <v>21.4893</v>
      </c>
      <c r="C699" s="10">
        <f>CHOOSE(CONTROL!$C$42, 21.4942, 21.4942) * CHOOSE(CONTROL!$C$21, $C$9, 100%, $E$9)</f>
        <v>21.494199999999999</v>
      </c>
      <c r="D699" s="10">
        <f>CHOOSE(CONTROL!$C$42, 21.5856, 21.5856) * CHOOSE(CONTROL!$C$21, $C$9, 100%, $E$9)</f>
        <v>21.585599999999999</v>
      </c>
      <c r="E699" s="10">
        <f>CHOOSE(CONTROL!$C$42, 21.6194, 21.6194) * CHOOSE(CONTROL!$C$21, $C$9, 100%, $E$9)</f>
        <v>21.619399999999999</v>
      </c>
      <c r="F699" s="10">
        <f>CHOOSE(CONTROL!$C$42, 21.5191, 21.5191)*CHOOSE(CONTROL!$C$21, $C$9, 100%, $E$9)</f>
        <v>21.519100000000002</v>
      </c>
      <c r="G699" s="10">
        <f>CHOOSE(CONTROL!$C$42, 21.5386, 21.5386)*CHOOSE(CONTROL!$C$21, $C$9, 100%, $E$9)</f>
        <v>21.538599999999999</v>
      </c>
      <c r="H699" s="10">
        <f>CHOOSE(CONTROL!$C$42, 21.6086, 21.6086) * CHOOSE(CONTROL!$C$21, $C$9, 100%, $E$9)</f>
        <v>21.608599999999999</v>
      </c>
      <c r="I699" s="10">
        <f>CHOOSE(CONTROL!$C$42, 21.5121, 21.5121)* CHOOSE(CONTROL!$C$21, $C$9, 100%, $E$9)</f>
        <v>21.5121</v>
      </c>
      <c r="J699" s="10">
        <f>CHOOSE(CONTROL!$C$42, 21.5121, 21.5121)* CHOOSE(CONTROL!$C$21, $C$9, 100%, $E$9)</f>
        <v>21.5121</v>
      </c>
      <c r="K699" s="54">
        <f>CHOOSE(CONTROL!$C$42, 21.5082, 21.5082) * CHOOSE(CONTROL!$C$21, $C$9, 100%, $E$9)</f>
        <v>21.508199999999999</v>
      </c>
      <c r="L699" s="10">
        <f>CHOOSE(CONTROL!$C$42, 22.1956, 22.1956) * CHOOSE(CONTROL!$C$21, $C$9, 100%, $E$9)</f>
        <v>22.195599999999999</v>
      </c>
      <c r="M699" s="10">
        <f>CHOOSE(CONTROL!$C$42, 21.3089, 21.3089) * CHOOSE(CONTROL!$C$21, $C$9, 100%, $E$9)</f>
        <v>21.308900000000001</v>
      </c>
      <c r="N699" s="10">
        <f>CHOOSE(CONTROL!$C$42, 21.3282, 21.3282) * CHOOSE(CONTROL!$C$21, $C$9, 100%, $E$9)</f>
        <v>21.328199999999999</v>
      </c>
      <c r="O699" s="10">
        <f>CHOOSE(CONTROL!$C$42, 21.4044, 21.4044) * CHOOSE(CONTROL!$C$21, $C$9, 100%, $E$9)</f>
        <v>21.404399999999999</v>
      </c>
      <c r="P699" s="10">
        <f>CHOOSE(CONTROL!$C$42, 21.3089, 21.3089) * CHOOSE(CONTROL!$C$21, $C$9, 100%, $E$9)</f>
        <v>21.308900000000001</v>
      </c>
      <c r="Q699" s="10">
        <f>CHOOSE(CONTROL!$C$42, 21.9997, 21.9997) * CHOOSE(CONTROL!$C$21, $C$9, 100%, $E$9)</f>
        <v>21.999700000000001</v>
      </c>
      <c r="R699" s="10">
        <f>CHOOSE(CONTROL!$C$42, 22.6417, 22.6417) * CHOOSE(CONTROL!$C$21, $C$9, 100%, $E$9)</f>
        <v>22.6417</v>
      </c>
      <c r="S699" s="10">
        <f>CHOOSE(CONTROL!$C$42, 20.8661, 20.8661) * CHOOSE(CONTROL!$C$21, $C$9, 100%, $E$9)</f>
        <v>20.866099999999999</v>
      </c>
      <c r="T699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99" s="58">
        <f>(1000*CHOOSE(CONTROL!$C$42, 695, 695)*CHOOSE(CONTROL!$C$42, 0.5599, 0.5599)*CHOOSE(CONTROL!$C$42, 31, 31))/1000000</f>
        <v>12.063045499999998</v>
      </c>
      <c r="V699" s="58">
        <f>(1000*CHOOSE(CONTROL!$C$42, 500, 500)*CHOOSE(CONTROL!$C$42, 0.275, 0.275)*CHOOSE(CONTROL!$C$42, 31, 31))/1000000</f>
        <v>4.2625000000000002</v>
      </c>
      <c r="W699" s="58">
        <f>(1000*CHOOSE(CONTROL!$C$42, 0.1146, 0.1146)*CHOOSE(CONTROL!$C$42, 121.5, 121.5)*CHOOSE(CONTROL!$C$42, 31, 31))/1000000</f>
        <v>0.43164089999999994</v>
      </c>
      <c r="X699" s="58">
        <f>(31*0.1790888*100000/1000000)+(31*0.2374*100000/1000000)</f>
        <v>1.2911152800000001</v>
      </c>
      <c r="Y699" s="58"/>
      <c r="Z699" s="10"/>
      <c r="AA699" s="57"/>
      <c r="AB699" s="51">
        <f>(B699*122.58+C699*297.941+D699*89.177+E699*40.302+F699*40+G699*160+H699*0+I699*100+J699*300)/(122.58+297.941+89.177+40.302+0+40+160+100+300)</f>
        <v>21.518422561913042</v>
      </c>
      <c r="AC699" s="27">
        <f>(M699*'RAP TEMPLATE-GAS AVAILABILITY'!O698+N699*'RAP TEMPLATE-GAS AVAILABILITY'!P698+O699*'RAP TEMPLATE-GAS AVAILABILITY'!Q698+P699*'RAP TEMPLATE-GAS AVAILABILITY'!R698)/('RAP TEMPLATE-GAS AVAILABILITY'!O698+'RAP TEMPLATE-GAS AVAILABILITY'!P698+'RAP TEMPLATE-GAS AVAILABILITY'!Q698+'RAP TEMPLATE-GAS AVAILABILITY'!R698)</f>
        <v>21.353294964028777</v>
      </c>
    </row>
    <row r="700" spans="1:29" ht="15.75" x14ac:dyDescent="0.25">
      <c r="A700" s="13">
        <v>62578</v>
      </c>
      <c r="B700" s="10">
        <f>CHOOSE(CONTROL!$C$42, 21.4257, 21.4257) * CHOOSE(CONTROL!$C$21, $C$9, 100%, $E$9)</f>
        <v>21.425699999999999</v>
      </c>
      <c r="C700" s="10">
        <f>CHOOSE(CONTROL!$C$42, 21.4301, 21.4301) * CHOOSE(CONTROL!$C$21, $C$9, 100%, $E$9)</f>
        <v>21.430099999999999</v>
      </c>
      <c r="D700" s="10">
        <f>CHOOSE(CONTROL!$C$42, 21.6118, 21.6118) * CHOOSE(CONTROL!$C$21, $C$9, 100%, $E$9)</f>
        <v>21.611799999999999</v>
      </c>
      <c r="E700" s="10">
        <f>CHOOSE(CONTROL!$C$42, 21.6436, 21.6436) * CHOOSE(CONTROL!$C$21, $C$9, 100%, $E$9)</f>
        <v>21.643599999999999</v>
      </c>
      <c r="F700" s="10">
        <f>CHOOSE(CONTROL!$C$42, 21.4141, 21.4141)*CHOOSE(CONTROL!$C$21, $C$9, 100%, $E$9)</f>
        <v>21.414100000000001</v>
      </c>
      <c r="G700" s="10">
        <f>CHOOSE(CONTROL!$C$42, 21.432, 21.432)*CHOOSE(CONTROL!$C$21, $C$9, 100%, $E$9)</f>
        <v>21.431999999999999</v>
      </c>
      <c r="H700" s="10">
        <f>CHOOSE(CONTROL!$C$42, 21.6334, 21.6334) * CHOOSE(CONTROL!$C$21, $C$9, 100%, $E$9)</f>
        <v>21.633400000000002</v>
      </c>
      <c r="I700" s="10">
        <f>CHOOSE(CONTROL!$C$42, 21.404, 21.404)* CHOOSE(CONTROL!$C$21, $C$9, 100%, $E$9)</f>
        <v>21.404</v>
      </c>
      <c r="J700" s="10">
        <f>CHOOSE(CONTROL!$C$42, 21.4071, 21.4071)* CHOOSE(CONTROL!$C$21, $C$9, 100%, $E$9)</f>
        <v>21.4071</v>
      </c>
      <c r="K700" s="54">
        <f>CHOOSE(CONTROL!$C$42, 21.4001, 21.4001) * CHOOSE(CONTROL!$C$21, $C$9, 100%, $E$9)</f>
        <v>21.400099999999998</v>
      </c>
      <c r="L700" s="10">
        <f>CHOOSE(CONTROL!$C$42, 22.2204, 22.2204) * CHOOSE(CONTROL!$C$21, $C$9, 100%, $E$9)</f>
        <v>22.220400000000001</v>
      </c>
      <c r="M700" s="10">
        <f>CHOOSE(CONTROL!$C$42, 21.2049, 21.2049) * CHOOSE(CONTROL!$C$21, $C$9, 100%, $E$9)</f>
        <v>21.204899999999999</v>
      </c>
      <c r="N700" s="10">
        <f>CHOOSE(CONTROL!$C$42, 21.2227, 21.2227) * CHOOSE(CONTROL!$C$21, $C$9, 100%, $E$9)</f>
        <v>21.2227</v>
      </c>
      <c r="O700" s="10">
        <f>CHOOSE(CONTROL!$C$42, 21.4289, 21.4289) * CHOOSE(CONTROL!$C$21, $C$9, 100%, $E$9)</f>
        <v>21.428899999999999</v>
      </c>
      <c r="P700" s="10">
        <f>CHOOSE(CONTROL!$C$42, 21.2019, 21.2019) * CHOOSE(CONTROL!$C$21, $C$9, 100%, $E$9)</f>
        <v>21.201899999999998</v>
      </c>
      <c r="Q700" s="10">
        <f>CHOOSE(CONTROL!$C$42, 22.0242, 22.0242) * CHOOSE(CONTROL!$C$21, $C$9, 100%, $E$9)</f>
        <v>22.0242</v>
      </c>
      <c r="R700" s="10">
        <f>CHOOSE(CONTROL!$C$42, 22.6662, 22.6662) * CHOOSE(CONTROL!$C$21, $C$9, 100%, $E$9)</f>
        <v>22.6662</v>
      </c>
      <c r="S700" s="10">
        <f>CHOOSE(CONTROL!$C$42, 20.8036, 20.8036) * CHOOSE(CONTROL!$C$21, $C$9, 100%, $E$9)</f>
        <v>20.803599999999999</v>
      </c>
      <c r="T700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00" s="58">
        <f>(1000*CHOOSE(CONTROL!$C$42, 695, 695)*CHOOSE(CONTROL!$C$42, 0.5599, 0.5599)*CHOOSE(CONTROL!$C$42, 30, 30))/1000000</f>
        <v>11.673914999999997</v>
      </c>
      <c r="V700" s="58">
        <f>(1000*CHOOSE(CONTROL!$C$42, 500, 500)*CHOOSE(CONTROL!$C$42, 0.275, 0.275)*CHOOSE(CONTROL!$C$42, 30, 30))/1000000</f>
        <v>4.125</v>
      </c>
      <c r="W700" s="58">
        <f>(1000*CHOOSE(CONTROL!$C$42, 0.1146, 0.1146)*CHOOSE(CONTROL!$C$42, 121.5, 121.5)*CHOOSE(CONTROL!$C$42, 30, 30))/1000000</f>
        <v>0.417717</v>
      </c>
      <c r="X700" s="58">
        <f>(30*0.1790888*245000/1000000)+(30*0.2374*100000/1000000)</f>
        <v>2.0285026799999999</v>
      </c>
      <c r="Y700" s="58"/>
      <c r="Z700" s="10"/>
      <c r="AA700" s="57"/>
      <c r="AB700" s="51">
        <f>(B700*141.293+C700*267.993+D700*115.016+E700*89.698+F700*40+G700*185+H700*0+I700*100+J700*300)/(141.293+267.993+115.016+89.698+0+40+185+100+300)</f>
        <v>21.454013430992738</v>
      </c>
      <c r="AC700" s="27">
        <f>(M700*'RAP TEMPLATE-GAS AVAILABILITY'!O699+N700*'RAP TEMPLATE-GAS AVAILABILITY'!P699+O700*'RAP TEMPLATE-GAS AVAILABILITY'!Q699+P700*'RAP TEMPLATE-GAS AVAILABILITY'!R699)/('RAP TEMPLATE-GAS AVAILABILITY'!O699+'RAP TEMPLATE-GAS AVAILABILITY'!P699+'RAP TEMPLATE-GAS AVAILABILITY'!Q699+'RAP TEMPLATE-GAS AVAILABILITY'!R699)</f>
        <v>21.307017985611513</v>
      </c>
    </row>
    <row r="701" spans="1:29" ht="15.75" x14ac:dyDescent="0.25">
      <c r="A701" s="13">
        <v>62609</v>
      </c>
      <c r="B701" s="10">
        <f>CHOOSE(CONTROL!$C$42, 21.6166, 21.6166) * CHOOSE(CONTROL!$C$21, $C$9, 100%, $E$9)</f>
        <v>21.616599999999998</v>
      </c>
      <c r="C701" s="10">
        <f>CHOOSE(CONTROL!$C$42, 21.6245, 21.6245) * CHOOSE(CONTROL!$C$21, $C$9, 100%, $E$9)</f>
        <v>21.624500000000001</v>
      </c>
      <c r="D701" s="10">
        <f>CHOOSE(CONTROL!$C$42, 21.803, 21.803) * CHOOSE(CONTROL!$C$21, $C$9, 100%, $E$9)</f>
        <v>21.803000000000001</v>
      </c>
      <c r="E701" s="10">
        <f>CHOOSE(CONTROL!$C$42, 21.8342, 21.8342) * CHOOSE(CONTROL!$C$21, $C$9, 100%, $E$9)</f>
        <v>21.834199999999999</v>
      </c>
      <c r="F701" s="10">
        <f>CHOOSE(CONTROL!$C$42, 21.6028, 21.6028)*CHOOSE(CONTROL!$C$21, $C$9, 100%, $E$9)</f>
        <v>21.602799999999998</v>
      </c>
      <c r="G701" s="10">
        <f>CHOOSE(CONTROL!$C$42, 21.621, 21.621)*CHOOSE(CONTROL!$C$21, $C$9, 100%, $E$9)</f>
        <v>21.620999999999999</v>
      </c>
      <c r="H701" s="10">
        <f>CHOOSE(CONTROL!$C$42, 21.8228, 21.8228) * CHOOSE(CONTROL!$C$21, $C$9, 100%, $E$9)</f>
        <v>21.822800000000001</v>
      </c>
      <c r="I701" s="10">
        <f>CHOOSE(CONTROL!$C$42, 21.5935, 21.5935)* CHOOSE(CONTROL!$C$21, $C$9, 100%, $E$9)</f>
        <v>21.593499999999999</v>
      </c>
      <c r="J701" s="10">
        <f>CHOOSE(CONTROL!$C$42, 21.5958, 21.5958)* CHOOSE(CONTROL!$C$21, $C$9, 100%, $E$9)</f>
        <v>21.595800000000001</v>
      </c>
      <c r="K701" s="54">
        <f>CHOOSE(CONTROL!$C$42, 21.5896, 21.5896) * CHOOSE(CONTROL!$C$21, $C$9, 100%, $E$9)</f>
        <v>21.589600000000001</v>
      </c>
      <c r="L701" s="10">
        <f>CHOOSE(CONTROL!$C$42, 22.4098, 22.4098) * CHOOSE(CONTROL!$C$21, $C$9, 100%, $E$9)</f>
        <v>22.409800000000001</v>
      </c>
      <c r="M701" s="10">
        <f>CHOOSE(CONTROL!$C$42, 21.3917, 21.3917) * CHOOSE(CONTROL!$C$21, $C$9, 100%, $E$9)</f>
        <v>21.3917</v>
      </c>
      <c r="N701" s="10">
        <f>CHOOSE(CONTROL!$C$42, 21.4097, 21.4097) * CHOOSE(CONTROL!$C$21, $C$9, 100%, $E$9)</f>
        <v>21.409700000000001</v>
      </c>
      <c r="O701" s="10">
        <f>CHOOSE(CONTROL!$C$42, 21.6164, 21.6164) * CHOOSE(CONTROL!$C$21, $C$9, 100%, $E$9)</f>
        <v>21.616399999999999</v>
      </c>
      <c r="P701" s="10">
        <f>CHOOSE(CONTROL!$C$42, 21.3894, 21.3894) * CHOOSE(CONTROL!$C$21, $C$9, 100%, $E$9)</f>
        <v>21.389399999999998</v>
      </c>
      <c r="Q701" s="10">
        <f>CHOOSE(CONTROL!$C$42, 22.2117, 22.2117) * CHOOSE(CONTROL!$C$21, $C$9, 100%, $E$9)</f>
        <v>22.2117</v>
      </c>
      <c r="R701" s="10">
        <f>CHOOSE(CONTROL!$C$42, 22.8542, 22.8542) * CHOOSE(CONTROL!$C$21, $C$9, 100%, $E$9)</f>
        <v>22.854199999999999</v>
      </c>
      <c r="S701" s="10">
        <f>CHOOSE(CONTROL!$C$42, 20.9876, 20.9876) * CHOOSE(CONTROL!$C$21, $C$9, 100%, $E$9)</f>
        <v>20.9876</v>
      </c>
      <c r="T701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01" s="58">
        <f>(1000*CHOOSE(CONTROL!$C$42, 695, 695)*CHOOSE(CONTROL!$C$42, 0.5599, 0.5599)*CHOOSE(CONTROL!$C$42, 31, 31))/1000000</f>
        <v>12.063045499999998</v>
      </c>
      <c r="V701" s="58">
        <f>(1000*CHOOSE(CONTROL!$C$42, 500, 500)*CHOOSE(CONTROL!$C$42, 0.275, 0.275)*CHOOSE(CONTROL!$C$42, 31, 31))/1000000</f>
        <v>4.2625000000000002</v>
      </c>
      <c r="W701" s="58">
        <f>(1000*CHOOSE(CONTROL!$C$42, 0.1146, 0.1146)*CHOOSE(CONTROL!$C$42, 121.5, 121.5)*CHOOSE(CONTROL!$C$42, 31, 31))/1000000</f>
        <v>0.43164089999999994</v>
      </c>
      <c r="X701" s="58">
        <f>(31*0.1790888*245000/1000000)+(31*0.2374*100000/1000000)</f>
        <v>2.0961194359999999</v>
      </c>
      <c r="Y701" s="58"/>
      <c r="Z701" s="10"/>
      <c r="AA701" s="57"/>
      <c r="AB701" s="51">
        <f>(B701*194.205+C701*267.466+D701*133.845+E701*53.484+F701*40+G701*185+H701*0+I701*100+J701*300)/(194.205+267.466+133.845+53.484+0+40+185+100+300)</f>
        <v>21.640471120722136</v>
      </c>
      <c r="AC701" s="27">
        <f>(M701*'RAP TEMPLATE-GAS AVAILABILITY'!O700+N701*'RAP TEMPLATE-GAS AVAILABILITY'!P700+O701*'RAP TEMPLATE-GAS AVAILABILITY'!Q700+P701*'RAP TEMPLATE-GAS AVAILABILITY'!R700)/('RAP TEMPLATE-GAS AVAILABILITY'!O700+'RAP TEMPLATE-GAS AVAILABILITY'!P700+'RAP TEMPLATE-GAS AVAILABILITY'!Q700+'RAP TEMPLATE-GAS AVAILABILITY'!R700)</f>
        <v>21.494247482014387</v>
      </c>
    </row>
    <row r="702" spans="1:29" ht="15.75" x14ac:dyDescent="0.25">
      <c r="A702" s="13">
        <v>62639</v>
      </c>
      <c r="B702" s="10">
        <f>CHOOSE(CONTROL!$C$42, 22.2296, 22.2296) * CHOOSE(CONTROL!$C$21, $C$9, 100%, $E$9)</f>
        <v>22.229600000000001</v>
      </c>
      <c r="C702" s="10">
        <f>CHOOSE(CONTROL!$C$42, 22.2375, 22.2375) * CHOOSE(CONTROL!$C$21, $C$9, 100%, $E$9)</f>
        <v>22.237500000000001</v>
      </c>
      <c r="D702" s="10">
        <f>CHOOSE(CONTROL!$C$42, 22.4161, 22.4161) * CHOOSE(CONTROL!$C$21, $C$9, 100%, $E$9)</f>
        <v>22.4161</v>
      </c>
      <c r="E702" s="10">
        <f>CHOOSE(CONTROL!$C$42, 22.4472, 22.4472) * CHOOSE(CONTROL!$C$21, $C$9, 100%, $E$9)</f>
        <v>22.447199999999999</v>
      </c>
      <c r="F702" s="10">
        <f>CHOOSE(CONTROL!$C$42, 22.2161, 22.2161)*CHOOSE(CONTROL!$C$21, $C$9, 100%, $E$9)</f>
        <v>22.216100000000001</v>
      </c>
      <c r="G702" s="10">
        <f>CHOOSE(CONTROL!$C$42, 22.2343, 22.2343)*CHOOSE(CONTROL!$C$21, $C$9, 100%, $E$9)</f>
        <v>22.234300000000001</v>
      </c>
      <c r="H702" s="10">
        <f>CHOOSE(CONTROL!$C$42, 22.4358, 22.4358) * CHOOSE(CONTROL!$C$21, $C$9, 100%, $E$9)</f>
        <v>22.4358</v>
      </c>
      <c r="I702" s="10">
        <f>CHOOSE(CONTROL!$C$42, 22.2065, 22.2065)* CHOOSE(CONTROL!$C$21, $C$9, 100%, $E$9)</f>
        <v>22.206499999999998</v>
      </c>
      <c r="J702" s="10">
        <f>CHOOSE(CONTROL!$C$42, 22.2091, 22.2091)* CHOOSE(CONTROL!$C$21, $C$9, 100%, $E$9)</f>
        <v>22.209099999999999</v>
      </c>
      <c r="K702" s="54">
        <f>CHOOSE(CONTROL!$C$42, 22.2026, 22.2026) * CHOOSE(CONTROL!$C$21, $C$9, 100%, $E$9)</f>
        <v>22.2026</v>
      </c>
      <c r="L702" s="10">
        <f>CHOOSE(CONTROL!$C$42, 23.0228, 23.0228) * CHOOSE(CONTROL!$C$21, $C$9, 100%, $E$9)</f>
        <v>23.0228</v>
      </c>
      <c r="M702" s="10">
        <f>CHOOSE(CONTROL!$C$42, 21.9988, 21.9988) * CHOOSE(CONTROL!$C$21, $C$9, 100%, $E$9)</f>
        <v>21.998799999999999</v>
      </c>
      <c r="N702" s="10">
        <f>CHOOSE(CONTROL!$C$42, 22.0168, 22.0168) * CHOOSE(CONTROL!$C$21, $C$9, 100%, $E$9)</f>
        <v>22.0168</v>
      </c>
      <c r="O702" s="10">
        <f>CHOOSE(CONTROL!$C$42, 22.2233, 22.2233) * CHOOSE(CONTROL!$C$21, $C$9, 100%, $E$9)</f>
        <v>22.223299999999998</v>
      </c>
      <c r="P702" s="10">
        <f>CHOOSE(CONTROL!$C$42, 21.9963, 21.9963) * CHOOSE(CONTROL!$C$21, $C$9, 100%, $E$9)</f>
        <v>21.996300000000002</v>
      </c>
      <c r="Q702" s="10">
        <f>CHOOSE(CONTROL!$C$42, 22.8186, 22.8186) * CHOOSE(CONTROL!$C$21, $C$9, 100%, $E$9)</f>
        <v>22.8186</v>
      </c>
      <c r="R702" s="10">
        <f>CHOOSE(CONTROL!$C$42, 23.4626, 23.4626) * CHOOSE(CONTROL!$C$21, $C$9, 100%, $E$9)</f>
        <v>23.462599999999998</v>
      </c>
      <c r="S702" s="10">
        <f>CHOOSE(CONTROL!$C$42, 21.5829, 21.5829) * CHOOSE(CONTROL!$C$21, $C$9, 100%, $E$9)</f>
        <v>21.582899999999999</v>
      </c>
      <c r="T702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02" s="58">
        <f>(1000*CHOOSE(CONTROL!$C$42, 695, 695)*CHOOSE(CONTROL!$C$42, 0.5599, 0.5599)*CHOOSE(CONTROL!$C$42, 30, 30))/1000000</f>
        <v>11.673914999999997</v>
      </c>
      <c r="V702" s="58">
        <f>(1000*CHOOSE(CONTROL!$C$42, 500, 500)*CHOOSE(CONTROL!$C$42, 0.275, 0.275)*CHOOSE(CONTROL!$C$42, 30, 30))/1000000</f>
        <v>4.125</v>
      </c>
      <c r="W702" s="58">
        <f>(1000*CHOOSE(CONTROL!$C$42, 0.1146, 0.1146)*CHOOSE(CONTROL!$C$42, 121.5, 121.5)*CHOOSE(CONTROL!$C$42, 30, 30))/1000000</f>
        <v>0.417717</v>
      </c>
      <c r="X702" s="58">
        <f>(30*0.1790888*245000/1000000)+(30*0.2374*100000/1000000)</f>
        <v>2.0285026799999999</v>
      </c>
      <c r="Y702" s="58"/>
      <c r="Z702" s="10"/>
      <c r="AA702" s="57"/>
      <c r="AB702" s="51">
        <f>(B702*194.205+C702*267.466+D702*133.845+E702*53.484+F702*40+G702*185+H702*0+I702*100+J702*300)/(194.205+267.466+133.845+53.484+0+40+185+100+300)</f>
        <v>22.253605252982734</v>
      </c>
      <c r="AC702" s="27">
        <f>(M702*'RAP TEMPLATE-GAS AVAILABILITY'!O701+N702*'RAP TEMPLATE-GAS AVAILABILITY'!P701+O702*'RAP TEMPLATE-GAS AVAILABILITY'!Q701+P702*'RAP TEMPLATE-GAS AVAILABILITY'!R701)/('RAP TEMPLATE-GAS AVAILABILITY'!O701+'RAP TEMPLATE-GAS AVAILABILITY'!P701+'RAP TEMPLATE-GAS AVAILABILITY'!Q701+'RAP TEMPLATE-GAS AVAILABILITY'!R701)</f>
        <v>22.101228057553957</v>
      </c>
    </row>
    <row r="703" spans="1:29" ht="15.75" x14ac:dyDescent="0.25">
      <c r="A703" s="13">
        <v>62670</v>
      </c>
      <c r="B703" s="10">
        <f>CHOOSE(CONTROL!$C$42, 21.8033, 21.8033) * CHOOSE(CONTROL!$C$21, $C$9, 100%, $E$9)</f>
        <v>21.8033</v>
      </c>
      <c r="C703" s="10">
        <f>CHOOSE(CONTROL!$C$42, 21.8112, 21.8112) * CHOOSE(CONTROL!$C$21, $C$9, 100%, $E$9)</f>
        <v>21.811199999999999</v>
      </c>
      <c r="D703" s="10">
        <f>CHOOSE(CONTROL!$C$42, 21.9897, 21.9897) * CHOOSE(CONTROL!$C$21, $C$9, 100%, $E$9)</f>
        <v>21.989699999999999</v>
      </c>
      <c r="E703" s="10">
        <f>CHOOSE(CONTROL!$C$42, 22.0208, 22.0208) * CHOOSE(CONTROL!$C$21, $C$9, 100%, $E$9)</f>
        <v>22.020800000000001</v>
      </c>
      <c r="F703" s="10">
        <f>CHOOSE(CONTROL!$C$42, 21.79, 21.79)*CHOOSE(CONTROL!$C$21, $C$9, 100%, $E$9)</f>
        <v>21.79</v>
      </c>
      <c r="G703" s="10">
        <f>CHOOSE(CONTROL!$C$42, 21.8083, 21.8083)*CHOOSE(CONTROL!$C$21, $C$9, 100%, $E$9)</f>
        <v>21.808299999999999</v>
      </c>
      <c r="H703" s="10">
        <f>CHOOSE(CONTROL!$C$42, 22.0095, 22.0095) * CHOOSE(CONTROL!$C$21, $C$9, 100%, $E$9)</f>
        <v>22.009499999999999</v>
      </c>
      <c r="I703" s="10">
        <f>CHOOSE(CONTROL!$C$42, 21.7801, 21.7801)* CHOOSE(CONTROL!$C$21, $C$9, 100%, $E$9)</f>
        <v>21.780100000000001</v>
      </c>
      <c r="J703" s="10">
        <f>CHOOSE(CONTROL!$C$42, 21.783, 21.783)* CHOOSE(CONTROL!$C$21, $C$9, 100%, $E$9)</f>
        <v>21.783000000000001</v>
      </c>
      <c r="K703" s="54">
        <f>CHOOSE(CONTROL!$C$42, 21.7762, 21.7762) * CHOOSE(CONTROL!$C$21, $C$9, 100%, $E$9)</f>
        <v>21.776199999999999</v>
      </c>
      <c r="L703" s="10">
        <f>CHOOSE(CONTROL!$C$42, 22.5965, 22.5965) * CHOOSE(CONTROL!$C$21, $C$9, 100%, $E$9)</f>
        <v>22.596499999999999</v>
      </c>
      <c r="M703" s="10">
        <f>CHOOSE(CONTROL!$C$42, 21.577, 21.577) * CHOOSE(CONTROL!$C$21, $C$9, 100%, $E$9)</f>
        <v>21.577000000000002</v>
      </c>
      <c r="N703" s="10">
        <f>CHOOSE(CONTROL!$C$42, 21.5951, 21.5951) * CHOOSE(CONTROL!$C$21, $C$9, 100%, $E$9)</f>
        <v>21.595099999999999</v>
      </c>
      <c r="O703" s="10">
        <f>CHOOSE(CONTROL!$C$42, 21.8012, 21.8012) * CHOOSE(CONTROL!$C$21, $C$9, 100%, $E$9)</f>
        <v>21.801200000000001</v>
      </c>
      <c r="P703" s="10">
        <f>CHOOSE(CONTROL!$C$42, 21.5742, 21.5742) * CHOOSE(CONTROL!$C$21, $C$9, 100%, $E$9)</f>
        <v>21.574200000000001</v>
      </c>
      <c r="Q703" s="10">
        <f>CHOOSE(CONTROL!$C$42, 22.3965, 22.3965) * CHOOSE(CONTROL!$C$21, $C$9, 100%, $E$9)</f>
        <v>22.3965</v>
      </c>
      <c r="R703" s="10">
        <f>CHOOSE(CONTROL!$C$42, 23.0395, 23.0395) * CHOOSE(CONTROL!$C$21, $C$9, 100%, $E$9)</f>
        <v>23.0395</v>
      </c>
      <c r="S703" s="10">
        <f>CHOOSE(CONTROL!$C$42, 21.1689, 21.1689) * CHOOSE(CONTROL!$C$21, $C$9, 100%, $E$9)</f>
        <v>21.168900000000001</v>
      </c>
      <c r="T703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03" s="58">
        <f>(1000*CHOOSE(CONTROL!$C$42, 695, 695)*CHOOSE(CONTROL!$C$42, 0.5599, 0.5599)*CHOOSE(CONTROL!$C$42, 31, 31))/1000000</f>
        <v>12.063045499999998</v>
      </c>
      <c r="V703" s="58">
        <f>(1000*CHOOSE(CONTROL!$C$42, 500, 500)*CHOOSE(CONTROL!$C$42, 0.275, 0.275)*CHOOSE(CONTROL!$C$42, 31, 31))/1000000</f>
        <v>4.2625000000000002</v>
      </c>
      <c r="W703" s="58">
        <f>(1000*CHOOSE(CONTROL!$C$42, 0.1146, 0.1146)*CHOOSE(CONTROL!$C$42, 121.5, 121.5)*CHOOSE(CONTROL!$C$42, 31, 31))/1000000</f>
        <v>0.43164089999999994</v>
      </c>
      <c r="X703" s="58">
        <f>(31*0.1790888*245000/1000000)+(31*0.2374*100000/1000000)</f>
        <v>2.0961194359999999</v>
      </c>
      <c r="Y703" s="58"/>
      <c r="Z703" s="10"/>
      <c r="AA703" s="57"/>
      <c r="AB703" s="51">
        <f>(B703*194.205+C703*267.466+D703*133.845+E703*53.484+F703*40+G703*185+H703*0+I703*100+J703*300)/(194.205+267.466+133.845+53.484+0+40+185+100+300)</f>
        <v>21.827379638461544</v>
      </c>
      <c r="AC703" s="27">
        <f>(M703*'RAP TEMPLATE-GAS AVAILABILITY'!O702+N703*'RAP TEMPLATE-GAS AVAILABILITY'!P702+O703*'RAP TEMPLATE-GAS AVAILABILITY'!Q702+P703*'RAP TEMPLATE-GAS AVAILABILITY'!R702)/('RAP TEMPLATE-GAS AVAILABILITY'!O702+'RAP TEMPLATE-GAS AVAILABILITY'!P702+'RAP TEMPLATE-GAS AVAILABILITY'!Q702+'RAP TEMPLATE-GAS AVAILABILITY'!R702)</f>
        <v>21.679254676258992</v>
      </c>
    </row>
    <row r="704" spans="1:29" ht="15.75" x14ac:dyDescent="0.25">
      <c r="A704" s="13">
        <v>62701</v>
      </c>
      <c r="B704" s="10">
        <f>CHOOSE(CONTROL!$C$42, 20.7266, 20.7266) * CHOOSE(CONTROL!$C$21, $C$9, 100%, $E$9)</f>
        <v>20.726600000000001</v>
      </c>
      <c r="C704" s="10">
        <f>CHOOSE(CONTROL!$C$42, 20.7345, 20.7345) * CHOOSE(CONTROL!$C$21, $C$9, 100%, $E$9)</f>
        <v>20.734500000000001</v>
      </c>
      <c r="D704" s="10">
        <f>CHOOSE(CONTROL!$C$42, 20.913, 20.913) * CHOOSE(CONTROL!$C$21, $C$9, 100%, $E$9)</f>
        <v>20.913</v>
      </c>
      <c r="E704" s="10">
        <f>CHOOSE(CONTROL!$C$42, 20.9441, 20.9441) * CHOOSE(CONTROL!$C$21, $C$9, 100%, $E$9)</f>
        <v>20.944099999999999</v>
      </c>
      <c r="F704" s="10">
        <f>CHOOSE(CONTROL!$C$42, 20.7132, 20.7132)*CHOOSE(CONTROL!$C$21, $C$9, 100%, $E$9)</f>
        <v>20.713200000000001</v>
      </c>
      <c r="G704" s="10">
        <f>CHOOSE(CONTROL!$C$42, 20.7315, 20.7315)*CHOOSE(CONTROL!$C$21, $C$9, 100%, $E$9)</f>
        <v>20.7315</v>
      </c>
      <c r="H704" s="10">
        <f>CHOOSE(CONTROL!$C$42, 20.9328, 20.9328) * CHOOSE(CONTROL!$C$21, $C$9, 100%, $E$9)</f>
        <v>20.9328</v>
      </c>
      <c r="I704" s="10">
        <f>CHOOSE(CONTROL!$C$42, 20.7034, 20.7034)* CHOOSE(CONTROL!$C$21, $C$9, 100%, $E$9)</f>
        <v>20.703399999999998</v>
      </c>
      <c r="J704" s="10">
        <f>CHOOSE(CONTROL!$C$42, 20.7062, 20.7062)* CHOOSE(CONTROL!$C$21, $C$9, 100%, $E$9)</f>
        <v>20.706199999999999</v>
      </c>
      <c r="K704" s="54">
        <f>CHOOSE(CONTROL!$C$42, 20.6995, 20.6995) * CHOOSE(CONTROL!$C$21, $C$9, 100%, $E$9)</f>
        <v>20.6995</v>
      </c>
      <c r="L704" s="10">
        <f>CHOOSE(CONTROL!$C$42, 21.5198, 21.5198) * CHOOSE(CONTROL!$C$21, $C$9, 100%, $E$9)</f>
        <v>21.5198</v>
      </c>
      <c r="M704" s="10">
        <f>CHOOSE(CONTROL!$C$42, 20.5111, 20.5111) * CHOOSE(CONTROL!$C$21, $C$9, 100%, $E$9)</f>
        <v>20.511099999999999</v>
      </c>
      <c r="N704" s="10">
        <f>CHOOSE(CONTROL!$C$42, 20.5292, 20.5292) * CHOOSE(CONTROL!$C$21, $C$9, 100%, $E$9)</f>
        <v>20.529199999999999</v>
      </c>
      <c r="O704" s="10">
        <f>CHOOSE(CONTROL!$C$42, 20.7354, 20.7354) * CHOOSE(CONTROL!$C$21, $C$9, 100%, $E$9)</f>
        <v>20.735399999999998</v>
      </c>
      <c r="P704" s="10">
        <f>CHOOSE(CONTROL!$C$42, 20.5084, 20.5084) * CHOOSE(CONTROL!$C$21, $C$9, 100%, $E$9)</f>
        <v>20.508400000000002</v>
      </c>
      <c r="Q704" s="10">
        <f>CHOOSE(CONTROL!$C$42, 21.3307, 21.3307) * CHOOSE(CONTROL!$C$21, $C$9, 100%, $E$9)</f>
        <v>21.3307</v>
      </c>
      <c r="R704" s="10">
        <f>CHOOSE(CONTROL!$C$42, 21.971, 21.971) * CHOOSE(CONTROL!$C$21, $C$9, 100%, $E$9)</f>
        <v>21.971</v>
      </c>
      <c r="S704" s="10">
        <f>CHOOSE(CONTROL!$C$42, 20.1233, 20.1233) * CHOOSE(CONTROL!$C$21, $C$9, 100%, $E$9)</f>
        <v>20.1233</v>
      </c>
      <c r="T704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704" s="58">
        <f>(1000*CHOOSE(CONTROL!$C$42, 695, 695)*CHOOSE(CONTROL!$C$42, 0.5599, 0.5599)*CHOOSE(CONTROL!$C$42, 31, 31))/1000000</f>
        <v>12.063045499999998</v>
      </c>
      <c r="V704" s="58">
        <f>(1000*CHOOSE(CONTROL!$C$42, 500, 500)*CHOOSE(CONTROL!$C$42, 0.275, 0.275)*CHOOSE(CONTROL!$C$42, 31, 31))/1000000</f>
        <v>4.2625000000000002</v>
      </c>
      <c r="W704" s="58">
        <f>(1000*CHOOSE(CONTROL!$C$42, 0.1146, 0.1146)*CHOOSE(CONTROL!$C$42, 121.5, 121.5)*CHOOSE(CONTROL!$C$42, 31, 31))/1000000</f>
        <v>0.43164089999999994</v>
      </c>
      <c r="X704" s="58">
        <f>(31*0.1790888*245000/1000000)+(31*0.2374*100000/1000000)</f>
        <v>2.0961194359999999</v>
      </c>
      <c r="Y704" s="58"/>
      <c r="Z704" s="10"/>
      <c r="AA704" s="57"/>
      <c r="AB704" s="51">
        <f>(B704*194.205+C704*267.466+D704*133.845+E704*53.484+F704*40+G704*185+H704*0+I704*100+J704*300)/(194.205+267.466+133.845+53.484+0+40+185+100+300)</f>
        <v>20.750638429670328</v>
      </c>
      <c r="AC704" s="27">
        <f>(M704*'RAP TEMPLATE-GAS AVAILABILITY'!O703+N704*'RAP TEMPLATE-GAS AVAILABILITY'!P703+O704*'RAP TEMPLATE-GAS AVAILABILITY'!Q703+P704*'RAP TEMPLATE-GAS AVAILABILITY'!R703)/('RAP TEMPLATE-GAS AVAILABILITY'!O703+'RAP TEMPLATE-GAS AVAILABILITY'!P703+'RAP TEMPLATE-GAS AVAILABILITY'!Q703+'RAP TEMPLATE-GAS AVAILABILITY'!R703)</f>
        <v>20.613414388489208</v>
      </c>
    </row>
    <row r="705" spans="1:29" ht="15.75" x14ac:dyDescent="0.25">
      <c r="A705" s="13">
        <v>62731</v>
      </c>
      <c r="B705" s="10">
        <f>CHOOSE(CONTROL!$C$42, 19.411, 19.411) * CHOOSE(CONTROL!$C$21, $C$9, 100%, $E$9)</f>
        <v>19.411000000000001</v>
      </c>
      <c r="C705" s="10">
        <f>CHOOSE(CONTROL!$C$42, 19.4189, 19.4189) * CHOOSE(CONTROL!$C$21, $C$9, 100%, $E$9)</f>
        <v>19.418900000000001</v>
      </c>
      <c r="D705" s="10">
        <f>CHOOSE(CONTROL!$C$42, 19.5975, 19.5975) * CHOOSE(CONTROL!$C$21, $C$9, 100%, $E$9)</f>
        <v>19.5975</v>
      </c>
      <c r="E705" s="10">
        <f>CHOOSE(CONTROL!$C$42, 19.6286, 19.6286) * CHOOSE(CONTROL!$C$21, $C$9, 100%, $E$9)</f>
        <v>19.628599999999999</v>
      </c>
      <c r="F705" s="10">
        <f>CHOOSE(CONTROL!$C$42, 19.3974, 19.3974)*CHOOSE(CONTROL!$C$21, $C$9, 100%, $E$9)</f>
        <v>19.397400000000001</v>
      </c>
      <c r="G705" s="10">
        <f>CHOOSE(CONTROL!$C$42, 19.4156, 19.4156)*CHOOSE(CONTROL!$C$21, $C$9, 100%, $E$9)</f>
        <v>19.415600000000001</v>
      </c>
      <c r="H705" s="10">
        <f>CHOOSE(CONTROL!$C$42, 19.6172, 19.6172) * CHOOSE(CONTROL!$C$21, $C$9, 100%, $E$9)</f>
        <v>19.6172</v>
      </c>
      <c r="I705" s="10">
        <f>CHOOSE(CONTROL!$C$42, 19.3879, 19.3879)* CHOOSE(CONTROL!$C$21, $C$9, 100%, $E$9)</f>
        <v>19.387899999999998</v>
      </c>
      <c r="J705" s="10">
        <f>CHOOSE(CONTROL!$C$42, 19.3904, 19.3904)* CHOOSE(CONTROL!$C$21, $C$9, 100%, $E$9)</f>
        <v>19.3904</v>
      </c>
      <c r="K705" s="54">
        <f>CHOOSE(CONTROL!$C$42, 19.384, 19.384) * CHOOSE(CONTROL!$C$21, $C$9, 100%, $E$9)</f>
        <v>19.384</v>
      </c>
      <c r="L705" s="10">
        <f>CHOOSE(CONTROL!$C$42, 20.2042, 20.2042) * CHOOSE(CONTROL!$C$21, $C$9, 100%, $E$9)</f>
        <v>20.2042</v>
      </c>
      <c r="M705" s="10">
        <f>CHOOSE(CONTROL!$C$42, 19.2085, 19.2085) * CHOOSE(CONTROL!$C$21, $C$9, 100%, $E$9)</f>
        <v>19.208500000000001</v>
      </c>
      <c r="N705" s="10">
        <f>CHOOSE(CONTROL!$C$42, 19.2266, 19.2266) * CHOOSE(CONTROL!$C$21, $C$9, 100%, $E$9)</f>
        <v>19.226600000000001</v>
      </c>
      <c r="O705" s="10">
        <f>CHOOSE(CONTROL!$C$42, 19.4331, 19.4331) * CHOOSE(CONTROL!$C$21, $C$9, 100%, $E$9)</f>
        <v>19.4331</v>
      </c>
      <c r="P705" s="10">
        <f>CHOOSE(CONTROL!$C$42, 19.2061, 19.2061) * CHOOSE(CONTROL!$C$21, $C$9, 100%, $E$9)</f>
        <v>19.206099999999999</v>
      </c>
      <c r="Q705" s="10">
        <f>CHOOSE(CONTROL!$C$42, 20.0284, 20.0284) * CHOOSE(CONTROL!$C$21, $C$9, 100%, $E$9)</f>
        <v>20.028400000000001</v>
      </c>
      <c r="R705" s="10">
        <f>CHOOSE(CONTROL!$C$42, 20.6655, 20.6655) * CHOOSE(CONTROL!$C$21, $C$9, 100%, $E$9)</f>
        <v>20.665500000000002</v>
      </c>
      <c r="S705" s="10">
        <f>CHOOSE(CONTROL!$C$42, 18.8458, 18.8458) * CHOOSE(CONTROL!$C$21, $C$9, 100%, $E$9)</f>
        <v>18.845800000000001</v>
      </c>
      <c r="T705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705" s="58">
        <f>(1000*CHOOSE(CONTROL!$C$42, 695, 695)*CHOOSE(CONTROL!$C$42, 0.5599, 0.5599)*CHOOSE(CONTROL!$C$42, 30, 30))/1000000</f>
        <v>11.673914999999997</v>
      </c>
      <c r="V705" s="58">
        <f>(1000*CHOOSE(CONTROL!$C$42, 500, 500)*CHOOSE(CONTROL!$C$42, 0.275, 0.275)*CHOOSE(CONTROL!$C$42, 30, 30))/1000000</f>
        <v>4.125</v>
      </c>
      <c r="W705" s="58">
        <f>(1000*CHOOSE(CONTROL!$C$42, 0.1146, 0.1146)*CHOOSE(CONTROL!$C$42, 121.5, 121.5)*CHOOSE(CONTROL!$C$42, 30, 30))/1000000</f>
        <v>0.417717</v>
      </c>
      <c r="X705" s="58">
        <f>(30*0.1790888*245000/1000000)+(30*0.2374*100000/1000000)</f>
        <v>2.0285026799999999</v>
      </c>
      <c r="Y705" s="58"/>
      <c r="Z705" s="10"/>
      <c r="AA705" s="57"/>
      <c r="AB705" s="51">
        <f>(B705*194.205+C705*267.466+D705*133.845+E705*53.484+F705*40+G705*185+H705*0+I705*100+J705*300)/(194.205+267.466+133.845+53.484+0+40+185+100+300)</f>
        <v>19.434964044191524</v>
      </c>
      <c r="AC705" s="27">
        <f>(M705*'RAP TEMPLATE-GAS AVAILABILITY'!O704+N705*'RAP TEMPLATE-GAS AVAILABILITY'!P704+O705*'RAP TEMPLATE-GAS AVAILABILITY'!Q704+P705*'RAP TEMPLATE-GAS AVAILABILITY'!R704)/('RAP TEMPLATE-GAS AVAILABILITY'!O704+'RAP TEMPLATE-GAS AVAILABILITY'!P704+'RAP TEMPLATE-GAS AVAILABILITY'!Q704+'RAP TEMPLATE-GAS AVAILABILITY'!R704)</f>
        <v>19.310993525179857</v>
      </c>
    </row>
    <row r="706" spans="1:29" ht="15.75" x14ac:dyDescent="0.25">
      <c r="A706" s="13">
        <v>62762</v>
      </c>
      <c r="B706" s="10">
        <f>CHOOSE(CONTROL!$C$42, 19.0149, 19.0149) * CHOOSE(CONTROL!$C$21, $C$9, 100%, $E$9)</f>
        <v>19.014900000000001</v>
      </c>
      <c r="C706" s="10">
        <f>CHOOSE(CONTROL!$C$42, 19.0201, 19.0201) * CHOOSE(CONTROL!$C$21, $C$9, 100%, $E$9)</f>
        <v>19.020099999999999</v>
      </c>
      <c r="D706" s="10">
        <f>CHOOSE(CONTROL!$C$42, 19.2036, 19.2036) * CHOOSE(CONTROL!$C$21, $C$9, 100%, $E$9)</f>
        <v>19.203600000000002</v>
      </c>
      <c r="E706" s="10">
        <f>CHOOSE(CONTROL!$C$42, 19.2324, 19.2324) * CHOOSE(CONTROL!$C$21, $C$9, 100%, $E$9)</f>
        <v>19.232399999999998</v>
      </c>
      <c r="F706" s="10">
        <f>CHOOSE(CONTROL!$C$42, 19.0032, 19.0032)*CHOOSE(CONTROL!$C$21, $C$9, 100%, $E$9)</f>
        <v>19.0032</v>
      </c>
      <c r="G706" s="10">
        <f>CHOOSE(CONTROL!$C$42, 19.0211, 19.0211)*CHOOSE(CONTROL!$C$21, $C$9, 100%, $E$9)</f>
        <v>19.021100000000001</v>
      </c>
      <c r="H706" s="10">
        <f>CHOOSE(CONTROL!$C$42, 19.2228, 19.2228) * CHOOSE(CONTROL!$C$21, $C$9, 100%, $E$9)</f>
        <v>19.222799999999999</v>
      </c>
      <c r="I706" s="10">
        <f>CHOOSE(CONTROL!$C$42, 18.9935, 18.9935)* CHOOSE(CONTROL!$C$21, $C$9, 100%, $E$9)</f>
        <v>18.993500000000001</v>
      </c>
      <c r="J706" s="10">
        <f>CHOOSE(CONTROL!$C$42, 18.9962, 18.9962)* CHOOSE(CONTROL!$C$21, $C$9, 100%, $E$9)</f>
        <v>18.996200000000002</v>
      </c>
      <c r="K706" s="54">
        <f>CHOOSE(CONTROL!$C$42, 18.9896, 18.9896) * CHOOSE(CONTROL!$C$21, $C$9, 100%, $E$9)</f>
        <v>18.989599999999999</v>
      </c>
      <c r="L706" s="10">
        <f>CHOOSE(CONTROL!$C$42, 19.8098, 19.8098) * CHOOSE(CONTROL!$C$21, $C$9, 100%, $E$9)</f>
        <v>19.809799999999999</v>
      </c>
      <c r="M706" s="10">
        <f>CHOOSE(CONTROL!$C$42, 18.8183, 18.8183) * CHOOSE(CONTROL!$C$21, $C$9, 100%, $E$9)</f>
        <v>18.818300000000001</v>
      </c>
      <c r="N706" s="10">
        <f>CHOOSE(CONTROL!$C$42, 18.836, 18.836) * CHOOSE(CONTROL!$C$21, $C$9, 100%, $E$9)</f>
        <v>18.835999999999999</v>
      </c>
      <c r="O706" s="10">
        <f>CHOOSE(CONTROL!$C$42, 19.0427, 19.0427) * CHOOSE(CONTROL!$C$21, $C$9, 100%, $E$9)</f>
        <v>19.0427</v>
      </c>
      <c r="P706" s="10">
        <f>CHOOSE(CONTROL!$C$42, 18.8157, 18.8157) * CHOOSE(CONTROL!$C$21, $C$9, 100%, $E$9)</f>
        <v>18.8157</v>
      </c>
      <c r="Q706" s="10">
        <f>CHOOSE(CONTROL!$C$42, 19.638, 19.638) * CHOOSE(CONTROL!$C$21, $C$9, 100%, $E$9)</f>
        <v>19.638000000000002</v>
      </c>
      <c r="R706" s="10">
        <f>CHOOSE(CONTROL!$C$42, 20.2741, 20.2741) * CHOOSE(CONTROL!$C$21, $C$9, 100%, $E$9)</f>
        <v>20.274100000000001</v>
      </c>
      <c r="S706" s="10">
        <f>CHOOSE(CONTROL!$C$42, 18.4628, 18.4628) * CHOOSE(CONTROL!$C$21, $C$9, 100%, $E$9)</f>
        <v>18.462800000000001</v>
      </c>
      <c r="T706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06" s="58">
        <f>(1000*CHOOSE(CONTROL!$C$42, 695, 695)*CHOOSE(CONTROL!$C$42, 0.5599, 0.5599)*CHOOSE(CONTROL!$C$42, 31, 31))/1000000</f>
        <v>12.063045499999998</v>
      </c>
      <c r="V706" s="58">
        <f>(1000*CHOOSE(CONTROL!$C$42, 500, 500)*CHOOSE(CONTROL!$C$42, 0.275, 0.275)*CHOOSE(CONTROL!$C$42, 31, 31))/1000000</f>
        <v>4.2625000000000002</v>
      </c>
      <c r="W706" s="58">
        <f>(1000*CHOOSE(CONTROL!$C$42, 0.1146, 0.1146)*CHOOSE(CONTROL!$C$42, 121.5, 121.5)*CHOOSE(CONTROL!$C$42, 31, 31))/1000000</f>
        <v>0.43164089999999994</v>
      </c>
      <c r="X706" s="58">
        <f>(31*0.1790888*245000/1000000)+(31*0.2374*100000/1000000)</f>
        <v>2.0961194359999999</v>
      </c>
      <c r="Y706" s="58"/>
      <c r="Z706" s="10"/>
      <c r="AA706" s="57"/>
      <c r="AB706" s="51">
        <f>(B706*131.881+C706*277.167+D706*79.08+E706*125.872+F706*40+G706*185+H706*0+I706*100+J706*300)/(131.881+277.167+79.08+125.872+0+40+185+100+300)</f>
        <v>19.044496307021792</v>
      </c>
      <c r="AC706" s="27">
        <f>(M706*'RAP TEMPLATE-GAS AVAILABILITY'!O705+N706*'RAP TEMPLATE-GAS AVAILABILITY'!P705+O706*'RAP TEMPLATE-GAS AVAILABILITY'!Q705+P706*'RAP TEMPLATE-GAS AVAILABILITY'!R705)/('RAP TEMPLATE-GAS AVAILABILITY'!O705+'RAP TEMPLATE-GAS AVAILABILITY'!P705+'RAP TEMPLATE-GAS AVAILABILITY'!Q705+'RAP TEMPLATE-GAS AVAILABILITY'!R705)</f>
        <v>18.92065107913669</v>
      </c>
    </row>
    <row r="707" spans="1:29" ht="15.75" x14ac:dyDescent="0.25">
      <c r="A707" s="13">
        <v>62792</v>
      </c>
      <c r="B707" s="10">
        <f>CHOOSE(CONTROL!$C$42, 19.5153, 19.5153) * CHOOSE(CONTROL!$C$21, $C$9, 100%, $E$9)</f>
        <v>19.5153</v>
      </c>
      <c r="C707" s="10">
        <f>CHOOSE(CONTROL!$C$42, 19.5203, 19.5203) * CHOOSE(CONTROL!$C$21, $C$9, 100%, $E$9)</f>
        <v>19.520299999999999</v>
      </c>
      <c r="D707" s="10">
        <f>CHOOSE(CONTROL!$C$42, 19.5499, 19.5499) * CHOOSE(CONTROL!$C$21, $C$9, 100%, $E$9)</f>
        <v>19.549900000000001</v>
      </c>
      <c r="E707" s="10">
        <f>CHOOSE(CONTROL!$C$42, 19.5836, 19.5836) * CHOOSE(CONTROL!$C$21, $C$9, 100%, $E$9)</f>
        <v>19.583600000000001</v>
      </c>
      <c r="F707" s="10">
        <f>CHOOSE(CONTROL!$C$42, 19.5011, 19.5011)*CHOOSE(CONTROL!$C$21, $C$9, 100%, $E$9)</f>
        <v>19.501100000000001</v>
      </c>
      <c r="G707" s="10">
        <f>CHOOSE(CONTROL!$C$42, 19.5191, 19.5191)*CHOOSE(CONTROL!$C$21, $C$9, 100%, $E$9)</f>
        <v>19.519100000000002</v>
      </c>
      <c r="H707" s="10">
        <f>CHOOSE(CONTROL!$C$42, 19.5728, 19.5728) * CHOOSE(CONTROL!$C$21, $C$9, 100%, $E$9)</f>
        <v>19.572800000000001</v>
      </c>
      <c r="I707" s="10">
        <f>CHOOSE(CONTROL!$C$42, 19.4815, 19.4815)* CHOOSE(CONTROL!$C$21, $C$9, 100%, $E$9)</f>
        <v>19.4815</v>
      </c>
      <c r="J707" s="10">
        <f>CHOOSE(CONTROL!$C$42, 19.4941, 19.4941)* CHOOSE(CONTROL!$C$21, $C$9, 100%, $E$9)</f>
        <v>19.4941</v>
      </c>
      <c r="K707" s="54">
        <f>CHOOSE(CONTROL!$C$42, 19.4776, 19.4776) * CHOOSE(CONTROL!$C$21, $C$9, 100%, $E$9)</f>
        <v>19.477599999999999</v>
      </c>
      <c r="L707" s="10">
        <f>CHOOSE(CONTROL!$C$42, 20.1598, 20.1598) * CHOOSE(CONTROL!$C$21, $C$9, 100%, $E$9)</f>
        <v>20.159800000000001</v>
      </c>
      <c r="M707" s="10">
        <f>CHOOSE(CONTROL!$C$42, 19.3112, 19.3112) * CHOOSE(CONTROL!$C$21, $C$9, 100%, $E$9)</f>
        <v>19.311199999999999</v>
      </c>
      <c r="N707" s="10">
        <f>CHOOSE(CONTROL!$C$42, 19.329, 19.329) * CHOOSE(CONTROL!$C$21, $C$9, 100%, $E$9)</f>
        <v>19.329000000000001</v>
      </c>
      <c r="O707" s="10">
        <f>CHOOSE(CONTROL!$C$42, 19.3891, 19.3891) * CHOOSE(CONTROL!$C$21, $C$9, 100%, $E$9)</f>
        <v>19.389099999999999</v>
      </c>
      <c r="P707" s="10">
        <f>CHOOSE(CONTROL!$C$42, 19.2987, 19.2987) * CHOOSE(CONTROL!$C$21, $C$9, 100%, $E$9)</f>
        <v>19.2987</v>
      </c>
      <c r="Q707" s="10">
        <f>CHOOSE(CONTROL!$C$42, 19.9844, 19.9844) * CHOOSE(CONTROL!$C$21, $C$9, 100%, $E$9)</f>
        <v>19.984400000000001</v>
      </c>
      <c r="R707" s="10">
        <f>CHOOSE(CONTROL!$C$42, 20.6214, 20.6214) * CHOOSE(CONTROL!$C$21, $C$9, 100%, $E$9)</f>
        <v>20.621400000000001</v>
      </c>
      <c r="S707" s="10">
        <f>CHOOSE(CONTROL!$C$42, 18.9492, 18.9492) * CHOOSE(CONTROL!$C$21, $C$9, 100%, $E$9)</f>
        <v>18.949200000000001</v>
      </c>
      <c r="T707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07" s="58">
        <f>(1000*CHOOSE(CONTROL!$C$42, 695, 695)*CHOOSE(CONTROL!$C$42, 0.5599, 0.5599)*CHOOSE(CONTROL!$C$42, 30, 30))/1000000</f>
        <v>11.673914999999997</v>
      </c>
      <c r="V707" s="58">
        <f>(1000*CHOOSE(CONTROL!$C$42, 500, 500)*CHOOSE(CONTROL!$C$42, 0.275, 0.275)*CHOOSE(CONTROL!$C$42, 30, 30))/1000000</f>
        <v>4.125</v>
      </c>
      <c r="W707" s="58">
        <f>(1000*CHOOSE(CONTROL!$C$42, 0.1146, 0.1146)*CHOOSE(CONTROL!$C$42, 121.5, 121.5)*CHOOSE(CONTROL!$C$42, 30, 30))/1000000</f>
        <v>0.417717</v>
      </c>
      <c r="X707" s="58">
        <f>(30*0.1790888*100000/1000000)+(30*0.2374*100000/1000000)</f>
        <v>1.2494664</v>
      </c>
      <c r="Y707" s="58"/>
      <c r="Z707" s="10"/>
      <c r="AA707" s="57"/>
      <c r="AB707" s="51">
        <f>(B707*122.58+C707*297.941+D707*89.177+E707*40.302+F707*40+G707*160+H707*0+I707*100+J707*300)/(122.58+297.941+89.177+40.302+0+40+160+100+300)</f>
        <v>19.513237265913041</v>
      </c>
      <c r="AC707" s="27">
        <f>(M707*'RAP TEMPLATE-GAS AVAILABILITY'!O706+N707*'RAP TEMPLATE-GAS AVAILABILITY'!P706+O707*'RAP TEMPLATE-GAS AVAILABILITY'!Q706+P707*'RAP TEMPLATE-GAS AVAILABILITY'!R706)/('RAP TEMPLATE-GAS AVAILABILITY'!O706+'RAP TEMPLATE-GAS AVAILABILITY'!P706+'RAP TEMPLATE-GAS AVAILABILITY'!Q706+'RAP TEMPLATE-GAS AVAILABILITY'!R706)</f>
        <v>19.34573309352518</v>
      </c>
    </row>
    <row r="708" spans="1:29" ht="15.75" x14ac:dyDescent="0.25">
      <c r="A708" s="13">
        <v>62823</v>
      </c>
      <c r="B708" s="10">
        <f>CHOOSE(CONTROL!$C$42, 20.8456, 20.8456) * CHOOSE(CONTROL!$C$21, $C$9, 100%, $E$9)</f>
        <v>20.845600000000001</v>
      </c>
      <c r="C708" s="10">
        <f>CHOOSE(CONTROL!$C$42, 20.8506, 20.8506) * CHOOSE(CONTROL!$C$21, $C$9, 100%, $E$9)</f>
        <v>20.8506</v>
      </c>
      <c r="D708" s="10">
        <f>CHOOSE(CONTROL!$C$42, 20.8802, 20.8802) * CHOOSE(CONTROL!$C$21, $C$9, 100%, $E$9)</f>
        <v>20.880199999999999</v>
      </c>
      <c r="E708" s="10">
        <f>CHOOSE(CONTROL!$C$42, 20.914, 20.914) * CHOOSE(CONTROL!$C$21, $C$9, 100%, $E$9)</f>
        <v>20.914000000000001</v>
      </c>
      <c r="F708" s="10">
        <f>CHOOSE(CONTROL!$C$42, 20.8329, 20.8329)*CHOOSE(CONTROL!$C$21, $C$9, 100%, $E$9)</f>
        <v>20.832899999999999</v>
      </c>
      <c r="G708" s="10">
        <f>CHOOSE(CONTROL!$C$42, 20.8514, 20.8514)*CHOOSE(CONTROL!$C$21, $C$9, 100%, $E$9)</f>
        <v>20.851400000000002</v>
      </c>
      <c r="H708" s="10">
        <f>CHOOSE(CONTROL!$C$42, 20.9032, 20.9032) * CHOOSE(CONTROL!$C$21, $C$9, 100%, $E$9)</f>
        <v>20.903199999999998</v>
      </c>
      <c r="I708" s="10">
        <f>CHOOSE(CONTROL!$C$42, 20.8118, 20.8118)* CHOOSE(CONTROL!$C$21, $C$9, 100%, $E$9)</f>
        <v>20.811800000000002</v>
      </c>
      <c r="J708" s="10">
        <f>CHOOSE(CONTROL!$C$42, 20.8259, 20.8259)* CHOOSE(CONTROL!$C$21, $C$9, 100%, $E$9)</f>
        <v>20.825900000000001</v>
      </c>
      <c r="K708" s="54">
        <f>CHOOSE(CONTROL!$C$42, 20.8079, 20.8079) * CHOOSE(CONTROL!$C$21, $C$9, 100%, $E$9)</f>
        <v>20.8079</v>
      </c>
      <c r="L708" s="10">
        <f>CHOOSE(CONTROL!$C$42, 21.4902, 21.4902) * CHOOSE(CONTROL!$C$21, $C$9, 100%, $E$9)</f>
        <v>21.490200000000002</v>
      </c>
      <c r="M708" s="10">
        <f>CHOOSE(CONTROL!$C$42, 20.6296, 20.6296) * CHOOSE(CONTROL!$C$21, $C$9, 100%, $E$9)</f>
        <v>20.6296</v>
      </c>
      <c r="N708" s="10">
        <f>CHOOSE(CONTROL!$C$42, 20.6479, 20.6479) * CHOOSE(CONTROL!$C$21, $C$9, 100%, $E$9)</f>
        <v>20.6479</v>
      </c>
      <c r="O708" s="10">
        <f>CHOOSE(CONTROL!$C$42, 20.7061, 20.7061) * CHOOSE(CONTROL!$C$21, $C$9, 100%, $E$9)</f>
        <v>20.706099999999999</v>
      </c>
      <c r="P708" s="10">
        <f>CHOOSE(CONTROL!$C$42, 20.6157, 20.6157) * CHOOSE(CONTROL!$C$21, $C$9, 100%, $E$9)</f>
        <v>20.6157</v>
      </c>
      <c r="Q708" s="10">
        <f>CHOOSE(CONTROL!$C$42, 21.3014, 21.3014) * CHOOSE(CONTROL!$C$21, $C$9, 100%, $E$9)</f>
        <v>21.301400000000001</v>
      </c>
      <c r="R708" s="10">
        <f>CHOOSE(CONTROL!$C$42, 21.9416, 21.9416) * CHOOSE(CONTROL!$C$21, $C$9, 100%, $E$9)</f>
        <v>21.941600000000001</v>
      </c>
      <c r="S708" s="10">
        <f>CHOOSE(CONTROL!$C$42, 20.2411, 20.2411) * CHOOSE(CONTROL!$C$21, $C$9, 100%, $E$9)</f>
        <v>20.241099999999999</v>
      </c>
      <c r="T708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08" s="58">
        <f>(1000*CHOOSE(CONTROL!$C$42, 695, 695)*CHOOSE(CONTROL!$C$42, 0.5599, 0.5599)*CHOOSE(CONTROL!$C$42, 31, 31))/1000000</f>
        <v>12.063045499999998</v>
      </c>
      <c r="V708" s="58">
        <f>(1000*CHOOSE(CONTROL!$C$42, 500, 500)*CHOOSE(CONTROL!$C$42, 0.275, 0.275)*CHOOSE(CONTROL!$C$42, 31, 31))/1000000</f>
        <v>4.2625000000000002</v>
      </c>
      <c r="W708" s="58">
        <f>(1000*CHOOSE(CONTROL!$C$42, 0.1146, 0.1146)*CHOOSE(CONTROL!$C$42, 121.5, 121.5)*CHOOSE(CONTROL!$C$42, 31, 31))/1000000</f>
        <v>0.43164089999999994</v>
      </c>
      <c r="X708" s="58">
        <f>(31*0.1790888*100000/1000000)+(31*0.2374*100000/1000000)</f>
        <v>1.2911152800000001</v>
      </c>
      <c r="Y708" s="58"/>
      <c r="Z708" s="10"/>
      <c r="AA708" s="57"/>
      <c r="AB708" s="51">
        <f>(B708*122.58+C708*297.941+D708*89.177+E708*40.302+F708*40+G708*160+H708*0+I708*100+J708*300)/(122.58+297.941+89.177+40.302+0+40+160+100+300)</f>
        <v>20.844262509565219</v>
      </c>
      <c r="AC708" s="27">
        <f>(M708*'RAP TEMPLATE-GAS AVAILABILITY'!O707+N708*'RAP TEMPLATE-GAS AVAILABILITY'!P707+O708*'RAP TEMPLATE-GAS AVAILABILITY'!Q707+P708*'RAP TEMPLATE-GAS AVAILABILITY'!R707)/('RAP TEMPLATE-GAS AVAILABILITY'!O707+'RAP TEMPLATE-GAS AVAILABILITY'!P707+'RAP TEMPLATE-GAS AVAILABILITY'!Q707+'RAP TEMPLATE-GAS AVAILABILITY'!R707)</f>
        <v>20.663325899280576</v>
      </c>
    </row>
    <row r="709" spans="1:29" ht="15.75" x14ac:dyDescent="0.25">
      <c r="A709" s="13">
        <v>62854</v>
      </c>
      <c r="B709" s="10">
        <f>CHOOSE(CONTROL!$C$42, 22.2524, 22.2524) * CHOOSE(CONTROL!$C$21, $C$9, 100%, $E$9)</f>
        <v>22.252400000000002</v>
      </c>
      <c r="C709" s="10">
        <f>CHOOSE(CONTROL!$C$42, 22.2574, 22.2574) * CHOOSE(CONTROL!$C$21, $C$9, 100%, $E$9)</f>
        <v>22.257400000000001</v>
      </c>
      <c r="D709" s="10">
        <f>CHOOSE(CONTROL!$C$42, 22.3076, 22.3076) * CHOOSE(CONTROL!$C$21, $C$9, 100%, $E$9)</f>
        <v>22.307600000000001</v>
      </c>
      <c r="E709" s="10">
        <f>CHOOSE(CONTROL!$C$42, 22.3413, 22.3413) * CHOOSE(CONTROL!$C$21, $C$9, 100%, $E$9)</f>
        <v>22.3413</v>
      </c>
      <c r="F709" s="10">
        <f>CHOOSE(CONTROL!$C$42, 22.2178, 22.2178)*CHOOSE(CONTROL!$C$21, $C$9, 100%, $E$9)</f>
        <v>22.2178</v>
      </c>
      <c r="G709" s="10">
        <f>CHOOSE(CONTROL!$C$42, 22.2353, 22.2353)*CHOOSE(CONTROL!$C$21, $C$9, 100%, $E$9)</f>
        <v>22.235299999999999</v>
      </c>
      <c r="H709" s="10">
        <f>CHOOSE(CONTROL!$C$42, 22.3305, 22.3305) * CHOOSE(CONTROL!$C$21, $C$9, 100%, $E$9)</f>
        <v>22.330500000000001</v>
      </c>
      <c r="I709" s="10">
        <f>CHOOSE(CONTROL!$C$42, 22.2263, 22.2263)* CHOOSE(CONTROL!$C$21, $C$9, 100%, $E$9)</f>
        <v>22.226299999999998</v>
      </c>
      <c r="J709" s="10">
        <f>CHOOSE(CONTROL!$C$42, 22.2108, 22.2108)* CHOOSE(CONTROL!$C$21, $C$9, 100%, $E$9)</f>
        <v>22.210799999999999</v>
      </c>
      <c r="K709" s="54">
        <f>CHOOSE(CONTROL!$C$42, 22.2224, 22.2224) * CHOOSE(CONTROL!$C$21, $C$9, 100%, $E$9)</f>
        <v>22.2224</v>
      </c>
      <c r="L709" s="10">
        <f>CHOOSE(CONTROL!$C$42, 22.9175, 22.9175) * CHOOSE(CONTROL!$C$21, $C$9, 100%, $E$9)</f>
        <v>22.9175</v>
      </c>
      <c r="M709" s="10">
        <f>CHOOSE(CONTROL!$C$42, 22.0004, 22.0004) * CHOOSE(CONTROL!$C$21, $C$9, 100%, $E$9)</f>
        <v>22.000399999999999</v>
      </c>
      <c r="N709" s="10">
        <f>CHOOSE(CONTROL!$C$42, 22.0178, 22.0178) * CHOOSE(CONTROL!$C$21, $C$9, 100%, $E$9)</f>
        <v>22.017800000000001</v>
      </c>
      <c r="O709" s="10">
        <f>CHOOSE(CONTROL!$C$42, 22.119, 22.119) * CHOOSE(CONTROL!$C$21, $C$9, 100%, $E$9)</f>
        <v>22.119</v>
      </c>
      <c r="P709" s="10">
        <f>CHOOSE(CONTROL!$C$42, 22.0159, 22.0159) * CHOOSE(CONTROL!$C$21, $C$9, 100%, $E$9)</f>
        <v>22.015899999999998</v>
      </c>
      <c r="Q709" s="10">
        <f>CHOOSE(CONTROL!$C$42, 22.7143, 22.7143) * CHOOSE(CONTROL!$C$21, $C$9, 100%, $E$9)</f>
        <v>22.714300000000001</v>
      </c>
      <c r="R709" s="10">
        <f>CHOOSE(CONTROL!$C$42, 23.3581, 23.3581) * CHOOSE(CONTROL!$C$21, $C$9, 100%, $E$9)</f>
        <v>23.3581</v>
      </c>
      <c r="S709" s="10">
        <f>CHOOSE(CONTROL!$C$42, 21.6072, 21.6072) * CHOOSE(CONTROL!$C$21, $C$9, 100%, $E$9)</f>
        <v>21.607199999999999</v>
      </c>
      <c r="T709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09" s="58">
        <f>(1000*CHOOSE(CONTROL!$C$42, 695, 695)*CHOOSE(CONTROL!$C$42, 0.5599, 0.5599)*CHOOSE(CONTROL!$C$42, 31, 31))/1000000</f>
        <v>12.063045499999998</v>
      </c>
      <c r="V709" s="58">
        <f>(1000*CHOOSE(CONTROL!$C$42, 500, 500)*CHOOSE(CONTROL!$C$42, 0.275, 0.275)*CHOOSE(CONTROL!$C$42, 31, 31))/1000000</f>
        <v>4.2625000000000002</v>
      </c>
      <c r="W709" s="58">
        <f>(1000*CHOOSE(CONTROL!$C$42, 0.1146, 0.1146)*CHOOSE(CONTROL!$C$42, 121.5, 121.5)*CHOOSE(CONTROL!$C$42, 31, 31))/1000000</f>
        <v>0.43164089999999994</v>
      </c>
      <c r="X709" s="58">
        <f>(31*0.1790888*100000/1000000)+(31*0.2374*100000/1000000)</f>
        <v>1.2911152800000001</v>
      </c>
      <c r="Y709" s="58"/>
      <c r="Z709" s="10"/>
      <c r="AA709" s="57"/>
      <c r="AB709" s="51">
        <f>(B709*122.58+C709*297.941+D709*89.177+E709*40.302+F709*40+G709*160+H709*0+I709*100+J709*300)/(122.58+297.941+89.177+40.302+0+40+160+100+300)</f>
        <v>22.244387063652173</v>
      </c>
      <c r="AC709" s="27">
        <f>(M709*'RAP TEMPLATE-GAS AVAILABILITY'!O708+N709*'RAP TEMPLATE-GAS AVAILABILITY'!P708+O709*'RAP TEMPLATE-GAS AVAILABILITY'!Q708+P709*'RAP TEMPLATE-GAS AVAILABILITY'!R708)/('RAP TEMPLATE-GAS AVAILABILITY'!O708+'RAP TEMPLATE-GAS AVAILABILITY'!P708+'RAP TEMPLATE-GAS AVAILABILITY'!Q708+'RAP TEMPLATE-GAS AVAILABILITY'!R708)</f>
        <v>22.057385611510789</v>
      </c>
    </row>
    <row r="710" spans="1:29" ht="15.75" x14ac:dyDescent="0.25">
      <c r="A710" s="13">
        <v>62883</v>
      </c>
      <c r="B710" s="10">
        <f>CHOOSE(CONTROL!$C$42, 22.6485, 22.6485) * CHOOSE(CONTROL!$C$21, $C$9, 100%, $E$9)</f>
        <v>22.648499999999999</v>
      </c>
      <c r="C710" s="10">
        <f>CHOOSE(CONTROL!$C$42, 22.6534, 22.6534) * CHOOSE(CONTROL!$C$21, $C$9, 100%, $E$9)</f>
        <v>22.653400000000001</v>
      </c>
      <c r="D710" s="10">
        <f>CHOOSE(CONTROL!$C$42, 22.7706, 22.7706) * CHOOSE(CONTROL!$C$21, $C$9, 100%, $E$9)</f>
        <v>22.770600000000002</v>
      </c>
      <c r="E710" s="10">
        <f>CHOOSE(CONTROL!$C$42, 22.8043, 22.8043) * CHOOSE(CONTROL!$C$21, $C$9, 100%, $E$9)</f>
        <v>22.804300000000001</v>
      </c>
      <c r="F710" s="10">
        <f>CHOOSE(CONTROL!$C$42, 22.7261, 22.7261)*CHOOSE(CONTROL!$C$21, $C$9, 100%, $E$9)</f>
        <v>22.726099999999999</v>
      </c>
      <c r="G710" s="10">
        <f>CHOOSE(CONTROL!$C$42, 22.748, 22.748)*CHOOSE(CONTROL!$C$21, $C$9, 100%, $E$9)</f>
        <v>22.748000000000001</v>
      </c>
      <c r="H710" s="10">
        <f>CHOOSE(CONTROL!$C$42, 22.7935, 22.7935) * CHOOSE(CONTROL!$C$21, $C$9, 100%, $E$9)</f>
        <v>22.793500000000002</v>
      </c>
      <c r="I710" s="10">
        <f>CHOOSE(CONTROL!$C$42, 22.6842, 22.6842)* CHOOSE(CONTROL!$C$21, $C$9, 100%, $E$9)</f>
        <v>22.684200000000001</v>
      </c>
      <c r="J710" s="10">
        <f>CHOOSE(CONTROL!$C$42, 22.7191, 22.7191)* CHOOSE(CONTROL!$C$21, $C$9, 100%, $E$9)</f>
        <v>22.719100000000001</v>
      </c>
      <c r="K710" s="54">
        <f>CHOOSE(CONTROL!$C$42, 22.6803, 22.6803) * CHOOSE(CONTROL!$C$21, $C$9, 100%, $E$9)</f>
        <v>22.680299999999999</v>
      </c>
      <c r="L710" s="10">
        <f>CHOOSE(CONTROL!$C$42, 23.3805, 23.3805) * CHOOSE(CONTROL!$C$21, $C$9, 100%, $E$9)</f>
        <v>23.380500000000001</v>
      </c>
      <c r="M710" s="10">
        <f>CHOOSE(CONTROL!$C$42, 22.5036, 22.5036) * CHOOSE(CONTROL!$C$21, $C$9, 100%, $E$9)</f>
        <v>22.503599999999999</v>
      </c>
      <c r="N710" s="10">
        <f>CHOOSE(CONTROL!$C$42, 22.5253, 22.5253) * CHOOSE(CONTROL!$C$21, $C$9, 100%, $E$9)</f>
        <v>22.525300000000001</v>
      </c>
      <c r="O710" s="10">
        <f>CHOOSE(CONTROL!$C$42, 22.5773, 22.5773) * CHOOSE(CONTROL!$C$21, $C$9, 100%, $E$9)</f>
        <v>22.577300000000001</v>
      </c>
      <c r="P710" s="10">
        <f>CHOOSE(CONTROL!$C$42, 22.4691, 22.4691) * CHOOSE(CONTROL!$C$21, $C$9, 100%, $E$9)</f>
        <v>22.469100000000001</v>
      </c>
      <c r="Q710" s="10">
        <f>CHOOSE(CONTROL!$C$42, 23.1726, 23.1726) * CHOOSE(CONTROL!$C$21, $C$9, 100%, $E$9)</f>
        <v>23.172599999999999</v>
      </c>
      <c r="R710" s="10">
        <f>CHOOSE(CONTROL!$C$42, 23.8176, 23.8176) * CHOOSE(CONTROL!$C$21, $C$9, 100%, $E$9)</f>
        <v>23.817599999999999</v>
      </c>
      <c r="S710" s="10">
        <f>CHOOSE(CONTROL!$C$42, 21.9918, 21.9918) * CHOOSE(CONTROL!$C$21, $C$9, 100%, $E$9)</f>
        <v>21.991800000000001</v>
      </c>
      <c r="T710" s="5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710" s="58">
        <f>(1000*CHOOSE(CONTROL!$C$42, 695, 695)*CHOOSE(CONTROL!$C$42, 0.5599, 0.5599)*CHOOSE(CONTROL!$C$42, 29, 29))/1000000</f>
        <v>11.284784499999999</v>
      </c>
      <c r="V710" s="58">
        <f>(1000*CHOOSE(CONTROL!$C$42, 500, 500)*CHOOSE(CONTROL!$C$42, 0.275, 0.275)*CHOOSE(CONTROL!$C$42, 29, 29))/1000000</f>
        <v>3.9874999999999998</v>
      </c>
      <c r="W710" s="58">
        <f>(1000*CHOOSE(CONTROL!$C$42, 0.1146, 0.1146)*CHOOSE(CONTROL!$C$42, 121.5, 121.5)*CHOOSE(CONTROL!$C$42, 29, 29))/1000000</f>
        <v>0.40379309999999996</v>
      </c>
      <c r="X710" s="58">
        <f>(29*0.1790888*100000/1000000)+(29*0.2374*100000/1000000)</f>
        <v>1.2078175199999999</v>
      </c>
      <c r="Y710" s="58"/>
      <c r="Z710" s="10"/>
      <c r="AA710" s="57"/>
      <c r="AB710" s="51">
        <f>(B710*122.58+C710*297.941+D710*89.177+E710*40.302+F710*40+G710*160+H710*0+I710*100+J710*300)/(122.58+297.941+89.177+40.302+0+40+160+100+300)</f>
        <v>22.702762151478257</v>
      </c>
      <c r="AC710" s="27">
        <f>(M710*'RAP TEMPLATE-GAS AVAILABILITY'!O709+N710*'RAP TEMPLATE-GAS AVAILABILITY'!P709+O710*'RAP TEMPLATE-GAS AVAILABILITY'!Q709+P710*'RAP TEMPLATE-GAS AVAILABILITY'!R709)/('RAP TEMPLATE-GAS AVAILABILITY'!O709+'RAP TEMPLATE-GAS AVAILABILITY'!P709+'RAP TEMPLATE-GAS AVAILABILITY'!Q709+'RAP TEMPLATE-GAS AVAILABILITY'!R709)</f>
        <v>22.533288489208633</v>
      </c>
    </row>
    <row r="711" spans="1:29" ht="15.75" x14ac:dyDescent="0.25">
      <c r="A711" s="13">
        <v>62914</v>
      </c>
      <c r="B711" s="10">
        <f>CHOOSE(CONTROL!$C$42, 22.0056, 22.0056) * CHOOSE(CONTROL!$C$21, $C$9, 100%, $E$9)</f>
        <v>22.005600000000001</v>
      </c>
      <c r="C711" s="10">
        <f>CHOOSE(CONTROL!$C$42, 22.0105, 22.0105) * CHOOSE(CONTROL!$C$21, $C$9, 100%, $E$9)</f>
        <v>22.0105</v>
      </c>
      <c r="D711" s="10">
        <f>CHOOSE(CONTROL!$C$42, 22.1019, 22.1019) * CHOOSE(CONTROL!$C$21, $C$9, 100%, $E$9)</f>
        <v>22.101900000000001</v>
      </c>
      <c r="E711" s="10">
        <f>CHOOSE(CONTROL!$C$42, 22.1357, 22.1357) * CHOOSE(CONTROL!$C$21, $C$9, 100%, $E$9)</f>
        <v>22.1357</v>
      </c>
      <c r="F711" s="10">
        <f>CHOOSE(CONTROL!$C$42, 22.0354, 22.0354)*CHOOSE(CONTROL!$C$21, $C$9, 100%, $E$9)</f>
        <v>22.035399999999999</v>
      </c>
      <c r="G711" s="10">
        <f>CHOOSE(CONTROL!$C$42, 22.0549, 22.0549)*CHOOSE(CONTROL!$C$21, $C$9, 100%, $E$9)</f>
        <v>22.0549</v>
      </c>
      <c r="H711" s="10">
        <f>CHOOSE(CONTROL!$C$42, 22.1249, 22.1249) * CHOOSE(CONTROL!$C$21, $C$9, 100%, $E$9)</f>
        <v>22.1249</v>
      </c>
      <c r="I711" s="10">
        <f>CHOOSE(CONTROL!$C$42, 22.0284, 22.0284)* CHOOSE(CONTROL!$C$21, $C$9, 100%, $E$9)</f>
        <v>22.028400000000001</v>
      </c>
      <c r="J711" s="10">
        <f>CHOOSE(CONTROL!$C$42, 22.0284, 22.0284)* CHOOSE(CONTROL!$C$21, $C$9, 100%, $E$9)</f>
        <v>22.028400000000001</v>
      </c>
      <c r="K711" s="54">
        <f>CHOOSE(CONTROL!$C$42, 22.0245, 22.0245) * CHOOSE(CONTROL!$C$21, $C$9, 100%, $E$9)</f>
        <v>22.0245</v>
      </c>
      <c r="L711" s="10">
        <f>CHOOSE(CONTROL!$C$42, 22.7119, 22.7119) * CHOOSE(CONTROL!$C$21, $C$9, 100%, $E$9)</f>
        <v>22.7119</v>
      </c>
      <c r="M711" s="10">
        <f>CHOOSE(CONTROL!$C$42, 21.8199, 21.8199) * CHOOSE(CONTROL!$C$21, $C$9, 100%, $E$9)</f>
        <v>21.819900000000001</v>
      </c>
      <c r="N711" s="10">
        <f>CHOOSE(CONTROL!$C$42, 21.8392, 21.8392) * CHOOSE(CONTROL!$C$21, $C$9, 100%, $E$9)</f>
        <v>21.839200000000002</v>
      </c>
      <c r="O711" s="10">
        <f>CHOOSE(CONTROL!$C$42, 21.9154, 21.9154) * CHOOSE(CONTROL!$C$21, $C$9, 100%, $E$9)</f>
        <v>21.915400000000002</v>
      </c>
      <c r="P711" s="10">
        <f>CHOOSE(CONTROL!$C$42, 21.8199, 21.8199) * CHOOSE(CONTROL!$C$21, $C$9, 100%, $E$9)</f>
        <v>21.819900000000001</v>
      </c>
      <c r="Q711" s="10">
        <f>CHOOSE(CONTROL!$C$42, 22.5107, 22.5107) * CHOOSE(CONTROL!$C$21, $C$9, 100%, $E$9)</f>
        <v>22.5107</v>
      </c>
      <c r="R711" s="10">
        <f>CHOOSE(CONTROL!$C$42, 23.154, 23.154) * CHOOSE(CONTROL!$C$21, $C$9, 100%, $E$9)</f>
        <v>23.154</v>
      </c>
      <c r="S711" s="10">
        <f>CHOOSE(CONTROL!$C$42, 21.3675, 21.3675) * CHOOSE(CONTROL!$C$21, $C$9, 100%, $E$9)</f>
        <v>21.3675</v>
      </c>
      <c r="T711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11" s="58">
        <f>(1000*CHOOSE(CONTROL!$C$42, 695, 695)*CHOOSE(CONTROL!$C$42, 0.5599, 0.5599)*CHOOSE(CONTROL!$C$42, 31, 31))/1000000</f>
        <v>12.063045499999998</v>
      </c>
      <c r="V711" s="58">
        <f>(1000*CHOOSE(CONTROL!$C$42, 500, 500)*CHOOSE(CONTROL!$C$42, 0.275, 0.275)*CHOOSE(CONTROL!$C$42, 31, 31))/1000000</f>
        <v>4.2625000000000002</v>
      </c>
      <c r="W711" s="58">
        <f>(1000*CHOOSE(CONTROL!$C$42, 0.1146, 0.1146)*CHOOSE(CONTROL!$C$42, 121.5, 121.5)*CHOOSE(CONTROL!$C$42, 31, 31))/1000000</f>
        <v>0.43164089999999994</v>
      </c>
      <c r="X711" s="58">
        <f>(31*0.1790888*100000/1000000)+(31*0.2374*100000/1000000)</f>
        <v>1.2911152800000001</v>
      </c>
      <c r="Y711" s="58"/>
      <c r="Z711" s="10"/>
      <c r="AA711" s="57"/>
      <c r="AB711" s="51">
        <f>(B711*122.58+C711*297.941+D711*89.177+E711*40.302+F711*40+G711*160+H711*0+I711*100+J711*300)/(122.58+297.941+89.177+40.302+0+40+160+100+300)</f>
        <v>22.034722561913046</v>
      </c>
      <c r="AC711" s="27">
        <f>(M711*'RAP TEMPLATE-GAS AVAILABILITY'!O710+N711*'RAP TEMPLATE-GAS AVAILABILITY'!P710+O711*'RAP TEMPLATE-GAS AVAILABILITY'!Q710+P711*'RAP TEMPLATE-GAS AVAILABILITY'!R710)/('RAP TEMPLATE-GAS AVAILABILITY'!O710+'RAP TEMPLATE-GAS AVAILABILITY'!P710+'RAP TEMPLATE-GAS AVAILABILITY'!Q710+'RAP TEMPLATE-GAS AVAILABILITY'!R710)</f>
        <v>21.864294964028776</v>
      </c>
    </row>
    <row r="712" spans="1:29" ht="15.75" x14ac:dyDescent="0.25">
      <c r="A712" s="13">
        <v>62944</v>
      </c>
      <c r="B712" s="10">
        <f>CHOOSE(CONTROL!$C$42, 21.9405, 21.9405) * CHOOSE(CONTROL!$C$21, $C$9, 100%, $E$9)</f>
        <v>21.9405</v>
      </c>
      <c r="C712" s="10">
        <f>CHOOSE(CONTROL!$C$42, 21.9448, 21.9448) * CHOOSE(CONTROL!$C$21, $C$9, 100%, $E$9)</f>
        <v>21.944800000000001</v>
      </c>
      <c r="D712" s="10">
        <f>CHOOSE(CONTROL!$C$42, 22.1265, 22.1265) * CHOOSE(CONTROL!$C$21, $C$9, 100%, $E$9)</f>
        <v>22.1265</v>
      </c>
      <c r="E712" s="10">
        <f>CHOOSE(CONTROL!$C$42, 22.1583, 22.1583) * CHOOSE(CONTROL!$C$21, $C$9, 100%, $E$9)</f>
        <v>22.158300000000001</v>
      </c>
      <c r="F712" s="10">
        <f>CHOOSE(CONTROL!$C$42, 21.9288, 21.9288)*CHOOSE(CONTROL!$C$21, $C$9, 100%, $E$9)</f>
        <v>21.928799999999999</v>
      </c>
      <c r="G712" s="10">
        <f>CHOOSE(CONTROL!$C$42, 21.9468, 21.9468)*CHOOSE(CONTROL!$C$21, $C$9, 100%, $E$9)</f>
        <v>21.9468</v>
      </c>
      <c r="H712" s="10">
        <f>CHOOSE(CONTROL!$C$42, 22.1481, 22.1481) * CHOOSE(CONTROL!$C$21, $C$9, 100%, $E$9)</f>
        <v>22.148099999999999</v>
      </c>
      <c r="I712" s="10">
        <f>CHOOSE(CONTROL!$C$42, 21.9187, 21.9187)* CHOOSE(CONTROL!$C$21, $C$9, 100%, $E$9)</f>
        <v>21.918700000000001</v>
      </c>
      <c r="J712" s="10">
        <f>CHOOSE(CONTROL!$C$42, 21.9218, 21.9218)* CHOOSE(CONTROL!$C$21, $C$9, 100%, $E$9)</f>
        <v>21.921800000000001</v>
      </c>
      <c r="K712" s="54">
        <f>CHOOSE(CONTROL!$C$42, 21.9148, 21.9148) * CHOOSE(CONTROL!$C$21, $C$9, 100%, $E$9)</f>
        <v>21.9148</v>
      </c>
      <c r="L712" s="10">
        <f>CHOOSE(CONTROL!$C$42, 22.7351, 22.7351) * CHOOSE(CONTROL!$C$21, $C$9, 100%, $E$9)</f>
        <v>22.735099999999999</v>
      </c>
      <c r="M712" s="10">
        <f>CHOOSE(CONTROL!$C$42, 21.7144, 21.7144) * CHOOSE(CONTROL!$C$21, $C$9, 100%, $E$9)</f>
        <v>21.714400000000001</v>
      </c>
      <c r="N712" s="10">
        <f>CHOOSE(CONTROL!$C$42, 21.7322, 21.7322) * CHOOSE(CONTROL!$C$21, $C$9, 100%, $E$9)</f>
        <v>21.732199999999999</v>
      </c>
      <c r="O712" s="10">
        <f>CHOOSE(CONTROL!$C$42, 21.9384, 21.9384) * CHOOSE(CONTROL!$C$21, $C$9, 100%, $E$9)</f>
        <v>21.938400000000001</v>
      </c>
      <c r="P712" s="10">
        <f>CHOOSE(CONTROL!$C$42, 21.7114, 21.7114) * CHOOSE(CONTROL!$C$21, $C$9, 100%, $E$9)</f>
        <v>21.711400000000001</v>
      </c>
      <c r="Q712" s="10">
        <f>CHOOSE(CONTROL!$C$42, 22.5337, 22.5337) * CHOOSE(CONTROL!$C$21, $C$9, 100%, $E$9)</f>
        <v>22.5337</v>
      </c>
      <c r="R712" s="10">
        <f>CHOOSE(CONTROL!$C$42, 23.177, 23.177) * CHOOSE(CONTROL!$C$21, $C$9, 100%, $E$9)</f>
        <v>23.177</v>
      </c>
      <c r="S712" s="10">
        <f>CHOOSE(CONTROL!$C$42, 21.3035, 21.3035) * CHOOSE(CONTROL!$C$21, $C$9, 100%, $E$9)</f>
        <v>21.3035</v>
      </c>
      <c r="T712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12" s="58">
        <f>(1000*CHOOSE(CONTROL!$C$42, 695, 695)*CHOOSE(CONTROL!$C$42, 0.5599, 0.5599)*CHOOSE(CONTROL!$C$42, 30, 30))/1000000</f>
        <v>11.673914999999997</v>
      </c>
      <c r="V712" s="58">
        <f>(1000*CHOOSE(CONTROL!$C$42, 500, 500)*CHOOSE(CONTROL!$C$42, 0.275, 0.275)*CHOOSE(CONTROL!$C$42, 30, 30))/1000000</f>
        <v>4.125</v>
      </c>
      <c r="W712" s="58">
        <f>(1000*CHOOSE(CONTROL!$C$42, 0.1146, 0.1146)*CHOOSE(CONTROL!$C$42, 121.5, 121.5)*CHOOSE(CONTROL!$C$42, 30, 30))/1000000</f>
        <v>0.417717</v>
      </c>
      <c r="X712" s="58">
        <f>(30*0.1790888*245000/1000000)+(30*0.2374*100000/1000000)</f>
        <v>2.0285026799999999</v>
      </c>
      <c r="Y712" s="58"/>
      <c r="Z712" s="10"/>
      <c r="AA712" s="57"/>
      <c r="AB712" s="51">
        <f>(B712*141.293+C712*267.993+D712*115.016+E712*89.698+F712*40+G712*185+H712*0+I712*100+J712*300)/(141.293+267.993+115.016+89.698+0+40+185+100+300)</f>
        <v>21.968739766182406</v>
      </c>
      <c r="AC712" s="27">
        <f>(M712*'RAP TEMPLATE-GAS AVAILABILITY'!O711+N712*'RAP TEMPLATE-GAS AVAILABILITY'!P711+O712*'RAP TEMPLATE-GAS AVAILABILITY'!Q711+P712*'RAP TEMPLATE-GAS AVAILABILITY'!R711)/('RAP TEMPLATE-GAS AVAILABILITY'!O711+'RAP TEMPLATE-GAS AVAILABILITY'!P711+'RAP TEMPLATE-GAS AVAILABILITY'!Q711+'RAP TEMPLATE-GAS AVAILABILITY'!R711)</f>
        <v>21.816517985611512</v>
      </c>
    </row>
    <row r="713" spans="1:29" ht="15.75" x14ac:dyDescent="0.25">
      <c r="A713" s="13">
        <v>62975</v>
      </c>
      <c r="B713" s="10">
        <f>CHOOSE(CONTROL!$C$42, 22.1359, 22.1359) * CHOOSE(CONTROL!$C$21, $C$9, 100%, $E$9)</f>
        <v>22.135899999999999</v>
      </c>
      <c r="C713" s="10">
        <f>CHOOSE(CONTROL!$C$42, 22.1438, 22.1438) * CHOOSE(CONTROL!$C$21, $C$9, 100%, $E$9)</f>
        <v>22.143799999999999</v>
      </c>
      <c r="D713" s="10">
        <f>CHOOSE(CONTROL!$C$42, 22.3223, 22.3223) * CHOOSE(CONTROL!$C$21, $C$9, 100%, $E$9)</f>
        <v>22.322299999999998</v>
      </c>
      <c r="E713" s="10">
        <f>CHOOSE(CONTROL!$C$42, 22.3534, 22.3534) * CHOOSE(CONTROL!$C$21, $C$9, 100%, $E$9)</f>
        <v>22.353400000000001</v>
      </c>
      <c r="F713" s="10">
        <f>CHOOSE(CONTROL!$C$42, 22.122, 22.122)*CHOOSE(CONTROL!$C$21, $C$9, 100%, $E$9)</f>
        <v>22.122</v>
      </c>
      <c r="G713" s="10">
        <f>CHOOSE(CONTROL!$C$42, 22.1402, 22.1402)*CHOOSE(CONTROL!$C$21, $C$9, 100%, $E$9)</f>
        <v>22.1402</v>
      </c>
      <c r="H713" s="10">
        <f>CHOOSE(CONTROL!$C$42, 22.3421, 22.3421) * CHOOSE(CONTROL!$C$21, $C$9, 100%, $E$9)</f>
        <v>22.342099999999999</v>
      </c>
      <c r="I713" s="10">
        <f>CHOOSE(CONTROL!$C$42, 22.1127, 22.1127)* CHOOSE(CONTROL!$C$21, $C$9, 100%, $E$9)</f>
        <v>22.1127</v>
      </c>
      <c r="J713" s="10">
        <f>CHOOSE(CONTROL!$C$42, 22.115, 22.115)* CHOOSE(CONTROL!$C$21, $C$9, 100%, $E$9)</f>
        <v>22.114999999999998</v>
      </c>
      <c r="K713" s="54">
        <f>CHOOSE(CONTROL!$C$42, 22.1088, 22.1088) * CHOOSE(CONTROL!$C$21, $C$9, 100%, $E$9)</f>
        <v>22.108799999999999</v>
      </c>
      <c r="L713" s="10">
        <f>CHOOSE(CONTROL!$C$42, 22.9291, 22.9291) * CHOOSE(CONTROL!$C$21, $C$9, 100%, $E$9)</f>
        <v>22.929099999999998</v>
      </c>
      <c r="M713" s="10">
        <f>CHOOSE(CONTROL!$C$42, 21.9057, 21.9057) * CHOOSE(CONTROL!$C$21, $C$9, 100%, $E$9)</f>
        <v>21.9057</v>
      </c>
      <c r="N713" s="10">
        <f>CHOOSE(CONTROL!$C$42, 21.9237, 21.9237) * CHOOSE(CONTROL!$C$21, $C$9, 100%, $E$9)</f>
        <v>21.9237</v>
      </c>
      <c r="O713" s="10">
        <f>CHOOSE(CONTROL!$C$42, 22.1304, 22.1304) * CHOOSE(CONTROL!$C$21, $C$9, 100%, $E$9)</f>
        <v>22.130400000000002</v>
      </c>
      <c r="P713" s="10">
        <f>CHOOSE(CONTROL!$C$42, 21.9034, 21.9034) * CHOOSE(CONTROL!$C$21, $C$9, 100%, $E$9)</f>
        <v>21.903400000000001</v>
      </c>
      <c r="Q713" s="10">
        <f>CHOOSE(CONTROL!$C$42, 22.7257, 22.7257) * CHOOSE(CONTROL!$C$21, $C$9, 100%, $E$9)</f>
        <v>22.7257</v>
      </c>
      <c r="R713" s="10">
        <f>CHOOSE(CONTROL!$C$42, 23.3695, 23.3695) * CHOOSE(CONTROL!$C$21, $C$9, 100%, $E$9)</f>
        <v>23.369499999999999</v>
      </c>
      <c r="S713" s="10">
        <f>CHOOSE(CONTROL!$C$42, 21.4919, 21.4919) * CHOOSE(CONTROL!$C$21, $C$9, 100%, $E$9)</f>
        <v>21.491900000000001</v>
      </c>
      <c r="T713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13" s="58">
        <f>(1000*CHOOSE(CONTROL!$C$42, 695, 695)*CHOOSE(CONTROL!$C$42, 0.5599, 0.5599)*CHOOSE(CONTROL!$C$42, 31, 31))/1000000</f>
        <v>12.063045499999998</v>
      </c>
      <c r="V713" s="58">
        <f>(1000*CHOOSE(CONTROL!$C$42, 500, 500)*CHOOSE(CONTROL!$C$42, 0.275, 0.275)*CHOOSE(CONTROL!$C$42, 31, 31))/1000000</f>
        <v>4.2625000000000002</v>
      </c>
      <c r="W713" s="58">
        <f>(1000*CHOOSE(CONTROL!$C$42, 0.1146, 0.1146)*CHOOSE(CONTROL!$C$42, 121.5, 121.5)*CHOOSE(CONTROL!$C$42, 31, 31))/1000000</f>
        <v>0.43164089999999994</v>
      </c>
      <c r="X713" s="58">
        <f>(31*0.1790888*245000/1000000)+(31*0.2374*100000/1000000)</f>
        <v>2.0961194359999999</v>
      </c>
      <c r="Y713" s="58"/>
      <c r="Z713" s="10"/>
      <c r="AA713" s="57"/>
      <c r="AB713" s="51">
        <f>(B713*194.205+C713*267.466+D713*133.845+E713*53.484+F713*40+G713*185+H713*0+I713*100+J713*300)/(194.205+267.466+133.845+53.484+0+40+185+100+300)</f>
        <v>22.159717864521191</v>
      </c>
      <c r="AC713" s="27">
        <f>(M713*'RAP TEMPLATE-GAS AVAILABILITY'!O712+N713*'RAP TEMPLATE-GAS AVAILABILITY'!P712+O713*'RAP TEMPLATE-GAS AVAILABILITY'!Q712+P713*'RAP TEMPLATE-GAS AVAILABILITY'!R712)/('RAP TEMPLATE-GAS AVAILABILITY'!O712+'RAP TEMPLATE-GAS AVAILABILITY'!P712+'RAP TEMPLATE-GAS AVAILABILITY'!Q712+'RAP TEMPLATE-GAS AVAILABILITY'!R712)</f>
        <v>22.00824748201439</v>
      </c>
    </row>
    <row r="714" spans="1:29" ht="15.75" x14ac:dyDescent="0.25">
      <c r="A714" s="13">
        <v>63005</v>
      </c>
      <c r="B714" s="10">
        <f>CHOOSE(CONTROL!$C$42, 22.7636, 22.7636) * CHOOSE(CONTROL!$C$21, $C$9, 100%, $E$9)</f>
        <v>22.7636</v>
      </c>
      <c r="C714" s="10">
        <f>CHOOSE(CONTROL!$C$42, 22.7715, 22.7715) * CHOOSE(CONTROL!$C$21, $C$9, 100%, $E$9)</f>
        <v>22.7715</v>
      </c>
      <c r="D714" s="10">
        <f>CHOOSE(CONTROL!$C$42, 22.9501, 22.9501) * CHOOSE(CONTROL!$C$21, $C$9, 100%, $E$9)</f>
        <v>22.950099999999999</v>
      </c>
      <c r="E714" s="10">
        <f>CHOOSE(CONTROL!$C$42, 22.9812, 22.9812) * CHOOSE(CONTROL!$C$21, $C$9, 100%, $E$9)</f>
        <v>22.981200000000001</v>
      </c>
      <c r="F714" s="10">
        <f>CHOOSE(CONTROL!$C$42, 22.75, 22.75)*CHOOSE(CONTROL!$C$21, $C$9, 100%, $E$9)</f>
        <v>22.75</v>
      </c>
      <c r="G714" s="10">
        <f>CHOOSE(CONTROL!$C$42, 22.7683, 22.7683)*CHOOSE(CONTROL!$C$21, $C$9, 100%, $E$9)</f>
        <v>22.7683</v>
      </c>
      <c r="H714" s="10">
        <f>CHOOSE(CONTROL!$C$42, 22.9698, 22.9698) * CHOOSE(CONTROL!$C$21, $C$9, 100%, $E$9)</f>
        <v>22.969799999999999</v>
      </c>
      <c r="I714" s="10">
        <f>CHOOSE(CONTROL!$C$42, 22.7405, 22.7405)* CHOOSE(CONTROL!$C$21, $C$9, 100%, $E$9)</f>
        <v>22.740500000000001</v>
      </c>
      <c r="J714" s="10">
        <f>CHOOSE(CONTROL!$C$42, 22.743, 22.743)* CHOOSE(CONTROL!$C$21, $C$9, 100%, $E$9)</f>
        <v>22.742999999999999</v>
      </c>
      <c r="K714" s="54">
        <f>CHOOSE(CONTROL!$C$42, 22.7366, 22.7366) * CHOOSE(CONTROL!$C$21, $C$9, 100%, $E$9)</f>
        <v>22.736599999999999</v>
      </c>
      <c r="L714" s="10">
        <f>CHOOSE(CONTROL!$C$42, 23.5568, 23.5568) * CHOOSE(CONTROL!$C$21, $C$9, 100%, $E$9)</f>
        <v>23.556799999999999</v>
      </c>
      <c r="M714" s="10">
        <f>CHOOSE(CONTROL!$C$42, 22.5274, 22.5274) * CHOOSE(CONTROL!$C$21, $C$9, 100%, $E$9)</f>
        <v>22.5274</v>
      </c>
      <c r="N714" s="10">
        <f>CHOOSE(CONTROL!$C$42, 22.5454, 22.5454) * CHOOSE(CONTROL!$C$21, $C$9, 100%, $E$9)</f>
        <v>22.545400000000001</v>
      </c>
      <c r="O714" s="10">
        <f>CHOOSE(CONTROL!$C$42, 22.7519, 22.7519) * CHOOSE(CONTROL!$C$21, $C$9, 100%, $E$9)</f>
        <v>22.751899999999999</v>
      </c>
      <c r="P714" s="10">
        <f>CHOOSE(CONTROL!$C$42, 22.5249, 22.5249) * CHOOSE(CONTROL!$C$21, $C$9, 100%, $E$9)</f>
        <v>22.524899999999999</v>
      </c>
      <c r="Q714" s="10">
        <f>CHOOSE(CONTROL!$C$42, 23.3472, 23.3472) * CHOOSE(CONTROL!$C$21, $C$9, 100%, $E$9)</f>
        <v>23.347200000000001</v>
      </c>
      <c r="R714" s="10">
        <f>CHOOSE(CONTROL!$C$42, 23.9925, 23.9925) * CHOOSE(CONTROL!$C$21, $C$9, 100%, $E$9)</f>
        <v>23.9925</v>
      </c>
      <c r="S714" s="10">
        <f>CHOOSE(CONTROL!$C$42, 22.1015, 22.1015) * CHOOSE(CONTROL!$C$21, $C$9, 100%, $E$9)</f>
        <v>22.101500000000001</v>
      </c>
      <c r="T714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14" s="58">
        <f>(1000*CHOOSE(CONTROL!$C$42, 695, 695)*CHOOSE(CONTROL!$C$42, 0.5599, 0.5599)*CHOOSE(CONTROL!$C$42, 30, 30))/1000000</f>
        <v>11.673914999999997</v>
      </c>
      <c r="V714" s="58">
        <f>(1000*CHOOSE(CONTROL!$C$42, 500, 500)*CHOOSE(CONTROL!$C$42, 0.275, 0.275)*CHOOSE(CONTROL!$C$42, 30, 30))/1000000</f>
        <v>4.125</v>
      </c>
      <c r="W714" s="58">
        <f>(1000*CHOOSE(CONTROL!$C$42, 0.1146, 0.1146)*CHOOSE(CONTROL!$C$42, 121.5, 121.5)*CHOOSE(CONTROL!$C$42, 30, 30))/1000000</f>
        <v>0.417717</v>
      </c>
      <c r="X714" s="58">
        <f>(30*0.1790888*245000/1000000)+(30*0.2374*100000/1000000)</f>
        <v>2.0285026799999999</v>
      </c>
      <c r="Y714" s="58"/>
      <c r="Z714" s="10"/>
      <c r="AA714" s="57"/>
      <c r="AB714" s="51">
        <f>(B714*194.205+C714*267.466+D714*133.845+E714*53.484+F714*40+G714*185+H714*0+I714*100+J714*300)/(194.205+267.466+133.845+53.484+0+40+185+100+300)</f>
        <v>22.787578565384614</v>
      </c>
      <c r="AC714" s="27">
        <f>(M714*'RAP TEMPLATE-GAS AVAILABILITY'!O713+N714*'RAP TEMPLATE-GAS AVAILABILITY'!P713+O714*'RAP TEMPLATE-GAS AVAILABILITY'!Q713+P714*'RAP TEMPLATE-GAS AVAILABILITY'!R713)/('RAP TEMPLATE-GAS AVAILABILITY'!O713+'RAP TEMPLATE-GAS AVAILABILITY'!P713+'RAP TEMPLATE-GAS AVAILABILITY'!Q713+'RAP TEMPLATE-GAS AVAILABILITY'!R713)</f>
        <v>22.629828057553958</v>
      </c>
    </row>
    <row r="715" spans="1:29" ht="15.75" x14ac:dyDescent="0.25">
      <c r="A715" s="13">
        <v>63036</v>
      </c>
      <c r="B715" s="10">
        <f>CHOOSE(CONTROL!$C$42, 22.327, 22.327) * CHOOSE(CONTROL!$C$21, $C$9, 100%, $E$9)</f>
        <v>22.327000000000002</v>
      </c>
      <c r="C715" s="10">
        <f>CHOOSE(CONTROL!$C$42, 22.3349, 22.3349) * CHOOSE(CONTROL!$C$21, $C$9, 100%, $E$9)</f>
        <v>22.334900000000001</v>
      </c>
      <c r="D715" s="10">
        <f>CHOOSE(CONTROL!$C$42, 22.5135, 22.5135) * CHOOSE(CONTROL!$C$21, $C$9, 100%, $E$9)</f>
        <v>22.513500000000001</v>
      </c>
      <c r="E715" s="10">
        <f>CHOOSE(CONTROL!$C$42, 22.5446, 22.5446) * CHOOSE(CONTROL!$C$21, $C$9, 100%, $E$9)</f>
        <v>22.544599999999999</v>
      </c>
      <c r="F715" s="10">
        <f>CHOOSE(CONTROL!$C$42, 22.3137, 22.3137)*CHOOSE(CONTROL!$C$21, $C$9, 100%, $E$9)</f>
        <v>22.313700000000001</v>
      </c>
      <c r="G715" s="10">
        <f>CHOOSE(CONTROL!$C$42, 22.332, 22.332)*CHOOSE(CONTROL!$C$21, $C$9, 100%, $E$9)</f>
        <v>22.332000000000001</v>
      </c>
      <c r="H715" s="10">
        <f>CHOOSE(CONTROL!$C$42, 22.5332, 22.5332) * CHOOSE(CONTROL!$C$21, $C$9, 100%, $E$9)</f>
        <v>22.533200000000001</v>
      </c>
      <c r="I715" s="10">
        <f>CHOOSE(CONTROL!$C$42, 22.3039, 22.3039)* CHOOSE(CONTROL!$C$21, $C$9, 100%, $E$9)</f>
        <v>22.303899999999999</v>
      </c>
      <c r="J715" s="10">
        <f>CHOOSE(CONTROL!$C$42, 22.3067, 22.3067)* CHOOSE(CONTROL!$C$21, $C$9, 100%, $E$9)</f>
        <v>22.306699999999999</v>
      </c>
      <c r="K715" s="54">
        <f>CHOOSE(CONTROL!$C$42, 22.3, 22.3) * CHOOSE(CONTROL!$C$21, $C$9, 100%, $E$9)</f>
        <v>22.3</v>
      </c>
      <c r="L715" s="10">
        <f>CHOOSE(CONTROL!$C$42, 23.1202, 23.1202) * CHOOSE(CONTROL!$C$21, $C$9, 100%, $E$9)</f>
        <v>23.120200000000001</v>
      </c>
      <c r="M715" s="10">
        <f>CHOOSE(CONTROL!$C$42, 22.0954, 22.0954) * CHOOSE(CONTROL!$C$21, $C$9, 100%, $E$9)</f>
        <v>22.095400000000001</v>
      </c>
      <c r="N715" s="10">
        <f>CHOOSE(CONTROL!$C$42, 22.1136, 22.1136) * CHOOSE(CONTROL!$C$21, $C$9, 100%, $E$9)</f>
        <v>22.113600000000002</v>
      </c>
      <c r="O715" s="10">
        <f>CHOOSE(CONTROL!$C$42, 22.3197, 22.3197) * CHOOSE(CONTROL!$C$21, $C$9, 100%, $E$9)</f>
        <v>22.319700000000001</v>
      </c>
      <c r="P715" s="10">
        <f>CHOOSE(CONTROL!$C$42, 22.0927, 22.0927) * CHOOSE(CONTROL!$C$21, $C$9, 100%, $E$9)</f>
        <v>22.092700000000001</v>
      </c>
      <c r="Q715" s="10">
        <f>CHOOSE(CONTROL!$C$42, 22.915, 22.915) * CHOOSE(CONTROL!$C$21, $C$9, 100%, $E$9)</f>
        <v>22.914999999999999</v>
      </c>
      <c r="R715" s="10">
        <f>CHOOSE(CONTROL!$C$42, 23.5592, 23.5592) * CHOOSE(CONTROL!$C$21, $C$9, 100%, $E$9)</f>
        <v>23.559200000000001</v>
      </c>
      <c r="S715" s="10">
        <f>CHOOSE(CONTROL!$C$42, 21.6775, 21.6775) * CHOOSE(CONTROL!$C$21, $C$9, 100%, $E$9)</f>
        <v>21.677499999999998</v>
      </c>
      <c r="T715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15" s="58">
        <f>(1000*CHOOSE(CONTROL!$C$42, 695, 695)*CHOOSE(CONTROL!$C$42, 0.5599, 0.5599)*CHOOSE(CONTROL!$C$42, 31, 31))/1000000</f>
        <v>12.063045499999998</v>
      </c>
      <c r="V715" s="58">
        <f>(1000*CHOOSE(CONTROL!$C$42, 500, 500)*CHOOSE(CONTROL!$C$42, 0.275, 0.275)*CHOOSE(CONTROL!$C$42, 31, 31))/1000000</f>
        <v>4.2625000000000002</v>
      </c>
      <c r="W715" s="58">
        <f>(1000*CHOOSE(CONTROL!$C$42, 0.1146, 0.1146)*CHOOSE(CONTROL!$C$42, 121.5, 121.5)*CHOOSE(CONTROL!$C$42, 31, 31))/1000000</f>
        <v>0.43164089999999994</v>
      </c>
      <c r="X715" s="58">
        <f>(31*0.1790888*245000/1000000)+(31*0.2374*100000/1000000)</f>
        <v>2.0961194359999999</v>
      </c>
      <c r="Y715" s="58"/>
      <c r="Z715" s="10"/>
      <c r="AA715" s="57"/>
      <c r="AB715" s="51">
        <f>(B715*194.205+C715*267.466+D715*133.845+E715*53.484+F715*40+G715*185+H715*0+I715*100+J715*300)/(194.205+267.466+133.845+53.484+0+40+185+100+300)</f>
        <v>22.35110219175824</v>
      </c>
      <c r="AC715" s="27">
        <f>(M715*'RAP TEMPLATE-GAS AVAILABILITY'!O714+N715*'RAP TEMPLATE-GAS AVAILABILITY'!P714+O715*'RAP TEMPLATE-GAS AVAILABILITY'!Q714+P715*'RAP TEMPLATE-GAS AVAILABILITY'!R714)/('RAP TEMPLATE-GAS AVAILABILITY'!O714+'RAP TEMPLATE-GAS AVAILABILITY'!P714+'RAP TEMPLATE-GAS AVAILABILITY'!Q714+'RAP TEMPLATE-GAS AVAILABILITY'!R714)</f>
        <v>22.197720143884894</v>
      </c>
    </row>
    <row r="716" spans="1:29" ht="15.75" x14ac:dyDescent="0.25">
      <c r="A716" s="13">
        <v>63067</v>
      </c>
      <c r="B716" s="10">
        <f>CHOOSE(CONTROL!$C$42, 21.2244, 21.2244) * CHOOSE(CONTROL!$C$21, $C$9, 100%, $E$9)</f>
        <v>21.224399999999999</v>
      </c>
      <c r="C716" s="10">
        <f>CHOOSE(CONTROL!$C$42, 21.2323, 21.2323) * CHOOSE(CONTROL!$C$21, $C$9, 100%, $E$9)</f>
        <v>21.232299999999999</v>
      </c>
      <c r="D716" s="10">
        <f>CHOOSE(CONTROL!$C$42, 21.4109, 21.4109) * CHOOSE(CONTROL!$C$21, $C$9, 100%, $E$9)</f>
        <v>21.410900000000002</v>
      </c>
      <c r="E716" s="10">
        <f>CHOOSE(CONTROL!$C$42, 21.442, 21.442) * CHOOSE(CONTROL!$C$21, $C$9, 100%, $E$9)</f>
        <v>21.442</v>
      </c>
      <c r="F716" s="10">
        <f>CHOOSE(CONTROL!$C$42, 21.2111, 21.2111)*CHOOSE(CONTROL!$C$21, $C$9, 100%, $E$9)</f>
        <v>21.211099999999998</v>
      </c>
      <c r="G716" s="10">
        <f>CHOOSE(CONTROL!$C$42, 21.2294, 21.2294)*CHOOSE(CONTROL!$C$21, $C$9, 100%, $E$9)</f>
        <v>21.229399999999998</v>
      </c>
      <c r="H716" s="10">
        <f>CHOOSE(CONTROL!$C$42, 21.4306, 21.4306) * CHOOSE(CONTROL!$C$21, $C$9, 100%, $E$9)</f>
        <v>21.430599999999998</v>
      </c>
      <c r="I716" s="10">
        <f>CHOOSE(CONTROL!$C$42, 21.2013, 21.2013)* CHOOSE(CONTROL!$C$21, $C$9, 100%, $E$9)</f>
        <v>21.2013</v>
      </c>
      <c r="J716" s="10">
        <f>CHOOSE(CONTROL!$C$42, 21.2041, 21.2041)* CHOOSE(CONTROL!$C$21, $C$9, 100%, $E$9)</f>
        <v>21.2041</v>
      </c>
      <c r="K716" s="54">
        <f>CHOOSE(CONTROL!$C$42, 21.1974, 21.1974) * CHOOSE(CONTROL!$C$21, $C$9, 100%, $E$9)</f>
        <v>21.197399999999998</v>
      </c>
      <c r="L716" s="10">
        <f>CHOOSE(CONTROL!$C$42, 22.0176, 22.0176) * CHOOSE(CONTROL!$C$21, $C$9, 100%, $E$9)</f>
        <v>22.017600000000002</v>
      </c>
      <c r="M716" s="10">
        <f>CHOOSE(CONTROL!$C$42, 21.0039, 21.0039) * CHOOSE(CONTROL!$C$21, $C$9, 100%, $E$9)</f>
        <v>21.003900000000002</v>
      </c>
      <c r="N716" s="10">
        <f>CHOOSE(CONTROL!$C$42, 21.022, 21.022) * CHOOSE(CONTROL!$C$21, $C$9, 100%, $E$9)</f>
        <v>21.021999999999998</v>
      </c>
      <c r="O716" s="10">
        <f>CHOOSE(CONTROL!$C$42, 21.2282, 21.2282) * CHOOSE(CONTROL!$C$21, $C$9, 100%, $E$9)</f>
        <v>21.228200000000001</v>
      </c>
      <c r="P716" s="10">
        <f>CHOOSE(CONTROL!$C$42, 21.0012, 21.0012) * CHOOSE(CONTROL!$C$21, $C$9, 100%, $E$9)</f>
        <v>21.001200000000001</v>
      </c>
      <c r="Q716" s="10">
        <f>CHOOSE(CONTROL!$C$42, 21.8235, 21.8235) * CHOOSE(CONTROL!$C$21, $C$9, 100%, $E$9)</f>
        <v>21.823499999999999</v>
      </c>
      <c r="R716" s="10">
        <f>CHOOSE(CONTROL!$C$42, 22.4651, 22.4651) * CHOOSE(CONTROL!$C$21, $C$9, 100%, $E$9)</f>
        <v>22.4651</v>
      </c>
      <c r="S716" s="10">
        <f>CHOOSE(CONTROL!$C$42, 20.6068, 20.6068) * CHOOSE(CONTROL!$C$21, $C$9, 100%, $E$9)</f>
        <v>20.6068</v>
      </c>
      <c r="T716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716" s="58">
        <f>(1000*CHOOSE(CONTROL!$C$42, 695, 695)*CHOOSE(CONTROL!$C$42, 0.5599, 0.5599)*CHOOSE(CONTROL!$C$42, 31, 31))/1000000</f>
        <v>12.063045499999998</v>
      </c>
      <c r="V716" s="58">
        <f>(1000*CHOOSE(CONTROL!$C$42, 500, 500)*CHOOSE(CONTROL!$C$42, 0.275, 0.275)*CHOOSE(CONTROL!$C$42, 31, 31))/1000000</f>
        <v>4.2625000000000002</v>
      </c>
      <c r="W716" s="58">
        <f>(1000*CHOOSE(CONTROL!$C$42, 0.1146, 0.1146)*CHOOSE(CONTROL!$C$42, 121.5, 121.5)*CHOOSE(CONTROL!$C$42, 31, 31))/1000000</f>
        <v>0.43164089999999994</v>
      </c>
      <c r="X716" s="58">
        <f>(31*0.1790888*245000/1000000)+(31*0.2374*100000/1000000)</f>
        <v>2.0961194359999999</v>
      </c>
      <c r="Y716" s="58"/>
      <c r="Z716" s="10"/>
      <c r="AA716" s="57"/>
      <c r="AB716" s="51">
        <f>(B716*194.205+C716*267.466+D716*133.845+E716*53.484+F716*40+G716*185+H716*0+I716*100+J716*300)/(194.205+267.466+133.845+53.484+0+40+185+100+300)</f>
        <v>21.248502191758242</v>
      </c>
      <c r="AC716" s="27">
        <f>(M716*'RAP TEMPLATE-GAS AVAILABILITY'!O715+N716*'RAP TEMPLATE-GAS AVAILABILITY'!P715+O716*'RAP TEMPLATE-GAS AVAILABILITY'!Q715+P716*'RAP TEMPLATE-GAS AVAILABILITY'!R715)/('RAP TEMPLATE-GAS AVAILABILITY'!O715+'RAP TEMPLATE-GAS AVAILABILITY'!P715+'RAP TEMPLATE-GAS AVAILABILITY'!Q715+'RAP TEMPLATE-GAS AVAILABILITY'!R715)</f>
        <v>21.106214388489207</v>
      </c>
    </row>
    <row r="717" spans="1:29" ht="15.75" x14ac:dyDescent="0.25">
      <c r="A717" s="13">
        <v>63097</v>
      </c>
      <c r="B717" s="10">
        <f>CHOOSE(CONTROL!$C$42, 19.8773, 19.8773) * CHOOSE(CONTROL!$C$21, $C$9, 100%, $E$9)</f>
        <v>19.877300000000002</v>
      </c>
      <c r="C717" s="10">
        <f>CHOOSE(CONTROL!$C$42, 19.8852, 19.8852) * CHOOSE(CONTROL!$C$21, $C$9, 100%, $E$9)</f>
        <v>19.885200000000001</v>
      </c>
      <c r="D717" s="10">
        <f>CHOOSE(CONTROL!$C$42, 20.0637, 20.0637) * CHOOSE(CONTROL!$C$21, $C$9, 100%, $E$9)</f>
        <v>20.063700000000001</v>
      </c>
      <c r="E717" s="10">
        <f>CHOOSE(CONTROL!$C$42, 20.0949, 20.0949) * CHOOSE(CONTROL!$C$21, $C$9, 100%, $E$9)</f>
        <v>20.094899999999999</v>
      </c>
      <c r="F717" s="10">
        <f>CHOOSE(CONTROL!$C$42, 19.8637, 19.8637)*CHOOSE(CONTROL!$C$21, $C$9, 100%, $E$9)</f>
        <v>19.863700000000001</v>
      </c>
      <c r="G717" s="10">
        <f>CHOOSE(CONTROL!$C$42, 19.8819, 19.8819)*CHOOSE(CONTROL!$C$21, $C$9, 100%, $E$9)</f>
        <v>19.881900000000002</v>
      </c>
      <c r="H717" s="10">
        <f>CHOOSE(CONTROL!$C$42, 20.0835, 20.0835) * CHOOSE(CONTROL!$C$21, $C$9, 100%, $E$9)</f>
        <v>20.083500000000001</v>
      </c>
      <c r="I717" s="10">
        <f>CHOOSE(CONTROL!$C$42, 19.8542, 19.8542)* CHOOSE(CONTROL!$C$21, $C$9, 100%, $E$9)</f>
        <v>19.854199999999999</v>
      </c>
      <c r="J717" s="10">
        <f>CHOOSE(CONTROL!$C$42, 19.8567, 19.8567)* CHOOSE(CONTROL!$C$21, $C$9, 100%, $E$9)</f>
        <v>19.8567</v>
      </c>
      <c r="K717" s="54">
        <f>CHOOSE(CONTROL!$C$42, 19.8503, 19.8503) * CHOOSE(CONTROL!$C$21, $C$9, 100%, $E$9)</f>
        <v>19.850300000000001</v>
      </c>
      <c r="L717" s="10">
        <f>CHOOSE(CONTROL!$C$42, 20.6705, 20.6705) * CHOOSE(CONTROL!$C$21, $C$9, 100%, $E$9)</f>
        <v>20.670500000000001</v>
      </c>
      <c r="M717" s="10">
        <f>CHOOSE(CONTROL!$C$42, 19.6701, 19.6701) * CHOOSE(CONTROL!$C$21, $C$9, 100%, $E$9)</f>
        <v>19.670100000000001</v>
      </c>
      <c r="N717" s="10">
        <f>CHOOSE(CONTROL!$C$42, 19.6881, 19.6881) * CHOOSE(CONTROL!$C$21, $C$9, 100%, $E$9)</f>
        <v>19.688099999999999</v>
      </c>
      <c r="O717" s="10">
        <f>CHOOSE(CONTROL!$C$42, 19.8947, 19.8947) * CHOOSE(CONTROL!$C$21, $C$9, 100%, $E$9)</f>
        <v>19.8947</v>
      </c>
      <c r="P717" s="10">
        <f>CHOOSE(CONTROL!$C$42, 19.6677, 19.6677) * CHOOSE(CONTROL!$C$21, $C$9, 100%, $E$9)</f>
        <v>19.6677</v>
      </c>
      <c r="Q717" s="10">
        <f>CHOOSE(CONTROL!$C$42, 20.49, 20.49) * CHOOSE(CONTROL!$C$21, $C$9, 100%, $E$9)</f>
        <v>20.49</v>
      </c>
      <c r="R717" s="10">
        <f>CHOOSE(CONTROL!$C$42, 21.1282, 21.1282) * CHOOSE(CONTROL!$C$21, $C$9, 100%, $E$9)</f>
        <v>21.1282</v>
      </c>
      <c r="S717" s="10">
        <f>CHOOSE(CONTROL!$C$42, 19.2986, 19.2986) * CHOOSE(CONTROL!$C$21, $C$9, 100%, $E$9)</f>
        <v>19.2986</v>
      </c>
      <c r="T717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717" s="58">
        <f>(1000*CHOOSE(CONTROL!$C$42, 695, 695)*CHOOSE(CONTROL!$C$42, 0.5599, 0.5599)*CHOOSE(CONTROL!$C$42, 30, 30))/1000000</f>
        <v>11.673914999999997</v>
      </c>
      <c r="V717" s="58">
        <f>(1000*CHOOSE(CONTROL!$C$42, 500, 500)*CHOOSE(CONTROL!$C$42, 0.275, 0.275)*CHOOSE(CONTROL!$C$42, 30, 30))/1000000</f>
        <v>4.125</v>
      </c>
      <c r="W717" s="58">
        <f>(1000*CHOOSE(CONTROL!$C$42, 0.1146, 0.1146)*CHOOSE(CONTROL!$C$42, 121.5, 121.5)*CHOOSE(CONTROL!$C$42, 30, 30))/1000000</f>
        <v>0.417717</v>
      </c>
      <c r="X717" s="58">
        <f>(30*0.1790888*245000/1000000)+(30*0.2374*100000/1000000)</f>
        <v>2.0285026799999999</v>
      </c>
      <c r="Y717" s="58"/>
      <c r="Z717" s="10"/>
      <c r="AA717" s="57"/>
      <c r="AB717" s="51">
        <f>(B717*194.205+C717*267.466+D717*133.845+E717*53.484+F717*40+G717*185+H717*0+I717*100+J717*300)/(194.205+267.466+133.845+53.484+0+40+185+100+300)</f>
        <v>19.901253538304555</v>
      </c>
      <c r="AC717" s="27">
        <f>(M717*'RAP TEMPLATE-GAS AVAILABILITY'!O716+N717*'RAP TEMPLATE-GAS AVAILABILITY'!P716+O717*'RAP TEMPLATE-GAS AVAILABILITY'!Q716+P717*'RAP TEMPLATE-GAS AVAILABILITY'!R716)/('RAP TEMPLATE-GAS AVAILABILITY'!O716+'RAP TEMPLATE-GAS AVAILABILITY'!P716+'RAP TEMPLATE-GAS AVAILABILITY'!Q716+'RAP TEMPLATE-GAS AVAILABILITY'!R716)</f>
        <v>19.772587769784174</v>
      </c>
    </row>
    <row r="718" spans="1:29" ht="15.75" x14ac:dyDescent="0.25">
      <c r="A718" s="13">
        <v>63128</v>
      </c>
      <c r="B718" s="10">
        <f>CHOOSE(CONTROL!$C$42, 19.4717, 19.4717) * CHOOSE(CONTROL!$C$21, $C$9, 100%, $E$9)</f>
        <v>19.471699999999998</v>
      </c>
      <c r="C718" s="10">
        <f>CHOOSE(CONTROL!$C$42, 19.4769, 19.4769) * CHOOSE(CONTROL!$C$21, $C$9, 100%, $E$9)</f>
        <v>19.476900000000001</v>
      </c>
      <c r="D718" s="10">
        <f>CHOOSE(CONTROL!$C$42, 19.6604, 19.6604) * CHOOSE(CONTROL!$C$21, $C$9, 100%, $E$9)</f>
        <v>19.660399999999999</v>
      </c>
      <c r="E718" s="10">
        <f>CHOOSE(CONTROL!$C$42, 19.6892, 19.6892) * CHOOSE(CONTROL!$C$21, $C$9, 100%, $E$9)</f>
        <v>19.6892</v>
      </c>
      <c r="F718" s="10">
        <f>CHOOSE(CONTROL!$C$42, 19.46, 19.46)*CHOOSE(CONTROL!$C$21, $C$9, 100%, $E$9)</f>
        <v>19.46</v>
      </c>
      <c r="G718" s="10">
        <f>CHOOSE(CONTROL!$C$42, 19.4779, 19.4779)*CHOOSE(CONTROL!$C$21, $C$9, 100%, $E$9)</f>
        <v>19.477900000000002</v>
      </c>
      <c r="H718" s="10">
        <f>CHOOSE(CONTROL!$C$42, 19.6796, 19.6796) * CHOOSE(CONTROL!$C$21, $C$9, 100%, $E$9)</f>
        <v>19.679600000000001</v>
      </c>
      <c r="I718" s="10">
        <f>CHOOSE(CONTROL!$C$42, 19.4503, 19.4503)* CHOOSE(CONTROL!$C$21, $C$9, 100%, $E$9)</f>
        <v>19.450299999999999</v>
      </c>
      <c r="J718" s="10">
        <f>CHOOSE(CONTROL!$C$42, 19.453, 19.453)* CHOOSE(CONTROL!$C$21, $C$9, 100%, $E$9)</f>
        <v>19.452999999999999</v>
      </c>
      <c r="K718" s="54">
        <f>CHOOSE(CONTROL!$C$42, 19.4464, 19.4464) * CHOOSE(CONTROL!$C$21, $C$9, 100%, $E$9)</f>
        <v>19.446400000000001</v>
      </c>
      <c r="L718" s="10">
        <f>CHOOSE(CONTROL!$C$42, 20.2666, 20.2666) * CHOOSE(CONTROL!$C$21, $C$9, 100%, $E$9)</f>
        <v>20.2666</v>
      </c>
      <c r="M718" s="10">
        <f>CHOOSE(CONTROL!$C$42, 19.2705, 19.2705) * CHOOSE(CONTROL!$C$21, $C$9, 100%, $E$9)</f>
        <v>19.270499999999998</v>
      </c>
      <c r="N718" s="10">
        <f>CHOOSE(CONTROL!$C$42, 19.2882, 19.2882) * CHOOSE(CONTROL!$C$21, $C$9, 100%, $E$9)</f>
        <v>19.2882</v>
      </c>
      <c r="O718" s="10">
        <f>CHOOSE(CONTROL!$C$42, 19.4949, 19.4949) * CHOOSE(CONTROL!$C$21, $C$9, 100%, $E$9)</f>
        <v>19.494900000000001</v>
      </c>
      <c r="P718" s="10">
        <f>CHOOSE(CONTROL!$C$42, 19.2679, 19.2679) * CHOOSE(CONTROL!$C$21, $C$9, 100%, $E$9)</f>
        <v>19.267900000000001</v>
      </c>
      <c r="Q718" s="10">
        <f>CHOOSE(CONTROL!$C$42, 20.0902, 20.0902) * CHOOSE(CONTROL!$C$21, $C$9, 100%, $E$9)</f>
        <v>20.090199999999999</v>
      </c>
      <c r="R718" s="10">
        <f>CHOOSE(CONTROL!$C$42, 20.7274, 20.7274) * CHOOSE(CONTROL!$C$21, $C$9, 100%, $E$9)</f>
        <v>20.727399999999999</v>
      </c>
      <c r="S718" s="10">
        <f>CHOOSE(CONTROL!$C$42, 18.9064, 18.9064) * CHOOSE(CONTROL!$C$21, $C$9, 100%, $E$9)</f>
        <v>18.906400000000001</v>
      </c>
      <c r="T718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18" s="58">
        <f>(1000*CHOOSE(CONTROL!$C$42, 695, 695)*CHOOSE(CONTROL!$C$42, 0.5599, 0.5599)*CHOOSE(CONTROL!$C$42, 31, 31))/1000000</f>
        <v>12.063045499999998</v>
      </c>
      <c r="V718" s="58">
        <f>(1000*CHOOSE(CONTROL!$C$42, 500, 500)*CHOOSE(CONTROL!$C$42, 0.275, 0.275)*CHOOSE(CONTROL!$C$42, 31, 31))/1000000</f>
        <v>4.2625000000000002</v>
      </c>
      <c r="W718" s="58">
        <f>(1000*CHOOSE(CONTROL!$C$42, 0.1146, 0.1146)*CHOOSE(CONTROL!$C$42, 121.5, 121.5)*CHOOSE(CONTROL!$C$42, 31, 31))/1000000</f>
        <v>0.43164089999999994</v>
      </c>
      <c r="X718" s="58">
        <f>(31*0.1790888*245000/1000000)+(31*0.2374*100000/1000000)</f>
        <v>2.0961194359999999</v>
      </c>
      <c r="Y718" s="58"/>
      <c r="Z718" s="10"/>
      <c r="AA718" s="57"/>
      <c r="AB718" s="51">
        <f>(B718*131.881+C718*277.167+D718*79.08+E718*125.872+F718*40+G718*185+H718*0+I718*100+J718*300)/(131.881+277.167+79.08+125.872+0+40+185+100+300)</f>
        <v>19.501296307021793</v>
      </c>
      <c r="AC718" s="27">
        <f>(M718*'RAP TEMPLATE-GAS AVAILABILITY'!O717+N718*'RAP TEMPLATE-GAS AVAILABILITY'!P717+O718*'RAP TEMPLATE-GAS AVAILABILITY'!Q717+P718*'RAP TEMPLATE-GAS AVAILABILITY'!R717)/('RAP TEMPLATE-GAS AVAILABILITY'!O717+'RAP TEMPLATE-GAS AVAILABILITY'!P717+'RAP TEMPLATE-GAS AVAILABILITY'!Q717+'RAP TEMPLATE-GAS AVAILABILITY'!R717)</f>
        <v>19.372851079136691</v>
      </c>
    </row>
    <row r="719" spans="1:29" ht="15.75" x14ac:dyDescent="0.25">
      <c r="A719" s="13">
        <v>63158</v>
      </c>
      <c r="B719" s="10">
        <f>CHOOSE(CONTROL!$C$42, 19.9841, 19.9841) * CHOOSE(CONTROL!$C$21, $C$9, 100%, $E$9)</f>
        <v>19.984100000000002</v>
      </c>
      <c r="C719" s="10">
        <f>CHOOSE(CONTROL!$C$42, 19.9891, 19.9891) * CHOOSE(CONTROL!$C$21, $C$9, 100%, $E$9)</f>
        <v>19.989100000000001</v>
      </c>
      <c r="D719" s="10">
        <f>CHOOSE(CONTROL!$C$42, 20.0187, 20.0187) * CHOOSE(CONTROL!$C$21, $C$9, 100%, $E$9)</f>
        <v>20.018699999999999</v>
      </c>
      <c r="E719" s="10">
        <f>CHOOSE(CONTROL!$C$42, 20.0525, 20.0525) * CHOOSE(CONTROL!$C$21, $C$9, 100%, $E$9)</f>
        <v>20.052499999999998</v>
      </c>
      <c r="F719" s="10">
        <f>CHOOSE(CONTROL!$C$42, 19.9699, 19.9699)*CHOOSE(CONTROL!$C$21, $C$9, 100%, $E$9)</f>
        <v>19.969899999999999</v>
      </c>
      <c r="G719" s="10">
        <f>CHOOSE(CONTROL!$C$42, 19.9879, 19.9879)*CHOOSE(CONTROL!$C$21, $C$9, 100%, $E$9)</f>
        <v>19.9879</v>
      </c>
      <c r="H719" s="10">
        <f>CHOOSE(CONTROL!$C$42, 20.0417, 20.0417) * CHOOSE(CONTROL!$C$21, $C$9, 100%, $E$9)</f>
        <v>20.041699999999999</v>
      </c>
      <c r="I719" s="10">
        <f>CHOOSE(CONTROL!$C$42, 19.9503, 19.9503)* CHOOSE(CONTROL!$C$21, $C$9, 100%, $E$9)</f>
        <v>19.950299999999999</v>
      </c>
      <c r="J719" s="10">
        <f>CHOOSE(CONTROL!$C$42, 19.9629, 19.9629)* CHOOSE(CONTROL!$C$21, $C$9, 100%, $E$9)</f>
        <v>19.962900000000001</v>
      </c>
      <c r="K719" s="54">
        <f>CHOOSE(CONTROL!$C$42, 19.9464, 19.9464) * CHOOSE(CONTROL!$C$21, $C$9, 100%, $E$9)</f>
        <v>19.946400000000001</v>
      </c>
      <c r="L719" s="10">
        <f>CHOOSE(CONTROL!$C$42, 20.6287, 20.6287) * CHOOSE(CONTROL!$C$21, $C$9, 100%, $E$9)</f>
        <v>20.628699999999998</v>
      </c>
      <c r="M719" s="10">
        <f>CHOOSE(CONTROL!$C$42, 19.7752, 19.7752) * CHOOSE(CONTROL!$C$21, $C$9, 100%, $E$9)</f>
        <v>19.775200000000002</v>
      </c>
      <c r="N719" s="10">
        <f>CHOOSE(CONTROL!$C$42, 19.7931, 19.7931) * CHOOSE(CONTROL!$C$21, $C$9, 100%, $E$9)</f>
        <v>19.793099999999999</v>
      </c>
      <c r="O719" s="10">
        <f>CHOOSE(CONTROL!$C$42, 19.8532, 19.8532) * CHOOSE(CONTROL!$C$21, $C$9, 100%, $E$9)</f>
        <v>19.853200000000001</v>
      </c>
      <c r="P719" s="10">
        <f>CHOOSE(CONTROL!$C$42, 19.7628, 19.7628) * CHOOSE(CONTROL!$C$21, $C$9, 100%, $E$9)</f>
        <v>19.762799999999999</v>
      </c>
      <c r="Q719" s="10">
        <f>CHOOSE(CONTROL!$C$42, 20.4485, 20.4485) * CHOOSE(CONTROL!$C$21, $C$9, 100%, $E$9)</f>
        <v>20.448499999999999</v>
      </c>
      <c r="R719" s="10">
        <f>CHOOSE(CONTROL!$C$42, 21.0867, 21.0867) * CHOOSE(CONTROL!$C$21, $C$9, 100%, $E$9)</f>
        <v>21.0867</v>
      </c>
      <c r="S719" s="10">
        <f>CHOOSE(CONTROL!$C$42, 19.4045, 19.4045) * CHOOSE(CONTROL!$C$21, $C$9, 100%, $E$9)</f>
        <v>19.404499999999999</v>
      </c>
      <c r="T719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19" s="58">
        <f>(1000*CHOOSE(CONTROL!$C$42, 695, 695)*CHOOSE(CONTROL!$C$42, 0.5599, 0.5599)*CHOOSE(CONTROL!$C$42, 30, 30))/1000000</f>
        <v>11.673914999999997</v>
      </c>
      <c r="V719" s="58">
        <f>(1000*CHOOSE(CONTROL!$C$42, 500, 500)*CHOOSE(CONTROL!$C$42, 0.275, 0.275)*CHOOSE(CONTROL!$C$42, 30, 30))/1000000</f>
        <v>4.125</v>
      </c>
      <c r="W719" s="58">
        <f>(1000*CHOOSE(CONTROL!$C$42, 0.1146, 0.1146)*CHOOSE(CONTROL!$C$42, 121.5, 121.5)*CHOOSE(CONTROL!$C$42, 30, 30))/1000000</f>
        <v>0.417717</v>
      </c>
      <c r="X719" s="58">
        <f>(30*0.1790888*100000/1000000)+(30*0.2374*100000/1000000)</f>
        <v>1.2494664</v>
      </c>
      <c r="Y719" s="58"/>
      <c r="Z719" s="10"/>
      <c r="AA719" s="57"/>
      <c r="AB719" s="51">
        <f>(B719*122.58+C719*297.941+D719*89.177+E719*40.302+F719*40+G719*160+H719*0+I719*100+J719*300)/(122.58+297.941+89.177+40.302+0+40+160+100+300)</f>
        <v>19.982040770434782</v>
      </c>
      <c r="AC719" s="27">
        <f>(M719*'RAP TEMPLATE-GAS AVAILABILITY'!O718+N719*'RAP TEMPLATE-GAS AVAILABILITY'!P718+O719*'RAP TEMPLATE-GAS AVAILABILITY'!Q718+P719*'RAP TEMPLATE-GAS AVAILABILITY'!R718)/('RAP TEMPLATE-GAS AVAILABILITY'!O718+'RAP TEMPLATE-GAS AVAILABILITY'!P718+'RAP TEMPLATE-GAS AVAILABILITY'!Q718+'RAP TEMPLATE-GAS AVAILABILITY'!R718)</f>
        <v>19.80979856115108</v>
      </c>
    </row>
    <row r="720" spans="1:29" ht="15.75" x14ac:dyDescent="0.25">
      <c r="A720" s="13">
        <v>63189</v>
      </c>
      <c r="B720" s="10">
        <f>CHOOSE(CONTROL!$C$42, 21.3464, 21.3464) * CHOOSE(CONTROL!$C$21, $C$9, 100%, $E$9)</f>
        <v>21.346399999999999</v>
      </c>
      <c r="C720" s="10">
        <f>CHOOSE(CONTROL!$C$42, 21.3514, 21.3514) * CHOOSE(CONTROL!$C$21, $C$9, 100%, $E$9)</f>
        <v>21.351400000000002</v>
      </c>
      <c r="D720" s="10">
        <f>CHOOSE(CONTROL!$C$42, 21.381, 21.381) * CHOOSE(CONTROL!$C$21, $C$9, 100%, $E$9)</f>
        <v>21.381</v>
      </c>
      <c r="E720" s="10">
        <f>CHOOSE(CONTROL!$C$42, 21.4148, 21.4148) * CHOOSE(CONTROL!$C$21, $C$9, 100%, $E$9)</f>
        <v>21.4148</v>
      </c>
      <c r="F720" s="10">
        <f>CHOOSE(CONTROL!$C$42, 21.3337, 21.3337)*CHOOSE(CONTROL!$C$21, $C$9, 100%, $E$9)</f>
        <v>21.3337</v>
      </c>
      <c r="G720" s="10">
        <f>CHOOSE(CONTROL!$C$42, 21.3522, 21.3522)*CHOOSE(CONTROL!$C$21, $C$9, 100%, $E$9)</f>
        <v>21.3522</v>
      </c>
      <c r="H720" s="10">
        <f>CHOOSE(CONTROL!$C$42, 21.404, 21.404) * CHOOSE(CONTROL!$C$21, $C$9, 100%, $E$9)</f>
        <v>21.404</v>
      </c>
      <c r="I720" s="10">
        <f>CHOOSE(CONTROL!$C$42, 21.3126, 21.3126)* CHOOSE(CONTROL!$C$21, $C$9, 100%, $E$9)</f>
        <v>21.3126</v>
      </c>
      <c r="J720" s="10">
        <f>CHOOSE(CONTROL!$C$42, 21.3267, 21.3267)* CHOOSE(CONTROL!$C$21, $C$9, 100%, $E$9)</f>
        <v>21.326699999999999</v>
      </c>
      <c r="K720" s="54">
        <f>CHOOSE(CONTROL!$C$42, 21.3087, 21.3087) * CHOOSE(CONTROL!$C$21, $C$9, 100%, $E$9)</f>
        <v>21.308700000000002</v>
      </c>
      <c r="L720" s="10">
        <f>CHOOSE(CONTROL!$C$42, 21.991, 21.991) * CHOOSE(CONTROL!$C$21, $C$9, 100%, $E$9)</f>
        <v>21.991</v>
      </c>
      <c r="M720" s="10">
        <f>CHOOSE(CONTROL!$C$42, 21.1253, 21.1253) * CHOOSE(CONTROL!$C$21, $C$9, 100%, $E$9)</f>
        <v>21.125299999999999</v>
      </c>
      <c r="N720" s="10">
        <f>CHOOSE(CONTROL!$C$42, 21.1436, 21.1436) * CHOOSE(CONTROL!$C$21, $C$9, 100%, $E$9)</f>
        <v>21.143599999999999</v>
      </c>
      <c r="O720" s="10">
        <f>CHOOSE(CONTROL!$C$42, 21.2018, 21.2018) * CHOOSE(CONTROL!$C$21, $C$9, 100%, $E$9)</f>
        <v>21.201799999999999</v>
      </c>
      <c r="P720" s="10">
        <f>CHOOSE(CONTROL!$C$42, 21.1114, 21.1114) * CHOOSE(CONTROL!$C$21, $C$9, 100%, $E$9)</f>
        <v>21.1114</v>
      </c>
      <c r="Q720" s="10">
        <f>CHOOSE(CONTROL!$C$42, 21.7971, 21.7971) * CHOOSE(CONTROL!$C$21, $C$9, 100%, $E$9)</f>
        <v>21.7971</v>
      </c>
      <c r="R720" s="10">
        <f>CHOOSE(CONTROL!$C$42, 22.4386, 22.4386) * CHOOSE(CONTROL!$C$21, $C$9, 100%, $E$9)</f>
        <v>22.438600000000001</v>
      </c>
      <c r="S720" s="10">
        <f>CHOOSE(CONTROL!$C$42, 20.7274, 20.7274) * CHOOSE(CONTROL!$C$21, $C$9, 100%, $E$9)</f>
        <v>20.727399999999999</v>
      </c>
      <c r="T720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20" s="58">
        <f>(1000*CHOOSE(CONTROL!$C$42, 695, 695)*CHOOSE(CONTROL!$C$42, 0.5599, 0.5599)*CHOOSE(CONTROL!$C$42, 31, 31))/1000000</f>
        <v>12.063045499999998</v>
      </c>
      <c r="V720" s="58">
        <f>(1000*CHOOSE(CONTROL!$C$42, 500, 500)*CHOOSE(CONTROL!$C$42, 0.275, 0.275)*CHOOSE(CONTROL!$C$42, 31, 31))/1000000</f>
        <v>4.2625000000000002</v>
      </c>
      <c r="W720" s="58">
        <f>(1000*CHOOSE(CONTROL!$C$42, 0.1146, 0.1146)*CHOOSE(CONTROL!$C$42, 121.5, 121.5)*CHOOSE(CONTROL!$C$42, 31, 31))/1000000</f>
        <v>0.43164089999999994</v>
      </c>
      <c r="X720" s="58">
        <f>(31*0.1790888*100000/1000000)+(31*0.2374*100000/1000000)</f>
        <v>1.2911152800000001</v>
      </c>
      <c r="Y720" s="58"/>
      <c r="Z720" s="10"/>
      <c r="AA720" s="57"/>
      <c r="AB720" s="51">
        <f>(B720*122.58+C720*297.941+D720*89.177+E720*40.302+F720*40+G720*160+H720*0+I720*100+J720*300)/(122.58+297.941+89.177+40.302+0+40+160+100+300)</f>
        <v>21.345062509565217</v>
      </c>
      <c r="AC720" s="27">
        <f>(M720*'RAP TEMPLATE-GAS AVAILABILITY'!O719+N720*'RAP TEMPLATE-GAS AVAILABILITY'!P719+O720*'RAP TEMPLATE-GAS AVAILABILITY'!Q719+P720*'RAP TEMPLATE-GAS AVAILABILITY'!R719)/('RAP TEMPLATE-GAS AVAILABILITY'!O719+'RAP TEMPLATE-GAS AVAILABILITY'!P719+'RAP TEMPLATE-GAS AVAILABILITY'!Q719+'RAP TEMPLATE-GAS AVAILABILITY'!R719)</f>
        <v>21.159025899280575</v>
      </c>
    </row>
    <row r="721" spans="1:29" ht="15.75" x14ac:dyDescent="0.25">
      <c r="A721" s="13">
        <v>63220</v>
      </c>
      <c r="B721" s="10">
        <f>CHOOSE(CONTROL!$C$42, 22.787, 22.787) * CHOOSE(CONTROL!$C$21, $C$9, 100%, $E$9)</f>
        <v>22.786999999999999</v>
      </c>
      <c r="C721" s="10">
        <f>CHOOSE(CONTROL!$C$42, 22.792, 22.792) * CHOOSE(CONTROL!$C$21, $C$9, 100%, $E$9)</f>
        <v>22.792000000000002</v>
      </c>
      <c r="D721" s="10">
        <f>CHOOSE(CONTROL!$C$42, 22.8422, 22.8422) * CHOOSE(CONTROL!$C$21, $C$9, 100%, $E$9)</f>
        <v>22.842199999999998</v>
      </c>
      <c r="E721" s="10">
        <f>CHOOSE(CONTROL!$C$42, 22.8759, 22.8759) * CHOOSE(CONTROL!$C$21, $C$9, 100%, $E$9)</f>
        <v>22.875900000000001</v>
      </c>
      <c r="F721" s="10">
        <f>CHOOSE(CONTROL!$C$42, 22.7524, 22.7524)*CHOOSE(CONTROL!$C$21, $C$9, 100%, $E$9)</f>
        <v>22.752400000000002</v>
      </c>
      <c r="G721" s="10">
        <f>CHOOSE(CONTROL!$C$42, 22.7699, 22.7699)*CHOOSE(CONTROL!$C$21, $C$9, 100%, $E$9)</f>
        <v>22.7699</v>
      </c>
      <c r="H721" s="10">
        <f>CHOOSE(CONTROL!$C$42, 22.8651, 22.8651) * CHOOSE(CONTROL!$C$21, $C$9, 100%, $E$9)</f>
        <v>22.865100000000002</v>
      </c>
      <c r="I721" s="10">
        <f>CHOOSE(CONTROL!$C$42, 22.7609, 22.7609)* CHOOSE(CONTROL!$C$21, $C$9, 100%, $E$9)</f>
        <v>22.760899999999999</v>
      </c>
      <c r="J721" s="10">
        <f>CHOOSE(CONTROL!$C$42, 22.7454, 22.7454)* CHOOSE(CONTROL!$C$21, $C$9, 100%, $E$9)</f>
        <v>22.7454</v>
      </c>
      <c r="K721" s="54">
        <f>CHOOSE(CONTROL!$C$42, 22.757, 22.757) * CHOOSE(CONTROL!$C$21, $C$9, 100%, $E$9)</f>
        <v>22.757000000000001</v>
      </c>
      <c r="L721" s="10">
        <f>CHOOSE(CONTROL!$C$42, 23.4521, 23.4521) * CHOOSE(CONTROL!$C$21, $C$9, 100%, $E$9)</f>
        <v>23.452100000000002</v>
      </c>
      <c r="M721" s="10">
        <f>CHOOSE(CONTROL!$C$42, 22.5296, 22.5296) * CHOOSE(CONTROL!$C$21, $C$9, 100%, $E$9)</f>
        <v>22.529599999999999</v>
      </c>
      <c r="N721" s="10">
        <f>CHOOSE(CONTROL!$C$42, 22.547, 22.547) * CHOOSE(CONTROL!$C$21, $C$9, 100%, $E$9)</f>
        <v>22.547000000000001</v>
      </c>
      <c r="O721" s="10">
        <f>CHOOSE(CONTROL!$C$42, 22.6482, 22.6482) * CHOOSE(CONTROL!$C$21, $C$9, 100%, $E$9)</f>
        <v>22.648199999999999</v>
      </c>
      <c r="P721" s="10">
        <f>CHOOSE(CONTROL!$C$42, 22.5451, 22.5451) * CHOOSE(CONTROL!$C$21, $C$9, 100%, $E$9)</f>
        <v>22.545100000000001</v>
      </c>
      <c r="Q721" s="10">
        <f>CHOOSE(CONTROL!$C$42, 23.2435, 23.2435) * CHOOSE(CONTROL!$C$21, $C$9, 100%, $E$9)</f>
        <v>23.243500000000001</v>
      </c>
      <c r="R721" s="10">
        <f>CHOOSE(CONTROL!$C$42, 23.8886, 23.8886) * CHOOSE(CONTROL!$C$21, $C$9, 100%, $E$9)</f>
        <v>23.8886</v>
      </c>
      <c r="S721" s="10">
        <f>CHOOSE(CONTROL!$C$42, 22.1263, 22.1263) * CHOOSE(CONTROL!$C$21, $C$9, 100%, $E$9)</f>
        <v>22.126300000000001</v>
      </c>
      <c r="T721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21" s="58">
        <f>(1000*CHOOSE(CONTROL!$C$42, 695, 695)*CHOOSE(CONTROL!$C$42, 0.5599, 0.5599)*CHOOSE(CONTROL!$C$42, 31, 31))/1000000</f>
        <v>12.063045499999998</v>
      </c>
      <c r="V721" s="58">
        <f>(1000*CHOOSE(CONTROL!$C$42, 500, 500)*CHOOSE(CONTROL!$C$42, 0.275, 0.275)*CHOOSE(CONTROL!$C$42, 31, 31))/1000000</f>
        <v>4.2625000000000002</v>
      </c>
      <c r="W721" s="58">
        <f>(1000*CHOOSE(CONTROL!$C$42, 0.1146, 0.1146)*CHOOSE(CONTROL!$C$42, 121.5, 121.5)*CHOOSE(CONTROL!$C$42, 31, 31))/1000000</f>
        <v>0.43164089999999994</v>
      </c>
      <c r="X721" s="58">
        <f>(31*0.1790888*100000/1000000)+(31*0.2374*100000/1000000)</f>
        <v>1.2911152800000001</v>
      </c>
      <c r="Y721" s="58"/>
      <c r="Z721" s="10"/>
      <c r="AA721" s="57"/>
      <c r="AB721" s="51">
        <f>(B721*122.58+C721*297.941+D721*89.177+E721*40.302+F721*40+G721*160+H721*0+I721*100+J721*300)/(122.58+297.941+89.177+40.302+0+40+160+100+300)</f>
        <v>22.778987063652174</v>
      </c>
      <c r="AC721" s="27">
        <f>(M721*'RAP TEMPLATE-GAS AVAILABILITY'!O720+N721*'RAP TEMPLATE-GAS AVAILABILITY'!P720+O721*'RAP TEMPLATE-GAS AVAILABILITY'!Q720+P721*'RAP TEMPLATE-GAS AVAILABILITY'!R720)/('RAP TEMPLATE-GAS AVAILABILITY'!O720+'RAP TEMPLATE-GAS AVAILABILITY'!P720+'RAP TEMPLATE-GAS AVAILABILITY'!Q720+'RAP TEMPLATE-GAS AVAILABILITY'!R720)</f>
        <v>22.586585611510792</v>
      </c>
    </row>
    <row r="722" spans="1:29" ht="15.75" x14ac:dyDescent="0.25">
      <c r="A722" s="13">
        <v>63248</v>
      </c>
      <c r="B722" s="10">
        <f>CHOOSE(CONTROL!$C$42, 23.1926, 23.1926) * CHOOSE(CONTROL!$C$21, $C$9, 100%, $E$9)</f>
        <v>23.192599999999999</v>
      </c>
      <c r="C722" s="10">
        <f>CHOOSE(CONTROL!$C$42, 23.1975, 23.1975) * CHOOSE(CONTROL!$C$21, $C$9, 100%, $E$9)</f>
        <v>23.197500000000002</v>
      </c>
      <c r="D722" s="10">
        <f>CHOOSE(CONTROL!$C$42, 23.3147, 23.3147) * CHOOSE(CONTROL!$C$21, $C$9, 100%, $E$9)</f>
        <v>23.314699999999998</v>
      </c>
      <c r="E722" s="10">
        <f>CHOOSE(CONTROL!$C$42, 23.3485, 23.3485) * CHOOSE(CONTROL!$C$21, $C$9, 100%, $E$9)</f>
        <v>23.348500000000001</v>
      </c>
      <c r="F722" s="10">
        <f>CHOOSE(CONTROL!$C$42, 23.2702, 23.2702)*CHOOSE(CONTROL!$C$21, $C$9, 100%, $E$9)</f>
        <v>23.270199999999999</v>
      </c>
      <c r="G722" s="10">
        <f>CHOOSE(CONTROL!$C$42, 23.2921, 23.2921)*CHOOSE(CONTROL!$C$21, $C$9, 100%, $E$9)</f>
        <v>23.292100000000001</v>
      </c>
      <c r="H722" s="10">
        <f>CHOOSE(CONTROL!$C$42, 23.3377, 23.3377) * CHOOSE(CONTROL!$C$21, $C$9, 100%, $E$9)</f>
        <v>23.337700000000002</v>
      </c>
      <c r="I722" s="10">
        <f>CHOOSE(CONTROL!$C$42, 23.2283, 23.2283)* CHOOSE(CONTROL!$C$21, $C$9, 100%, $E$9)</f>
        <v>23.228300000000001</v>
      </c>
      <c r="J722" s="10">
        <f>CHOOSE(CONTROL!$C$42, 23.2632, 23.2632)* CHOOSE(CONTROL!$C$21, $C$9, 100%, $E$9)</f>
        <v>23.263200000000001</v>
      </c>
      <c r="K722" s="54">
        <f>CHOOSE(CONTROL!$C$42, 23.2244, 23.2244) * CHOOSE(CONTROL!$C$21, $C$9, 100%, $E$9)</f>
        <v>23.224399999999999</v>
      </c>
      <c r="L722" s="10">
        <f>CHOOSE(CONTROL!$C$42, 23.9247, 23.9247) * CHOOSE(CONTROL!$C$21, $C$9, 100%, $E$9)</f>
        <v>23.924700000000001</v>
      </c>
      <c r="M722" s="10">
        <f>CHOOSE(CONTROL!$C$42, 23.0422, 23.0422) * CHOOSE(CONTROL!$C$21, $C$9, 100%, $E$9)</f>
        <v>23.042200000000001</v>
      </c>
      <c r="N722" s="10">
        <f>CHOOSE(CONTROL!$C$42, 23.0639, 23.0639) * CHOOSE(CONTROL!$C$21, $C$9, 100%, $E$9)</f>
        <v>23.0639</v>
      </c>
      <c r="O722" s="10">
        <f>CHOOSE(CONTROL!$C$42, 23.116, 23.116) * CHOOSE(CONTROL!$C$21, $C$9, 100%, $E$9)</f>
        <v>23.116</v>
      </c>
      <c r="P722" s="10">
        <f>CHOOSE(CONTROL!$C$42, 23.0077, 23.0077) * CHOOSE(CONTROL!$C$21, $C$9, 100%, $E$9)</f>
        <v>23.0077</v>
      </c>
      <c r="Q722" s="10">
        <f>CHOOSE(CONTROL!$C$42, 23.7113, 23.7113) * CHOOSE(CONTROL!$C$21, $C$9, 100%, $E$9)</f>
        <v>23.711300000000001</v>
      </c>
      <c r="R722" s="10">
        <f>CHOOSE(CONTROL!$C$42, 24.3575, 24.3575) * CHOOSE(CONTROL!$C$21, $C$9, 100%, $E$9)</f>
        <v>24.357500000000002</v>
      </c>
      <c r="S722" s="10">
        <f>CHOOSE(CONTROL!$C$42, 22.5202, 22.5202) * CHOOSE(CONTROL!$C$21, $C$9, 100%, $E$9)</f>
        <v>22.520199999999999</v>
      </c>
      <c r="T722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722" s="58">
        <f>(1000*CHOOSE(CONTROL!$C$42, 695, 695)*CHOOSE(CONTROL!$C$42, 0.5599, 0.5599)*CHOOSE(CONTROL!$C$42, 28, 28))/1000000</f>
        <v>10.895653999999999</v>
      </c>
      <c r="V722" s="58">
        <f>(1000*CHOOSE(CONTROL!$C$42, 500, 500)*CHOOSE(CONTROL!$C$42, 0.275, 0.275)*CHOOSE(CONTROL!$C$42, 28, 28))/1000000</f>
        <v>3.85</v>
      </c>
      <c r="W722" s="58">
        <f>(1000*CHOOSE(CONTROL!$C$42, 0.1146, 0.1146)*CHOOSE(CONTROL!$C$42, 121.5, 121.5)*CHOOSE(CONTROL!$C$42, 28, 28))/1000000</f>
        <v>0.38986920000000003</v>
      </c>
      <c r="X722" s="58">
        <f>(28*0.1790888*100000/1000000)+(28*0.2374*100000/1000000)</f>
        <v>1.16616864</v>
      </c>
      <c r="Y722" s="58"/>
      <c r="Z722" s="10"/>
      <c r="AA722" s="57"/>
      <c r="AB722" s="51">
        <f>(B722*122.58+C722*297.941+D722*89.177+E722*40.302+F722*40+G722*160+H722*0+I722*100+J722*300)/(122.58+297.941+89.177+40.302+0+40+160+100+300)</f>
        <v>23.246865656000004</v>
      </c>
      <c r="AC722" s="27">
        <f>(M722*'RAP TEMPLATE-GAS AVAILABILITY'!O721+N722*'RAP TEMPLATE-GAS AVAILABILITY'!P721+O722*'RAP TEMPLATE-GAS AVAILABILITY'!Q721+P722*'RAP TEMPLATE-GAS AVAILABILITY'!R721)/('RAP TEMPLATE-GAS AVAILABILITY'!O721+'RAP TEMPLATE-GAS AVAILABILITY'!P721+'RAP TEMPLATE-GAS AVAILABILITY'!Q721+'RAP TEMPLATE-GAS AVAILABILITY'!R721)</f>
        <v>23.071933812949645</v>
      </c>
    </row>
    <row r="723" spans="1:29" ht="15.75" x14ac:dyDescent="0.25">
      <c r="A723" s="13">
        <v>63279</v>
      </c>
      <c r="B723" s="10">
        <f>CHOOSE(CONTROL!$C$42, 22.5342, 22.5342) * CHOOSE(CONTROL!$C$21, $C$9, 100%, $E$9)</f>
        <v>22.534199999999998</v>
      </c>
      <c r="C723" s="10">
        <f>CHOOSE(CONTROL!$C$42, 22.5392, 22.5392) * CHOOSE(CONTROL!$C$21, $C$9, 100%, $E$9)</f>
        <v>22.539200000000001</v>
      </c>
      <c r="D723" s="10">
        <f>CHOOSE(CONTROL!$C$42, 22.6306, 22.6306) * CHOOSE(CONTROL!$C$21, $C$9, 100%, $E$9)</f>
        <v>22.630600000000001</v>
      </c>
      <c r="E723" s="10">
        <f>CHOOSE(CONTROL!$C$42, 22.6643, 22.6643) * CHOOSE(CONTROL!$C$21, $C$9, 100%, $E$9)</f>
        <v>22.664300000000001</v>
      </c>
      <c r="F723" s="10">
        <f>CHOOSE(CONTROL!$C$42, 22.5641, 22.5641)*CHOOSE(CONTROL!$C$21, $C$9, 100%, $E$9)</f>
        <v>22.5641</v>
      </c>
      <c r="G723" s="10">
        <f>CHOOSE(CONTROL!$C$42, 22.5836, 22.5836)*CHOOSE(CONTROL!$C$21, $C$9, 100%, $E$9)</f>
        <v>22.583600000000001</v>
      </c>
      <c r="H723" s="10">
        <f>CHOOSE(CONTROL!$C$42, 22.6535, 22.6535) * CHOOSE(CONTROL!$C$21, $C$9, 100%, $E$9)</f>
        <v>22.653500000000001</v>
      </c>
      <c r="I723" s="10">
        <f>CHOOSE(CONTROL!$C$42, 22.557, 22.557)* CHOOSE(CONTROL!$C$21, $C$9, 100%, $E$9)</f>
        <v>22.556999999999999</v>
      </c>
      <c r="J723" s="10">
        <f>CHOOSE(CONTROL!$C$42, 22.5571, 22.5571)* CHOOSE(CONTROL!$C$21, $C$9, 100%, $E$9)</f>
        <v>22.557099999999998</v>
      </c>
      <c r="K723" s="54">
        <f>CHOOSE(CONTROL!$C$42, 22.5531, 22.5531) * CHOOSE(CONTROL!$C$21, $C$9, 100%, $E$9)</f>
        <v>22.553100000000001</v>
      </c>
      <c r="L723" s="10">
        <f>CHOOSE(CONTROL!$C$42, 23.2405, 23.2405) * CHOOSE(CONTROL!$C$21, $C$9, 100%, $E$9)</f>
        <v>23.240500000000001</v>
      </c>
      <c r="M723" s="10">
        <f>CHOOSE(CONTROL!$C$42, 22.3433, 22.3433) * CHOOSE(CONTROL!$C$21, $C$9, 100%, $E$9)</f>
        <v>22.343299999999999</v>
      </c>
      <c r="N723" s="10">
        <f>CHOOSE(CONTROL!$C$42, 22.3625, 22.3625) * CHOOSE(CONTROL!$C$21, $C$9, 100%, $E$9)</f>
        <v>22.362500000000001</v>
      </c>
      <c r="O723" s="10">
        <f>CHOOSE(CONTROL!$C$42, 22.4388, 22.4388) * CHOOSE(CONTROL!$C$21, $C$9, 100%, $E$9)</f>
        <v>22.438800000000001</v>
      </c>
      <c r="P723" s="10">
        <f>CHOOSE(CONTROL!$C$42, 22.3433, 22.3433) * CHOOSE(CONTROL!$C$21, $C$9, 100%, $E$9)</f>
        <v>22.343299999999999</v>
      </c>
      <c r="Q723" s="10">
        <f>CHOOSE(CONTROL!$C$42, 23.0341, 23.0341) * CHOOSE(CONTROL!$C$21, $C$9, 100%, $E$9)</f>
        <v>23.034099999999999</v>
      </c>
      <c r="R723" s="10">
        <f>CHOOSE(CONTROL!$C$42, 23.6786, 23.6786) * CHOOSE(CONTROL!$C$21, $C$9, 100%, $E$9)</f>
        <v>23.678599999999999</v>
      </c>
      <c r="S723" s="10">
        <f>CHOOSE(CONTROL!$C$42, 21.8808, 21.8808) * CHOOSE(CONTROL!$C$21, $C$9, 100%, $E$9)</f>
        <v>21.880800000000001</v>
      </c>
      <c r="T723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23" s="58">
        <f>(1000*CHOOSE(CONTROL!$C$42, 695, 695)*CHOOSE(CONTROL!$C$42, 0.5599, 0.5599)*CHOOSE(CONTROL!$C$42, 31, 31))/1000000</f>
        <v>12.063045499999998</v>
      </c>
      <c r="V723" s="58">
        <f>(1000*CHOOSE(CONTROL!$C$42, 500, 500)*CHOOSE(CONTROL!$C$42, 0.275, 0.275)*CHOOSE(CONTROL!$C$42, 31, 31))/1000000</f>
        <v>4.2625000000000002</v>
      </c>
      <c r="W723" s="58">
        <f>(1000*CHOOSE(CONTROL!$C$42, 0.1146, 0.1146)*CHOOSE(CONTROL!$C$42, 121.5, 121.5)*CHOOSE(CONTROL!$C$42, 31, 31))/1000000</f>
        <v>0.43164089999999994</v>
      </c>
      <c r="X723" s="58">
        <f>(31*0.1790888*100000/1000000)+(31*0.2374*100000/1000000)</f>
        <v>1.2911152800000001</v>
      </c>
      <c r="Y723" s="58"/>
      <c r="Z723" s="10"/>
      <c r="AA723" s="57"/>
      <c r="AB723" s="51">
        <f>(B723*122.58+C723*297.941+D723*89.177+E723*40.302+F723*40+G723*160+H723*0+I723*100+J723*300)/(122.58+297.941+89.177+40.302+0+40+160+100+300)</f>
        <v>22.563399702608699</v>
      </c>
      <c r="AC723" s="27">
        <f>(M723*'RAP TEMPLATE-GAS AVAILABILITY'!O722+N723*'RAP TEMPLATE-GAS AVAILABILITY'!P722+O723*'RAP TEMPLATE-GAS AVAILABILITY'!Q722+P723*'RAP TEMPLATE-GAS AVAILABILITY'!R722)/('RAP TEMPLATE-GAS AVAILABILITY'!O722+'RAP TEMPLATE-GAS AVAILABILITY'!P722+'RAP TEMPLATE-GAS AVAILABILITY'!Q722+'RAP TEMPLATE-GAS AVAILABILITY'!R722)</f>
        <v>22.387689208633091</v>
      </c>
    </row>
    <row r="724" spans="1:29" ht="15.75" x14ac:dyDescent="0.25">
      <c r="A724" s="13">
        <v>63309</v>
      </c>
      <c r="B724" s="10">
        <f>CHOOSE(CONTROL!$C$42, 22.4675, 22.4675) * CHOOSE(CONTROL!$C$21, $C$9, 100%, $E$9)</f>
        <v>22.467500000000001</v>
      </c>
      <c r="C724" s="10">
        <f>CHOOSE(CONTROL!$C$42, 22.4719, 22.4719) * CHOOSE(CONTROL!$C$21, $C$9, 100%, $E$9)</f>
        <v>22.471900000000002</v>
      </c>
      <c r="D724" s="10">
        <f>CHOOSE(CONTROL!$C$42, 22.6536, 22.6536) * CHOOSE(CONTROL!$C$21, $C$9, 100%, $E$9)</f>
        <v>22.653600000000001</v>
      </c>
      <c r="E724" s="10">
        <f>CHOOSE(CONTROL!$C$42, 22.6854, 22.6854) * CHOOSE(CONTROL!$C$21, $C$9, 100%, $E$9)</f>
        <v>22.685400000000001</v>
      </c>
      <c r="F724" s="10">
        <f>CHOOSE(CONTROL!$C$42, 22.4559, 22.4559)*CHOOSE(CONTROL!$C$21, $C$9, 100%, $E$9)</f>
        <v>22.4559</v>
      </c>
      <c r="G724" s="10">
        <f>CHOOSE(CONTROL!$C$42, 22.4738, 22.4738)*CHOOSE(CONTROL!$C$21, $C$9, 100%, $E$9)</f>
        <v>22.473800000000001</v>
      </c>
      <c r="H724" s="10">
        <f>CHOOSE(CONTROL!$C$42, 22.6751, 22.6751) * CHOOSE(CONTROL!$C$21, $C$9, 100%, $E$9)</f>
        <v>22.6751</v>
      </c>
      <c r="I724" s="10">
        <f>CHOOSE(CONTROL!$C$42, 22.4458, 22.4458)* CHOOSE(CONTROL!$C$21, $C$9, 100%, $E$9)</f>
        <v>22.445799999999998</v>
      </c>
      <c r="J724" s="10">
        <f>CHOOSE(CONTROL!$C$42, 22.4489, 22.4489)* CHOOSE(CONTROL!$C$21, $C$9, 100%, $E$9)</f>
        <v>22.448899999999998</v>
      </c>
      <c r="K724" s="54">
        <f>CHOOSE(CONTROL!$C$42, 22.4419, 22.4419) * CHOOSE(CONTROL!$C$21, $C$9, 100%, $E$9)</f>
        <v>22.4419</v>
      </c>
      <c r="L724" s="10">
        <f>CHOOSE(CONTROL!$C$42, 23.2621, 23.2621) * CHOOSE(CONTROL!$C$21, $C$9, 100%, $E$9)</f>
        <v>23.2621</v>
      </c>
      <c r="M724" s="10">
        <f>CHOOSE(CONTROL!$C$42, 22.2361, 22.2361) * CHOOSE(CONTROL!$C$21, $C$9, 100%, $E$9)</f>
        <v>22.2361</v>
      </c>
      <c r="N724" s="10">
        <f>CHOOSE(CONTROL!$C$42, 22.2539, 22.2539) * CHOOSE(CONTROL!$C$21, $C$9, 100%, $E$9)</f>
        <v>22.253900000000002</v>
      </c>
      <c r="O724" s="10">
        <f>CHOOSE(CONTROL!$C$42, 22.4601, 22.4601) * CHOOSE(CONTROL!$C$21, $C$9, 100%, $E$9)</f>
        <v>22.460100000000001</v>
      </c>
      <c r="P724" s="10">
        <f>CHOOSE(CONTROL!$C$42, 22.2331, 22.2331) * CHOOSE(CONTROL!$C$21, $C$9, 100%, $E$9)</f>
        <v>22.2331</v>
      </c>
      <c r="Q724" s="10">
        <f>CHOOSE(CONTROL!$C$42, 23.0554, 23.0554) * CHOOSE(CONTROL!$C$21, $C$9, 100%, $E$9)</f>
        <v>23.055399999999999</v>
      </c>
      <c r="R724" s="10">
        <f>CHOOSE(CONTROL!$C$42, 23.7001, 23.7001) * CHOOSE(CONTROL!$C$21, $C$9, 100%, $E$9)</f>
        <v>23.700099999999999</v>
      </c>
      <c r="S724" s="10">
        <f>CHOOSE(CONTROL!$C$42, 21.8153, 21.8153) * CHOOSE(CONTROL!$C$21, $C$9, 100%, $E$9)</f>
        <v>21.815300000000001</v>
      </c>
      <c r="T724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24" s="58">
        <f>(1000*CHOOSE(CONTROL!$C$42, 695, 695)*CHOOSE(CONTROL!$C$42, 0.5599, 0.5599)*CHOOSE(CONTROL!$C$42, 30, 30))/1000000</f>
        <v>11.673914999999997</v>
      </c>
      <c r="V724" s="58">
        <f>(1000*CHOOSE(CONTROL!$C$42, 500, 500)*CHOOSE(CONTROL!$C$42, 0.275, 0.275)*CHOOSE(CONTROL!$C$42, 30, 30))/1000000</f>
        <v>4.125</v>
      </c>
      <c r="W724" s="58">
        <f>(1000*CHOOSE(CONTROL!$C$42, 0.1146, 0.1146)*CHOOSE(CONTROL!$C$42, 121.5, 121.5)*CHOOSE(CONTROL!$C$42, 30, 30))/1000000</f>
        <v>0.417717</v>
      </c>
      <c r="X724" s="58">
        <f>(30*0.1790888*245000/1000000)+(30*0.2374*100000/1000000)</f>
        <v>2.0285026799999999</v>
      </c>
      <c r="Y724" s="58"/>
      <c r="Z724" s="10"/>
      <c r="AA724" s="57"/>
      <c r="AB724" s="51">
        <f>(B724*141.293+C724*267.993+D724*115.016+E724*89.698+F724*40+G724*185+H724*0+I724*100+J724*300)/(141.293+267.993+115.016+89.698+0+40+185+100+300)</f>
        <v>22.495813430992737</v>
      </c>
      <c r="AC724" s="27">
        <f>(M724*'RAP TEMPLATE-GAS AVAILABILITY'!O723+N724*'RAP TEMPLATE-GAS AVAILABILITY'!P723+O724*'RAP TEMPLATE-GAS AVAILABILITY'!Q723+P724*'RAP TEMPLATE-GAS AVAILABILITY'!R723)/('RAP TEMPLATE-GAS AVAILABILITY'!O723+'RAP TEMPLATE-GAS AVAILABILITY'!P723+'RAP TEMPLATE-GAS AVAILABILITY'!Q723+'RAP TEMPLATE-GAS AVAILABILITY'!R723)</f>
        <v>22.338217985611511</v>
      </c>
    </row>
    <row r="725" spans="1:29" ht="15.75" x14ac:dyDescent="0.25">
      <c r="A725" s="13">
        <v>63340</v>
      </c>
      <c r="B725" s="10">
        <f>CHOOSE(CONTROL!$C$42, 22.6676, 22.6676) * CHOOSE(CONTROL!$C$21, $C$9, 100%, $E$9)</f>
        <v>22.6676</v>
      </c>
      <c r="C725" s="10">
        <f>CHOOSE(CONTROL!$C$42, 22.6755, 22.6755) * CHOOSE(CONTROL!$C$21, $C$9, 100%, $E$9)</f>
        <v>22.6755</v>
      </c>
      <c r="D725" s="10">
        <f>CHOOSE(CONTROL!$C$42, 22.854, 22.854) * CHOOSE(CONTROL!$C$21, $C$9, 100%, $E$9)</f>
        <v>22.853999999999999</v>
      </c>
      <c r="E725" s="10">
        <f>CHOOSE(CONTROL!$C$42, 22.8852, 22.8852) * CHOOSE(CONTROL!$C$21, $C$9, 100%, $E$9)</f>
        <v>22.885200000000001</v>
      </c>
      <c r="F725" s="10">
        <f>CHOOSE(CONTROL!$C$42, 22.6538, 22.6538)*CHOOSE(CONTROL!$C$21, $C$9, 100%, $E$9)</f>
        <v>22.6538</v>
      </c>
      <c r="G725" s="10">
        <f>CHOOSE(CONTROL!$C$42, 22.6719, 22.6719)*CHOOSE(CONTROL!$C$21, $C$9, 100%, $E$9)</f>
        <v>22.671900000000001</v>
      </c>
      <c r="H725" s="10">
        <f>CHOOSE(CONTROL!$C$42, 22.8738, 22.8738) * CHOOSE(CONTROL!$C$21, $C$9, 100%, $E$9)</f>
        <v>22.873799999999999</v>
      </c>
      <c r="I725" s="10">
        <f>CHOOSE(CONTROL!$C$42, 22.6445, 22.6445)* CHOOSE(CONTROL!$C$21, $C$9, 100%, $E$9)</f>
        <v>22.644500000000001</v>
      </c>
      <c r="J725" s="10">
        <f>CHOOSE(CONTROL!$C$42, 22.6468, 22.6468)* CHOOSE(CONTROL!$C$21, $C$9, 100%, $E$9)</f>
        <v>22.646799999999999</v>
      </c>
      <c r="K725" s="54">
        <f>CHOOSE(CONTROL!$C$42, 22.6406, 22.6406) * CHOOSE(CONTROL!$C$21, $C$9, 100%, $E$9)</f>
        <v>22.640599999999999</v>
      </c>
      <c r="L725" s="10">
        <f>CHOOSE(CONTROL!$C$42, 23.4608, 23.4608) * CHOOSE(CONTROL!$C$21, $C$9, 100%, $E$9)</f>
        <v>23.460799999999999</v>
      </c>
      <c r="M725" s="10">
        <f>CHOOSE(CONTROL!$C$42, 22.4321, 22.4321) * CHOOSE(CONTROL!$C$21, $C$9, 100%, $E$9)</f>
        <v>22.432099999999998</v>
      </c>
      <c r="N725" s="10">
        <f>CHOOSE(CONTROL!$C$42, 22.45, 22.45) * CHOOSE(CONTROL!$C$21, $C$9, 100%, $E$9)</f>
        <v>22.45</v>
      </c>
      <c r="O725" s="10">
        <f>CHOOSE(CONTROL!$C$42, 22.6568, 22.6568) * CHOOSE(CONTROL!$C$21, $C$9, 100%, $E$9)</f>
        <v>22.6568</v>
      </c>
      <c r="P725" s="10">
        <f>CHOOSE(CONTROL!$C$42, 22.4298, 22.4298) * CHOOSE(CONTROL!$C$21, $C$9, 100%, $E$9)</f>
        <v>22.4298</v>
      </c>
      <c r="Q725" s="10">
        <f>CHOOSE(CONTROL!$C$42, 23.2521, 23.2521) * CHOOSE(CONTROL!$C$21, $C$9, 100%, $E$9)</f>
        <v>23.252099999999999</v>
      </c>
      <c r="R725" s="10">
        <f>CHOOSE(CONTROL!$C$42, 23.8972, 23.8972) * CHOOSE(CONTROL!$C$21, $C$9, 100%, $E$9)</f>
        <v>23.897200000000002</v>
      </c>
      <c r="S725" s="10">
        <f>CHOOSE(CONTROL!$C$42, 22.0082, 22.0082) * CHOOSE(CONTROL!$C$21, $C$9, 100%, $E$9)</f>
        <v>22.008199999999999</v>
      </c>
      <c r="T725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25" s="58">
        <f>(1000*CHOOSE(CONTROL!$C$42, 695, 695)*CHOOSE(CONTROL!$C$42, 0.5599, 0.5599)*CHOOSE(CONTROL!$C$42, 31, 31))/1000000</f>
        <v>12.063045499999998</v>
      </c>
      <c r="V725" s="58">
        <f>(1000*CHOOSE(CONTROL!$C$42, 500, 500)*CHOOSE(CONTROL!$C$42, 0.275, 0.275)*CHOOSE(CONTROL!$C$42, 31, 31))/1000000</f>
        <v>4.2625000000000002</v>
      </c>
      <c r="W725" s="58">
        <f>(1000*CHOOSE(CONTROL!$C$42, 0.1146, 0.1146)*CHOOSE(CONTROL!$C$42, 121.5, 121.5)*CHOOSE(CONTROL!$C$42, 31, 31))/1000000</f>
        <v>0.43164089999999994</v>
      </c>
      <c r="X725" s="58">
        <f>(31*0.1790888*245000/1000000)+(31*0.2374*100000/1000000)</f>
        <v>2.0961194359999999</v>
      </c>
      <c r="Y725" s="58"/>
      <c r="Z725" s="10"/>
      <c r="AA725" s="57"/>
      <c r="AB725" s="51">
        <f>(B725*194.205+C725*267.466+D725*133.845+E725*53.484+F725*40+G725*185+H725*0+I725*100+J725*300)/(194.205+267.466+133.845+53.484+0+40+185+100+300)</f>
        <v>22.691456599529044</v>
      </c>
      <c r="AC725" s="27">
        <f>(M725*'RAP TEMPLATE-GAS AVAILABILITY'!O724+N725*'RAP TEMPLATE-GAS AVAILABILITY'!P724+O725*'RAP TEMPLATE-GAS AVAILABILITY'!Q724+P725*'RAP TEMPLATE-GAS AVAILABILITY'!R724)/('RAP TEMPLATE-GAS AVAILABILITY'!O724+'RAP TEMPLATE-GAS AVAILABILITY'!P724+'RAP TEMPLATE-GAS AVAILABILITY'!Q724+'RAP TEMPLATE-GAS AVAILABILITY'!R724)</f>
        <v>22.534641726618705</v>
      </c>
    </row>
    <row r="726" spans="1:29" ht="15.75" x14ac:dyDescent="0.25">
      <c r="A726" s="13">
        <v>63370</v>
      </c>
      <c r="B726" s="10">
        <f>CHOOSE(CONTROL!$C$42, 23.3104, 23.3104) * CHOOSE(CONTROL!$C$21, $C$9, 100%, $E$9)</f>
        <v>23.310400000000001</v>
      </c>
      <c r="C726" s="10">
        <f>CHOOSE(CONTROL!$C$42, 23.3183, 23.3183) * CHOOSE(CONTROL!$C$21, $C$9, 100%, $E$9)</f>
        <v>23.318300000000001</v>
      </c>
      <c r="D726" s="10">
        <f>CHOOSE(CONTROL!$C$42, 23.4969, 23.4969) * CHOOSE(CONTROL!$C$21, $C$9, 100%, $E$9)</f>
        <v>23.4969</v>
      </c>
      <c r="E726" s="10">
        <f>CHOOSE(CONTROL!$C$42, 23.528, 23.528) * CHOOSE(CONTROL!$C$21, $C$9, 100%, $E$9)</f>
        <v>23.527999999999999</v>
      </c>
      <c r="F726" s="10">
        <f>CHOOSE(CONTROL!$C$42, 23.2969, 23.2969)*CHOOSE(CONTROL!$C$21, $C$9, 100%, $E$9)</f>
        <v>23.296900000000001</v>
      </c>
      <c r="G726" s="10">
        <f>CHOOSE(CONTROL!$C$42, 23.3151, 23.3151)*CHOOSE(CONTROL!$C$21, $C$9, 100%, $E$9)</f>
        <v>23.315100000000001</v>
      </c>
      <c r="H726" s="10">
        <f>CHOOSE(CONTROL!$C$42, 23.5167, 23.5167) * CHOOSE(CONTROL!$C$21, $C$9, 100%, $E$9)</f>
        <v>23.5167</v>
      </c>
      <c r="I726" s="10">
        <f>CHOOSE(CONTROL!$C$42, 23.2873, 23.2873)* CHOOSE(CONTROL!$C$21, $C$9, 100%, $E$9)</f>
        <v>23.287299999999998</v>
      </c>
      <c r="J726" s="10">
        <f>CHOOSE(CONTROL!$C$42, 23.2899, 23.2899)* CHOOSE(CONTROL!$C$21, $C$9, 100%, $E$9)</f>
        <v>23.289899999999999</v>
      </c>
      <c r="K726" s="54">
        <f>CHOOSE(CONTROL!$C$42, 23.2834, 23.2834) * CHOOSE(CONTROL!$C$21, $C$9, 100%, $E$9)</f>
        <v>23.2834</v>
      </c>
      <c r="L726" s="10">
        <f>CHOOSE(CONTROL!$C$42, 24.1037, 24.1037) * CHOOSE(CONTROL!$C$21, $C$9, 100%, $E$9)</f>
        <v>24.1037</v>
      </c>
      <c r="M726" s="10">
        <f>CHOOSE(CONTROL!$C$42, 23.0687, 23.0687) * CHOOSE(CONTROL!$C$21, $C$9, 100%, $E$9)</f>
        <v>23.0687</v>
      </c>
      <c r="N726" s="10">
        <f>CHOOSE(CONTROL!$C$42, 23.0867, 23.0867) * CHOOSE(CONTROL!$C$21, $C$9, 100%, $E$9)</f>
        <v>23.0867</v>
      </c>
      <c r="O726" s="10">
        <f>CHOOSE(CONTROL!$C$42, 23.2932, 23.2932) * CHOOSE(CONTROL!$C$21, $C$9, 100%, $E$9)</f>
        <v>23.293199999999999</v>
      </c>
      <c r="P726" s="10">
        <f>CHOOSE(CONTROL!$C$42, 23.0662, 23.0662) * CHOOSE(CONTROL!$C$21, $C$9, 100%, $E$9)</f>
        <v>23.066199999999998</v>
      </c>
      <c r="Q726" s="10">
        <f>CHOOSE(CONTROL!$C$42, 23.8885, 23.8885) * CHOOSE(CONTROL!$C$21, $C$9, 100%, $E$9)</f>
        <v>23.888500000000001</v>
      </c>
      <c r="R726" s="10">
        <f>CHOOSE(CONTROL!$C$42, 24.5352, 24.5352) * CHOOSE(CONTROL!$C$21, $C$9, 100%, $E$9)</f>
        <v>24.5352</v>
      </c>
      <c r="S726" s="10">
        <f>CHOOSE(CONTROL!$C$42, 22.6325, 22.6325) * CHOOSE(CONTROL!$C$21, $C$9, 100%, $E$9)</f>
        <v>22.6325</v>
      </c>
      <c r="T726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26" s="58">
        <f>(1000*CHOOSE(CONTROL!$C$42, 695, 695)*CHOOSE(CONTROL!$C$42, 0.5599, 0.5599)*CHOOSE(CONTROL!$C$42, 30, 30))/1000000</f>
        <v>11.673914999999997</v>
      </c>
      <c r="V726" s="58">
        <f>(1000*CHOOSE(CONTROL!$C$42, 500, 500)*CHOOSE(CONTROL!$C$42, 0.275, 0.275)*CHOOSE(CONTROL!$C$42, 30, 30))/1000000</f>
        <v>4.125</v>
      </c>
      <c r="W726" s="58">
        <f>(1000*CHOOSE(CONTROL!$C$42, 0.1146, 0.1146)*CHOOSE(CONTROL!$C$42, 121.5, 121.5)*CHOOSE(CONTROL!$C$42, 30, 30))/1000000</f>
        <v>0.417717</v>
      </c>
      <c r="X726" s="58">
        <f>(30*0.1790888*245000/1000000)+(30*0.2374*100000/1000000)</f>
        <v>2.0285026799999999</v>
      </c>
      <c r="Y726" s="58"/>
      <c r="Z726" s="10"/>
      <c r="AA726" s="57"/>
      <c r="AB726" s="51">
        <f>(B726*194.205+C726*267.466+D726*133.845+E726*53.484+F726*40+G726*185+H726*0+I726*100+J726*300)/(194.205+267.466+133.845+53.484+0+40+185+100+300)</f>
        <v>23.334405252982734</v>
      </c>
      <c r="AC726" s="27">
        <f>(M726*'RAP TEMPLATE-GAS AVAILABILITY'!O725+N726*'RAP TEMPLATE-GAS AVAILABILITY'!P725+O726*'RAP TEMPLATE-GAS AVAILABILITY'!Q725+P726*'RAP TEMPLATE-GAS AVAILABILITY'!R725)/('RAP TEMPLATE-GAS AVAILABILITY'!O725+'RAP TEMPLATE-GAS AVAILABILITY'!P725+'RAP TEMPLATE-GAS AVAILABILITY'!Q725+'RAP TEMPLATE-GAS AVAILABILITY'!R725)</f>
        <v>23.171128057553954</v>
      </c>
    </row>
    <row r="727" spans="1:29" ht="15.75" x14ac:dyDescent="0.25">
      <c r="A727" s="13">
        <v>63401</v>
      </c>
      <c r="B727" s="10">
        <f>CHOOSE(CONTROL!$C$42, 22.8633, 22.8633) * CHOOSE(CONTROL!$C$21, $C$9, 100%, $E$9)</f>
        <v>22.863299999999999</v>
      </c>
      <c r="C727" s="10">
        <f>CHOOSE(CONTROL!$C$42, 22.8712, 22.8712) * CHOOSE(CONTROL!$C$21, $C$9, 100%, $E$9)</f>
        <v>22.871200000000002</v>
      </c>
      <c r="D727" s="10">
        <f>CHOOSE(CONTROL!$C$42, 23.0498, 23.0498) * CHOOSE(CONTROL!$C$21, $C$9, 100%, $E$9)</f>
        <v>23.049800000000001</v>
      </c>
      <c r="E727" s="10">
        <f>CHOOSE(CONTROL!$C$42, 23.0809, 23.0809) * CHOOSE(CONTROL!$C$21, $C$9, 100%, $E$9)</f>
        <v>23.0809</v>
      </c>
      <c r="F727" s="10">
        <f>CHOOSE(CONTROL!$C$42, 22.85, 22.85)*CHOOSE(CONTROL!$C$21, $C$9, 100%, $E$9)</f>
        <v>22.85</v>
      </c>
      <c r="G727" s="10">
        <f>CHOOSE(CONTROL!$C$42, 22.8684, 22.8684)*CHOOSE(CONTROL!$C$21, $C$9, 100%, $E$9)</f>
        <v>22.868400000000001</v>
      </c>
      <c r="H727" s="10">
        <f>CHOOSE(CONTROL!$C$42, 23.0696, 23.0696) * CHOOSE(CONTROL!$C$21, $C$9, 100%, $E$9)</f>
        <v>23.069600000000001</v>
      </c>
      <c r="I727" s="10">
        <f>CHOOSE(CONTROL!$C$42, 22.8402, 22.8402)* CHOOSE(CONTROL!$C$21, $C$9, 100%, $E$9)</f>
        <v>22.840199999999999</v>
      </c>
      <c r="J727" s="10">
        <f>CHOOSE(CONTROL!$C$42, 22.843, 22.843)* CHOOSE(CONTROL!$C$21, $C$9, 100%, $E$9)</f>
        <v>22.843</v>
      </c>
      <c r="K727" s="54">
        <f>CHOOSE(CONTROL!$C$42, 22.8363, 22.8363) * CHOOSE(CONTROL!$C$21, $C$9, 100%, $E$9)</f>
        <v>22.836300000000001</v>
      </c>
      <c r="L727" s="10">
        <f>CHOOSE(CONTROL!$C$42, 23.6566, 23.6566) * CHOOSE(CONTROL!$C$21, $C$9, 100%, $E$9)</f>
        <v>23.656600000000001</v>
      </c>
      <c r="M727" s="10">
        <f>CHOOSE(CONTROL!$C$42, 22.6263, 22.6263) * CHOOSE(CONTROL!$C$21, $C$9, 100%, $E$9)</f>
        <v>22.626300000000001</v>
      </c>
      <c r="N727" s="10">
        <f>CHOOSE(CONTROL!$C$42, 22.6445, 22.6445) * CHOOSE(CONTROL!$C$21, $C$9, 100%, $E$9)</f>
        <v>22.644500000000001</v>
      </c>
      <c r="O727" s="10">
        <f>CHOOSE(CONTROL!$C$42, 22.8506, 22.8506) * CHOOSE(CONTROL!$C$21, $C$9, 100%, $E$9)</f>
        <v>22.8506</v>
      </c>
      <c r="P727" s="10">
        <f>CHOOSE(CONTROL!$C$42, 22.6236, 22.6236) * CHOOSE(CONTROL!$C$21, $C$9, 100%, $E$9)</f>
        <v>22.6236</v>
      </c>
      <c r="Q727" s="10">
        <f>CHOOSE(CONTROL!$C$42, 23.4459, 23.4459) * CHOOSE(CONTROL!$C$21, $C$9, 100%, $E$9)</f>
        <v>23.445900000000002</v>
      </c>
      <c r="R727" s="10">
        <f>CHOOSE(CONTROL!$C$42, 24.0915, 24.0915) * CHOOSE(CONTROL!$C$21, $C$9, 100%, $E$9)</f>
        <v>24.0915</v>
      </c>
      <c r="S727" s="10">
        <f>CHOOSE(CONTROL!$C$42, 22.1983, 22.1983) * CHOOSE(CONTROL!$C$21, $C$9, 100%, $E$9)</f>
        <v>22.1983</v>
      </c>
      <c r="T727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27" s="58">
        <f>(1000*CHOOSE(CONTROL!$C$42, 695, 695)*CHOOSE(CONTROL!$C$42, 0.5599, 0.5599)*CHOOSE(CONTROL!$C$42, 31, 31))/1000000</f>
        <v>12.063045499999998</v>
      </c>
      <c r="V727" s="58">
        <f>(1000*CHOOSE(CONTROL!$C$42, 500, 500)*CHOOSE(CONTROL!$C$42, 0.275, 0.275)*CHOOSE(CONTROL!$C$42, 31, 31))/1000000</f>
        <v>4.2625000000000002</v>
      </c>
      <c r="W727" s="58">
        <f>(1000*CHOOSE(CONTROL!$C$42, 0.1146, 0.1146)*CHOOSE(CONTROL!$C$42, 121.5, 121.5)*CHOOSE(CONTROL!$C$42, 31, 31))/1000000</f>
        <v>0.43164089999999994</v>
      </c>
      <c r="X727" s="58">
        <f>(31*0.1790888*245000/1000000)+(31*0.2374*100000/1000000)</f>
        <v>2.0961194359999999</v>
      </c>
      <c r="Y727" s="58"/>
      <c r="Z727" s="10"/>
      <c r="AA727" s="57"/>
      <c r="AB727" s="51">
        <f>(B727*194.205+C727*267.466+D727*133.845+E727*53.484+F727*40+G727*185+H727*0+I727*100+J727*300)/(194.205+267.466+133.845+53.484+0+40+185+100+300)</f>
        <v>22.887416712951332</v>
      </c>
      <c r="AC727" s="27">
        <f>(M727*'RAP TEMPLATE-GAS AVAILABILITY'!O726+N727*'RAP TEMPLATE-GAS AVAILABILITY'!P726+O727*'RAP TEMPLATE-GAS AVAILABILITY'!Q726+P727*'RAP TEMPLATE-GAS AVAILABILITY'!R726)/('RAP TEMPLATE-GAS AVAILABILITY'!O726+'RAP TEMPLATE-GAS AVAILABILITY'!P726+'RAP TEMPLATE-GAS AVAILABILITY'!Q726+'RAP TEMPLATE-GAS AVAILABILITY'!R726)</f>
        <v>22.728620143884893</v>
      </c>
    </row>
    <row r="728" spans="1:29" ht="15.75" x14ac:dyDescent="0.25">
      <c r="A728" s="13">
        <v>63432</v>
      </c>
      <c r="B728" s="10">
        <f>CHOOSE(CONTROL!$C$42, 21.7343, 21.7343) * CHOOSE(CONTROL!$C$21, $C$9, 100%, $E$9)</f>
        <v>21.734300000000001</v>
      </c>
      <c r="C728" s="10">
        <f>CHOOSE(CONTROL!$C$42, 21.7422, 21.7422) * CHOOSE(CONTROL!$C$21, $C$9, 100%, $E$9)</f>
        <v>21.7422</v>
      </c>
      <c r="D728" s="10">
        <f>CHOOSE(CONTROL!$C$42, 21.9207, 21.9207) * CHOOSE(CONTROL!$C$21, $C$9, 100%, $E$9)</f>
        <v>21.9207</v>
      </c>
      <c r="E728" s="10">
        <f>CHOOSE(CONTROL!$C$42, 21.9519, 21.9519) * CHOOSE(CONTROL!$C$21, $C$9, 100%, $E$9)</f>
        <v>21.951899999999998</v>
      </c>
      <c r="F728" s="10">
        <f>CHOOSE(CONTROL!$C$42, 21.7209, 21.7209)*CHOOSE(CONTROL!$C$21, $C$9, 100%, $E$9)</f>
        <v>21.7209</v>
      </c>
      <c r="G728" s="10">
        <f>CHOOSE(CONTROL!$C$42, 21.7392, 21.7392)*CHOOSE(CONTROL!$C$21, $C$9, 100%, $E$9)</f>
        <v>21.7392</v>
      </c>
      <c r="H728" s="10">
        <f>CHOOSE(CONTROL!$C$42, 21.9405, 21.9405) * CHOOSE(CONTROL!$C$21, $C$9, 100%, $E$9)</f>
        <v>21.9405</v>
      </c>
      <c r="I728" s="10">
        <f>CHOOSE(CONTROL!$C$42, 21.7111, 21.7111)* CHOOSE(CONTROL!$C$21, $C$9, 100%, $E$9)</f>
        <v>21.711099999999998</v>
      </c>
      <c r="J728" s="10">
        <f>CHOOSE(CONTROL!$C$42, 21.7139, 21.7139)* CHOOSE(CONTROL!$C$21, $C$9, 100%, $E$9)</f>
        <v>21.713899999999999</v>
      </c>
      <c r="K728" s="54">
        <f>CHOOSE(CONTROL!$C$42, 21.7072, 21.7072) * CHOOSE(CONTROL!$C$21, $C$9, 100%, $E$9)</f>
        <v>21.7072</v>
      </c>
      <c r="L728" s="10">
        <f>CHOOSE(CONTROL!$C$42, 22.5275, 22.5275) * CHOOSE(CONTROL!$C$21, $C$9, 100%, $E$9)</f>
        <v>22.5275</v>
      </c>
      <c r="M728" s="10">
        <f>CHOOSE(CONTROL!$C$42, 21.5086, 21.5086) * CHOOSE(CONTROL!$C$21, $C$9, 100%, $E$9)</f>
        <v>21.508600000000001</v>
      </c>
      <c r="N728" s="10">
        <f>CHOOSE(CONTROL!$C$42, 21.5267, 21.5267) * CHOOSE(CONTROL!$C$21, $C$9, 100%, $E$9)</f>
        <v>21.526700000000002</v>
      </c>
      <c r="O728" s="10">
        <f>CHOOSE(CONTROL!$C$42, 21.7329, 21.7329) * CHOOSE(CONTROL!$C$21, $C$9, 100%, $E$9)</f>
        <v>21.732900000000001</v>
      </c>
      <c r="P728" s="10">
        <f>CHOOSE(CONTROL!$C$42, 21.5059, 21.5059) * CHOOSE(CONTROL!$C$21, $C$9, 100%, $E$9)</f>
        <v>21.5059</v>
      </c>
      <c r="Q728" s="10">
        <f>CHOOSE(CONTROL!$C$42, 22.3282, 22.3282) * CHOOSE(CONTROL!$C$21, $C$9, 100%, $E$9)</f>
        <v>22.328199999999999</v>
      </c>
      <c r="R728" s="10">
        <f>CHOOSE(CONTROL!$C$42, 22.971, 22.971) * CHOOSE(CONTROL!$C$21, $C$9, 100%, $E$9)</f>
        <v>22.971</v>
      </c>
      <c r="S728" s="10">
        <f>CHOOSE(CONTROL!$C$42, 21.1019, 21.1019) * CHOOSE(CONTROL!$C$21, $C$9, 100%, $E$9)</f>
        <v>21.101900000000001</v>
      </c>
      <c r="T728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728" s="58">
        <f>(1000*CHOOSE(CONTROL!$C$42, 695, 695)*CHOOSE(CONTROL!$C$42, 0.5599, 0.5599)*CHOOSE(CONTROL!$C$42, 31, 31))/1000000</f>
        <v>12.063045499999998</v>
      </c>
      <c r="V728" s="58">
        <f>(1000*CHOOSE(CONTROL!$C$42, 500, 500)*CHOOSE(CONTROL!$C$42, 0.275, 0.275)*CHOOSE(CONTROL!$C$42, 31, 31))/1000000</f>
        <v>4.2625000000000002</v>
      </c>
      <c r="W728" s="58">
        <f>(1000*CHOOSE(CONTROL!$C$42, 0.1146, 0.1146)*CHOOSE(CONTROL!$C$42, 121.5, 121.5)*CHOOSE(CONTROL!$C$42, 31, 31))/1000000</f>
        <v>0.43164089999999994</v>
      </c>
      <c r="X728" s="58">
        <f>(31*0.1790888*245000/1000000)+(31*0.2374*100000/1000000)</f>
        <v>2.0961194359999999</v>
      </c>
      <c r="Y728" s="58"/>
      <c r="Z728" s="10"/>
      <c r="AA728" s="57"/>
      <c r="AB728" s="51">
        <f>(B728*194.205+C728*267.466+D728*133.845+E728*53.484+F728*40+G728*185+H728*0+I728*100+J728*300)/(194.205+267.466+133.845+53.484+0+40+185+100+300)</f>
        <v>21.758342627786501</v>
      </c>
      <c r="AC728" s="27">
        <f>(M728*'RAP TEMPLATE-GAS AVAILABILITY'!O727+N728*'RAP TEMPLATE-GAS AVAILABILITY'!P727+O728*'RAP TEMPLATE-GAS AVAILABILITY'!Q727+P728*'RAP TEMPLATE-GAS AVAILABILITY'!R727)/('RAP TEMPLATE-GAS AVAILABILITY'!O727+'RAP TEMPLATE-GAS AVAILABILITY'!P727+'RAP TEMPLATE-GAS AVAILABILITY'!Q727+'RAP TEMPLATE-GAS AVAILABILITY'!R727)</f>
        <v>21.61091438848921</v>
      </c>
    </row>
    <row r="729" spans="1:29" ht="15.75" x14ac:dyDescent="0.25">
      <c r="A729" s="13">
        <v>63462</v>
      </c>
      <c r="B729" s="10">
        <f>CHOOSE(CONTROL!$C$42, 20.3548, 20.3548) * CHOOSE(CONTROL!$C$21, $C$9, 100%, $E$9)</f>
        <v>20.354800000000001</v>
      </c>
      <c r="C729" s="10">
        <f>CHOOSE(CONTROL!$C$42, 20.3627, 20.3627) * CHOOSE(CONTROL!$C$21, $C$9, 100%, $E$9)</f>
        <v>20.3627</v>
      </c>
      <c r="D729" s="10">
        <f>CHOOSE(CONTROL!$C$42, 20.5412, 20.5412) * CHOOSE(CONTROL!$C$21, $C$9, 100%, $E$9)</f>
        <v>20.5412</v>
      </c>
      <c r="E729" s="10">
        <f>CHOOSE(CONTROL!$C$42, 20.5723, 20.5723) * CHOOSE(CONTROL!$C$21, $C$9, 100%, $E$9)</f>
        <v>20.572299999999998</v>
      </c>
      <c r="F729" s="10">
        <f>CHOOSE(CONTROL!$C$42, 20.3411, 20.3411)*CHOOSE(CONTROL!$C$21, $C$9, 100%, $E$9)</f>
        <v>20.341100000000001</v>
      </c>
      <c r="G729" s="10">
        <f>CHOOSE(CONTROL!$C$42, 20.3593, 20.3593)*CHOOSE(CONTROL!$C$21, $C$9, 100%, $E$9)</f>
        <v>20.359300000000001</v>
      </c>
      <c r="H729" s="10">
        <f>CHOOSE(CONTROL!$C$42, 20.561, 20.561) * CHOOSE(CONTROL!$C$21, $C$9, 100%, $E$9)</f>
        <v>20.561</v>
      </c>
      <c r="I729" s="10">
        <f>CHOOSE(CONTROL!$C$42, 20.3316, 20.3316)* CHOOSE(CONTROL!$C$21, $C$9, 100%, $E$9)</f>
        <v>20.331600000000002</v>
      </c>
      <c r="J729" s="10">
        <f>CHOOSE(CONTROL!$C$42, 20.3341, 20.3341)* CHOOSE(CONTROL!$C$21, $C$9, 100%, $E$9)</f>
        <v>20.334099999999999</v>
      </c>
      <c r="K729" s="54">
        <f>CHOOSE(CONTROL!$C$42, 20.3277, 20.3277) * CHOOSE(CONTROL!$C$21, $C$9, 100%, $E$9)</f>
        <v>20.3277</v>
      </c>
      <c r="L729" s="10">
        <f>CHOOSE(CONTROL!$C$42, 21.148, 21.148) * CHOOSE(CONTROL!$C$21, $C$9, 100%, $E$9)</f>
        <v>21.148</v>
      </c>
      <c r="M729" s="10">
        <f>CHOOSE(CONTROL!$C$42, 20.1427, 20.1427) * CHOOSE(CONTROL!$C$21, $C$9, 100%, $E$9)</f>
        <v>20.142700000000001</v>
      </c>
      <c r="N729" s="10">
        <f>CHOOSE(CONTROL!$C$42, 20.1608, 20.1608) * CHOOSE(CONTROL!$C$21, $C$9, 100%, $E$9)</f>
        <v>20.160799999999998</v>
      </c>
      <c r="O729" s="10">
        <f>CHOOSE(CONTROL!$C$42, 20.3673, 20.3673) * CHOOSE(CONTROL!$C$21, $C$9, 100%, $E$9)</f>
        <v>20.3673</v>
      </c>
      <c r="P729" s="10">
        <f>CHOOSE(CONTROL!$C$42, 20.1403, 20.1403) * CHOOSE(CONTROL!$C$21, $C$9, 100%, $E$9)</f>
        <v>20.1403</v>
      </c>
      <c r="Q729" s="10">
        <f>CHOOSE(CONTROL!$C$42, 20.9626, 20.9626) * CHOOSE(CONTROL!$C$21, $C$9, 100%, $E$9)</f>
        <v>20.962599999999998</v>
      </c>
      <c r="R729" s="10">
        <f>CHOOSE(CONTROL!$C$42, 21.602, 21.602) * CHOOSE(CONTROL!$C$21, $C$9, 100%, $E$9)</f>
        <v>21.602</v>
      </c>
      <c r="S729" s="10">
        <f>CHOOSE(CONTROL!$C$42, 19.7623, 19.7623) * CHOOSE(CONTROL!$C$21, $C$9, 100%, $E$9)</f>
        <v>19.7623</v>
      </c>
      <c r="T729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729" s="58">
        <f>(1000*CHOOSE(CONTROL!$C$42, 695, 695)*CHOOSE(CONTROL!$C$42, 0.5599, 0.5599)*CHOOSE(CONTROL!$C$42, 30, 30))/1000000</f>
        <v>11.673914999999997</v>
      </c>
      <c r="V729" s="58">
        <f>(1000*CHOOSE(CONTROL!$C$42, 500, 500)*CHOOSE(CONTROL!$C$42, 0.275, 0.275)*CHOOSE(CONTROL!$C$42, 30, 30))/1000000</f>
        <v>4.125</v>
      </c>
      <c r="W729" s="58">
        <f>(1000*CHOOSE(CONTROL!$C$42, 0.1146, 0.1146)*CHOOSE(CONTROL!$C$42, 121.5, 121.5)*CHOOSE(CONTROL!$C$42, 30, 30))/1000000</f>
        <v>0.417717</v>
      </c>
      <c r="X729" s="58">
        <f>(30*0.1790888*245000/1000000)+(30*0.2374*100000/1000000)</f>
        <v>2.0285026799999999</v>
      </c>
      <c r="Y729" s="58"/>
      <c r="Z729" s="10"/>
      <c r="AA729" s="57"/>
      <c r="AB729" s="51">
        <f>(B729*194.205+C729*267.466+D729*133.845+E729*53.484+F729*40+G729*185+H729*0+I729*100+J729*300)/(194.205+267.466+133.845+53.484+0+40+185+100+300)</f>
        <v>20.378700282103612</v>
      </c>
      <c r="AC729" s="27">
        <f>(M729*'RAP TEMPLATE-GAS AVAILABILITY'!O728+N729*'RAP TEMPLATE-GAS AVAILABILITY'!P728+O729*'RAP TEMPLATE-GAS AVAILABILITY'!Q728+P729*'RAP TEMPLATE-GAS AVAILABILITY'!R728)/('RAP TEMPLATE-GAS AVAILABILITY'!O728+'RAP TEMPLATE-GAS AVAILABILITY'!P728+'RAP TEMPLATE-GAS AVAILABILITY'!Q728+'RAP TEMPLATE-GAS AVAILABILITY'!R728)</f>
        <v>20.245193525179857</v>
      </c>
    </row>
    <row r="730" spans="1:29" ht="15.75" x14ac:dyDescent="0.25">
      <c r="A730" s="13">
        <v>63493</v>
      </c>
      <c r="B730" s="10">
        <f>CHOOSE(CONTROL!$C$42, 19.9394, 19.9394) * CHOOSE(CONTROL!$C$21, $C$9, 100%, $E$9)</f>
        <v>19.939399999999999</v>
      </c>
      <c r="C730" s="10">
        <f>CHOOSE(CONTROL!$C$42, 19.9446, 19.9446) * CHOOSE(CONTROL!$C$21, $C$9, 100%, $E$9)</f>
        <v>19.944600000000001</v>
      </c>
      <c r="D730" s="10">
        <f>CHOOSE(CONTROL!$C$42, 20.1281, 20.1281) * CHOOSE(CONTROL!$C$21, $C$9, 100%, $E$9)</f>
        <v>20.1281</v>
      </c>
      <c r="E730" s="10">
        <f>CHOOSE(CONTROL!$C$42, 20.1569, 20.1569) * CHOOSE(CONTROL!$C$21, $C$9, 100%, $E$9)</f>
        <v>20.1569</v>
      </c>
      <c r="F730" s="10">
        <f>CHOOSE(CONTROL!$C$42, 19.9278, 19.9278)*CHOOSE(CONTROL!$C$21, $C$9, 100%, $E$9)</f>
        <v>19.927800000000001</v>
      </c>
      <c r="G730" s="10">
        <f>CHOOSE(CONTROL!$C$42, 19.9456, 19.9456)*CHOOSE(CONTROL!$C$21, $C$9, 100%, $E$9)</f>
        <v>19.945599999999999</v>
      </c>
      <c r="H730" s="10">
        <f>CHOOSE(CONTROL!$C$42, 20.1474, 20.1474) * CHOOSE(CONTROL!$C$21, $C$9, 100%, $E$9)</f>
        <v>20.147400000000001</v>
      </c>
      <c r="I730" s="10">
        <f>CHOOSE(CONTROL!$C$42, 19.9181, 19.9181)* CHOOSE(CONTROL!$C$21, $C$9, 100%, $E$9)</f>
        <v>19.918099999999999</v>
      </c>
      <c r="J730" s="10">
        <f>CHOOSE(CONTROL!$C$42, 19.9208, 19.9208)* CHOOSE(CONTROL!$C$21, $C$9, 100%, $E$9)</f>
        <v>19.9208</v>
      </c>
      <c r="K730" s="54">
        <f>CHOOSE(CONTROL!$C$42, 19.9142, 19.9142) * CHOOSE(CONTROL!$C$21, $C$9, 100%, $E$9)</f>
        <v>19.914200000000001</v>
      </c>
      <c r="L730" s="10">
        <f>CHOOSE(CONTROL!$C$42, 20.7344, 20.7344) * CHOOSE(CONTROL!$C$21, $C$9, 100%, $E$9)</f>
        <v>20.734400000000001</v>
      </c>
      <c r="M730" s="10">
        <f>CHOOSE(CONTROL!$C$42, 19.7335, 19.7335) * CHOOSE(CONTROL!$C$21, $C$9, 100%, $E$9)</f>
        <v>19.733499999999999</v>
      </c>
      <c r="N730" s="10">
        <f>CHOOSE(CONTROL!$C$42, 19.7513, 19.7513) * CHOOSE(CONTROL!$C$21, $C$9, 100%, $E$9)</f>
        <v>19.751300000000001</v>
      </c>
      <c r="O730" s="10">
        <f>CHOOSE(CONTROL!$C$42, 19.9579, 19.9579) * CHOOSE(CONTROL!$C$21, $C$9, 100%, $E$9)</f>
        <v>19.957899999999999</v>
      </c>
      <c r="P730" s="10">
        <f>CHOOSE(CONTROL!$C$42, 19.7309, 19.7309) * CHOOSE(CONTROL!$C$21, $C$9, 100%, $E$9)</f>
        <v>19.730899999999998</v>
      </c>
      <c r="Q730" s="10">
        <f>CHOOSE(CONTROL!$C$42, 20.5532, 20.5532) * CHOOSE(CONTROL!$C$21, $C$9, 100%, $E$9)</f>
        <v>20.5532</v>
      </c>
      <c r="R730" s="10">
        <f>CHOOSE(CONTROL!$C$42, 21.1916, 21.1916) * CHOOSE(CONTROL!$C$21, $C$9, 100%, $E$9)</f>
        <v>21.191600000000001</v>
      </c>
      <c r="S730" s="10">
        <f>CHOOSE(CONTROL!$C$42, 19.3606, 19.3606) * CHOOSE(CONTROL!$C$21, $C$9, 100%, $E$9)</f>
        <v>19.360600000000002</v>
      </c>
      <c r="T730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30" s="58">
        <f>(1000*CHOOSE(CONTROL!$C$42, 695, 695)*CHOOSE(CONTROL!$C$42, 0.5599, 0.5599)*CHOOSE(CONTROL!$C$42, 31, 31))/1000000</f>
        <v>12.063045499999998</v>
      </c>
      <c r="V730" s="58">
        <f>(1000*CHOOSE(CONTROL!$C$42, 500, 500)*CHOOSE(CONTROL!$C$42, 0.275, 0.275)*CHOOSE(CONTROL!$C$42, 31, 31))/1000000</f>
        <v>4.2625000000000002</v>
      </c>
      <c r="W730" s="58">
        <f>(1000*CHOOSE(CONTROL!$C$42, 0.1146, 0.1146)*CHOOSE(CONTROL!$C$42, 121.5, 121.5)*CHOOSE(CONTROL!$C$42, 31, 31))/1000000</f>
        <v>0.43164089999999994</v>
      </c>
      <c r="X730" s="58">
        <f>(31*0.1790888*245000/1000000)+(31*0.2374*100000/1000000)</f>
        <v>2.0961194359999999</v>
      </c>
      <c r="Y730" s="58"/>
      <c r="Z730" s="10"/>
      <c r="AA730" s="57"/>
      <c r="AB730" s="51">
        <f>(B730*131.881+C730*277.167+D730*79.08+E730*125.872+F730*40+G730*185+H730*0+I730*100+J730*300)/(131.881+277.167+79.08+125.872+0+40+185+100+300)</f>
        <v>19.969031819531885</v>
      </c>
      <c r="AC730" s="27">
        <f>(M730*'RAP TEMPLATE-GAS AVAILABILITY'!O729+N730*'RAP TEMPLATE-GAS AVAILABILITY'!P729+O730*'RAP TEMPLATE-GAS AVAILABILITY'!Q729+P730*'RAP TEMPLATE-GAS AVAILABILITY'!R729)/('RAP TEMPLATE-GAS AVAILABILITY'!O729+'RAP TEMPLATE-GAS AVAILABILITY'!P729+'RAP TEMPLATE-GAS AVAILABILITY'!Q729+'RAP TEMPLATE-GAS AVAILABILITY'!R729)</f>
        <v>19.835856834532375</v>
      </c>
    </row>
    <row r="731" spans="1:29" ht="15.75" x14ac:dyDescent="0.25">
      <c r="A731" s="13">
        <v>63523</v>
      </c>
      <c r="B731" s="10">
        <f>CHOOSE(CONTROL!$C$42, 20.4642, 20.4642) * CHOOSE(CONTROL!$C$21, $C$9, 100%, $E$9)</f>
        <v>20.464200000000002</v>
      </c>
      <c r="C731" s="10">
        <f>CHOOSE(CONTROL!$C$42, 20.4692, 20.4692) * CHOOSE(CONTROL!$C$21, $C$9, 100%, $E$9)</f>
        <v>20.469200000000001</v>
      </c>
      <c r="D731" s="10">
        <f>CHOOSE(CONTROL!$C$42, 20.4988, 20.4988) * CHOOSE(CONTROL!$C$21, $C$9, 100%, $E$9)</f>
        <v>20.498799999999999</v>
      </c>
      <c r="E731" s="10">
        <f>CHOOSE(CONTROL!$C$42, 20.5326, 20.5326) * CHOOSE(CONTROL!$C$21, $C$9, 100%, $E$9)</f>
        <v>20.532599999999999</v>
      </c>
      <c r="F731" s="10">
        <f>CHOOSE(CONTROL!$C$42, 20.45, 20.45)*CHOOSE(CONTROL!$C$21, $C$9, 100%, $E$9)</f>
        <v>20.45</v>
      </c>
      <c r="G731" s="10">
        <f>CHOOSE(CONTROL!$C$42, 20.468, 20.468)*CHOOSE(CONTROL!$C$21, $C$9, 100%, $E$9)</f>
        <v>20.468</v>
      </c>
      <c r="H731" s="10">
        <f>CHOOSE(CONTROL!$C$42, 20.5218, 20.5218) * CHOOSE(CONTROL!$C$21, $C$9, 100%, $E$9)</f>
        <v>20.521799999999999</v>
      </c>
      <c r="I731" s="10">
        <f>CHOOSE(CONTROL!$C$42, 20.4304, 20.4304)* CHOOSE(CONTROL!$C$21, $C$9, 100%, $E$9)</f>
        <v>20.430399999999999</v>
      </c>
      <c r="J731" s="10">
        <f>CHOOSE(CONTROL!$C$42, 20.443, 20.443)* CHOOSE(CONTROL!$C$21, $C$9, 100%, $E$9)</f>
        <v>20.443000000000001</v>
      </c>
      <c r="K731" s="54">
        <f>CHOOSE(CONTROL!$C$42, 20.4265, 20.4265) * CHOOSE(CONTROL!$C$21, $C$9, 100%, $E$9)</f>
        <v>20.426500000000001</v>
      </c>
      <c r="L731" s="10">
        <f>CHOOSE(CONTROL!$C$42, 21.1088, 21.1088) * CHOOSE(CONTROL!$C$21, $C$9, 100%, $E$9)</f>
        <v>21.108799999999999</v>
      </c>
      <c r="M731" s="10">
        <f>CHOOSE(CONTROL!$C$42, 20.2505, 20.2505) * CHOOSE(CONTROL!$C$21, $C$9, 100%, $E$9)</f>
        <v>20.250499999999999</v>
      </c>
      <c r="N731" s="10">
        <f>CHOOSE(CONTROL!$C$42, 20.2684, 20.2684) * CHOOSE(CONTROL!$C$21, $C$9, 100%, $E$9)</f>
        <v>20.2684</v>
      </c>
      <c r="O731" s="10">
        <f>CHOOSE(CONTROL!$C$42, 20.3285, 20.3285) * CHOOSE(CONTROL!$C$21, $C$9, 100%, $E$9)</f>
        <v>20.328499999999998</v>
      </c>
      <c r="P731" s="10">
        <f>CHOOSE(CONTROL!$C$42, 20.2381, 20.2381) * CHOOSE(CONTROL!$C$21, $C$9, 100%, $E$9)</f>
        <v>20.238099999999999</v>
      </c>
      <c r="Q731" s="10">
        <f>CHOOSE(CONTROL!$C$42, 20.9238, 20.9238) * CHOOSE(CONTROL!$C$21, $C$9, 100%, $E$9)</f>
        <v>20.9238</v>
      </c>
      <c r="R731" s="10">
        <f>CHOOSE(CONTROL!$C$42, 21.5631, 21.5631) * CHOOSE(CONTROL!$C$21, $C$9, 100%, $E$9)</f>
        <v>21.563099999999999</v>
      </c>
      <c r="S731" s="10">
        <f>CHOOSE(CONTROL!$C$42, 19.8707, 19.8707) * CHOOSE(CONTROL!$C$21, $C$9, 100%, $E$9)</f>
        <v>19.870699999999999</v>
      </c>
      <c r="T731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31" s="58">
        <f>(1000*CHOOSE(CONTROL!$C$42, 695, 695)*CHOOSE(CONTROL!$C$42, 0.5599, 0.5599)*CHOOSE(CONTROL!$C$42, 30, 30))/1000000</f>
        <v>11.673914999999997</v>
      </c>
      <c r="V731" s="58">
        <f>(1000*CHOOSE(CONTROL!$C$42, 500, 500)*CHOOSE(CONTROL!$C$42, 0.275, 0.275)*CHOOSE(CONTROL!$C$42, 30, 30))/1000000</f>
        <v>4.125</v>
      </c>
      <c r="W731" s="58">
        <f>(1000*CHOOSE(CONTROL!$C$42, 0.1146, 0.1146)*CHOOSE(CONTROL!$C$42, 121.5, 121.5)*CHOOSE(CONTROL!$C$42, 30, 30))/1000000</f>
        <v>0.417717</v>
      </c>
      <c r="X731" s="58">
        <f>(30*0.1790888*100000/1000000)+(30*0.2374*100000/1000000)</f>
        <v>1.2494664</v>
      </c>
      <c r="Y731" s="58"/>
      <c r="Z731" s="10"/>
      <c r="AA731" s="57"/>
      <c r="AB731" s="51">
        <f>(B731*122.58+C731*297.941+D731*89.177+E731*40.302+F731*40+G731*160+H731*0+I731*100+J731*300)/(122.58+297.941+89.177+40.302+0+40+160+100+300)</f>
        <v>20.462140770434782</v>
      </c>
      <c r="AC731" s="27">
        <f>(M731*'RAP TEMPLATE-GAS AVAILABILITY'!O730+N731*'RAP TEMPLATE-GAS AVAILABILITY'!P730+O731*'RAP TEMPLATE-GAS AVAILABILITY'!Q730+P731*'RAP TEMPLATE-GAS AVAILABILITY'!R730)/('RAP TEMPLATE-GAS AVAILABILITY'!O730+'RAP TEMPLATE-GAS AVAILABILITY'!P730+'RAP TEMPLATE-GAS AVAILABILITY'!Q730+'RAP TEMPLATE-GAS AVAILABILITY'!R730)</f>
        <v>20.285098561151077</v>
      </c>
    </row>
    <row r="732" spans="1:29" ht="15.75" x14ac:dyDescent="0.25">
      <c r="A732" s="13">
        <v>63554</v>
      </c>
      <c r="B732" s="10">
        <f>CHOOSE(CONTROL!$C$42, 21.8593, 21.8593) * CHOOSE(CONTROL!$C$21, $C$9, 100%, $E$9)</f>
        <v>21.859300000000001</v>
      </c>
      <c r="C732" s="10">
        <f>CHOOSE(CONTROL!$C$42, 21.8642, 21.8642) * CHOOSE(CONTROL!$C$21, $C$9, 100%, $E$9)</f>
        <v>21.8642</v>
      </c>
      <c r="D732" s="10">
        <f>CHOOSE(CONTROL!$C$42, 21.8938, 21.8938) * CHOOSE(CONTROL!$C$21, $C$9, 100%, $E$9)</f>
        <v>21.893799999999999</v>
      </c>
      <c r="E732" s="10">
        <f>CHOOSE(CONTROL!$C$42, 21.9276, 21.9276) * CHOOSE(CONTROL!$C$21, $C$9, 100%, $E$9)</f>
        <v>21.927600000000002</v>
      </c>
      <c r="F732" s="10">
        <f>CHOOSE(CONTROL!$C$42, 21.8466, 21.8466)*CHOOSE(CONTROL!$C$21, $C$9, 100%, $E$9)</f>
        <v>21.846599999999999</v>
      </c>
      <c r="G732" s="10">
        <f>CHOOSE(CONTROL!$C$42, 21.865, 21.865)*CHOOSE(CONTROL!$C$21, $C$9, 100%, $E$9)</f>
        <v>21.864999999999998</v>
      </c>
      <c r="H732" s="10">
        <f>CHOOSE(CONTROL!$C$42, 21.9168, 21.9168) * CHOOSE(CONTROL!$C$21, $C$9, 100%, $E$9)</f>
        <v>21.916799999999999</v>
      </c>
      <c r="I732" s="10">
        <f>CHOOSE(CONTROL!$C$42, 21.8254, 21.8254)* CHOOSE(CONTROL!$C$21, $C$9, 100%, $E$9)</f>
        <v>21.825399999999998</v>
      </c>
      <c r="J732" s="10">
        <f>CHOOSE(CONTROL!$C$42, 21.8396, 21.8396)* CHOOSE(CONTROL!$C$21, $C$9, 100%, $E$9)</f>
        <v>21.839600000000001</v>
      </c>
      <c r="K732" s="54">
        <f>CHOOSE(CONTROL!$C$42, 21.8215, 21.8215) * CHOOSE(CONTROL!$C$21, $C$9, 100%, $E$9)</f>
        <v>21.8215</v>
      </c>
      <c r="L732" s="10">
        <f>CHOOSE(CONTROL!$C$42, 22.5038, 22.5038) * CHOOSE(CONTROL!$C$21, $C$9, 100%, $E$9)</f>
        <v>22.503799999999998</v>
      </c>
      <c r="M732" s="10">
        <f>CHOOSE(CONTROL!$C$42, 21.633, 21.633) * CHOOSE(CONTROL!$C$21, $C$9, 100%, $E$9)</f>
        <v>21.632999999999999</v>
      </c>
      <c r="N732" s="10">
        <f>CHOOSE(CONTROL!$C$42, 21.6513, 21.6513) * CHOOSE(CONTROL!$C$21, $C$9, 100%, $E$9)</f>
        <v>21.651299999999999</v>
      </c>
      <c r="O732" s="10">
        <f>CHOOSE(CONTROL!$C$42, 21.7094, 21.7094) * CHOOSE(CONTROL!$C$21, $C$9, 100%, $E$9)</f>
        <v>21.709399999999999</v>
      </c>
      <c r="P732" s="10">
        <f>CHOOSE(CONTROL!$C$42, 21.619, 21.619) * CHOOSE(CONTROL!$C$21, $C$9, 100%, $E$9)</f>
        <v>21.619</v>
      </c>
      <c r="Q732" s="10">
        <f>CHOOSE(CONTROL!$C$42, 22.3047, 22.3047) * CHOOSE(CONTROL!$C$21, $C$9, 100%, $E$9)</f>
        <v>22.3047</v>
      </c>
      <c r="R732" s="10">
        <f>CHOOSE(CONTROL!$C$42, 22.9475, 22.9475) * CHOOSE(CONTROL!$C$21, $C$9, 100%, $E$9)</f>
        <v>22.947500000000002</v>
      </c>
      <c r="S732" s="10">
        <f>CHOOSE(CONTROL!$C$42, 21.2254, 21.2254) * CHOOSE(CONTROL!$C$21, $C$9, 100%, $E$9)</f>
        <v>21.2254</v>
      </c>
      <c r="T732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32" s="58">
        <f>(1000*CHOOSE(CONTROL!$C$42, 695, 695)*CHOOSE(CONTROL!$C$42, 0.5599, 0.5599)*CHOOSE(CONTROL!$C$42, 31, 31))/1000000</f>
        <v>12.063045499999998</v>
      </c>
      <c r="V732" s="58">
        <f>(1000*CHOOSE(CONTROL!$C$42, 500, 500)*CHOOSE(CONTROL!$C$42, 0.275, 0.275)*CHOOSE(CONTROL!$C$42, 31, 31))/1000000</f>
        <v>4.2625000000000002</v>
      </c>
      <c r="W732" s="58">
        <f>(1000*CHOOSE(CONTROL!$C$42, 0.1146, 0.1146)*CHOOSE(CONTROL!$C$42, 121.5, 121.5)*CHOOSE(CONTROL!$C$42, 31, 31))/1000000</f>
        <v>0.43164089999999994</v>
      </c>
      <c r="X732" s="58">
        <f>(31*0.1790888*100000/1000000)+(31*0.2374*100000/1000000)</f>
        <v>1.2911152800000001</v>
      </c>
      <c r="Y732" s="58"/>
      <c r="Z732" s="10"/>
      <c r="AA732" s="57"/>
      <c r="AB732" s="51">
        <f>(B732*122.58+C732*297.941+D732*89.177+E732*40.302+F732*40+G732*160+H732*0+I732*100+J732*300)/(122.58+297.941+89.177+40.302+0+40+160+100+300)</f>
        <v>21.857902733913043</v>
      </c>
      <c r="AC732" s="27">
        <f>(M732*'RAP TEMPLATE-GAS AVAILABILITY'!O731+N732*'RAP TEMPLATE-GAS AVAILABILITY'!P731+O732*'RAP TEMPLATE-GAS AVAILABILITY'!Q731+P732*'RAP TEMPLATE-GAS AVAILABILITY'!R731)/('RAP TEMPLATE-GAS AVAILABILITY'!O731+'RAP TEMPLATE-GAS AVAILABILITY'!P731+'RAP TEMPLATE-GAS AVAILABILITY'!Q731+'RAP TEMPLATE-GAS AVAILABILITY'!R731)</f>
        <v>21.666666187050357</v>
      </c>
    </row>
    <row r="733" spans="1:29" ht="15.75" x14ac:dyDescent="0.25">
      <c r="A733" s="13">
        <v>63585</v>
      </c>
      <c r="B733" s="10">
        <f>CHOOSE(CONTROL!$C$42, 23.3344, 23.3344) * CHOOSE(CONTROL!$C$21, $C$9, 100%, $E$9)</f>
        <v>23.334399999999999</v>
      </c>
      <c r="C733" s="10">
        <f>CHOOSE(CONTROL!$C$42, 23.3394, 23.3394) * CHOOSE(CONTROL!$C$21, $C$9, 100%, $E$9)</f>
        <v>23.339400000000001</v>
      </c>
      <c r="D733" s="10">
        <f>CHOOSE(CONTROL!$C$42, 23.3896, 23.3896) * CHOOSE(CONTROL!$C$21, $C$9, 100%, $E$9)</f>
        <v>23.389600000000002</v>
      </c>
      <c r="E733" s="10">
        <f>CHOOSE(CONTROL!$C$42, 23.4234, 23.4234) * CHOOSE(CONTROL!$C$21, $C$9, 100%, $E$9)</f>
        <v>23.423400000000001</v>
      </c>
      <c r="F733" s="10">
        <f>CHOOSE(CONTROL!$C$42, 23.2998, 23.2998)*CHOOSE(CONTROL!$C$21, $C$9, 100%, $E$9)</f>
        <v>23.299800000000001</v>
      </c>
      <c r="G733" s="10">
        <f>CHOOSE(CONTROL!$C$42, 23.3174, 23.3174)*CHOOSE(CONTROL!$C$21, $C$9, 100%, $E$9)</f>
        <v>23.317399999999999</v>
      </c>
      <c r="H733" s="10">
        <f>CHOOSE(CONTROL!$C$42, 23.4126, 23.4126) * CHOOSE(CONTROL!$C$21, $C$9, 100%, $E$9)</f>
        <v>23.412600000000001</v>
      </c>
      <c r="I733" s="10">
        <f>CHOOSE(CONTROL!$C$42, 23.3083, 23.3083)* CHOOSE(CONTROL!$C$21, $C$9, 100%, $E$9)</f>
        <v>23.308299999999999</v>
      </c>
      <c r="J733" s="10">
        <f>CHOOSE(CONTROL!$C$42, 23.2928, 23.2928)* CHOOSE(CONTROL!$C$21, $C$9, 100%, $E$9)</f>
        <v>23.2928</v>
      </c>
      <c r="K733" s="54">
        <f>CHOOSE(CONTROL!$C$42, 23.3044, 23.3044) * CHOOSE(CONTROL!$C$21, $C$9, 100%, $E$9)</f>
        <v>23.304400000000001</v>
      </c>
      <c r="L733" s="10">
        <f>CHOOSE(CONTROL!$C$42, 23.9996, 23.9996) * CHOOSE(CONTROL!$C$21, $C$9, 100%, $E$9)</f>
        <v>23.999600000000001</v>
      </c>
      <c r="M733" s="10">
        <f>CHOOSE(CONTROL!$C$42, 23.0716, 23.0716) * CHOOSE(CONTROL!$C$21, $C$9, 100%, $E$9)</f>
        <v>23.0716</v>
      </c>
      <c r="N733" s="10">
        <f>CHOOSE(CONTROL!$C$42, 23.0889, 23.0889) * CHOOSE(CONTROL!$C$21, $C$9, 100%, $E$9)</f>
        <v>23.088899999999999</v>
      </c>
      <c r="O733" s="10">
        <f>CHOOSE(CONTROL!$C$42, 23.1901, 23.1901) * CHOOSE(CONTROL!$C$21, $C$9, 100%, $E$9)</f>
        <v>23.190100000000001</v>
      </c>
      <c r="P733" s="10">
        <f>CHOOSE(CONTROL!$C$42, 23.087, 23.087) * CHOOSE(CONTROL!$C$21, $C$9, 100%, $E$9)</f>
        <v>23.087</v>
      </c>
      <c r="Q733" s="10">
        <f>CHOOSE(CONTROL!$C$42, 23.7854, 23.7854) * CHOOSE(CONTROL!$C$21, $C$9, 100%, $E$9)</f>
        <v>23.785399999999999</v>
      </c>
      <c r="R733" s="10">
        <f>CHOOSE(CONTROL!$C$42, 24.4319, 24.4319) * CHOOSE(CONTROL!$C$21, $C$9, 100%, $E$9)</f>
        <v>24.431899999999999</v>
      </c>
      <c r="S733" s="10">
        <f>CHOOSE(CONTROL!$C$42, 22.6579, 22.6579) * CHOOSE(CONTROL!$C$21, $C$9, 100%, $E$9)</f>
        <v>22.657900000000001</v>
      </c>
      <c r="T733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33" s="58">
        <f>(1000*CHOOSE(CONTROL!$C$42, 695, 695)*CHOOSE(CONTROL!$C$42, 0.5599, 0.5599)*CHOOSE(CONTROL!$C$42, 31, 31))/1000000</f>
        <v>12.063045499999998</v>
      </c>
      <c r="V733" s="58">
        <f>(1000*CHOOSE(CONTROL!$C$42, 500, 500)*CHOOSE(CONTROL!$C$42, 0.275, 0.275)*CHOOSE(CONTROL!$C$42, 31, 31))/1000000</f>
        <v>4.2625000000000002</v>
      </c>
      <c r="W733" s="58">
        <f>(1000*CHOOSE(CONTROL!$C$42, 0.1146, 0.1146)*CHOOSE(CONTROL!$C$42, 121.5, 121.5)*CHOOSE(CONTROL!$C$42, 31, 31))/1000000</f>
        <v>0.43164089999999994</v>
      </c>
      <c r="X733" s="58">
        <f>(31*0.1790888*100000/1000000)+(31*0.2374*100000/1000000)</f>
        <v>1.2911152800000001</v>
      </c>
      <c r="Y733" s="58"/>
      <c r="Z733" s="10"/>
      <c r="AA733" s="57"/>
      <c r="AB733" s="51">
        <f>(B733*122.58+C733*297.941+D733*89.177+E733*40.302+F733*40+G733*160+H733*0+I733*100+J733*300)/(122.58+297.941+89.177+40.302+0+40+160+100+300)</f>
        <v>23.326404481217391</v>
      </c>
      <c r="AC733" s="27">
        <f>(M733*'RAP TEMPLATE-GAS AVAILABILITY'!O732+N733*'RAP TEMPLATE-GAS AVAILABILITY'!P732+O733*'RAP TEMPLATE-GAS AVAILABILITY'!Q732+P733*'RAP TEMPLATE-GAS AVAILABILITY'!R732)/('RAP TEMPLATE-GAS AVAILABILITY'!O732+'RAP TEMPLATE-GAS AVAILABILITY'!P732+'RAP TEMPLATE-GAS AVAILABILITY'!Q732+'RAP TEMPLATE-GAS AVAILABILITY'!R732)</f>
        <v>23.128520143884895</v>
      </c>
    </row>
    <row r="734" spans="1:29" ht="15.75" x14ac:dyDescent="0.25">
      <c r="A734" s="13">
        <v>63613</v>
      </c>
      <c r="B734" s="10">
        <f>CHOOSE(CONTROL!$C$42, 23.7498, 23.7498) * CHOOSE(CONTROL!$C$21, $C$9, 100%, $E$9)</f>
        <v>23.7498</v>
      </c>
      <c r="C734" s="10">
        <f>CHOOSE(CONTROL!$C$42, 23.7547, 23.7547) * CHOOSE(CONTROL!$C$21, $C$9, 100%, $E$9)</f>
        <v>23.7547</v>
      </c>
      <c r="D734" s="10">
        <f>CHOOSE(CONTROL!$C$42, 23.8719, 23.8719) * CHOOSE(CONTROL!$C$21, $C$9, 100%, $E$9)</f>
        <v>23.8719</v>
      </c>
      <c r="E734" s="10">
        <f>CHOOSE(CONTROL!$C$42, 23.9056, 23.9056) * CHOOSE(CONTROL!$C$21, $C$9, 100%, $E$9)</f>
        <v>23.9056</v>
      </c>
      <c r="F734" s="10">
        <f>CHOOSE(CONTROL!$C$42, 23.8274, 23.8274)*CHOOSE(CONTROL!$C$21, $C$9, 100%, $E$9)</f>
        <v>23.827400000000001</v>
      </c>
      <c r="G734" s="10">
        <f>CHOOSE(CONTROL!$C$42, 23.8493, 23.8493)*CHOOSE(CONTROL!$C$21, $C$9, 100%, $E$9)</f>
        <v>23.849299999999999</v>
      </c>
      <c r="H734" s="10">
        <f>CHOOSE(CONTROL!$C$42, 23.8948, 23.8948) * CHOOSE(CONTROL!$C$21, $C$9, 100%, $E$9)</f>
        <v>23.8948</v>
      </c>
      <c r="I734" s="10">
        <f>CHOOSE(CONTROL!$C$42, 23.7855, 23.7855)* CHOOSE(CONTROL!$C$21, $C$9, 100%, $E$9)</f>
        <v>23.785499999999999</v>
      </c>
      <c r="J734" s="10">
        <f>CHOOSE(CONTROL!$C$42, 23.8204, 23.8204)* CHOOSE(CONTROL!$C$21, $C$9, 100%, $E$9)</f>
        <v>23.820399999999999</v>
      </c>
      <c r="K734" s="54">
        <f>CHOOSE(CONTROL!$C$42, 23.7816, 23.7816) * CHOOSE(CONTROL!$C$21, $C$9, 100%, $E$9)</f>
        <v>23.781600000000001</v>
      </c>
      <c r="L734" s="10">
        <f>CHOOSE(CONTROL!$C$42, 24.4818, 24.4818) * CHOOSE(CONTROL!$C$21, $C$9, 100%, $E$9)</f>
        <v>24.4818</v>
      </c>
      <c r="M734" s="10">
        <f>CHOOSE(CONTROL!$C$42, 23.5938, 23.5938) * CHOOSE(CONTROL!$C$21, $C$9, 100%, $E$9)</f>
        <v>23.593800000000002</v>
      </c>
      <c r="N734" s="10">
        <f>CHOOSE(CONTROL!$C$42, 23.6155, 23.6155) * CHOOSE(CONTROL!$C$21, $C$9, 100%, $E$9)</f>
        <v>23.615500000000001</v>
      </c>
      <c r="O734" s="10">
        <f>CHOOSE(CONTROL!$C$42, 23.6675, 23.6675) * CHOOSE(CONTROL!$C$21, $C$9, 100%, $E$9)</f>
        <v>23.6675</v>
      </c>
      <c r="P734" s="10">
        <f>CHOOSE(CONTROL!$C$42, 23.5593, 23.5593) * CHOOSE(CONTROL!$C$21, $C$9, 100%, $E$9)</f>
        <v>23.5593</v>
      </c>
      <c r="Q734" s="10">
        <f>CHOOSE(CONTROL!$C$42, 24.2628, 24.2628) * CHOOSE(CONTROL!$C$21, $C$9, 100%, $E$9)</f>
        <v>24.262799999999999</v>
      </c>
      <c r="R734" s="10">
        <f>CHOOSE(CONTROL!$C$42, 24.9105, 24.9105) * CHOOSE(CONTROL!$C$21, $C$9, 100%, $E$9)</f>
        <v>24.910499999999999</v>
      </c>
      <c r="S734" s="10">
        <f>CHOOSE(CONTROL!$C$42, 23.0613, 23.0613) * CHOOSE(CONTROL!$C$21, $C$9, 100%, $E$9)</f>
        <v>23.061299999999999</v>
      </c>
      <c r="T734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734" s="58">
        <f>(1000*CHOOSE(CONTROL!$C$42, 695, 695)*CHOOSE(CONTROL!$C$42, 0.5599, 0.5599)*CHOOSE(CONTROL!$C$42, 28, 28))/1000000</f>
        <v>10.895653999999999</v>
      </c>
      <c r="V734" s="58">
        <f>(1000*CHOOSE(CONTROL!$C$42, 500, 500)*CHOOSE(CONTROL!$C$42, 0.275, 0.275)*CHOOSE(CONTROL!$C$42, 28, 28))/1000000</f>
        <v>3.85</v>
      </c>
      <c r="W734" s="58">
        <f>(1000*CHOOSE(CONTROL!$C$42, 0.1146, 0.1146)*CHOOSE(CONTROL!$C$42, 121.5, 121.5)*CHOOSE(CONTROL!$C$42, 28, 28))/1000000</f>
        <v>0.38986920000000003</v>
      </c>
      <c r="X734" s="58">
        <f>(28*0.1790888*100000/1000000)+(28*0.2374*100000/1000000)</f>
        <v>1.16616864</v>
      </c>
      <c r="Y734" s="58"/>
      <c r="Z734" s="10"/>
      <c r="AA734" s="57"/>
      <c r="AB734" s="51">
        <f>(B734*122.58+C734*297.941+D734*89.177+E734*40.302+F734*40+G734*160+H734*0+I734*100+J734*300)/(122.58+297.941+89.177+40.302+0+40+160+100+300)</f>
        <v>23.804062151478259</v>
      </c>
      <c r="AC734" s="27">
        <f>(M734*'RAP TEMPLATE-GAS AVAILABILITY'!O733+N734*'RAP TEMPLATE-GAS AVAILABILITY'!P733+O734*'RAP TEMPLATE-GAS AVAILABILITY'!Q733+P734*'RAP TEMPLATE-GAS AVAILABILITY'!R733)/('RAP TEMPLATE-GAS AVAILABILITY'!O733+'RAP TEMPLATE-GAS AVAILABILITY'!P733+'RAP TEMPLATE-GAS AVAILABILITY'!Q733+'RAP TEMPLATE-GAS AVAILABILITY'!R733)</f>
        <v>23.623488489208633</v>
      </c>
    </row>
    <row r="735" spans="1:29" ht="15.75" x14ac:dyDescent="0.25">
      <c r="A735" s="13">
        <v>63644</v>
      </c>
      <c r="B735" s="10">
        <f>CHOOSE(CONTROL!$C$42, 23.0756, 23.0756) * CHOOSE(CONTROL!$C$21, $C$9, 100%, $E$9)</f>
        <v>23.075600000000001</v>
      </c>
      <c r="C735" s="10">
        <f>CHOOSE(CONTROL!$C$42, 23.0805, 23.0805) * CHOOSE(CONTROL!$C$21, $C$9, 100%, $E$9)</f>
        <v>23.080500000000001</v>
      </c>
      <c r="D735" s="10">
        <f>CHOOSE(CONTROL!$C$42, 23.1719, 23.1719) * CHOOSE(CONTROL!$C$21, $C$9, 100%, $E$9)</f>
        <v>23.171900000000001</v>
      </c>
      <c r="E735" s="10">
        <f>CHOOSE(CONTROL!$C$42, 23.2057, 23.2057) * CHOOSE(CONTROL!$C$21, $C$9, 100%, $E$9)</f>
        <v>23.2057</v>
      </c>
      <c r="F735" s="10">
        <f>CHOOSE(CONTROL!$C$42, 23.1054, 23.1054)*CHOOSE(CONTROL!$C$21, $C$9, 100%, $E$9)</f>
        <v>23.105399999999999</v>
      </c>
      <c r="G735" s="10">
        <f>CHOOSE(CONTROL!$C$42, 23.1249, 23.1249)*CHOOSE(CONTROL!$C$21, $C$9, 100%, $E$9)</f>
        <v>23.1249</v>
      </c>
      <c r="H735" s="10">
        <f>CHOOSE(CONTROL!$C$42, 23.1949, 23.1949) * CHOOSE(CONTROL!$C$21, $C$9, 100%, $E$9)</f>
        <v>23.194900000000001</v>
      </c>
      <c r="I735" s="10">
        <f>CHOOSE(CONTROL!$C$42, 23.0984, 23.0984)* CHOOSE(CONTROL!$C$21, $C$9, 100%, $E$9)</f>
        <v>23.098400000000002</v>
      </c>
      <c r="J735" s="10">
        <f>CHOOSE(CONTROL!$C$42, 23.0984, 23.0984)* CHOOSE(CONTROL!$C$21, $C$9, 100%, $E$9)</f>
        <v>23.098400000000002</v>
      </c>
      <c r="K735" s="54">
        <f>CHOOSE(CONTROL!$C$42, 23.0945, 23.0945) * CHOOSE(CONTROL!$C$21, $C$9, 100%, $E$9)</f>
        <v>23.0945</v>
      </c>
      <c r="L735" s="10">
        <f>CHOOSE(CONTROL!$C$42, 23.7819, 23.7819) * CHOOSE(CONTROL!$C$21, $C$9, 100%, $E$9)</f>
        <v>23.7819</v>
      </c>
      <c r="M735" s="10">
        <f>CHOOSE(CONTROL!$C$42, 22.8792, 22.8792) * CHOOSE(CONTROL!$C$21, $C$9, 100%, $E$9)</f>
        <v>22.879200000000001</v>
      </c>
      <c r="N735" s="10">
        <f>CHOOSE(CONTROL!$C$42, 22.8985, 22.8985) * CHOOSE(CONTROL!$C$21, $C$9, 100%, $E$9)</f>
        <v>22.898499999999999</v>
      </c>
      <c r="O735" s="10">
        <f>CHOOSE(CONTROL!$C$42, 22.9747, 22.9747) * CHOOSE(CONTROL!$C$21, $C$9, 100%, $E$9)</f>
        <v>22.974699999999999</v>
      </c>
      <c r="P735" s="10">
        <f>CHOOSE(CONTROL!$C$42, 22.8792, 22.8792) * CHOOSE(CONTROL!$C$21, $C$9, 100%, $E$9)</f>
        <v>22.879200000000001</v>
      </c>
      <c r="Q735" s="10">
        <f>CHOOSE(CONTROL!$C$42, 23.57, 23.57) * CHOOSE(CONTROL!$C$21, $C$9, 100%, $E$9)</f>
        <v>23.57</v>
      </c>
      <c r="R735" s="10">
        <f>CHOOSE(CONTROL!$C$42, 24.2159, 24.2159) * CHOOSE(CONTROL!$C$21, $C$9, 100%, $E$9)</f>
        <v>24.215900000000001</v>
      </c>
      <c r="S735" s="10">
        <f>CHOOSE(CONTROL!$C$42, 22.4066, 22.4066) * CHOOSE(CONTROL!$C$21, $C$9, 100%, $E$9)</f>
        <v>22.406600000000001</v>
      </c>
      <c r="T735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35" s="58">
        <f>(1000*CHOOSE(CONTROL!$C$42, 695, 695)*CHOOSE(CONTROL!$C$42, 0.5599, 0.5599)*CHOOSE(CONTROL!$C$42, 31, 31))/1000000</f>
        <v>12.063045499999998</v>
      </c>
      <c r="V735" s="58">
        <f>(1000*CHOOSE(CONTROL!$C$42, 500, 500)*CHOOSE(CONTROL!$C$42, 0.275, 0.275)*CHOOSE(CONTROL!$C$42, 31, 31))/1000000</f>
        <v>4.2625000000000002</v>
      </c>
      <c r="W735" s="58">
        <f>(1000*CHOOSE(CONTROL!$C$42, 0.1146, 0.1146)*CHOOSE(CONTROL!$C$42, 121.5, 121.5)*CHOOSE(CONTROL!$C$42, 31, 31))/1000000</f>
        <v>0.43164089999999994</v>
      </c>
      <c r="X735" s="58">
        <f>(31*0.1790888*100000/1000000)+(31*0.2374*100000/1000000)</f>
        <v>1.2911152800000001</v>
      </c>
      <c r="Y735" s="58"/>
      <c r="Z735" s="10"/>
      <c r="AA735" s="57"/>
      <c r="AB735" s="51">
        <f>(B735*122.58+C735*297.941+D735*89.177+E735*40.302+F735*40+G735*160+H735*0+I735*100+J735*300)/(122.58+297.941+89.177+40.302+0+40+160+100+300)</f>
        <v>23.104722561913043</v>
      </c>
      <c r="AC735" s="27">
        <f>(M735*'RAP TEMPLATE-GAS AVAILABILITY'!O734+N735*'RAP TEMPLATE-GAS AVAILABILITY'!P734+O735*'RAP TEMPLATE-GAS AVAILABILITY'!Q734+P735*'RAP TEMPLATE-GAS AVAILABILITY'!R734)/('RAP TEMPLATE-GAS AVAILABILITY'!O734+'RAP TEMPLATE-GAS AVAILABILITY'!P734+'RAP TEMPLATE-GAS AVAILABILITY'!Q734+'RAP TEMPLATE-GAS AVAILABILITY'!R734)</f>
        <v>22.923594964028776</v>
      </c>
    </row>
    <row r="736" spans="1:29" ht="15.75" x14ac:dyDescent="0.25">
      <c r="A736" s="13">
        <v>63674</v>
      </c>
      <c r="B736" s="10">
        <f>CHOOSE(CONTROL!$C$42, 23.0073, 23.0073) * CHOOSE(CONTROL!$C$21, $C$9, 100%, $E$9)</f>
        <v>23.007300000000001</v>
      </c>
      <c r="C736" s="10">
        <f>CHOOSE(CONTROL!$C$42, 23.0117, 23.0117) * CHOOSE(CONTROL!$C$21, $C$9, 100%, $E$9)</f>
        <v>23.011700000000001</v>
      </c>
      <c r="D736" s="10">
        <f>CHOOSE(CONTROL!$C$42, 23.1933, 23.1933) * CHOOSE(CONTROL!$C$21, $C$9, 100%, $E$9)</f>
        <v>23.193300000000001</v>
      </c>
      <c r="E736" s="10">
        <f>CHOOSE(CONTROL!$C$42, 23.2251, 23.2251) * CHOOSE(CONTROL!$C$21, $C$9, 100%, $E$9)</f>
        <v>23.225100000000001</v>
      </c>
      <c r="F736" s="10">
        <f>CHOOSE(CONTROL!$C$42, 22.9956, 22.9956)*CHOOSE(CONTROL!$C$21, $C$9, 100%, $E$9)</f>
        <v>22.9956</v>
      </c>
      <c r="G736" s="10">
        <f>CHOOSE(CONTROL!$C$42, 23.0136, 23.0136)*CHOOSE(CONTROL!$C$21, $C$9, 100%, $E$9)</f>
        <v>23.0136</v>
      </c>
      <c r="H736" s="10">
        <f>CHOOSE(CONTROL!$C$42, 23.2149, 23.2149) * CHOOSE(CONTROL!$C$21, $C$9, 100%, $E$9)</f>
        <v>23.2149</v>
      </c>
      <c r="I736" s="10">
        <f>CHOOSE(CONTROL!$C$42, 22.9855, 22.9855)* CHOOSE(CONTROL!$C$21, $C$9, 100%, $E$9)</f>
        <v>22.985499999999998</v>
      </c>
      <c r="J736" s="10">
        <f>CHOOSE(CONTROL!$C$42, 22.9886, 22.9886)* CHOOSE(CONTROL!$C$21, $C$9, 100%, $E$9)</f>
        <v>22.988600000000002</v>
      </c>
      <c r="K736" s="54">
        <f>CHOOSE(CONTROL!$C$42, 22.9817, 22.9817) * CHOOSE(CONTROL!$C$21, $C$9, 100%, $E$9)</f>
        <v>22.9817</v>
      </c>
      <c r="L736" s="10">
        <f>CHOOSE(CONTROL!$C$42, 23.8019, 23.8019) * CHOOSE(CONTROL!$C$21, $C$9, 100%, $E$9)</f>
        <v>23.8019</v>
      </c>
      <c r="M736" s="10">
        <f>CHOOSE(CONTROL!$C$42, 22.7704, 22.7704) * CHOOSE(CONTROL!$C$21, $C$9, 100%, $E$9)</f>
        <v>22.770399999999999</v>
      </c>
      <c r="N736" s="10">
        <f>CHOOSE(CONTROL!$C$42, 22.7882, 22.7882) * CHOOSE(CONTROL!$C$21, $C$9, 100%, $E$9)</f>
        <v>22.7882</v>
      </c>
      <c r="O736" s="10">
        <f>CHOOSE(CONTROL!$C$42, 22.9944, 22.9944) * CHOOSE(CONTROL!$C$21, $C$9, 100%, $E$9)</f>
        <v>22.994399999999999</v>
      </c>
      <c r="P736" s="10">
        <f>CHOOSE(CONTROL!$C$42, 22.7674, 22.7674) * CHOOSE(CONTROL!$C$21, $C$9, 100%, $E$9)</f>
        <v>22.767399999999999</v>
      </c>
      <c r="Q736" s="10">
        <f>CHOOSE(CONTROL!$C$42, 23.5897, 23.5897) * CHOOSE(CONTROL!$C$21, $C$9, 100%, $E$9)</f>
        <v>23.589700000000001</v>
      </c>
      <c r="R736" s="10">
        <f>CHOOSE(CONTROL!$C$42, 24.2357, 24.2357) * CHOOSE(CONTROL!$C$21, $C$9, 100%, $E$9)</f>
        <v>24.235700000000001</v>
      </c>
      <c r="S736" s="10">
        <f>CHOOSE(CONTROL!$C$42, 22.3395, 22.3395) * CHOOSE(CONTROL!$C$21, $C$9, 100%, $E$9)</f>
        <v>22.339500000000001</v>
      </c>
      <c r="T736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36" s="58">
        <f>(1000*CHOOSE(CONTROL!$C$42, 695, 695)*CHOOSE(CONTROL!$C$42, 0.5599, 0.5599)*CHOOSE(CONTROL!$C$42, 30, 30))/1000000</f>
        <v>11.673914999999997</v>
      </c>
      <c r="V736" s="58">
        <f>(1000*CHOOSE(CONTROL!$C$42, 500, 500)*CHOOSE(CONTROL!$C$42, 0.275, 0.275)*CHOOSE(CONTROL!$C$42, 30, 30))/1000000</f>
        <v>4.125</v>
      </c>
      <c r="W736" s="58">
        <f>(1000*CHOOSE(CONTROL!$C$42, 0.1146, 0.1146)*CHOOSE(CONTROL!$C$42, 121.5, 121.5)*CHOOSE(CONTROL!$C$42, 30, 30))/1000000</f>
        <v>0.417717</v>
      </c>
      <c r="X736" s="58">
        <f>(30*0.1790888*245000/1000000)+(30*0.2374*100000/1000000)</f>
        <v>2.0285026799999999</v>
      </c>
      <c r="Y736" s="58"/>
      <c r="Z736" s="10"/>
      <c r="AA736" s="57"/>
      <c r="AB736" s="51">
        <f>(B736*141.293+C736*267.993+D736*115.016+E736*89.698+F736*40+G736*185+H736*0+I736*100+J736*300)/(141.293+267.993+115.016+89.698+0+40+185+100+300)</f>
        <v>23.035561395964489</v>
      </c>
      <c r="AC736" s="27">
        <f>(M736*'RAP TEMPLATE-GAS AVAILABILITY'!O735+N736*'RAP TEMPLATE-GAS AVAILABILITY'!P735+O736*'RAP TEMPLATE-GAS AVAILABILITY'!Q735+P736*'RAP TEMPLATE-GAS AVAILABILITY'!R735)/('RAP TEMPLATE-GAS AVAILABILITY'!O735+'RAP TEMPLATE-GAS AVAILABILITY'!P735+'RAP TEMPLATE-GAS AVAILABILITY'!Q735+'RAP TEMPLATE-GAS AVAILABILITY'!R735)</f>
        <v>22.872517985611509</v>
      </c>
    </row>
    <row r="737" spans="1:29" ht="15.75" x14ac:dyDescent="0.25">
      <c r="A737" s="13">
        <v>63705</v>
      </c>
      <c r="B737" s="10">
        <f>CHOOSE(CONTROL!$C$42, 23.2121, 23.2121) * CHOOSE(CONTROL!$C$21, $C$9, 100%, $E$9)</f>
        <v>23.2121</v>
      </c>
      <c r="C737" s="10">
        <f>CHOOSE(CONTROL!$C$42, 23.22, 23.22) * CHOOSE(CONTROL!$C$21, $C$9, 100%, $E$9)</f>
        <v>23.22</v>
      </c>
      <c r="D737" s="10">
        <f>CHOOSE(CONTROL!$C$42, 23.3986, 23.3986) * CHOOSE(CONTROL!$C$21, $C$9, 100%, $E$9)</f>
        <v>23.398599999999998</v>
      </c>
      <c r="E737" s="10">
        <f>CHOOSE(CONTROL!$C$42, 23.4297, 23.4297) * CHOOSE(CONTROL!$C$21, $C$9, 100%, $E$9)</f>
        <v>23.4297</v>
      </c>
      <c r="F737" s="10">
        <f>CHOOSE(CONTROL!$C$42, 23.1983, 23.1983)*CHOOSE(CONTROL!$C$21, $C$9, 100%, $E$9)</f>
        <v>23.1983</v>
      </c>
      <c r="G737" s="10">
        <f>CHOOSE(CONTROL!$C$42, 23.2165, 23.2165)*CHOOSE(CONTROL!$C$21, $C$9, 100%, $E$9)</f>
        <v>23.2165</v>
      </c>
      <c r="H737" s="10">
        <f>CHOOSE(CONTROL!$C$42, 23.4183, 23.4183) * CHOOSE(CONTROL!$C$21, $C$9, 100%, $E$9)</f>
        <v>23.418299999999999</v>
      </c>
      <c r="I737" s="10">
        <f>CHOOSE(CONTROL!$C$42, 23.189, 23.189)* CHOOSE(CONTROL!$C$21, $C$9, 100%, $E$9)</f>
        <v>23.189</v>
      </c>
      <c r="J737" s="10">
        <f>CHOOSE(CONTROL!$C$42, 23.1913, 23.1913)* CHOOSE(CONTROL!$C$21, $C$9, 100%, $E$9)</f>
        <v>23.191299999999998</v>
      </c>
      <c r="K737" s="54">
        <f>CHOOSE(CONTROL!$C$42, 23.1851, 23.1851) * CHOOSE(CONTROL!$C$21, $C$9, 100%, $E$9)</f>
        <v>23.185099999999998</v>
      </c>
      <c r="L737" s="10">
        <f>CHOOSE(CONTROL!$C$42, 24.0053, 24.0053) * CHOOSE(CONTROL!$C$21, $C$9, 100%, $E$9)</f>
        <v>24.005299999999998</v>
      </c>
      <c r="M737" s="10">
        <f>CHOOSE(CONTROL!$C$42, 22.9711, 22.9711) * CHOOSE(CONTROL!$C$21, $C$9, 100%, $E$9)</f>
        <v>22.9711</v>
      </c>
      <c r="N737" s="10">
        <f>CHOOSE(CONTROL!$C$42, 22.9891, 22.9891) * CHOOSE(CONTROL!$C$21, $C$9, 100%, $E$9)</f>
        <v>22.989100000000001</v>
      </c>
      <c r="O737" s="10">
        <f>CHOOSE(CONTROL!$C$42, 23.1958, 23.1958) * CHOOSE(CONTROL!$C$21, $C$9, 100%, $E$9)</f>
        <v>23.195799999999998</v>
      </c>
      <c r="P737" s="10">
        <f>CHOOSE(CONTROL!$C$42, 22.9688, 22.9688) * CHOOSE(CONTROL!$C$21, $C$9, 100%, $E$9)</f>
        <v>22.968800000000002</v>
      </c>
      <c r="Q737" s="10">
        <f>CHOOSE(CONTROL!$C$42, 23.7911, 23.7911) * CHOOSE(CONTROL!$C$21, $C$9, 100%, $E$9)</f>
        <v>23.7911</v>
      </c>
      <c r="R737" s="10">
        <f>CHOOSE(CONTROL!$C$42, 24.4376, 24.4376) * CHOOSE(CONTROL!$C$21, $C$9, 100%, $E$9)</f>
        <v>24.4376</v>
      </c>
      <c r="S737" s="10">
        <f>CHOOSE(CONTROL!$C$42, 22.537, 22.537) * CHOOSE(CONTROL!$C$21, $C$9, 100%, $E$9)</f>
        <v>22.536999999999999</v>
      </c>
      <c r="T737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37" s="58">
        <f>(1000*CHOOSE(CONTROL!$C$42, 695, 695)*CHOOSE(CONTROL!$C$42, 0.5599, 0.5599)*CHOOSE(CONTROL!$C$42, 31, 31))/1000000</f>
        <v>12.063045499999998</v>
      </c>
      <c r="V737" s="58">
        <f>(1000*CHOOSE(CONTROL!$C$42, 500, 500)*CHOOSE(CONTROL!$C$42, 0.275, 0.275)*CHOOSE(CONTROL!$C$42, 31, 31))/1000000</f>
        <v>4.2625000000000002</v>
      </c>
      <c r="W737" s="58">
        <f>(1000*CHOOSE(CONTROL!$C$42, 0.1146, 0.1146)*CHOOSE(CONTROL!$C$42, 121.5, 121.5)*CHOOSE(CONTROL!$C$42, 31, 31))/1000000</f>
        <v>0.43164089999999994</v>
      </c>
      <c r="X737" s="58">
        <f>(31*0.1790888*245000/1000000)+(31*0.2374*100000/1000000)</f>
        <v>2.0961194359999999</v>
      </c>
      <c r="Y737" s="58"/>
      <c r="Z737" s="10"/>
      <c r="AA737" s="57"/>
      <c r="AB737" s="51">
        <f>(B737*194.205+C737*267.466+D737*133.845+E737*53.484+F737*40+G737*185+H737*0+I737*100+J737*300)/(194.205+267.466+133.845+53.484+0+40+185+100+300)</f>
        <v>23.235981626609107</v>
      </c>
      <c r="AC737" s="27">
        <f>(M737*'RAP TEMPLATE-GAS AVAILABILITY'!O736+N737*'RAP TEMPLATE-GAS AVAILABILITY'!P736+O737*'RAP TEMPLATE-GAS AVAILABILITY'!Q736+P737*'RAP TEMPLATE-GAS AVAILABILITY'!R736)/('RAP TEMPLATE-GAS AVAILABILITY'!O736+'RAP TEMPLATE-GAS AVAILABILITY'!P736+'RAP TEMPLATE-GAS AVAILABILITY'!Q736+'RAP TEMPLATE-GAS AVAILABILITY'!R736)</f>
        <v>23.07364748201439</v>
      </c>
    </row>
    <row r="738" spans="1:29" ht="15.75" x14ac:dyDescent="0.25">
      <c r="A738" s="13">
        <v>63735</v>
      </c>
      <c r="B738" s="10">
        <f>CHOOSE(CONTROL!$C$42, 23.8704, 23.8704) * CHOOSE(CONTROL!$C$21, $C$9, 100%, $E$9)</f>
        <v>23.8704</v>
      </c>
      <c r="C738" s="10">
        <f>CHOOSE(CONTROL!$C$42, 23.8783, 23.8783) * CHOOSE(CONTROL!$C$21, $C$9, 100%, $E$9)</f>
        <v>23.878299999999999</v>
      </c>
      <c r="D738" s="10">
        <f>CHOOSE(CONTROL!$C$42, 24.0568, 24.0568) * CHOOSE(CONTROL!$C$21, $C$9, 100%, $E$9)</f>
        <v>24.056799999999999</v>
      </c>
      <c r="E738" s="10">
        <f>CHOOSE(CONTROL!$C$42, 24.088, 24.088) * CHOOSE(CONTROL!$C$21, $C$9, 100%, $E$9)</f>
        <v>24.088000000000001</v>
      </c>
      <c r="F738" s="10">
        <f>CHOOSE(CONTROL!$C$42, 23.8568, 23.8568)*CHOOSE(CONTROL!$C$21, $C$9, 100%, $E$9)</f>
        <v>23.8568</v>
      </c>
      <c r="G738" s="10">
        <f>CHOOSE(CONTROL!$C$42, 23.8751, 23.8751)*CHOOSE(CONTROL!$C$21, $C$9, 100%, $E$9)</f>
        <v>23.8751</v>
      </c>
      <c r="H738" s="10">
        <f>CHOOSE(CONTROL!$C$42, 24.0766, 24.0766) * CHOOSE(CONTROL!$C$21, $C$9, 100%, $E$9)</f>
        <v>24.076599999999999</v>
      </c>
      <c r="I738" s="10">
        <f>CHOOSE(CONTROL!$C$42, 23.8473, 23.8473)* CHOOSE(CONTROL!$C$21, $C$9, 100%, $E$9)</f>
        <v>23.847300000000001</v>
      </c>
      <c r="J738" s="10">
        <f>CHOOSE(CONTROL!$C$42, 23.8498, 23.8498)* CHOOSE(CONTROL!$C$21, $C$9, 100%, $E$9)</f>
        <v>23.849799999999998</v>
      </c>
      <c r="K738" s="54">
        <f>CHOOSE(CONTROL!$C$42, 23.8434, 23.8434) * CHOOSE(CONTROL!$C$21, $C$9, 100%, $E$9)</f>
        <v>23.843399999999999</v>
      </c>
      <c r="L738" s="10">
        <f>CHOOSE(CONTROL!$C$42, 24.6636, 24.6636) * CHOOSE(CONTROL!$C$21, $C$9, 100%, $E$9)</f>
        <v>24.663599999999999</v>
      </c>
      <c r="M738" s="10">
        <f>CHOOSE(CONTROL!$C$42, 23.623, 23.623) * CHOOSE(CONTROL!$C$21, $C$9, 100%, $E$9)</f>
        <v>23.623000000000001</v>
      </c>
      <c r="N738" s="10">
        <f>CHOOSE(CONTROL!$C$42, 23.641, 23.641) * CHOOSE(CONTROL!$C$21, $C$9, 100%, $E$9)</f>
        <v>23.640999999999998</v>
      </c>
      <c r="O738" s="10">
        <f>CHOOSE(CONTROL!$C$42, 23.8475, 23.8475) * CHOOSE(CONTROL!$C$21, $C$9, 100%, $E$9)</f>
        <v>23.8475</v>
      </c>
      <c r="P738" s="10">
        <f>CHOOSE(CONTROL!$C$42, 23.6205, 23.6205) * CHOOSE(CONTROL!$C$21, $C$9, 100%, $E$9)</f>
        <v>23.6205</v>
      </c>
      <c r="Q738" s="10">
        <f>CHOOSE(CONTROL!$C$42, 24.4428, 24.4428) * CHOOSE(CONTROL!$C$21, $C$9, 100%, $E$9)</f>
        <v>24.442799999999998</v>
      </c>
      <c r="R738" s="10">
        <f>CHOOSE(CONTROL!$C$42, 25.0909, 25.0909) * CHOOSE(CONTROL!$C$21, $C$9, 100%, $E$9)</f>
        <v>25.090900000000001</v>
      </c>
      <c r="S738" s="10">
        <f>CHOOSE(CONTROL!$C$42, 23.1763, 23.1763) * CHOOSE(CONTROL!$C$21, $C$9, 100%, $E$9)</f>
        <v>23.176300000000001</v>
      </c>
      <c r="T738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38" s="58">
        <f>(1000*CHOOSE(CONTROL!$C$42, 695, 695)*CHOOSE(CONTROL!$C$42, 0.5599, 0.5599)*CHOOSE(CONTROL!$C$42, 30, 30))/1000000</f>
        <v>11.673914999999997</v>
      </c>
      <c r="V738" s="58">
        <f>(1000*CHOOSE(CONTROL!$C$42, 500, 500)*CHOOSE(CONTROL!$C$42, 0.275, 0.275)*CHOOSE(CONTROL!$C$42, 30, 30))/1000000</f>
        <v>4.125</v>
      </c>
      <c r="W738" s="58">
        <f>(1000*CHOOSE(CONTROL!$C$42, 0.1146, 0.1146)*CHOOSE(CONTROL!$C$42, 121.5, 121.5)*CHOOSE(CONTROL!$C$42, 30, 30))/1000000</f>
        <v>0.417717</v>
      </c>
      <c r="X738" s="58">
        <f>(30*0.1790888*245000/1000000)+(30*0.2374*100000/1000000)</f>
        <v>2.0285026799999999</v>
      </c>
      <c r="Y738" s="58"/>
      <c r="Z738" s="10"/>
      <c r="AA738" s="57"/>
      <c r="AB738" s="51">
        <f>(B738*194.205+C738*267.466+D738*133.845+E738*53.484+F738*40+G738*185+H738*0+I738*100+J738*300)/(194.205+267.466+133.845+53.484+0+40+185+100+300)</f>
        <v>23.894368059497644</v>
      </c>
      <c r="AC738" s="27">
        <f>(M738*'RAP TEMPLATE-GAS AVAILABILITY'!O737+N738*'RAP TEMPLATE-GAS AVAILABILITY'!P737+O738*'RAP TEMPLATE-GAS AVAILABILITY'!Q737+P738*'RAP TEMPLATE-GAS AVAILABILITY'!R737)/('RAP TEMPLATE-GAS AVAILABILITY'!O737+'RAP TEMPLATE-GAS AVAILABILITY'!P737+'RAP TEMPLATE-GAS AVAILABILITY'!Q737+'RAP TEMPLATE-GAS AVAILABILITY'!R737)</f>
        <v>23.725428057553959</v>
      </c>
    </row>
    <row r="739" spans="1:29" ht="15.75" x14ac:dyDescent="0.25">
      <c r="A739" s="13">
        <v>63766</v>
      </c>
      <c r="B739" s="10">
        <f>CHOOSE(CONTROL!$C$42, 23.4125, 23.4125) * CHOOSE(CONTROL!$C$21, $C$9, 100%, $E$9)</f>
        <v>23.412500000000001</v>
      </c>
      <c r="C739" s="10">
        <f>CHOOSE(CONTROL!$C$42, 23.4205, 23.4205) * CHOOSE(CONTROL!$C$21, $C$9, 100%, $E$9)</f>
        <v>23.420500000000001</v>
      </c>
      <c r="D739" s="10">
        <f>CHOOSE(CONTROL!$C$42, 23.599, 23.599) * CHOOSE(CONTROL!$C$21, $C$9, 100%, $E$9)</f>
        <v>23.599</v>
      </c>
      <c r="E739" s="10">
        <f>CHOOSE(CONTROL!$C$42, 23.6301, 23.6301) * CHOOSE(CONTROL!$C$21, $C$9, 100%, $E$9)</f>
        <v>23.630099999999999</v>
      </c>
      <c r="F739" s="10">
        <f>CHOOSE(CONTROL!$C$42, 23.3993, 23.3993)*CHOOSE(CONTROL!$C$21, $C$9, 100%, $E$9)</f>
        <v>23.3993</v>
      </c>
      <c r="G739" s="10">
        <f>CHOOSE(CONTROL!$C$42, 23.4176, 23.4176)*CHOOSE(CONTROL!$C$21, $C$9, 100%, $E$9)</f>
        <v>23.4176</v>
      </c>
      <c r="H739" s="10">
        <f>CHOOSE(CONTROL!$C$42, 23.6188, 23.6188) * CHOOSE(CONTROL!$C$21, $C$9, 100%, $E$9)</f>
        <v>23.6188</v>
      </c>
      <c r="I739" s="10">
        <f>CHOOSE(CONTROL!$C$42, 23.3894, 23.3894)* CHOOSE(CONTROL!$C$21, $C$9, 100%, $E$9)</f>
        <v>23.389399999999998</v>
      </c>
      <c r="J739" s="10">
        <f>CHOOSE(CONTROL!$C$42, 23.3923, 23.3923)* CHOOSE(CONTROL!$C$21, $C$9, 100%, $E$9)</f>
        <v>23.392299999999999</v>
      </c>
      <c r="K739" s="54">
        <f>CHOOSE(CONTROL!$C$42, 23.3855, 23.3855) * CHOOSE(CONTROL!$C$21, $C$9, 100%, $E$9)</f>
        <v>23.3855</v>
      </c>
      <c r="L739" s="10">
        <f>CHOOSE(CONTROL!$C$42, 24.2058, 24.2058) * CHOOSE(CONTROL!$C$21, $C$9, 100%, $E$9)</f>
        <v>24.2058</v>
      </c>
      <c r="M739" s="10">
        <f>CHOOSE(CONTROL!$C$42, 23.17, 23.17) * CHOOSE(CONTROL!$C$21, $C$9, 100%, $E$9)</f>
        <v>23.17</v>
      </c>
      <c r="N739" s="10">
        <f>CHOOSE(CONTROL!$C$42, 23.1881, 23.1881) * CHOOSE(CONTROL!$C$21, $C$9, 100%, $E$9)</f>
        <v>23.188099999999999</v>
      </c>
      <c r="O739" s="10">
        <f>CHOOSE(CONTROL!$C$42, 23.3942, 23.3942) * CHOOSE(CONTROL!$C$21, $C$9, 100%, $E$9)</f>
        <v>23.394200000000001</v>
      </c>
      <c r="P739" s="10">
        <f>CHOOSE(CONTROL!$C$42, 23.1672, 23.1672) * CHOOSE(CONTROL!$C$21, $C$9, 100%, $E$9)</f>
        <v>23.167200000000001</v>
      </c>
      <c r="Q739" s="10">
        <f>CHOOSE(CONTROL!$C$42, 23.9895, 23.9895) * CHOOSE(CONTROL!$C$21, $C$9, 100%, $E$9)</f>
        <v>23.9895</v>
      </c>
      <c r="R739" s="10">
        <f>CHOOSE(CONTROL!$C$42, 24.6365, 24.6365) * CHOOSE(CONTROL!$C$21, $C$9, 100%, $E$9)</f>
        <v>24.636500000000002</v>
      </c>
      <c r="S739" s="10">
        <f>CHOOSE(CONTROL!$C$42, 22.7317, 22.7317) * CHOOSE(CONTROL!$C$21, $C$9, 100%, $E$9)</f>
        <v>22.7317</v>
      </c>
      <c r="T739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39" s="58">
        <f>(1000*CHOOSE(CONTROL!$C$42, 695, 695)*CHOOSE(CONTROL!$C$42, 0.5599, 0.5599)*CHOOSE(CONTROL!$C$42, 31, 31))/1000000</f>
        <v>12.063045499999998</v>
      </c>
      <c r="V739" s="58">
        <f>(1000*CHOOSE(CONTROL!$C$42, 500, 500)*CHOOSE(CONTROL!$C$42, 0.275, 0.275)*CHOOSE(CONTROL!$C$42, 31, 31))/1000000</f>
        <v>4.2625000000000002</v>
      </c>
      <c r="W739" s="58">
        <f>(1000*CHOOSE(CONTROL!$C$42, 0.1146, 0.1146)*CHOOSE(CONTROL!$C$42, 121.5, 121.5)*CHOOSE(CONTROL!$C$42, 31, 31))/1000000</f>
        <v>0.43164089999999994</v>
      </c>
      <c r="X739" s="58">
        <f>(31*0.1790888*245000/1000000)+(31*0.2374*100000/1000000)</f>
        <v>2.0961194359999999</v>
      </c>
      <c r="Y739" s="58"/>
      <c r="Z739" s="10"/>
      <c r="AA739" s="57"/>
      <c r="AB739" s="51">
        <f>(B739*194.205+C739*267.466+D739*133.845+E739*53.484+F739*40+G739*185+H739*0+I739*100+J739*300)/(194.205+267.466+133.845+53.484+0+40+185+100+300)</f>
        <v>23.436664394740969</v>
      </c>
      <c r="AC739" s="27">
        <f>(M739*'RAP TEMPLATE-GAS AVAILABILITY'!O738+N739*'RAP TEMPLATE-GAS AVAILABILITY'!P738+O739*'RAP TEMPLATE-GAS AVAILABILITY'!Q738+P739*'RAP TEMPLATE-GAS AVAILABILITY'!R738)/('RAP TEMPLATE-GAS AVAILABILITY'!O738+'RAP TEMPLATE-GAS AVAILABILITY'!P738+'RAP TEMPLATE-GAS AVAILABILITY'!Q738+'RAP TEMPLATE-GAS AVAILABILITY'!R738)</f>
        <v>23.272254676258992</v>
      </c>
    </row>
    <row r="740" spans="1:29" ht="15.75" x14ac:dyDescent="0.25">
      <c r="A740" s="13">
        <v>63797</v>
      </c>
      <c r="B740" s="10">
        <f>CHOOSE(CONTROL!$C$42, 22.2563, 22.2563) * CHOOSE(CONTROL!$C$21, $C$9, 100%, $E$9)</f>
        <v>22.2563</v>
      </c>
      <c r="C740" s="10">
        <f>CHOOSE(CONTROL!$C$42, 22.2643, 22.2643) * CHOOSE(CONTROL!$C$21, $C$9, 100%, $E$9)</f>
        <v>22.264299999999999</v>
      </c>
      <c r="D740" s="10">
        <f>CHOOSE(CONTROL!$C$42, 22.4428, 22.4428) * CHOOSE(CONTROL!$C$21, $C$9, 100%, $E$9)</f>
        <v>22.442799999999998</v>
      </c>
      <c r="E740" s="10">
        <f>CHOOSE(CONTROL!$C$42, 22.4739, 22.4739) * CHOOSE(CONTROL!$C$21, $C$9, 100%, $E$9)</f>
        <v>22.4739</v>
      </c>
      <c r="F740" s="10">
        <f>CHOOSE(CONTROL!$C$42, 22.243, 22.243)*CHOOSE(CONTROL!$C$21, $C$9, 100%, $E$9)</f>
        <v>22.242999999999999</v>
      </c>
      <c r="G740" s="10">
        <f>CHOOSE(CONTROL!$C$42, 22.2613, 22.2613)*CHOOSE(CONTROL!$C$21, $C$9, 100%, $E$9)</f>
        <v>22.261299999999999</v>
      </c>
      <c r="H740" s="10">
        <f>CHOOSE(CONTROL!$C$42, 22.4626, 22.4626) * CHOOSE(CONTROL!$C$21, $C$9, 100%, $E$9)</f>
        <v>22.462599999999998</v>
      </c>
      <c r="I740" s="10">
        <f>CHOOSE(CONTROL!$C$42, 22.2332, 22.2332)* CHOOSE(CONTROL!$C$21, $C$9, 100%, $E$9)</f>
        <v>22.2332</v>
      </c>
      <c r="J740" s="10">
        <f>CHOOSE(CONTROL!$C$42, 22.236, 22.236)* CHOOSE(CONTROL!$C$21, $C$9, 100%, $E$9)</f>
        <v>22.236000000000001</v>
      </c>
      <c r="K740" s="54">
        <f>CHOOSE(CONTROL!$C$42, 22.2293, 22.2293) * CHOOSE(CONTROL!$C$21, $C$9, 100%, $E$9)</f>
        <v>22.229299999999999</v>
      </c>
      <c r="L740" s="10">
        <f>CHOOSE(CONTROL!$C$42, 23.0496, 23.0496) * CHOOSE(CONTROL!$C$21, $C$9, 100%, $E$9)</f>
        <v>23.049600000000002</v>
      </c>
      <c r="M740" s="10">
        <f>CHOOSE(CONTROL!$C$42, 22.0254, 22.0254) * CHOOSE(CONTROL!$C$21, $C$9, 100%, $E$9)</f>
        <v>22.025400000000001</v>
      </c>
      <c r="N740" s="10">
        <f>CHOOSE(CONTROL!$C$42, 22.0435, 22.0435) * CHOOSE(CONTROL!$C$21, $C$9, 100%, $E$9)</f>
        <v>22.043500000000002</v>
      </c>
      <c r="O740" s="10">
        <f>CHOOSE(CONTROL!$C$42, 22.2497, 22.2497) * CHOOSE(CONTROL!$C$21, $C$9, 100%, $E$9)</f>
        <v>22.249700000000001</v>
      </c>
      <c r="P740" s="10">
        <f>CHOOSE(CONTROL!$C$42, 22.0227, 22.0227) * CHOOSE(CONTROL!$C$21, $C$9, 100%, $E$9)</f>
        <v>22.0227</v>
      </c>
      <c r="Q740" s="10">
        <f>CHOOSE(CONTROL!$C$42, 22.845, 22.845) * CHOOSE(CONTROL!$C$21, $C$9, 100%, $E$9)</f>
        <v>22.844999999999999</v>
      </c>
      <c r="R740" s="10">
        <f>CHOOSE(CONTROL!$C$42, 23.4891, 23.4891) * CHOOSE(CONTROL!$C$21, $C$9, 100%, $E$9)</f>
        <v>23.489100000000001</v>
      </c>
      <c r="S740" s="10">
        <f>CHOOSE(CONTROL!$C$42, 21.6089, 21.6089) * CHOOSE(CONTROL!$C$21, $C$9, 100%, $E$9)</f>
        <v>21.608899999999998</v>
      </c>
      <c r="T740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740" s="58">
        <f>(1000*CHOOSE(CONTROL!$C$42, 695, 695)*CHOOSE(CONTROL!$C$42, 0.5599, 0.5599)*CHOOSE(CONTROL!$C$42, 31, 31))/1000000</f>
        <v>12.063045499999998</v>
      </c>
      <c r="V740" s="58">
        <f>(1000*CHOOSE(CONTROL!$C$42, 500, 500)*CHOOSE(CONTROL!$C$42, 0.275, 0.275)*CHOOSE(CONTROL!$C$42, 31, 31))/1000000</f>
        <v>4.2625000000000002</v>
      </c>
      <c r="W740" s="58">
        <f>(1000*CHOOSE(CONTROL!$C$42, 0.1146, 0.1146)*CHOOSE(CONTROL!$C$42, 121.5, 121.5)*CHOOSE(CONTROL!$C$42, 31, 31))/1000000</f>
        <v>0.43164089999999994</v>
      </c>
      <c r="X740" s="58">
        <f>(31*0.1790888*245000/1000000)+(31*0.2374*100000/1000000)</f>
        <v>2.0961194359999999</v>
      </c>
      <c r="Y740" s="58"/>
      <c r="Z740" s="10"/>
      <c r="AA740" s="57"/>
      <c r="AB740" s="51">
        <f>(B740*194.205+C740*267.466+D740*133.845+E740*53.484+F740*40+G740*185+H740*0+I740*100+J740*300)/(194.205+267.466+133.845+53.484+0+40+185+100+300)</f>
        <v>22.280423185949761</v>
      </c>
      <c r="AC740" s="27">
        <f>(M740*'RAP TEMPLATE-GAS AVAILABILITY'!O739+N740*'RAP TEMPLATE-GAS AVAILABILITY'!P739+O740*'RAP TEMPLATE-GAS AVAILABILITY'!Q739+P740*'RAP TEMPLATE-GAS AVAILABILITY'!R739)/('RAP TEMPLATE-GAS AVAILABILITY'!O739+'RAP TEMPLATE-GAS AVAILABILITY'!P739+'RAP TEMPLATE-GAS AVAILABILITY'!Q739+'RAP TEMPLATE-GAS AVAILABILITY'!R739)</f>
        <v>22.12771438848921</v>
      </c>
    </row>
    <row r="741" spans="1:29" ht="15.75" x14ac:dyDescent="0.25">
      <c r="A741" s="13">
        <v>63827</v>
      </c>
      <c r="B741" s="10">
        <f>CHOOSE(CONTROL!$C$42, 20.8437, 20.8437) * CHOOSE(CONTROL!$C$21, $C$9, 100%, $E$9)</f>
        <v>20.843699999999998</v>
      </c>
      <c r="C741" s="10">
        <f>CHOOSE(CONTROL!$C$42, 20.8516, 20.8516) * CHOOSE(CONTROL!$C$21, $C$9, 100%, $E$9)</f>
        <v>20.851600000000001</v>
      </c>
      <c r="D741" s="10">
        <f>CHOOSE(CONTROL!$C$42, 21.0301, 21.0301) * CHOOSE(CONTROL!$C$21, $C$9, 100%, $E$9)</f>
        <v>21.030100000000001</v>
      </c>
      <c r="E741" s="10">
        <f>CHOOSE(CONTROL!$C$42, 21.0613, 21.0613) * CHOOSE(CONTROL!$C$21, $C$9, 100%, $E$9)</f>
        <v>21.061299999999999</v>
      </c>
      <c r="F741" s="10">
        <f>CHOOSE(CONTROL!$C$42, 20.8301, 20.8301)*CHOOSE(CONTROL!$C$21, $C$9, 100%, $E$9)</f>
        <v>20.830100000000002</v>
      </c>
      <c r="G741" s="10">
        <f>CHOOSE(CONTROL!$C$42, 20.8483, 20.8483)*CHOOSE(CONTROL!$C$21, $C$9, 100%, $E$9)</f>
        <v>20.848299999999998</v>
      </c>
      <c r="H741" s="10">
        <f>CHOOSE(CONTROL!$C$42, 21.0499, 21.0499) * CHOOSE(CONTROL!$C$21, $C$9, 100%, $E$9)</f>
        <v>21.049900000000001</v>
      </c>
      <c r="I741" s="10">
        <f>CHOOSE(CONTROL!$C$42, 20.8206, 20.8206)* CHOOSE(CONTROL!$C$21, $C$9, 100%, $E$9)</f>
        <v>20.820599999999999</v>
      </c>
      <c r="J741" s="10">
        <f>CHOOSE(CONTROL!$C$42, 20.8231, 20.8231)* CHOOSE(CONTROL!$C$21, $C$9, 100%, $E$9)</f>
        <v>20.8231</v>
      </c>
      <c r="K741" s="54">
        <f>CHOOSE(CONTROL!$C$42, 20.8167, 20.8167) * CHOOSE(CONTROL!$C$21, $C$9, 100%, $E$9)</f>
        <v>20.816700000000001</v>
      </c>
      <c r="L741" s="10">
        <f>CHOOSE(CONTROL!$C$42, 21.6369, 21.6369) * CHOOSE(CONTROL!$C$21, $C$9, 100%, $E$9)</f>
        <v>21.636900000000001</v>
      </c>
      <c r="M741" s="10">
        <f>CHOOSE(CONTROL!$C$42, 20.6267, 20.6267) * CHOOSE(CONTROL!$C$21, $C$9, 100%, $E$9)</f>
        <v>20.6267</v>
      </c>
      <c r="N741" s="10">
        <f>CHOOSE(CONTROL!$C$42, 20.6448, 20.6448) * CHOOSE(CONTROL!$C$21, $C$9, 100%, $E$9)</f>
        <v>20.6448</v>
      </c>
      <c r="O741" s="10">
        <f>CHOOSE(CONTROL!$C$42, 20.8513, 20.8513) * CHOOSE(CONTROL!$C$21, $C$9, 100%, $E$9)</f>
        <v>20.851299999999998</v>
      </c>
      <c r="P741" s="10">
        <f>CHOOSE(CONTROL!$C$42, 20.6243, 20.6243) * CHOOSE(CONTROL!$C$21, $C$9, 100%, $E$9)</f>
        <v>20.624300000000002</v>
      </c>
      <c r="Q741" s="10">
        <f>CHOOSE(CONTROL!$C$42, 21.4466, 21.4466) * CHOOSE(CONTROL!$C$21, $C$9, 100%, $E$9)</f>
        <v>21.4466</v>
      </c>
      <c r="R741" s="10">
        <f>CHOOSE(CONTROL!$C$42, 22.0872, 22.0872) * CHOOSE(CONTROL!$C$21, $C$9, 100%, $E$9)</f>
        <v>22.087199999999999</v>
      </c>
      <c r="S741" s="10">
        <f>CHOOSE(CONTROL!$C$42, 20.2371, 20.2371) * CHOOSE(CONTROL!$C$21, $C$9, 100%, $E$9)</f>
        <v>20.237100000000002</v>
      </c>
      <c r="T741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741" s="58">
        <f>(1000*CHOOSE(CONTROL!$C$42, 695, 695)*CHOOSE(CONTROL!$C$42, 0.5599, 0.5599)*CHOOSE(CONTROL!$C$42, 30, 30))/1000000</f>
        <v>11.673914999999997</v>
      </c>
      <c r="V741" s="58">
        <f>(1000*CHOOSE(CONTROL!$C$42, 500, 500)*CHOOSE(CONTROL!$C$42, 0.275, 0.275)*CHOOSE(CONTROL!$C$42, 30, 30))/1000000</f>
        <v>4.125</v>
      </c>
      <c r="W741" s="58">
        <f>(1000*CHOOSE(CONTROL!$C$42, 0.1146, 0.1146)*CHOOSE(CONTROL!$C$42, 121.5, 121.5)*CHOOSE(CONTROL!$C$42, 30, 30))/1000000</f>
        <v>0.417717</v>
      </c>
      <c r="X741" s="58">
        <f>(30*0.1790888*245000/1000000)+(30*0.2374*100000/1000000)</f>
        <v>2.0285026799999999</v>
      </c>
      <c r="Y741" s="58"/>
      <c r="Z741" s="10"/>
      <c r="AA741" s="57"/>
      <c r="AB741" s="51">
        <f>(B741*194.205+C741*267.466+D741*133.845+E741*53.484+F741*40+G741*185+H741*0+I741*100+J741*300)/(194.205+267.466+133.845+53.484+0+40+185+100+300)</f>
        <v>20.867653538304555</v>
      </c>
      <c r="AC741" s="27">
        <f>(M741*'RAP TEMPLATE-GAS AVAILABILITY'!O740+N741*'RAP TEMPLATE-GAS AVAILABILITY'!P740+O741*'RAP TEMPLATE-GAS AVAILABILITY'!Q740+P741*'RAP TEMPLATE-GAS AVAILABILITY'!R740)/('RAP TEMPLATE-GAS AVAILABILITY'!O740+'RAP TEMPLATE-GAS AVAILABILITY'!P740+'RAP TEMPLATE-GAS AVAILABILITY'!Q740+'RAP TEMPLATE-GAS AVAILABILITY'!R740)</f>
        <v>20.729193525179856</v>
      </c>
    </row>
    <row r="742" spans="1:29" ht="15.75" x14ac:dyDescent="0.25">
      <c r="A742" s="13">
        <v>63858</v>
      </c>
      <c r="B742" s="10">
        <f>CHOOSE(CONTROL!$C$42, 20.4184, 20.4184) * CHOOSE(CONTROL!$C$21, $C$9, 100%, $E$9)</f>
        <v>20.418399999999998</v>
      </c>
      <c r="C742" s="10">
        <f>CHOOSE(CONTROL!$C$42, 20.4237, 20.4237) * CHOOSE(CONTROL!$C$21, $C$9, 100%, $E$9)</f>
        <v>20.4237</v>
      </c>
      <c r="D742" s="10">
        <f>CHOOSE(CONTROL!$C$42, 20.6072, 20.6072) * CHOOSE(CONTROL!$C$21, $C$9, 100%, $E$9)</f>
        <v>20.607199999999999</v>
      </c>
      <c r="E742" s="10">
        <f>CHOOSE(CONTROL!$C$42, 20.636, 20.636) * CHOOSE(CONTROL!$C$21, $C$9, 100%, $E$9)</f>
        <v>20.635999999999999</v>
      </c>
      <c r="F742" s="10">
        <f>CHOOSE(CONTROL!$C$42, 20.4068, 20.4068)*CHOOSE(CONTROL!$C$21, $C$9, 100%, $E$9)</f>
        <v>20.4068</v>
      </c>
      <c r="G742" s="10">
        <f>CHOOSE(CONTROL!$C$42, 20.4247, 20.4247)*CHOOSE(CONTROL!$C$21, $C$9, 100%, $E$9)</f>
        <v>20.424700000000001</v>
      </c>
      <c r="H742" s="10">
        <f>CHOOSE(CONTROL!$C$42, 20.6264, 20.6264) * CHOOSE(CONTROL!$C$21, $C$9, 100%, $E$9)</f>
        <v>20.6264</v>
      </c>
      <c r="I742" s="10">
        <f>CHOOSE(CONTROL!$C$42, 20.3971, 20.3971)* CHOOSE(CONTROL!$C$21, $C$9, 100%, $E$9)</f>
        <v>20.397099999999998</v>
      </c>
      <c r="J742" s="10">
        <f>CHOOSE(CONTROL!$C$42, 20.3998, 20.3998)* CHOOSE(CONTROL!$C$21, $C$9, 100%, $E$9)</f>
        <v>20.399799999999999</v>
      </c>
      <c r="K742" s="54">
        <f>CHOOSE(CONTROL!$C$42, 20.3932, 20.3932) * CHOOSE(CONTROL!$C$21, $C$9, 100%, $E$9)</f>
        <v>20.3932</v>
      </c>
      <c r="L742" s="10">
        <f>CHOOSE(CONTROL!$C$42, 21.2134, 21.2134) * CHOOSE(CONTROL!$C$21, $C$9, 100%, $E$9)</f>
        <v>21.2134</v>
      </c>
      <c r="M742" s="10">
        <f>CHOOSE(CONTROL!$C$42, 20.2077, 20.2077) * CHOOSE(CONTROL!$C$21, $C$9, 100%, $E$9)</f>
        <v>20.207699999999999</v>
      </c>
      <c r="N742" s="10">
        <f>CHOOSE(CONTROL!$C$42, 20.2254, 20.2254) * CHOOSE(CONTROL!$C$21, $C$9, 100%, $E$9)</f>
        <v>20.2254</v>
      </c>
      <c r="O742" s="10">
        <f>CHOOSE(CONTROL!$C$42, 20.4321, 20.4321) * CHOOSE(CONTROL!$C$21, $C$9, 100%, $E$9)</f>
        <v>20.432099999999998</v>
      </c>
      <c r="P742" s="10">
        <f>CHOOSE(CONTROL!$C$42, 20.2051, 20.2051) * CHOOSE(CONTROL!$C$21, $C$9, 100%, $E$9)</f>
        <v>20.205100000000002</v>
      </c>
      <c r="Q742" s="10">
        <f>CHOOSE(CONTROL!$C$42, 21.0274, 21.0274) * CHOOSE(CONTROL!$C$21, $C$9, 100%, $E$9)</f>
        <v>21.0274</v>
      </c>
      <c r="R742" s="10">
        <f>CHOOSE(CONTROL!$C$42, 21.667, 21.667) * CHOOSE(CONTROL!$C$21, $C$9, 100%, $E$9)</f>
        <v>21.667000000000002</v>
      </c>
      <c r="S742" s="10">
        <f>CHOOSE(CONTROL!$C$42, 19.8258, 19.8258) * CHOOSE(CONTROL!$C$21, $C$9, 100%, $E$9)</f>
        <v>19.825800000000001</v>
      </c>
      <c r="T742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42" s="58">
        <f>(1000*CHOOSE(CONTROL!$C$42, 695, 695)*CHOOSE(CONTROL!$C$42, 0.5599, 0.5599)*CHOOSE(CONTROL!$C$42, 31, 31))/1000000</f>
        <v>12.063045499999998</v>
      </c>
      <c r="V742" s="58">
        <f>(1000*CHOOSE(CONTROL!$C$42, 500, 500)*CHOOSE(CONTROL!$C$42, 0.275, 0.275)*CHOOSE(CONTROL!$C$42, 31, 31))/1000000</f>
        <v>4.2625000000000002</v>
      </c>
      <c r="W742" s="58">
        <f>(1000*CHOOSE(CONTROL!$C$42, 0.1146, 0.1146)*CHOOSE(CONTROL!$C$42, 121.5, 121.5)*CHOOSE(CONTROL!$C$42, 31, 31))/1000000</f>
        <v>0.43164089999999994</v>
      </c>
      <c r="X742" s="58">
        <f>(31*0.1790888*245000/1000000)+(31*0.2374*100000/1000000)</f>
        <v>2.0961194359999999</v>
      </c>
      <c r="Y742" s="58"/>
      <c r="Z742" s="10"/>
      <c r="AA742" s="57"/>
      <c r="AB742" s="51">
        <f>(B742*131.881+C742*277.167+D742*79.08+E742*125.872+F742*40+G742*185+H742*0+I742*100+J742*300)/(131.881+277.167+79.08+125.872+0+40+185+100+300)</f>
        <v>20.448085662873286</v>
      </c>
      <c r="AC742" s="27">
        <f>(M742*'RAP TEMPLATE-GAS AVAILABILITY'!O741+N742*'RAP TEMPLATE-GAS AVAILABILITY'!P741+O742*'RAP TEMPLATE-GAS AVAILABILITY'!Q741+P742*'RAP TEMPLATE-GAS AVAILABILITY'!R741)/('RAP TEMPLATE-GAS AVAILABILITY'!O741+'RAP TEMPLATE-GAS AVAILABILITY'!P741+'RAP TEMPLATE-GAS AVAILABILITY'!Q741+'RAP TEMPLATE-GAS AVAILABILITY'!R741)</f>
        <v>20.310051079136688</v>
      </c>
    </row>
    <row r="743" spans="1:29" ht="15.75" x14ac:dyDescent="0.25">
      <c r="A743" s="13">
        <v>63888</v>
      </c>
      <c r="B743" s="10">
        <f>CHOOSE(CONTROL!$C$42, 20.9559, 20.9559) * CHOOSE(CONTROL!$C$21, $C$9, 100%, $E$9)</f>
        <v>20.9559</v>
      </c>
      <c r="C743" s="10">
        <f>CHOOSE(CONTROL!$C$42, 20.9608, 20.9608) * CHOOSE(CONTROL!$C$21, $C$9, 100%, $E$9)</f>
        <v>20.960799999999999</v>
      </c>
      <c r="D743" s="10">
        <f>CHOOSE(CONTROL!$C$42, 20.9904, 20.9904) * CHOOSE(CONTROL!$C$21, $C$9, 100%, $E$9)</f>
        <v>20.990400000000001</v>
      </c>
      <c r="E743" s="10">
        <f>CHOOSE(CONTROL!$C$42, 21.0242, 21.0242) * CHOOSE(CONTROL!$C$21, $C$9, 100%, $E$9)</f>
        <v>21.0242</v>
      </c>
      <c r="F743" s="10">
        <f>CHOOSE(CONTROL!$C$42, 20.9416, 20.9416)*CHOOSE(CONTROL!$C$21, $C$9, 100%, $E$9)</f>
        <v>20.941600000000001</v>
      </c>
      <c r="G743" s="10">
        <f>CHOOSE(CONTROL!$C$42, 20.9597, 20.9597)*CHOOSE(CONTROL!$C$21, $C$9, 100%, $E$9)</f>
        <v>20.959700000000002</v>
      </c>
      <c r="H743" s="10">
        <f>CHOOSE(CONTROL!$C$42, 21.0134, 21.0134) * CHOOSE(CONTROL!$C$21, $C$9, 100%, $E$9)</f>
        <v>21.013400000000001</v>
      </c>
      <c r="I743" s="10">
        <f>CHOOSE(CONTROL!$C$42, 20.922, 20.922)* CHOOSE(CONTROL!$C$21, $C$9, 100%, $E$9)</f>
        <v>20.922000000000001</v>
      </c>
      <c r="J743" s="10">
        <f>CHOOSE(CONTROL!$C$42, 20.9346, 20.9346)* CHOOSE(CONTROL!$C$21, $C$9, 100%, $E$9)</f>
        <v>20.9346</v>
      </c>
      <c r="K743" s="54">
        <f>CHOOSE(CONTROL!$C$42, 20.9181, 20.9181) * CHOOSE(CONTROL!$C$21, $C$9, 100%, $E$9)</f>
        <v>20.918099999999999</v>
      </c>
      <c r="L743" s="10">
        <f>CHOOSE(CONTROL!$C$42, 21.6004, 21.6004) * CHOOSE(CONTROL!$C$21, $C$9, 100%, $E$9)</f>
        <v>21.6004</v>
      </c>
      <c r="M743" s="10">
        <f>CHOOSE(CONTROL!$C$42, 20.7372, 20.7372) * CHOOSE(CONTROL!$C$21, $C$9, 100%, $E$9)</f>
        <v>20.737200000000001</v>
      </c>
      <c r="N743" s="10">
        <f>CHOOSE(CONTROL!$C$42, 20.755, 20.755) * CHOOSE(CONTROL!$C$21, $C$9, 100%, $E$9)</f>
        <v>20.754999999999999</v>
      </c>
      <c r="O743" s="10">
        <f>CHOOSE(CONTROL!$C$42, 20.8152, 20.8152) * CHOOSE(CONTROL!$C$21, $C$9, 100%, $E$9)</f>
        <v>20.815200000000001</v>
      </c>
      <c r="P743" s="10">
        <f>CHOOSE(CONTROL!$C$42, 20.7248, 20.7248) * CHOOSE(CONTROL!$C$21, $C$9, 100%, $E$9)</f>
        <v>20.724799999999998</v>
      </c>
      <c r="Q743" s="10">
        <f>CHOOSE(CONTROL!$C$42, 21.4105, 21.4105) * CHOOSE(CONTROL!$C$21, $C$9, 100%, $E$9)</f>
        <v>21.410499999999999</v>
      </c>
      <c r="R743" s="10">
        <f>CHOOSE(CONTROL!$C$42, 22.051, 22.051) * CHOOSE(CONTROL!$C$21, $C$9, 100%, $E$9)</f>
        <v>22.050999999999998</v>
      </c>
      <c r="S743" s="10">
        <f>CHOOSE(CONTROL!$C$42, 20.3481, 20.3481) * CHOOSE(CONTROL!$C$21, $C$9, 100%, $E$9)</f>
        <v>20.348099999999999</v>
      </c>
      <c r="T743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43" s="58">
        <f>(1000*CHOOSE(CONTROL!$C$42, 695, 695)*CHOOSE(CONTROL!$C$42, 0.5599, 0.5599)*CHOOSE(CONTROL!$C$42, 30, 30))/1000000</f>
        <v>11.673914999999997</v>
      </c>
      <c r="V743" s="58">
        <f>(1000*CHOOSE(CONTROL!$C$42, 500, 500)*CHOOSE(CONTROL!$C$42, 0.275, 0.275)*CHOOSE(CONTROL!$C$42, 30, 30))/1000000</f>
        <v>4.125</v>
      </c>
      <c r="W743" s="58">
        <f>(1000*CHOOSE(CONTROL!$C$42, 0.1146, 0.1146)*CHOOSE(CONTROL!$C$42, 121.5, 121.5)*CHOOSE(CONTROL!$C$42, 30, 30))/1000000</f>
        <v>0.417717</v>
      </c>
      <c r="X743" s="58">
        <f>(30*0.1790888*100000/1000000)+(30*0.2374*100000/1000000)</f>
        <v>1.2494664</v>
      </c>
      <c r="Y743" s="58"/>
      <c r="Z743" s="10"/>
      <c r="AA743" s="57"/>
      <c r="AB743" s="51">
        <f>(B743*122.58+C743*297.941+D743*89.177+E743*40.302+F743*40+G743*160+H743*0+I743*100+J743*300)/(122.58+297.941+89.177+40.302+0+40+160+100+300)</f>
        <v>20.953765342608694</v>
      </c>
      <c r="AC743" s="27">
        <f>(M743*'RAP TEMPLATE-GAS AVAILABILITY'!O742+N743*'RAP TEMPLATE-GAS AVAILABILITY'!P742+O743*'RAP TEMPLATE-GAS AVAILABILITY'!Q742+P743*'RAP TEMPLATE-GAS AVAILABILITY'!R742)/('RAP TEMPLATE-GAS AVAILABILITY'!O742+'RAP TEMPLATE-GAS AVAILABILITY'!P742+'RAP TEMPLATE-GAS AVAILABILITY'!Q742+'RAP TEMPLATE-GAS AVAILABILITY'!R742)</f>
        <v>20.771792805755396</v>
      </c>
    </row>
    <row r="744" spans="1:29" ht="15.75" x14ac:dyDescent="0.25">
      <c r="A744" s="13">
        <v>63919</v>
      </c>
      <c r="B744" s="10">
        <f>CHOOSE(CONTROL!$C$42, 22.3844, 22.3844) * CHOOSE(CONTROL!$C$21, $C$9, 100%, $E$9)</f>
        <v>22.384399999999999</v>
      </c>
      <c r="C744" s="10">
        <f>CHOOSE(CONTROL!$C$42, 22.3894, 22.3894) * CHOOSE(CONTROL!$C$21, $C$9, 100%, $E$9)</f>
        <v>22.389399999999998</v>
      </c>
      <c r="D744" s="10">
        <f>CHOOSE(CONTROL!$C$42, 22.419, 22.419) * CHOOSE(CONTROL!$C$21, $C$9, 100%, $E$9)</f>
        <v>22.419</v>
      </c>
      <c r="E744" s="10">
        <f>CHOOSE(CONTROL!$C$42, 22.4528, 22.4528) * CHOOSE(CONTROL!$C$21, $C$9, 100%, $E$9)</f>
        <v>22.4528</v>
      </c>
      <c r="F744" s="10">
        <f>CHOOSE(CONTROL!$C$42, 22.3717, 22.3717)*CHOOSE(CONTROL!$C$21, $C$9, 100%, $E$9)</f>
        <v>22.371700000000001</v>
      </c>
      <c r="G744" s="10">
        <f>CHOOSE(CONTROL!$C$42, 22.3902, 22.3902)*CHOOSE(CONTROL!$C$21, $C$9, 100%, $E$9)</f>
        <v>22.3902</v>
      </c>
      <c r="H744" s="10">
        <f>CHOOSE(CONTROL!$C$42, 22.4419, 22.4419) * CHOOSE(CONTROL!$C$21, $C$9, 100%, $E$9)</f>
        <v>22.4419</v>
      </c>
      <c r="I744" s="10">
        <f>CHOOSE(CONTROL!$C$42, 22.3506, 22.3506)* CHOOSE(CONTROL!$C$21, $C$9, 100%, $E$9)</f>
        <v>22.3506</v>
      </c>
      <c r="J744" s="10">
        <f>CHOOSE(CONTROL!$C$42, 22.3647, 22.3647)* CHOOSE(CONTROL!$C$21, $C$9, 100%, $E$9)</f>
        <v>22.364699999999999</v>
      </c>
      <c r="K744" s="54">
        <f>CHOOSE(CONTROL!$C$42, 22.3467, 22.3467) * CHOOSE(CONTROL!$C$21, $C$9, 100%, $E$9)</f>
        <v>22.346699999999998</v>
      </c>
      <c r="L744" s="10">
        <f>CHOOSE(CONTROL!$C$42, 23.0289, 23.0289) * CHOOSE(CONTROL!$C$21, $C$9, 100%, $E$9)</f>
        <v>23.0289</v>
      </c>
      <c r="M744" s="10">
        <f>CHOOSE(CONTROL!$C$42, 22.1528, 22.1528) * CHOOSE(CONTROL!$C$21, $C$9, 100%, $E$9)</f>
        <v>22.152799999999999</v>
      </c>
      <c r="N744" s="10">
        <f>CHOOSE(CONTROL!$C$42, 22.1711, 22.1711) * CHOOSE(CONTROL!$C$21, $C$9, 100%, $E$9)</f>
        <v>22.171099999999999</v>
      </c>
      <c r="O744" s="10">
        <f>CHOOSE(CONTROL!$C$42, 22.2293, 22.2293) * CHOOSE(CONTROL!$C$21, $C$9, 100%, $E$9)</f>
        <v>22.229299999999999</v>
      </c>
      <c r="P744" s="10">
        <f>CHOOSE(CONTROL!$C$42, 22.1389, 22.1389) * CHOOSE(CONTROL!$C$21, $C$9, 100%, $E$9)</f>
        <v>22.1389</v>
      </c>
      <c r="Q744" s="10">
        <f>CHOOSE(CONTROL!$C$42, 22.8246, 22.8246) * CHOOSE(CONTROL!$C$21, $C$9, 100%, $E$9)</f>
        <v>22.8246</v>
      </c>
      <c r="R744" s="10">
        <f>CHOOSE(CONTROL!$C$42, 23.4687, 23.4687) * CHOOSE(CONTROL!$C$21, $C$9, 100%, $E$9)</f>
        <v>23.468699999999998</v>
      </c>
      <c r="S744" s="10">
        <f>CHOOSE(CONTROL!$C$42, 21.7354, 21.7354) * CHOOSE(CONTROL!$C$21, $C$9, 100%, $E$9)</f>
        <v>21.735399999999998</v>
      </c>
      <c r="T744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44" s="58">
        <f>(1000*CHOOSE(CONTROL!$C$42, 695, 695)*CHOOSE(CONTROL!$C$42, 0.5599, 0.5599)*CHOOSE(CONTROL!$C$42, 31, 31))/1000000</f>
        <v>12.063045499999998</v>
      </c>
      <c r="V744" s="58">
        <f>(1000*CHOOSE(CONTROL!$C$42, 500, 500)*CHOOSE(CONTROL!$C$42, 0.275, 0.275)*CHOOSE(CONTROL!$C$42, 31, 31))/1000000</f>
        <v>4.2625000000000002</v>
      </c>
      <c r="W744" s="58">
        <f>(1000*CHOOSE(CONTROL!$C$42, 0.1146, 0.1146)*CHOOSE(CONTROL!$C$42, 121.5, 121.5)*CHOOSE(CONTROL!$C$42, 31, 31))/1000000</f>
        <v>0.43164089999999994</v>
      </c>
      <c r="X744" s="58">
        <f>(31*0.1790888*100000/1000000)+(31*0.2374*100000/1000000)</f>
        <v>1.2911152800000001</v>
      </c>
      <c r="Y744" s="58"/>
      <c r="Z744" s="10"/>
      <c r="AA744" s="57"/>
      <c r="AB744" s="51">
        <f>(B744*122.58+C744*297.941+D744*89.177+E744*40.302+F744*40+G744*160+H744*0+I744*100+J744*300)/(122.58+297.941+89.177+40.302+0+40+160+100+300)</f>
        <v>22.383062509565217</v>
      </c>
      <c r="AC744" s="27">
        <f>(M744*'RAP TEMPLATE-GAS AVAILABILITY'!O743+N744*'RAP TEMPLATE-GAS AVAILABILITY'!P743+O744*'RAP TEMPLATE-GAS AVAILABILITY'!Q743+P744*'RAP TEMPLATE-GAS AVAILABILITY'!R743)/('RAP TEMPLATE-GAS AVAILABILITY'!O743+'RAP TEMPLATE-GAS AVAILABILITY'!P743+'RAP TEMPLATE-GAS AVAILABILITY'!Q743+'RAP TEMPLATE-GAS AVAILABILITY'!R743)</f>
        <v>22.186525899280575</v>
      </c>
    </row>
    <row r="745" spans="1:29" ht="15.75" x14ac:dyDescent="0.25">
      <c r="A745" s="13">
        <v>63950</v>
      </c>
      <c r="B745" s="10">
        <f>CHOOSE(CONTROL!$C$42, 23.895, 23.895) * CHOOSE(CONTROL!$C$21, $C$9, 100%, $E$9)</f>
        <v>23.895</v>
      </c>
      <c r="C745" s="10">
        <f>CHOOSE(CONTROL!$C$42, 23.9, 23.9) * CHOOSE(CONTROL!$C$21, $C$9, 100%, $E$9)</f>
        <v>23.9</v>
      </c>
      <c r="D745" s="10">
        <f>CHOOSE(CONTROL!$C$42, 23.9502, 23.9502) * CHOOSE(CONTROL!$C$21, $C$9, 100%, $E$9)</f>
        <v>23.950199999999999</v>
      </c>
      <c r="E745" s="10">
        <f>CHOOSE(CONTROL!$C$42, 23.984, 23.984) * CHOOSE(CONTROL!$C$21, $C$9, 100%, $E$9)</f>
        <v>23.984000000000002</v>
      </c>
      <c r="F745" s="10">
        <f>CHOOSE(CONTROL!$C$42, 23.8604, 23.8604)*CHOOSE(CONTROL!$C$21, $C$9, 100%, $E$9)</f>
        <v>23.860399999999998</v>
      </c>
      <c r="G745" s="10">
        <f>CHOOSE(CONTROL!$C$42, 23.878, 23.878)*CHOOSE(CONTROL!$C$21, $C$9, 100%, $E$9)</f>
        <v>23.878</v>
      </c>
      <c r="H745" s="10">
        <f>CHOOSE(CONTROL!$C$42, 23.9732, 23.9732) * CHOOSE(CONTROL!$C$21, $C$9, 100%, $E$9)</f>
        <v>23.973199999999999</v>
      </c>
      <c r="I745" s="10">
        <f>CHOOSE(CONTROL!$C$42, 23.8689, 23.8689)* CHOOSE(CONTROL!$C$21, $C$9, 100%, $E$9)</f>
        <v>23.8689</v>
      </c>
      <c r="J745" s="10">
        <f>CHOOSE(CONTROL!$C$42, 23.8534, 23.8534)* CHOOSE(CONTROL!$C$21, $C$9, 100%, $E$9)</f>
        <v>23.853400000000001</v>
      </c>
      <c r="K745" s="54">
        <f>CHOOSE(CONTROL!$C$42, 23.865, 23.865) * CHOOSE(CONTROL!$C$21, $C$9, 100%, $E$9)</f>
        <v>23.864999999999998</v>
      </c>
      <c r="L745" s="10">
        <f>CHOOSE(CONTROL!$C$42, 24.5602, 24.5602) * CHOOSE(CONTROL!$C$21, $C$9, 100%, $E$9)</f>
        <v>24.560199999999998</v>
      </c>
      <c r="M745" s="10">
        <f>CHOOSE(CONTROL!$C$42, 23.6265, 23.6265) * CHOOSE(CONTROL!$C$21, $C$9, 100%, $E$9)</f>
        <v>23.6265</v>
      </c>
      <c r="N745" s="10">
        <f>CHOOSE(CONTROL!$C$42, 23.6439, 23.6439) * CHOOSE(CONTROL!$C$21, $C$9, 100%, $E$9)</f>
        <v>23.643899999999999</v>
      </c>
      <c r="O745" s="10">
        <f>CHOOSE(CONTROL!$C$42, 23.7451, 23.7451) * CHOOSE(CONTROL!$C$21, $C$9, 100%, $E$9)</f>
        <v>23.745100000000001</v>
      </c>
      <c r="P745" s="10">
        <f>CHOOSE(CONTROL!$C$42, 23.6419, 23.6419) * CHOOSE(CONTROL!$C$21, $C$9, 100%, $E$9)</f>
        <v>23.6419</v>
      </c>
      <c r="Q745" s="10">
        <f>CHOOSE(CONTROL!$C$42, 24.3404, 24.3404) * CHOOSE(CONTROL!$C$21, $C$9, 100%, $E$9)</f>
        <v>24.340399999999999</v>
      </c>
      <c r="R745" s="10">
        <f>CHOOSE(CONTROL!$C$42, 24.9882, 24.9882) * CHOOSE(CONTROL!$C$21, $C$9, 100%, $E$9)</f>
        <v>24.988199999999999</v>
      </c>
      <c r="S745" s="10">
        <f>CHOOSE(CONTROL!$C$42, 23.2023, 23.2023) * CHOOSE(CONTROL!$C$21, $C$9, 100%, $E$9)</f>
        <v>23.202300000000001</v>
      </c>
      <c r="T745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45" s="58">
        <f>(1000*CHOOSE(CONTROL!$C$42, 695, 695)*CHOOSE(CONTROL!$C$42, 0.5599, 0.5599)*CHOOSE(CONTROL!$C$42, 31, 31))/1000000</f>
        <v>12.063045499999998</v>
      </c>
      <c r="V745" s="58">
        <f>(1000*CHOOSE(CONTROL!$C$42, 500, 500)*CHOOSE(CONTROL!$C$42, 0.275, 0.275)*CHOOSE(CONTROL!$C$42, 31, 31))/1000000</f>
        <v>4.2625000000000002</v>
      </c>
      <c r="W745" s="58">
        <f>(1000*CHOOSE(CONTROL!$C$42, 0.1146, 0.1146)*CHOOSE(CONTROL!$C$42, 121.5, 121.5)*CHOOSE(CONTROL!$C$42, 31, 31))/1000000</f>
        <v>0.43164089999999994</v>
      </c>
      <c r="X745" s="58">
        <f>(31*0.1790888*100000/1000000)+(31*0.2374*100000/1000000)</f>
        <v>1.2911152800000001</v>
      </c>
      <c r="Y745" s="58"/>
      <c r="Z745" s="10"/>
      <c r="AA745" s="57"/>
      <c r="AB745" s="51">
        <f>(B745*122.58+C745*297.941+D745*89.177+E745*40.302+F745*40+G745*160+H745*0+I745*100+J745*300)/(122.58+297.941+89.177+40.302+0+40+160+100+300)</f>
        <v>23.887004481217389</v>
      </c>
      <c r="AC745" s="27">
        <f>(M745*'RAP TEMPLATE-GAS AVAILABILITY'!O744+N745*'RAP TEMPLATE-GAS AVAILABILITY'!P744+O745*'RAP TEMPLATE-GAS AVAILABILITY'!Q744+P745*'RAP TEMPLATE-GAS AVAILABILITY'!R744)/('RAP TEMPLATE-GAS AVAILABILITY'!O744+'RAP TEMPLATE-GAS AVAILABILITY'!P744+'RAP TEMPLATE-GAS AVAILABILITY'!Q744+'RAP TEMPLATE-GAS AVAILABILITY'!R744)</f>
        <v>23.683471223021584</v>
      </c>
    </row>
    <row r="746" spans="1:29" ht="15.75" x14ac:dyDescent="0.25">
      <c r="A746" s="13">
        <v>63978</v>
      </c>
      <c r="B746" s="10">
        <f>CHOOSE(CONTROL!$C$42, 24.3203, 24.3203) * CHOOSE(CONTROL!$C$21, $C$9, 100%, $E$9)</f>
        <v>24.3203</v>
      </c>
      <c r="C746" s="10">
        <f>CHOOSE(CONTROL!$C$42, 24.3253, 24.3253) * CHOOSE(CONTROL!$C$21, $C$9, 100%, $E$9)</f>
        <v>24.325299999999999</v>
      </c>
      <c r="D746" s="10">
        <f>CHOOSE(CONTROL!$C$42, 24.4424, 24.4424) * CHOOSE(CONTROL!$C$21, $C$9, 100%, $E$9)</f>
        <v>24.442399999999999</v>
      </c>
      <c r="E746" s="10">
        <f>CHOOSE(CONTROL!$C$42, 24.4762, 24.4762) * CHOOSE(CONTROL!$C$21, $C$9, 100%, $E$9)</f>
        <v>24.476199999999999</v>
      </c>
      <c r="F746" s="10">
        <f>CHOOSE(CONTROL!$C$42, 24.3979, 24.3979)*CHOOSE(CONTROL!$C$21, $C$9, 100%, $E$9)</f>
        <v>24.3979</v>
      </c>
      <c r="G746" s="10">
        <f>CHOOSE(CONTROL!$C$42, 24.4198, 24.4198)*CHOOSE(CONTROL!$C$21, $C$9, 100%, $E$9)</f>
        <v>24.419799999999999</v>
      </c>
      <c r="H746" s="10">
        <f>CHOOSE(CONTROL!$C$42, 24.4654, 24.4654) * CHOOSE(CONTROL!$C$21, $C$9, 100%, $E$9)</f>
        <v>24.465399999999999</v>
      </c>
      <c r="I746" s="10">
        <f>CHOOSE(CONTROL!$C$42, 24.356, 24.356)* CHOOSE(CONTROL!$C$21, $C$9, 100%, $E$9)</f>
        <v>24.356000000000002</v>
      </c>
      <c r="J746" s="10">
        <f>CHOOSE(CONTROL!$C$42, 24.3909, 24.3909)* CHOOSE(CONTROL!$C$21, $C$9, 100%, $E$9)</f>
        <v>24.390899999999998</v>
      </c>
      <c r="K746" s="54">
        <f>CHOOSE(CONTROL!$C$42, 24.3521, 24.3521) * CHOOSE(CONTROL!$C$21, $C$9, 100%, $E$9)</f>
        <v>24.3521</v>
      </c>
      <c r="L746" s="10">
        <f>CHOOSE(CONTROL!$C$42, 25.0524, 25.0524) * CHOOSE(CONTROL!$C$21, $C$9, 100%, $E$9)</f>
        <v>25.052399999999999</v>
      </c>
      <c r="M746" s="10">
        <f>CHOOSE(CONTROL!$C$42, 24.1586, 24.1586) * CHOOSE(CONTROL!$C$21, $C$9, 100%, $E$9)</f>
        <v>24.1586</v>
      </c>
      <c r="N746" s="10">
        <f>CHOOSE(CONTROL!$C$42, 24.1803, 24.1803) * CHOOSE(CONTROL!$C$21, $C$9, 100%, $E$9)</f>
        <v>24.180299999999999</v>
      </c>
      <c r="O746" s="10">
        <f>CHOOSE(CONTROL!$C$42, 24.2323, 24.2323) * CHOOSE(CONTROL!$C$21, $C$9, 100%, $E$9)</f>
        <v>24.232299999999999</v>
      </c>
      <c r="P746" s="10">
        <f>CHOOSE(CONTROL!$C$42, 24.1241, 24.1241) * CHOOSE(CONTROL!$C$21, $C$9, 100%, $E$9)</f>
        <v>24.124099999999999</v>
      </c>
      <c r="Q746" s="10">
        <f>CHOOSE(CONTROL!$C$42, 24.8276, 24.8276) * CHOOSE(CONTROL!$C$21, $C$9, 100%, $E$9)</f>
        <v>24.8276</v>
      </c>
      <c r="R746" s="10">
        <f>CHOOSE(CONTROL!$C$42, 25.4767, 25.4767) * CHOOSE(CONTROL!$C$21, $C$9, 100%, $E$9)</f>
        <v>25.476700000000001</v>
      </c>
      <c r="S746" s="10">
        <f>CHOOSE(CONTROL!$C$42, 23.6154, 23.6154) * CHOOSE(CONTROL!$C$21, $C$9, 100%, $E$9)</f>
        <v>23.615400000000001</v>
      </c>
      <c r="T746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746" s="58">
        <f>(1000*CHOOSE(CONTROL!$C$42, 695, 695)*CHOOSE(CONTROL!$C$42, 0.5599, 0.5599)*CHOOSE(CONTROL!$C$42, 28, 28))/1000000</f>
        <v>10.895653999999999</v>
      </c>
      <c r="V746" s="58">
        <f>(1000*CHOOSE(CONTROL!$C$42, 500, 500)*CHOOSE(CONTROL!$C$42, 0.275, 0.275)*CHOOSE(CONTROL!$C$42, 28, 28))/1000000</f>
        <v>3.85</v>
      </c>
      <c r="W746" s="58">
        <f>(1000*CHOOSE(CONTROL!$C$42, 0.1146, 0.1146)*CHOOSE(CONTROL!$C$42, 121.5, 121.5)*CHOOSE(CONTROL!$C$42, 28, 28))/1000000</f>
        <v>0.38986920000000003</v>
      </c>
      <c r="X746" s="58">
        <f>(28*0.1790888*100000/1000000)+(28*0.2374*100000/1000000)</f>
        <v>1.16616864</v>
      </c>
      <c r="Y746" s="58"/>
      <c r="Z746" s="10"/>
      <c r="AA746" s="57"/>
      <c r="AB746" s="51">
        <f>(B746*122.58+C746*297.941+D746*89.177+E746*40.302+F746*40+G746*160+H746*0+I746*100+J746*300)/(122.58+297.941+89.177+40.302+0+40+160+100+300)</f>
        <v>24.374591563913043</v>
      </c>
      <c r="AC746" s="27">
        <f>(M746*'RAP TEMPLATE-GAS AVAILABILITY'!O745+N746*'RAP TEMPLATE-GAS AVAILABILITY'!P745+O746*'RAP TEMPLATE-GAS AVAILABILITY'!Q745+P746*'RAP TEMPLATE-GAS AVAILABILITY'!R745)/('RAP TEMPLATE-GAS AVAILABILITY'!O745+'RAP TEMPLATE-GAS AVAILABILITY'!P745+'RAP TEMPLATE-GAS AVAILABILITY'!Q745+'RAP TEMPLATE-GAS AVAILABILITY'!R745)</f>
        <v>24.188288489208631</v>
      </c>
    </row>
    <row r="747" spans="1:29" ht="15.75" x14ac:dyDescent="0.25">
      <c r="A747" s="13">
        <v>64009</v>
      </c>
      <c r="B747" s="10">
        <f>CHOOSE(CONTROL!$C$42, 23.63, 23.63) * CHOOSE(CONTROL!$C$21, $C$9, 100%, $E$9)</f>
        <v>23.63</v>
      </c>
      <c r="C747" s="10">
        <f>CHOOSE(CONTROL!$C$42, 23.6349, 23.6349) * CHOOSE(CONTROL!$C$21, $C$9, 100%, $E$9)</f>
        <v>23.634899999999998</v>
      </c>
      <c r="D747" s="10">
        <f>CHOOSE(CONTROL!$C$42, 23.7263, 23.7263) * CHOOSE(CONTROL!$C$21, $C$9, 100%, $E$9)</f>
        <v>23.726299999999998</v>
      </c>
      <c r="E747" s="10">
        <f>CHOOSE(CONTROL!$C$42, 23.7601, 23.7601) * CHOOSE(CONTROL!$C$21, $C$9, 100%, $E$9)</f>
        <v>23.760100000000001</v>
      </c>
      <c r="F747" s="10">
        <f>CHOOSE(CONTROL!$C$42, 23.6598, 23.6598)*CHOOSE(CONTROL!$C$21, $C$9, 100%, $E$9)</f>
        <v>23.659800000000001</v>
      </c>
      <c r="G747" s="10">
        <f>CHOOSE(CONTROL!$C$42, 23.6793, 23.6793)*CHOOSE(CONTROL!$C$21, $C$9, 100%, $E$9)</f>
        <v>23.679300000000001</v>
      </c>
      <c r="H747" s="10">
        <f>CHOOSE(CONTROL!$C$42, 23.7493, 23.7493) * CHOOSE(CONTROL!$C$21, $C$9, 100%, $E$9)</f>
        <v>23.749300000000002</v>
      </c>
      <c r="I747" s="10">
        <f>CHOOSE(CONTROL!$C$42, 23.6528, 23.6528)* CHOOSE(CONTROL!$C$21, $C$9, 100%, $E$9)</f>
        <v>23.652799999999999</v>
      </c>
      <c r="J747" s="10">
        <f>CHOOSE(CONTROL!$C$42, 23.6528, 23.6528)* CHOOSE(CONTROL!$C$21, $C$9, 100%, $E$9)</f>
        <v>23.652799999999999</v>
      </c>
      <c r="K747" s="54">
        <f>CHOOSE(CONTROL!$C$42, 23.6489, 23.6489) * CHOOSE(CONTROL!$C$21, $C$9, 100%, $E$9)</f>
        <v>23.648900000000001</v>
      </c>
      <c r="L747" s="10">
        <f>CHOOSE(CONTROL!$C$42, 24.3363, 24.3363) * CHOOSE(CONTROL!$C$21, $C$9, 100%, $E$9)</f>
        <v>24.336300000000001</v>
      </c>
      <c r="M747" s="10">
        <f>CHOOSE(CONTROL!$C$42, 23.4279, 23.4279) * CHOOSE(CONTROL!$C$21, $C$9, 100%, $E$9)</f>
        <v>23.427900000000001</v>
      </c>
      <c r="N747" s="10">
        <f>CHOOSE(CONTROL!$C$42, 23.4472, 23.4472) * CHOOSE(CONTROL!$C$21, $C$9, 100%, $E$9)</f>
        <v>23.447199999999999</v>
      </c>
      <c r="O747" s="10">
        <f>CHOOSE(CONTROL!$C$42, 23.5234, 23.5234) * CHOOSE(CONTROL!$C$21, $C$9, 100%, $E$9)</f>
        <v>23.523399999999999</v>
      </c>
      <c r="P747" s="10">
        <f>CHOOSE(CONTROL!$C$42, 23.4279, 23.4279) * CHOOSE(CONTROL!$C$21, $C$9, 100%, $E$9)</f>
        <v>23.427900000000001</v>
      </c>
      <c r="Q747" s="10">
        <f>CHOOSE(CONTROL!$C$42, 24.1187, 24.1187) * CHOOSE(CONTROL!$C$21, $C$9, 100%, $E$9)</f>
        <v>24.1187</v>
      </c>
      <c r="R747" s="10">
        <f>CHOOSE(CONTROL!$C$42, 24.766, 24.766) * CHOOSE(CONTROL!$C$21, $C$9, 100%, $E$9)</f>
        <v>24.765999999999998</v>
      </c>
      <c r="S747" s="10">
        <f>CHOOSE(CONTROL!$C$42, 22.9449, 22.9449) * CHOOSE(CONTROL!$C$21, $C$9, 100%, $E$9)</f>
        <v>22.944900000000001</v>
      </c>
      <c r="T747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47" s="58">
        <f>(1000*CHOOSE(CONTROL!$C$42, 695, 695)*CHOOSE(CONTROL!$C$42, 0.5599, 0.5599)*CHOOSE(CONTROL!$C$42, 31, 31))/1000000</f>
        <v>12.063045499999998</v>
      </c>
      <c r="V747" s="58">
        <f>(1000*CHOOSE(CONTROL!$C$42, 500, 500)*CHOOSE(CONTROL!$C$42, 0.275, 0.275)*CHOOSE(CONTROL!$C$42, 31, 31))/1000000</f>
        <v>4.2625000000000002</v>
      </c>
      <c r="W747" s="58">
        <f>(1000*CHOOSE(CONTROL!$C$42, 0.1146, 0.1146)*CHOOSE(CONTROL!$C$42, 121.5, 121.5)*CHOOSE(CONTROL!$C$42, 31, 31))/1000000</f>
        <v>0.43164089999999994</v>
      </c>
      <c r="X747" s="58">
        <f>(31*0.1790888*100000/1000000)+(31*0.2374*100000/1000000)</f>
        <v>1.2911152800000001</v>
      </c>
      <c r="Y747" s="58"/>
      <c r="Z747" s="10"/>
      <c r="AA747" s="57"/>
      <c r="AB747" s="51">
        <f>(B747*122.58+C747*297.941+D747*89.177+E747*40.302+F747*40+G747*160+H747*0+I747*100+J747*300)/(122.58+297.941+89.177+40.302+0+40+160+100+300)</f>
        <v>23.659122561913041</v>
      </c>
      <c r="AC747" s="27">
        <f>(M747*'RAP TEMPLATE-GAS AVAILABILITY'!O746+N747*'RAP TEMPLATE-GAS AVAILABILITY'!P746+O747*'RAP TEMPLATE-GAS AVAILABILITY'!Q746+P747*'RAP TEMPLATE-GAS AVAILABILITY'!R746)/('RAP TEMPLATE-GAS AVAILABILITY'!O746+'RAP TEMPLATE-GAS AVAILABILITY'!P746+'RAP TEMPLATE-GAS AVAILABILITY'!Q746+'RAP TEMPLATE-GAS AVAILABILITY'!R746)</f>
        <v>23.472294964028777</v>
      </c>
    </row>
    <row r="748" spans="1:29" ht="15.75" x14ac:dyDescent="0.25">
      <c r="A748" s="13">
        <v>64039</v>
      </c>
      <c r="B748" s="10">
        <f>CHOOSE(CONTROL!$C$42, 23.56, 23.56) * CHOOSE(CONTROL!$C$21, $C$9, 100%, $E$9)</f>
        <v>23.56</v>
      </c>
      <c r="C748" s="10">
        <f>CHOOSE(CONTROL!$C$42, 23.5644, 23.5644) * CHOOSE(CONTROL!$C$21, $C$9, 100%, $E$9)</f>
        <v>23.564399999999999</v>
      </c>
      <c r="D748" s="10">
        <f>CHOOSE(CONTROL!$C$42, 23.746, 23.746) * CHOOSE(CONTROL!$C$21, $C$9, 100%, $E$9)</f>
        <v>23.745999999999999</v>
      </c>
      <c r="E748" s="10">
        <f>CHOOSE(CONTROL!$C$42, 23.7778, 23.7778) * CHOOSE(CONTROL!$C$21, $C$9, 100%, $E$9)</f>
        <v>23.777799999999999</v>
      </c>
      <c r="F748" s="10">
        <f>CHOOSE(CONTROL!$C$42, 23.5483, 23.5483)*CHOOSE(CONTROL!$C$21, $C$9, 100%, $E$9)</f>
        <v>23.548300000000001</v>
      </c>
      <c r="G748" s="10">
        <f>CHOOSE(CONTROL!$C$42, 23.5663, 23.5663)*CHOOSE(CONTROL!$C$21, $C$9, 100%, $E$9)</f>
        <v>23.566299999999998</v>
      </c>
      <c r="H748" s="10">
        <f>CHOOSE(CONTROL!$C$42, 23.7676, 23.7676) * CHOOSE(CONTROL!$C$21, $C$9, 100%, $E$9)</f>
        <v>23.767600000000002</v>
      </c>
      <c r="I748" s="10">
        <f>CHOOSE(CONTROL!$C$42, 23.5383, 23.5383)* CHOOSE(CONTROL!$C$21, $C$9, 100%, $E$9)</f>
        <v>23.5383</v>
      </c>
      <c r="J748" s="10">
        <f>CHOOSE(CONTROL!$C$42, 23.5413, 23.5413)* CHOOSE(CONTROL!$C$21, $C$9, 100%, $E$9)</f>
        <v>23.5413</v>
      </c>
      <c r="K748" s="54">
        <f>CHOOSE(CONTROL!$C$42, 23.5344, 23.5344) * CHOOSE(CONTROL!$C$21, $C$9, 100%, $E$9)</f>
        <v>23.534400000000002</v>
      </c>
      <c r="L748" s="10">
        <f>CHOOSE(CONTROL!$C$42, 24.3546, 24.3546) * CHOOSE(CONTROL!$C$21, $C$9, 100%, $E$9)</f>
        <v>24.354600000000001</v>
      </c>
      <c r="M748" s="10">
        <f>CHOOSE(CONTROL!$C$42, 23.3176, 23.3176) * CHOOSE(CONTROL!$C$21, $C$9, 100%, $E$9)</f>
        <v>23.317599999999999</v>
      </c>
      <c r="N748" s="10">
        <f>CHOOSE(CONTROL!$C$42, 23.3354, 23.3354) * CHOOSE(CONTROL!$C$21, $C$9, 100%, $E$9)</f>
        <v>23.3354</v>
      </c>
      <c r="O748" s="10">
        <f>CHOOSE(CONTROL!$C$42, 23.5416, 23.5416) * CHOOSE(CONTROL!$C$21, $C$9, 100%, $E$9)</f>
        <v>23.541599999999999</v>
      </c>
      <c r="P748" s="10">
        <f>CHOOSE(CONTROL!$C$42, 23.3146, 23.3146) * CHOOSE(CONTROL!$C$21, $C$9, 100%, $E$9)</f>
        <v>23.314599999999999</v>
      </c>
      <c r="Q748" s="10">
        <f>CHOOSE(CONTROL!$C$42, 24.1369, 24.1369) * CHOOSE(CONTROL!$C$21, $C$9, 100%, $E$9)</f>
        <v>24.136900000000001</v>
      </c>
      <c r="R748" s="10">
        <f>CHOOSE(CONTROL!$C$42, 24.7842, 24.7842) * CHOOSE(CONTROL!$C$21, $C$9, 100%, $E$9)</f>
        <v>24.784199999999998</v>
      </c>
      <c r="S748" s="10">
        <f>CHOOSE(CONTROL!$C$42, 22.8762, 22.8762) * CHOOSE(CONTROL!$C$21, $C$9, 100%, $E$9)</f>
        <v>22.876200000000001</v>
      </c>
      <c r="T748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48" s="58">
        <f>(1000*CHOOSE(CONTROL!$C$42, 695, 695)*CHOOSE(CONTROL!$C$42, 0.5599, 0.5599)*CHOOSE(CONTROL!$C$42, 30, 30))/1000000</f>
        <v>11.673914999999997</v>
      </c>
      <c r="V748" s="58">
        <f>(1000*CHOOSE(CONTROL!$C$42, 500, 500)*CHOOSE(CONTROL!$C$42, 0.275, 0.275)*CHOOSE(CONTROL!$C$42, 30, 30))/1000000</f>
        <v>4.125</v>
      </c>
      <c r="W748" s="58">
        <f>(1000*CHOOSE(CONTROL!$C$42, 0.1146, 0.1146)*CHOOSE(CONTROL!$C$42, 121.5, 121.5)*CHOOSE(CONTROL!$C$42, 30, 30))/1000000</f>
        <v>0.417717</v>
      </c>
      <c r="X748" s="58">
        <f>(30*0.1790888*245000/1000000)+(30*0.2374*100000/1000000)</f>
        <v>2.0285026799999999</v>
      </c>
      <c r="Y748" s="58"/>
      <c r="Z748" s="10"/>
      <c r="AA748" s="57"/>
      <c r="AB748" s="51">
        <f>(B748*141.293+C748*267.993+D748*115.016+E748*89.698+F748*40+G748*185+H748*0+I748*100+J748*300)/(141.293+267.993+115.016+89.698+0+40+185+100+300)</f>
        <v>23.588269466989505</v>
      </c>
      <c r="AC748" s="27">
        <f>(M748*'RAP TEMPLATE-GAS AVAILABILITY'!O747+N748*'RAP TEMPLATE-GAS AVAILABILITY'!P747+O748*'RAP TEMPLATE-GAS AVAILABILITY'!Q747+P748*'RAP TEMPLATE-GAS AVAILABILITY'!R747)/('RAP TEMPLATE-GAS AVAILABILITY'!O747+'RAP TEMPLATE-GAS AVAILABILITY'!P747+'RAP TEMPLATE-GAS AVAILABILITY'!Q747+'RAP TEMPLATE-GAS AVAILABILITY'!R747)</f>
        <v>23.419717985611509</v>
      </c>
    </row>
    <row r="749" spans="1:29" ht="15.75" x14ac:dyDescent="0.25">
      <c r="A749" s="13">
        <v>64070</v>
      </c>
      <c r="B749" s="10">
        <f>CHOOSE(CONTROL!$C$42, 23.7697, 23.7697) * CHOOSE(CONTROL!$C$21, $C$9, 100%, $E$9)</f>
        <v>23.7697</v>
      </c>
      <c r="C749" s="10">
        <f>CHOOSE(CONTROL!$C$42, 23.7776, 23.7776) * CHOOSE(CONTROL!$C$21, $C$9, 100%, $E$9)</f>
        <v>23.7776</v>
      </c>
      <c r="D749" s="10">
        <f>CHOOSE(CONTROL!$C$42, 23.9561, 23.9561) * CHOOSE(CONTROL!$C$21, $C$9, 100%, $E$9)</f>
        <v>23.956099999999999</v>
      </c>
      <c r="E749" s="10">
        <f>CHOOSE(CONTROL!$C$42, 23.9873, 23.9873) * CHOOSE(CONTROL!$C$21, $C$9, 100%, $E$9)</f>
        <v>23.987300000000001</v>
      </c>
      <c r="F749" s="10">
        <f>CHOOSE(CONTROL!$C$42, 23.7559, 23.7559)*CHOOSE(CONTROL!$C$21, $C$9, 100%, $E$9)</f>
        <v>23.7559</v>
      </c>
      <c r="G749" s="10">
        <f>CHOOSE(CONTROL!$C$42, 23.774, 23.774)*CHOOSE(CONTROL!$C$21, $C$9, 100%, $E$9)</f>
        <v>23.774000000000001</v>
      </c>
      <c r="H749" s="10">
        <f>CHOOSE(CONTROL!$C$42, 23.9759, 23.9759) * CHOOSE(CONTROL!$C$21, $C$9, 100%, $E$9)</f>
        <v>23.975899999999999</v>
      </c>
      <c r="I749" s="10">
        <f>CHOOSE(CONTROL!$C$42, 23.7466, 23.7466)* CHOOSE(CONTROL!$C$21, $C$9, 100%, $E$9)</f>
        <v>23.746600000000001</v>
      </c>
      <c r="J749" s="10">
        <f>CHOOSE(CONTROL!$C$42, 23.7489, 23.7489)* CHOOSE(CONTROL!$C$21, $C$9, 100%, $E$9)</f>
        <v>23.748899999999999</v>
      </c>
      <c r="K749" s="54">
        <f>CHOOSE(CONTROL!$C$42, 23.7427, 23.7427) * CHOOSE(CONTROL!$C$21, $C$9, 100%, $E$9)</f>
        <v>23.742699999999999</v>
      </c>
      <c r="L749" s="10">
        <f>CHOOSE(CONTROL!$C$42, 24.5629, 24.5629) * CHOOSE(CONTROL!$C$21, $C$9, 100%, $E$9)</f>
        <v>24.562899999999999</v>
      </c>
      <c r="M749" s="10">
        <f>CHOOSE(CONTROL!$C$42, 23.523, 23.523) * CHOOSE(CONTROL!$C$21, $C$9, 100%, $E$9)</f>
        <v>23.523</v>
      </c>
      <c r="N749" s="10">
        <f>CHOOSE(CONTROL!$C$42, 23.541, 23.541) * CHOOSE(CONTROL!$C$21, $C$9, 100%, $E$9)</f>
        <v>23.541</v>
      </c>
      <c r="O749" s="10">
        <f>CHOOSE(CONTROL!$C$42, 23.7478, 23.7478) * CHOOSE(CONTROL!$C$21, $C$9, 100%, $E$9)</f>
        <v>23.747800000000002</v>
      </c>
      <c r="P749" s="10">
        <f>CHOOSE(CONTROL!$C$42, 23.5208, 23.5208) * CHOOSE(CONTROL!$C$21, $C$9, 100%, $E$9)</f>
        <v>23.520800000000001</v>
      </c>
      <c r="Q749" s="10">
        <f>CHOOSE(CONTROL!$C$42, 24.3431, 24.3431) * CHOOSE(CONTROL!$C$21, $C$9, 100%, $E$9)</f>
        <v>24.3431</v>
      </c>
      <c r="R749" s="10">
        <f>CHOOSE(CONTROL!$C$42, 24.9909, 24.9909) * CHOOSE(CONTROL!$C$21, $C$9, 100%, $E$9)</f>
        <v>24.9909</v>
      </c>
      <c r="S749" s="10">
        <f>CHOOSE(CONTROL!$C$42, 23.0785, 23.0785) * CHOOSE(CONTROL!$C$21, $C$9, 100%, $E$9)</f>
        <v>23.078499999999998</v>
      </c>
      <c r="T749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49" s="58">
        <f>(1000*CHOOSE(CONTROL!$C$42, 695, 695)*CHOOSE(CONTROL!$C$42, 0.5599, 0.5599)*CHOOSE(CONTROL!$C$42, 31, 31))/1000000</f>
        <v>12.063045499999998</v>
      </c>
      <c r="V749" s="58">
        <f>(1000*CHOOSE(CONTROL!$C$42, 500, 500)*CHOOSE(CONTROL!$C$42, 0.275, 0.275)*CHOOSE(CONTROL!$C$42, 31, 31))/1000000</f>
        <v>4.2625000000000002</v>
      </c>
      <c r="W749" s="58">
        <f>(1000*CHOOSE(CONTROL!$C$42, 0.1146, 0.1146)*CHOOSE(CONTROL!$C$42, 121.5, 121.5)*CHOOSE(CONTROL!$C$42, 31, 31))/1000000</f>
        <v>0.43164089999999994</v>
      </c>
      <c r="X749" s="58">
        <f>(31*0.1790888*245000/1000000)+(31*0.2374*100000/1000000)</f>
        <v>2.0961194359999999</v>
      </c>
      <c r="Y749" s="58"/>
      <c r="Z749" s="10"/>
      <c r="AA749" s="57"/>
      <c r="AB749" s="51">
        <f>(B749*194.205+C749*267.466+D749*133.845+E749*53.484+F749*40+G749*185+H749*0+I749*100+J749*300)/(194.205+267.466+133.845+53.484+0+40+185+100+300)</f>
        <v>23.793556599529044</v>
      </c>
      <c r="AC749" s="27">
        <f>(M749*'RAP TEMPLATE-GAS AVAILABILITY'!O748+N749*'RAP TEMPLATE-GAS AVAILABILITY'!P748+O749*'RAP TEMPLATE-GAS AVAILABILITY'!Q748+P749*'RAP TEMPLATE-GAS AVAILABILITY'!R748)/('RAP TEMPLATE-GAS AVAILABILITY'!O748+'RAP TEMPLATE-GAS AVAILABILITY'!P748+'RAP TEMPLATE-GAS AVAILABILITY'!Q748+'RAP TEMPLATE-GAS AVAILABILITY'!R748)</f>
        <v>23.625607194244601</v>
      </c>
    </row>
    <row r="750" spans="1:29" ht="15.75" x14ac:dyDescent="0.25">
      <c r="A750" s="13">
        <v>64100</v>
      </c>
      <c r="B750" s="10">
        <f>CHOOSE(CONTROL!$C$42, 24.4438, 24.4438) * CHOOSE(CONTROL!$C$21, $C$9, 100%, $E$9)</f>
        <v>24.4438</v>
      </c>
      <c r="C750" s="10">
        <f>CHOOSE(CONTROL!$C$42, 24.4517, 24.4517) * CHOOSE(CONTROL!$C$21, $C$9, 100%, $E$9)</f>
        <v>24.451699999999999</v>
      </c>
      <c r="D750" s="10">
        <f>CHOOSE(CONTROL!$C$42, 24.6302, 24.6302) * CHOOSE(CONTROL!$C$21, $C$9, 100%, $E$9)</f>
        <v>24.630199999999999</v>
      </c>
      <c r="E750" s="10">
        <f>CHOOSE(CONTROL!$C$42, 24.6614, 24.6614) * CHOOSE(CONTROL!$C$21, $C$9, 100%, $E$9)</f>
        <v>24.6614</v>
      </c>
      <c r="F750" s="10">
        <f>CHOOSE(CONTROL!$C$42, 24.4302, 24.4302)*CHOOSE(CONTROL!$C$21, $C$9, 100%, $E$9)</f>
        <v>24.430199999999999</v>
      </c>
      <c r="G750" s="10">
        <f>CHOOSE(CONTROL!$C$42, 24.4485, 24.4485)*CHOOSE(CONTROL!$C$21, $C$9, 100%, $E$9)</f>
        <v>24.448499999999999</v>
      </c>
      <c r="H750" s="10">
        <f>CHOOSE(CONTROL!$C$42, 24.65, 24.65) * CHOOSE(CONTROL!$C$21, $C$9, 100%, $E$9)</f>
        <v>24.65</v>
      </c>
      <c r="I750" s="10">
        <f>CHOOSE(CONTROL!$C$42, 24.4207, 24.4207)* CHOOSE(CONTROL!$C$21, $C$9, 100%, $E$9)</f>
        <v>24.4207</v>
      </c>
      <c r="J750" s="10">
        <f>CHOOSE(CONTROL!$C$42, 24.4232, 24.4232)* CHOOSE(CONTROL!$C$21, $C$9, 100%, $E$9)</f>
        <v>24.423200000000001</v>
      </c>
      <c r="K750" s="54">
        <f>CHOOSE(CONTROL!$C$42, 24.4168, 24.4168) * CHOOSE(CONTROL!$C$21, $C$9, 100%, $E$9)</f>
        <v>24.416799999999999</v>
      </c>
      <c r="L750" s="10">
        <f>CHOOSE(CONTROL!$C$42, 25.237, 25.237) * CHOOSE(CONTROL!$C$21, $C$9, 100%, $E$9)</f>
        <v>25.236999999999998</v>
      </c>
      <c r="M750" s="10">
        <f>CHOOSE(CONTROL!$C$42, 24.1906, 24.1906) * CHOOSE(CONTROL!$C$21, $C$9, 100%, $E$9)</f>
        <v>24.1906</v>
      </c>
      <c r="N750" s="10">
        <f>CHOOSE(CONTROL!$C$42, 24.2086, 24.2086) * CHOOSE(CONTROL!$C$21, $C$9, 100%, $E$9)</f>
        <v>24.208600000000001</v>
      </c>
      <c r="O750" s="10">
        <f>CHOOSE(CONTROL!$C$42, 24.4151, 24.4151) * CHOOSE(CONTROL!$C$21, $C$9, 100%, $E$9)</f>
        <v>24.415099999999999</v>
      </c>
      <c r="P750" s="10">
        <f>CHOOSE(CONTROL!$C$42, 24.1881, 24.1881) * CHOOSE(CONTROL!$C$21, $C$9, 100%, $E$9)</f>
        <v>24.188099999999999</v>
      </c>
      <c r="Q750" s="10">
        <f>CHOOSE(CONTROL!$C$42, 25.0104, 25.0104) * CHOOSE(CONTROL!$C$21, $C$9, 100%, $E$9)</f>
        <v>25.010400000000001</v>
      </c>
      <c r="R750" s="10">
        <f>CHOOSE(CONTROL!$C$42, 25.6599, 25.6599) * CHOOSE(CONTROL!$C$21, $C$9, 100%, $E$9)</f>
        <v>25.6599</v>
      </c>
      <c r="S750" s="10">
        <f>CHOOSE(CONTROL!$C$42, 23.7331, 23.7331) * CHOOSE(CONTROL!$C$21, $C$9, 100%, $E$9)</f>
        <v>23.7331</v>
      </c>
      <c r="T750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50" s="58">
        <f>(1000*CHOOSE(CONTROL!$C$42, 695, 695)*CHOOSE(CONTROL!$C$42, 0.5599, 0.5599)*CHOOSE(CONTROL!$C$42, 30, 30))/1000000</f>
        <v>11.673914999999997</v>
      </c>
      <c r="V750" s="58">
        <f>(1000*CHOOSE(CONTROL!$C$42, 500, 500)*CHOOSE(CONTROL!$C$42, 0.275, 0.275)*CHOOSE(CONTROL!$C$42, 30, 30))/1000000</f>
        <v>4.125</v>
      </c>
      <c r="W750" s="58">
        <f>(1000*CHOOSE(CONTROL!$C$42, 0.1146, 0.1146)*CHOOSE(CONTROL!$C$42, 121.5, 121.5)*CHOOSE(CONTROL!$C$42, 30, 30))/1000000</f>
        <v>0.417717</v>
      </c>
      <c r="X750" s="58">
        <f>(30*0.1790888*245000/1000000)+(30*0.2374*100000/1000000)</f>
        <v>2.0285026799999999</v>
      </c>
      <c r="Y750" s="58"/>
      <c r="Z750" s="10"/>
      <c r="AA750" s="57"/>
      <c r="AB750" s="51">
        <f>(B750*194.205+C750*267.466+D750*133.845+E750*53.484+F750*40+G750*185+H750*0+I750*100+J750*300)/(194.205+267.466+133.845+53.484+0+40+185+100+300)</f>
        <v>24.467768059497644</v>
      </c>
      <c r="AC750" s="27">
        <f>(M750*'RAP TEMPLATE-GAS AVAILABILITY'!O749+N750*'RAP TEMPLATE-GAS AVAILABILITY'!P749+O750*'RAP TEMPLATE-GAS AVAILABILITY'!Q749+P750*'RAP TEMPLATE-GAS AVAILABILITY'!R749)/('RAP TEMPLATE-GAS AVAILABILITY'!O749+'RAP TEMPLATE-GAS AVAILABILITY'!P749+'RAP TEMPLATE-GAS AVAILABILITY'!Q749+'RAP TEMPLATE-GAS AVAILABILITY'!R749)</f>
        <v>24.293028057553958</v>
      </c>
    </row>
    <row r="751" spans="1:29" ht="15.75" x14ac:dyDescent="0.25">
      <c r="A751" s="13">
        <v>64131</v>
      </c>
      <c r="B751" s="10">
        <f>CHOOSE(CONTROL!$C$42, 23.975, 23.975) * CHOOSE(CONTROL!$C$21, $C$9, 100%, $E$9)</f>
        <v>23.975000000000001</v>
      </c>
      <c r="C751" s="10">
        <f>CHOOSE(CONTROL!$C$42, 23.9829, 23.9829) * CHOOSE(CONTROL!$C$21, $C$9, 100%, $E$9)</f>
        <v>23.982900000000001</v>
      </c>
      <c r="D751" s="10">
        <f>CHOOSE(CONTROL!$C$42, 24.1614, 24.1614) * CHOOSE(CONTROL!$C$21, $C$9, 100%, $E$9)</f>
        <v>24.1614</v>
      </c>
      <c r="E751" s="10">
        <f>CHOOSE(CONTROL!$C$42, 24.1925, 24.1925) * CHOOSE(CONTROL!$C$21, $C$9, 100%, $E$9)</f>
        <v>24.192499999999999</v>
      </c>
      <c r="F751" s="10">
        <f>CHOOSE(CONTROL!$C$42, 23.9617, 23.9617)*CHOOSE(CONTROL!$C$21, $C$9, 100%, $E$9)</f>
        <v>23.9617</v>
      </c>
      <c r="G751" s="10">
        <f>CHOOSE(CONTROL!$C$42, 23.98, 23.98)*CHOOSE(CONTROL!$C$21, $C$9, 100%, $E$9)</f>
        <v>23.98</v>
      </c>
      <c r="H751" s="10">
        <f>CHOOSE(CONTROL!$C$42, 24.1812, 24.1812) * CHOOSE(CONTROL!$C$21, $C$9, 100%, $E$9)</f>
        <v>24.1812</v>
      </c>
      <c r="I751" s="10">
        <f>CHOOSE(CONTROL!$C$42, 23.9518, 23.9518)* CHOOSE(CONTROL!$C$21, $C$9, 100%, $E$9)</f>
        <v>23.951799999999999</v>
      </c>
      <c r="J751" s="10">
        <f>CHOOSE(CONTROL!$C$42, 23.9547, 23.9547)* CHOOSE(CONTROL!$C$21, $C$9, 100%, $E$9)</f>
        <v>23.954699999999999</v>
      </c>
      <c r="K751" s="54">
        <f>CHOOSE(CONTROL!$C$42, 23.9479, 23.9479) * CHOOSE(CONTROL!$C$21, $C$9, 100%, $E$9)</f>
        <v>23.947900000000001</v>
      </c>
      <c r="L751" s="10">
        <f>CHOOSE(CONTROL!$C$42, 24.7682, 24.7682) * CHOOSE(CONTROL!$C$21, $C$9, 100%, $E$9)</f>
        <v>24.7682</v>
      </c>
      <c r="M751" s="10">
        <f>CHOOSE(CONTROL!$C$42, 23.7267, 23.7267) * CHOOSE(CONTROL!$C$21, $C$9, 100%, $E$9)</f>
        <v>23.726700000000001</v>
      </c>
      <c r="N751" s="10">
        <f>CHOOSE(CONTROL!$C$42, 23.7449, 23.7449) * CHOOSE(CONTROL!$C$21, $C$9, 100%, $E$9)</f>
        <v>23.744900000000001</v>
      </c>
      <c r="O751" s="10">
        <f>CHOOSE(CONTROL!$C$42, 23.951, 23.951) * CHOOSE(CONTROL!$C$21, $C$9, 100%, $E$9)</f>
        <v>23.951000000000001</v>
      </c>
      <c r="P751" s="10">
        <f>CHOOSE(CONTROL!$C$42, 23.724, 23.724) * CHOOSE(CONTROL!$C$21, $C$9, 100%, $E$9)</f>
        <v>23.724</v>
      </c>
      <c r="Q751" s="10">
        <f>CHOOSE(CONTROL!$C$42, 24.5463, 24.5463) * CHOOSE(CONTROL!$C$21, $C$9, 100%, $E$9)</f>
        <v>24.546299999999999</v>
      </c>
      <c r="R751" s="10">
        <f>CHOOSE(CONTROL!$C$42, 25.1946, 25.1946) * CHOOSE(CONTROL!$C$21, $C$9, 100%, $E$9)</f>
        <v>25.194600000000001</v>
      </c>
      <c r="S751" s="10">
        <f>CHOOSE(CONTROL!$C$42, 23.2778, 23.2778) * CHOOSE(CONTROL!$C$21, $C$9, 100%, $E$9)</f>
        <v>23.277799999999999</v>
      </c>
      <c r="T751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51" s="58">
        <f>(1000*CHOOSE(CONTROL!$C$42, 695, 695)*CHOOSE(CONTROL!$C$42, 0.5599, 0.5599)*CHOOSE(CONTROL!$C$42, 31, 31))/1000000</f>
        <v>12.063045499999998</v>
      </c>
      <c r="V751" s="58">
        <f>(1000*CHOOSE(CONTROL!$C$42, 500, 500)*CHOOSE(CONTROL!$C$42, 0.275, 0.275)*CHOOSE(CONTROL!$C$42, 31, 31))/1000000</f>
        <v>4.2625000000000002</v>
      </c>
      <c r="W751" s="58">
        <f>(1000*CHOOSE(CONTROL!$C$42, 0.1146, 0.1146)*CHOOSE(CONTROL!$C$42, 121.5, 121.5)*CHOOSE(CONTROL!$C$42, 31, 31))/1000000</f>
        <v>0.43164089999999994</v>
      </c>
      <c r="X751" s="58">
        <f>(31*0.1790888*245000/1000000)+(31*0.2374*100000/1000000)</f>
        <v>2.0961194359999999</v>
      </c>
      <c r="Y751" s="58"/>
      <c r="Z751" s="10"/>
      <c r="AA751" s="57"/>
      <c r="AB751" s="51">
        <f>(B751*194.205+C751*267.466+D751*133.845+E751*53.484+F751*40+G751*185+H751*0+I751*100+J751*300)/(194.205+267.466+133.845+53.484+0+40+185+100+300)</f>
        <v>23.999079638461538</v>
      </c>
      <c r="AC751" s="27">
        <f>(M751*'RAP TEMPLATE-GAS AVAILABILITY'!O750+N751*'RAP TEMPLATE-GAS AVAILABILITY'!P750+O751*'RAP TEMPLATE-GAS AVAILABILITY'!Q750+P751*'RAP TEMPLATE-GAS AVAILABILITY'!R750)/('RAP TEMPLATE-GAS AVAILABILITY'!O750+'RAP TEMPLATE-GAS AVAILABILITY'!P750+'RAP TEMPLATE-GAS AVAILABILITY'!Q750+'RAP TEMPLATE-GAS AVAILABILITY'!R750)</f>
        <v>23.829020143884893</v>
      </c>
    </row>
    <row r="752" spans="1:29" ht="15.75" x14ac:dyDescent="0.25">
      <c r="A752" s="13">
        <v>64162</v>
      </c>
      <c r="B752" s="10">
        <f>CHOOSE(CONTROL!$C$42, 22.791, 22.791) * CHOOSE(CONTROL!$C$21, $C$9, 100%, $E$9)</f>
        <v>22.791</v>
      </c>
      <c r="C752" s="10">
        <f>CHOOSE(CONTROL!$C$42, 22.7989, 22.7989) * CHOOSE(CONTROL!$C$21, $C$9, 100%, $E$9)</f>
        <v>22.7989</v>
      </c>
      <c r="D752" s="10">
        <f>CHOOSE(CONTROL!$C$42, 22.9774, 22.9774) * CHOOSE(CONTROL!$C$21, $C$9, 100%, $E$9)</f>
        <v>22.977399999999999</v>
      </c>
      <c r="E752" s="10">
        <f>CHOOSE(CONTROL!$C$42, 23.0086, 23.0086) * CHOOSE(CONTROL!$C$21, $C$9, 100%, $E$9)</f>
        <v>23.008600000000001</v>
      </c>
      <c r="F752" s="10">
        <f>CHOOSE(CONTROL!$C$42, 22.7776, 22.7776)*CHOOSE(CONTROL!$C$21, $C$9, 100%, $E$9)</f>
        <v>22.7776</v>
      </c>
      <c r="G752" s="10">
        <f>CHOOSE(CONTROL!$C$42, 22.7959, 22.7959)*CHOOSE(CONTROL!$C$21, $C$9, 100%, $E$9)</f>
        <v>22.7959</v>
      </c>
      <c r="H752" s="10">
        <f>CHOOSE(CONTROL!$C$42, 22.9972, 22.9972) * CHOOSE(CONTROL!$C$21, $C$9, 100%, $E$9)</f>
        <v>22.997199999999999</v>
      </c>
      <c r="I752" s="10">
        <f>CHOOSE(CONTROL!$C$42, 22.7678, 22.7678)* CHOOSE(CONTROL!$C$21, $C$9, 100%, $E$9)</f>
        <v>22.767800000000001</v>
      </c>
      <c r="J752" s="10">
        <f>CHOOSE(CONTROL!$C$42, 22.7706, 22.7706)* CHOOSE(CONTROL!$C$21, $C$9, 100%, $E$9)</f>
        <v>22.770600000000002</v>
      </c>
      <c r="K752" s="54">
        <f>CHOOSE(CONTROL!$C$42, 22.764, 22.764) * CHOOSE(CONTROL!$C$21, $C$9, 100%, $E$9)</f>
        <v>22.763999999999999</v>
      </c>
      <c r="L752" s="10">
        <f>CHOOSE(CONTROL!$C$42, 23.5842, 23.5842) * CHOOSE(CONTROL!$C$21, $C$9, 100%, $E$9)</f>
        <v>23.584199999999999</v>
      </c>
      <c r="M752" s="10">
        <f>CHOOSE(CONTROL!$C$42, 22.5547, 22.5547) * CHOOSE(CONTROL!$C$21, $C$9, 100%, $E$9)</f>
        <v>22.5547</v>
      </c>
      <c r="N752" s="10">
        <f>CHOOSE(CONTROL!$C$42, 22.5728, 22.5728) * CHOOSE(CONTROL!$C$21, $C$9, 100%, $E$9)</f>
        <v>22.572800000000001</v>
      </c>
      <c r="O752" s="10">
        <f>CHOOSE(CONTROL!$C$42, 22.7789, 22.7789) * CHOOSE(CONTROL!$C$21, $C$9, 100%, $E$9)</f>
        <v>22.7789</v>
      </c>
      <c r="P752" s="10">
        <f>CHOOSE(CONTROL!$C$42, 22.5519, 22.5519) * CHOOSE(CONTROL!$C$21, $C$9, 100%, $E$9)</f>
        <v>22.5519</v>
      </c>
      <c r="Q752" s="10">
        <f>CHOOSE(CONTROL!$C$42, 23.3742, 23.3742) * CHOOSE(CONTROL!$C$21, $C$9, 100%, $E$9)</f>
        <v>23.374199999999998</v>
      </c>
      <c r="R752" s="10">
        <f>CHOOSE(CONTROL!$C$42, 24.0197, 24.0197) * CHOOSE(CONTROL!$C$21, $C$9, 100%, $E$9)</f>
        <v>24.0197</v>
      </c>
      <c r="S752" s="10">
        <f>CHOOSE(CONTROL!$C$42, 22.1281, 22.1281) * CHOOSE(CONTROL!$C$21, $C$9, 100%, $E$9)</f>
        <v>22.1281</v>
      </c>
      <c r="T752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752" s="58">
        <f>(1000*CHOOSE(CONTROL!$C$42, 695, 695)*CHOOSE(CONTROL!$C$42, 0.5599, 0.5599)*CHOOSE(CONTROL!$C$42, 31, 31))/1000000</f>
        <v>12.063045499999998</v>
      </c>
      <c r="V752" s="58">
        <f>(1000*CHOOSE(CONTROL!$C$42, 500, 500)*CHOOSE(CONTROL!$C$42, 0.275, 0.275)*CHOOSE(CONTROL!$C$42, 31, 31))/1000000</f>
        <v>4.2625000000000002</v>
      </c>
      <c r="W752" s="58">
        <f>(1000*CHOOSE(CONTROL!$C$42, 0.1146, 0.1146)*CHOOSE(CONTROL!$C$42, 121.5, 121.5)*CHOOSE(CONTROL!$C$42, 31, 31))/1000000</f>
        <v>0.43164089999999994</v>
      </c>
      <c r="X752" s="58">
        <f>(31*0.1790888*245000/1000000)+(31*0.2374*100000/1000000)</f>
        <v>2.0961194359999999</v>
      </c>
      <c r="Y752" s="58"/>
      <c r="Z752" s="10"/>
      <c r="AA752" s="57"/>
      <c r="AB752" s="51">
        <f>(B752*194.205+C752*267.466+D752*133.845+E752*53.484+F752*40+G752*185+H752*0+I752*100+J752*300)/(194.205+267.466+133.845+53.484+0+40+185+100+300)</f>
        <v>22.815042627786497</v>
      </c>
      <c r="AC752" s="27">
        <f>(M752*'RAP TEMPLATE-GAS AVAILABILITY'!O751+N752*'RAP TEMPLATE-GAS AVAILABILITY'!P751+O752*'RAP TEMPLATE-GAS AVAILABILITY'!Q751+P752*'RAP TEMPLATE-GAS AVAILABILITY'!R751)/('RAP TEMPLATE-GAS AVAILABILITY'!O751+'RAP TEMPLATE-GAS AVAILABILITY'!P751+'RAP TEMPLATE-GAS AVAILABILITY'!Q751+'RAP TEMPLATE-GAS AVAILABILITY'!R751)</f>
        <v>22.656954676258994</v>
      </c>
    </row>
    <row r="753" spans="1:29" ht="15.75" x14ac:dyDescent="0.25">
      <c r="A753" s="13">
        <v>64192</v>
      </c>
      <c r="B753" s="10">
        <f>CHOOSE(CONTROL!$C$42, 21.3444, 21.3444) * CHOOSE(CONTROL!$C$21, $C$9, 100%, $E$9)</f>
        <v>21.3444</v>
      </c>
      <c r="C753" s="10">
        <f>CHOOSE(CONTROL!$C$42, 21.3523, 21.3523) * CHOOSE(CONTROL!$C$21, $C$9, 100%, $E$9)</f>
        <v>21.3523</v>
      </c>
      <c r="D753" s="10">
        <f>CHOOSE(CONTROL!$C$42, 21.5308, 21.5308) * CHOOSE(CONTROL!$C$21, $C$9, 100%, $E$9)</f>
        <v>21.530799999999999</v>
      </c>
      <c r="E753" s="10">
        <f>CHOOSE(CONTROL!$C$42, 21.562, 21.562) * CHOOSE(CONTROL!$C$21, $C$9, 100%, $E$9)</f>
        <v>21.562000000000001</v>
      </c>
      <c r="F753" s="10">
        <f>CHOOSE(CONTROL!$C$42, 21.3307, 21.3307)*CHOOSE(CONTROL!$C$21, $C$9, 100%, $E$9)</f>
        <v>21.3307</v>
      </c>
      <c r="G753" s="10">
        <f>CHOOSE(CONTROL!$C$42, 21.349, 21.349)*CHOOSE(CONTROL!$C$21, $C$9, 100%, $E$9)</f>
        <v>21.349</v>
      </c>
      <c r="H753" s="10">
        <f>CHOOSE(CONTROL!$C$42, 21.5506, 21.5506) * CHOOSE(CONTROL!$C$21, $C$9, 100%, $E$9)</f>
        <v>21.550599999999999</v>
      </c>
      <c r="I753" s="10">
        <f>CHOOSE(CONTROL!$C$42, 21.3212, 21.3212)* CHOOSE(CONTROL!$C$21, $C$9, 100%, $E$9)</f>
        <v>21.321200000000001</v>
      </c>
      <c r="J753" s="10">
        <f>CHOOSE(CONTROL!$C$42, 21.3237, 21.3237)* CHOOSE(CONTROL!$C$21, $C$9, 100%, $E$9)</f>
        <v>21.323699999999999</v>
      </c>
      <c r="K753" s="54">
        <f>CHOOSE(CONTROL!$C$42, 21.3174, 21.3174) * CHOOSE(CONTROL!$C$21, $C$9, 100%, $E$9)</f>
        <v>21.317399999999999</v>
      </c>
      <c r="L753" s="10">
        <f>CHOOSE(CONTROL!$C$42, 22.1376, 22.1376) * CHOOSE(CONTROL!$C$21, $C$9, 100%, $E$9)</f>
        <v>22.137599999999999</v>
      </c>
      <c r="M753" s="10">
        <f>CHOOSE(CONTROL!$C$42, 21.1224, 21.1224) * CHOOSE(CONTROL!$C$21, $C$9, 100%, $E$9)</f>
        <v>21.122399999999999</v>
      </c>
      <c r="N753" s="10">
        <f>CHOOSE(CONTROL!$C$42, 21.1404, 21.1404) * CHOOSE(CONTROL!$C$21, $C$9, 100%, $E$9)</f>
        <v>21.1404</v>
      </c>
      <c r="O753" s="10">
        <f>CHOOSE(CONTROL!$C$42, 21.3469, 21.3469) * CHOOSE(CONTROL!$C$21, $C$9, 100%, $E$9)</f>
        <v>21.346900000000002</v>
      </c>
      <c r="P753" s="10">
        <f>CHOOSE(CONTROL!$C$42, 21.1199, 21.1199) * CHOOSE(CONTROL!$C$21, $C$9, 100%, $E$9)</f>
        <v>21.119900000000001</v>
      </c>
      <c r="Q753" s="10">
        <f>CHOOSE(CONTROL!$C$42, 21.9422, 21.9422) * CHOOSE(CONTROL!$C$21, $C$9, 100%, $E$9)</f>
        <v>21.9422</v>
      </c>
      <c r="R753" s="10">
        <f>CHOOSE(CONTROL!$C$42, 22.5841, 22.5841) * CHOOSE(CONTROL!$C$21, $C$9, 100%, $E$9)</f>
        <v>22.584099999999999</v>
      </c>
      <c r="S753" s="10">
        <f>CHOOSE(CONTROL!$C$42, 20.7233, 20.7233) * CHOOSE(CONTROL!$C$21, $C$9, 100%, $E$9)</f>
        <v>20.723299999999998</v>
      </c>
      <c r="T753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753" s="58">
        <f>(1000*CHOOSE(CONTROL!$C$42, 695, 695)*CHOOSE(CONTROL!$C$42, 0.5599, 0.5599)*CHOOSE(CONTROL!$C$42, 30, 30))/1000000</f>
        <v>11.673914999999997</v>
      </c>
      <c r="V753" s="58">
        <f>(1000*CHOOSE(CONTROL!$C$42, 500, 500)*CHOOSE(CONTROL!$C$42, 0.275, 0.275)*CHOOSE(CONTROL!$C$42, 30, 30))/1000000</f>
        <v>4.125</v>
      </c>
      <c r="W753" s="58">
        <f>(1000*CHOOSE(CONTROL!$C$42, 0.1146, 0.1146)*CHOOSE(CONTROL!$C$42, 121.5, 121.5)*CHOOSE(CONTROL!$C$42, 30, 30))/1000000</f>
        <v>0.417717</v>
      </c>
      <c r="X753" s="58">
        <f>(30*0.1790888*245000/1000000)+(30*0.2374*100000/1000000)</f>
        <v>2.0285026799999999</v>
      </c>
      <c r="Y753" s="58"/>
      <c r="Z753" s="10"/>
      <c r="AA753" s="57"/>
      <c r="AB753" s="51">
        <f>(B753*194.205+C753*267.466+D753*133.845+E753*53.484+F753*40+G753*185+H753*0+I753*100+J753*300)/(194.205+267.466+133.845+53.484+0+40+185+100+300)</f>
        <v>21.368319001412871</v>
      </c>
      <c r="AC753" s="27">
        <f>(M753*'RAP TEMPLATE-GAS AVAILABILITY'!O752+N753*'RAP TEMPLATE-GAS AVAILABILITY'!P752+O753*'RAP TEMPLATE-GAS AVAILABILITY'!Q752+P753*'RAP TEMPLATE-GAS AVAILABILITY'!R752)/('RAP TEMPLATE-GAS AVAILABILITY'!O752+'RAP TEMPLATE-GAS AVAILABILITY'!P752+'RAP TEMPLATE-GAS AVAILABILITY'!Q752+'RAP TEMPLATE-GAS AVAILABILITY'!R752)</f>
        <v>21.224828057553957</v>
      </c>
    </row>
    <row r="754" spans="1:29" ht="15.75" x14ac:dyDescent="0.25">
      <c r="A754" s="13">
        <v>64223</v>
      </c>
      <c r="B754" s="10">
        <f>CHOOSE(CONTROL!$C$42, 20.909, 20.909) * CHOOSE(CONTROL!$C$21, $C$9, 100%, $E$9)</f>
        <v>20.908999999999999</v>
      </c>
      <c r="C754" s="10">
        <f>CHOOSE(CONTROL!$C$42, 20.9142, 20.9142) * CHOOSE(CONTROL!$C$21, $C$9, 100%, $E$9)</f>
        <v>20.914200000000001</v>
      </c>
      <c r="D754" s="10">
        <f>CHOOSE(CONTROL!$C$42, 21.0977, 21.0977) * CHOOSE(CONTROL!$C$21, $C$9, 100%, $E$9)</f>
        <v>21.0977</v>
      </c>
      <c r="E754" s="10">
        <f>CHOOSE(CONTROL!$C$42, 21.1265, 21.1265) * CHOOSE(CONTROL!$C$21, $C$9, 100%, $E$9)</f>
        <v>21.1265</v>
      </c>
      <c r="F754" s="10">
        <f>CHOOSE(CONTROL!$C$42, 20.8973, 20.8973)*CHOOSE(CONTROL!$C$21, $C$9, 100%, $E$9)</f>
        <v>20.897300000000001</v>
      </c>
      <c r="G754" s="10">
        <f>CHOOSE(CONTROL!$C$42, 20.9152, 20.9152)*CHOOSE(CONTROL!$C$21, $C$9, 100%, $E$9)</f>
        <v>20.915199999999999</v>
      </c>
      <c r="H754" s="10">
        <f>CHOOSE(CONTROL!$C$42, 21.1169, 21.1169) * CHOOSE(CONTROL!$C$21, $C$9, 100%, $E$9)</f>
        <v>21.116900000000001</v>
      </c>
      <c r="I754" s="10">
        <f>CHOOSE(CONTROL!$C$42, 20.8876, 20.8876)* CHOOSE(CONTROL!$C$21, $C$9, 100%, $E$9)</f>
        <v>20.887599999999999</v>
      </c>
      <c r="J754" s="10">
        <f>CHOOSE(CONTROL!$C$42, 20.8903, 20.8903)* CHOOSE(CONTROL!$C$21, $C$9, 100%, $E$9)</f>
        <v>20.8903</v>
      </c>
      <c r="K754" s="54">
        <f>CHOOSE(CONTROL!$C$42, 20.8837, 20.8837) * CHOOSE(CONTROL!$C$21, $C$9, 100%, $E$9)</f>
        <v>20.883700000000001</v>
      </c>
      <c r="L754" s="10">
        <f>CHOOSE(CONTROL!$C$42, 21.7039, 21.7039) * CHOOSE(CONTROL!$C$21, $C$9, 100%, $E$9)</f>
        <v>21.703900000000001</v>
      </c>
      <c r="M754" s="10">
        <f>CHOOSE(CONTROL!$C$42, 20.6933, 20.6933) * CHOOSE(CONTROL!$C$21, $C$9, 100%, $E$9)</f>
        <v>20.693300000000001</v>
      </c>
      <c r="N754" s="10">
        <f>CHOOSE(CONTROL!$C$42, 20.711, 20.711) * CHOOSE(CONTROL!$C$21, $C$9, 100%, $E$9)</f>
        <v>20.710999999999999</v>
      </c>
      <c r="O754" s="10">
        <f>CHOOSE(CONTROL!$C$42, 20.9177, 20.9177) * CHOOSE(CONTROL!$C$21, $C$9, 100%, $E$9)</f>
        <v>20.9177</v>
      </c>
      <c r="P754" s="10">
        <f>CHOOSE(CONTROL!$C$42, 20.6907, 20.6907) * CHOOSE(CONTROL!$C$21, $C$9, 100%, $E$9)</f>
        <v>20.6907</v>
      </c>
      <c r="Q754" s="10">
        <f>CHOOSE(CONTROL!$C$42, 21.513, 21.513) * CHOOSE(CONTROL!$C$21, $C$9, 100%, $E$9)</f>
        <v>21.513000000000002</v>
      </c>
      <c r="R754" s="10">
        <f>CHOOSE(CONTROL!$C$42, 22.1537, 22.1537) * CHOOSE(CONTROL!$C$21, $C$9, 100%, $E$9)</f>
        <v>22.153700000000001</v>
      </c>
      <c r="S754" s="10">
        <f>CHOOSE(CONTROL!$C$42, 20.3022, 20.3022) * CHOOSE(CONTROL!$C$21, $C$9, 100%, $E$9)</f>
        <v>20.302199999999999</v>
      </c>
      <c r="T754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54" s="58">
        <f>(1000*CHOOSE(CONTROL!$C$42, 695, 695)*CHOOSE(CONTROL!$C$42, 0.5599, 0.5599)*CHOOSE(CONTROL!$C$42, 31, 31))/1000000</f>
        <v>12.063045499999998</v>
      </c>
      <c r="V754" s="58">
        <f>(1000*CHOOSE(CONTROL!$C$42, 500, 500)*CHOOSE(CONTROL!$C$42, 0.275, 0.275)*CHOOSE(CONTROL!$C$42, 31, 31))/1000000</f>
        <v>4.2625000000000002</v>
      </c>
      <c r="W754" s="58">
        <f>(1000*CHOOSE(CONTROL!$C$42, 0.1146, 0.1146)*CHOOSE(CONTROL!$C$42, 121.5, 121.5)*CHOOSE(CONTROL!$C$42, 31, 31))/1000000</f>
        <v>0.43164089999999994</v>
      </c>
      <c r="X754" s="58">
        <f>(31*0.1790888*245000/1000000)+(31*0.2374*100000/1000000)</f>
        <v>2.0961194359999999</v>
      </c>
      <c r="Y754" s="58"/>
      <c r="Z754" s="10"/>
      <c r="AA754" s="57"/>
      <c r="AB754" s="51">
        <f>(B754*131.881+C754*277.167+D754*79.08+E754*125.872+F754*40+G754*185+H754*0+I754*100+J754*300)/(131.881+277.167+79.08+125.872+0+40+185+100+300)</f>
        <v>20.93859630702179</v>
      </c>
      <c r="AC754" s="27">
        <f>(M754*'RAP TEMPLATE-GAS AVAILABILITY'!O753+N754*'RAP TEMPLATE-GAS AVAILABILITY'!P753+O754*'RAP TEMPLATE-GAS AVAILABILITY'!Q753+P754*'RAP TEMPLATE-GAS AVAILABILITY'!R753)/('RAP TEMPLATE-GAS AVAILABILITY'!O753+'RAP TEMPLATE-GAS AVAILABILITY'!P753+'RAP TEMPLATE-GAS AVAILABILITY'!Q753+'RAP TEMPLATE-GAS AVAILABILITY'!R753)</f>
        <v>20.79565107913669</v>
      </c>
    </row>
    <row r="755" spans="1:29" ht="15.75" x14ac:dyDescent="0.25">
      <c r="A755" s="13">
        <v>64253</v>
      </c>
      <c r="B755" s="10">
        <f>CHOOSE(CONTROL!$C$42, 21.4593, 21.4593) * CHOOSE(CONTROL!$C$21, $C$9, 100%, $E$9)</f>
        <v>21.459299999999999</v>
      </c>
      <c r="C755" s="10">
        <f>CHOOSE(CONTROL!$C$42, 21.4643, 21.4643) * CHOOSE(CONTROL!$C$21, $C$9, 100%, $E$9)</f>
        <v>21.464300000000001</v>
      </c>
      <c r="D755" s="10">
        <f>CHOOSE(CONTROL!$C$42, 21.4939, 21.4939) * CHOOSE(CONTROL!$C$21, $C$9, 100%, $E$9)</f>
        <v>21.4939</v>
      </c>
      <c r="E755" s="10">
        <f>CHOOSE(CONTROL!$C$42, 21.5276, 21.5276) * CHOOSE(CONTROL!$C$21, $C$9, 100%, $E$9)</f>
        <v>21.5276</v>
      </c>
      <c r="F755" s="10">
        <f>CHOOSE(CONTROL!$C$42, 21.4451, 21.4451)*CHOOSE(CONTROL!$C$21, $C$9, 100%, $E$9)</f>
        <v>21.4451</v>
      </c>
      <c r="G755" s="10">
        <f>CHOOSE(CONTROL!$C$42, 21.4631, 21.4631)*CHOOSE(CONTROL!$C$21, $C$9, 100%, $E$9)</f>
        <v>21.463100000000001</v>
      </c>
      <c r="H755" s="10">
        <f>CHOOSE(CONTROL!$C$42, 21.5168, 21.5168) * CHOOSE(CONTROL!$C$21, $C$9, 100%, $E$9)</f>
        <v>21.5168</v>
      </c>
      <c r="I755" s="10">
        <f>CHOOSE(CONTROL!$C$42, 21.4255, 21.4255)* CHOOSE(CONTROL!$C$21, $C$9, 100%, $E$9)</f>
        <v>21.4255</v>
      </c>
      <c r="J755" s="10">
        <f>CHOOSE(CONTROL!$C$42, 21.4381, 21.4381)* CHOOSE(CONTROL!$C$21, $C$9, 100%, $E$9)</f>
        <v>21.438099999999999</v>
      </c>
      <c r="K755" s="54">
        <f>CHOOSE(CONTROL!$C$42, 21.4216, 21.4216) * CHOOSE(CONTROL!$C$21, $C$9, 100%, $E$9)</f>
        <v>21.421600000000002</v>
      </c>
      <c r="L755" s="10">
        <f>CHOOSE(CONTROL!$C$42, 22.1038, 22.1038) * CHOOSE(CONTROL!$C$21, $C$9, 100%, $E$9)</f>
        <v>22.1038</v>
      </c>
      <c r="M755" s="10">
        <f>CHOOSE(CONTROL!$C$42, 21.2355, 21.2355) * CHOOSE(CONTROL!$C$21, $C$9, 100%, $E$9)</f>
        <v>21.235499999999998</v>
      </c>
      <c r="N755" s="10">
        <f>CHOOSE(CONTROL!$C$42, 21.2534, 21.2534) * CHOOSE(CONTROL!$C$21, $C$9, 100%, $E$9)</f>
        <v>21.253399999999999</v>
      </c>
      <c r="O755" s="10">
        <f>CHOOSE(CONTROL!$C$42, 21.3135, 21.3135) * CHOOSE(CONTROL!$C$21, $C$9, 100%, $E$9)</f>
        <v>21.313500000000001</v>
      </c>
      <c r="P755" s="10">
        <f>CHOOSE(CONTROL!$C$42, 21.2231, 21.2231) * CHOOSE(CONTROL!$C$21, $C$9, 100%, $E$9)</f>
        <v>21.223099999999999</v>
      </c>
      <c r="Q755" s="10">
        <f>CHOOSE(CONTROL!$C$42, 21.9088, 21.9088) * CHOOSE(CONTROL!$C$21, $C$9, 100%, $E$9)</f>
        <v>21.908799999999999</v>
      </c>
      <c r="R755" s="10">
        <f>CHOOSE(CONTROL!$C$42, 22.5506, 22.5506) * CHOOSE(CONTROL!$C$21, $C$9, 100%, $E$9)</f>
        <v>22.550599999999999</v>
      </c>
      <c r="S755" s="10">
        <f>CHOOSE(CONTROL!$C$42, 20.837, 20.837) * CHOOSE(CONTROL!$C$21, $C$9, 100%, $E$9)</f>
        <v>20.837</v>
      </c>
      <c r="T755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55" s="58">
        <f>(1000*CHOOSE(CONTROL!$C$42, 695, 695)*CHOOSE(CONTROL!$C$42, 0.5599, 0.5599)*CHOOSE(CONTROL!$C$42, 30, 30))/1000000</f>
        <v>11.673914999999997</v>
      </c>
      <c r="V755" s="58">
        <f>(1000*CHOOSE(CONTROL!$C$42, 500, 500)*CHOOSE(CONTROL!$C$42, 0.275, 0.275)*CHOOSE(CONTROL!$C$42, 30, 30))/1000000</f>
        <v>4.125</v>
      </c>
      <c r="W755" s="58">
        <f>(1000*CHOOSE(CONTROL!$C$42, 0.1146, 0.1146)*CHOOSE(CONTROL!$C$42, 121.5, 121.5)*CHOOSE(CONTROL!$C$42, 30, 30))/1000000</f>
        <v>0.417717</v>
      </c>
      <c r="X755" s="58">
        <f>(30*0.1790888*100000/1000000)+(30*0.2374*100000/1000000)</f>
        <v>1.2494664</v>
      </c>
      <c r="Y755" s="58"/>
      <c r="Z755" s="10"/>
      <c r="AA755" s="57"/>
      <c r="AB755" s="51">
        <f>(B755*122.58+C755*297.941+D755*89.177+E755*40.302+F755*40+G755*160+H755*0+I755*100+J755*300)/(122.58+297.941+89.177+40.302+0+40+160+100+300)</f>
        <v>21.457237265913044</v>
      </c>
      <c r="AC755" s="27">
        <f>(M755*'RAP TEMPLATE-GAS AVAILABILITY'!O754+N755*'RAP TEMPLATE-GAS AVAILABILITY'!P754+O755*'RAP TEMPLATE-GAS AVAILABILITY'!Q754+P755*'RAP TEMPLATE-GAS AVAILABILITY'!R754)/('RAP TEMPLATE-GAS AVAILABILITY'!O754+'RAP TEMPLATE-GAS AVAILABILITY'!P754+'RAP TEMPLATE-GAS AVAILABILITY'!Q754+'RAP TEMPLATE-GAS AVAILABILITY'!R754)</f>
        <v>21.270098561151077</v>
      </c>
    </row>
    <row r="756" spans="1:29" ht="15.75" x14ac:dyDescent="0.25">
      <c r="A756" s="13">
        <v>64284</v>
      </c>
      <c r="B756" s="10">
        <f>CHOOSE(CONTROL!$C$42, 22.9222, 22.9222) * CHOOSE(CONTROL!$C$21, $C$9, 100%, $E$9)</f>
        <v>22.9222</v>
      </c>
      <c r="C756" s="10">
        <f>CHOOSE(CONTROL!$C$42, 22.9271, 22.9271) * CHOOSE(CONTROL!$C$21, $C$9, 100%, $E$9)</f>
        <v>22.927099999999999</v>
      </c>
      <c r="D756" s="10">
        <f>CHOOSE(CONTROL!$C$42, 22.9567, 22.9567) * CHOOSE(CONTROL!$C$21, $C$9, 100%, $E$9)</f>
        <v>22.956700000000001</v>
      </c>
      <c r="E756" s="10">
        <f>CHOOSE(CONTROL!$C$42, 22.9905, 22.9905) * CHOOSE(CONTROL!$C$21, $C$9, 100%, $E$9)</f>
        <v>22.990500000000001</v>
      </c>
      <c r="F756" s="10">
        <f>CHOOSE(CONTROL!$C$42, 22.9095, 22.9095)*CHOOSE(CONTROL!$C$21, $C$9, 100%, $E$9)</f>
        <v>22.909500000000001</v>
      </c>
      <c r="G756" s="10">
        <f>CHOOSE(CONTROL!$C$42, 22.9279, 22.9279)*CHOOSE(CONTROL!$C$21, $C$9, 100%, $E$9)</f>
        <v>22.927900000000001</v>
      </c>
      <c r="H756" s="10">
        <f>CHOOSE(CONTROL!$C$42, 22.9797, 22.9797) * CHOOSE(CONTROL!$C$21, $C$9, 100%, $E$9)</f>
        <v>22.979700000000001</v>
      </c>
      <c r="I756" s="10">
        <f>CHOOSE(CONTROL!$C$42, 22.8884, 22.8884)* CHOOSE(CONTROL!$C$21, $C$9, 100%, $E$9)</f>
        <v>22.888400000000001</v>
      </c>
      <c r="J756" s="10">
        <f>CHOOSE(CONTROL!$C$42, 22.9025, 22.9025)* CHOOSE(CONTROL!$C$21, $C$9, 100%, $E$9)</f>
        <v>22.9025</v>
      </c>
      <c r="K756" s="54">
        <f>CHOOSE(CONTROL!$C$42, 22.8845, 22.8845) * CHOOSE(CONTROL!$C$21, $C$9, 100%, $E$9)</f>
        <v>22.884499999999999</v>
      </c>
      <c r="L756" s="10">
        <f>CHOOSE(CONTROL!$C$42, 23.5667, 23.5667) * CHOOSE(CONTROL!$C$21, $C$9, 100%, $E$9)</f>
        <v>23.566700000000001</v>
      </c>
      <c r="M756" s="10">
        <f>CHOOSE(CONTROL!$C$42, 22.6852, 22.6852) * CHOOSE(CONTROL!$C$21, $C$9, 100%, $E$9)</f>
        <v>22.685199999999998</v>
      </c>
      <c r="N756" s="10">
        <f>CHOOSE(CONTROL!$C$42, 22.7035, 22.7035) * CHOOSE(CONTROL!$C$21, $C$9, 100%, $E$9)</f>
        <v>22.703499999999998</v>
      </c>
      <c r="O756" s="10">
        <f>CHOOSE(CONTROL!$C$42, 22.7616, 22.7616) * CHOOSE(CONTROL!$C$21, $C$9, 100%, $E$9)</f>
        <v>22.761600000000001</v>
      </c>
      <c r="P756" s="10">
        <f>CHOOSE(CONTROL!$C$42, 22.6712, 22.6712) * CHOOSE(CONTROL!$C$21, $C$9, 100%, $E$9)</f>
        <v>22.671199999999999</v>
      </c>
      <c r="Q756" s="10">
        <f>CHOOSE(CONTROL!$C$42, 23.3569, 23.3569) * CHOOSE(CONTROL!$C$21, $C$9, 100%, $E$9)</f>
        <v>23.3569</v>
      </c>
      <c r="R756" s="10">
        <f>CHOOSE(CONTROL!$C$42, 24.0023, 24.0023) * CHOOSE(CONTROL!$C$21, $C$9, 100%, $E$9)</f>
        <v>24.002300000000002</v>
      </c>
      <c r="S756" s="10">
        <f>CHOOSE(CONTROL!$C$42, 22.2576, 22.2576) * CHOOSE(CONTROL!$C$21, $C$9, 100%, $E$9)</f>
        <v>22.2576</v>
      </c>
      <c r="T756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56" s="58">
        <f>(1000*CHOOSE(CONTROL!$C$42, 695, 695)*CHOOSE(CONTROL!$C$42, 0.5599, 0.5599)*CHOOSE(CONTROL!$C$42, 31, 31))/1000000</f>
        <v>12.063045499999998</v>
      </c>
      <c r="V756" s="58">
        <f>(1000*CHOOSE(CONTROL!$C$42, 500, 500)*CHOOSE(CONTROL!$C$42, 0.275, 0.275)*CHOOSE(CONTROL!$C$42, 31, 31))/1000000</f>
        <v>4.2625000000000002</v>
      </c>
      <c r="W756" s="58">
        <f>(1000*CHOOSE(CONTROL!$C$42, 0.1146, 0.1146)*CHOOSE(CONTROL!$C$42, 121.5, 121.5)*CHOOSE(CONTROL!$C$42, 31, 31))/1000000</f>
        <v>0.43164089999999994</v>
      </c>
      <c r="X756" s="58">
        <f>(31*0.1790888*100000/1000000)+(31*0.2374*100000/1000000)</f>
        <v>1.2911152800000001</v>
      </c>
      <c r="Y756" s="58"/>
      <c r="Z756" s="10"/>
      <c r="AA756" s="57"/>
      <c r="AB756" s="51">
        <f>(B756*122.58+C756*297.941+D756*89.177+E756*40.302+F756*40+G756*160+H756*0+I756*100+J756*300)/(122.58+297.941+89.177+40.302+0+40+160+100+300)</f>
        <v>22.920811429565219</v>
      </c>
      <c r="AC756" s="27">
        <f>(M756*'RAP TEMPLATE-GAS AVAILABILITY'!O755+N756*'RAP TEMPLATE-GAS AVAILABILITY'!P755+O756*'RAP TEMPLATE-GAS AVAILABILITY'!Q755+P756*'RAP TEMPLATE-GAS AVAILABILITY'!R755)/('RAP TEMPLATE-GAS AVAILABILITY'!O755+'RAP TEMPLATE-GAS AVAILABILITY'!P755+'RAP TEMPLATE-GAS AVAILABILITY'!Q755+'RAP TEMPLATE-GAS AVAILABILITY'!R755)</f>
        <v>22.718866187050359</v>
      </c>
    </row>
    <row r="757" spans="1:29" ht="15.75" x14ac:dyDescent="0.25">
      <c r="A757" s="13">
        <v>64315</v>
      </c>
      <c r="B757" s="10">
        <f>CHOOSE(CONTROL!$C$42, 24.4691, 24.4691) * CHOOSE(CONTROL!$C$21, $C$9, 100%, $E$9)</f>
        <v>24.469100000000001</v>
      </c>
      <c r="C757" s="10">
        <f>CHOOSE(CONTROL!$C$42, 24.4741, 24.4741) * CHOOSE(CONTROL!$C$21, $C$9, 100%, $E$9)</f>
        <v>24.4741</v>
      </c>
      <c r="D757" s="10">
        <f>CHOOSE(CONTROL!$C$42, 24.5243, 24.5243) * CHOOSE(CONTROL!$C$21, $C$9, 100%, $E$9)</f>
        <v>24.5243</v>
      </c>
      <c r="E757" s="10">
        <f>CHOOSE(CONTROL!$C$42, 24.558, 24.558) * CHOOSE(CONTROL!$C$21, $C$9, 100%, $E$9)</f>
        <v>24.558</v>
      </c>
      <c r="F757" s="10">
        <f>CHOOSE(CONTROL!$C$42, 24.4345, 24.4345)*CHOOSE(CONTROL!$C$21, $C$9, 100%, $E$9)</f>
        <v>24.4345</v>
      </c>
      <c r="G757" s="10">
        <f>CHOOSE(CONTROL!$C$42, 24.452, 24.452)*CHOOSE(CONTROL!$C$21, $C$9, 100%, $E$9)</f>
        <v>24.452000000000002</v>
      </c>
      <c r="H757" s="10">
        <f>CHOOSE(CONTROL!$C$42, 24.5472, 24.5472) * CHOOSE(CONTROL!$C$21, $C$9, 100%, $E$9)</f>
        <v>24.5472</v>
      </c>
      <c r="I757" s="10">
        <f>CHOOSE(CONTROL!$C$42, 24.443, 24.443)* CHOOSE(CONTROL!$C$21, $C$9, 100%, $E$9)</f>
        <v>24.443000000000001</v>
      </c>
      <c r="J757" s="10">
        <f>CHOOSE(CONTROL!$C$42, 24.4275, 24.4275)* CHOOSE(CONTROL!$C$21, $C$9, 100%, $E$9)</f>
        <v>24.427499999999998</v>
      </c>
      <c r="K757" s="54">
        <f>CHOOSE(CONTROL!$C$42, 24.4391, 24.4391) * CHOOSE(CONTROL!$C$21, $C$9, 100%, $E$9)</f>
        <v>24.4391</v>
      </c>
      <c r="L757" s="10">
        <f>CHOOSE(CONTROL!$C$42, 25.1342, 25.1342) * CHOOSE(CONTROL!$C$21, $C$9, 100%, $E$9)</f>
        <v>25.1342</v>
      </c>
      <c r="M757" s="10">
        <f>CHOOSE(CONTROL!$C$42, 24.1948, 24.1948) * CHOOSE(CONTROL!$C$21, $C$9, 100%, $E$9)</f>
        <v>24.194800000000001</v>
      </c>
      <c r="N757" s="10">
        <f>CHOOSE(CONTROL!$C$42, 24.2122, 24.2122) * CHOOSE(CONTROL!$C$21, $C$9, 100%, $E$9)</f>
        <v>24.212199999999999</v>
      </c>
      <c r="O757" s="10">
        <f>CHOOSE(CONTROL!$C$42, 24.3133, 24.3133) * CHOOSE(CONTROL!$C$21, $C$9, 100%, $E$9)</f>
        <v>24.313300000000002</v>
      </c>
      <c r="P757" s="10">
        <f>CHOOSE(CONTROL!$C$42, 24.2102, 24.2102) * CHOOSE(CONTROL!$C$21, $C$9, 100%, $E$9)</f>
        <v>24.2102</v>
      </c>
      <c r="Q757" s="10">
        <f>CHOOSE(CONTROL!$C$42, 24.9086, 24.9086) * CHOOSE(CONTROL!$C$21, $C$9, 100%, $E$9)</f>
        <v>24.9086</v>
      </c>
      <c r="R757" s="10">
        <f>CHOOSE(CONTROL!$C$42, 25.5579, 25.5579) * CHOOSE(CONTROL!$C$21, $C$9, 100%, $E$9)</f>
        <v>25.5579</v>
      </c>
      <c r="S757" s="10">
        <f>CHOOSE(CONTROL!$C$42, 23.7598, 23.7598) * CHOOSE(CONTROL!$C$21, $C$9, 100%, $E$9)</f>
        <v>23.759799999999998</v>
      </c>
      <c r="T757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57" s="58">
        <f>(1000*CHOOSE(CONTROL!$C$42, 695, 695)*CHOOSE(CONTROL!$C$42, 0.5599, 0.5599)*CHOOSE(CONTROL!$C$42, 31, 31))/1000000</f>
        <v>12.063045499999998</v>
      </c>
      <c r="V757" s="58">
        <f>(1000*CHOOSE(CONTROL!$C$42, 500, 500)*CHOOSE(CONTROL!$C$42, 0.275, 0.275)*CHOOSE(CONTROL!$C$42, 31, 31))/1000000</f>
        <v>4.2625000000000002</v>
      </c>
      <c r="W757" s="58">
        <f>(1000*CHOOSE(CONTROL!$C$42, 0.1146, 0.1146)*CHOOSE(CONTROL!$C$42, 121.5, 121.5)*CHOOSE(CONTROL!$C$42, 31, 31))/1000000</f>
        <v>0.43164089999999994</v>
      </c>
      <c r="X757" s="58">
        <f>(31*0.1790888*100000/1000000)+(31*0.2374*100000/1000000)</f>
        <v>1.2911152800000001</v>
      </c>
      <c r="Y757" s="58"/>
      <c r="Z757" s="10"/>
      <c r="AA757" s="57"/>
      <c r="AB757" s="51">
        <f>(B757*122.58+C757*297.941+D757*89.177+E757*40.302+F757*40+G757*160+H757*0+I757*100+J757*300)/(122.58+297.941+89.177+40.302+0+40+160+100+300)</f>
        <v>24.461087063652172</v>
      </c>
      <c r="AC757" s="27">
        <f>(M757*'RAP TEMPLATE-GAS AVAILABILITY'!O756+N757*'RAP TEMPLATE-GAS AVAILABILITY'!P756+O757*'RAP TEMPLATE-GAS AVAILABILITY'!Q756+P757*'RAP TEMPLATE-GAS AVAILABILITY'!R756)/('RAP TEMPLATE-GAS AVAILABILITY'!O756+'RAP TEMPLATE-GAS AVAILABILITY'!P756+'RAP TEMPLATE-GAS AVAILABILITY'!Q756+'RAP TEMPLATE-GAS AVAILABILITY'!R756)</f>
        <v>24.251725899280579</v>
      </c>
    </row>
    <row r="758" spans="1:29" ht="15.75" x14ac:dyDescent="0.25">
      <c r="A758" s="13">
        <v>64344</v>
      </c>
      <c r="B758" s="10">
        <f>CHOOSE(CONTROL!$C$42, 24.9046, 24.9046) * CHOOSE(CONTROL!$C$21, $C$9, 100%, $E$9)</f>
        <v>24.904599999999999</v>
      </c>
      <c r="C758" s="10">
        <f>CHOOSE(CONTROL!$C$42, 24.9096, 24.9096) * CHOOSE(CONTROL!$C$21, $C$9, 100%, $E$9)</f>
        <v>24.909600000000001</v>
      </c>
      <c r="D758" s="10">
        <f>CHOOSE(CONTROL!$C$42, 25.0267, 25.0267) * CHOOSE(CONTROL!$C$21, $C$9, 100%, $E$9)</f>
        <v>25.026700000000002</v>
      </c>
      <c r="E758" s="10">
        <f>CHOOSE(CONTROL!$C$42, 25.0605, 25.0605) * CHOOSE(CONTROL!$C$21, $C$9, 100%, $E$9)</f>
        <v>25.060500000000001</v>
      </c>
      <c r="F758" s="10">
        <f>CHOOSE(CONTROL!$C$42, 24.9822, 24.9822)*CHOOSE(CONTROL!$C$21, $C$9, 100%, $E$9)</f>
        <v>24.982199999999999</v>
      </c>
      <c r="G758" s="10">
        <f>CHOOSE(CONTROL!$C$42, 25.0041, 25.0041)*CHOOSE(CONTROL!$C$21, $C$9, 100%, $E$9)</f>
        <v>25.004100000000001</v>
      </c>
      <c r="H758" s="10">
        <f>CHOOSE(CONTROL!$C$42, 25.0497, 25.0497) * CHOOSE(CONTROL!$C$21, $C$9, 100%, $E$9)</f>
        <v>25.049700000000001</v>
      </c>
      <c r="I758" s="10">
        <f>CHOOSE(CONTROL!$C$42, 24.9403, 24.9403)* CHOOSE(CONTROL!$C$21, $C$9, 100%, $E$9)</f>
        <v>24.940300000000001</v>
      </c>
      <c r="J758" s="10">
        <f>CHOOSE(CONTROL!$C$42, 24.9752, 24.9752)* CHOOSE(CONTROL!$C$21, $C$9, 100%, $E$9)</f>
        <v>24.975200000000001</v>
      </c>
      <c r="K758" s="54">
        <f>CHOOSE(CONTROL!$C$42, 24.9364, 24.9364) * CHOOSE(CONTROL!$C$21, $C$9, 100%, $E$9)</f>
        <v>24.936399999999999</v>
      </c>
      <c r="L758" s="10">
        <f>CHOOSE(CONTROL!$C$42, 25.6367, 25.6367) * CHOOSE(CONTROL!$C$21, $C$9, 100%, $E$9)</f>
        <v>25.636700000000001</v>
      </c>
      <c r="M758" s="10">
        <f>CHOOSE(CONTROL!$C$42, 24.737, 24.737) * CHOOSE(CONTROL!$C$21, $C$9, 100%, $E$9)</f>
        <v>24.736999999999998</v>
      </c>
      <c r="N758" s="10">
        <f>CHOOSE(CONTROL!$C$42, 24.7587, 24.7587) * CHOOSE(CONTROL!$C$21, $C$9, 100%, $E$9)</f>
        <v>24.758700000000001</v>
      </c>
      <c r="O758" s="10">
        <f>CHOOSE(CONTROL!$C$42, 24.8107, 24.8107) * CHOOSE(CONTROL!$C$21, $C$9, 100%, $E$9)</f>
        <v>24.810700000000001</v>
      </c>
      <c r="P758" s="10">
        <f>CHOOSE(CONTROL!$C$42, 24.7025, 24.7025) * CHOOSE(CONTROL!$C$21, $C$9, 100%, $E$9)</f>
        <v>24.702500000000001</v>
      </c>
      <c r="Q758" s="10">
        <f>CHOOSE(CONTROL!$C$42, 25.406, 25.406) * CHOOSE(CONTROL!$C$21, $C$9, 100%, $E$9)</f>
        <v>25.405999999999999</v>
      </c>
      <c r="R758" s="10">
        <f>CHOOSE(CONTROL!$C$42, 26.0565, 26.0565) * CHOOSE(CONTROL!$C$21, $C$9, 100%, $E$9)</f>
        <v>26.0565</v>
      </c>
      <c r="S758" s="10">
        <f>CHOOSE(CONTROL!$C$42, 24.1828, 24.1828) * CHOOSE(CONTROL!$C$21, $C$9, 100%, $E$9)</f>
        <v>24.1828</v>
      </c>
      <c r="T758" s="5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758" s="58">
        <f>(1000*CHOOSE(CONTROL!$C$42, 695, 695)*CHOOSE(CONTROL!$C$42, 0.5599, 0.5599)*CHOOSE(CONTROL!$C$42, 29, 29))/1000000</f>
        <v>11.284784499999999</v>
      </c>
      <c r="V758" s="58">
        <f>(1000*CHOOSE(CONTROL!$C$42, 500, 500)*CHOOSE(CONTROL!$C$42, 0.275, 0.275)*CHOOSE(CONTROL!$C$42, 29, 29))/1000000</f>
        <v>3.9874999999999998</v>
      </c>
      <c r="W758" s="58">
        <f>(1000*CHOOSE(CONTROL!$C$42, 0.1146, 0.1146)*CHOOSE(CONTROL!$C$42, 121.5, 121.5)*CHOOSE(CONTROL!$C$42, 29, 29))/1000000</f>
        <v>0.40379309999999996</v>
      </c>
      <c r="X758" s="58">
        <f>(29*0.1790888*100000/1000000)+(29*0.2374*100000/1000000)</f>
        <v>1.2078175199999999</v>
      </c>
      <c r="Y758" s="58"/>
      <c r="Z758" s="10"/>
      <c r="AA758" s="57"/>
      <c r="AB758" s="51">
        <f>(B758*122.58+C758*297.941+D758*89.177+E758*40.302+F758*40+G758*160+H758*0+I758*100+J758*300)/(122.58+297.941+89.177+40.302+0+40+160+100+300)</f>
        <v>24.958891563913046</v>
      </c>
      <c r="AC758" s="27">
        <f>(M758*'RAP TEMPLATE-GAS AVAILABILITY'!O757+N758*'RAP TEMPLATE-GAS AVAILABILITY'!P757+O758*'RAP TEMPLATE-GAS AVAILABILITY'!Q757+P758*'RAP TEMPLATE-GAS AVAILABILITY'!R757)/('RAP TEMPLATE-GAS AVAILABILITY'!O757+'RAP TEMPLATE-GAS AVAILABILITY'!P757+'RAP TEMPLATE-GAS AVAILABILITY'!Q757+'RAP TEMPLATE-GAS AVAILABILITY'!R757)</f>
        <v>24.766688489208633</v>
      </c>
    </row>
    <row r="759" spans="1:29" ht="15.75" x14ac:dyDescent="0.25">
      <c r="A759" s="13">
        <v>64375</v>
      </c>
      <c r="B759" s="10">
        <f>CHOOSE(CONTROL!$C$42, 24.1977, 24.1977) * CHOOSE(CONTROL!$C$21, $C$9, 100%, $E$9)</f>
        <v>24.197700000000001</v>
      </c>
      <c r="C759" s="10">
        <f>CHOOSE(CONTROL!$C$42, 24.2026, 24.2026) * CHOOSE(CONTROL!$C$21, $C$9, 100%, $E$9)</f>
        <v>24.2026</v>
      </c>
      <c r="D759" s="10">
        <f>CHOOSE(CONTROL!$C$42, 24.294, 24.294) * CHOOSE(CONTROL!$C$21, $C$9, 100%, $E$9)</f>
        <v>24.294</v>
      </c>
      <c r="E759" s="10">
        <f>CHOOSE(CONTROL!$C$42, 24.3278, 24.3278) * CHOOSE(CONTROL!$C$21, $C$9, 100%, $E$9)</f>
        <v>24.3278</v>
      </c>
      <c r="F759" s="10">
        <f>CHOOSE(CONTROL!$C$42, 24.2275, 24.2275)*CHOOSE(CONTROL!$C$21, $C$9, 100%, $E$9)</f>
        <v>24.227499999999999</v>
      </c>
      <c r="G759" s="10">
        <f>CHOOSE(CONTROL!$C$42, 24.247, 24.247)*CHOOSE(CONTROL!$C$21, $C$9, 100%, $E$9)</f>
        <v>24.247</v>
      </c>
      <c r="H759" s="10">
        <f>CHOOSE(CONTROL!$C$42, 24.317, 24.317) * CHOOSE(CONTROL!$C$21, $C$9, 100%, $E$9)</f>
        <v>24.317</v>
      </c>
      <c r="I759" s="10">
        <f>CHOOSE(CONTROL!$C$42, 24.2205, 24.2205)* CHOOSE(CONTROL!$C$21, $C$9, 100%, $E$9)</f>
        <v>24.220500000000001</v>
      </c>
      <c r="J759" s="10">
        <f>CHOOSE(CONTROL!$C$42, 24.2205, 24.2205)* CHOOSE(CONTROL!$C$21, $C$9, 100%, $E$9)</f>
        <v>24.220500000000001</v>
      </c>
      <c r="K759" s="54">
        <f>CHOOSE(CONTROL!$C$42, 24.2166, 24.2166) * CHOOSE(CONTROL!$C$21, $C$9, 100%, $E$9)</f>
        <v>24.2166</v>
      </c>
      <c r="L759" s="10">
        <f>CHOOSE(CONTROL!$C$42, 24.904, 24.904) * CHOOSE(CONTROL!$C$21, $C$9, 100%, $E$9)</f>
        <v>24.904</v>
      </c>
      <c r="M759" s="10">
        <f>CHOOSE(CONTROL!$C$42, 23.9899, 23.9899) * CHOOSE(CONTROL!$C$21, $C$9, 100%, $E$9)</f>
        <v>23.989899999999999</v>
      </c>
      <c r="N759" s="10">
        <f>CHOOSE(CONTROL!$C$42, 24.0092, 24.0092) * CHOOSE(CONTROL!$C$21, $C$9, 100%, $E$9)</f>
        <v>24.0092</v>
      </c>
      <c r="O759" s="10">
        <f>CHOOSE(CONTROL!$C$42, 24.0854, 24.0854) * CHOOSE(CONTROL!$C$21, $C$9, 100%, $E$9)</f>
        <v>24.0854</v>
      </c>
      <c r="P759" s="10">
        <f>CHOOSE(CONTROL!$C$42, 23.9899, 23.9899) * CHOOSE(CONTROL!$C$21, $C$9, 100%, $E$9)</f>
        <v>23.989899999999999</v>
      </c>
      <c r="Q759" s="10">
        <f>CHOOSE(CONTROL!$C$42, 24.6807, 24.6807) * CHOOSE(CONTROL!$C$21, $C$9, 100%, $E$9)</f>
        <v>24.680700000000002</v>
      </c>
      <c r="R759" s="10">
        <f>CHOOSE(CONTROL!$C$42, 25.3294, 25.3294) * CHOOSE(CONTROL!$C$21, $C$9, 100%, $E$9)</f>
        <v>25.3294</v>
      </c>
      <c r="S759" s="10">
        <f>CHOOSE(CONTROL!$C$42, 23.4962, 23.4962) * CHOOSE(CONTROL!$C$21, $C$9, 100%, $E$9)</f>
        <v>23.496200000000002</v>
      </c>
      <c r="T759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59" s="58">
        <f>(1000*CHOOSE(CONTROL!$C$42, 695, 695)*CHOOSE(CONTROL!$C$42, 0.5599, 0.5599)*CHOOSE(CONTROL!$C$42, 31, 31))/1000000</f>
        <v>12.063045499999998</v>
      </c>
      <c r="V759" s="58">
        <f>(1000*CHOOSE(CONTROL!$C$42, 500, 500)*CHOOSE(CONTROL!$C$42, 0.275, 0.275)*CHOOSE(CONTROL!$C$42, 31, 31))/1000000</f>
        <v>4.2625000000000002</v>
      </c>
      <c r="W759" s="58">
        <f>(1000*CHOOSE(CONTROL!$C$42, 0.1146, 0.1146)*CHOOSE(CONTROL!$C$42, 121.5, 121.5)*CHOOSE(CONTROL!$C$42, 31, 31))/1000000</f>
        <v>0.43164089999999994</v>
      </c>
      <c r="X759" s="58">
        <f>(31*0.1790888*100000/1000000)+(31*0.2374*100000/1000000)</f>
        <v>1.2911152800000001</v>
      </c>
      <c r="Y759" s="58"/>
      <c r="Z759" s="10"/>
      <c r="AA759" s="57"/>
      <c r="AB759" s="51">
        <f>(B759*122.58+C759*297.941+D759*89.177+E759*40.302+F759*40+G759*160+H759*0+I759*100+J759*300)/(122.58+297.941+89.177+40.302+0+40+160+100+300)</f>
        <v>24.226822561913043</v>
      </c>
      <c r="AC759" s="27">
        <f>(M759*'RAP TEMPLATE-GAS AVAILABILITY'!O758+N759*'RAP TEMPLATE-GAS AVAILABILITY'!P758+O759*'RAP TEMPLATE-GAS AVAILABILITY'!Q758+P759*'RAP TEMPLATE-GAS AVAILABILITY'!R758)/('RAP TEMPLATE-GAS AVAILABILITY'!O758+'RAP TEMPLATE-GAS AVAILABILITY'!P758+'RAP TEMPLATE-GAS AVAILABILITY'!Q758+'RAP TEMPLATE-GAS AVAILABILITY'!R758)</f>
        <v>24.034294964028774</v>
      </c>
    </row>
    <row r="760" spans="1:29" ht="15.75" x14ac:dyDescent="0.25">
      <c r="A760" s="13">
        <v>64405</v>
      </c>
      <c r="B760" s="10">
        <f>CHOOSE(CONTROL!$C$42, 24.126, 24.126) * CHOOSE(CONTROL!$C$21, $C$9, 100%, $E$9)</f>
        <v>24.126000000000001</v>
      </c>
      <c r="C760" s="10">
        <f>CHOOSE(CONTROL!$C$42, 24.1304, 24.1304) * CHOOSE(CONTROL!$C$21, $C$9, 100%, $E$9)</f>
        <v>24.130400000000002</v>
      </c>
      <c r="D760" s="10">
        <f>CHOOSE(CONTROL!$C$42, 24.312, 24.312) * CHOOSE(CONTROL!$C$21, $C$9, 100%, $E$9)</f>
        <v>24.312000000000001</v>
      </c>
      <c r="E760" s="10">
        <f>CHOOSE(CONTROL!$C$42, 24.3438, 24.3438) * CHOOSE(CONTROL!$C$21, $C$9, 100%, $E$9)</f>
        <v>24.343800000000002</v>
      </c>
      <c r="F760" s="10">
        <f>CHOOSE(CONTROL!$C$42, 24.1143, 24.1143)*CHOOSE(CONTROL!$C$21, $C$9, 100%, $E$9)</f>
        <v>24.1143</v>
      </c>
      <c r="G760" s="10">
        <f>CHOOSE(CONTROL!$C$42, 24.1323, 24.1323)*CHOOSE(CONTROL!$C$21, $C$9, 100%, $E$9)</f>
        <v>24.132300000000001</v>
      </c>
      <c r="H760" s="10">
        <f>CHOOSE(CONTROL!$C$42, 24.3336, 24.3336) * CHOOSE(CONTROL!$C$21, $C$9, 100%, $E$9)</f>
        <v>24.333600000000001</v>
      </c>
      <c r="I760" s="10">
        <f>CHOOSE(CONTROL!$C$42, 24.1043, 24.1043)* CHOOSE(CONTROL!$C$21, $C$9, 100%, $E$9)</f>
        <v>24.104299999999999</v>
      </c>
      <c r="J760" s="10">
        <f>CHOOSE(CONTROL!$C$42, 24.1073, 24.1073)* CHOOSE(CONTROL!$C$21, $C$9, 100%, $E$9)</f>
        <v>24.107299999999999</v>
      </c>
      <c r="K760" s="54">
        <f>CHOOSE(CONTROL!$C$42, 24.1004, 24.1004) * CHOOSE(CONTROL!$C$21, $C$9, 100%, $E$9)</f>
        <v>24.1004</v>
      </c>
      <c r="L760" s="10">
        <f>CHOOSE(CONTROL!$C$42, 24.9206, 24.9206) * CHOOSE(CONTROL!$C$21, $C$9, 100%, $E$9)</f>
        <v>24.9206</v>
      </c>
      <c r="M760" s="10">
        <f>CHOOSE(CONTROL!$C$42, 23.8779, 23.8779) * CHOOSE(CONTROL!$C$21, $C$9, 100%, $E$9)</f>
        <v>23.8779</v>
      </c>
      <c r="N760" s="10">
        <f>CHOOSE(CONTROL!$C$42, 23.8957, 23.8957) * CHOOSE(CONTROL!$C$21, $C$9, 100%, $E$9)</f>
        <v>23.895700000000001</v>
      </c>
      <c r="O760" s="10">
        <f>CHOOSE(CONTROL!$C$42, 24.1019, 24.1019) * CHOOSE(CONTROL!$C$21, $C$9, 100%, $E$9)</f>
        <v>24.101900000000001</v>
      </c>
      <c r="P760" s="10">
        <f>CHOOSE(CONTROL!$C$42, 23.8749, 23.8749) * CHOOSE(CONTROL!$C$21, $C$9, 100%, $E$9)</f>
        <v>23.8749</v>
      </c>
      <c r="Q760" s="10">
        <f>CHOOSE(CONTROL!$C$42, 24.6972, 24.6972) * CHOOSE(CONTROL!$C$21, $C$9, 100%, $E$9)</f>
        <v>24.697199999999999</v>
      </c>
      <c r="R760" s="10">
        <f>CHOOSE(CONTROL!$C$42, 25.3459, 25.3459) * CHOOSE(CONTROL!$C$21, $C$9, 100%, $E$9)</f>
        <v>25.3459</v>
      </c>
      <c r="S760" s="10">
        <f>CHOOSE(CONTROL!$C$42, 23.4259, 23.4259) * CHOOSE(CONTROL!$C$21, $C$9, 100%, $E$9)</f>
        <v>23.425899999999999</v>
      </c>
      <c r="T760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60" s="58">
        <f>(1000*CHOOSE(CONTROL!$C$42, 695, 695)*CHOOSE(CONTROL!$C$42, 0.5599, 0.5599)*CHOOSE(CONTROL!$C$42, 30, 30))/1000000</f>
        <v>11.673914999999997</v>
      </c>
      <c r="V760" s="58">
        <f>(1000*CHOOSE(CONTROL!$C$42, 500, 500)*CHOOSE(CONTROL!$C$42, 0.275, 0.275)*CHOOSE(CONTROL!$C$42, 30, 30))/1000000</f>
        <v>4.125</v>
      </c>
      <c r="W760" s="58">
        <f>(1000*CHOOSE(CONTROL!$C$42, 0.1146, 0.1146)*CHOOSE(CONTROL!$C$42, 121.5, 121.5)*CHOOSE(CONTROL!$C$42, 30, 30))/1000000</f>
        <v>0.417717</v>
      </c>
      <c r="X760" s="58">
        <f>(30*0.1790888*245000/1000000)+(30*0.2374*100000/1000000)</f>
        <v>2.0285026799999999</v>
      </c>
      <c r="Y760" s="58"/>
      <c r="Z760" s="10"/>
      <c r="AA760" s="57"/>
      <c r="AB760" s="51">
        <f>(B760*141.293+C760*267.993+D760*115.016+E760*89.698+F760*40+G760*185+H760*0+I760*100+J760*300)/(141.293+267.993+115.016+89.698+0+40+185+100+300)</f>
        <v>24.154269466989508</v>
      </c>
      <c r="AC760" s="27">
        <f>(M760*'RAP TEMPLATE-GAS AVAILABILITY'!O759+N760*'RAP TEMPLATE-GAS AVAILABILITY'!P759+O760*'RAP TEMPLATE-GAS AVAILABILITY'!Q759+P760*'RAP TEMPLATE-GAS AVAILABILITY'!R759)/('RAP TEMPLATE-GAS AVAILABILITY'!O759+'RAP TEMPLATE-GAS AVAILABILITY'!P759+'RAP TEMPLATE-GAS AVAILABILITY'!Q759+'RAP TEMPLATE-GAS AVAILABILITY'!R759)</f>
        <v>23.980017985611514</v>
      </c>
    </row>
    <row r="761" spans="1:29" ht="15.75" x14ac:dyDescent="0.25">
      <c r="A761" s="13">
        <v>64436</v>
      </c>
      <c r="B761" s="10">
        <f>CHOOSE(CONTROL!$C$42, 24.3407, 24.3407) * CHOOSE(CONTROL!$C$21, $C$9, 100%, $E$9)</f>
        <v>24.340699999999998</v>
      </c>
      <c r="C761" s="10">
        <f>CHOOSE(CONTROL!$C$42, 24.3486, 24.3486) * CHOOSE(CONTROL!$C$21, $C$9, 100%, $E$9)</f>
        <v>24.348600000000001</v>
      </c>
      <c r="D761" s="10">
        <f>CHOOSE(CONTROL!$C$42, 24.5271, 24.5271) * CHOOSE(CONTROL!$C$21, $C$9, 100%, $E$9)</f>
        <v>24.527100000000001</v>
      </c>
      <c r="E761" s="10">
        <f>CHOOSE(CONTROL!$C$42, 24.5583, 24.5583) * CHOOSE(CONTROL!$C$21, $C$9, 100%, $E$9)</f>
        <v>24.558299999999999</v>
      </c>
      <c r="F761" s="10">
        <f>CHOOSE(CONTROL!$C$42, 24.3269, 24.3269)*CHOOSE(CONTROL!$C$21, $C$9, 100%, $E$9)</f>
        <v>24.326899999999998</v>
      </c>
      <c r="G761" s="10">
        <f>CHOOSE(CONTROL!$C$42, 24.345, 24.345)*CHOOSE(CONTROL!$C$21, $C$9, 100%, $E$9)</f>
        <v>24.344999999999999</v>
      </c>
      <c r="H761" s="10">
        <f>CHOOSE(CONTROL!$C$42, 24.5469, 24.5469) * CHOOSE(CONTROL!$C$21, $C$9, 100%, $E$9)</f>
        <v>24.546900000000001</v>
      </c>
      <c r="I761" s="10">
        <f>CHOOSE(CONTROL!$C$42, 24.3176, 24.3176)* CHOOSE(CONTROL!$C$21, $C$9, 100%, $E$9)</f>
        <v>24.317599999999999</v>
      </c>
      <c r="J761" s="10">
        <f>CHOOSE(CONTROL!$C$42, 24.3199, 24.3199)* CHOOSE(CONTROL!$C$21, $C$9, 100%, $E$9)</f>
        <v>24.319900000000001</v>
      </c>
      <c r="K761" s="54">
        <f>CHOOSE(CONTROL!$C$42, 24.3137, 24.3137) * CHOOSE(CONTROL!$C$21, $C$9, 100%, $E$9)</f>
        <v>24.313700000000001</v>
      </c>
      <c r="L761" s="10">
        <f>CHOOSE(CONTROL!$C$42, 25.1339, 25.1339) * CHOOSE(CONTROL!$C$21, $C$9, 100%, $E$9)</f>
        <v>25.133900000000001</v>
      </c>
      <c r="M761" s="10">
        <f>CHOOSE(CONTROL!$C$42, 24.0883, 24.0883) * CHOOSE(CONTROL!$C$21, $C$9, 100%, $E$9)</f>
        <v>24.0883</v>
      </c>
      <c r="N761" s="10">
        <f>CHOOSE(CONTROL!$C$42, 24.1063, 24.1063) * CHOOSE(CONTROL!$C$21, $C$9, 100%, $E$9)</f>
        <v>24.106300000000001</v>
      </c>
      <c r="O761" s="10">
        <f>CHOOSE(CONTROL!$C$42, 24.313, 24.313) * CHOOSE(CONTROL!$C$21, $C$9, 100%, $E$9)</f>
        <v>24.312999999999999</v>
      </c>
      <c r="P761" s="10">
        <f>CHOOSE(CONTROL!$C$42, 24.086, 24.086) * CHOOSE(CONTROL!$C$21, $C$9, 100%, $E$9)</f>
        <v>24.085999999999999</v>
      </c>
      <c r="Q761" s="10">
        <f>CHOOSE(CONTROL!$C$42, 24.9083, 24.9083) * CHOOSE(CONTROL!$C$21, $C$9, 100%, $E$9)</f>
        <v>24.908300000000001</v>
      </c>
      <c r="R761" s="10">
        <f>CHOOSE(CONTROL!$C$42, 25.5576, 25.5576) * CHOOSE(CONTROL!$C$21, $C$9, 100%, $E$9)</f>
        <v>25.557600000000001</v>
      </c>
      <c r="S761" s="10">
        <f>CHOOSE(CONTROL!$C$42, 23.633, 23.633) * CHOOSE(CONTROL!$C$21, $C$9, 100%, $E$9)</f>
        <v>23.632999999999999</v>
      </c>
      <c r="T761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61" s="58">
        <f>(1000*CHOOSE(CONTROL!$C$42, 695, 695)*CHOOSE(CONTROL!$C$42, 0.5599, 0.5599)*CHOOSE(CONTROL!$C$42, 31, 31))/1000000</f>
        <v>12.063045499999998</v>
      </c>
      <c r="V761" s="58">
        <f>(1000*CHOOSE(CONTROL!$C$42, 500, 500)*CHOOSE(CONTROL!$C$42, 0.275, 0.275)*CHOOSE(CONTROL!$C$42, 31, 31))/1000000</f>
        <v>4.2625000000000002</v>
      </c>
      <c r="W761" s="58">
        <f>(1000*CHOOSE(CONTROL!$C$42, 0.1146, 0.1146)*CHOOSE(CONTROL!$C$42, 121.5, 121.5)*CHOOSE(CONTROL!$C$42, 31, 31))/1000000</f>
        <v>0.43164089999999994</v>
      </c>
      <c r="X761" s="58">
        <f>(31*0.1790888*245000/1000000)+(31*0.2374*100000/1000000)</f>
        <v>2.0961194359999999</v>
      </c>
      <c r="Y761" s="58"/>
      <c r="Z761" s="10"/>
      <c r="AA761" s="57"/>
      <c r="AB761" s="51">
        <f>(B761*194.205+C761*267.466+D761*133.845+E761*53.484+F761*40+G761*185+H761*0+I761*100+J761*300)/(194.205+267.466+133.845+53.484+0+40+185+100+300)</f>
        <v>24.364556599529042</v>
      </c>
      <c r="AC761" s="27">
        <f>(M761*'RAP TEMPLATE-GAS AVAILABILITY'!O760+N761*'RAP TEMPLATE-GAS AVAILABILITY'!P760+O761*'RAP TEMPLATE-GAS AVAILABILITY'!Q760+P761*'RAP TEMPLATE-GAS AVAILABILITY'!R760)/('RAP TEMPLATE-GAS AVAILABILITY'!O760+'RAP TEMPLATE-GAS AVAILABILITY'!P760+'RAP TEMPLATE-GAS AVAILABILITY'!Q760+'RAP TEMPLATE-GAS AVAILABILITY'!R760)</f>
        <v>24.190847482014387</v>
      </c>
    </row>
    <row r="762" spans="1:29" ht="15.75" x14ac:dyDescent="0.25">
      <c r="A762" s="13">
        <v>64466</v>
      </c>
      <c r="B762" s="10">
        <f>CHOOSE(CONTROL!$C$42, 25.031, 25.031) * CHOOSE(CONTROL!$C$21, $C$9, 100%, $E$9)</f>
        <v>25.030999999999999</v>
      </c>
      <c r="C762" s="10">
        <f>CHOOSE(CONTROL!$C$42, 25.0389, 25.0389) * CHOOSE(CONTROL!$C$21, $C$9, 100%, $E$9)</f>
        <v>25.038900000000002</v>
      </c>
      <c r="D762" s="10">
        <f>CHOOSE(CONTROL!$C$42, 25.2174, 25.2174) * CHOOSE(CONTROL!$C$21, $C$9, 100%, $E$9)</f>
        <v>25.217400000000001</v>
      </c>
      <c r="E762" s="10">
        <f>CHOOSE(CONTROL!$C$42, 25.2486, 25.2486) * CHOOSE(CONTROL!$C$21, $C$9, 100%, $E$9)</f>
        <v>25.2486</v>
      </c>
      <c r="F762" s="10">
        <f>CHOOSE(CONTROL!$C$42, 25.0174, 25.0174)*CHOOSE(CONTROL!$C$21, $C$9, 100%, $E$9)</f>
        <v>25.017399999999999</v>
      </c>
      <c r="G762" s="10">
        <f>CHOOSE(CONTROL!$C$42, 25.0357, 25.0357)*CHOOSE(CONTROL!$C$21, $C$9, 100%, $E$9)</f>
        <v>25.035699999999999</v>
      </c>
      <c r="H762" s="10">
        <f>CHOOSE(CONTROL!$C$42, 25.2372, 25.2372) * CHOOSE(CONTROL!$C$21, $C$9, 100%, $E$9)</f>
        <v>25.237200000000001</v>
      </c>
      <c r="I762" s="10">
        <f>CHOOSE(CONTROL!$C$42, 25.0079, 25.0079)* CHOOSE(CONTROL!$C$21, $C$9, 100%, $E$9)</f>
        <v>25.007899999999999</v>
      </c>
      <c r="J762" s="10">
        <f>CHOOSE(CONTROL!$C$42, 25.0104, 25.0104)* CHOOSE(CONTROL!$C$21, $C$9, 100%, $E$9)</f>
        <v>25.010400000000001</v>
      </c>
      <c r="K762" s="54">
        <f>CHOOSE(CONTROL!$C$42, 25.004, 25.004) * CHOOSE(CONTROL!$C$21, $C$9, 100%, $E$9)</f>
        <v>25.004000000000001</v>
      </c>
      <c r="L762" s="10">
        <f>CHOOSE(CONTROL!$C$42, 25.8242, 25.8242) * CHOOSE(CONTROL!$C$21, $C$9, 100%, $E$9)</f>
        <v>25.824200000000001</v>
      </c>
      <c r="M762" s="10">
        <f>CHOOSE(CONTROL!$C$42, 24.7718, 24.7718) * CHOOSE(CONTROL!$C$21, $C$9, 100%, $E$9)</f>
        <v>24.771799999999999</v>
      </c>
      <c r="N762" s="10">
        <f>CHOOSE(CONTROL!$C$42, 24.7899, 24.7899) * CHOOSE(CONTROL!$C$21, $C$9, 100%, $E$9)</f>
        <v>24.789899999999999</v>
      </c>
      <c r="O762" s="10">
        <f>CHOOSE(CONTROL!$C$42, 24.9963, 24.9963) * CHOOSE(CONTROL!$C$21, $C$9, 100%, $E$9)</f>
        <v>24.996300000000002</v>
      </c>
      <c r="P762" s="10">
        <f>CHOOSE(CONTROL!$C$42, 24.7693, 24.7693) * CHOOSE(CONTROL!$C$21, $C$9, 100%, $E$9)</f>
        <v>24.769300000000001</v>
      </c>
      <c r="Q762" s="10">
        <f>CHOOSE(CONTROL!$C$42, 25.5916, 25.5916) * CHOOSE(CONTROL!$C$21, $C$9, 100%, $E$9)</f>
        <v>25.5916</v>
      </c>
      <c r="R762" s="10">
        <f>CHOOSE(CONTROL!$C$42, 26.2426, 26.2426) * CHOOSE(CONTROL!$C$21, $C$9, 100%, $E$9)</f>
        <v>26.242599999999999</v>
      </c>
      <c r="S762" s="10">
        <f>CHOOSE(CONTROL!$C$42, 24.3033, 24.3033) * CHOOSE(CONTROL!$C$21, $C$9, 100%, $E$9)</f>
        <v>24.3033</v>
      </c>
      <c r="T762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62" s="58">
        <f>(1000*CHOOSE(CONTROL!$C$42, 695, 695)*CHOOSE(CONTROL!$C$42, 0.5599, 0.5599)*CHOOSE(CONTROL!$C$42, 30, 30))/1000000</f>
        <v>11.673914999999997</v>
      </c>
      <c r="V762" s="58">
        <f>(1000*CHOOSE(CONTROL!$C$42, 500, 500)*CHOOSE(CONTROL!$C$42, 0.275, 0.275)*CHOOSE(CONTROL!$C$42, 30, 30))/1000000</f>
        <v>4.125</v>
      </c>
      <c r="W762" s="58">
        <f>(1000*CHOOSE(CONTROL!$C$42, 0.1146, 0.1146)*CHOOSE(CONTROL!$C$42, 121.5, 121.5)*CHOOSE(CONTROL!$C$42, 30, 30))/1000000</f>
        <v>0.417717</v>
      </c>
      <c r="X762" s="58">
        <f>(30*0.1790888*245000/1000000)+(30*0.2374*100000/1000000)</f>
        <v>2.0285026799999999</v>
      </c>
      <c r="Y762" s="58"/>
      <c r="Z762" s="10"/>
      <c r="AA762" s="57"/>
      <c r="AB762" s="51">
        <f>(B762*194.205+C762*267.466+D762*133.845+E762*53.484+F762*40+G762*185+H762*0+I762*100+J762*300)/(194.205+267.466+133.845+53.484+0+40+185+100+300)</f>
        <v>25.054968059497646</v>
      </c>
      <c r="AC762" s="27">
        <f>(M762*'RAP TEMPLATE-GAS AVAILABILITY'!O761+N762*'RAP TEMPLATE-GAS AVAILABILITY'!P761+O762*'RAP TEMPLATE-GAS AVAILABILITY'!Q761+P762*'RAP TEMPLATE-GAS AVAILABILITY'!R761)/('RAP TEMPLATE-GAS AVAILABILITY'!O761+'RAP TEMPLATE-GAS AVAILABILITY'!P761+'RAP TEMPLATE-GAS AVAILABILITY'!Q761+'RAP TEMPLATE-GAS AVAILABILITY'!R761)</f>
        <v>24.87423381294964</v>
      </c>
    </row>
    <row r="763" spans="1:29" ht="15.75" x14ac:dyDescent="0.25">
      <c r="A763" s="13">
        <v>64497</v>
      </c>
      <c r="B763" s="10">
        <f>CHOOSE(CONTROL!$C$42, 24.5509, 24.5509) * CHOOSE(CONTROL!$C$21, $C$9, 100%, $E$9)</f>
        <v>24.550899999999999</v>
      </c>
      <c r="C763" s="10">
        <f>CHOOSE(CONTROL!$C$42, 24.5588, 24.5588) * CHOOSE(CONTROL!$C$21, $C$9, 100%, $E$9)</f>
        <v>24.558800000000002</v>
      </c>
      <c r="D763" s="10">
        <f>CHOOSE(CONTROL!$C$42, 24.7373, 24.7373) * CHOOSE(CONTROL!$C$21, $C$9, 100%, $E$9)</f>
        <v>24.737300000000001</v>
      </c>
      <c r="E763" s="10">
        <f>CHOOSE(CONTROL!$C$42, 24.7685, 24.7685) * CHOOSE(CONTROL!$C$21, $C$9, 100%, $E$9)</f>
        <v>24.7685</v>
      </c>
      <c r="F763" s="10">
        <f>CHOOSE(CONTROL!$C$42, 24.5376, 24.5376)*CHOOSE(CONTROL!$C$21, $C$9, 100%, $E$9)</f>
        <v>24.537600000000001</v>
      </c>
      <c r="G763" s="10">
        <f>CHOOSE(CONTROL!$C$42, 24.5559, 24.5559)*CHOOSE(CONTROL!$C$21, $C$9, 100%, $E$9)</f>
        <v>24.555900000000001</v>
      </c>
      <c r="H763" s="10">
        <f>CHOOSE(CONTROL!$C$42, 24.7571, 24.7571) * CHOOSE(CONTROL!$C$21, $C$9, 100%, $E$9)</f>
        <v>24.757100000000001</v>
      </c>
      <c r="I763" s="10">
        <f>CHOOSE(CONTROL!$C$42, 24.5277, 24.5277)* CHOOSE(CONTROL!$C$21, $C$9, 100%, $E$9)</f>
        <v>24.527699999999999</v>
      </c>
      <c r="J763" s="10">
        <f>CHOOSE(CONTROL!$C$42, 24.5306, 24.5306)* CHOOSE(CONTROL!$C$21, $C$9, 100%, $E$9)</f>
        <v>24.5306</v>
      </c>
      <c r="K763" s="54">
        <f>CHOOSE(CONTROL!$C$42, 24.5239, 24.5239) * CHOOSE(CONTROL!$C$21, $C$9, 100%, $E$9)</f>
        <v>24.523900000000001</v>
      </c>
      <c r="L763" s="10">
        <f>CHOOSE(CONTROL!$C$42, 25.3441, 25.3441) * CHOOSE(CONTROL!$C$21, $C$9, 100%, $E$9)</f>
        <v>25.344100000000001</v>
      </c>
      <c r="M763" s="10">
        <f>CHOOSE(CONTROL!$C$42, 24.2969, 24.2969) * CHOOSE(CONTROL!$C$21, $C$9, 100%, $E$9)</f>
        <v>24.296900000000001</v>
      </c>
      <c r="N763" s="10">
        <f>CHOOSE(CONTROL!$C$42, 24.315, 24.315) * CHOOSE(CONTROL!$C$21, $C$9, 100%, $E$9)</f>
        <v>24.315000000000001</v>
      </c>
      <c r="O763" s="10">
        <f>CHOOSE(CONTROL!$C$42, 24.5211, 24.5211) * CHOOSE(CONTROL!$C$21, $C$9, 100%, $E$9)</f>
        <v>24.521100000000001</v>
      </c>
      <c r="P763" s="10">
        <f>CHOOSE(CONTROL!$C$42, 24.2941, 24.2941) * CHOOSE(CONTROL!$C$21, $C$9, 100%, $E$9)</f>
        <v>24.2941</v>
      </c>
      <c r="Q763" s="10">
        <f>CHOOSE(CONTROL!$C$42, 25.1164, 25.1164) * CHOOSE(CONTROL!$C$21, $C$9, 100%, $E$9)</f>
        <v>25.116399999999999</v>
      </c>
      <c r="R763" s="10">
        <f>CHOOSE(CONTROL!$C$42, 25.7662, 25.7662) * CHOOSE(CONTROL!$C$21, $C$9, 100%, $E$9)</f>
        <v>25.766200000000001</v>
      </c>
      <c r="S763" s="10">
        <f>CHOOSE(CONTROL!$C$42, 23.8371, 23.8371) * CHOOSE(CONTROL!$C$21, $C$9, 100%, $E$9)</f>
        <v>23.8371</v>
      </c>
      <c r="T763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63" s="58">
        <f>(1000*CHOOSE(CONTROL!$C$42, 695, 695)*CHOOSE(CONTROL!$C$42, 0.5599, 0.5599)*CHOOSE(CONTROL!$C$42, 31, 31))/1000000</f>
        <v>12.063045499999998</v>
      </c>
      <c r="V763" s="58">
        <f>(1000*CHOOSE(CONTROL!$C$42, 500, 500)*CHOOSE(CONTROL!$C$42, 0.275, 0.275)*CHOOSE(CONTROL!$C$42, 31, 31))/1000000</f>
        <v>4.2625000000000002</v>
      </c>
      <c r="W763" s="58">
        <f>(1000*CHOOSE(CONTROL!$C$42, 0.1146, 0.1146)*CHOOSE(CONTROL!$C$42, 121.5, 121.5)*CHOOSE(CONTROL!$C$42, 31, 31))/1000000</f>
        <v>0.43164089999999994</v>
      </c>
      <c r="X763" s="58">
        <f>(31*0.1790888*245000/1000000)+(31*0.2374*100000/1000000)</f>
        <v>2.0961194359999999</v>
      </c>
      <c r="Y763" s="58"/>
      <c r="Z763" s="10"/>
      <c r="AA763" s="57"/>
      <c r="AB763" s="51">
        <f>(B763*194.205+C763*267.466+D763*133.845+E763*53.484+F763*40+G763*185+H763*0+I763*100+J763*300)/(194.205+267.466+133.845+53.484+0+40+185+100+300)</f>
        <v>24.574983836577712</v>
      </c>
      <c r="AC763" s="27">
        <f>(M763*'RAP TEMPLATE-GAS AVAILABILITY'!O762+N763*'RAP TEMPLATE-GAS AVAILABILITY'!P762+O763*'RAP TEMPLATE-GAS AVAILABILITY'!Q762+P763*'RAP TEMPLATE-GAS AVAILABILITY'!R762)/('RAP TEMPLATE-GAS AVAILABILITY'!O762+'RAP TEMPLATE-GAS AVAILABILITY'!P762+'RAP TEMPLATE-GAS AVAILABILITY'!Q762+'RAP TEMPLATE-GAS AVAILABILITY'!R762)</f>
        <v>24.399154676258991</v>
      </c>
    </row>
    <row r="764" spans="1:29" ht="15.75" x14ac:dyDescent="0.25">
      <c r="A764" s="13">
        <v>64528</v>
      </c>
      <c r="B764" s="10">
        <f>CHOOSE(CONTROL!$C$42, 23.3385, 23.3385) * CHOOSE(CONTROL!$C$21, $C$9, 100%, $E$9)</f>
        <v>23.3385</v>
      </c>
      <c r="C764" s="10">
        <f>CHOOSE(CONTROL!$C$42, 23.3464, 23.3464) * CHOOSE(CONTROL!$C$21, $C$9, 100%, $E$9)</f>
        <v>23.346399999999999</v>
      </c>
      <c r="D764" s="10">
        <f>CHOOSE(CONTROL!$C$42, 23.5249, 23.5249) * CHOOSE(CONTROL!$C$21, $C$9, 100%, $E$9)</f>
        <v>23.524899999999999</v>
      </c>
      <c r="E764" s="10">
        <f>CHOOSE(CONTROL!$C$42, 23.556, 23.556) * CHOOSE(CONTROL!$C$21, $C$9, 100%, $E$9)</f>
        <v>23.556000000000001</v>
      </c>
      <c r="F764" s="10">
        <f>CHOOSE(CONTROL!$C$42, 23.3251, 23.3251)*CHOOSE(CONTROL!$C$21, $C$9, 100%, $E$9)</f>
        <v>23.325099999999999</v>
      </c>
      <c r="G764" s="10">
        <f>CHOOSE(CONTROL!$C$42, 23.3434, 23.3434)*CHOOSE(CONTROL!$C$21, $C$9, 100%, $E$9)</f>
        <v>23.343399999999999</v>
      </c>
      <c r="H764" s="10">
        <f>CHOOSE(CONTROL!$C$42, 23.5447, 23.5447) * CHOOSE(CONTROL!$C$21, $C$9, 100%, $E$9)</f>
        <v>23.544699999999999</v>
      </c>
      <c r="I764" s="10">
        <f>CHOOSE(CONTROL!$C$42, 23.3153, 23.3153)* CHOOSE(CONTROL!$C$21, $C$9, 100%, $E$9)</f>
        <v>23.315300000000001</v>
      </c>
      <c r="J764" s="10">
        <f>CHOOSE(CONTROL!$C$42, 23.3181, 23.3181)* CHOOSE(CONTROL!$C$21, $C$9, 100%, $E$9)</f>
        <v>23.318100000000001</v>
      </c>
      <c r="K764" s="54">
        <f>CHOOSE(CONTROL!$C$42, 23.3114, 23.3114) * CHOOSE(CONTROL!$C$21, $C$9, 100%, $E$9)</f>
        <v>23.311399999999999</v>
      </c>
      <c r="L764" s="10">
        <f>CHOOSE(CONTROL!$C$42, 24.1317, 24.1317) * CHOOSE(CONTROL!$C$21, $C$9, 100%, $E$9)</f>
        <v>24.131699999999999</v>
      </c>
      <c r="M764" s="10">
        <f>CHOOSE(CONTROL!$C$42, 23.0966, 23.0966) * CHOOSE(CONTROL!$C$21, $C$9, 100%, $E$9)</f>
        <v>23.096599999999999</v>
      </c>
      <c r="N764" s="10">
        <f>CHOOSE(CONTROL!$C$42, 23.1147, 23.1147) * CHOOSE(CONTROL!$C$21, $C$9, 100%, $E$9)</f>
        <v>23.114699999999999</v>
      </c>
      <c r="O764" s="10">
        <f>CHOOSE(CONTROL!$C$42, 23.3209, 23.3209) * CHOOSE(CONTROL!$C$21, $C$9, 100%, $E$9)</f>
        <v>23.320900000000002</v>
      </c>
      <c r="P764" s="10">
        <f>CHOOSE(CONTROL!$C$42, 23.0939, 23.0939) * CHOOSE(CONTROL!$C$21, $C$9, 100%, $E$9)</f>
        <v>23.093900000000001</v>
      </c>
      <c r="Q764" s="10">
        <f>CHOOSE(CONTROL!$C$42, 23.9162, 23.9162) * CHOOSE(CONTROL!$C$21, $C$9, 100%, $E$9)</f>
        <v>23.9162</v>
      </c>
      <c r="R764" s="10">
        <f>CHOOSE(CONTROL!$C$42, 24.563, 24.563) * CHOOSE(CONTROL!$C$21, $C$9, 100%, $E$9)</f>
        <v>24.562999999999999</v>
      </c>
      <c r="S764" s="10">
        <f>CHOOSE(CONTROL!$C$42, 22.6597, 22.6597) * CHOOSE(CONTROL!$C$21, $C$9, 100%, $E$9)</f>
        <v>22.659700000000001</v>
      </c>
      <c r="T764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764" s="58">
        <f>(1000*CHOOSE(CONTROL!$C$42, 695, 695)*CHOOSE(CONTROL!$C$42, 0.5599, 0.5599)*CHOOSE(CONTROL!$C$42, 31, 31))/1000000</f>
        <v>12.063045499999998</v>
      </c>
      <c r="V764" s="58">
        <f>(1000*CHOOSE(CONTROL!$C$42, 500, 500)*CHOOSE(CONTROL!$C$42, 0.275, 0.275)*CHOOSE(CONTROL!$C$42, 31, 31))/1000000</f>
        <v>4.2625000000000002</v>
      </c>
      <c r="W764" s="58">
        <f>(1000*CHOOSE(CONTROL!$C$42, 0.1146, 0.1146)*CHOOSE(CONTROL!$C$42, 121.5, 121.5)*CHOOSE(CONTROL!$C$42, 31, 31))/1000000</f>
        <v>0.43164089999999994</v>
      </c>
      <c r="X764" s="58">
        <f>(31*0.1790888*245000/1000000)+(31*0.2374*100000/1000000)</f>
        <v>2.0961194359999999</v>
      </c>
      <c r="Y764" s="58"/>
      <c r="Z764" s="10"/>
      <c r="AA764" s="57"/>
      <c r="AB764" s="51">
        <f>(B764*194.205+C764*267.466+D764*133.845+E764*53.484+F764*40+G764*185+H764*0+I764*100+J764*300)/(194.205+267.466+133.845+53.484+0+40+185+100+300)</f>
        <v>23.362538429670327</v>
      </c>
      <c r="AC764" s="27">
        <f>(M764*'RAP TEMPLATE-GAS AVAILABILITY'!O763+N764*'RAP TEMPLATE-GAS AVAILABILITY'!P763+O764*'RAP TEMPLATE-GAS AVAILABILITY'!Q763+P764*'RAP TEMPLATE-GAS AVAILABILITY'!R763)/('RAP TEMPLATE-GAS AVAILABILITY'!O763+'RAP TEMPLATE-GAS AVAILABILITY'!P763+'RAP TEMPLATE-GAS AVAILABILITY'!Q763+'RAP TEMPLATE-GAS AVAILABILITY'!R763)</f>
        <v>23.198914388489211</v>
      </c>
    </row>
    <row r="765" spans="1:29" ht="15.75" x14ac:dyDescent="0.25">
      <c r="A765" s="13">
        <v>64558</v>
      </c>
      <c r="B765" s="10">
        <f>CHOOSE(CONTROL!$C$42, 21.8571, 21.8571) * CHOOSE(CONTROL!$C$21, $C$9, 100%, $E$9)</f>
        <v>21.857099999999999</v>
      </c>
      <c r="C765" s="10">
        <f>CHOOSE(CONTROL!$C$42, 21.865, 21.865) * CHOOSE(CONTROL!$C$21, $C$9, 100%, $E$9)</f>
        <v>21.864999999999998</v>
      </c>
      <c r="D765" s="10">
        <f>CHOOSE(CONTROL!$C$42, 22.0435, 22.0435) * CHOOSE(CONTROL!$C$21, $C$9, 100%, $E$9)</f>
        <v>22.043500000000002</v>
      </c>
      <c r="E765" s="10">
        <f>CHOOSE(CONTROL!$C$42, 22.0747, 22.0747) * CHOOSE(CONTROL!$C$21, $C$9, 100%, $E$9)</f>
        <v>22.0747</v>
      </c>
      <c r="F765" s="10">
        <f>CHOOSE(CONTROL!$C$42, 21.8435, 21.8435)*CHOOSE(CONTROL!$C$21, $C$9, 100%, $E$9)</f>
        <v>21.843499999999999</v>
      </c>
      <c r="G765" s="10">
        <f>CHOOSE(CONTROL!$C$42, 21.8617, 21.8617)*CHOOSE(CONTROL!$C$21, $C$9, 100%, $E$9)</f>
        <v>21.861699999999999</v>
      </c>
      <c r="H765" s="10">
        <f>CHOOSE(CONTROL!$C$42, 22.0633, 22.0633) * CHOOSE(CONTROL!$C$21, $C$9, 100%, $E$9)</f>
        <v>22.063300000000002</v>
      </c>
      <c r="I765" s="10">
        <f>CHOOSE(CONTROL!$C$42, 21.834, 21.834)* CHOOSE(CONTROL!$C$21, $C$9, 100%, $E$9)</f>
        <v>21.834</v>
      </c>
      <c r="J765" s="10">
        <f>CHOOSE(CONTROL!$C$42, 21.8365, 21.8365)* CHOOSE(CONTROL!$C$21, $C$9, 100%, $E$9)</f>
        <v>21.836500000000001</v>
      </c>
      <c r="K765" s="54">
        <f>CHOOSE(CONTROL!$C$42, 21.8301, 21.8301) * CHOOSE(CONTROL!$C$21, $C$9, 100%, $E$9)</f>
        <v>21.830100000000002</v>
      </c>
      <c r="L765" s="10">
        <f>CHOOSE(CONTROL!$C$42, 22.6503, 22.6503) * CHOOSE(CONTROL!$C$21, $C$9, 100%, $E$9)</f>
        <v>22.650300000000001</v>
      </c>
      <c r="M765" s="10">
        <f>CHOOSE(CONTROL!$C$42, 21.6299, 21.6299) * CHOOSE(CONTROL!$C$21, $C$9, 100%, $E$9)</f>
        <v>21.629899999999999</v>
      </c>
      <c r="N765" s="10">
        <f>CHOOSE(CONTROL!$C$42, 21.648, 21.648) * CHOOSE(CONTROL!$C$21, $C$9, 100%, $E$9)</f>
        <v>21.648</v>
      </c>
      <c r="O765" s="10">
        <f>CHOOSE(CONTROL!$C$42, 21.8545, 21.8545) * CHOOSE(CONTROL!$C$21, $C$9, 100%, $E$9)</f>
        <v>21.854500000000002</v>
      </c>
      <c r="P765" s="10">
        <f>CHOOSE(CONTROL!$C$42, 21.6275, 21.6275) * CHOOSE(CONTROL!$C$21, $C$9, 100%, $E$9)</f>
        <v>21.627500000000001</v>
      </c>
      <c r="Q765" s="10">
        <f>CHOOSE(CONTROL!$C$42, 22.4498, 22.4498) * CHOOSE(CONTROL!$C$21, $C$9, 100%, $E$9)</f>
        <v>22.4498</v>
      </c>
      <c r="R765" s="10">
        <f>CHOOSE(CONTROL!$C$42, 23.0929, 23.0929) * CHOOSE(CONTROL!$C$21, $C$9, 100%, $E$9)</f>
        <v>23.0929</v>
      </c>
      <c r="S765" s="10">
        <f>CHOOSE(CONTROL!$C$42, 21.2212, 21.2212) * CHOOSE(CONTROL!$C$21, $C$9, 100%, $E$9)</f>
        <v>21.2212</v>
      </c>
      <c r="T765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765" s="58">
        <f>(1000*CHOOSE(CONTROL!$C$42, 695, 695)*CHOOSE(CONTROL!$C$42, 0.5599, 0.5599)*CHOOSE(CONTROL!$C$42, 30, 30))/1000000</f>
        <v>11.673914999999997</v>
      </c>
      <c r="V765" s="58">
        <f>(1000*CHOOSE(CONTROL!$C$42, 500, 500)*CHOOSE(CONTROL!$C$42, 0.275, 0.275)*CHOOSE(CONTROL!$C$42, 30, 30))/1000000</f>
        <v>4.125</v>
      </c>
      <c r="W765" s="58">
        <f>(1000*CHOOSE(CONTROL!$C$42, 0.1146, 0.1146)*CHOOSE(CONTROL!$C$42, 121.5, 121.5)*CHOOSE(CONTROL!$C$42, 30, 30))/1000000</f>
        <v>0.417717</v>
      </c>
      <c r="X765" s="58">
        <f>(30*0.1790888*245000/1000000)+(30*0.2374*100000/1000000)</f>
        <v>2.0285026799999999</v>
      </c>
      <c r="Y765" s="58"/>
      <c r="Z765" s="10"/>
      <c r="AA765" s="57"/>
      <c r="AB765" s="51">
        <f>(B765*194.205+C765*267.466+D765*133.845+E765*53.484+F765*40+G765*185+H765*0+I765*100+J765*300)/(194.205+267.466+133.845+53.484+0+40+185+100+300)</f>
        <v>21.881053538304553</v>
      </c>
      <c r="AC765" s="27">
        <f>(M765*'RAP TEMPLATE-GAS AVAILABILITY'!O764+N765*'RAP TEMPLATE-GAS AVAILABILITY'!P764+O765*'RAP TEMPLATE-GAS AVAILABILITY'!Q764+P765*'RAP TEMPLATE-GAS AVAILABILITY'!R764)/('RAP TEMPLATE-GAS AVAILABILITY'!O764+'RAP TEMPLATE-GAS AVAILABILITY'!P764+'RAP TEMPLATE-GAS AVAILABILITY'!Q764+'RAP TEMPLATE-GAS AVAILABILITY'!R764)</f>
        <v>21.732393525179859</v>
      </c>
    </row>
    <row r="766" spans="1:29" ht="15.75" x14ac:dyDescent="0.25">
      <c r="A766" s="13">
        <v>64589</v>
      </c>
      <c r="B766" s="10">
        <f>CHOOSE(CONTROL!$C$42, 21.4113, 21.4113) * CHOOSE(CONTROL!$C$21, $C$9, 100%, $E$9)</f>
        <v>21.411300000000001</v>
      </c>
      <c r="C766" s="10">
        <f>CHOOSE(CONTROL!$C$42, 21.4165, 21.4165) * CHOOSE(CONTROL!$C$21, $C$9, 100%, $E$9)</f>
        <v>21.416499999999999</v>
      </c>
      <c r="D766" s="10">
        <f>CHOOSE(CONTROL!$C$42, 21.6, 21.6) * CHOOSE(CONTROL!$C$21, $C$9, 100%, $E$9)</f>
        <v>21.6</v>
      </c>
      <c r="E766" s="10">
        <f>CHOOSE(CONTROL!$C$42, 21.6288, 21.6288) * CHOOSE(CONTROL!$C$21, $C$9, 100%, $E$9)</f>
        <v>21.628799999999998</v>
      </c>
      <c r="F766" s="10">
        <f>CHOOSE(CONTROL!$C$42, 21.3996, 21.3996)*CHOOSE(CONTROL!$C$21, $C$9, 100%, $E$9)</f>
        <v>21.3996</v>
      </c>
      <c r="G766" s="10">
        <f>CHOOSE(CONTROL!$C$42, 21.4175, 21.4175)*CHOOSE(CONTROL!$C$21, $C$9, 100%, $E$9)</f>
        <v>21.4175</v>
      </c>
      <c r="H766" s="10">
        <f>CHOOSE(CONTROL!$C$42, 21.6192, 21.6192) * CHOOSE(CONTROL!$C$21, $C$9, 100%, $E$9)</f>
        <v>21.619199999999999</v>
      </c>
      <c r="I766" s="10">
        <f>CHOOSE(CONTROL!$C$42, 21.3899, 21.3899)* CHOOSE(CONTROL!$C$21, $C$9, 100%, $E$9)</f>
        <v>21.389900000000001</v>
      </c>
      <c r="J766" s="10">
        <f>CHOOSE(CONTROL!$C$42, 21.3926, 21.3926)* CHOOSE(CONTROL!$C$21, $C$9, 100%, $E$9)</f>
        <v>21.392600000000002</v>
      </c>
      <c r="K766" s="54">
        <f>CHOOSE(CONTROL!$C$42, 21.386, 21.386) * CHOOSE(CONTROL!$C$21, $C$9, 100%, $E$9)</f>
        <v>21.385999999999999</v>
      </c>
      <c r="L766" s="10">
        <f>CHOOSE(CONTROL!$C$42, 22.2062, 22.2062) * CHOOSE(CONTROL!$C$21, $C$9, 100%, $E$9)</f>
        <v>22.206199999999999</v>
      </c>
      <c r="M766" s="10">
        <f>CHOOSE(CONTROL!$C$42, 21.1905, 21.1905) * CHOOSE(CONTROL!$C$21, $C$9, 100%, $E$9)</f>
        <v>21.1905</v>
      </c>
      <c r="N766" s="10">
        <f>CHOOSE(CONTROL!$C$42, 21.2082, 21.2082) * CHOOSE(CONTROL!$C$21, $C$9, 100%, $E$9)</f>
        <v>21.208200000000001</v>
      </c>
      <c r="O766" s="10">
        <f>CHOOSE(CONTROL!$C$42, 21.4149, 21.4149) * CHOOSE(CONTROL!$C$21, $C$9, 100%, $E$9)</f>
        <v>21.414899999999999</v>
      </c>
      <c r="P766" s="10">
        <f>CHOOSE(CONTROL!$C$42, 21.1879, 21.1879) * CHOOSE(CONTROL!$C$21, $C$9, 100%, $E$9)</f>
        <v>21.187899999999999</v>
      </c>
      <c r="Q766" s="10">
        <f>CHOOSE(CONTROL!$C$42, 22.0102, 22.0102) * CHOOSE(CONTROL!$C$21, $C$9, 100%, $E$9)</f>
        <v>22.010200000000001</v>
      </c>
      <c r="R766" s="10">
        <f>CHOOSE(CONTROL!$C$42, 22.6522, 22.6522) * CHOOSE(CONTROL!$C$21, $C$9, 100%, $E$9)</f>
        <v>22.652200000000001</v>
      </c>
      <c r="S766" s="10">
        <f>CHOOSE(CONTROL!$C$42, 20.7899, 20.7899) * CHOOSE(CONTROL!$C$21, $C$9, 100%, $E$9)</f>
        <v>20.789899999999999</v>
      </c>
      <c r="T766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66" s="58">
        <f>(1000*CHOOSE(CONTROL!$C$42, 695, 695)*CHOOSE(CONTROL!$C$42, 0.5599, 0.5599)*CHOOSE(CONTROL!$C$42, 31, 31))/1000000</f>
        <v>12.063045499999998</v>
      </c>
      <c r="V766" s="58">
        <f>(1000*CHOOSE(CONTROL!$C$42, 500, 500)*CHOOSE(CONTROL!$C$42, 0.275, 0.275)*CHOOSE(CONTROL!$C$42, 31, 31))/1000000</f>
        <v>4.2625000000000002</v>
      </c>
      <c r="W766" s="58">
        <f>(1000*CHOOSE(CONTROL!$C$42, 0.1146, 0.1146)*CHOOSE(CONTROL!$C$42, 121.5, 121.5)*CHOOSE(CONTROL!$C$42, 31, 31))/1000000</f>
        <v>0.43164089999999994</v>
      </c>
      <c r="X766" s="58">
        <f>(31*0.1790888*245000/1000000)+(31*0.2374*100000/1000000)</f>
        <v>2.0961194359999999</v>
      </c>
      <c r="Y766" s="58"/>
      <c r="Z766" s="10"/>
      <c r="AA766" s="57"/>
      <c r="AB766" s="51">
        <f>(B766*131.881+C766*277.167+D766*79.08+E766*125.872+F766*40+G766*185+H766*0+I766*100+J766*300)/(131.881+277.167+79.08+125.872+0+40+185+100+300)</f>
        <v>21.440896307021795</v>
      </c>
      <c r="AC766" s="27">
        <f>(M766*'RAP TEMPLATE-GAS AVAILABILITY'!O765+N766*'RAP TEMPLATE-GAS AVAILABILITY'!P765+O766*'RAP TEMPLATE-GAS AVAILABILITY'!Q765+P766*'RAP TEMPLATE-GAS AVAILABILITY'!R765)/('RAP TEMPLATE-GAS AVAILABILITY'!O765+'RAP TEMPLATE-GAS AVAILABILITY'!P765+'RAP TEMPLATE-GAS AVAILABILITY'!Q765+'RAP TEMPLATE-GAS AVAILABILITY'!R765)</f>
        <v>21.292851079136693</v>
      </c>
    </row>
    <row r="767" spans="1:29" ht="15.75" x14ac:dyDescent="0.25">
      <c r="A767" s="13">
        <v>64619</v>
      </c>
      <c r="B767" s="10">
        <f>CHOOSE(CONTROL!$C$42, 21.9748, 21.9748) * CHOOSE(CONTROL!$C$21, $C$9, 100%, $E$9)</f>
        <v>21.974799999999998</v>
      </c>
      <c r="C767" s="10">
        <f>CHOOSE(CONTROL!$C$42, 21.9798, 21.9798) * CHOOSE(CONTROL!$C$21, $C$9, 100%, $E$9)</f>
        <v>21.979800000000001</v>
      </c>
      <c r="D767" s="10">
        <f>CHOOSE(CONTROL!$C$42, 22.0094, 22.0094) * CHOOSE(CONTROL!$C$21, $C$9, 100%, $E$9)</f>
        <v>22.009399999999999</v>
      </c>
      <c r="E767" s="10">
        <f>CHOOSE(CONTROL!$C$42, 22.0432, 22.0432) * CHOOSE(CONTROL!$C$21, $C$9, 100%, $E$9)</f>
        <v>22.043199999999999</v>
      </c>
      <c r="F767" s="10">
        <f>CHOOSE(CONTROL!$C$42, 21.9606, 21.9606)*CHOOSE(CONTROL!$C$21, $C$9, 100%, $E$9)</f>
        <v>21.960599999999999</v>
      </c>
      <c r="G767" s="10">
        <f>CHOOSE(CONTROL!$C$42, 21.9786, 21.9786)*CHOOSE(CONTROL!$C$21, $C$9, 100%, $E$9)</f>
        <v>21.9786</v>
      </c>
      <c r="H767" s="10">
        <f>CHOOSE(CONTROL!$C$42, 22.0324, 22.0324) * CHOOSE(CONTROL!$C$21, $C$9, 100%, $E$9)</f>
        <v>22.032399999999999</v>
      </c>
      <c r="I767" s="10">
        <f>CHOOSE(CONTROL!$C$42, 21.941, 21.941)* CHOOSE(CONTROL!$C$21, $C$9, 100%, $E$9)</f>
        <v>21.940999999999999</v>
      </c>
      <c r="J767" s="10">
        <f>CHOOSE(CONTROL!$C$42, 21.9536, 21.9536)* CHOOSE(CONTROL!$C$21, $C$9, 100%, $E$9)</f>
        <v>21.953600000000002</v>
      </c>
      <c r="K767" s="54">
        <f>CHOOSE(CONTROL!$C$42, 21.9371, 21.9371) * CHOOSE(CONTROL!$C$21, $C$9, 100%, $E$9)</f>
        <v>21.937100000000001</v>
      </c>
      <c r="L767" s="10">
        <f>CHOOSE(CONTROL!$C$42, 22.6194, 22.6194) * CHOOSE(CONTROL!$C$21, $C$9, 100%, $E$9)</f>
        <v>22.619399999999999</v>
      </c>
      <c r="M767" s="10">
        <f>CHOOSE(CONTROL!$C$42, 21.7459, 21.7459) * CHOOSE(CONTROL!$C$21, $C$9, 100%, $E$9)</f>
        <v>21.745899999999999</v>
      </c>
      <c r="N767" s="10">
        <f>CHOOSE(CONTROL!$C$42, 21.7637, 21.7637) * CHOOSE(CONTROL!$C$21, $C$9, 100%, $E$9)</f>
        <v>21.7637</v>
      </c>
      <c r="O767" s="10">
        <f>CHOOSE(CONTROL!$C$42, 21.8239, 21.8239) * CHOOSE(CONTROL!$C$21, $C$9, 100%, $E$9)</f>
        <v>21.823899999999998</v>
      </c>
      <c r="P767" s="10">
        <f>CHOOSE(CONTROL!$C$42, 21.7335, 21.7335) * CHOOSE(CONTROL!$C$21, $C$9, 100%, $E$9)</f>
        <v>21.733499999999999</v>
      </c>
      <c r="Q767" s="10">
        <f>CHOOSE(CONTROL!$C$42, 22.4192, 22.4192) * CHOOSE(CONTROL!$C$21, $C$9, 100%, $E$9)</f>
        <v>22.4192</v>
      </c>
      <c r="R767" s="10">
        <f>CHOOSE(CONTROL!$C$42, 23.0622, 23.0622) * CHOOSE(CONTROL!$C$21, $C$9, 100%, $E$9)</f>
        <v>23.062200000000001</v>
      </c>
      <c r="S767" s="10">
        <f>CHOOSE(CONTROL!$C$42, 21.3376, 21.3376) * CHOOSE(CONTROL!$C$21, $C$9, 100%, $E$9)</f>
        <v>21.337599999999998</v>
      </c>
      <c r="T767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67" s="58">
        <f>(1000*CHOOSE(CONTROL!$C$42, 695, 695)*CHOOSE(CONTROL!$C$42, 0.5599, 0.5599)*CHOOSE(CONTROL!$C$42, 30, 30))/1000000</f>
        <v>11.673914999999997</v>
      </c>
      <c r="V767" s="58">
        <f>(1000*CHOOSE(CONTROL!$C$42, 500, 500)*CHOOSE(CONTROL!$C$42, 0.275, 0.275)*CHOOSE(CONTROL!$C$42, 30, 30))/1000000</f>
        <v>4.125</v>
      </c>
      <c r="W767" s="58">
        <f>(1000*CHOOSE(CONTROL!$C$42, 0.1146, 0.1146)*CHOOSE(CONTROL!$C$42, 121.5, 121.5)*CHOOSE(CONTROL!$C$42, 30, 30))/1000000</f>
        <v>0.417717</v>
      </c>
      <c r="X767" s="58">
        <f>(30*0.1790888*100000/1000000)+(30*0.2374*100000/1000000)</f>
        <v>1.2494664</v>
      </c>
      <c r="Y767" s="58"/>
      <c r="Z767" s="10"/>
      <c r="AA767" s="57"/>
      <c r="AB767" s="51">
        <f>(B767*122.58+C767*297.941+D767*89.177+E767*40.302+F767*40+G767*160+H767*0+I767*100+J767*300)/(122.58+297.941+89.177+40.302+0+40+160+100+300)</f>
        <v>21.972740770434786</v>
      </c>
      <c r="AC767" s="27">
        <f>(M767*'RAP TEMPLATE-GAS AVAILABILITY'!O766+N767*'RAP TEMPLATE-GAS AVAILABILITY'!P766+O767*'RAP TEMPLATE-GAS AVAILABILITY'!Q766+P767*'RAP TEMPLATE-GAS AVAILABILITY'!R766)/('RAP TEMPLATE-GAS AVAILABILITY'!O766+'RAP TEMPLATE-GAS AVAILABILITY'!P766+'RAP TEMPLATE-GAS AVAILABILITY'!Q766+'RAP TEMPLATE-GAS AVAILABILITY'!R766)</f>
        <v>21.780492805755394</v>
      </c>
    </row>
    <row r="768" spans="1:29" ht="15.75" x14ac:dyDescent="0.25">
      <c r="A768" s="13">
        <v>64650</v>
      </c>
      <c r="B768" s="10">
        <f>CHOOSE(CONTROL!$C$42, 23.4729, 23.4729) * CHOOSE(CONTROL!$C$21, $C$9, 100%, $E$9)</f>
        <v>23.472899999999999</v>
      </c>
      <c r="C768" s="10">
        <f>CHOOSE(CONTROL!$C$42, 23.4778, 23.4778) * CHOOSE(CONTROL!$C$21, $C$9, 100%, $E$9)</f>
        <v>23.477799999999998</v>
      </c>
      <c r="D768" s="10">
        <f>CHOOSE(CONTROL!$C$42, 23.5074, 23.5074) * CHOOSE(CONTROL!$C$21, $C$9, 100%, $E$9)</f>
        <v>23.507400000000001</v>
      </c>
      <c r="E768" s="10">
        <f>CHOOSE(CONTROL!$C$42, 23.5412, 23.5412) * CHOOSE(CONTROL!$C$21, $C$9, 100%, $E$9)</f>
        <v>23.5412</v>
      </c>
      <c r="F768" s="10">
        <f>CHOOSE(CONTROL!$C$42, 23.4602, 23.4602)*CHOOSE(CONTROL!$C$21, $C$9, 100%, $E$9)</f>
        <v>23.4602</v>
      </c>
      <c r="G768" s="10">
        <f>CHOOSE(CONTROL!$C$42, 23.4786, 23.4786)*CHOOSE(CONTROL!$C$21, $C$9, 100%, $E$9)</f>
        <v>23.4786</v>
      </c>
      <c r="H768" s="10">
        <f>CHOOSE(CONTROL!$C$42, 23.5304, 23.5304) * CHOOSE(CONTROL!$C$21, $C$9, 100%, $E$9)</f>
        <v>23.5304</v>
      </c>
      <c r="I768" s="10">
        <f>CHOOSE(CONTROL!$C$42, 23.439, 23.439)* CHOOSE(CONTROL!$C$21, $C$9, 100%, $E$9)</f>
        <v>23.439</v>
      </c>
      <c r="J768" s="10">
        <f>CHOOSE(CONTROL!$C$42, 23.4532, 23.4532)* CHOOSE(CONTROL!$C$21, $C$9, 100%, $E$9)</f>
        <v>23.453199999999999</v>
      </c>
      <c r="K768" s="54">
        <f>CHOOSE(CONTROL!$C$42, 23.4352, 23.4352) * CHOOSE(CONTROL!$C$21, $C$9, 100%, $E$9)</f>
        <v>23.435199999999998</v>
      </c>
      <c r="L768" s="10">
        <f>CHOOSE(CONTROL!$C$42, 24.1174, 24.1174) * CHOOSE(CONTROL!$C$21, $C$9, 100%, $E$9)</f>
        <v>24.1174</v>
      </c>
      <c r="M768" s="10">
        <f>CHOOSE(CONTROL!$C$42, 23.2303, 23.2303) * CHOOSE(CONTROL!$C$21, $C$9, 100%, $E$9)</f>
        <v>23.2303</v>
      </c>
      <c r="N768" s="10">
        <f>CHOOSE(CONTROL!$C$42, 23.2486, 23.2486) * CHOOSE(CONTROL!$C$21, $C$9, 100%, $E$9)</f>
        <v>23.2486</v>
      </c>
      <c r="O768" s="10">
        <f>CHOOSE(CONTROL!$C$42, 23.3068, 23.3068) * CHOOSE(CONTROL!$C$21, $C$9, 100%, $E$9)</f>
        <v>23.306799999999999</v>
      </c>
      <c r="P768" s="10">
        <f>CHOOSE(CONTROL!$C$42, 23.2164, 23.2164) * CHOOSE(CONTROL!$C$21, $C$9, 100%, $E$9)</f>
        <v>23.2164</v>
      </c>
      <c r="Q768" s="10">
        <f>CHOOSE(CONTROL!$C$42, 23.9021, 23.9021) * CHOOSE(CONTROL!$C$21, $C$9, 100%, $E$9)</f>
        <v>23.902100000000001</v>
      </c>
      <c r="R768" s="10">
        <f>CHOOSE(CONTROL!$C$42, 24.5488, 24.5488) * CHOOSE(CONTROL!$C$21, $C$9, 100%, $E$9)</f>
        <v>24.5488</v>
      </c>
      <c r="S768" s="10">
        <f>CHOOSE(CONTROL!$C$42, 22.7924, 22.7924) * CHOOSE(CONTROL!$C$21, $C$9, 100%, $E$9)</f>
        <v>22.792400000000001</v>
      </c>
      <c r="T768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68" s="58">
        <f>(1000*CHOOSE(CONTROL!$C$42, 695, 695)*CHOOSE(CONTROL!$C$42, 0.5599, 0.5599)*CHOOSE(CONTROL!$C$42, 31, 31))/1000000</f>
        <v>12.063045499999998</v>
      </c>
      <c r="V768" s="58">
        <f>(1000*CHOOSE(CONTROL!$C$42, 500, 500)*CHOOSE(CONTROL!$C$42, 0.275, 0.275)*CHOOSE(CONTROL!$C$42, 31, 31))/1000000</f>
        <v>4.2625000000000002</v>
      </c>
      <c r="W768" s="58">
        <f>(1000*CHOOSE(CONTROL!$C$42, 0.1146, 0.1146)*CHOOSE(CONTROL!$C$42, 121.5, 121.5)*CHOOSE(CONTROL!$C$42, 31, 31))/1000000</f>
        <v>0.43164089999999994</v>
      </c>
      <c r="X768" s="58">
        <f>(31*0.1790888*100000/1000000)+(31*0.2374*100000/1000000)</f>
        <v>1.2911152800000001</v>
      </c>
      <c r="Y768" s="58"/>
      <c r="Z768" s="10"/>
      <c r="AA768" s="57"/>
      <c r="AB768" s="51">
        <f>(B768*122.58+C768*297.941+D768*89.177+E768*40.302+F768*40+G768*160+H768*0+I768*100+J768*300)/(122.58+297.941+89.177+40.302+0+40+160+100+300)</f>
        <v>23.471502733913045</v>
      </c>
      <c r="AC768" s="27">
        <f>(M768*'RAP TEMPLATE-GAS AVAILABILITY'!O767+N768*'RAP TEMPLATE-GAS AVAILABILITY'!P767+O768*'RAP TEMPLATE-GAS AVAILABILITY'!Q767+P768*'RAP TEMPLATE-GAS AVAILABILITY'!R767)/('RAP TEMPLATE-GAS AVAILABILITY'!O767+'RAP TEMPLATE-GAS AVAILABILITY'!P767+'RAP TEMPLATE-GAS AVAILABILITY'!Q767+'RAP TEMPLATE-GAS AVAILABILITY'!R767)</f>
        <v>23.264025899280576</v>
      </c>
    </row>
    <row r="769" spans="1:29" ht="15.75" x14ac:dyDescent="0.25">
      <c r="A769" s="13">
        <v>64681</v>
      </c>
      <c r="B769" s="10">
        <f>CHOOSE(CONTROL!$C$42, 25.057, 25.057) * CHOOSE(CONTROL!$C$21, $C$9, 100%, $E$9)</f>
        <v>25.056999999999999</v>
      </c>
      <c r="C769" s="10">
        <f>CHOOSE(CONTROL!$C$42, 25.0619, 25.0619) * CHOOSE(CONTROL!$C$21, $C$9, 100%, $E$9)</f>
        <v>25.061900000000001</v>
      </c>
      <c r="D769" s="10">
        <f>CHOOSE(CONTROL!$C$42, 25.1121, 25.1121) * CHOOSE(CONTROL!$C$21, $C$9, 100%, $E$9)</f>
        <v>25.112100000000002</v>
      </c>
      <c r="E769" s="10">
        <f>CHOOSE(CONTROL!$C$42, 25.1459, 25.1459) * CHOOSE(CONTROL!$C$21, $C$9, 100%, $E$9)</f>
        <v>25.145900000000001</v>
      </c>
      <c r="F769" s="10">
        <f>CHOOSE(CONTROL!$C$42, 25.0223, 25.0223)*CHOOSE(CONTROL!$C$21, $C$9, 100%, $E$9)</f>
        <v>25.022300000000001</v>
      </c>
      <c r="G769" s="10">
        <f>CHOOSE(CONTROL!$C$42, 25.0399, 25.0399)*CHOOSE(CONTROL!$C$21, $C$9, 100%, $E$9)</f>
        <v>25.039899999999999</v>
      </c>
      <c r="H769" s="10">
        <f>CHOOSE(CONTROL!$C$42, 25.1351, 25.1351) * CHOOSE(CONTROL!$C$21, $C$9, 100%, $E$9)</f>
        <v>25.135100000000001</v>
      </c>
      <c r="I769" s="10">
        <f>CHOOSE(CONTROL!$C$42, 25.0309, 25.0309)* CHOOSE(CONTROL!$C$21, $C$9, 100%, $E$9)</f>
        <v>25.030899999999999</v>
      </c>
      <c r="J769" s="10">
        <f>CHOOSE(CONTROL!$C$42, 25.0153, 25.0153)* CHOOSE(CONTROL!$C$21, $C$9, 100%, $E$9)</f>
        <v>25.0153</v>
      </c>
      <c r="K769" s="54">
        <f>CHOOSE(CONTROL!$C$42, 25.027, 25.027) * CHOOSE(CONTROL!$C$21, $C$9, 100%, $E$9)</f>
        <v>25.027000000000001</v>
      </c>
      <c r="L769" s="10">
        <f>CHOOSE(CONTROL!$C$42, 25.7221, 25.7221) * CHOOSE(CONTROL!$C$21, $C$9, 100%, $E$9)</f>
        <v>25.722100000000001</v>
      </c>
      <c r="M769" s="10">
        <f>CHOOSE(CONTROL!$C$42, 24.7767, 24.7767) * CHOOSE(CONTROL!$C$21, $C$9, 100%, $E$9)</f>
        <v>24.776700000000002</v>
      </c>
      <c r="N769" s="10">
        <f>CHOOSE(CONTROL!$C$42, 24.7941, 24.7941) * CHOOSE(CONTROL!$C$21, $C$9, 100%, $E$9)</f>
        <v>24.7941</v>
      </c>
      <c r="O769" s="10">
        <f>CHOOSE(CONTROL!$C$42, 24.8953, 24.8953) * CHOOSE(CONTROL!$C$21, $C$9, 100%, $E$9)</f>
        <v>24.895299999999999</v>
      </c>
      <c r="P769" s="10">
        <f>CHOOSE(CONTROL!$C$42, 24.7921, 24.7921) * CHOOSE(CONTROL!$C$21, $C$9, 100%, $E$9)</f>
        <v>24.792100000000001</v>
      </c>
      <c r="Q769" s="10">
        <f>CHOOSE(CONTROL!$C$42, 25.4906, 25.4906) * CHOOSE(CONTROL!$C$21, $C$9, 100%, $E$9)</f>
        <v>25.490600000000001</v>
      </c>
      <c r="R769" s="10">
        <f>CHOOSE(CONTROL!$C$42, 26.1413, 26.1413) * CHOOSE(CONTROL!$C$21, $C$9, 100%, $E$9)</f>
        <v>26.141300000000001</v>
      </c>
      <c r="S769" s="10">
        <f>CHOOSE(CONTROL!$C$42, 24.3307, 24.3307) * CHOOSE(CONTROL!$C$21, $C$9, 100%, $E$9)</f>
        <v>24.3307</v>
      </c>
      <c r="T769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69" s="58">
        <f>(1000*CHOOSE(CONTROL!$C$42, 695, 695)*CHOOSE(CONTROL!$C$42, 0.5599, 0.5599)*CHOOSE(CONTROL!$C$42, 31, 31))/1000000</f>
        <v>12.063045499999998</v>
      </c>
      <c r="V769" s="58">
        <f>(1000*CHOOSE(CONTROL!$C$42, 500, 500)*CHOOSE(CONTROL!$C$42, 0.275, 0.275)*CHOOSE(CONTROL!$C$42, 31, 31))/1000000</f>
        <v>4.2625000000000002</v>
      </c>
      <c r="W769" s="58">
        <f>(1000*CHOOSE(CONTROL!$C$42, 0.1146, 0.1146)*CHOOSE(CONTROL!$C$42, 121.5, 121.5)*CHOOSE(CONTROL!$C$42, 31, 31))/1000000</f>
        <v>0.43164089999999994</v>
      </c>
      <c r="X769" s="58">
        <f>(31*0.1790888*100000/1000000)+(31*0.2374*100000/1000000)</f>
        <v>1.2911152800000001</v>
      </c>
      <c r="Y769" s="58"/>
      <c r="Z769" s="10"/>
      <c r="AA769" s="57"/>
      <c r="AB769" s="51">
        <f>(B769*122.58+C769*297.941+D769*89.177+E769*40.302+F769*40+G769*160+H769*0+I769*100+J769*300)/(122.58+297.941+89.177+40.302+0+40+160+100+300)</f>
        <v>25.048923836</v>
      </c>
      <c r="AC769" s="27">
        <f>(M769*'RAP TEMPLATE-GAS AVAILABILITY'!O768+N769*'RAP TEMPLATE-GAS AVAILABILITY'!P768+O769*'RAP TEMPLATE-GAS AVAILABILITY'!Q768+P769*'RAP TEMPLATE-GAS AVAILABILITY'!R768)/('RAP TEMPLATE-GAS AVAILABILITY'!O768+'RAP TEMPLATE-GAS AVAILABILITY'!P768+'RAP TEMPLATE-GAS AVAILABILITY'!Q768+'RAP TEMPLATE-GAS AVAILABILITY'!R768)</f>
        <v>24.833671223021582</v>
      </c>
    </row>
    <row r="770" spans="1:29" ht="15.75" x14ac:dyDescent="0.25">
      <c r="A770" s="13">
        <v>64709</v>
      </c>
      <c r="B770" s="10">
        <f>CHOOSE(CONTROL!$C$42, 25.503, 25.503) * CHOOSE(CONTROL!$C$21, $C$9, 100%, $E$9)</f>
        <v>25.503</v>
      </c>
      <c r="C770" s="10">
        <f>CHOOSE(CONTROL!$C$42, 25.5079, 25.5079) * CHOOSE(CONTROL!$C$21, $C$9, 100%, $E$9)</f>
        <v>25.507899999999999</v>
      </c>
      <c r="D770" s="10">
        <f>CHOOSE(CONTROL!$C$42, 25.625, 25.625) * CHOOSE(CONTROL!$C$21, $C$9, 100%, $E$9)</f>
        <v>25.625</v>
      </c>
      <c r="E770" s="10">
        <f>CHOOSE(CONTROL!$C$42, 25.6588, 25.6588) * CHOOSE(CONTROL!$C$21, $C$9, 100%, $E$9)</f>
        <v>25.658799999999999</v>
      </c>
      <c r="F770" s="10">
        <f>CHOOSE(CONTROL!$C$42, 25.5805, 25.5805)*CHOOSE(CONTROL!$C$21, $C$9, 100%, $E$9)</f>
        <v>25.580500000000001</v>
      </c>
      <c r="G770" s="10">
        <f>CHOOSE(CONTROL!$C$42, 25.6025, 25.6025)*CHOOSE(CONTROL!$C$21, $C$9, 100%, $E$9)</f>
        <v>25.602499999999999</v>
      </c>
      <c r="H770" s="10">
        <f>CHOOSE(CONTROL!$C$42, 25.648, 25.648) * CHOOSE(CONTROL!$C$21, $C$9, 100%, $E$9)</f>
        <v>25.648</v>
      </c>
      <c r="I770" s="10">
        <f>CHOOSE(CONTROL!$C$42, 25.5386, 25.5386)* CHOOSE(CONTROL!$C$21, $C$9, 100%, $E$9)</f>
        <v>25.538599999999999</v>
      </c>
      <c r="J770" s="10">
        <f>CHOOSE(CONTROL!$C$42, 25.5735, 25.5735)* CHOOSE(CONTROL!$C$21, $C$9, 100%, $E$9)</f>
        <v>25.573499999999999</v>
      </c>
      <c r="K770" s="54">
        <f>CHOOSE(CONTROL!$C$42, 25.5347, 25.5347) * CHOOSE(CONTROL!$C$21, $C$9, 100%, $E$9)</f>
        <v>25.534700000000001</v>
      </c>
      <c r="L770" s="10">
        <f>CHOOSE(CONTROL!$C$42, 26.235, 26.235) * CHOOSE(CONTROL!$C$21, $C$9, 100%, $E$9)</f>
        <v>26.234999999999999</v>
      </c>
      <c r="M770" s="10">
        <f>CHOOSE(CONTROL!$C$42, 25.3293, 25.3293) * CHOOSE(CONTROL!$C$21, $C$9, 100%, $E$9)</f>
        <v>25.3293</v>
      </c>
      <c r="N770" s="10">
        <f>CHOOSE(CONTROL!$C$42, 25.351, 25.351) * CHOOSE(CONTROL!$C$21, $C$9, 100%, $E$9)</f>
        <v>25.350999999999999</v>
      </c>
      <c r="O770" s="10">
        <f>CHOOSE(CONTROL!$C$42, 25.403, 25.403) * CHOOSE(CONTROL!$C$21, $C$9, 100%, $E$9)</f>
        <v>25.402999999999999</v>
      </c>
      <c r="P770" s="10">
        <f>CHOOSE(CONTROL!$C$42, 25.2948, 25.2948) * CHOOSE(CONTROL!$C$21, $C$9, 100%, $E$9)</f>
        <v>25.294799999999999</v>
      </c>
      <c r="Q770" s="10">
        <f>CHOOSE(CONTROL!$C$42, 25.9983, 25.9983) * CHOOSE(CONTROL!$C$21, $C$9, 100%, $E$9)</f>
        <v>25.9983</v>
      </c>
      <c r="R770" s="10">
        <f>CHOOSE(CONTROL!$C$42, 26.6503, 26.6503) * CHOOSE(CONTROL!$C$21, $C$9, 100%, $E$9)</f>
        <v>26.650300000000001</v>
      </c>
      <c r="S770" s="10">
        <f>CHOOSE(CONTROL!$C$42, 24.7638, 24.7638) * CHOOSE(CONTROL!$C$21, $C$9, 100%, $E$9)</f>
        <v>24.7638</v>
      </c>
      <c r="T770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770" s="58">
        <f>(1000*CHOOSE(CONTROL!$C$42, 695, 695)*CHOOSE(CONTROL!$C$42, 0.5599, 0.5599)*CHOOSE(CONTROL!$C$42, 28, 28))/1000000</f>
        <v>10.895653999999999</v>
      </c>
      <c r="V770" s="58">
        <f>(1000*CHOOSE(CONTROL!$C$42, 500, 500)*CHOOSE(CONTROL!$C$42, 0.275, 0.275)*CHOOSE(CONTROL!$C$42, 28, 28))/1000000</f>
        <v>3.85</v>
      </c>
      <c r="W770" s="58">
        <f>(1000*CHOOSE(CONTROL!$C$42, 0.1146, 0.1146)*CHOOSE(CONTROL!$C$42, 121.5, 121.5)*CHOOSE(CONTROL!$C$42, 28, 28))/1000000</f>
        <v>0.38986920000000003</v>
      </c>
      <c r="X770" s="58">
        <f>(28*0.1790888*100000/1000000)+(28*0.2374*100000/1000000)</f>
        <v>1.16616864</v>
      </c>
      <c r="Y770" s="58"/>
      <c r="Z770" s="10"/>
      <c r="AA770" s="57"/>
      <c r="AB770" s="51">
        <f>(B770*122.58+C770*297.941+D770*89.177+E770*40.302+F770*40+G770*160+H770*0+I770*100+J770*300)/(122.58+297.941+89.177+40.302+0+40+160+100+300)</f>
        <v>25.557216136086954</v>
      </c>
      <c r="AC770" s="27">
        <f>(M770*'RAP TEMPLATE-GAS AVAILABILITY'!O769+N770*'RAP TEMPLATE-GAS AVAILABILITY'!P769+O770*'RAP TEMPLATE-GAS AVAILABILITY'!Q769+P770*'RAP TEMPLATE-GAS AVAILABILITY'!R769)/('RAP TEMPLATE-GAS AVAILABILITY'!O769+'RAP TEMPLATE-GAS AVAILABILITY'!P769+'RAP TEMPLATE-GAS AVAILABILITY'!Q769+'RAP TEMPLATE-GAS AVAILABILITY'!R769)</f>
        <v>25.358988489208631</v>
      </c>
    </row>
    <row r="771" spans="1:29" ht="15.75" x14ac:dyDescent="0.25">
      <c r="A771" s="13">
        <v>64740</v>
      </c>
      <c r="B771" s="10">
        <f>CHOOSE(CONTROL!$C$42, 24.779, 24.779) * CHOOSE(CONTROL!$C$21, $C$9, 100%, $E$9)</f>
        <v>24.779</v>
      </c>
      <c r="C771" s="10">
        <f>CHOOSE(CONTROL!$C$42, 24.7839, 24.7839) * CHOOSE(CONTROL!$C$21, $C$9, 100%, $E$9)</f>
        <v>24.783899999999999</v>
      </c>
      <c r="D771" s="10">
        <f>CHOOSE(CONTROL!$C$42, 24.8753, 24.8753) * CHOOSE(CONTROL!$C$21, $C$9, 100%, $E$9)</f>
        <v>24.875299999999999</v>
      </c>
      <c r="E771" s="10">
        <f>CHOOSE(CONTROL!$C$42, 24.9091, 24.9091) * CHOOSE(CONTROL!$C$21, $C$9, 100%, $E$9)</f>
        <v>24.909099999999999</v>
      </c>
      <c r="F771" s="10">
        <f>CHOOSE(CONTROL!$C$42, 24.8088, 24.8088)*CHOOSE(CONTROL!$C$21, $C$9, 100%, $E$9)</f>
        <v>24.808800000000002</v>
      </c>
      <c r="G771" s="10">
        <f>CHOOSE(CONTROL!$C$42, 24.8283, 24.8283)*CHOOSE(CONTROL!$C$21, $C$9, 100%, $E$9)</f>
        <v>24.828299999999999</v>
      </c>
      <c r="H771" s="10">
        <f>CHOOSE(CONTROL!$C$42, 24.8983, 24.8983) * CHOOSE(CONTROL!$C$21, $C$9, 100%, $E$9)</f>
        <v>24.898299999999999</v>
      </c>
      <c r="I771" s="10">
        <f>CHOOSE(CONTROL!$C$42, 24.8018, 24.8018)* CHOOSE(CONTROL!$C$21, $C$9, 100%, $E$9)</f>
        <v>24.8018</v>
      </c>
      <c r="J771" s="10">
        <f>CHOOSE(CONTROL!$C$42, 24.8018, 24.8018)* CHOOSE(CONTROL!$C$21, $C$9, 100%, $E$9)</f>
        <v>24.8018</v>
      </c>
      <c r="K771" s="54">
        <f>CHOOSE(CONTROL!$C$42, 24.7979, 24.7979) * CHOOSE(CONTROL!$C$21, $C$9, 100%, $E$9)</f>
        <v>24.797899999999998</v>
      </c>
      <c r="L771" s="10">
        <f>CHOOSE(CONTROL!$C$42, 25.4853, 25.4853) * CHOOSE(CONTROL!$C$21, $C$9, 100%, $E$9)</f>
        <v>25.485299999999999</v>
      </c>
      <c r="M771" s="10">
        <f>CHOOSE(CONTROL!$C$42, 24.5654, 24.5654) * CHOOSE(CONTROL!$C$21, $C$9, 100%, $E$9)</f>
        <v>24.5654</v>
      </c>
      <c r="N771" s="10">
        <f>CHOOSE(CONTROL!$C$42, 24.5847, 24.5847) * CHOOSE(CONTROL!$C$21, $C$9, 100%, $E$9)</f>
        <v>24.584700000000002</v>
      </c>
      <c r="O771" s="10">
        <f>CHOOSE(CONTROL!$C$42, 24.6609, 24.6609) * CHOOSE(CONTROL!$C$21, $C$9, 100%, $E$9)</f>
        <v>24.660900000000002</v>
      </c>
      <c r="P771" s="10">
        <f>CHOOSE(CONTROL!$C$42, 24.5654, 24.5654) * CHOOSE(CONTROL!$C$21, $C$9, 100%, $E$9)</f>
        <v>24.5654</v>
      </c>
      <c r="Q771" s="10">
        <f>CHOOSE(CONTROL!$C$42, 25.2562, 25.2562) * CHOOSE(CONTROL!$C$21, $C$9, 100%, $E$9)</f>
        <v>25.2562</v>
      </c>
      <c r="R771" s="10">
        <f>CHOOSE(CONTROL!$C$42, 25.9063, 25.9063) * CHOOSE(CONTROL!$C$21, $C$9, 100%, $E$9)</f>
        <v>25.906300000000002</v>
      </c>
      <c r="S771" s="10">
        <f>CHOOSE(CONTROL!$C$42, 24.0607, 24.0607) * CHOOSE(CONTROL!$C$21, $C$9, 100%, $E$9)</f>
        <v>24.060700000000001</v>
      </c>
      <c r="T771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71" s="58">
        <f>(1000*CHOOSE(CONTROL!$C$42, 695, 695)*CHOOSE(CONTROL!$C$42, 0.5599, 0.5599)*CHOOSE(CONTROL!$C$42, 31, 31))/1000000</f>
        <v>12.063045499999998</v>
      </c>
      <c r="V771" s="58">
        <f>(1000*CHOOSE(CONTROL!$C$42, 500, 500)*CHOOSE(CONTROL!$C$42, 0.275, 0.275)*CHOOSE(CONTROL!$C$42, 31, 31))/1000000</f>
        <v>4.2625000000000002</v>
      </c>
      <c r="W771" s="58">
        <f>(1000*CHOOSE(CONTROL!$C$42, 0.1146, 0.1146)*CHOOSE(CONTROL!$C$42, 121.5, 121.5)*CHOOSE(CONTROL!$C$42, 31, 31))/1000000</f>
        <v>0.43164089999999994</v>
      </c>
      <c r="X771" s="58">
        <f>(31*0.1790888*100000/1000000)+(31*0.2374*100000/1000000)</f>
        <v>1.2911152800000001</v>
      </c>
      <c r="Y771" s="58"/>
      <c r="Z771" s="10"/>
      <c r="AA771" s="57"/>
      <c r="AB771" s="51">
        <f>(B771*122.58+C771*297.941+D771*89.177+E771*40.302+F771*40+G771*160+H771*0+I771*100+J771*300)/(122.58+297.941+89.177+40.302+0+40+160+100+300)</f>
        <v>24.808122561913045</v>
      </c>
      <c r="AC771" s="27">
        <f>(M771*'RAP TEMPLATE-GAS AVAILABILITY'!O770+N771*'RAP TEMPLATE-GAS AVAILABILITY'!P770+O771*'RAP TEMPLATE-GAS AVAILABILITY'!Q770+P771*'RAP TEMPLATE-GAS AVAILABILITY'!R770)/('RAP TEMPLATE-GAS AVAILABILITY'!O770+'RAP TEMPLATE-GAS AVAILABILITY'!P770+'RAP TEMPLATE-GAS AVAILABILITY'!Q770+'RAP TEMPLATE-GAS AVAILABILITY'!R770)</f>
        <v>24.609794964028776</v>
      </c>
    </row>
    <row r="772" spans="1:29" ht="15.75" x14ac:dyDescent="0.25">
      <c r="A772" s="13">
        <v>64770</v>
      </c>
      <c r="B772" s="10">
        <f>CHOOSE(CONTROL!$C$42, 24.7056, 24.7056) * CHOOSE(CONTROL!$C$21, $C$9, 100%, $E$9)</f>
        <v>24.7056</v>
      </c>
      <c r="C772" s="10">
        <f>CHOOSE(CONTROL!$C$42, 24.71, 24.71) * CHOOSE(CONTROL!$C$21, $C$9, 100%, $E$9)</f>
        <v>24.71</v>
      </c>
      <c r="D772" s="10">
        <f>CHOOSE(CONTROL!$C$42, 24.8916, 24.8916) * CHOOSE(CONTROL!$C$21, $C$9, 100%, $E$9)</f>
        <v>24.8916</v>
      </c>
      <c r="E772" s="10">
        <f>CHOOSE(CONTROL!$C$42, 24.9234, 24.9234) * CHOOSE(CONTROL!$C$21, $C$9, 100%, $E$9)</f>
        <v>24.923400000000001</v>
      </c>
      <c r="F772" s="10">
        <f>CHOOSE(CONTROL!$C$42, 24.6939, 24.6939)*CHOOSE(CONTROL!$C$21, $C$9, 100%, $E$9)</f>
        <v>24.693899999999999</v>
      </c>
      <c r="G772" s="10">
        <f>CHOOSE(CONTROL!$C$42, 24.7119, 24.7119)*CHOOSE(CONTROL!$C$21, $C$9, 100%, $E$9)</f>
        <v>24.7119</v>
      </c>
      <c r="H772" s="10">
        <f>CHOOSE(CONTROL!$C$42, 24.9132, 24.9132) * CHOOSE(CONTROL!$C$21, $C$9, 100%, $E$9)</f>
        <v>24.9132</v>
      </c>
      <c r="I772" s="10">
        <f>CHOOSE(CONTROL!$C$42, 24.6839, 24.6839)* CHOOSE(CONTROL!$C$21, $C$9, 100%, $E$9)</f>
        <v>24.683900000000001</v>
      </c>
      <c r="J772" s="10">
        <f>CHOOSE(CONTROL!$C$42, 24.6869, 24.6869)* CHOOSE(CONTROL!$C$21, $C$9, 100%, $E$9)</f>
        <v>24.686900000000001</v>
      </c>
      <c r="K772" s="54">
        <f>CHOOSE(CONTROL!$C$42, 24.68, 24.68) * CHOOSE(CONTROL!$C$21, $C$9, 100%, $E$9)</f>
        <v>24.68</v>
      </c>
      <c r="L772" s="10">
        <f>CHOOSE(CONTROL!$C$42, 25.5002, 25.5002) * CHOOSE(CONTROL!$C$21, $C$9, 100%, $E$9)</f>
        <v>25.5002</v>
      </c>
      <c r="M772" s="10">
        <f>CHOOSE(CONTROL!$C$42, 24.4516, 24.4516) * CHOOSE(CONTROL!$C$21, $C$9, 100%, $E$9)</f>
        <v>24.451599999999999</v>
      </c>
      <c r="N772" s="10">
        <f>CHOOSE(CONTROL!$C$42, 24.4694, 24.4694) * CHOOSE(CONTROL!$C$21, $C$9, 100%, $E$9)</f>
        <v>24.4694</v>
      </c>
      <c r="O772" s="10">
        <f>CHOOSE(CONTROL!$C$42, 24.6756, 24.6756) * CHOOSE(CONTROL!$C$21, $C$9, 100%, $E$9)</f>
        <v>24.675599999999999</v>
      </c>
      <c r="P772" s="10">
        <f>CHOOSE(CONTROL!$C$42, 24.4486, 24.4486) * CHOOSE(CONTROL!$C$21, $C$9, 100%, $E$9)</f>
        <v>24.448599999999999</v>
      </c>
      <c r="Q772" s="10">
        <f>CHOOSE(CONTROL!$C$42, 25.2709, 25.2709) * CHOOSE(CONTROL!$C$21, $C$9, 100%, $E$9)</f>
        <v>25.270900000000001</v>
      </c>
      <c r="R772" s="10">
        <f>CHOOSE(CONTROL!$C$42, 25.9211, 25.9211) * CHOOSE(CONTROL!$C$21, $C$9, 100%, $E$9)</f>
        <v>25.921099999999999</v>
      </c>
      <c r="S772" s="10">
        <f>CHOOSE(CONTROL!$C$42, 23.9887, 23.9887) * CHOOSE(CONTROL!$C$21, $C$9, 100%, $E$9)</f>
        <v>23.988700000000001</v>
      </c>
      <c r="T772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72" s="58">
        <f>(1000*CHOOSE(CONTROL!$C$42, 695, 695)*CHOOSE(CONTROL!$C$42, 0.5599, 0.5599)*CHOOSE(CONTROL!$C$42, 30, 30))/1000000</f>
        <v>11.673914999999997</v>
      </c>
      <c r="V772" s="58">
        <f>(1000*CHOOSE(CONTROL!$C$42, 500, 500)*CHOOSE(CONTROL!$C$42, 0.275, 0.275)*CHOOSE(CONTROL!$C$42, 30, 30))/1000000</f>
        <v>4.125</v>
      </c>
      <c r="W772" s="58">
        <f>(1000*CHOOSE(CONTROL!$C$42, 0.1146, 0.1146)*CHOOSE(CONTROL!$C$42, 121.5, 121.5)*CHOOSE(CONTROL!$C$42, 30, 30))/1000000</f>
        <v>0.417717</v>
      </c>
      <c r="X772" s="58">
        <f>(30*0.1790888*245000/1000000)+(30*0.2374*100000/1000000)</f>
        <v>2.0285026799999999</v>
      </c>
      <c r="Y772" s="58"/>
      <c r="Z772" s="10"/>
      <c r="AA772" s="57"/>
      <c r="AB772" s="51">
        <f>(B772*141.293+C772*267.993+D772*115.016+E772*89.698+F772*40+G772*185+H772*0+I772*100+J772*300)/(141.293+267.993+115.016+89.698+0+40+185+100+300)</f>
        <v>24.733869466989507</v>
      </c>
      <c r="AC772" s="27">
        <f>(M772*'RAP TEMPLATE-GAS AVAILABILITY'!O771+N772*'RAP TEMPLATE-GAS AVAILABILITY'!P771+O772*'RAP TEMPLATE-GAS AVAILABILITY'!Q771+P772*'RAP TEMPLATE-GAS AVAILABILITY'!R771)/('RAP TEMPLATE-GAS AVAILABILITY'!O771+'RAP TEMPLATE-GAS AVAILABILITY'!P771+'RAP TEMPLATE-GAS AVAILABILITY'!Q771+'RAP TEMPLATE-GAS AVAILABILITY'!R771)</f>
        <v>24.55371798561151</v>
      </c>
    </row>
    <row r="773" spans="1:29" ht="15.75" x14ac:dyDescent="0.25">
      <c r="A773" s="13">
        <v>64801</v>
      </c>
      <c r="B773" s="10">
        <f>CHOOSE(CONTROL!$C$42, 24.9254, 24.9254) * CHOOSE(CONTROL!$C$21, $C$9, 100%, $E$9)</f>
        <v>24.9254</v>
      </c>
      <c r="C773" s="10">
        <f>CHOOSE(CONTROL!$C$42, 24.9333, 24.9333) * CHOOSE(CONTROL!$C$21, $C$9, 100%, $E$9)</f>
        <v>24.933299999999999</v>
      </c>
      <c r="D773" s="10">
        <f>CHOOSE(CONTROL!$C$42, 25.1118, 25.1118) * CHOOSE(CONTROL!$C$21, $C$9, 100%, $E$9)</f>
        <v>25.111799999999999</v>
      </c>
      <c r="E773" s="10">
        <f>CHOOSE(CONTROL!$C$42, 25.143, 25.143) * CHOOSE(CONTROL!$C$21, $C$9, 100%, $E$9)</f>
        <v>25.143000000000001</v>
      </c>
      <c r="F773" s="10">
        <f>CHOOSE(CONTROL!$C$42, 24.9116, 24.9116)*CHOOSE(CONTROL!$C$21, $C$9, 100%, $E$9)</f>
        <v>24.9116</v>
      </c>
      <c r="G773" s="10">
        <f>CHOOSE(CONTROL!$C$42, 24.9297, 24.9297)*CHOOSE(CONTROL!$C$21, $C$9, 100%, $E$9)</f>
        <v>24.9297</v>
      </c>
      <c r="H773" s="10">
        <f>CHOOSE(CONTROL!$C$42, 25.1316, 25.1316) * CHOOSE(CONTROL!$C$21, $C$9, 100%, $E$9)</f>
        <v>25.131599999999999</v>
      </c>
      <c r="I773" s="10">
        <f>CHOOSE(CONTROL!$C$42, 24.9023, 24.9023)* CHOOSE(CONTROL!$C$21, $C$9, 100%, $E$9)</f>
        <v>24.9023</v>
      </c>
      <c r="J773" s="10">
        <f>CHOOSE(CONTROL!$C$42, 24.9046, 24.9046)* CHOOSE(CONTROL!$C$21, $C$9, 100%, $E$9)</f>
        <v>24.904599999999999</v>
      </c>
      <c r="K773" s="54">
        <f>CHOOSE(CONTROL!$C$42, 24.8984, 24.8984) * CHOOSE(CONTROL!$C$21, $C$9, 100%, $E$9)</f>
        <v>24.898399999999999</v>
      </c>
      <c r="L773" s="10">
        <f>CHOOSE(CONTROL!$C$42, 25.7186, 25.7186) * CHOOSE(CONTROL!$C$21, $C$9, 100%, $E$9)</f>
        <v>25.718599999999999</v>
      </c>
      <c r="M773" s="10">
        <f>CHOOSE(CONTROL!$C$42, 24.6671, 24.6671) * CHOOSE(CONTROL!$C$21, $C$9, 100%, $E$9)</f>
        <v>24.667100000000001</v>
      </c>
      <c r="N773" s="10">
        <f>CHOOSE(CONTROL!$C$42, 24.6851, 24.6851) * CHOOSE(CONTROL!$C$21, $C$9, 100%, $E$9)</f>
        <v>24.685099999999998</v>
      </c>
      <c r="O773" s="10">
        <f>CHOOSE(CONTROL!$C$42, 24.8918, 24.8918) * CHOOSE(CONTROL!$C$21, $C$9, 100%, $E$9)</f>
        <v>24.8918</v>
      </c>
      <c r="P773" s="10">
        <f>CHOOSE(CONTROL!$C$42, 24.6648, 24.6648) * CHOOSE(CONTROL!$C$21, $C$9, 100%, $E$9)</f>
        <v>24.6648</v>
      </c>
      <c r="Q773" s="10">
        <f>CHOOSE(CONTROL!$C$42, 25.4871, 25.4871) * CHOOSE(CONTROL!$C$21, $C$9, 100%, $E$9)</f>
        <v>25.487100000000002</v>
      </c>
      <c r="R773" s="10">
        <f>CHOOSE(CONTROL!$C$42, 26.1378, 26.1378) * CHOOSE(CONTROL!$C$21, $C$9, 100%, $E$9)</f>
        <v>26.137799999999999</v>
      </c>
      <c r="S773" s="10">
        <f>CHOOSE(CONTROL!$C$42, 24.2008, 24.2008) * CHOOSE(CONTROL!$C$21, $C$9, 100%, $E$9)</f>
        <v>24.200800000000001</v>
      </c>
      <c r="T773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73" s="58">
        <f>(1000*CHOOSE(CONTROL!$C$42, 695, 695)*CHOOSE(CONTROL!$C$42, 0.5599, 0.5599)*CHOOSE(CONTROL!$C$42, 31, 31))/1000000</f>
        <v>12.063045499999998</v>
      </c>
      <c r="V773" s="58">
        <f>(1000*CHOOSE(CONTROL!$C$42, 500, 500)*CHOOSE(CONTROL!$C$42, 0.275, 0.275)*CHOOSE(CONTROL!$C$42, 31, 31))/1000000</f>
        <v>4.2625000000000002</v>
      </c>
      <c r="W773" s="58">
        <f>(1000*CHOOSE(CONTROL!$C$42, 0.1146, 0.1146)*CHOOSE(CONTROL!$C$42, 121.5, 121.5)*CHOOSE(CONTROL!$C$42, 31, 31))/1000000</f>
        <v>0.43164089999999994</v>
      </c>
      <c r="X773" s="58">
        <f>(31*0.1790888*245000/1000000)+(31*0.2374*100000/1000000)</f>
        <v>2.0961194359999999</v>
      </c>
      <c r="Y773" s="58"/>
      <c r="Z773" s="10"/>
      <c r="AA773" s="57"/>
      <c r="AB773" s="51">
        <f>(B773*194.205+C773*267.466+D773*133.845+E773*53.484+F773*40+G773*185+H773*0+I773*100+J773*300)/(194.205+267.466+133.845+53.484+0+40+185+100+300)</f>
        <v>24.949256599529043</v>
      </c>
      <c r="AC773" s="27">
        <f>(M773*'RAP TEMPLATE-GAS AVAILABILITY'!O772+N773*'RAP TEMPLATE-GAS AVAILABILITY'!P772+O773*'RAP TEMPLATE-GAS AVAILABILITY'!Q772+P773*'RAP TEMPLATE-GAS AVAILABILITY'!R772)/('RAP TEMPLATE-GAS AVAILABILITY'!O772+'RAP TEMPLATE-GAS AVAILABILITY'!P772+'RAP TEMPLATE-GAS AVAILABILITY'!Q772+'RAP TEMPLATE-GAS AVAILABILITY'!R772)</f>
        <v>24.769647482014388</v>
      </c>
    </row>
    <row r="774" spans="1:29" ht="15.75" x14ac:dyDescent="0.25">
      <c r="A774" s="13">
        <v>64831</v>
      </c>
      <c r="B774" s="10">
        <f>CHOOSE(CONTROL!$C$42, 25.6323, 25.6323) * CHOOSE(CONTROL!$C$21, $C$9, 100%, $E$9)</f>
        <v>25.632300000000001</v>
      </c>
      <c r="C774" s="10">
        <f>CHOOSE(CONTROL!$C$42, 25.6402, 25.6402) * CHOOSE(CONTROL!$C$21, $C$9, 100%, $E$9)</f>
        <v>25.6402</v>
      </c>
      <c r="D774" s="10">
        <f>CHOOSE(CONTROL!$C$42, 25.8187, 25.8187) * CHOOSE(CONTROL!$C$21, $C$9, 100%, $E$9)</f>
        <v>25.8187</v>
      </c>
      <c r="E774" s="10">
        <f>CHOOSE(CONTROL!$C$42, 25.8499, 25.8499) * CHOOSE(CONTROL!$C$21, $C$9, 100%, $E$9)</f>
        <v>25.849900000000002</v>
      </c>
      <c r="F774" s="10">
        <f>CHOOSE(CONTROL!$C$42, 25.6187, 25.6187)*CHOOSE(CONTROL!$C$21, $C$9, 100%, $E$9)</f>
        <v>25.6187</v>
      </c>
      <c r="G774" s="10">
        <f>CHOOSE(CONTROL!$C$42, 25.637, 25.637)*CHOOSE(CONTROL!$C$21, $C$9, 100%, $E$9)</f>
        <v>25.637</v>
      </c>
      <c r="H774" s="10">
        <f>CHOOSE(CONTROL!$C$42, 25.8385, 25.8385) * CHOOSE(CONTROL!$C$21, $C$9, 100%, $E$9)</f>
        <v>25.8385</v>
      </c>
      <c r="I774" s="10">
        <f>CHOOSE(CONTROL!$C$42, 25.6092, 25.6092)* CHOOSE(CONTROL!$C$21, $C$9, 100%, $E$9)</f>
        <v>25.609200000000001</v>
      </c>
      <c r="J774" s="10">
        <f>CHOOSE(CONTROL!$C$42, 25.6117, 25.6117)* CHOOSE(CONTROL!$C$21, $C$9, 100%, $E$9)</f>
        <v>25.611699999999999</v>
      </c>
      <c r="K774" s="54">
        <f>CHOOSE(CONTROL!$C$42, 25.6053, 25.6053) * CHOOSE(CONTROL!$C$21, $C$9, 100%, $E$9)</f>
        <v>25.6053</v>
      </c>
      <c r="L774" s="10">
        <f>CHOOSE(CONTROL!$C$42, 26.4255, 26.4255) * CHOOSE(CONTROL!$C$21, $C$9, 100%, $E$9)</f>
        <v>26.4255</v>
      </c>
      <c r="M774" s="10">
        <f>CHOOSE(CONTROL!$C$42, 25.3671, 25.3671) * CHOOSE(CONTROL!$C$21, $C$9, 100%, $E$9)</f>
        <v>25.367100000000001</v>
      </c>
      <c r="N774" s="10">
        <f>CHOOSE(CONTROL!$C$42, 25.3851, 25.3851) * CHOOSE(CONTROL!$C$21, $C$9, 100%, $E$9)</f>
        <v>25.385100000000001</v>
      </c>
      <c r="O774" s="10">
        <f>CHOOSE(CONTROL!$C$42, 25.5916, 25.5916) * CHOOSE(CONTROL!$C$21, $C$9, 100%, $E$9)</f>
        <v>25.5916</v>
      </c>
      <c r="P774" s="10">
        <f>CHOOSE(CONTROL!$C$42, 25.3646, 25.3646) * CHOOSE(CONTROL!$C$21, $C$9, 100%, $E$9)</f>
        <v>25.364599999999999</v>
      </c>
      <c r="Q774" s="10">
        <f>CHOOSE(CONTROL!$C$42, 26.1869, 26.1869) * CHOOSE(CONTROL!$C$21, $C$9, 100%, $E$9)</f>
        <v>26.186900000000001</v>
      </c>
      <c r="R774" s="10">
        <f>CHOOSE(CONTROL!$C$42, 26.8393, 26.8393) * CHOOSE(CONTROL!$C$21, $C$9, 100%, $E$9)</f>
        <v>26.839300000000001</v>
      </c>
      <c r="S774" s="10">
        <f>CHOOSE(CONTROL!$C$42, 24.8873, 24.8873) * CHOOSE(CONTROL!$C$21, $C$9, 100%, $E$9)</f>
        <v>24.8873</v>
      </c>
      <c r="T774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74" s="58">
        <f>(1000*CHOOSE(CONTROL!$C$42, 695, 695)*CHOOSE(CONTROL!$C$42, 0.5599, 0.5599)*CHOOSE(CONTROL!$C$42, 30, 30))/1000000</f>
        <v>11.673914999999997</v>
      </c>
      <c r="V774" s="58">
        <f>(1000*CHOOSE(CONTROL!$C$42, 500, 500)*CHOOSE(CONTROL!$C$42, 0.275, 0.275)*CHOOSE(CONTROL!$C$42, 30, 30))/1000000</f>
        <v>4.125</v>
      </c>
      <c r="W774" s="58">
        <f>(1000*CHOOSE(CONTROL!$C$42, 0.1146, 0.1146)*CHOOSE(CONTROL!$C$42, 121.5, 121.5)*CHOOSE(CONTROL!$C$42, 30, 30))/1000000</f>
        <v>0.417717</v>
      </c>
      <c r="X774" s="58">
        <f>(30*0.1790888*245000/1000000)+(30*0.2374*100000/1000000)</f>
        <v>2.0285026799999999</v>
      </c>
      <c r="Y774" s="58"/>
      <c r="Z774" s="10"/>
      <c r="AA774" s="57"/>
      <c r="AB774" s="51">
        <f>(B774*194.205+C774*267.466+D774*133.845+E774*53.484+F774*40+G774*185+H774*0+I774*100+J774*300)/(194.205+267.466+133.845+53.484+0+40+185+100+300)</f>
        <v>25.656268059497645</v>
      </c>
      <c r="AC774" s="27">
        <f>(M774*'RAP TEMPLATE-GAS AVAILABILITY'!O773+N774*'RAP TEMPLATE-GAS AVAILABILITY'!P773+O774*'RAP TEMPLATE-GAS AVAILABILITY'!Q773+P774*'RAP TEMPLATE-GAS AVAILABILITY'!R773)/('RAP TEMPLATE-GAS AVAILABILITY'!O773+'RAP TEMPLATE-GAS AVAILABILITY'!P773+'RAP TEMPLATE-GAS AVAILABILITY'!Q773+'RAP TEMPLATE-GAS AVAILABILITY'!R773)</f>
        <v>25.469528057553958</v>
      </c>
    </row>
    <row r="775" spans="1:29" ht="15.75" x14ac:dyDescent="0.25">
      <c r="A775" s="13">
        <v>64862</v>
      </c>
      <c r="B775" s="10">
        <f>CHOOSE(CONTROL!$C$42, 25.1406, 25.1406) * CHOOSE(CONTROL!$C$21, $C$9, 100%, $E$9)</f>
        <v>25.140599999999999</v>
      </c>
      <c r="C775" s="10">
        <f>CHOOSE(CONTROL!$C$42, 25.1486, 25.1486) * CHOOSE(CONTROL!$C$21, $C$9, 100%, $E$9)</f>
        <v>25.148599999999998</v>
      </c>
      <c r="D775" s="10">
        <f>CHOOSE(CONTROL!$C$42, 25.3271, 25.3271) * CHOOSE(CONTROL!$C$21, $C$9, 100%, $E$9)</f>
        <v>25.327100000000002</v>
      </c>
      <c r="E775" s="10">
        <f>CHOOSE(CONTROL!$C$42, 25.3582, 25.3582) * CHOOSE(CONTROL!$C$21, $C$9, 100%, $E$9)</f>
        <v>25.3582</v>
      </c>
      <c r="F775" s="10">
        <f>CHOOSE(CONTROL!$C$42, 25.1273, 25.1273)*CHOOSE(CONTROL!$C$21, $C$9, 100%, $E$9)</f>
        <v>25.127300000000002</v>
      </c>
      <c r="G775" s="10">
        <f>CHOOSE(CONTROL!$C$42, 25.1457, 25.1457)*CHOOSE(CONTROL!$C$21, $C$9, 100%, $E$9)</f>
        <v>25.145700000000001</v>
      </c>
      <c r="H775" s="10">
        <f>CHOOSE(CONTROL!$C$42, 25.3469, 25.3469) * CHOOSE(CONTROL!$C$21, $C$9, 100%, $E$9)</f>
        <v>25.346900000000002</v>
      </c>
      <c r="I775" s="10">
        <f>CHOOSE(CONTROL!$C$42, 25.1175, 25.1175)* CHOOSE(CONTROL!$C$21, $C$9, 100%, $E$9)</f>
        <v>25.1175</v>
      </c>
      <c r="J775" s="10">
        <f>CHOOSE(CONTROL!$C$42, 25.1203, 25.1203)* CHOOSE(CONTROL!$C$21, $C$9, 100%, $E$9)</f>
        <v>25.1203</v>
      </c>
      <c r="K775" s="54">
        <f>CHOOSE(CONTROL!$C$42, 25.1136, 25.1136) * CHOOSE(CONTROL!$C$21, $C$9, 100%, $E$9)</f>
        <v>25.113600000000002</v>
      </c>
      <c r="L775" s="10">
        <f>CHOOSE(CONTROL!$C$42, 25.9339, 25.9339) * CHOOSE(CONTROL!$C$21, $C$9, 100%, $E$9)</f>
        <v>25.933900000000001</v>
      </c>
      <c r="M775" s="10">
        <f>CHOOSE(CONTROL!$C$42, 24.8807, 24.8807) * CHOOSE(CONTROL!$C$21, $C$9, 100%, $E$9)</f>
        <v>24.880700000000001</v>
      </c>
      <c r="N775" s="10">
        <f>CHOOSE(CONTROL!$C$42, 24.8988, 24.8988) * CHOOSE(CONTROL!$C$21, $C$9, 100%, $E$9)</f>
        <v>24.898800000000001</v>
      </c>
      <c r="O775" s="10">
        <f>CHOOSE(CONTROL!$C$42, 25.1049, 25.1049) * CHOOSE(CONTROL!$C$21, $C$9, 100%, $E$9)</f>
        <v>25.104900000000001</v>
      </c>
      <c r="P775" s="10">
        <f>CHOOSE(CONTROL!$C$42, 24.8779, 24.8779) * CHOOSE(CONTROL!$C$21, $C$9, 100%, $E$9)</f>
        <v>24.8779</v>
      </c>
      <c r="Q775" s="10">
        <f>CHOOSE(CONTROL!$C$42, 25.7002, 25.7002) * CHOOSE(CONTROL!$C$21, $C$9, 100%, $E$9)</f>
        <v>25.700199999999999</v>
      </c>
      <c r="R775" s="10">
        <f>CHOOSE(CONTROL!$C$42, 26.3514, 26.3514) * CHOOSE(CONTROL!$C$21, $C$9, 100%, $E$9)</f>
        <v>26.351400000000002</v>
      </c>
      <c r="S775" s="10">
        <f>CHOOSE(CONTROL!$C$42, 24.4098, 24.4098) * CHOOSE(CONTROL!$C$21, $C$9, 100%, $E$9)</f>
        <v>24.409800000000001</v>
      </c>
      <c r="T775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75" s="58">
        <f>(1000*CHOOSE(CONTROL!$C$42, 695, 695)*CHOOSE(CONTROL!$C$42, 0.5599, 0.5599)*CHOOSE(CONTROL!$C$42, 31, 31))/1000000</f>
        <v>12.063045499999998</v>
      </c>
      <c r="V775" s="58">
        <f>(1000*CHOOSE(CONTROL!$C$42, 500, 500)*CHOOSE(CONTROL!$C$42, 0.275, 0.275)*CHOOSE(CONTROL!$C$42, 31, 31))/1000000</f>
        <v>4.2625000000000002</v>
      </c>
      <c r="W775" s="58">
        <f>(1000*CHOOSE(CONTROL!$C$42, 0.1146, 0.1146)*CHOOSE(CONTROL!$C$42, 121.5, 121.5)*CHOOSE(CONTROL!$C$42, 31, 31))/1000000</f>
        <v>0.43164089999999994</v>
      </c>
      <c r="X775" s="58">
        <f>(31*0.1790888*245000/1000000)+(31*0.2374*100000/1000000)</f>
        <v>2.0961194359999999</v>
      </c>
      <c r="Y775" s="58"/>
      <c r="Z775" s="10"/>
      <c r="AA775" s="57"/>
      <c r="AB775" s="51">
        <f>(B775*194.205+C775*267.466+D775*133.845+E775*53.484+F775*40+G775*185+H775*0+I775*100+J775*300)/(194.205+267.466+133.845+53.484+0+40+185+100+300)</f>
        <v>25.164737707142855</v>
      </c>
      <c r="AC775" s="27">
        <f>(M775*'RAP TEMPLATE-GAS AVAILABILITY'!O774+N775*'RAP TEMPLATE-GAS AVAILABILITY'!P774+O775*'RAP TEMPLATE-GAS AVAILABILITY'!Q774+P775*'RAP TEMPLATE-GAS AVAILABILITY'!R774)/('RAP TEMPLATE-GAS AVAILABILITY'!O774+'RAP TEMPLATE-GAS AVAILABILITY'!P774+'RAP TEMPLATE-GAS AVAILABILITY'!Q774+'RAP TEMPLATE-GAS AVAILABILITY'!R774)</f>
        <v>24.982954676258995</v>
      </c>
    </row>
    <row r="776" spans="1:29" ht="15.75" x14ac:dyDescent="0.25">
      <c r="A776" s="13">
        <v>64893</v>
      </c>
      <c r="B776" s="10">
        <f>CHOOSE(CONTROL!$C$42, 23.8991, 23.8991) * CHOOSE(CONTROL!$C$21, $C$9, 100%, $E$9)</f>
        <v>23.899100000000001</v>
      </c>
      <c r="C776" s="10">
        <f>CHOOSE(CONTROL!$C$42, 23.907, 23.907) * CHOOSE(CONTROL!$C$21, $C$9, 100%, $E$9)</f>
        <v>23.907</v>
      </c>
      <c r="D776" s="10">
        <f>CHOOSE(CONTROL!$C$42, 24.0855, 24.0855) * CHOOSE(CONTROL!$C$21, $C$9, 100%, $E$9)</f>
        <v>24.0855</v>
      </c>
      <c r="E776" s="10">
        <f>CHOOSE(CONTROL!$C$42, 24.1167, 24.1167) * CHOOSE(CONTROL!$C$21, $C$9, 100%, $E$9)</f>
        <v>24.116700000000002</v>
      </c>
      <c r="F776" s="10">
        <f>CHOOSE(CONTROL!$C$42, 23.8857, 23.8857)*CHOOSE(CONTROL!$C$21, $C$9, 100%, $E$9)</f>
        <v>23.8857</v>
      </c>
      <c r="G776" s="10">
        <f>CHOOSE(CONTROL!$C$42, 23.904, 23.904)*CHOOSE(CONTROL!$C$21, $C$9, 100%, $E$9)</f>
        <v>23.904</v>
      </c>
      <c r="H776" s="10">
        <f>CHOOSE(CONTROL!$C$42, 24.1053, 24.1053) * CHOOSE(CONTROL!$C$21, $C$9, 100%, $E$9)</f>
        <v>24.1053</v>
      </c>
      <c r="I776" s="10">
        <f>CHOOSE(CONTROL!$C$42, 23.876, 23.876)* CHOOSE(CONTROL!$C$21, $C$9, 100%, $E$9)</f>
        <v>23.876000000000001</v>
      </c>
      <c r="J776" s="10">
        <f>CHOOSE(CONTROL!$C$42, 23.8787, 23.8787)* CHOOSE(CONTROL!$C$21, $C$9, 100%, $E$9)</f>
        <v>23.878699999999998</v>
      </c>
      <c r="K776" s="54">
        <f>CHOOSE(CONTROL!$C$42, 23.8721, 23.8721) * CHOOSE(CONTROL!$C$21, $C$9, 100%, $E$9)</f>
        <v>23.8721</v>
      </c>
      <c r="L776" s="10">
        <f>CHOOSE(CONTROL!$C$42, 24.6923, 24.6923) * CHOOSE(CONTROL!$C$21, $C$9, 100%, $E$9)</f>
        <v>24.692299999999999</v>
      </c>
      <c r="M776" s="10">
        <f>CHOOSE(CONTROL!$C$42, 23.6516, 23.6516) * CHOOSE(CONTROL!$C$21, $C$9, 100%, $E$9)</f>
        <v>23.651599999999998</v>
      </c>
      <c r="N776" s="10">
        <f>CHOOSE(CONTROL!$C$42, 23.6697, 23.6697) * CHOOSE(CONTROL!$C$21, $C$9, 100%, $E$9)</f>
        <v>23.669699999999999</v>
      </c>
      <c r="O776" s="10">
        <f>CHOOSE(CONTROL!$C$42, 23.8759, 23.8759) * CHOOSE(CONTROL!$C$21, $C$9, 100%, $E$9)</f>
        <v>23.875900000000001</v>
      </c>
      <c r="P776" s="10">
        <f>CHOOSE(CONTROL!$C$42, 23.6489, 23.6489) * CHOOSE(CONTROL!$C$21, $C$9, 100%, $E$9)</f>
        <v>23.648900000000001</v>
      </c>
      <c r="Q776" s="10">
        <f>CHOOSE(CONTROL!$C$42, 24.4712, 24.4712) * CHOOSE(CONTROL!$C$21, $C$9, 100%, $E$9)</f>
        <v>24.4712</v>
      </c>
      <c r="R776" s="10">
        <f>CHOOSE(CONTROL!$C$42, 25.1193, 25.1193) * CHOOSE(CONTROL!$C$21, $C$9, 100%, $E$9)</f>
        <v>25.119299999999999</v>
      </c>
      <c r="S776" s="10">
        <f>CHOOSE(CONTROL!$C$42, 23.2042, 23.2042) * CHOOSE(CONTROL!$C$21, $C$9, 100%, $E$9)</f>
        <v>23.2042</v>
      </c>
      <c r="T776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776" s="58">
        <f>(1000*CHOOSE(CONTROL!$C$42, 695, 695)*CHOOSE(CONTROL!$C$42, 0.5599, 0.5599)*CHOOSE(CONTROL!$C$42, 31, 31))/1000000</f>
        <v>12.063045499999998</v>
      </c>
      <c r="V776" s="58">
        <f>(1000*CHOOSE(CONTROL!$C$42, 500, 500)*CHOOSE(CONTROL!$C$42, 0.275, 0.275)*CHOOSE(CONTROL!$C$42, 31, 31))/1000000</f>
        <v>4.2625000000000002</v>
      </c>
      <c r="W776" s="58">
        <f>(1000*CHOOSE(CONTROL!$C$42, 0.1146, 0.1146)*CHOOSE(CONTROL!$C$42, 121.5, 121.5)*CHOOSE(CONTROL!$C$42, 31, 31))/1000000</f>
        <v>0.43164089999999994</v>
      </c>
      <c r="X776" s="58">
        <f>(31*0.1790888*245000/1000000)+(31*0.2374*100000/1000000)</f>
        <v>2.0961194359999999</v>
      </c>
      <c r="Y776" s="58"/>
      <c r="Z776" s="10"/>
      <c r="AA776" s="57"/>
      <c r="AB776" s="51">
        <f>(B776*194.205+C776*267.466+D776*133.845+E776*53.484+F776*40+G776*185+H776*0+I776*100+J776*300)/(194.205+267.466+133.845+53.484+0+40+185+100+300)</f>
        <v>23.92315047708006</v>
      </c>
      <c r="AC776" s="27">
        <f>(M776*'RAP TEMPLATE-GAS AVAILABILITY'!O775+N776*'RAP TEMPLATE-GAS AVAILABILITY'!P775+O776*'RAP TEMPLATE-GAS AVAILABILITY'!Q775+P776*'RAP TEMPLATE-GAS AVAILABILITY'!R775)/('RAP TEMPLATE-GAS AVAILABILITY'!O775+'RAP TEMPLATE-GAS AVAILABILITY'!P775+'RAP TEMPLATE-GAS AVAILABILITY'!Q775+'RAP TEMPLATE-GAS AVAILABILITY'!R775)</f>
        <v>23.753914388489207</v>
      </c>
    </row>
    <row r="777" spans="1:29" ht="15.75" x14ac:dyDescent="0.25">
      <c r="A777" s="13">
        <v>64923</v>
      </c>
      <c r="B777" s="10">
        <f>CHOOSE(CONTROL!$C$42, 22.3821, 22.3821) * CHOOSE(CONTROL!$C$21, $C$9, 100%, $E$9)</f>
        <v>22.382100000000001</v>
      </c>
      <c r="C777" s="10">
        <f>CHOOSE(CONTROL!$C$42, 22.39, 22.39) * CHOOSE(CONTROL!$C$21, $C$9, 100%, $E$9)</f>
        <v>22.39</v>
      </c>
      <c r="D777" s="10">
        <f>CHOOSE(CONTROL!$C$42, 22.5686, 22.5686) * CHOOSE(CONTROL!$C$21, $C$9, 100%, $E$9)</f>
        <v>22.5686</v>
      </c>
      <c r="E777" s="10">
        <f>CHOOSE(CONTROL!$C$42, 22.5997, 22.5997) * CHOOSE(CONTROL!$C$21, $C$9, 100%, $E$9)</f>
        <v>22.599699999999999</v>
      </c>
      <c r="F777" s="10">
        <f>CHOOSE(CONTROL!$C$42, 22.3685, 22.3685)*CHOOSE(CONTROL!$C$21, $C$9, 100%, $E$9)</f>
        <v>22.368500000000001</v>
      </c>
      <c r="G777" s="10">
        <f>CHOOSE(CONTROL!$C$42, 22.3867, 22.3867)*CHOOSE(CONTROL!$C$21, $C$9, 100%, $E$9)</f>
        <v>22.386700000000001</v>
      </c>
      <c r="H777" s="10">
        <f>CHOOSE(CONTROL!$C$42, 22.5884, 22.5884) * CHOOSE(CONTROL!$C$21, $C$9, 100%, $E$9)</f>
        <v>22.5884</v>
      </c>
      <c r="I777" s="10">
        <f>CHOOSE(CONTROL!$C$42, 22.359, 22.359)* CHOOSE(CONTROL!$C$21, $C$9, 100%, $E$9)</f>
        <v>22.359000000000002</v>
      </c>
      <c r="J777" s="10">
        <f>CHOOSE(CONTROL!$C$42, 22.3615, 22.3615)* CHOOSE(CONTROL!$C$21, $C$9, 100%, $E$9)</f>
        <v>22.361499999999999</v>
      </c>
      <c r="K777" s="54">
        <f>CHOOSE(CONTROL!$C$42, 22.3551, 22.3551) * CHOOSE(CONTROL!$C$21, $C$9, 100%, $E$9)</f>
        <v>22.3551</v>
      </c>
      <c r="L777" s="10">
        <f>CHOOSE(CONTROL!$C$42, 23.1754, 23.1754) * CHOOSE(CONTROL!$C$21, $C$9, 100%, $E$9)</f>
        <v>23.1754</v>
      </c>
      <c r="M777" s="10">
        <f>CHOOSE(CONTROL!$C$42, 22.1497, 22.1497) * CHOOSE(CONTROL!$C$21, $C$9, 100%, $E$9)</f>
        <v>22.149699999999999</v>
      </c>
      <c r="N777" s="10">
        <f>CHOOSE(CONTROL!$C$42, 22.1677, 22.1677) * CHOOSE(CONTROL!$C$21, $C$9, 100%, $E$9)</f>
        <v>22.1677</v>
      </c>
      <c r="O777" s="10">
        <f>CHOOSE(CONTROL!$C$42, 22.3742, 22.3742) * CHOOSE(CONTROL!$C$21, $C$9, 100%, $E$9)</f>
        <v>22.374199999999998</v>
      </c>
      <c r="P777" s="10">
        <f>CHOOSE(CONTROL!$C$42, 22.1472, 22.1472) * CHOOSE(CONTROL!$C$21, $C$9, 100%, $E$9)</f>
        <v>22.147200000000002</v>
      </c>
      <c r="Q777" s="10">
        <f>CHOOSE(CONTROL!$C$42, 22.9695, 22.9695) * CHOOSE(CONTROL!$C$21, $C$9, 100%, $E$9)</f>
        <v>22.9695</v>
      </c>
      <c r="R777" s="10">
        <f>CHOOSE(CONTROL!$C$42, 23.6139, 23.6139) * CHOOSE(CONTROL!$C$21, $C$9, 100%, $E$9)</f>
        <v>23.613900000000001</v>
      </c>
      <c r="S777" s="10">
        <f>CHOOSE(CONTROL!$C$42, 21.731, 21.731) * CHOOSE(CONTROL!$C$21, $C$9, 100%, $E$9)</f>
        <v>21.731000000000002</v>
      </c>
      <c r="T777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777" s="58">
        <f>(1000*CHOOSE(CONTROL!$C$42, 695, 695)*CHOOSE(CONTROL!$C$42, 0.5599, 0.5599)*CHOOSE(CONTROL!$C$42, 30, 30))/1000000</f>
        <v>11.673914999999997</v>
      </c>
      <c r="V777" s="58">
        <f>(1000*CHOOSE(CONTROL!$C$42, 500, 500)*CHOOSE(CONTROL!$C$42, 0.275, 0.275)*CHOOSE(CONTROL!$C$42, 30, 30))/1000000</f>
        <v>4.125</v>
      </c>
      <c r="W777" s="58">
        <f>(1000*CHOOSE(CONTROL!$C$42, 0.1146, 0.1146)*CHOOSE(CONTROL!$C$42, 121.5, 121.5)*CHOOSE(CONTROL!$C$42, 30, 30))/1000000</f>
        <v>0.417717</v>
      </c>
      <c r="X777" s="58">
        <f>(30*0.1790888*245000/1000000)+(30*0.2374*100000/1000000)</f>
        <v>2.0285026799999999</v>
      </c>
      <c r="Y777" s="58"/>
      <c r="Z777" s="10"/>
      <c r="AA777" s="57"/>
      <c r="AB777" s="51">
        <f>(B777*194.205+C777*267.466+D777*133.845+E777*53.484+F777*40+G777*185+H777*0+I777*100+J777*300)/(194.205+267.466+133.845+53.484+0+40+185+100+300)</f>
        <v>22.406064044191524</v>
      </c>
      <c r="AC777" s="27">
        <f>(M777*'RAP TEMPLATE-GAS AVAILABILITY'!O776+N777*'RAP TEMPLATE-GAS AVAILABILITY'!P776+O777*'RAP TEMPLATE-GAS AVAILABILITY'!Q776+P777*'RAP TEMPLATE-GAS AVAILABILITY'!R776)/('RAP TEMPLATE-GAS AVAILABILITY'!O776+'RAP TEMPLATE-GAS AVAILABILITY'!P776+'RAP TEMPLATE-GAS AVAILABILITY'!Q776+'RAP TEMPLATE-GAS AVAILABILITY'!R776)</f>
        <v>22.252128057553957</v>
      </c>
    </row>
    <row r="778" spans="1:29" ht="15.75" x14ac:dyDescent="0.25">
      <c r="A778" s="13">
        <v>64954</v>
      </c>
      <c r="B778" s="10">
        <f>CHOOSE(CONTROL!$C$42, 21.9256, 21.9256) * CHOOSE(CONTROL!$C$21, $C$9, 100%, $E$9)</f>
        <v>21.925599999999999</v>
      </c>
      <c r="C778" s="10">
        <f>CHOOSE(CONTROL!$C$42, 21.9309, 21.9309) * CHOOSE(CONTROL!$C$21, $C$9, 100%, $E$9)</f>
        <v>21.930900000000001</v>
      </c>
      <c r="D778" s="10">
        <f>CHOOSE(CONTROL!$C$42, 22.1144, 22.1144) * CHOOSE(CONTROL!$C$21, $C$9, 100%, $E$9)</f>
        <v>22.1144</v>
      </c>
      <c r="E778" s="10">
        <f>CHOOSE(CONTROL!$C$42, 22.1432, 22.1432) * CHOOSE(CONTROL!$C$21, $C$9, 100%, $E$9)</f>
        <v>22.1432</v>
      </c>
      <c r="F778" s="10">
        <f>CHOOSE(CONTROL!$C$42, 21.914, 21.914)*CHOOSE(CONTROL!$C$21, $C$9, 100%, $E$9)</f>
        <v>21.914000000000001</v>
      </c>
      <c r="G778" s="10">
        <f>CHOOSE(CONTROL!$C$42, 21.9319, 21.9319)*CHOOSE(CONTROL!$C$21, $C$9, 100%, $E$9)</f>
        <v>21.931899999999999</v>
      </c>
      <c r="H778" s="10">
        <f>CHOOSE(CONTROL!$C$42, 22.1336, 22.1336) * CHOOSE(CONTROL!$C$21, $C$9, 100%, $E$9)</f>
        <v>22.133600000000001</v>
      </c>
      <c r="I778" s="10">
        <f>CHOOSE(CONTROL!$C$42, 21.9043, 21.9043)* CHOOSE(CONTROL!$C$21, $C$9, 100%, $E$9)</f>
        <v>21.904299999999999</v>
      </c>
      <c r="J778" s="10">
        <f>CHOOSE(CONTROL!$C$42, 21.907, 21.907)* CHOOSE(CONTROL!$C$21, $C$9, 100%, $E$9)</f>
        <v>21.907</v>
      </c>
      <c r="K778" s="54">
        <f>CHOOSE(CONTROL!$C$42, 21.9004, 21.9004) * CHOOSE(CONTROL!$C$21, $C$9, 100%, $E$9)</f>
        <v>21.900400000000001</v>
      </c>
      <c r="L778" s="10">
        <f>CHOOSE(CONTROL!$C$42, 22.7206, 22.7206) * CHOOSE(CONTROL!$C$21, $C$9, 100%, $E$9)</f>
        <v>22.720600000000001</v>
      </c>
      <c r="M778" s="10">
        <f>CHOOSE(CONTROL!$C$42, 21.6997, 21.6997) * CHOOSE(CONTROL!$C$21, $C$9, 100%, $E$9)</f>
        <v>21.6997</v>
      </c>
      <c r="N778" s="10">
        <f>CHOOSE(CONTROL!$C$42, 21.7174, 21.7174) * CHOOSE(CONTROL!$C$21, $C$9, 100%, $E$9)</f>
        <v>21.717400000000001</v>
      </c>
      <c r="O778" s="10">
        <f>CHOOSE(CONTROL!$C$42, 21.9241, 21.9241) * CHOOSE(CONTROL!$C$21, $C$9, 100%, $E$9)</f>
        <v>21.924099999999999</v>
      </c>
      <c r="P778" s="10">
        <f>CHOOSE(CONTROL!$C$42, 21.6971, 21.6971) * CHOOSE(CONTROL!$C$21, $C$9, 100%, $E$9)</f>
        <v>21.697099999999999</v>
      </c>
      <c r="Q778" s="10">
        <f>CHOOSE(CONTROL!$C$42, 22.5194, 22.5194) * CHOOSE(CONTROL!$C$21, $C$9, 100%, $E$9)</f>
        <v>22.519400000000001</v>
      </c>
      <c r="R778" s="10">
        <f>CHOOSE(CONTROL!$C$42, 23.1627, 23.1627) * CHOOSE(CONTROL!$C$21, $C$9, 100%, $E$9)</f>
        <v>23.162700000000001</v>
      </c>
      <c r="S778" s="10">
        <f>CHOOSE(CONTROL!$C$42, 21.2895, 21.2895) * CHOOSE(CONTROL!$C$21, $C$9, 100%, $E$9)</f>
        <v>21.2895</v>
      </c>
      <c r="T778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78" s="58">
        <f>(1000*CHOOSE(CONTROL!$C$42, 695, 695)*CHOOSE(CONTROL!$C$42, 0.5599, 0.5599)*CHOOSE(CONTROL!$C$42, 31, 31))/1000000</f>
        <v>12.063045499999998</v>
      </c>
      <c r="V778" s="58">
        <f>(1000*CHOOSE(CONTROL!$C$42, 500, 500)*CHOOSE(CONTROL!$C$42, 0.275, 0.275)*CHOOSE(CONTROL!$C$42, 31, 31))/1000000</f>
        <v>4.2625000000000002</v>
      </c>
      <c r="W778" s="58">
        <f>(1000*CHOOSE(CONTROL!$C$42, 0.1146, 0.1146)*CHOOSE(CONTROL!$C$42, 121.5, 121.5)*CHOOSE(CONTROL!$C$42, 31, 31))/1000000</f>
        <v>0.43164089999999994</v>
      </c>
      <c r="X778" s="58">
        <f>(31*0.1790888*245000/1000000)+(31*0.2374*100000/1000000)</f>
        <v>2.0961194359999999</v>
      </c>
      <c r="Y778" s="58"/>
      <c r="Z778" s="10"/>
      <c r="AA778" s="57"/>
      <c r="AB778" s="51">
        <f>(B778*131.881+C778*277.167+D778*79.08+E778*125.872+F778*40+G778*185+H778*0+I778*100+J778*300)/(131.881+277.167+79.08+125.872+0+40+185+100+300)</f>
        <v>21.955285662873283</v>
      </c>
      <c r="AC778" s="27">
        <f>(M778*'RAP TEMPLATE-GAS AVAILABILITY'!O777+N778*'RAP TEMPLATE-GAS AVAILABILITY'!P777+O778*'RAP TEMPLATE-GAS AVAILABILITY'!Q777+P778*'RAP TEMPLATE-GAS AVAILABILITY'!R777)/('RAP TEMPLATE-GAS AVAILABILITY'!O777+'RAP TEMPLATE-GAS AVAILABILITY'!P777+'RAP TEMPLATE-GAS AVAILABILITY'!Q777+'RAP TEMPLATE-GAS AVAILABILITY'!R777)</f>
        <v>21.802051079136689</v>
      </c>
    </row>
    <row r="779" spans="1:29" ht="15.75" x14ac:dyDescent="0.25">
      <c r="A779" s="13">
        <v>64984</v>
      </c>
      <c r="B779" s="10">
        <f>CHOOSE(CONTROL!$C$42, 22.5028, 22.5028) * CHOOSE(CONTROL!$C$21, $C$9, 100%, $E$9)</f>
        <v>22.502800000000001</v>
      </c>
      <c r="C779" s="10">
        <f>CHOOSE(CONTROL!$C$42, 22.5077, 22.5077) * CHOOSE(CONTROL!$C$21, $C$9, 100%, $E$9)</f>
        <v>22.5077</v>
      </c>
      <c r="D779" s="10">
        <f>CHOOSE(CONTROL!$C$42, 22.5373, 22.5373) * CHOOSE(CONTROL!$C$21, $C$9, 100%, $E$9)</f>
        <v>22.537299999999998</v>
      </c>
      <c r="E779" s="10">
        <f>CHOOSE(CONTROL!$C$42, 22.5711, 22.5711) * CHOOSE(CONTROL!$C$21, $C$9, 100%, $E$9)</f>
        <v>22.571100000000001</v>
      </c>
      <c r="F779" s="10">
        <f>CHOOSE(CONTROL!$C$42, 22.4885, 22.4885)*CHOOSE(CONTROL!$C$21, $C$9, 100%, $E$9)</f>
        <v>22.488499999999998</v>
      </c>
      <c r="G779" s="10">
        <f>CHOOSE(CONTROL!$C$42, 22.5066, 22.5066)*CHOOSE(CONTROL!$C$21, $C$9, 100%, $E$9)</f>
        <v>22.506599999999999</v>
      </c>
      <c r="H779" s="10">
        <f>CHOOSE(CONTROL!$C$42, 22.5603, 22.5603) * CHOOSE(CONTROL!$C$21, $C$9, 100%, $E$9)</f>
        <v>22.560300000000002</v>
      </c>
      <c r="I779" s="10">
        <f>CHOOSE(CONTROL!$C$42, 22.4689, 22.4689)* CHOOSE(CONTROL!$C$21, $C$9, 100%, $E$9)</f>
        <v>22.468900000000001</v>
      </c>
      <c r="J779" s="10">
        <f>CHOOSE(CONTROL!$C$42, 22.4815, 22.4815)* CHOOSE(CONTROL!$C$21, $C$9, 100%, $E$9)</f>
        <v>22.4815</v>
      </c>
      <c r="K779" s="54">
        <f>CHOOSE(CONTROL!$C$42, 22.465, 22.465) * CHOOSE(CONTROL!$C$21, $C$9, 100%, $E$9)</f>
        <v>22.465</v>
      </c>
      <c r="L779" s="10">
        <f>CHOOSE(CONTROL!$C$42, 23.1473, 23.1473) * CHOOSE(CONTROL!$C$21, $C$9, 100%, $E$9)</f>
        <v>23.147300000000001</v>
      </c>
      <c r="M779" s="10">
        <f>CHOOSE(CONTROL!$C$42, 22.2685, 22.2685) * CHOOSE(CONTROL!$C$21, $C$9, 100%, $E$9)</f>
        <v>22.2685</v>
      </c>
      <c r="N779" s="10">
        <f>CHOOSE(CONTROL!$C$42, 22.2863, 22.2863) * CHOOSE(CONTROL!$C$21, $C$9, 100%, $E$9)</f>
        <v>22.286300000000001</v>
      </c>
      <c r="O779" s="10">
        <f>CHOOSE(CONTROL!$C$42, 22.3465, 22.3465) * CHOOSE(CONTROL!$C$21, $C$9, 100%, $E$9)</f>
        <v>22.346499999999999</v>
      </c>
      <c r="P779" s="10">
        <f>CHOOSE(CONTROL!$C$42, 22.2561, 22.2561) * CHOOSE(CONTROL!$C$21, $C$9, 100%, $E$9)</f>
        <v>22.2561</v>
      </c>
      <c r="Q779" s="10">
        <f>CHOOSE(CONTROL!$C$42, 22.9418, 22.9418) * CHOOSE(CONTROL!$C$21, $C$9, 100%, $E$9)</f>
        <v>22.941800000000001</v>
      </c>
      <c r="R779" s="10">
        <f>CHOOSE(CONTROL!$C$42, 23.5861, 23.5861) * CHOOSE(CONTROL!$C$21, $C$9, 100%, $E$9)</f>
        <v>23.586099999999998</v>
      </c>
      <c r="S779" s="10">
        <f>CHOOSE(CONTROL!$C$42, 21.8503, 21.8503) * CHOOSE(CONTROL!$C$21, $C$9, 100%, $E$9)</f>
        <v>21.850300000000001</v>
      </c>
      <c r="T779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79" s="58">
        <f>(1000*CHOOSE(CONTROL!$C$42, 695, 695)*CHOOSE(CONTROL!$C$42, 0.5599, 0.5599)*CHOOSE(CONTROL!$C$42, 30, 30))/1000000</f>
        <v>11.673914999999997</v>
      </c>
      <c r="V779" s="58">
        <f>(1000*CHOOSE(CONTROL!$C$42, 500, 500)*CHOOSE(CONTROL!$C$42, 0.275, 0.275)*CHOOSE(CONTROL!$C$42, 30, 30))/1000000</f>
        <v>4.125</v>
      </c>
      <c r="W779" s="58">
        <f>(1000*CHOOSE(CONTROL!$C$42, 0.1146, 0.1146)*CHOOSE(CONTROL!$C$42, 121.5, 121.5)*CHOOSE(CONTROL!$C$42, 30, 30))/1000000</f>
        <v>0.417717</v>
      </c>
      <c r="X779" s="58">
        <f>(30*0.1790888*100000/1000000)+(30*0.2374*100000/1000000)</f>
        <v>1.2494664</v>
      </c>
      <c r="Y779" s="58"/>
      <c r="Z779" s="10"/>
      <c r="AA779" s="57"/>
      <c r="AB779" s="51">
        <f>(B779*122.58+C779*297.941+D779*89.177+E779*40.302+F779*40+G779*160+H779*0+I779*100+J779*300)/(122.58+297.941+89.177+40.302+0+40+160+100+300)</f>
        <v>22.500665342608695</v>
      </c>
      <c r="AC779" s="27">
        <f>(M779*'RAP TEMPLATE-GAS AVAILABILITY'!O778+N779*'RAP TEMPLATE-GAS AVAILABILITY'!P778+O779*'RAP TEMPLATE-GAS AVAILABILITY'!Q778+P779*'RAP TEMPLATE-GAS AVAILABILITY'!R778)/('RAP TEMPLATE-GAS AVAILABILITY'!O778+'RAP TEMPLATE-GAS AVAILABILITY'!P778+'RAP TEMPLATE-GAS AVAILABILITY'!Q778+'RAP TEMPLATE-GAS AVAILABILITY'!R778)</f>
        <v>22.303092805755394</v>
      </c>
    </row>
    <row r="780" spans="1:29" ht="15.75" x14ac:dyDescent="0.25">
      <c r="A780" s="13">
        <v>65015</v>
      </c>
      <c r="B780" s="10">
        <f>CHOOSE(CONTROL!$C$42, 24.0368, 24.0368) * CHOOSE(CONTROL!$C$21, $C$9, 100%, $E$9)</f>
        <v>24.036799999999999</v>
      </c>
      <c r="C780" s="10">
        <f>CHOOSE(CONTROL!$C$42, 24.0417, 24.0417) * CHOOSE(CONTROL!$C$21, $C$9, 100%, $E$9)</f>
        <v>24.041699999999999</v>
      </c>
      <c r="D780" s="10">
        <f>CHOOSE(CONTROL!$C$42, 24.0714, 24.0714) * CHOOSE(CONTROL!$C$21, $C$9, 100%, $E$9)</f>
        <v>24.071400000000001</v>
      </c>
      <c r="E780" s="10">
        <f>CHOOSE(CONTROL!$C$42, 24.1051, 24.1051) * CHOOSE(CONTROL!$C$21, $C$9, 100%, $E$9)</f>
        <v>24.1051</v>
      </c>
      <c r="F780" s="10">
        <f>CHOOSE(CONTROL!$C$42, 24.0241, 24.0241)*CHOOSE(CONTROL!$C$21, $C$9, 100%, $E$9)</f>
        <v>24.024100000000001</v>
      </c>
      <c r="G780" s="10">
        <f>CHOOSE(CONTROL!$C$42, 24.0425, 24.0425)*CHOOSE(CONTROL!$C$21, $C$9, 100%, $E$9)</f>
        <v>24.0425</v>
      </c>
      <c r="H780" s="10">
        <f>CHOOSE(CONTROL!$C$42, 24.0943, 24.0943) * CHOOSE(CONTROL!$C$21, $C$9, 100%, $E$9)</f>
        <v>24.0943</v>
      </c>
      <c r="I780" s="10">
        <f>CHOOSE(CONTROL!$C$42, 24.003, 24.003)* CHOOSE(CONTROL!$C$21, $C$9, 100%, $E$9)</f>
        <v>24.003</v>
      </c>
      <c r="J780" s="10">
        <f>CHOOSE(CONTROL!$C$42, 24.0171, 24.0171)* CHOOSE(CONTROL!$C$21, $C$9, 100%, $E$9)</f>
        <v>24.017099999999999</v>
      </c>
      <c r="K780" s="54">
        <f>CHOOSE(CONTROL!$C$42, 23.9991, 23.9991) * CHOOSE(CONTROL!$C$21, $C$9, 100%, $E$9)</f>
        <v>23.999099999999999</v>
      </c>
      <c r="L780" s="10">
        <f>CHOOSE(CONTROL!$C$42, 24.6813, 24.6813) * CHOOSE(CONTROL!$C$21, $C$9, 100%, $E$9)</f>
        <v>24.6813</v>
      </c>
      <c r="M780" s="10">
        <f>CHOOSE(CONTROL!$C$42, 23.7885, 23.7885) * CHOOSE(CONTROL!$C$21, $C$9, 100%, $E$9)</f>
        <v>23.788499999999999</v>
      </c>
      <c r="N780" s="10">
        <f>CHOOSE(CONTROL!$C$42, 23.8068, 23.8068) * CHOOSE(CONTROL!$C$21, $C$9, 100%, $E$9)</f>
        <v>23.806799999999999</v>
      </c>
      <c r="O780" s="10">
        <f>CHOOSE(CONTROL!$C$42, 23.865, 23.865) * CHOOSE(CONTROL!$C$21, $C$9, 100%, $E$9)</f>
        <v>23.864999999999998</v>
      </c>
      <c r="P780" s="10">
        <f>CHOOSE(CONTROL!$C$42, 23.7746, 23.7746) * CHOOSE(CONTROL!$C$21, $C$9, 100%, $E$9)</f>
        <v>23.7746</v>
      </c>
      <c r="Q780" s="10">
        <f>CHOOSE(CONTROL!$C$42, 24.4603, 24.4603) * CHOOSE(CONTROL!$C$21, $C$9, 100%, $E$9)</f>
        <v>24.4603</v>
      </c>
      <c r="R780" s="10">
        <f>CHOOSE(CONTROL!$C$42, 25.1085, 25.1085) * CHOOSE(CONTROL!$C$21, $C$9, 100%, $E$9)</f>
        <v>25.108499999999999</v>
      </c>
      <c r="S780" s="10">
        <f>CHOOSE(CONTROL!$C$42, 23.34, 23.34) * CHOOSE(CONTROL!$C$21, $C$9, 100%, $E$9)</f>
        <v>23.34</v>
      </c>
      <c r="T780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80" s="58">
        <f>(1000*CHOOSE(CONTROL!$C$42, 695, 695)*CHOOSE(CONTROL!$C$42, 0.5599, 0.5599)*CHOOSE(CONTROL!$C$42, 31, 31))/1000000</f>
        <v>12.063045499999998</v>
      </c>
      <c r="V780" s="58">
        <f>(1000*CHOOSE(CONTROL!$C$42, 500, 500)*CHOOSE(CONTROL!$C$42, 0.275, 0.275)*CHOOSE(CONTROL!$C$42, 31, 31))/1000000</f>
        <v>4.2625000000000002</v>
      </c>
      <c r="W780" s="58">
        <f>(1000*CHOOSE(CONTROL!$C$42, 0.1146, 0.1146)*CHOOSE(CONTROL!$C$42, 121.5, 121.5)*CHOOSE(CONTROL!$C$42, 31, 31))/1000000</f>
        <v>0.43164089999999994</v>
      </c>
      <c r="X780" s="58">
        <f>(31*0.1790888*100000/1000000)+(31*0.2374*100000/1000000)</f>
        <v>1.2911152800000001</v>
      </c>
      <c r="Y780" s="58"/>
      <c r="Z780" s="10"/>
      <c r="AA780" s="57"/>
      <c r="AB780" s="51">
        <f>(B780*122.58+C780*297.941+D780*89.177+E780*40.302+F780*40+G780*160+H780*0+I780*100+J780*300)/(122.58+297.941+89.177+40.302+0+40+160+100+300)</f>
        <v>24.035419184086958</v>
      </c>
      <c r="AC780" s="27">
        <f>(M780*'RAP TEMPLATE-GAS AVAILABILITY'!O779+N780*'RAP TEMPLATE-GAS AVAILABILITY'!P779+O780*'RAP TEMPLATE-GAS AVAILABILITY'!Q779+P780*'RAP TEMPLATE-GAS AVAILABILITY'!R779)/('RAP TEMPLATE-GAS AVAILABILITY'!O779+'RAP TEMPLATE-GAS AVAILABILITY'!P779+'RAP TEMPLATE-GAS AVAILABILITY'!Q779+'RAP TEMPLATE-GAS AVAILABILITY'!R779)</f>
        <v>23.822225899280575</v>
      </c>
    </row>
    <row r="781" spans="1:29" ht="15.75" x14ac:dyDescent="0.25">
      <c r="A781" s="13">
        <v>65046</v>
      </c>
      <c r="B781" s="10">
        <f>CHOOSE(CONTROL!$C$42, 25.6589, 25.6589) * CHOOSE(CONTROL!$C$21, $C$9, 100%, $E$9)</f>
        <v>25.658899999999999</v>
      </c>
      <c r="C781" s="10">
        <f>CHOOSE(CONTROL!$C$42, 25.6639, 25.6639) * CHOOSE(CONTROL!$C$21, $C$9, 100%, $E$9)</f>
        <v>25.663900000000002</v>
      </c>
      <c r="D781" s="10">
        <f>CHOOSE(CONTROL!$C$42, 25.7141, 25.7141) * CHOOSE(CONTROL!$C$21, $C$9, 100%, $E$9)</f>
        <v>25.714099999999998</v>
      </c>
      <c r="E781" s="10">
        <f>CHOOSE(CONTROL!$C$42, 25.7479, 25.7479) * CHOOSE(CONTROL!$C$21, $C$9, 100%, $E$9)</f>
        <v>25.747900000000001</v>
      </c>
      <c r="F781" s="10">
        <f>CHOOSE(CONTROL!$C$42, 25.6243, 25.6243)*CHOOSE(CONTROL!$C$21, $C$9, 100%, $E$9)</f>
        <v>25.624300000000002</v>
      </c>
      <c r="G781" s="10">
        <f>CHOOSE(CONTROL!$C$42, 25.6419, 25.6419)*CHOOSE(CONTROL!$C$21, $C$9, 100%, $E$9)</f>
        <v>25.6419</v>
      </c>
      <c r="H781" s="10">
        <f>CHOOSE(CONTROL!$C$42, 25.7371, 25.7371) * CHOOSE(CONTROL!$C$21, $C$9, 100%, $E$9)</f>
        <v>25.737100000000002</v>
      </c>
      <c r="I781" s="10">
        <f>CHOOSE(CONTROL!$C$42, 25.6328, 25.6328)* CHOOSE(CONTROL!$C$21, $C$9, 100%, $E$9)</f>
        <v>25.6328</v>
      </c>
      <c r="J781" s="10">
        <f>CHOOSE(CONTROL!$C$42, 25.6173, 25.6173)* CHOOSE(CONTROL!$C$21, $C$9, 100%, $E$9)</f>
        <v>25.6173</v>
      </c>
      <c r="K781" s="54">
        <f>CHOOSE(CONTROL!$C$42, 25.6289, 25.6289) * CHOOSE(CONTROL!$C$21, $C$9, 100%, $E$9)</f>
        <v>25.628900000000002</v>
      </c>
      <c r="L781" s="10">
        <f>CHOOSE(CONTROL!$C$42, 26.3241, 26.3241) * CHOOSE(CONTROL!$C$21, $C$9, 100%, $E$9)</f>
        <v>26.324100000000001</v>
      </c>
      <c r="M781" s="10">
        <f>CHOOSE(CONTROL!$C$42, 25.3726, 25.3726) * CHOOSE(CONTROL!$C$21, $C$9, 100%, $E$9)</f>
        <v>25.372599999999998</v>
      </c>
      <c r="N781" s="10">
        <f>CHOOSE(CONTROL!$C$42, 25.39, 25.39) * CHOOSE(CONTROL!$C$21, $C$9, 100%, $E$9)</f>
        <v>25.39</v>
      </c>
      <c r="O781" s="10">
        <f>CHOOSE(CONTROL!$C$42, 25.4912, 25.4912) * CHOOSE(CONTROL!$C$21, $C$9, 100%, $E$9)</f>
        <v>25.491199999999999</v>
      </c>
      <c r="P781" s="10">
        <f>CHOOSE(CONTROL!$C$42, 25.388, 25.388) * CHOOSE(CONTROL!$C$21, $C$9, 100%, $E$9)</f>
        <v>25.388000000000002</v>
      </c>
      <c r="Q781" s="10">
        <f>CHOOSE(CONTROL!$C$42, 26.0865, 26.0865) * CHOOSE(CONTROL!$C$21, $C$9, 100%, $E$9)</f>
        <v>26.086500000000001</v>
      </c>
      <c r="R781" s="10">
        <f>CHOOSE(CONTROL!$C$42, 26.7387, 26.7387) * CHOOSE(CONTROL!$C$21, $C$9, 100%, $E$9)</f>
        <v>26.738700000000001</v>
      </c>
      <c r="S781" s="10">
        <f>CHOOSE(CONTROL!$C$42, 24.9153, 24.9153) * CHOOSE(CONTROL!$C$21, $C$9, 100%, $E$9)</f>
        <v>24.915299999999998</v>
      </c>
      <c r="T781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81" s="58">
        <f>(1000*CHOOSE(CONTROL!$C$42, 695, 695)*CHOOSE(CONTROL!$C$42, 0.5599, 0.5599)*CHOOSE(CONTROL!$C$42, 31, 31))/1000000</f>
        <v>12.063045499999998</v>
      </c>
      <c r="V781" s="58">
        <f>(1000*CHOOSE(CONTROL!$C$42, 500, 500)*CHOOSE(CONTROL!$C$42, 0.275, 0.275)*CHOOSE(CONTROL!$C$42, 31, 31))/1000000</f>
        <v>4.2625000000000002</v>
      </c>
      <c r="W781" s="58">
        <f>(1000*CHOOSE(CONTROL!$C$42, 0.1146, 0.1146)*CHOOSE(CONTROL!$C$42, 121.5, 121.5)*CHOOSE(CONTROL!$C$42, 31, 31))/1000000</f>
        <v>0.43164089999999994</v>
      </c>
      <c r="X781" s="58">
        <f>(31*0.1790888*100000/1000000)+(31*0.2374*100000/1000000)</f>
        <v>1.2911152800000001</v>
      </c>
      <c r="Y781" s="58"/>
      <c r="Z781" s="10"/>
      <c r="AA781" s="57"/>
      <c r="AB781" s="51">
        <f>(B781*122.58+C781*297.941+D781*89.177+E781*40.302+F781*40+G781*160+H781*0+I781*100+J781*300)/(122.58+297.941+89.177+40.302+0+40+160+100+300)</f>
        <v>25.650904481217388</v>
      </c>
      <c r="AC781" s="27">
        <f>(M781*'RAP TEMPLATE-GAS AVAILABILITY'!O780+N781*'RAP TEMPLATE-GAS AVAILABILITY'!P780+O781*'RAP TEMPLATE-GAS AVAILABILITY'!Q780+P781*'RAP TEMPLATE-GAS AVAILABILITY'!R780)/('RAP TEMPLATE-GAS AVAILABILITY'!O780+'RAP TEMPLATE-GAS AVAILABILITY'!P780+'RAP TEMPLATE-GAS AVAILABILITY'!Q780+'RAP TEMPLATE-GAS AVAILABILITY'!R780)</f>
        <v>25.429571223021583</v>
      </c>
    </row>
    <row r="782" spans="1:29" ht="15.75" x14ac:dyDescent="0.25">
      <c r="A782" s="13">
        <v>65074</v>
      </c>
      <c r="B782" s="10">
        <f>CHOOSE(CONTROL!$C$42, 26.1157, 26.1157) * CHOOSE(CONTROL!$C$21, $C$9, 100%, $E$9)</f>
        <v>26.1157</v>
      </c>
      <c r="C782" s="10">
        <f>CHOOSE(CONTROL!$C$42, 26.1206, 26.1206) * CHOOSE(CONTROL!$C$21, $C$9, 100%, $E$9)</f>
        <v>26.1206</v>
      </c>
      <c r="D782" s="10">
        <f>CHOOSE(CONTROL!$C$42, 26.2377, 26.2377) * CHOOSE(CONTROL!$C$21, $C$9, 100%, $E$9)</f>
        <v>26.2377</v>
      </c>
      <c r="E782" s="10">
        <f>CHOOSE(CONTROL!$C$42, 26.2715, 26.2715) * CHOOSE(CONTROL!$C$21, $C$9, 100%, $E$9)</f>
        <v>26.2715</v>
      </c>
      <c r="F782" s="10">
        <f>CHOOSE(CONTROL!$C$42, 26.1932, 26.1932)*CHOOSE(CONTROL!$C$21, $C$9, 100%, $E$9)</f>
        <v>26.193200000000001</v>
      </c>
      <c r="G782" s="10">
        <f>CHOOSE(CONTROL!$C$42, 26.2152, 26.2152)*CHOOSE(CONTROL!$C$21, $C$9, 100%, $E$9)</f>
        <v>26.215199999999999</v>
      </c>
      <c r="H782" s="10">
        <f>CHOOSE(CONTROL!$C$42, 26.2607, 26.2607) * CHOOSE(CONTROL!$C$21, $C$9, 100%, $E$9)</f>
        <v>26.2607</v>
      </c>
      <c r="I782" s="10">
        <f>CHOOSE(CONTROL!$C$42, 26.1513, 26.1513)* CHOOSE(CONTROL!$C$21, $C$9, 100%, $E$9)</f>
        <v>26.151299999999999</v>
      </c>
      <c r="J782" s="10">
        <f>CHOOSE(CONTROL!$C$42, 26.1862, 26.1862)* CHOOSE(CONTROL!$C$21, $C$9, 100%, $E$9)</f>
        <v>26.186199999999999</v>
      </c>
      <c r="K782" s="54">
        <f>CHOOSE(CONTROL!$C$42, 26.1474, 26.1474) * CHOOSE(CONTROL!$C$21, $C$9, 100%, $E$9)</f>
        <v>26.147400000000001</v>
      </c>
      <c r="L782" s="10">
        <f>CHOOSE(CONTROL!$C$42, 26.8477, 26.8477) * CHOOSE(CONTROL!$C$21, $C$9, 100%, $E$9)</f>
        <v>26.8477</v>
      </c>
      <c r="M782" s="10">
        <f>CHOOSE(CONTROL!$C$42, 25.9358, 25.9358) * CHOOSE(CONTROL!$C$21, $C$9, 100%, $E$9)</f>
        <v>25.9358</v>
      </c>
      <c r="N782" s="10">
        <f>CHOOSE(CONTROL!$C$42, 25.9575, 25.9575) * CHOOSE(CONTROL!$C$21, $C$9, 100%, $E$9)</f>
        <v>25.9575</v>
      </c>
      <c r="O782" s="10">
        <f>CHOOSE(CONTROL!$C$42, 26.0095, 26.0095) * CHOOSE(CONTROL!$C$21, $C$9, 100%, $E$9)</f>
        <v>26.009499999999999</v>
      </c>
      <c r="P782" s="10">
        <f>CHOOSE(CONTROL!$C$42, 25.9013, 25.9013) * CHOOSE(CONTROL!$C$21, $C$9, 100%, $E$9)</f>
        <v>25.901299999999999</v>
      </c>
      <c r="Q782" s="10">
        <f>CHOOSE(CONTROL!$C$42, 26.6048, 26.6048) * CHOOSE(CONTROL!$C$21, $C$9, 100%, $E$9)</f>
        <v>26.604800000000001</v>
      </c>
      <c r="R782" s="10">
        <f>CHOOSE(CONTROL!$C$42, 27.2583, 27.2583) * CHOOSE(CONTROL!$C$21, $C$9, 100%, $E$9)</f>
        <v>27.258299999999998</v>
      </c>
      <c r="S782" s="10">
        <f>CHOOSE(CONTROL!$C$42, 25.3588, 25.3588) * CHOOSE(CONTROL!$C$21, $C$9, 100%, $E$9)</f>
        <v>25.358799999999999</v>
      </c>
      <c r="T782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782" s="58">
        <f>(1000*CHOOSE(CONTROL!$C$42, 695, 695)*CHOOSE(CONTROL!$C$42, 0.5599, 0.5599)*CHOOSE(CONTROL!$C$42, 28, 28))/1000000</f>
        <v>10.895653999999999</v>
      </c>
      <c r="V782" s="58">
        <f>(1000*CHOOSE(CONTROL!$C$42, 500, 500)*CHOOSE(CONTROL!$C$42, 0.275, 0.275)*CHOOSE(CONTROL!$C$42, 28, 28))/1000000</f>
        <v>3.85</v>
      </c>
      <c r="W782" s="58">
        <f>(1000*CHOOSE(CONTROL!$C$42, 0.1146, 0.1146)*CHOOSE(CONTROL!$C$42, 121.5, 121.5)*CHOOSE(CONTROL!$C$42, 28, 28))/1000000</f>
        <v>0.38986920000000003</v>
      </c>
      <c r="X782" s="58">
        <f>(28*0.1790888*100000/1000000)+(28*0.2374*100000/1000000)</f>
        <v>1.16616864</v>
      </c>
      <c r="Y782" s="58"/>
      <c r="Z782" s="10"/>
      <c r="AA782" s="57"/>
      <c r="AB782" s="51">
        <f>(B782*122.58+C782*297.941+D782*89.177+E782*40.302+F782*40+G782*160+H782*0+I782*100+J782*300)/(122.58+297.941+89.177+40.302+0+40+160+100+300)</f>
        <v>26.169916136086957</v>
      </c>
      <c r="AC782" s="27">
        <f>(M782*'RAP TEMPLATE-GAS AVAILABILITY'!O781+N782*'RAP TEMPLATE-GAS AVAILABILITY'!P781+O782*'RAP TEMPLATE-GAS AVAILABILITY'!Q781+P782*'RAP TEMPLATE-GAS AVAILABILITY'!R781)/('RAP TEMPLATE-GAS AVAILABILITY'!O781+'RAP TEMPLATE-GAS AVAILABILITY'!P781+'RAP TEMPLATE-GAS AVAILABILITY'!Q781+'RAP TEMPLATE-GAS AVAILABILITY'!R781)</f>
        <v>25.965488489208635</v>
      </c>
    </row>
    <row r="783" spans="1:29" ht="15.75" x14ac:dyDescent="0.25">
      <c r="A783" s="13">
        <v>65105</v>
      </c>
      <c r="B783" s="10">
        <f>CHOOSE(CONTROL!$C$42, 25.3743, 25.3743) * CHOOSE(CONTROL!$C$21, $C$9, 100%, $E$9)</f>
        <v>25.374300000000002</v>
      </c>
      <c r="C783" s="10">
        <f>CHOOSE(CONTROL!$C$42, 25.3792, 25.3792) * CHOOSE(CONTROL!$C$21, $C$9, 100%, $E$9)</f>
        <v>25.379200000000001</v>
      </c>
      <c r="D783" s="10">
        <f>CHOOSE(CONTROL!$C$42, 25.4706, 25.4706) * CHOOSE(CONTROL!$C$21, $C$9, 100%, $E$9)</f>
        <v>25.470600000000001</v>
      </c>
      <c r="E783" s="10">
        <f>CHOOSE(CONTROL!$C$42, 25.5044, 25.5044) * CHOOSE(CONTROL!$C$21, $C$9, 100%, $E$9)</f>
        <v>25.5044</v>
      </c>
      <c r="F783" s="10">
        <f>CHOOSE(CONTROL!$C$42, 25.4041, 25.4041)*CHOOSE(CONTROL!$C$21, $C$9, 100%, $E$9)</f>
        <v>25.4041</v>
      </c>
      <c r="G783" s="10">
        <f>CHOOSE(CONTROL!$C$42, 25.4236, 25.4236)*CHOOSE(CONTROL!$C$21, $C$9, 100%, $E$9)</f>
        <v>25.4236</v>
      </c>
      <c r="H783" s="10">
        <f>CHOOSE(CONTROL!$C$42, 25.4936, 25.4936) * CHOOSE(CONTROL!$C$21, $C$9, 100%, $E$9)</f>
        <v>25.493600000000001</v>
      </c>
      <c r="I783" s="10">
        <f>CHOOSE(CONTROL!$C$42, 25.3971, 25.3971)* CHOOSE(CONTROL!$C$21, $C$9, 100%, $E$9)</f>
        <v>25.397099999999998</v>
      </c>
      <c r="J783" s="10">
        <f>CHOOSE(CONTROL!$C$42, 25.3971, 25.3971)* CHOOSE(CONTROL!$C$21, $C$9, 100%, $E$9)</f>
        <v>25.397099999999998</v>
      </c>
      <c r="K783" s="54">
        <f>CHOOSE(CONTROL!$C$42, 25.3932, 25.3932) * CHOOSE(CONTROL!$C$21, $C$9, 100%, $E$9)</f>
        <v>25.3932</v>
      </c>
      <c r="L783" s="10">
        <f>CHOOSE(CONTROL!$C$42, 26.0806, 26.0806) * CHOOSE(CONTROL!$C$21, $C$9, 100%, $E$9)</f>
        <v>26.0806</v>
      </c>
      <c r="M783" s="10">
        <f>CHOOSE(CONTROL!$C$42, 25.1547, 25.1547) * CHOOSE(CONTROL!$C$21, $C$9, 100%, $E$9)</f>
        <v>25.154699999999998</v>
      </c>
      <c r="N783" s="10">
        <f>CHOOSE(CONTROL!$C$42, 25.174, 25.174) * CHOOSE(CONTROL!$C$21, $C$9, 100%, $E$9)</f>
        <v>25.173999999999999</v>
      </c>
      <c r="O783" s="10">
        <f>CHOOSE(CONTROL!$C$42, 25.2502, 25.2502) * CHOOSE(CONTROL!$C$21, $C$9, 100%, $E$9)</f>
        <v>25.2502</v>
      </c>
      <c r="P783" s="10">
        <f>CHOOSE(CONTROL!$C$42, 25.1547, 25.1547) * CHOOSE(CONTROL!$C$21, $C$9, 100%, $E$9)</f>
        <v>25.154699999999998</v>
      </c>
      <c r="Q783" s="10">
        <f>CHOOSE(CONTROL!$C$42, 25.8455, 25.8455) * CHOOSE(CONTROL!$C$21, $C$9, 100%, $E$9)</f>
        <v>25.845500000000001</v>
      </c>
      <c r="R783" s="10">
        <f>CHOOSE(CONTROL!$C$42, 26.4971, 26.4971) * CHOOSE(CONTROL!$C$21, $C$9, 100%, $E$9)</f>
        <v>26.4971</v>
      </c>
      <c r="S783" s="10">
        <f>CHOOSE(CONTROL!$C$42, 24.6388, 24.6388) * CHOOSE(CONTROL!$C$21, $C$9, 100%, $E$9)</f>
        <v>24.6388</v>
      </c>
      <c r="T783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83" s="58">
        <f>(1000*CHOOSE(CONTROL!$C$42, 695, 695)*CHOOSE(CONTROL!$C$42, 0.5599, 0.5599)*CHOOSE(CONTROL!$C$42, 31, 31))/1000000</f>
        <v>12.063045499999998</v>
      </c>
      <c r="V783" s="58">
        <f>(1000*CHOOSE(CONTROL!$C$42, 500, 500)*CHOOSE(CONTROL!$C$42, 0.275, 0.275)*CHOOSE(CONTROL!$C$42, 31, 31))/1000000</f>
        <v>4.2625000000000002</v>
      </c>
      <c r="W783" s="58">
        <f>(1000*CHOOSE(CONTROL!$C$42, 0.1146, 0.1146)*CHOOSE(CONTROL!$C$42, 121.5, 121.5)*CHOOSE(CONTROL!$C$42, 31, 31))/1000000</f>
        <v>0.43164089999999994</v>
      </c>
      <c r="X783" s="58">
        <f>(31*0.1790888*100000/1000000)+(31*0.2374*100000/1000000)</f>
        <v>1.2911152800000001</v>
      </c>
      <c r="Y783" s="58"/>
      <c r="Z783" s="10"/>
      <c r="AA783" s="57"/>
      <c r="AB783" s="51">
        <f>(B783*122.58+C783*297.941+D783*89.177+E783*40.302+F783*40+G783*160+H783*0+I783*100+J783*300)/(122.58+297.941+89.177+40.302+0+40+160+100+300)</f>
        <v>25.403422561913043</v>
      </c>
      <c r="AC783" s="27">
        <f>(M783*'RAP TEMPLATE-GAS AVAILABILITY'!O782+N783*'RAP TEMPLATE-GAS AVAILABILITY'!P782+O783*'RAP TEMPLATE-GAS AVAILABILITY'!Q782+P783*'RAP TEMPLATE-GAS AVAILABILITY'!R782)/('RAP TEMPLATE-GAS AVAILABILITY'!O782+'RAP TEMPLATE-GAS AVAILABILITY'!P782+'RAP TEMPLATE-GAS AVAILABILITY'!Q782+'RAP TEMPLATE-GAS AVAILABILITY'!R782)</f>
        <v>25.199094964028777</v>
      </c>
    </row>
    <row r="784" spans="1:29" ht="15.75" x14ac:dyDescent="0.25">
      <c r="A784" s="13">
        <v>65135</v>
      </c>
      <c r="B784" s="10">
        <f>CHOOSE(CONTROL!$C$42, 25.2991, 25.2991) * CHOOSE(CONTROL!$C$21, $C$9, 100%, $E$9)</f>
        <v>25.299099999999999</v>
      </c>
      <c r="C784" s="10">
        <f>CHOOSE(CONTROL!$C$42, 25.3035, 25.3035) * CHOOSE(CONTROL!$C$21, $C$9, 100%, $E$9)</f>
        <v>25.3035</v>
      </c>
      <c r="D784" s="10">
        <f>CHOOSE(CONTROL!$C$42, 25.4852, 25.4852) * CHOOSE(CONTROL!$C$21, $C$9, 100%, $E$9)</f>
        <v>25.485199999999999</v>
      </c>
      <c r="E784" s="10">
        <f>CHOOSE(CONTROL!$C$42, 25.5169, 25.5169) * CHOOSE(CONTROL!$C$21, $C$9, 100%, $E$9)</f>
        <v>25.5169</v>
      </c>
      <c r="F784" s="10">
        <f>CHOOSE(CONTROL!$C$42, 25.2874, 25.2874)*CHOOSE(CONTROL!$C$21, $C$9, 100%, $E$9)</f>
        <v>25.287400000000002</v>
      </c>
      <c r="G784" s="10">
        <f>CHOOSE(CONTROL!$C$42, 25.3054, 25.3054)*CHOOSE(CONTROL!$C$21, $C$9, 100%, $E$9)</f>
        <v>25.305399999999999</v>
      </c>
      <c r="H784" s="10">
        <f>CHOOSE(CONTROL!$C$42, 25.5067, 25.5067) * CHOOSE(CONTROL!$C$21, $C$9, 100%, $E$9)</f>
        <v>25.506699999999999</v>
      </c>
      <c r="I784" s="10">
        <f>CHOOSE(CONTROL!$C$42, 25.2774, 25.2774)* CHOOSE(CONTROL!$C$21, $C$9, 100%, $E$9)</f>
        <v>25.2774</v>
      </c>
      <c r="J784" s="10">
        <f>CHOOSE(CONTROL!$C$42, 25.2804, 25.2804)* CHOOSE(CONTROL!$C$21, $C$9, 100%, $E$9)</f>
        <v>25.2804</v>
      </c>
      <c r="K784" s="54">
        <f>CHOOSE(CONTROL!$C$42, 25.2735, 25.2735) * CHOOSE(CONTROL!$C$21, $C$9, 100%, $E$9)</f>
        <v>25.273499999999999</v>
      </c>
      <c r="L784" s="10">
        <f>CHOOSE(CONTROL!$C$42, 26.0937, 26.0937) * CHOOSE(CONTROL!$C$21, $C$9, 100%, $E$9)</f>
        <v>26.093699999999998</v>
      </c>
      <c r="M784" s="10">
        <f>CHOOSE(CONTROL!$C$42, 25.0391, 25.0391) * CHOOSE(CONTROL!$C$21, $C$9, 100%, $E$9)</f>
        <v>25.039100000000001</v>
      </c>
      <c r="N784" s="10">
        <f>CHOOSE(CONTROL!$C$42, 25.0569, 25.0569) * CHOOSE(CONTROL!$C$21, $C$9, 100%, $E$9)</f>
        <v>25.056899999999999</v>
      </c>
      <c r="O784" s="10">
        <f>CHOOSE(CONTROL!$C$42, 25.2631, 25.2631) * CHOOSE(CONTROL!$C$21, $C$9, 100%, $E$9)</f>
        <v>25.263100000000001</v>
      </c>
      <c r="P784" s="10">
        <f>CHOOSE(CONTROL!$C$42, 25.0361, 25.0361) * CHOOSE(CONTROL!$C$21, $C$9, 100%, $E$9)</f>
        <v>25.036100000000001</v>
      </c>
      <c r="Q784" s="10">
        <f>CHOOSE(CONTROL!$C$42, 25.8584, 25.8584) * CHOOSE(CONTROL!$C$21, $C$9, 100%, $E$9)</f>
        <v>25.8584</v>
      </c>
      <c r="R784" s="10">
        <f>CHOOSE(CONTROL!$C$42, 26.5101, 26.5101) * CHOOSE(CONTROL!$C$21, $C$9, 100%, $E$9)</f>
        <v>26.510100000000001</v>
      </c>
      <c r="S784" s="10">
        <f>CHOOSE(CONTROL!$C$42, 24.5651, 24.5651) * CHOOSE(CONTROL!$C$21, $C$9, 100%, $E$9)</f>
        <v>24.565100000000001</v>
      </c>
      <c r="T784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84" s="58">
        <f>(1000*CHOOSE(CONTROL!$C$42, 695, 695)*CHOOSE(CONTROL!$C$42, 0.5599, 0.5599)*CHOOSE(CONTROL!$C$42, 30, 30))/1000000</f>
        <v>11.673914999999997</v>
      </c>
      <c r="V784" s="58">
        <f>(1000*CHOOSE(CONTROL!$C$42, 500, 500)*CHOOSE(CONTROL!$C$42, 0.275, 0.275)*CHOOSE(CONTROL!$C$42, 30, 30))/1000000</f>
        <v>4.125</v>
      </c>
      <c r="W784" s="58">
        <f>(1000*CHOOSE(CONTROL!$C$42, 0.1146, 0.1146)*CHOOSE(CONTROL!$C$42, 121.5, 121.5)*CHOOSE(CONTROL!$C$42, 30, 30))/1000000</f>
        <v>0.417717</v>
      </c>
      <c r="X784" s="58">
        <f>(30*0.1790888*245000/1000000)+(30*0.2374*100000/1000000)</f>
        <v>2.0285026799999999</v>
      </c>
      <c r="Y784" s="58"/>
      <c r="Z784" s="10"/>
      <c r="AA784" s="57"/>
      <c r="AB784" s="51">
        <f>(B784*141.293+C784*267.993+D784*115.016+E784*89.698+F784*40+G784*185+H784*0+I784*100+J784*300)/(141.293+267.993+115.016+89.698+0+40+185+100+300)</f>
        <v>25.327378749959642</v>
      </c>
      <c r="AC784" s="27">
        <f>(M784*'RAP TEMPLATE-GAS AVAILABILITY'!O783+N784*'RAP TEMPLATE-GAS AVAILABILITY'!P783+O784*'RAP TEMPLATE-GAS AVAILABILITY'!Q783+P784*'RAP TEMPLATE-GAS AVAILABILITY'!R783)/('RAP TEMPLATE-GAS AVAILABILITY'!O783+'RAP TEMPLATE-GAS AVAILABILITY'!P783+'RAP TEMPLATE-GAS AVAILABILITY'!Q783+'RAP TEMPLATE-GAS AVAILABILITY'!R783)</f>
        <v>25.141217985611508</v>
      </c>
    </row>
    <row r="785" spans="1:29" ht="15.75" x14ac:dyDescent="0.25">
      <c r="A785" s="13">
        <v>65166</v>
      </c>
      <c r="B785" s="10">
        <f>CHOOSE(CONTROL!$C$42, 25.5242, 25.5242) * CHOOSE(CONTROL!$C$21, $C$9, 100%, $E$9)</f>
        <v>25.5242</v>
      </c>
      <c r="C785" s="10">
        <f>CHOOSE(CONTROL!$C$42, 25.5321, 25.5321) * CHOOSE(CONTROL!$C$21, $C$9, 100%, $E$9)</f>
        <v>25.5321</v>
      </c>
      <c r="D785" s="10">
        <f>CHOOSE(CONTROL!$C$42, 25.7106, 25.7106) * CHOOSE(CONTROL!$C$21, $C$9, 100%, $E$9)</f>
        <v>25.710599999999999</v>
      </c>
      <c r="E785" s="10">
        <f>CHOOSE(CONTROL!$C$42, 25.7417, 25.7417) * CHOOSE(CONTROL!$C$21, $C$9, 100%, $E$9)</f>
        <v>25.741700000000002</v>
      </c>
      <c r="F785" s="10">
        <f>CHOOSE(CONTROL!$C$42, 25.5103, 25.5103)*CHOOSE(CONTROL!$C$21, $C$9, 100%, $E$9)</f>
        <v>25.510300000000001</v>
      </c>
      <c r="G785" s="10">
        <f>CHOOSE(CONTROL!$C$42, 25.5285, 25.5285)*CHOOSE(CONTROL!$C$21, $C$9, 100%, $E$9)</f>
        <v>25.528500000000001</v>
      </c>
      <c r="H785" s="10">
        <f>CHOOSE(CONTROL!$C$42, 25.7304, 25.7304) * CHOOSE(CONTROL!$C$21, $C$9, 100%, $E$9)</f>
        <v>25.730399999999999</v>
      </c>
      <c r="I785" s="10">
        <f>CHOOSE(CONTROL!$C$42, 25.501, 25.501)* CHOOSE(CONTROL!$C$21, $C$9, 100%, $E$9)</f>
        <v>25.501000000000001</v>
      </c>
      <c r="J785" s="10">
        <f>CHOOSE(CONTROL!$C$42, 25.5033, 25.5033)* CHOOSE(CONTROL!$C$21, $C$9, 100%, $E$9)</f>
        <v>25.503299999999999</v>
      </c>
      <c r="K785" s="54">
        <f>CHOOSE(CONTROL!$C$42, 25.4971, 25.4971) * CHOOSE(CONTROL!$C$21, $C$9, 100%, $E$9)</f>
        <v>25.4971</v>
      </c>
      <c r="L785" s="10">
        <f>CHOOSE(CONTROL!$C$42, 26.3174, 26.3174) * CHOOSE(CONTROL!$C$21, $C$9, 100%, $E$9)</f>
        <v>26.317399999999999</v>
      </c>
      <c r="M785" s="10">
        <f>CHOOSE(CONTROL!$C$42, 25.2598, 25.2598) * CHOOSE(CONTROL!$C$21, $C$9, 100%, $E$9)</f>
        <v>25.259799999999998</v>
      </c>
      <c r="N785" s="10">
        <f>CHOOSE(CONTROL!$C$42, 25.2778, 25.2778) * CHOOSE(CONTROL!$C$21, $C$9, 100%, $E$9)</f>
        <v>25.277799999999999</v>
      </c>
      <c r="O785" s="10">
        <f>CHOOSE(CONTROL!$C$42, 25.4845, 25.4845) * CHOOSE(CONTROL!$C$21, $C$9, 100%, $E$9)</f>
        <v>25.484500000000001</v>
      </c>
      <c r="P785" s="10">
        <f>CHOOSE(CONTROL!$C$42, 25.2575, 25.2575) * CHOOSE(CONTROL!$C$21, $C$9, 100%, $E$9)</f>
        <v>25.2575</v>
      </c>
      <c r="Q785" s="10">
        <f>CHOOSE(CONTROL!$C$42, 26.0798, 26.0798) * CHOOSE(CONTROL!$C$21, $C$9, 100%, $E$9)</f>
        <v>26.079799999999999</v>
      </c>
      <c r="R785" s="10">
        <f>CHOOSE(CONTROL!$C$42, 26.732, 26.732) * CHOOSE(CONTROL!$C$21, $C$9, 100%, $E$9)</f>
        <v>26.731999999999999</v>
      </c>
      <c r="S785" s="10">
        <f>CHOOSE(CONTROL!$C$42, 24.7823, 24.7823) * CHOOSE(CONTROL!$C$21, $C$9, 100%, $E$9)</f>
        <v>24.782299999999999</v>
      </c>
      <c r="T785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85" s="58">
        <f>(1000*CHOOSE(CONTROL!$C$42, 695, 695)*CHOOSE(CONTROL!$C$42, 0.5599, 0.5599)*CHOOSE(CONTROL!$C$42, 31, 31))/1000000</f>
        <v>12.063045499999998</v>
      </c>
      <c r="V785" s="58">
        <f>(1000*CHOOSE(CONTROL!$C$42, 500, 500)*CHOOSE(CONTROL!$C$42, 0.275, 0.275)*CHOOSE(CONTROL!$C$42, 31, 31))/1000000</f>
        <v>4.2625000000000002</v>
      </c>
      <c r="W785" s="58">
        <f>(1000*CHOOSE(CONTROL!$C$42, 0.1146, 0.1146)*CHOOSE(CONTROL!$C$42, 121.5, 121.5)*CHOOSE(CONTROL!$C$42, 31, 31))/1000000</f>
        <v>0.43164089999999994</v>
      </c>
      <c r="X785" s="58">
        <f>(31*0.1790888*245000/1000000)+(31*0.2374*100000/1000000)</f>
        <v>2.0961194359999999</v>
      </c>
      <c r="Y785" s="58"/>
      <c r="Z785" s="10"/>
      <c r="AA785" s="57"/>
      <c r="AB785" s="51">
        <f>(B785*194.205+C785*267.466+D785*133.845+E785*53.484+F785*40+G785*185+H785*0+I785*100+J785*300)/(194.205+267.466+133.845+53.484+0+40+185+100+300)</f>
        <v>25.548017864521192</v>
      </c>
      <c r="AC785" s="27">
        <f>(M785*'RAP TEMPLATE-GAS AVAILABILITY'!O784+N785*'RAP TEMPLATE-GAS AVAILABILITY'!P784+O785*'RAP TEMPLATE-GAS AVAILABILITY'!Q784+P785*'RAP TEMPLATE-GAS AVAILABILITY'!R784)/('RAP TEMPLATE-GAS AVAILABILITY'!O784+'RAP TEMPLATE-GAS AVAILABILITY'!P784+'RAP TEMPLATE-GAS AVAILABILITY'!Q784+'RAP TEMPLATE-GAS AVAILABILITY'!R784)</f>
        <v>25.362347482014389</v>
      </c>
    </row>
    <row r="786" spans="1:29" ht="15.75" x14ac:dyDescent="0.25">
      <c r="A786" s="13">
        <v>65196</v>
      </c>
      <c r="B786" s="10">
        <f>CHOOSE(CONTROL!$C$42, 26.248, 26.248) * CHOOSE(CONTROL!$C$21, $C$9, 100%, $E$9)</f>
        <v>26.248000000000001</v>
      </c>
      <c r="C786" s="10">
        <f>CHOOSE(CONTROL!$C$42, 26.2559, 26.2559) * CHOOSE(CONTROL!$C$21, $C$9, 100%, $E$9)</f>
        <v>26.2559</v>
      </c>
      <c r="D786" s="10">
        <f>CHOOSE(CONTROL!$C$42, 26.4345, 26.4345) * CHOOSE(CONTROL!$C$21, $C$9, 100%, $E$9)</f>
        <v>26.4345</v>
      </c>
      <c r="E786" s="10">
        <f>CHOOSE(CONTROL!$C$42, 26.4656, 26.4656) * CHOOSE(CONTROL!$C$21, $C$9, 100%, $E$9)</f>
        <v>26.465599999999998</v>
      </c>
      <c r="F786" s="10">
        <f>CHOOSE(CONTROL!$C$42, 26.2345, 26.2345)*CHOOSE(CONTROL!$C$21, $C$9, 100%, $E$9)</f>
        <v>26.234500000000001</v>
      </c>
      <c r="G786" s="10">
        <f>CHOOSE(CONTROL!$C$42, 26.2527, 26.2527)*CHOOSE(CONTROL!$C$21, $C$9, 100%, $E$9)</f>
        <v>26.252700000000001</v>
      </c>
      <c r="H786" s="10">
        <f>CHOOSE(CONTROL!$C$42, 26.4542, 26.4542) * CHOOSE(CONTROL!$C$21, $C$9, 100%, $E$9)</f>
        <v>26.4542</v>
      </c>
      <c r="I786" s="10">
        <f>CHOOSE(CONTROL!$C$42, 26.2249, 26.2249)* CHOOSE(CONTROL!$C$21, $C$9, 100%, $E$9)</f>
        <v>26.224900000000002</v>
      </c>
      <c r="J786" s="10">
        <f>CHOOSE(CONTROL!$C$42, 26.2275, 26.2275)* CHOOSE(CONTROL!$C$21, $C$9, 100%, $E$9)</f>
        <v>26.227499999999999</v>
      </c>
      <c r="K786" s="54">
        <f>CHOOSE(CONTROL!$C$42, 26.221, 26.221) * CHOOSE(CONTROL!$C$21, $C$9, 100%, $E$9)</f>
        <v>26.221</v>
      </c>
      <c r="L786" s="10">
        <f>CHOOSE(CONTROL!$C$42, 27.0412, 27.0412) * CHOOSE(CONTROL!$C$21, $C$9, 100%, $E$9)</f>
        <v>27.0412</v>
      </c>
      <c r="M786" s="10">
        <f>CHOOSE(CONTROL!$C$42, 25.9766, 25.9766) * CHOOSE(CONTROL!$C$21, $C$9, 100%, $E$9)</f>
        <v>25.976600000000001</v>
      </c>
      <c r="N786" s="10">
        <f>CHOOSE(CONTROL!$C$42, 25.9947, 25.9947) * CHOOSE(CONTROL!$C$21, $C$9, 100%, $E$9)</f>
        <v>25.994700000000002</v>
      </c>
      <c r="O786" s="10">
        <f>CHOOSE(CONTROL!$C$42, 26.2011, 26.2011) * CHOOSE(CONTROL!$C$21, $C$9, 100%, $E$9)</f>
        <v>26.2011</v>
      </c>
      <c r="P786" s="10">
        <f>CHOOSE(CONTROL!$C$42, 25.9741, 25.9741) * CHOOSE(CONTROL!$C$21, $C$9, 100%, $E$9)</f>
        <v>25.9741</v>
      </c>
      <c r="Q786" s="10">
        <f>CHOOSE(CONTROL!$C$42, 26.7964, 26.7964) * CHOOSE(CONTROL!$C$21, $C$9, 100%, $E$9)</f>
        <v>26.796399999999998</v>
      </c>
      <c r="R786" s="10">
        <f>CHOOSE(CONTROL!$C$42, 27.4504, 27.4504) * CHOOSE(CONTROL!$C$21, $C$9, 100%, $E$9)</f>
        <v>27.450399999999998</v>
      </c>
      <c r="S786" s="10">
        <f>CHOOSE(CONTROL!$C$42, 25.4852, 25.4852) * CHOOSE(CONTROL!$C$21, $C$9, 100%, $E$9)</f>
        <v>25.485199999999999</v>
      </c>
      <c r="T786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86" s="58">
        <f>(1000*CHOOSE(CONTROL!$C$42, 695, 695)*CHOOSE(CONTROL!$C$42, 0.5599, 0.5599)*CHOOSE(CONTROL!$C$42, 30, 30))/1000000</f>
        <v>11.673914999999997</v>
      </c>
      <c r="V786" s="58">
        <f>(1000*CHOOSE(CONTROL!$C$42, 500, 500)*CHOOSE(CONTROL!$C$42, 0.275, 0.275)*CHOOSE(CONTROL!$C$42, 30, 30))/1000000</f>
        <v>4.125</v>
      </c>
      <c r="W786" s="58">
        <f>(1000*CHOOSE(CONTROL!$C$42, 0.1146, 0.1146)*CHOOSE(CONTROL!$C$42, 121.5, 121.5)*CHOOSE(CONTROL!$C$42, 30, 30))/1000000</f>
        <v>0.417717</v>
      </c>
      <c r="X786" s="58">
        <f>(30*0.1790888*245000/1000000)+(30*0.2374*100000/1000000)</f>
        <v>2.0285026799999999</v>
      </c>
      <c r="Y786" s="58"/>
      <c r="Z786" s="10"/>
      <c r="AA786" s="57"/>
      <c r="AB786" s="51">
        <f>(B786*194.205+C786*267.466+D786*133.845+E786*53.484+F786*40+G786*185+H786*0+I786*100+J786*300)/(194.205+267.466+133.845+53.484+0+40+185+100+300)</f>
        <v>26.272005252982733</v>
      </c>
      <c r="AC786" s="27">
        <f>(M786*'RAP TEMPLATE-GAS AVAILABILITY'!O785+N786*'RAP TEMPLATE-GAS AVAILABILITY'!P785+O786*'RAP TEMPLATE-GAS AVAILABILITY'!Q785+P786*'RAP TEMPLATE-GAS AVAILABILITY'!R785)/('RAP TEMPLATE-GAS AVAILABILITY'!O785+'RAP TEMPLATE-GAS AVAILABILITY'!P785+'RAP TEMPLATE-GAS AVAILABILITY'!Q785+'RAP TEMPLATE-GAS AVAILABILITY'!R785)</f>
        <v>26.079033812949643</v>
      </c>
    </row>
    <row r="787" spans="1:29" ht="15.75" x14ac:dyDescent="0.25">
      <c r="A787" s="13">
        <v>65227</v>
      </c>
      <c r="B787" s="10">
        <f>CHOOSE(CONTROL!$C$42, 25.7446, 25.7446) * CHOOSE(CONTROL!$C$21, $C$9, 100%, $E$9)</f>
        <v>25.744599999999998</v>
      </c>
      <c r="C787" s="10">
        <f>CHOOSE(CONTROL!$C$42, 25.7525, 25.7525) * CHOOSE(CONTROL!$C$21, $C$9, 100%, $E$9)</f>
        <v>25.752500000000001</v>
      </c>
      <c r="D787" s="10">
        <f>CHOOSE(CONTROL!$C$42, 25.931, 25.931) * CHOOSE(CONTROL!$C$21, $C$9, 100%, $E$9)</f>
        <v>25.931000000000001</v>
      </c>
      <c r="E787" s="10">
        <f>CHOOSE(CONTROL!$C$42, 25.9622, 25.9622) * CHOOSE(CONTROL!$C$21, $C$9, 100%, $E$9)</f>
        <v>25.962199999999999</v>
      </c>
      <c r="F787" s="10">
        <f>CHOOSE(CONTROL!$C$42, 25.7313, 25.7313)*CHOOSE(CONTROL!$C$21, $C$9, 100%, $E$9)</f>
        <v>25.731300000000001</v>
      </c>
      <c r="G787" s="10">
        <f>CHOOSE(CONTROL!$C$42, 25.7496, 25.7496)*CHOOSE(CONTROL!$C$21, $C$9, 100%, $E$9)</f>
        <v>25.749600000000001</v>
      </c>
      <c r="H787" s="10">
        <f>CHOOSE(CONTROL!$C$42, 25.9508, 25.9508) * CHOOSE(CONTROL!$C$21, $C$9, 100%, $E$9)</f>
        <v>25.950800000000001</v>
      </c>
      <c r="I787" s="10">
        <f>CHOOSE(CONTROL!$C$42, 25.7214, 25.7214)* CHOOSE(CONTROL!$C$21, $C$9, 100%, $E$9)</f>
        <v>25.721399999999999</v>
      </c>
      <c r="J787" s="10">
        <f>CHOOSE(CONTROL!$C$42, 25.7243, 25.7243)* CHOOSE(CONTROL!$C$21, $C$9, 100%, $E$9)</f>
        <v>25.724299999999999</v>
      </c>
      <c r="K787" s="54">
        <f>CHOOSE(CONTROL!$C$42, 25.7175, 25.7175) * CHOOSE(CONTROL!$C$21, $C$9, 100%, $E$9)</f>
        <v>25.717500000000001</v>
      </c>
      <c r="L787" s="10">
        <f>CHOOSE(CONTROL!$C$42, 26.5378, 26.5378) * CHOOSE(CONTROL!$C$21, $C$9, 100%, $E$9)</f>
        <v>26.537800000000001</v>
      </c>
      <c r="M787" s="10">
        <f>CHOOSE(CONTROL!$C$42, 25.4785, 25.4785) * CHOOSE(CONTROL!$C$21, $C$9, 100%, $E$9)</f>
        <v>25.4785</v>
      </c>
      <c r="N787" s="10">
        <f>CHOOSE(CONTROL!$C$42, 25.4966, 25.4966) * CHOOSE(CONTROL!$C$21, $C$9, 100%, $E$9)</f>
        <v>25.496600000000001</v>
      </c>
      <c r="O787" s="10">
        <f>CHOOSE(CONTROL!$C$42, 25.7027, 25.7027) * CHOOSE(CONTROL!$C$21, $C$9, 100%, $E$9)</f>
        <v>25.7027</v>
      </c>
      <c r="P787" s="10">
        <f>CHOOSE(CONTROL!$C$42, 25.4757, 25.4757) * CHOOSE(CONTROL!$C$21, $C$9, 100%, $E$9)</f>
        <v>25.4757</v>
      </c>
      <c r="Q787" s="10">
        <f>CHOOSE(CONTROL!$C$42, 26.298, 26.298) * CHOOSE(CONTROL!$C$21, $C$9, 100%, $E$9)</f>
        <v>26.297999999999998</v>
      </c>
      <c r="R787" s="10">
        <f>CHOOSE(CONTROL!$C$42, 26.9508, 26.9508) * CHOOSE(CONTROL!$C$21, $C$9, 100%, $E$9)</f>
        <v>26.950800000000001</v>
      </c>
      <c r="S787" s="10">
        <f>CHOOSE(CONTROL!$C$42, 24.9963, 24.9963) * CHOOSE(CONTROL!$C$21, $C$9, 100%, $E$9)</f>
        <v>24.996300000000002</v>
      </c>
      <c r="T787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87" s="58">
        <f>(1000*CHOOSE(CONTROL!$C$42, 695, 695)*CHOOSE(CONTROL!$C$42, 0.5599, 0.5599)*CHOOSE(CONTROL!$C$42, 31, 31))/1000000</f>
        <v>12.063045499999998</v>
      </c>
      <c r="V787" s="58">
        <f>(1000*CHOOSE(CONTROL!$C$42, 500, 500)*CHOOSE(CONTROL!$C$42, 0.275, 0.275)*CHOOSE(CONTROL!$C$42, 31, 31))/1000000</f>
        <v>4.2625000000000002</v>
      </c>
      <c r="W787" s="58">
        <f>(1000*CHOOSE(CONTROL!$C$42, 0.1146, 0.1146)*CHOOSE(CONTROL!$C$42, 121.5, 121.5)*CHOOSE(CONTROL!$C$42, 31, 31))/1000000</f>
        <v>0.43164089999999994</v>
      </c>
      <c r="X787" s="58">
        <f>(31*0.1790888*245000/1000000)+(31*0.2374*100000/1000000)</f>
        <v>2.0961194359999999</v>
      </c>
      <c r="Y787" s="58"/>
      <c r="Z787" s="10"/>
      <c r="AA787" s="57"/>
      <c r="AB787" s="51">
        <f>(B787*194.205+C787*267.466+D787*133.845+E787*53.484+F787*40+G787*185+H787*0+I787*100+J787*300)/(194.205+267.466+133.845+53.484+0+40+185+100+300)</f>
        <v>25.768683836577711</v>
      </c>
      <c r="AC787" s="27">
        <f>(M787*'RAP TEMPLATE-GAS AVAILABILITY'!O786+N787*'RAP TEMPLATE-GAS AVAILABILITY'!P786+O787*'RAP TEMPLATE-GAS AVAILABILITY'!Q786+P787*'RAP TEMPLATE-GAS AVAILABILITY'!R786)/('RAP TEMPLATE-GAS AVAILABILITY'!O786+'RAP TEMPLATE-GAS AVAILABILITY'!P786+'RAP TEMPLATE-GAS AVAILABILITY'!Q786+'RAP TEMPLATE-GAS AVAILABILITY'!R786)</f>
        <v>25.580754676258994</v>
      </c>
    </row>
    <row r="788" spans="1:29" ht="15.75" x14ac:dyDescent="0.25">
      <c r="A788" s="13">
        <v>65258</v>
      </c>
      <c r="B788" s="10">
        <f>CHOOSE(CONTROL!$C$42, 24.4732, 24.4732) * CHOOSE(CONTROL!$C$21, $C$9, 100%, $E$9)</f>
        <v>24.473199999999999</v>
      </c>
      <c r="C788" s="10">
        <f>CHOOSE(CONTROL!$C$42, 24.4811, 24.4811) * CHOOSE(CONTROL!$C$21, $C$9, 100%, $E$9)</f>
        <v>24.481100000000001</v>
      </c>
      <c r="D788" s="10">
        <f>CHOOSE(CONTROL!$C$42, 24.6596, 24.6596) * CHOOSE(CONTROL!$C$21, $C$9, 100%, $E$9)</f>
        <v>24.659600000000001</v>
      </c>
      <c r="E788" s="10">
        <f>CHOOSE(CONTROL!$C$42, 24.6908, 24.6908) * CHOOSE(CONTROL!$C$21, $C$9, 100%, $E$9)</f>
        <v>24.690799999999999</v>
      </c>
      <c r="F788" s="10">
        <f>CHOOSE(CONTROL!$C$42, 24.4598, 24.4598)*CHOOSE(CONTROL!$C$21, $C$9, 100%, $E$9)</f>
        <v>24.459800000000001</v>
      </c>
      <c r="G788" s="10">
        <f>CHOOSE(CONTROL!$C$42, 24.4781, 24.4781)*CHOOSE(CONTROL!$C$21, $C$9, 100%, $E$9)</f>
        <v>24.478100000000001</v>
      </c>
      <c r="H788" s="10">
        <f>CHOOSE(CONTROL!$C$42, 24.6794, 24.6794) * CHOOSE(CONTROL!$C$21, $C$9, 100%, $E$9)</f>
        <v>24.679400000000001</v>
      </c>
      <c r="I788" s="10">
        <f>CHOOSE(CONTROL!$C$42, 24.4501, 24.4501)* CHOOSE(CONTROL!$C$21, $C$9, 100%, $E$9)</f>
        <v>24.450099999999999</v>
      </c>
      <c r="J788" s="10">
        <f>CHOOSE(CONTROL!$C$42, 24.4528, 24.4528)* CHOOSE(CONTROL!$C$21, $C$9, 100%, $E$9)</f>
        <v>24.4528</v>
      </c>
      <c r="K788" s="54">
        <f>CHOOSE(CONTROL!$C$42, 24.4462, 24.4462) * CHOOSE(CONTROL!$C$21, $C$9, 100%, $E$9)</f>
        <v>24.446200000000001</v>
      </c>
      <c r="L788" s="10">
        <f>CHOOSE(CONTROL!$C$42, 25.2664, 25.2664) * CHOOSE(CONTROL!$C$21, $C$9, 100%, $E$9)</f>
        <v>25.266400000000001</v>
      </c>
      <c r="M788" s="10">
        <f>CHOOSE(CONTROL!$C$42, 24.2199, 24.2199) * CHOOSE(CONTROL!$C$21, $C$9, 100%, $E$9)</f>
        <v>24.219899999999999</v>
      </c>
      <c r="N788" s="10">
        <f>CHOOSE(CONTROL!$C$42, 24.238, 24.238) * CHOOSE(CONTROL!$C$21, $C$9, 100%, $E$9)</f>
        <v>24.238</v>
      </c>
      <c r="O788" s="10">
        <f>CHOOSE(CONTROL!$C$42, 24.4442, 24.4442) * CHOOSE(CONTROL!$C$21, $C$9, 100%, $E$9)</f>
        <v>24.444199999999999</v>
      </c>
      <c r="P788" s="10">
        <f>CHOOSE(CONTROL!$C$42, 24.2172, 24.2172) * CHOOSE(CONTROL!$C$21, $C$9, 100%, $E$9)</f>
        <v>24.217199999999998</v>
      </c>
      <c r="Q788" s="10">
        <f>CHOOSE(CONTROL!$C$42, 25.0395, 25.0395) * CHOOSE(CONTROL!$C$21, $C$9, 100%, $E$9)</f>
        <v>25.0395</v>
      </c>
      <c r="R788" s="10">
        <f>CHOOSE(CONTROL!$C$42, 25.6891, 25.6891) * CHOOSE(CONTROL!$C$21, $C$9, 100%, $E$9)</f>
        <v>25.6891</v>
      </c>
      <c r="S788" s="10">
        <f>CHOOSE(CONTROL!$C$42, 23.7617, 23.7617) * CHOOSE(CONTROL!$C$21, $C$9, 100%, $E$9)</f>
        <v>23.761700000000001</v>
      </c>
      <c r="T788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788" s="58">
        <f>(1000*CHOOSE(CONTROL!$C$42, 695, 695)*CHOOSE(CONTROL!$C$42, 0.5599, 0.5599)*CHOOSE(CONTROL!$C$42, 31, 31))/1000000</f>
        <v>12.063045499999998</v>
      </c>
      <c r="V788" s="58">
        <f>(1000*CHOOSE(CONTROL!$C$42, 500, 500)*CHOOSE(CONTROL!$C$42, 0.275, 0.275)*CHOOSE(CONTROL!$C$42, 31, 31))/1000000</f>
        <v>4.2625000000000002</v>
      </c>
      <c r="W788" s="58">
        <f>(1000*CHOOSE(CONTROL!$C$42, 0.1146, 0.1146)*CHOOSE(CONTROL!$C$42, 121.5, 121.5)*CHOOSE(CONTROL!$C$42, 31, 31))/1000000</f>
        <v>0.43164089999999994</v>
      </c>
      <c r="X788" s="58">
        <f>(31*0.1790888*245000/1000000)+(31*0.2374*100000/1000000)</f>
        <v>2.0961194359999999</v>
      </c>
      <c r="Y788" s="58"/>
      <c r="Z788" s="10"/>
      <c r="AA788" s="57"/>
      <c r="AB788" s="51">
        <f>(B788*194.205+C788*267.466+D788*133.845+E788*53.484+F788*40+G788*185+H788*0+I788*100+J788*300)/(194.205+267.466+133.845+53.484+0+40+185+100+300)</f>
        <v>24.497250477080065</v>
      </c>
      <c r="AC788" s="27">
        <f>(M788*'RAP TEMPLATE-GAS AVAILABILITY'!O787+N788*'RAP TEMPLATE-GAS AVAILABILITY'!P787+O788*'RAP TEMPLATE-GAS AVAILABILITY'!Q787+P788*'RAP TEMPLATE-GAS AVAILABILITY'!R787)/('RAP TEMPLATE-GAS AVAILABILITY'!O787+'RAP TEMPLATE-GAS AVAILABILITY'!P787+'RAP TEMPLATE-GAS AVAILABILITY'!Q787+'RAP TEMPLATE-GAS AVAILABILITY'!R787)</f>
        <v>24.322214388489211</v>
      </c>
    </row>
    <row r="789" spans="1:29" ht="15.75" x14ac:dyDescent="0.25">
      <c r="A789" s="13">
        <v>65288</v>
      </c>
      <c r="B789" s="10">
        <f>CHOOSE(CONTROL!$C$42, 22.9198, 22.9198) * CHOOSE(CONTROL!$C$21, $C$9, 100%, $E$9)</f>
        <v>22.919799999999999</v>
      </c>
      <c r="C789" s="10">
        <f>CHOOSE(CONTROL!$C$42, 22.9277, 22.9277) * CHOOSE(CONTROL!$C$21, $C$9, 100%, $E$9)</f>
        <v>22.927700000000002</v>
      </c>
      <c r="D789" s="10">
        <f>CHOOSE(CONTROL!$C$42, 23.1062, 23.1062) * CHOOSE(CONTROL!$C$21, $C$9, 100%, $E$9)</f>
        <v>23.106200000000001</v>
      </c>
      <c r="E789" s="10">
        <f>CHOOSE(CONTROL!$C$42, 23.1374, 23.1374) * CHOOSE(CONTROL!$C$21, $C$9, 100%, $E$9)</f>
        <v>23.1374</v>
      </c>
      <c r="F789" s="10">
        <f>CHOOSE(CONTROL!$C$42, 22.9061, 22.9061)*CHOOSE(CONTROL!$C$21, $C$9, 100%, $E$9)</f>
        <v>22.906099999999999</v>
      </c>
      <c r="G789" s="10">
        <f>CHOOSE(CONTROL!$C$42, 22.9244, 22.9244)*CHOOSE(CONTROL!$C$21, $C$9, 100%, $E$9)</f>
        <v>22.924399999999999</v>
      </c>
      <c r="H789" s="10">
        <f>CHOOSE(CONTROL!$C$42, 23.126, 23.126) * CHOOSE(CONTROL!$C$21, $C$9, 100%, $E$9)</f>
        <v>23.126000000000001</v>
      </c>
      <c r="I789" s="10">
        <f>CHOOSE(CONTROL!$C$42, 22.8967, 22.8967)* CHOOSE(CONTROL!$C$21, $C$9, 100%, $E$9)</f>
        <v>22.896699999999999</v>
      </c>
      <c r="J789" s="10">
        <f>CHOOSE(CONTROL!$C$42, 22.8991, 22.8991)* CHOOSE(CONTROL!$C$21, $C$9, 100%, $E$9)</f>
        <v>22.899100000000001</v>
      </c>
      <c r="K789" s="54">
        <f>CHOOSE(CONTROL!$C$42, 22.8928, 22.8928) * CHOOSE(CONTROL!$C$21, $C$9, 100%, $E$9)</f>
        <v>22.892800000000001</v>
      </c>
      <c r="L789" s="10">
        <f>CHOOSE(CONTROL!$C$42, 23.713, 23.713) * CHOOSE(CONTROL!$C$21, $C$9, 100%, $E$9)</f>
        <v>23.713000000000001</v>
      </c>
      <c r="M789" s="10">
        <f>CHOOSE(CONTROL!$C$42, 22.6819, 22.6819) * CHOOSE(CONTROL!$C$21, $C$9, 100%, $E$9)</f>
        <v>22.681899999999999</v>
      </c>
      <c r="N789" s="10">
        <f>CHOOSE(CONTROL!$C$42, 22.6999, 22.6999) * CHOOSE(CONTROL!$C$21, $C$9, 100%, $E$9)</f>
        <v>22.6999</v>
      </c>
      <c r="O789" s="10">
        <f>CHOOSE(CONTROL!$C$42, 22.9064, 22.9064) * CHOOSE(CONTROL!$C$21, $C$9, 100%, $E$9)</f>
        <v>22.906400000000001</v>
      </c>
      <c r="P789" s="10">
        <f>CHOOSE(CONTROL!$C$42, 22.6795, 22.6795) * CHOOSE(CONTROL!$C$21, $C$9, 100%, $E$9)</f>
        <v>22.679500000000001</v>
      </c>
      <c r="Q789" s="10">
        <f>CHOOSE(CONTROL!$C$42, 23.5017, 23.5017) * CHOOSE(CONTROL!$C$21, $C$9, 100%, $E$9)</f>
        <v>23.5017</v>
      </c>
      <c r="R789" s="10">
        <f>CHOOSE(CONTROL!$C$42, 24.1475, 24.1475) * CHOOSE(CONTROL!$C$21, $C$9, 100%, $E$9)</f>
        <v>24.147500000000001</v>
      </c>
      <c r="S789" s="10">
        <f>CHOOSE(CONTROL!$C$42, 22.2532, 22.2532) * CHOOSE(CONTROL!$C$21, $C$9, 100%, $E$9)</f>
        <v>22.2532</v>
      </c>
      <c r="T789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789" s="58">
        <f>(1000*CHOOSE(CONTROL!$C$42, 695, 695)*CHOOSE(CONTROL!$C$42, 0.5599, 0.5599)*CHOOSE(CONTROL!$C$42, 30, 30))/1000000</f>
        <v>11.673914999999997</v>
      </c>
      <c r="V789" s="58">
        <f>(1000*CHOOSE(CONTROL!$C$42, 500, 500)*CHOOSE(CONTROL!$C$42, 0.275, 0.275)*CHOOSE(CONTROL!$C$42, 30, 30))/1000000</f>
        <v>4.125</v>
      </c>
      <c r="W789" s="58">
        <f>(1000*CHOOSE(CONTROL!$C$42, 0.1146, 0.1146)*CHOOSE(CONTROL!$C$42, 121.5, 121.5)*CHOOSE(CONTROL!$C$42, 30, 30))/1000000</f>
        <v>0.417717</v>
      </c>
      <c r="X789" s="58">
        <f>(30*0.1790888*245000/1000000)+(30*0.2374*100000/1000000)</f>
        <v>2.0285026799999999</v>
      </c>
      <c r="Y789" s="58"/>
      <c r="Z789" s="10"/>
      <c r="AA789" s="57"/>
      <c r="AB789" s="51">
        <f>(B789*194.205+C789*267.466+D789*133.845+E789*53.484+F789*40+G789*185+H789*0+I789*100+J789*300)/(194.205+267.466+133.845+53.484+0+40+185+100+300)</f>
        <v>22.943726850706437</v>
      </c>
      <c r="AC789" s="27">
        <f>(M789*'RAP TEMPLATE-GAS AVAILABILITY'!O788+N789*'RAP TEMPLATE-GAS AVAILABILITY'!P788+O789*'RAP TEMPLATE-GAS AVAILABILITY'!Q788+P789*'RAP TEMPLATE-GAS AVAILABILITY'!R788)/('RAP TEMPLATE-GAS AVAILABILITY'!O788+'RAP TEMPLATE-GAS AVAILABILITY'!P788+'RAP TEMPLATE-GAS AVAILABILITY'!Q788+'RAP TEMPLATE-GAS AVAILABILITY'!R788)</f>
        <v>22.784342446043169</v>
      </c>
    </row>
    <row r="790" spans="1:29" ht="15.75" x14ac:dyDescent="0.25">
      <c r="A790" s="13">
        <v>65319</v>
      </c>
      <c r="B790" s="10">
        <f>CHOOSE(CONTROL!$C$42, 22.4524, 22.4524) * CHOOSE(CONTROL!$C$21, $C$9, 100%, $E$9)</f>
        <v>22.452400000000001</v>
      </c>
      <c r="C790" s="10">
        <f>CHOOSE(CONTROL!$C$42, 22.4576, 22.4576) * CHOOSE(CONTROL!$C$21, $C$9, 100%, $E$9)</f>
        <v>22.457599999999999</v>
      </c>
      <c r="D790" s="10">
        <f>CHOOSE(CONTROL!$C$42, 22.6411, 22.6411) * CHOOSE(CONTROL!$C$21, $C$9, 100%, $E$9)</f>
        <v>22.641100000000002</v>
      </c>
      <c r="E790" s="10">
        <f>CHOOSE(CONTROL!$C$42, 22.6699, 22.6699) * CHOOSE(CONTROL!$C$21, $C$9, 100%, $E$9)</f>
        <v>22.669899999999998</v>
      </c>
      <c r="F790" s="10">
        <f>CHOOSE(CONTROL!$C$42, 22.4407, 22.4407)*CHOOSE(CONTROL!$C$21, $C$9, 100%, $E$9)</f>
        <v>22.4407</v>
      </c>
      <c r="G790" s="10">
        <f>CHOOSE(CONTROL!$C$42, 22.4586, 22.4586)*CHOOSE(CONTROL!$C$21, $C$9, 100%, $E$9)</f>
        <v>22.458600000000001</v>
      </c>
      <c r="H790" s="10">
        <f>CHOOSE(CONTROL!$C$42, 22.6604, 22.6604) * CHOOSE(CONTROL!$C$21, $C$9, 100%, $E$9)</f>
        <v>22.660399999999999</v>
      </c>
      <c r="I790" s="10">
        <f>CHOOSE(CONTROL!$C$42, 22.431, 22.431)* CHOOSE(CONTROL!$C$21, $C$9, 100%, $E$9)</f>
        <v>22.431000000000001</v>
      </c>
      <c r="J790" s="10">
        <f>CHOOSE(CONTROL!$C$42, 22.4337, 22.4337)* CHOOSE(CONTROL!$C$21, $C$9, 100%, $E$9)</f>
        <v>22.433700000000002</v>
      </c>
      <c r="K790" s="54">
        <f>CHOOSE(CONTROL!$C$42, 22.4271, 22.4271) * CHOOSE(CONTROL!$C$21, $C$9, 100%, $E$9)</f>
        <v>22.427099999999999</v>
      </c>
      <c r="L790" s="10">
        <f>CHOOSE(CONTROL!$C$42, 23.2474, 23.2474) * CHOOSE(CONTROL!$C$21, $C$9, 100%, $E$9)</f>
        <v>23.247399999999999</v>
      </c>
      <c r="M790" s="10">
        <f>CHOOSE(CONTROL!$C$42, 22.2211, 22.2211) * CHOOSE(CONTROL!$C$21, $C$9, 100%, $E$9)</f>
        <v>22.2211</v>
      </c>
      <c r="N790" s="10">
        <f>CHOOSE(CONTROL!$C$42, 22.2388, 22.2388) * CHOOSE(CONTROL!$C$21, $C$9, 100%, $E$9)</f>
        <v>22.238800000000001</v>
      </c>
      <c r="O790" s="10">
        <f>CHOOSE(CONTROL!$C$42, 22.4455, 22.4455) * CHOOSE(CONTROL!$C$21, $C$9, 100%, $E$9)</f>
        <v>22.445499999999999</v>
      </c>
      <c r="P790" s="10">
        <f>CHOOSE(CONTROL!$C$42, 22.2185, 22.2185) * CHOOSE(CONTROL!$C$21, $C$9, 100%, $E$9)</f>
        <v>22.218499999999999</v>
      </c>
      <c r="Q790" s="10">
        <f>CHOOSE(CONTROL!$C$42, 23.0408, 23.0408) * CHOOSE(CONTROL!$C$21, $C$9, 100%, $E$9)</f>
        <v>23.040800000000001</v>
      </c>
      <c r="R790" s="10">
        <f>CHOOSE(CONTROL!$C$42, 23.6854, 23.6854) * CHOOSE(CONTROL!$C$21, $C$9, 100%, $E$9)</f>
        <v>23.685400000000001</v>
      </c>
      <c r="S790" s="10">
        <f>CHOOSE(CONTROL!$C$42, 21.801, 21.801) * CHOOSE(CONTROL!$C$21, $C$9, 100%, $E$9)</f>
        <v>21.800999999999998</v>
      </c>
      <c r="T790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90" s="58">
        <f>(1000*CHOOSE(CONTROL!$C$42, 695, 695)*CHOOSE(CONTROL!$C$42, 0.5599, 0.5599)*CHOOSE(CONTROL!$C$42, 31, 31))/1000000</f>
        <v>12.063045499999998</v>
      </c>
      <c r="V790" s="58">
        <f>(1000*CHOOSE(CONTROL!$C$42, 500, 500)*CHOOSE(CONTROL!$C$42, 0.275, 0.275)*CHOOSE(CONTROL!$C$42, 31, 31))/1000000</f>
        <v>4.2625000000000002</v>
      </c>
      <c r="W790" s="58">
        <f>(1000*CHOOSE(CONTROL!$C$42, 0.1146, 0.1146)*CHOOSE(CONTROL!$C$42, 121.5, 121.5)*CHOOSE(CONTROL!$C$42, 31, 31))/1000000</f>
        <v>0.43164089999999994</v>
      </c>
      <c r="X790" s="58">
        <f>(31*0.1790888*245000/1000000)+(31*0.2374*100000/1000000)</f>
        <v>2.0961194359999999</v>
      </c>
      <c r="Y790" s="58"/>
      <c r="Z790" s="10"/>
      <c r="AA790" s="57"/>
      <c r="AB790" s="51">
        <f>(B790*131.881+C790*277.167+D790*79.08+E790*125.872+F790*40+G790*185+H790*0+I790*100+J790*300)/(131.881+277.167+79.08+125.872+0+40+185+100+300)</f>
        <v>22.481996307021792</v>
      </c>
      <c r="AC790" s="27">
        <f>(M790*'RAP TEMPLATE-GAS AVAILABILITY'!O789+N790*'RAP TEMPLATE-GAS AVAILABILITY'!P789+O790*'RAP TEMPLATE-GAS AVAILABILITY'!Q789+P790*'RAP TEMPLATE-GAS AVAILABILITY'!R789)/('RAP TEMPLATE-GAS AVAILABILITY'!O789+'RAP TEMPLATE-GAS AVAILABILITY'!P789+'RAP TEMPLATE-GAS AVAILABILITY'!Q789+'RAP TEMPLATE-GAS AVAILABILITY'!R789)</f>
        <v>22.323451079136689</v>
      </c>
    </row>
    <row r="791" spans="1:29" ht="15.75" x14ac:dyDescent="0.25">
      <c r="A791" s="13">
        <v>65349</v>
      </c>
      <c r="B791" s="10">
        <f>CHOOSE(CONTROL!$C$42, 23.0434, 23.0434) * CHOOSE(CONTROL!$C$21, $C$9, 100%, $E$9)</f>
        <v>23.043399999999998</v>
      </c>
      <c r="C791" s="10">
        <f>CHOOSE(CONTROL!$C$42, 23.0483, 23.0483) * CHOOSE(CONTROL!$C$21, $C$9, 100%, $E$9)</f>
        <v>23.048300000000001</v>
      </c>
      <c r="D791" s="10">
        <f>CHOOSE(CONTROL!$C$42, 23.0779, 23.0779) * CHOOSE(CONTROL!$C$21, $C$9, 100%, $E$9)</f>
        <v>23.0779</v>
      </c>
      <c r="E791" s="10">
        <f>CHOOSE(CONTROL!$C$42, 23.1117, 23.1117) * CHOOSE(CONTROL!$C$21, $C$9, 100%, $E$9)</f>
        <v>23.111699999999999</v>
      </c>
      <c r="F791" s="10">
        <f>CHOOSE(CONTROL!$C$42, 23.0291, 23.0291)*CHOOSE(CONTROL!$C$21, $C$9, 100%, $E$9)</f>
        <v>23.0291</v>
      </c>
      <c r="G791" s="10">
        <f>CHOOSE(CONTROL!$C$42, 23.0472, 23.0472)*CHOOSE(CONTROL!$C$21, $C$9, 100%, $E$9)</f>
        <v>23.0472</v>
      </c>
      <c r="H791" s="10">
        <f>CHOOSE(CONTROL!$C$42, 23.1009, 23.1009) * CHOOSE(CONTROL!$C$21, $C$9, 100%, $E$9)</f>
        <v>23.100899999999999</v>
      </c>
      <c r="I791" s="10">
        <f>CHOOSE(CONTROL!$C$42, 23.0096, 23.0096)* CHOOSE(CONTROL!$C$21, $C$9, 100%, $E$9)</f>
        <v>23.009599999999999</v>
      </c>
      <c r="J791" s="10">
        <f>CHOOSE(CONTROL!$C$42, 23.0221, 23.0221)* CHOOSE(CONTROL!$C$21, $C$9, 100%, $E$9)</f>
        <v>23.022099999999998</v>
      </c>
      <c r="K791" s="54">
        <f>CHOOSE(CONTROL!$C$42, 23.0057, 23.0057) * CHOOSE(CONTROL!$C$21, $C$9, 100%, $E$9)</f>
        <v>23.005700000000001</v>
      </c>
      <c r="L791" s="10">
        <f>CHOOSE(CONTROL!$C$42, 23.6879, 23.6879) * CHOOSE(CONTROL!$C$21, $C$9, 100%, $E$9)</f>
        <v>23.687899999999999</v>
      </c>
      <c r="M791" s="10">
        <f>CHOOSE(CONTROL!$C$42, 22.8036, 22.8036) * CHOOSE(CONTROL!$C$21, $C$9, 100%, $E$9)</f>
        <v>22.803599999999999</v>
      </c>
      <c r="N791" s="10">
        <f>CHOOSE(CONTROL!$C$42, 22.8215, 22.8215) * CHOOSE(CONTROL!$C$21, $C$9, 100%, $E$9)</f>
        <v>22.8215</v>
      </c>
      <c r="O791" s="10">
        <f>CHOOSE(CONTROL!$C$42, 22.8816, 22.8816) * CHOOSE(CONTROL!$C$21, $C$9, 100%, $E$9)</f>
        <v>22.881599999999999</v>
      </c>
      <c r="P791" s="10">
        <f>CHOOSE(CONTROL!$C$42, 22.7912, 22.7912) * CHOOSE(CONTROL!$C$21, $C$9, 100%, $E$9)</f>
        <v>22.7912</v>
      </c>
      <c r="Q791" s="10">
        <f>CHOOSE(CONTROL!$C$42, 23.4769, 23.4769) * CHOOSE(CONTROL!$C$21, $C$9, 100%, $E$9)</f>
        <v>23.476900000000001</v>
      </c>
      <c r="R791" s="10">
        <f>CHOOSE(CONTROL!$C$42, 24.1226, 24.1226) * CHOOSE(CONTROL!$C$21, $C$9, 100%, $E$9)</f>
        <v>24.122599999999998</v>
      </c>
      <c r="S791" s="10">
        <f>CHOOSE(CONTROL!$C$42, 22.3753, 22.3753) * CHOOSE(CONTROL!$C$21, $C$9, 100%, $E$9)</f>
        <v>22.375299999999999</v>
      </c>
      <c r="T791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91" s="58">
        <f>(1000*CHOOSE(CONTROL!$C$42, 695, 695)*CHOOSE(CONTROL!$C$42, 0.5599, 0.5599)*CHOOSE(CONTROL!$C$42, 30, 30))/1000000</f>
        <v>11.673914999999997</v>
      </c>
      <c r="V791" s="58">
        <f>(1000*CHOOSE(CONTROL!$C$42, 500, 500)*CHOOSE(CONTROL!$C$42, 0.275, 0.275)*CHOOSE(CONTROL!$C$42, 30, 30))/1000000</f>
        <v>4.125</v>
      </c>
      <c r="W791" s="58">
        <f>(1000*CHOOSE(CONTROL!$C$42, 0.1146, 0.1146)*CHOOSE(CONTROL!$C$42, 121.5, 121.5)*CHOOSE(CONTROL!$C$42, 30, 30))/1000000</f>
        <v>0.417717</v>
      </c>
      <c r="X791" s="58">
        <f>(30*0.1790888*100000/1000000)+(30*0.2374*100000/1000000)</f>
        <v>1.2494664</v>
      </c>
      <c r="Y791" s="58"/>
      <c r="Z791" s="10"/>
      <c r="AA791" s="57"/>
      <c r="AB791" s="51">
        <f>(B791*122.58+C791*297.941+D791*89.177+E791*40.302+F791*40+G791*160+H791*0+I791*100+J791*300)/(122.58+297.941+89.177+40.302+0+40+160+100+300)</f>
        <v>23.04127403826087</v>
      </c>
      <c r="AC791" s="27">
        <f>(M791*'RAP TEMPLATE-GAS AVAILABILITY'!O790+N791*'RAP TEMPLATE-GAS AVAILABILITY'!P790+O791*'RAP TEMPLATE-GAS AVAILABILITY'!Q790+P791*'RAP TEMPLATE-GAS AVAILABILITY'!R790)/('RAP TEMPLATE-GAS AVAILABILITY'!O790+'RAP TEMPLATE-GAS AVAILABILITY'!P790+'RAP TEMPLATE-GAS AVAILABILITY'!Q790+'RAP TEMPLATE-GAS AVAILABILITY'!R790)</f>
        <v>22.838198561151078</v>
      </c>
    </row>
    <row r="792" spans="1:29" ht="15.75" x14ac:dyDescent="0.25">
      <c r="A792" s="13">
        <v>65380</v>
      </c>
      <c r="B792" s="10">
        <f>CHOOSE(CONTROL!$C$42, 24.6143, 24.6143) * CHOOSE(CONTROL!$C$21, $C$9, 100%, $E$9)</f>
        <v>24.6143</v>
      </c>
      <c r="C792" s="10">
        <f>CHOOSE(CONTROL!$C$42, 24.6192, 24.6192) * CHOOSE(CONTROL!$C$21, $C$9, 100%, $E$9)</f>
        <v>24.619199999999999</v>
      </c>
      <c r="D792" s="10">
        <f>CHOOSE(CONTROL!$C$42, 24.6488, 24.6488) * CHOOSE(CONTROL!$C$21, $C$9, 100%, $E$9)</f>
        <v>24.648800000000001</v>
      </c>
      <c r="E792" s="10">
        <f>CHOOSE(CONTROL!$C$42, 24.6826, 24.6826) * CHOOSE(CONTROL!$C$21, $C$9, 100%, $E$9)</f>
        <v>24.682600000000001</v>
      </c>
      <c r="F792" s="10">
        <f>CHOOSE(CONTROL!$C$42, 24.6016, 24.6016)*CHOOSE(CONTROL!$C$21, $C$9, 100%, $E$9)</f>
        <v>24.601600000000001</v>
      </c>
      <c r="G792" s="10">
        <f>CHOOSE(CONTROL!$C$42, 24.62, 24.62)*CHOOSE(CONTROL!$C$21, $C$9, 100%, $E$9)</f>
        <v>24.62</v>
      </c>
      <c r="H792" s="10">
        <f>CHOOSE(CONTROL!$C$42, 24.6718, 24.6718) * CHOOSE(CONTROL!$C$21, $C$9, 100%, $E$9)</f>
        <v>24.671800000000001</v>
      </c>
      <c r="I792" s="10">
        <f>CHOOSE(CONTROL!$C$42, 24.5804, 24.5804)* CHOOSE(CONTROL!$C$21, $C$9, 100%, $E$9)</f>
        <v>24.580400000000001</v>
      </c>
      <c r="J792" s="10">
        <f>CHOOSE(CONTROL!$C$42, 24.5946, 24.5946)* CHOOSE(CONTROL!$C$21, $C$9, 100%, $E$9)</f>
        <v>24.5946</v>
      </c>
      <c r="K792" s="54">
        <f>CHOOSE(CONTROL!$C$42, 24.5765, 24.5765) * CHOOSE(CONTROL!$C$21, $C$9, 100%, $E$9)</f>
        <v>24.576499999999999</v>
      </c>
      <c r="L792" s="10">
        <f>CHOOSE(CONTROL!$C$42, 25.2588, 25.2588) * CHOOSE(CONTROL!$C$21, $C$9, 100%, $E$9)</f>
        <v>25.258800000000001</v>
      </c>
      <c r="M792" s="10">
        <f>CHOOSE(CONTROL!$C$42, 24.3602, 24.3602) * CHOOSE(CONTROL!$C$21, $C$9, 100%, $E$9)</f>
        <v>24.360199999999999</v>
      </c>
      <c r="N792" s="10">
        <f>CHOOSE(CONTROL!$C$42, 24.3785, 24.3785) * CHOOSE(CONTROL!$C$21, $C$9, 100%, $E$9)</f>
        <v>24.378499999999999</v>
      </c>
      <c r="O792" s="10">
        <f>CHOOSE(CONTROL!$C$42, 24.4366, 24.4366) * CHOOSE(CONTROL!$C$21, $C$9, 100%, $E$9)</f>
        <v>24.436599999999999</v>
      </c>
      <c r="P792" s="10">
        <f>CHOOSE(CONTROL!$C$42, 24.3462, 24.3462) * CHOOSE(CONTROL!$C$21, $C$9, 100%, $E$9)</f>
        <v>24.3462</v>
      </c>
      <c r="Q792" s="10">
        <f>CHOOSE(CONTROL!$C$42, 25.0319, 25.0319) * CHOOSE(CONTROL!$C$21, $C$9, 100%, $E$9)</f>
        <v>25.0319</v>
      </c>
      <c r="R792" s="10">
        <f>CHOOSE(CONTROL!$C$42, 25.6815, 25.6815) * CHOOSE(CONTROL!$C$21, $C$9, 100%, $E$9)</f>
        <v>25.6815</v>
      </c>
      <c r="S792" s="10">
        <f>CHOOSE(CONTROL!$C$42, 23.9008, 23.9008) * CHOOSE(CONTROL!$C$21, $C$9, 100%, $E$9)</f>
        <v>23.9008</v>
      </c>
      <c r="T792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92" s="58">
        <f>(1000*CHOOSE(CONTROL!$C$42, 695, 695)*CHOOSE(CONTROL!$C$42, 0.5599, 0.5599)*CHOOSE(CONTROL!$C$42, 31, 31))/1000000</f>
        <v>12.063045499999998</v>
      </c>
      <c r="V792" s="58">
        <f>(1000*CHOOSE(CONTROL!$C$42, 500, 500)*CHOOSE(CONTROL!$C$42, 0.275, 0.275)*CHOOSE(CONTROL!$C$42, 31, 31))/1000000</f>
        <v>4.2625000000000002</v>
      </c>
      <c r="W792" s="58">
        <f>(1000*CHOOSE(CONTROL!$C$42, 0.1146, 0.1146)*CHOOSE(CONTROL!$C$42, 121.5, 121.5)*CHOOSE(CONTROL!$C$42, 31, 31))/1000000</f>
        <v>0.43164089999999994</v>
      </c>
      <c r="X792" s="58">
        <f>(31*0.1790888*100000/1000000)+(31*0.2374*100000/1000000)</f>
        <v>1.2911152800000001</v>
      </c>
      <c r="Y792" s="58"/>
      <c r="Z792" s="10"/>
      <c r="AA792" s="57"/>
      <c r="AB792" s="51">
        <f>(B792*122.58+C792*297.941+D792*89.177+E792*40.302+F792*40+G792*160+H792*0+I792*100+J792*300)/(122.58+297.941+89.177+40.302+0+40+160+100+300)</f>
        <v>24.612902733913046</v>
      </c>
      <c r="AC792" s="27">
        <f>(M792*'RAP TEMPLATE-GAS AVAILABILITY'!O791+N792*'RAP TEMPLATE-GAS AVAILABILITY'!P791+O792*'RAP TEMPLATE-GAS AVAILABILITY'!Q791+P792*'RAP TEMPLATE-GAS AVAILABILITY'!R791)/('RAP TEMPLATE-GAS AVAILABILITY'!O791+'RAP TEMPLATE-GAS AVAILABILITY'!P791+'RAP TEMPLATE-GAS AVAILABILITY'!Q791+'RAP TEMPLATE-GAS AVAILABILITY'!R791)</f>
        <v>24.393866187050357</v>
      </c>
    </row>
    <row r="793" spans="1:29" ht="15.75" x14ac:dyDescent="0.25">
      <c r="A793" s="13">
        <v>65411</v>
      </c>
      <c r="B793" s="10">
        <f>CHOOSE(CONTROL!$C$42, 26.2754, 26.2754) * CHOOSE(CONTROL!$C$21, $C$9, 100%, $E$9)</f>
        <v>26.275400000000001</v>
      </c>
      <c r="C793" s="10">
        <f>CHOOSE(CONTROL!$C$42, 26.2803, 26.2803) * CHOOSE(CONTROL!$C$21, $C$9, 100%, $E$9)</f>
        <v>26.2803</v>
      </c>
      <c r="D793" s="10">
        <f>CHOOSE(CONTROL!$C$42, 26.3305, 26.3305) * CHOOSE(CONTROL!$C$21, $C$9, 100%, $E$9)</f>
        <v>26.330500000000001</v>
      </c>
      <c r="E793" s="10">
        <f>CHOOSE(CONTROL!$C$42, 26.3643, 26.3643) * CHOOSE(CONTROL!$C$21, $C$9, 100%, $E$9)</f>
        <v>26.3643</v>
      </c>
      <c r="F793" s="10">
        <f>CHOOSE(CONTROL!$C$42, 26.2407, 26.2407)*CHOOSE(CONTROL!$C$21, $C$9, 100%, $E$9)</f>
        <v>26.2407</v>
      </c>
      <c r="G793" s="10">
        <f>CHOOSE(CONTROL!$C$42, 26.2583, 26.2583)*CHOOSE(CONTROL!$C$21, $C$9, 100%, $E$9)</f>
        <v>26.258299999999998</v>
      </c>
      <c r="H793" s="10">
        <f>CHOOSE(CONTROL!$C$42, 26.3535, 26.3535) * CHOOSE(CONTROL!$C$21, $C$9, 100%, $E$9)</f>
        <v>26.3535</v>
      </c>
      <c r="I793" s="10">
        <f>CHOOSE(CONTROL!$C$42, 26.2493, 26.2493)* CHOOSE(CONTROL!$C$21, $C$9, 100%, $E$9)</f>
        <v>26.249300000000002</v>
      </c>
      <c r="J793" s="10">
        <f>CHOOSE(CONTROL!$C$42, 26.2337, 26.2337)* CHOOSE(CONTROL!$C$21, $C$9, 100%, $E$9)</f>
        <v>26.233699999999999</v>
      </c>
      <c r="K793" s="54">
        <f>CHOOSE(CONTROL!$C$42, 26.2454, 26.2454) * CHOOSE(CONTROL!$C$21, $C$9, 100%, $E$9)</f>
        <v>26.2454</v>
      </c>
      <c r="L793" s="10">
        <f>CHOOSE(CONTROL!$C$42, 26.9405, 26.9405) * CHOOSE(CONTROL!$C$21, $C$9, 100%, $E$9)</f>
        <v>26.9405</v>
      </c>
      <c r="M793" s="10">
        <f>CHOOSE(CONTROL!$C$42, 25.9828, 25.9828) * CHOOSE(CONTROL!$C$21, $C$9, 100%, $E$9)</f>
        <v>25.982800000000001</v>
      </c>
      <c r="N793" s="10">
        <f>CHOOSE(CONTROL!$C$42, 26.0002, 26.0002) * CHOOSE(CONTROL!$C$21, $C$9, 100%, $E$9)</f>
        <v>26.0002</v>
      </c>
      <c r="O793" s="10">
        <f>CHOOSE(CONTROL!$C$42, 26.1014, 26.1014) * CHOOSE(CONTROL!$C$21, $C$9, 100%, $E$9)</f>
        <v>26.101400000000002</v>
      </c>
      <c r="P793" s="10">
        <f>CHOOSE(CONTROL!$C$42, 25.9982, 25.9982) * CHOOSE(CONTROL!$C$21, $C$9, 100%, $E$9)</f>
        <v>25.998200000000001</v>
      </c>
      <c r="Q793" s="10">
        <f>CHOOSE(CONTROL!$C$42, 26.6967, 26.6967) * CHOOSE(CONTROL!$C$21, $C$9, 100%, $E$9)</f>
        <v>26.6967</v>
      </c>
      <c r="R793" s="10">
        <f>CHOOSE(CONTROL!$C$42, 27.3504, 27.3504) * CHOOSE(CONTROL!$C$21, $C$9, 100%, $E$9)</f>
        <v>27.3504</v>
      </c>
      <c r="S793" s="10">
        <f>CHOOSE(CONTROL!$C$42, 25.5139, 25.5139) * CHOOSE(CONTROL!$C$21, $C$9, 100%, $E$9)</f>
        <v>25.5139</v>
      </c>
      <c r="T793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93" s="58">
        <f>(1000*CHOOSE(CONTROL!$C$42, 695, 695)*CHOOSE(CONTROL!$C$42, 0.5599, 0.5599)*CHOOSE(CONTROL!$C$42, 31, 31))/1000000</f>
        <v>12.063045499999998</v>
      </c>
      <c r="V793" s="58">
        <f>(1000*CHOOSE(CONTROL!$C$42, 500, 500)*CHOOSE(CONTROL!$C$42, 0.275, 0.275)*CHOOSE(CONTROL!$C$42, 31, 31))/1000000</f>
        <v>4.2625000000000002</v>
      </c>
      <c r="W793" s="58">
        <f>(1000*CHOOSE(CONTROL!$C$42, 0.1146, 0.1146)*CHOOSE(CONTROL!$C$42, 121.5, 121.5)*CHOOSE(CONTROL!$C$42, 31, 31))/1000000</f>
        <v>0.43164089999999994</v>
      </c>
      <c r="X793" s="58">
        <f>(31*0.1790888*100000/1000000)+(31*0.2374*100000/1000000)</f>
        <v>1.2911152800000001</v>
      </c>
      <c r="Y793" s="58"/>
      <c r="Z793" s="10"/>
      <c r="AA793" s="57"/>
      <c r="AB793" s="51">
        <f>(B793*122.58+C793*297.941+D793*89.177+E793*40.302+F793*40+G793*160+H793*0+I793*100+J793*300)/(122.58+297.941+89.177+40.302+0+40+160+100+300)</f>
        <v>26.267323836000003</v>
      </c>
      <c r="AC793" s="27">
        <f>(M793*'RAP TEMPLATE-GAS AVAILABILITY'!O792+N793*'RAP TEMPLATE-GAS AVAILABILITY'!P792+O793*'RAP TEMPLATE-GAS AVAILABILITY'!Q792+P793*'RAP TEMPLATE-GAS AVAILABILITY'!R792)/('RAP TEMPLATE-GAS AVAILABILITY'!O792+'RAP TEMPLATE-GAS AVAILABILITY'!P792+'RAP TEMPLATE-GAS AVAILABILITY'!Q792+'RAP TEMPLATE-GAS AVAILABILITY'!R792)</f>
        <v>26.039771223021582</v>
      </c>
    </row>
    <row r="794" spans="1:29" ht="15.75" x14ac:dyDescent="0.25">
      <c r="A794" s="13">
        <v>65439</v>
      </c>
      <c r="B794" s="10">
        <f>CHOOSE(CONTROL!$C$42, 26.7431, 26.7431) * CHOOSE(CONTROL!$C$21, $C$9, 100%, $E$9)</f>
        <v>26.743099999999998</v>
      </c>
      <c r="C794" s="10">
        <f>CHOOSE(CONTROL!$C$42, 26.748, 26.748) * CHOOSE(CONTROL!$C$21, $C$9, 100%, $E$9)</f>
        <v>26.748000000000001</v>
      </c>
      <c r="D794" s="10">
        <f>CHOOSE(CONTROL!$C$42, 26.8652, 26.8652) * CHOOSE(CONTROL!$C$21, $C$9, 100%, $E$9)</f>
        <v>26.865200000000002</v>
      </c>
      <c r="E794" s="10">
        <f>CHOOSE(CONTROL!$C$42, 26.8989, 26.8989) * CHOOSE(CONTROL!$C$21, $C$9, 100%, $E$9)</f>
        <v>26.898900000000001</v>
      </c>
      <c r="F794" s="10">
        <f>CHOOSE(CONTROL!$C$42, 26.8207, 26.8207)*CHOOSE(CONTROL!$C$21, $C$9, 100%, $E$9)</f>
        <v>26.820699999999999</v>
      </c>
      <c r="G794" s="10">
        <f>CHOOSE(CONTROL!$C$42, 26.8426, 26.8426)*CHOOSE(CONTROL!$C$21, $C$9, 100%, $E$9)</f>
        <v>26.842600000000001</v>
      </c>
      <c r="H794" s="10">
        <f>CHOOSE(CONTROL!$C$42, 26.8881, 26.8881) * CHOOSE(CONTROL!$C$21, $C$9, 100%, $E$9)</f>
        <v>26.888100000000001</v>
      </c>
      <c r="I794" s="10">
        <f>CHOOSE(CONTROL!$C$42, 26.7788, 26.7788)* CHOOSE(CONTROL!$C$21, $C$9, 100%, $E$9)</f>
        <v>26.7788</v>
      </c>
      <c r="J794" s="10">
        <f>CHOOSE(CONTROL!$C$42, 26.8137, 26.8137)* CHOOSE(CONTROL!$C$21, $C$9, 100%, $E$9)</f>
        <v>26.813700000000001</v>
      </c>
      <c r="K794" s="54">
        <f>CHOOSE(CONTROL!$C$42, 26.7749, 26.7749) * CHOOSE(CONTROL!$C$21, $C$9, 100%, $E$9)</f>
        <v>26.774899999999999</v>
      </c>
      <c r="L794" s="10">
        <f>CHOOSE(CONTROL!$C$42, 27.4751, 27.4751) * CHOOSE(CONTROL!$C$21, $C$9, 100%, $E$9)</f>
        <v>27.475100000000001</v>
      </c>
      <c r="M794" s="10">
        <f>CHOOSE(CONTROL!$C$42, 26.5569, 26.5569) * CHOOSE(CONTROL!$C$21, $C$9, 100%, $E$9)</f>
        <v>26.556899999999999</v>
      </c>
      <c r="N794" s="10">
        <f>CHOOSE(CONTROL!$C$42, 26.5786, 26.5786) * CHOOSE(CONTROL!$C$21, $C$9, 100%, $E$9)</f>
        <v>26.578600000000002</v>
      </c>
      <c r="O794" s="10">
        <f>CHOOSE(CONTROL!$C$42, 26.6306, 26.6306) * CHOOSE(CONTROL!$C$21, $C$9, 100%, $E$9)</f>
        <v>26.630600000000001</v>
      </c>
      <c r="P794" s="10">
        <f>CHOOSE(CONTROL!$C$42, 26.5224, 26.5224) * CHOOSE(CONTROL!$C$21, $C$9, 100%, $E$9)</f>
        <v>26.522400000000001</v>
      </c>
      <c r="Q794" s="10">
        <f>CHOOSE(CONTROL!$C$42, 27.2259, 27.2259) * CHOOSE(CONTROL!$C$21, $C$9, 100%, $E$9)</f>
        <v>27.225899999999999</v>
      </c>
      <c r="R794" s="10">
        <f>CHOOSE(CONTROL!$C$42, 27.881, 27.881) * CHOOSE(CONTROL!$C$21, $C$9, 100%, $E$9)</f>
        <v>27.881</v>
      </c>
      <c r="S794" s="10">
        <f>CHOOSE(CONTROL!$C$42, 25.9681, 25.9681) * CHOOSE(CONTROL!$C$21, $C$9, 100%, $E$9)</f>
        <v>25.9681</v>
      </c>
      <c r="T794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794" s="58">
        <f>(1000*CHOOSE(CONTROL!$C$42, 695, 695)*CHOOSE(CONTROL!$C$42, 0.5599, 0.5599)*CHOOSE(CONTROL!$C$42, 28, 28))/1000000</f>
        <v>10.895653999999999</v>
      </c>
      <c r="V794" s="58">
        <f>(1000*CHOOSE(CONTROL!$C$42, 500, 500)*CHOOSE(CONTROL!$C$42, 0.275, 0.275)*CHOOSE(CONTROL!$C$42, 28, 28))/1000000</f>
        <v>3.85</v>
      </c>
      <c r="W794" s="58">
        <f>(1000*CHOOSE(CONTROL!$C$42, 0.1146, 0.1146)*CHOOSE(CONTROL!$C$42, 121.5, 121.5)*CHOOSE(CONTROL!$C$42, 28, 28))/1000000</f>
        <v>0.38986920000000003</v>
      </c>
      <c r="X794" s="58">
        <f>(28*0.1790888*100000/1000000)+(28*0.2374*100000/1000000)</f>
        <v>1.16616864</v>
      </c>
      <c r="Y794" s="58"/>
      <c r="Z794" s="10"/>
      <c r="AA794" s="57"/>
      <c r="AB794" s="51">
        <f>(B794*122.58+C794*297.941+D794*89.177+E794*40.302+F794*40+G794*160+H794*0+I794*100+J794*300)/(122.58+297.941+89.177+40.302+0+40+160+100+300)</f>
        <v>26.797362151478264</v>
      </c>
      <c r="AC794" s="27">
        <f>(M794*'RAP TEMPLATE-GAS AVAILABILITY'!O793+N794*'RAP TEMPLATE-GAS AVAILABILITY'!P793+O794*'RAP TEMPLATE-GAS AVAILABILITY'!Q793+P794*'RAP TEMPLATE-GAS AVAILABILITY'!R793)/('RAP TEMPLATE-GAS AVAILABILITY'!O793+'RAP TEMPLATE-GAS AVAILABILITY'!P793+'RAP TEMPLATE-GAS AVAILABILITY'!Q793+'RAP TEMPLATE-GAS AVAILABILITY'!R793)</f>
        <v>26.586588489208637</v>
      </c>
    </row>
    <row r="795" spans="1:29" ht="15.75" x14ac:dyDescent="0.25">
      <c r="A795" s="13">
        <v>65470</v>
      </c>
      <c r="B795" s="10">
        <f>CHOOSE(CONTROL!$C$42, 25.9839, 25.9839) * CHOOSE(CONTROL!$C$21, $C$9, 100%, $E$9)</f>
        <v>25.983899999999998</v>
      </c>
      <c r="C795" s="10">
        <f>CHOOSE(CONTROL!$C$42, 25.9889, 25.9889) * CHOOSE(CONTROL!$C$21, $C$9, 100%, $E$9)</f>
        <v>25.988900000000001</v>
      </c>
      <c r="D795" s="10">
        <f>CHOOSE(CONTROL!$C$42, 26.0802, 26.0802) * CHOOSE(CONTROL!$C$21, $C$9, 100%, $E$9)</f>
        <v>26.080200000000001</v>
      </c>
      <c r="E795" s="10">
        <f>CHOOSE(CONTROL!$C$42, 26.114, 26.114) * CHOOSE(CONTROL!$C$21, $C$9, 100%, $E$9)</f>
        <v>26.114000000000001</v>
      </c>
      <c r="F795" s="10">
        <f>CHOOSE(CONTROL!$C$42, 26.0137, 26.0137)*CHOOSE(CONTROL!$C$21, $C$9, 100%, $E$9)</f>
        <v>26.0137</v>
      </c>
      <c r="G795" s="10">
        <f>CHOOSE(CONTROL!$C$42, 26.0332, 26.0332)*CHOOSE(CONTROL!$C$21, $C$9, 100%, $E$9)</f>
        <v>26.033200000000001</v>
      </c>
      <c r="H795" s="10">
        <f>CHOOSE(CONTROL!$C$42, 26.1032, 26.1032) * CHOOSE(CONTROL!$C$21, $C$9, 100%, $E$9)</f>
        <v>26.103200000000001</v>
      </c>
      <c r="I795" s="10">
        <f>CHOOSE(CONTROL!$C$42, 26.0067, 26.0067)* CHOOSE(CONTROL!$C$21, $C$9, 100%, $E$9)</f>
        <v>26.006699999999999</v>
      </c>
      <c r="J795" s="10">
        <f>CHOOSE(CONTROL!$C$42, 26.0067, 26.0067)* CHOOSE(CONTROL!$C$21, $C$9, 100%, $E$9)</f>
        <v>26.006699999999999</v>
      </c>
      <c r="K795" s="54">
        <f>CHOOSE(CONTROL!$C$42, 26.0028, 26.0028) * CHOOSE(CONTROL!$C$21, $C$9, 100%, $E$9)</f>
        <v>26.002800000000001</v>
      </c>
      <c r="L795" s="10">
        <f>CHOOSE(CONTROL!$C$42, 26.6902, 26.6902) * CHOOSE(CONTROL!$C$21, $C$9, 100%, $E$9)</f>
        <v>26.690200000000001</v>
      </c>
      <c r="M795" s="10">
        <f>CHOOSE(CONTROL!$C$42, 25.7581, 25.7581) * CHOOSE(CONTROL!$C$21, $C$9, 100%, $E$9)</f>
        <v>25.758099999999999</v>
      </c>
      <c r="N795" s="10">
        <f>CHOOSE(CONTROL!$C$42, 25.7774, 25.7774) * CHOOSE(CONTROL!$C$21, $C$9, 100%, $E$9)</f>
        <v>25.7774</v>
      </c>
      <c r="O795" s="10">
        <f>CHOOSE(CONTROL!$C$42, 25.8536, 25.8536) * CHOOSE(CONTROL!$C$21, $C$9, 100%, $E$9)</f>
        <v>25.8536</v>
      </c>
      <c r="P795" s="10">
        <f>CHOOSE(CONTROL!$C$42, 25.7581, 25.7581) * CHOOSE(CONTROL!$C$21, $C$9, 100%, $E$9)</f>
        <v>25.758099999999999</v>
      </c>
      <c r="Q795" s="10">
        <f>CHOOSE(CONTROL!$C$42, 26.4489, 26.4489) * CHOOSE(CONTROL!$C$21, $C$9, 100%, $E$9)</f>
        <v>26.448899999999998</v>
      </c>
      <c r="R795" s="10">
        <f>CHOOSE(CONTROL!$C$42, 27.102, 27.102) * CHOOSE(CONTROL!$C$21, $C$9, 100%, $E$9)</f>
        <v>27.102</v>
      </c>
      <c r="S795" s="10">
        <f>CHOOSE(CONTROL!$C$42, 25.2308, 25.2308) * CHOOSE(CONTROL!$C$21, $C$9, 100%, $E$9)</f>
        <v>25.230799999999999</v>
      </c>
      <c r="T795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95" s="58">
        <f>(1000*CHOOSE(CONTROL!$C$42, 695, 695)*CHOOSE(CONTROL!$C$42, 0.5599, 0.5599)*CHOOSE(CONTROL!$C$42, 31, 31))/1000000</f>
        <v>12.063045499999998</v>
      </c>
      <c r="V795" s="58">
        <f>(1000*CHOOSE(CONTROL!$C$42, 500, 500)*CHOOSE(CONTROL!$C$42, 0.275, 0.275)*CHOOSE(CONTROL!$C$42, 31, 31))/1000000</f>
        <v>4.2625000000000002</v>
      </c>
      <c r="W795" s="58">
        <f>(1000*CHOOSE(CONTROL!$C$42, 0.1146, 0.1146)*CHOOSE(CONTROL!$C$42, 121.5, 121.5)*CHOOSE(CONTROL!$C$42, 31, 31))/1000000</f>
        <v>0.43164089999999994</v>
      </c>
      <c r="X795" s="58">
        <f>(31*0.1790888*100000/1000000)+(31*0.2374*100000/1000000)</f>
        <v>1.2911152800000001</v>
      </c>
      <c r="Y795" s="58"/>
      <c r="Z795" s="10"/>
      <c r="AA795" s="57"/>
      <c r="AB795" s="51">
        <f>(B795*122.58+C795*297.941+D795*89.177+E795*40.302+F795*40+G795*160+H795*0+I795*100+J795*300)/(122.58+297.941+89.177+40.302+0+40+160+100+300)</f>
        <v>26.013048469826085</v>
      </c>
      <c r="AC795" s="27">
        <f>(M795*'RAP TEMPLATE-GAS AVAILABILITY'!O794+N795*'RAP TEMPLATE-GAS AVAILABILITY'!P794+O795*'RAP TEMPLATE-GAS AVAILABILITY'!Q794+P795*'RAP TEMPLATE-GAS AVAILABILITY'!R794)/('RAP TEMPLATE-GAS AVAILABILITY'!O794+'RAP TEMPLATE-GAS AVAILABILITY'!P794+'RAP TEMPLATE-GAS AVAILABILITY'!Q794+'RAP TEMPLATE-GAS AVAILABILITY'!R794)</f>
        <v>25.802494964028778</v>
      </c>
    </row>
    <row r="796" spans="1:29" ht="15.75" x14ac:dyDescent="0.25">
      <c r="A796" s="13">
        <v>65500</v>
      </c>
      <c r="B796" s="10">
        <f>CHOOSE(CONTROL!$C$42, 25.9069, 25.9069) * CHOOSE(CONTROL!$C$21, $C$9, 100%, $E$9)</f>
        <v>25.9069</v>
      </c>
      <c r="C796" s="10">
        <f>CHOOSE(CONTROL!$C$42, 25.9113, 25.9113) * CHOOSE(CONTROL!$C$21, $C$9, 100%, $E$9)</f>
        <v>25.911300000000001</v>
      </c>
      <c r="D796" s="10">
        <f>CHOOSE(CONTROL!$C$42, 26.0929, 26.0929) * CHOOSE(CONTROL!$C$21, $C$9, 100%, $E$9)</f>
        <v>26.0929</v>
      </c>
      <c r="E796" s="10">
        <f>CHOOSE(CONTROL!$C$42, 26.1247, 26.1247) * CHOOSE(CONTROL!$C$21, $C$9, 100%, $E$9)</f>
        <v>26.124700000000001</v>
      </c>
      <c r="F796" s="10">
        <f>CHOOSE(CONTROL!$C$42, 25.8952, 25.8952)*CHOOSE(CONTROL!$C$21, $C$9, 100%, $E$9)</f>
        <v>25.895199999999999</v>
      </c>
      <c r="G796" s="10">
        <f>CHOOSE(CONTROL!$C$42, 25.9132, 25.9132)*CHOOSE(CONTROL!$C$21, $C$9, 100%, $E$9)</f>
        <v>25.9132</v>
      </c>
      <c r="H796" s="10">
        <f>CHOOSE(CONTROL!$C$42, 26.1145, 26.1145) * CHOOSE(CONTROL!$C$21, $C$9, 100%, $E$9)</f>
        <v>26.1145</v>
      </c>
      <c r="I796" s="10">
        <f>CHOOSE(CONTROL!$C$42, 25.8852, 25.8852)* CHOOSE(CONTROL!$C$21, $C$9, 100%, $E$9)</f>
        <v>25.885200000000001</v>
      </c>
      <c r="J796" s="10">
        <f>CHOOSE(CONTROL!$C$42, 25.8882, 25.8882)* CHOOSE(CONTROL!$C$21, $C$9, 100%, $E$9)</f>
        <v>25.888200000000001</v>
      </c>
      <c r="K796" s="54">
        <f>CHOOSE(CONTROL!$C$42, 25.8813, 25.8813) * CHOOSE(CONTROL!$C$21, $C$9, 100%, $E$9)</f>
        <v>25.8813</v>
      </c>
      <c r="L796" s="10">
        <f>CHOOSE(CONTROL!$C$42, 26.7015, 26.7015) * CHOOSE(CONTROL!$C$21, $C$9, 100%, $E$9)</f>
        <v>26.701499999999999</v>
      </c>
      <c r="M796" s="10">
        <f>CHOOSE(CONTROL!$C$42, 25.6408, 25.6408) * CHOOSE(CONTROL!$C$21, $C$9, 100%, $E$9)</f>
        <v>25.640799999999999</v>
      </c>
      <c r="N796" s="10">
        <f>CHOOSE(CONTROL!$C$42, 25.6586, 25.6586) * CHOOSE(CONTROL!$C$21, $C$9, 100%, $E$9)</f>
        <v>25.6586</v>
      </c>
      <c r="O796" s="10">
        <f>CHOOSE(CONTROL!$C$42, 25.8648, 25.8648) * CHOOSE(CONTROL!$C$21, $C$9, 100%, $E$9)</f>
        <v>25.864799999999999</v>
      </c>
      <c r="P796" s="10">
        <f>CHOOSE(CONTROL!$C$42, 25.6378, 25.6378) * CHOOSE(CONTROL!$C$21, $C$9, 100%, $E$9)</f>
        <v>25.637799999999999</v>
      </c>
      <c r="Q796" s="10">
        <f>CHOOSE(CONTROL!$C$42, 26.4601, 26.4601) * CHOOSE(CONTROL!$C$21, $C$9, 100%, $E$9)</f>
        <v>26.460100000000001</v>
      </c>
      <c r="R796" s="10">
        <f>CHOOSE(CONTROL!$C$42, 27.1132, 27.1132) * CHOOSE(CONTROL!$C$21, $C$9, 100%, $E$9)</f>
        <v>27.113199999999999</v>
      </c>
      <c r="S796" s="10">
        <f>CHOOSE(CONTROL!$C$42, 25.1553, 25.1553) * CHOOSE(CONTROL!$C$21, $C$9, 100%, $E$9)</f>
        <v>25.1553</v>
      </c>
      <c r="T796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96" s="58">
        <f>(1000*CHOOSE(CONTROL!$C$42, 695, 695)*CHOOSE(CONTROL!$C$42, 0.5599, 0.5599)*CHOOSE(CONTROL!$C$42, 30, 30))/1000000</f>
        <v>11.673914999999997</v>
      </c>
      <c r="V796" s="58">
        <f>(1000*CHOOSE(CONTROL!$C$42, 500, 500)*CHOOSE(CONTROL!$C$42, 0.275, 0.275)*CHOOSE(CONTROL!$C$42, 30, 30))/1000000</f>
        <v>4.125</v>
      </c>
      <c r="W796" s="58">
        <f>(1000*CHOOSE(CONTROL!$C$42, 0.1146, 0.1146)*CHOOSE(CONTROL!$C$42, 121.5, 121.5)*CHOOSE(CONTROL!$C$42, 30, 30))/1000000</f>
        <v>0.417717</v>
      </c>
      <c r="X796" s="58">
        <f>(30*0.1790888*245000/1000000)+(30*0.2374*100000/1000000)</f>
        <v>2.0285026799999999</v>
      </c>
      <c r="Y796" s="58"/>
      <c r="Z796" s="10"/>
      <c r="AA796" s="57"/>
      <c r="AB796" s="51">
        <f>(B796*141.293+C796*267.993+D796*115.016+E796*89.698+F796*40+G796*185+H796*0+I796*100+J796*300)/(141.293+267.993+115.016+89.698+0+40+185+100+300)</f>
        <v>25.935169466989507</v>
      </c>
      <c r="AC796" s="27">
        <f>(M796*'RAP TEMPLATE-GAS AVAILABILITY'!O795+N796*'RAP TEMPLATE-GAS AVAILABILITY'!P795+O796*'RAP TEMPLATE-GAS AVAILABILITY'!Q795+P796*'RAP TEMPLATE-GAS AVAILABILITY'!R795)/('RAP TEMPLATE-GAS AVAILABILITY'!O795+'RAP TEMPLATE-GAS AVAILABILITY'!P795+'RAP TEMPLATE-GAS AVAILABILITY'!Q795+'RAP TEMPLATE-GAS AVAILABILITY'!R795)</f>
        <v>25.742917985611509</v>
      </c>
    </row>
    <row r="797" spans="1:29" ht="15.75" x14ac:dyDescent="0.25">
      <c r="A797" s="13">
        <v>65531</v>
      </c>
      <c r="B797" s="10">
        <f>CHOOSE(CONTROL!$C$42, 26.1373, 26.1373) * CHOOSE(CONTROL!$C$21, $C$9, 100%, $E$9)</f>
        <v>26.1373</v>
      </c>
      <c r="C797" s="10">
        <f>CHOOSE(CONTROL!$C$42, 26.1452, 26.1452) * CHOOSE(CONTROL!$C$21, $C$9, 100%, $E$9)</f>
        <v>26.145199999999999</v>
      </c>
      <c r="D797" s="10">
        <f>CHOOSE(CONTROL!$C$42, 26.3238, 26.3238) * CHOOSE(CONTROL!$C$21, $C$9, 100%, $E$9)</f>
        <v>26.323799999999999</v>
      </c>
      <c r="E797" s="10">
        <f>CHOOSE(CONTROL!$C$42, 26.3549, 26.3549) * CHOOSE(CONTROL!$C$21, $C$9, 100%, $E$9)</f>
        <v>26.354900000000001</v>
      </c>
      <c r="F797" s="10">
        <f>CHOOSE(CONTROL!$C$42, 26.1235, 26.1235)*CHOOSE(CONTROL!$C$21, $C$9, 100%, $E$9)</f>
        <v>26.1235</v>
      </c>
      <c r="G797" s="10">
        <f>CHOOSE(CONTROL!$C$42, 26.1417, 26.1417)*CHOOSE(CONTROL!$C$21, $C$9, 100%, $E$9)</f>
        <v>26.1417</v>
      </c>
      <c r="H797" s="10">
        <f>CHOOSE(CONTROL!$C$42, 26.3435, 26.3435) * CHOOSE(CONTROL!$C$21, $C$9, 100%, $E$9)</f>
        <v>26.343499999999999</v>
      </c>
      <c r="I797" s="10">
        <f>CHOOSE(CONTROL!$C$42, 26.1142, 26.1142)* CHOOSE(CONTROL!$C$21, $C$9, 100%, $E$9)</f>
        <v>26.1142</v>
      </c>
      <c r="J797" s="10">
        <f>CHOOSE(CONTROL!$C$42, 26.1165, 26.1165)* CHOOSE(CONTROL!$C$21, $C$9, 100%, $E$9)</f>
        <v>26.116499999999998</v>
      </c>
      <c r="K797" s="54">
        <f>CHOOSE(CONTROL!$C$42, 26.1103, 26.1103) * CHOOSE(CONTROL!$C$21, $C$9, 100%, $E$9)</f>
        <v>26.110299999999999</v>
      </c>
      <c r="L797" s="10">
        <f>CHOOSE(CONTROL!$C$42, 26.9305, 26.9305) * CHOOSE(CONTROL!$C$21, $C$9, 100%, $E$9)</f>
        <v>26.930499999999999</v>
      </c>
      <c r="M797" s="10">
        <f>CHOOSE(CONTROL!$C$42, 25.8667, 25.8667) * CHOOSE(CONTROL!$C$21, $C$9, 100%, $E$9)</f>
        <v>25.866700000000002</v>
      </c>
      <c r="N797" s="10">
        <f>CHOOSE(CONTROL!$C$42, 25.8847, 25.8847) * CHOOSE(CONTROL!$C$21, $C$9, 100%, $E$9)</f>
        <v>25.884699999999999</v>
      </c>
      <c r="O797" s="10">
        <f>CHOOSE(CONTROL!$C$42, 26.0915, 26.0915) * CHOOSE(CONTROL!$C$21, $C$9, 100%, $E$9)</f>
        <v>26.0915</v>
      </c>
      <c r="P797" s="10">
        <f>CHOOSE(CONTROL!$C$42, 25.8645, 25.8645) * CHOOSE(CONTROL!$C$21, $C$9, 100%, $E$9)</f>
        <v>25.8645</v>
      </c>
      <c r="Q797" s="10">
        <f>CHOOSE(CONTROL!$C$42, 26.6868, 26.6868) * CHOOSE(CONTROL!$C$21, $C$9, 100%, $E$9)</f>
        <v>26.686800000000002</v>
      </c>
      <c r="R797" s="10">
        <f>CHOOSE(CONTROL!$C$42, 27.3405, 27.3405) * CHOOSE(CONTROL!$C$21, $C$9, 100%, $E$9)</f>
        <v>27.340499999999999</v>
      </c>
      <c r="S797" s="10">
        <f>CHOOSE(CONTROL!$C$42, 25.3777, 25.3777) * CHOOSE(CONTROL!$C$21, $C$9, 100%, $E$9)</f>
        <v>25.377700000000001</v>
      </c>
      <c r="T797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97" s="58">
        <f>(1000*CHOOSE(CONTROL!$C$42, 695, 695)*CHOOSE(CONTROL!$C$42, 0.5599, 0.5599)*CHOOSE(CONTROL!$C$42, 31, 31))/1000000</f>
        <v>12.063045499999998</v>
      </c>
      <c r="V797" s="58">
        <f>(1000*CHOOSE(CONTROL!$C$42, 500, 500)*CHOOSE(CONTROL!$C$42, 0.275, 0.275)*CHOOSE(CONTROL!$C$42, 31, 31))/1000000</f>
        <v>4.2625000000000002</v>
      </c>
      <c r="W797" s="58">
        <f>(1000*CHOOSE(CONTROL!$C$42, 0.1146, 0.1146)*CHOOSE(CONTROL!$C$42, 121.5, 121.5)*CHOOSE(CONTROL!$C$42, 31, 31))/1000000</f>
        <v>0.43164089999999994</v>
      </c>
      <c r="X797" s="58">
        <f>(31*0.1790888*245000/1000000)+(31*0.2374*100000/1000000)</f>
        <v>2.0961194359999999</v>
      </c>
      <c r="Y797" s="58"/>
      <c r="Z797" s="10"/>
      <c r="AA797" s="57"/>
      <c r="AB797" s="51">
        <f>(B797*194.205+C797*267.466+D797*133.845+E797*53.484+F797*40+G797*185+H797*0+I797*100+J797*300)/(194.205+267.466+133.845+53.484+0+40+185+100+300)</f>
        <v>26.161181626609103</v>
      </c>
      <c r="AC797" s="27">
        <f>(M797*'RAP TEMPLATE-GAS AVAILABILITY'!O796+N797*'RAP TEMPLATE-GAS AVAILABILITY'!P796+O797*'RAP TEMPLATE-GAS AVAILABILITY'!Q796+P797*'RAP TEMPLATE-GAS AVAILABILITY'!R796)/('RAP TEMPLATE-GAS AVAILABILITY'!O796+'RAP TEMPLATE-GAS AVAILABILITY'!P796+'RAP TEMPLATE-GAS AVAILABILITY'!Q796+'RAP TEMPLATE-GAS AVAILABILITY'!R796)</f>
        <v>25.969307194244603</v>
      </c>
    </row>
    <row r="798" spans="1:29" ht="15.75" x14ac:dyDescent="0.25">
      <c r="A798" s="13">
        <v>65561</v>
      </c>
      <c r="B798" s="10">
        <f>CHOOSE(CONTROL!$C$42, 26.8786, 26.8786) * CHOOSE(CONTROL!$C$21, $C$9, 100%, $E$9)</f>
        <v>26.878599999999999</v>
      </c>
      <c r="C798" s="10">
        <f>CHOOSE(CONTROL!$C$42, 26.8865, 26.8865) * CHOOSE(CONTROL!$C$21, $C$9, 100%, $E$9)</f>
        <v>26.886500000000002</v>
      </c>
      <c r="D798" s="10">
        <f>CHOOSE(CONTROL!$C$42, 27.065, 27.065) * CHOOSE(CONTROL!$C$21, $C$9, 100%, $E$9)</f>
        <v>27.065000000000001</v>
      </c>
      <c r="E798" s="10">
        <f>CHOOSE(CONTROL!$C$42, 27.0962, 27.0962) * CHOOSE(CONTROL!$C$21, $C$9, 100%, $E$9)</f>
        <v>27.0962</v>
      </c>
      <c r="F798" s="10">
        <f>CHOOSE(CONTROL!$C$42, 26.865, 26.865)*CHOOSE(CONTROL!$C$21, $C$9, 100%, $E$9)</f>
        <v>26.864999999999998</v>
      </c>
      <c r="G798" s="10">
        <f>CHOOSE(CONTROL!$C$42, 26.8832, 26.8832)*CHOOSE(CONTROL!$C$21, $C$9, 100%, $E$9)</f>
        <v>26.883199999999999</v>
      </c>
      <c r="H798" s="10">
        <f>CHOOSE(CONTROL!$C$42, 27.0848, 27.0848) * CHOOSE(CONTROL!$C$21, $C$9, 100%, $E$9)</f>
        <v>27.084800000000001</v>
      </c>
      <c r="I798" s="10">
        <f>CHOOSE(CONTROL!$C$42, 26.8554, 26.8554)* CHOOSE(CONTROL!$C$21, $C$9, 100%, $E$9)</f>
        <v>26.855399999999999</v>
      </c>
      <c r="J798" s="10">
        <f>CHOOSE(CONTROL!$C$42, 26.858, 26.858)* CHOOSE(CONTROL!$C$21, $C$9, 100%, $E$9)</f>
        <v>26.858000000000001</v>
      </c>
      <c r="K798" s="54">
        <f>CHOOSE(CONTROL!$C$42, 26.8515, 26.8515) * CHOOSE(CONTROL!$C$21, $C$9, 100%, $E$9)</f>
        <v>26.851500000000001</v>
      </c>
      <c r="L798" s="10">
        <f>CHOOSE(CONTROL!$C$42, 27.6718, 27.6718) * CHOOSE(CONTROL!$C$21, $C$9, 100%, $E$9)</f>
        <v>27.671800000000001</v>
      </c>
      <c r="M798" s="10">
        <f>CHOOSE(CONTROL!$C$42, 26.6008, 26.6008) * CHOOSE(CONTROL!$C$21, $C$9, 100%, $E$9)</f>
        <v>26.6008</v>
      </c>
      <c r="N798" s="10">
        <f>CHOOSE(CONTROL!$C$42, 26.6188, 26.6188) * CHOOSE(CONTROL!$C$21, $C$9, 100%, $E$9)</f>
        <v>26.6188</v>
      </c>
      <c r="O798" s="10">
        <f>CHOOSE(CONTROL!$C$42, 26.8253, 26.8253) * CHOOSE(CONTROL!$C$21, $C$9, 100%, $E$9)</f>
        <v>26.825299999999999</v>
      </c>
      <c r="P798" s="10">
        <f>CHOOSE(CONTROL!$C$42, 26.5983, 26.5983) * CHOOSE(CONTROL!$C$21, $C$9, 100%, $E$9)</f>
        <v>26.598299999999998</v>
      </c>
      <c r="Q798" s="10">
        <f>CHOOSE(CONTROL!$C$42, 27.4206, 27.4206) * CHOOSE(CONTROL!$C$21, $C$9, 100%, $E$9)</f>
        <v>27.4206</v>
      </c>
      <c r="R798" s="10">
        <f>CHOOSE(CONTROL!$C$42, 28.0761, 28.0761) * CHOOSE(CONTROL!$C$21, $C$9, 100%, $E$9)</f>
        <v>28.0761</v>
      </c>
      <c r="S798" s="10">
        <f>CHOOSE(CONTROL!$C$42, 26.0975, 26.0975) * CHOOSE(CONTROL!$C$21, $C$9, 100%, $E$9)</f>
        <v>26.0975</v>
      </c>
      <c r="T798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98" s="58">
        <f>(1000*CHOOSE(CONTROL!$C$42, 695, 695)*CHOOSE(CONTROL!$C$42, 0.5599, 0.5599)*CHOOSE(CONTROL!$C$42, 30, 30))/1000000</f>
        <v>11.673914999999997</v>
      </c>
      <c r="V798" s="58">
        <f>(1000*CHOOSE(CONTROL!$C$42, 500, 500)*CHOOSE(CONTROL!$C$42, 0.275, 0.275)*CHOOSE(CONTROL!$C$42, 30, 30))/1000000</f>
        <v>4.125</v>
      </c>
      <c r="W798" s="58">
        <f>(1000*CHOOSE(CONTROL!$C$42, 0.1146, 0.1146)*CHOOSE(CONTROL!$C$42, 121.5, 121.5)*CHOOSE(CONTROL!$C$42, 30, 30))/1000000</f>
        <v>0.417717</v>
      </c>
      <c r="X798" s="58">
        <f>(30*0.1790888*245000/1000000)+(30*0.2374*100000/1000000)</f>
        <v>2.0285026799999999</v>
      </c>
      <c r="Y798" s="58"/>
      <c r="Z798" s="10"/>
      <c r="AA798" s="57"/>
      <c r="AB798" s="51">
        <f>(B798*194.205+C798*267.466+D798*133.845+E798*53.484+F798*40+G798*185+H798*0+I798*100+J798*300)/(194.205+267.466+133.845+53.484+0+40+185+100+300)</f>
        <v>26.902545689010992</v>
      </c>
      <c r="AC798" s="27">
        <f>(M798*'RAP TEMPLATE-GAS AVAILABILITY'!O797+N798*'RAP TEMPLATE-GAS AVAILABILITY'!P797+O798*'RAP TEMPLATE-GAS AVAILABILITY'!Q797+P798*'RAP TEMPLATE-GAS AVAILABILITY'!R797)/('RAP TEMPLATE-GAS AVAILABILITY'!O797+'RAP TEMPLATE-GAS AVAILABILITY'!P797+'RAP TEMPLATE-GAS AVAILABILITY'!Q797+'RAP TEMPLATE-GAS AVAILABILITY'!R797)</f>
        <v>26.703228057553954</v>
      </c>
    </row>
    <row r="799" spans="1:29" ht="15.75" x14ac:dyDescent="0.25">
      <c r="A799" s="13">
        <v>65592</v>
      </c>
      <c r="B799" s="10">
        <f>CHOOSE(CONTROL!$C$42, 26.363, 26.363) * CHOOSE(CONTROL!$C$21, $C$9, 100%, $E$9)</f>
        <v>26.363</v>
      </c>
      <c r="C799" s="10">
        <f>CHOOSE(CONTROL!$C$42, 26.3709, 26.3709) * CHOOSE(CONTROL!$C$21, $C$9, 100%, $E$9)</f>
        <v>26.370899999999999</v>
      </c>
      <c r="D799" s="10">
        <f>CHOOSE(CONTROL!$C$42, 26.5495, 26.5495) * CHOOSE(CONTROL!$C$21, $C$9, 100%, $E$9)</f>
        <v>26.549499999999998</v>
      </c>
      <c r="E799" s="10">
        <f>CHOOSE(CONTROL!$C$42, 26.5806, 26.5806) * CHOOSE(CONTROL!$C$21, $C$9, 100%, $E$9)</f>
        <v>26.5806</v>
      </c>
      <c r="F799" s="10">
        <f>CHOOSE(CONTROL!$C$42, 26.3497, 26.3497)*CHOOSE(CONTROL!$C$21, $C$9, 100%, $E$9)</f>
        <v>26.349699999999999</v>
      </c>
      <c r="G799" s="10">
        <f>CHOOSE(CONTROL!$C$42, 26.368, 26.368)*CHOOSE(CONTROL!$C$21, $C$9, 100%, $E$9)</f>
        <v>26.367999999999999</v>
      </c>
      <c r="H799" s="10">
        <f>CHOOSE(CONTROL!$C$42, 26.5692, 26.5692) * CHOOSE(CONTROL!$C$21, $C$9, 100%, $E$9)</f>
        <v>26.569199999999999</v>
      </c>
      <c r="I799" s="10">
        <f>CHOOSE(CONTROL!$C$42, 26.3399, 26.3399)* CHOOSE(CONTROL!$C$21, $C$9, 100%, $E$9)</f>
        <v>26.3399</v>
      </c>
      <c r="J799" s="10">
        <f>CHOOSE(CONTROL!$C$42, 26.3427, 26.3427)* CHOOSE(CONTROL!$C$21, $C$9, 100%, $E$9)</f>
        <v>26.342700000000001</v>
      </c>
      <c r="K799" s="54">
        <f>CHOOSE(CONTROL!$C$42, 26.336, 26.336) * CHOOSE(CONTROL!$C$21, $C$9, 100%, $E$9)</f>
        <v>26.335999999999999</v>
      </c>
      <c r="L799" s="10">
        <f>CHOOSE(CONTROL!$C$42, 27.1562, 27.1562) * CHOOSE(CONTROL!$C$21, $C$9, 100%, $E$9)</f>
        <v>27.156199999999998</v>
      </c>
      <c r="M799" s="10">
        <f>CHOOSE(CONTROL!$C$42, 26.0907, 26.0907) * CHOOSE(CONTROL!$C$21, $C$9, 100%, $E$9)</f>
        <v>26.090699999999998</v>
      </c>
      <c r="N799" s="10">
        <f>CHOOSE(CONTROL!$C$42, 26.1088, 26.1088) * CHOOSE(CONTROL!$C$21, $C$9, 100%, $E$9)</f>
        <v>26.108799999999999</v>
      </c>
      <c r="O799" s="10">
        <f>CHOOSE(CONTROL!$C$42, 26.3149, 26.3149) * CHOOSE(CONTROL!$C$21, $C$9, 100%, $E$9)</f>
        <v>26.314900000000002</v>
      </c>
      <c r="P799" s="10">
        <f>CHOOSE(CONTROL!$C$42, 26.0879, 26.0879) * CHOOSE(CONTROL!$C$21, $C$9, 100%, $E$9)</f>
        <v>26.087900000000001</v>
      </c>
      <c r="Q799" s="10">
        <f>CHOOSE(CONTROL!$C$42, 26.9102, 26.9102) * CHOOSE(CONTROL!$C$21, $C$9, 100%, $E$9)</f>
        <v>26.9102</v>
      </c>
      <c r="R799" s="10">
        <f>CHOOSE(CONTROL!$C$42, 27.5645, 27.5645) * CHOOSE(CONTROL!$C$21, $C$9, 100%, $E$9)</f>
        <v>27.564499999999999</v>
      </c>
      <c r="S799" s="10">
        <f>CHOOSE(CONTROL!$C$42, 25.5969, 25.5969) * CHOOSE(CONTROL!$C$21, $C$9, 100%, $E$9)</f>
        <v>25.596900000000002</v>
      </c>
      <c r="T799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99" s="58">
        <f>(1000*CHOOSE(CONTROL!$C$42, 695, 695)*CHOOSE(CONTROL!$C$42, 0.5599, 0.5599)*CHOOSE(CONTROL!$C$42, 31, 31))/1000000</f>
        <v>12.063045499999998</v>
      </c>
      <c r="V799" s="58">
        <f>(1000*CHOOSE(CONTROL!$C$42, 500, 500)*CHOOSE(CONTROL!$C$42, 0.275, 0.275)*CHOOSE(CONTROL!$C$42, 31, 31))/1000000</f>
        <v>4.2625000000000002</v>
      </c>
      <c r="W799" s="58">
        <f>(1000*CHOOSE(CONTROL!$C$42, 0.1146, 0.1146)*CHOOSE(CONTROL!$C$42, 121.5, 121.5)*CHOOSE(CONTROL!$C$42, 31, 31))/1000000</f>
        <v>0.43164089999999994</v>
      </c>
      <c r="X799" s="58">
        <f>(31*0.1790888*245000/1000000)+(31*0.2374*100000/1000000)</f>
        <v>2.0961194359999999</v>
      </c>
      <c r="Y799" s="58"/>
      <c r="Z799" s="10"/>
      <c r="AA799" s="57"/>
      <c r="AB799" s="51">
        <f>(B799*194.205+C799*267.466+D799*133.845+E799*53.484+F799*40+G799*185+H799*0+I799*100+J799*300)/(194.205+267.466+133.845+53.484+0+40+185+100+300)</f>
        <v>26.387102191758242</v>
      </c>
      <c r="AC799" s="27">
        <f>(M799*'RAP TEMPLATE-GAS AVAILABILITY'!O798+N799*'RAP TEMPLATE-GAS AVAILABILITY'!P798+O799*'RAP TEMPLATE-GAS AVAILABILITY'!Q798+P799*'RAP TEMPLATE-GAS AVAILABILITY'!R798)/('RAP TEMPLATE-GAS AVAILABILITY'!O798+'RAP TEMPLATE-GAS AVAILABILITY'!P798+'RAP TEMPLATE-GAS AVAILABILITY'!Q798+'RAP TEMPLATE-GAS AVAILABILITY'!R798)</f>
        <v>26.192954676258996</v>
      </c>
    </row>
    <row r="800" spans="1:29" ht="15.75" x14ac:dyDescent="0.25">
      <c r="A800" s="13">
        <v>65623</v>
      </c>
      <c r="B800" s="10">
        <f>CHOOSE(CONTROL!$C$42, 25.0611, 25.0611) * CHOOSE(CONTROL!$C$21, $C$9, 100%, $E$9)</f>
        <v>25.0611</v>
      </c>
      <c r="C800" s="10">
        <f>CHOOSE(CONTROL!$C$42, 25.069, 25.069) * CHOOSE(CONTROL!$C$21, $C$9, 100%, $E$9)</f>
        <v>25.068999999999999</v>
      </c>
      <c r="D800" s="10">
        <f>CHOOSE(CONTROL!$C$42, 25.2475, 25.2475) * CHOOSE(CONTROL!$C$21, $C$9, 100%, $E$9)</f>
        <v>25.247499999999999</v>
      </c>
      <c r="E800" s="10">
        <f>CHOOSE(CONTROL!$C$42, 25.2787, 25.2787) * CHOOSE(CONTROL!$C$21, $C$9, 100%, $E$9)</f>
        <v>25.278700000000001</v>
      </c>
      <c r="F800" s="10">
        <f>CHOOSE(CONTROL!$C$42, 25.0477, 25.0477)*CHOOSE(CONTROL!$C$21, $C$9, 100%, $E$9)</f>
        <v>25.047699999999999</v>
      </c>
      <c r="G800" s="10">
        <f>CHOOSE(CONTROL!$C$42, 25.066, 25.066)*CHOOSE(CONTROL!$C$21, $C$9, 100%, $E$9)</f>
        <v>25.065999999999999</v>
      </c>
      <c r="H800" s="10">
        <f>CHOOSE(CONTROL!$C$42, 25.2673, 25.2673) * CHOOSE(CONTROL!$C$21, $C$9, 100%, $E$9)</f>
        <v>25.267299999999999</v>
      </c>
      <c r="I800" s="10">
        <f>CHOOSE(CONTROL!$C$42, 25.0379, 25.0379)* CHOOSE(CONTROL!$C$21, $C$9, 100%, $E$9)</f>
        <v>25.0379</v>
      </c>
      <c r="J800" s="10">
        <f>CHOOSE(CONTROL!$C$42, 25.0407, 25.0407)* CHOOSE(CONTROL!$C$21, $C$9, 100%, $E$9)</f>
        <v>25.040700000000001</v>
      </c>
      <c r="K800" s="54">
        <f>CHOOSE(CONTROL!$C$42, 25.0341, 25.0341) * CHOOSE(CONTROL!$C$21, $C$9, 100%, $E$9)</f>
        <v>25.034099999999999</v>
      </c>
      <c r="L800" s="10">
        <f>CHOOSE(CONTROL!$C$42, 25.8543, 25.8543) * CHOOSE(CONTROL!$C$21, $C$9, 100%, $E$9)</f>
        <v>25.854299999999999</v>
      </c>
      <c r="M800" s="10">
        <f>CHOOSE(CONTROL!$C$42, 24.8018, 24.8018) * CHOOSE(CONTROL!$C$21, $C$9, 100%, $E$9)</f>
        <v>24.8018</v>
      </c>
      <c r="N800" s="10">
        <f>CHOOSE(CONTROL!$C$42, 24.82, 24.82) * CHOOSE(CONTROL!$C$21, $C$9, 100%, $E$9)</f>
        <v>24.82</v>
      </c>
      <c r="O800" s="10">
        <f>CHOOSE(CONTROL!$C$42, 25.0261, 25.0261) * CHOOSE(CONTROL!$C$21, $C$9, 100%, $E$9)</f>
        <v>25.0261</v>
      </c>
      <c r="P800" s="10">
        <f>CHOOSE(CONTROL!$C$42, 24.7991, 24.7991) * CHOOSE(CONTROL!$C$21, $C$9, 100%, $E$9)</f>
        <v>24.799099999999999</v>
      </c>
      <c r="Q800" s="10">
        <f>CHOOSE(CONTROL!$C$42, 25.6214, 25.6214) * CHOOSE(CONTROL!$C$21, $C$9, 100%, $E$9)</f>
        <v>25.621400000000001</v>
      </c>
      <c r="R800" s="10">
        <f>CHOOSE(CONTROL!$C$42, 26.2725, 26.2725) * CHOOSE(CONTROL!$C$21, $C$9, 100%, $E$9)</f>
        <v>26.272500000000001</v>
      </c>
      <c r="S800" s="10">
        <f>CHOOSE(CONTROL!$C$42, 24.3326, 24.3326) * CHOOSE(CONTROL!$C$21, $C$9, 100%, $E$9)</f>
        <v>24.332599999999999</v>
      </c>
      <c r="T800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00" s="58">
        <f>(1000*CHOOSE(CONTROL!$C$42, 695, 695)*CHOOSE(CONTROL!$C$42, 0.5599, 0.5599)*CHOOSE(CONTROL!$C$42, 31, 31))/1000000</f>
        <v>12.063045499999998</v>
      </c>
      <c r="V800" s="58">
        <f>(1000*CHOOSE(CONTROL!$C$42, 500, 500)*CHOOSE(CONTROL!$C$42, 0.275, 0.275)*CHOOSE(CONTROL!$C$42, 31, 31))/1000000</f>
        <v>4.2625000000000002</v>
      </c>
      <c r="W800" s="58">
        <f>(1000*CHOOSE(CONTROL!$C$42, 0.1146, 0.1146)*CHOOSE(CONTROL!$C$42, 121.5, 121.5)*CHOOSE(CONTROL!$C$42, 31, 31))/1000000</f>
        <v>0.43164089999999994</v>
      </c>
      <c r="X800" s="58">
        <f>(31*0.1790888*245000/1000000)+(31*0.2374*100000/1000000)</f>
        <v>2.0961194359999999</v>
      </c>
      <c r="Y800" s="58"/>
      <c r="Z800" s="10"/>
      <c r="AA800" s="57"/>
      <c r="AB800" s="51">
        <f>(B800*194.205+C800*267.466+D800*133.845+E800*53.484+F800*40+G800*185+H800*0+I800*100+J800*300)/(194.205+267.466+133.845+53.484+0+40+185+100+300)</f>
        <v>25.0851426277865</v>
      </c>
      <c r="AC800" s="27">
        <f>(M800*'RAP TEMPLATE-GAS AVAILABILITY'!O799+N800*'RAP TEMPLATE-GAS AVAILABILITY'!P799+O800*'RAP TEMPLATE-GAS AVAILABILITY'!Q799+P800*'RAP TEMPLATE-GAS AVAILABILITY'!R799)/('RAP TEMPLATE-GAS AVAILABILITY'!O799+'RAP TEMPLATE-GAS AVAILABILITY'!P799+'RAP TEMPLATE-GAS AVAILABILITY'!Q799+'RAP TEMPLATE-GAS AVAILABILITY'!R799)</f>
        <v>24.904120143884892</v>
      </c>
    </row>
    <row r="801" spans="1:29" ht="15.75" x14ac:dyDescent="0.25">
      <c r="A801" s="13">
        <v>65653</v>
      </c>
      <c r="B801" s="10">
        <f>CHOOSE(CONTROL!$C$42, 23.4704, 23.4704) * CHOOSE(CONTROL!$C$21, $C$9, 100%, $E$9)</f>
        <v>23.470400000000001</v>
      </c>
      <c r="C801" s="10">
        <f>CHOOSE(CONTROL!$C$42, 23.4783, 23.4783) * CHOOSE(CONTROL!$C$21, $C$9, 100%, $E$9)</f>
        <v>23.478300000000001</v>
      </c>
      <c r="D801" s="10">
        <f>CHOOSE(CONTROL!$C$42, 23.6568, 23.6568) * CHOOSE(CONTROL!$C$21, $C$9, 100%, $E$9)</f>
        <v>23.6568</v>
      </c>
      <c r="E801" s="10">
        <f>CHOOSE(CONTROL!$C$42, 23.6879, 23.6879) * CHOOSE(CONTROL!$C$21, $C$9, 100%, $E$9)</f>
        <v>23.687899999999999</v>
      </c>
      <c r="F801" s="10">
        <f>CHOOSE(CONTROL!$C$42, 23.4567, 23.4567)*CHOOSE(CONTROL!$C$21, $C$9, 100%, $E$9)</f>
        <v>23.456700000000001</v>
      </c>
      <c r="G801" s="10">
        <f>CHOOSE(CONTROL!$C$42, 23.4749, 23.4749)*CHOOSE(CONTROL!$C$21, $C$9, 100%, $E$9)</f>
        <v>23.474900000000002</v>
      </c>
      <c r="H801" s="10">
        <f>CHOOSE(CONTROL!$C$42, 23.6766, 23.6766) * CHOOSE(CONTROL!$C$21, $C$9, 100%, $E$9)</f>
        <v>23.676600000000001</v>
      </c>
      <c r="I801" s="10">
        <f>CHOOSE(CONTROL!$C$42, 23.4472, 23.4472)* CHOOSE(CONTROL!$C$21, $C$9, 100%, $E$9)</f>
        <v>23.447199999999999</v>
      </c>
      <c r="J801" s="10">
        <f>CHOOSE(CONTROL!$C$42, 23.4497, 23.4497)* CHOOSE(CONTROL!$C$21, $C$9, 100%, $E$9)</f>
        <v>23.4497</v>
      </c>
      <c r="K801" s="54">
        <f>CHOOSE(CONTROL!$C$42, 23.4433, 23.4433) * CHOOSE(CONTROL!$C$21, $C$9, 100%, $E$9)</f>
        <v>23.443300000000001</v>
      </c>
      <c r="L801" s="10">
        <f>CHOOSE(CONTROL!$C$42, 24.2636, 24.2636) * CHOOSE(CONTROL!$C$21, $C$9, 100%, $E$9)</f>
        <v>24.2636</v>
      </c>
      <c r="M801" s="10">
        <f>CHOOSE(CONTROL!$C$42, 23.2269, 23.2269) * CHOOSE(CONTROL!$C$21, $C$9, 100%, $E$9)</f>
        <v>23.226900000000001</v>
      </c>
      <c r="N801" s="10">
        <f>CHOOSE(CONTROL!$C$42, 23.2449, 23.2449) * CHOOSE(CONTROL!$C$21, $C$9, 100%, $E$9)</f>
        <v>23.244900000000001</v>
      </c>
      <c r="O801" s="10">
        <f>CHOOSE(CONTROL!$C$42, 23.4515, 23.4515) * CHOOSE(CONTROL!$C$21, $C$9, 100%, $E$9)</f>
        <v>23.451499999999999</v>
      </c>
      <c r="P801" s="10">
        <f>CHOOSE(CONTROL!$C$42, 23.2245, 23.2245) * CHOOSE(CONTROL!$C$21, $C$9, 100%, $E$9)</f>
        <v>23.224499999999999</v>
      </c>
      <c r="Q801" s="10">
        <f>CHOOSE(CONTROL!$C$42, 24.0468, 24.0468) * CHOOSE(CONTROL!$C$21, $C$9, 100%, $E$9)</f>
        <v>24.046800000000001</v>
      </c>
      <c r="R801" s="10">
        <f>CHOOSE(CONTROL!$C$42, 24.6939, 24.6939) * CHOOSE(CONTROL!$C$21, $C$9, 100%, $E$9)</f>
        <v>24.693899999999999</v>
      </c>
      <c r="S801" s="10">
        <f>CHOOSE(CONTROL!$C$42, 22.7878, 22.7878) * CHOOSE(CONTROL!$C$21, $C$9, 100%, $E$9)</f>
        <v>22.787800000000001</v>
      </c>
      <c r="T801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01" s="58">
        <f>(1000*CHOOSE(CONTROL!$C$42, 695, 695)*CHOOSE(CONTROL!$C$42, 0.5599, 0.5599)*CHOOSE(CONTROL!$C$42, 30, 30))/1000000</f>
        <v>11.673914999999997</v>
      </c>
      <c r="V801" s="58">
        <f>(1000*CHOOSE(CONTROL!$C$42, 500, 500)*CHOOSE(CONTROL!$C$42, 0.275, 0.275)*CHOOSE(CONTROL!$C$42, 30, 30))/1000000</f>
        <v>4.125</v>
      </c>
      <c r="W801" s="58">
        <f>(1000*CHOOSE(CONTROL!$C$42, 0.1146, 0.1146)*CHOOSE(CONTROL!$C$42, 121.5, 121.5)*CHOOSE(CONTROL!$C$42, 30, 30))/1000000</f>
        <v>0.417717</v>
      </c>
      <c r="X801" s="58">
        <f>(30*0.1790888*245000/1000000)+(30*0.2374*100000/1000000)</f>
        <v>2.0285026799999999</v>
      </c>
      <c r="Y801" s="58"/>
      <c r="Z801" s="10"/>
      <c r="AA801" s="57"/>
      <c r="AB801" s="51">
        <f>(B801*194.205+C801*267.466+D801*133.845+E801*53.484+F801*40+G801*185+H801*0+I801*100+J801*300)/(194.205+267.466+133.845+53.484+0+40+185+100+300)</f>
        <v>23.494300282103612</v>
      </c>
      <c r="AC801" s="27">
        <f>(M801*'RAP TEMPLATE-GAS AVAILABILITY'!O800+N801*'RAP TEMPLATE-GAS AVAILABILITY'!P800+O801*'RAP TEMPLATE-GAS AVAILABILITY'!Q800+P801*'RAP TEMPLATE-GAS AVAILABILITY'!R800)/('RAP TEMPLATE-GAS AVAILABILITY'!O800+'RAP TEMPLATE-GAS AVAILABILITY'!P800+'RAP TEMPLATE-GAS AVAILABILITY'!Q800+'RAP TEMPLATE-GAS AVAILABILITY'!R800)</f>
        <v>23.329387769784173</v>
      </c>
    </row>
    <row r="802" spans="1:29" ht="15.75" x14ac:dyDescent="0.25">
      <c r="A802" s="13">
        <v>65684</v>
      </c>
      <c r="B802" s="10">
        <f>CHOOSE(CONTROL!$C$42, 22.9918, 22.9918) * CHOOSE(CONTROL!$C$21, $C$9, 100%, $E$9)</f>
        <v>22.991800000000001</v>
      </c>
      <c r="C802" s="10">
        <f>CHOOSE(CONTROL!$C$42, 22.997, 22.997) * CHOOSE(CONTROL!$C$21, $C$9, 100%, $E$9)</f>
        <v>22.997</v>
      </c>
      <c r="D802" s="10">
        <f>CHOOSE(CONTROL!$C$42, 23.1805, 23.1805) * CHOOSE(CONTROL!$C$21, $C$9, 100%, $E$9)</f>
        <v>23.180499999999999</v>
      </c>
      <c r="E802" s="10">
        <f>CHOOSE(CONTROL!$C$42, 23.2093, 23.2093) * CHOOSE(CONTROL!$C$21, $C$9, 100%, $E$9)</f>
        <v>23.209299999999999</v>
      </c>
      <c r="F802" s="10">
        <f>CHOOSE(CONTROL!$C$42, 22.9801, 22.9801)*CHOOSE(CONTROL!$C$21, $C$9, 100%, $E$9)</f>
        <v>22.9801</v>
      </c>
      <c r="G802" s="10">
        <f>CHOOSE(CONTROL!$C$42, 22.998, 22.998)*CHOOSE(CONTROL!$C$21, $C$9, 100%, $E$9)</f>
        <v>22.998000000000001</v>
      </c>
      <c r="H802" s="10">
        <f>CHOOSE(CONTROL!$C$42, 23.1998, 23.1998) * CHOOSE(CONTROL!$C$21, $C$9, 100%, $E$9)</f>
        <v>23.1998</v>
      </c>
      <c r="I802" s="10">
        <f>CHOOSE(CONTROL!$C$42, 22.9704, 22.9704)* CHOOSE(CONTROL!$C$21, $C$9, 100%, $E$9)</f>
        <v>22.970400000000001</v>
      </c>
      <c r="J802" s="10">
        <f>CHOOSE(CONTROL!$C$42, 22.9731, 22.9731)* CHOOSE(CONTROL!$C$21, $C$9, 100%, $E$9)</f>
        <v>22.973099999999999</v>
      </c>
      <c r="K802" s="54">
        <f>CHOOSE(CONTROL!$C$42, 22.9665, 22.9665) * CHOOSE(CONTROL!$C$21, $C$9, 100%, $E$9)</f>
        <v>22.9665</v>
      </c>
      <c r="L802" s="10">
        <f>CHOOSE(CONTROL!$C$42, 23.7868, 23.7868) * CHOOSE(CONTROL!$C$21, $C$9, 100%, $E$9)</f>
        <v>23.786799999999999</v>
      </c>
      <c r="M802" s="10">
        <f>CHOOSE(CONTROL!$C$42, 22.7551, 22.7551) * CHOOSE(CONTROL!$C$21, $C$9, 100%, $E$9)</f>
        <v>22.755099999999999</v>
      </c>
      <c r="N802" s="10">
        <f>CHOOSE(CONTROL!$C$42, 22.7728, 22.7728) * CHOOSE(CONTROL!$C$21, $C$9, 100%, $E$9)</f>
        <v>22.7728</v>
      </c>
      <c r="O802" s="10">
        <f>CHOOSE(CONTROL!$C$42, 22.9795, 22.9795) * CHOOSE(CONTROL!$C$21, $C$9, 100%, $E$9)</f>
        <v>22.979500000000002</v>
      </c>
      <c r="P802" s="10">
        <f>CHOOSE(CONTROL!$C$42, 22.7525, 22.7525) * CHOOSE(CONTROL!$C$21, $C$9, 100%, $E$9)</f>
        <v>22.752500000000001</v>
      </c>
      <c r="Q802" s="10">
        <f>CHOOSE(CONTROL!$C$42, 23.5748, 23.5748) * CHOOSE(CONTROL!$C$21, $C$9, 100%, $E$9)</f>
        <v>23.5748</v>
      </c>
      <c r="R802" s="10">
        <f>CHOOSE(CONTROL!$C$42, 24.2207, 24.2207) * CHOOSE(CONTROL!$C$21, $C$9, 100%, $E$9)</f>
        <v>24.220700000000001</v>
      </c>
      <c r="S802" s="10">
        <f>CHOOSE(CONTROL!$C$42, 22.3248, 22.3248) * CHOOSE(CONTROL!$C$21, $C$9, 100%, $E$9)</f>
        <v>22.3248</v>
      </c>
      <c r="T802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02" s="58">
        <f>(1000*CHOOSE(CONTROL!$C$42, 695, 695)*CHOOSE(CONTROL!$C$42, 0.5599, 0.5599)*CHOOSE(CONTROL!$C$42, 31, 31))/1000000</f>
        <v>12.063045499999998</v>
      </c>
      <c r="V802" s="58">
        <f>(1000*CHOOSE(CONTROL!$C$42, 500, 500)*CHOOSE(CONTROL!$C$42, 0.275, 0.275)*CHOOSE(CONTROL!$C$42, 31, 31))/1000000</f>
        <v>4.2625000000000002</v>
      </c>
      <c r="W802" s="58">
        <f>(1000*CHOOSE(CONTROL!$C$42, 0.1146, 0.1146)*CHOOSE(CONTROL!$C$42, 121.5, 121.5)*CHOOSE(CONTROL!$C$42, 31, 31))/1000000</f>
        <v>0.43164089999999994</v>
      </c>
      <c r="X802" s="58">
        <f>(31*0.1790888*245000/1000000)+(31*0.2374*100000/1000000)</f>
        <v>2.0961194359999999</v>
      </c>
      <c r="Y802" s="58"/>
      <c r="Z802" s="10"/>
      <c r="AA802" s="57"/>
      <c r="AB802" s="51">
        <f>(B802*131.881+C802*277.167+D802*79.08+E802*125.872+F802*40+G802*185+H802*0+I802*100+J802*300)/(131.881+277.167+79.08+125.872+0+40+185+100+300)</f>
        <v>23.021396307021792</v>
      </c>
      <c r="AC802" s="27">
        <f>(M802*'RAP TEMPLATE-GAS AVAILABILITY'!O801+N802*'RAP TEMPLATE-GAS AVAILABILITY'!P801+O802*'RAP TEMPLATE-GAS AVAILABILITY'!Q801+P802*'RAP TEMPLATE-GAS AVAILABILITY'!R801)/('RAP TEMPLATE-GAS AVAILABILITY'!O801+'RAP TEMPLATE-GAS AVAILABILITY'!P801+'RAP TEMPLATE-GAS AVAILABILITY'!Q801+'RAP TEMPLATE-GAS AVAILABILITY'!R801)</f>
        <v>22.857451079136695</v>
      </c>
    </row>
    <row r="803" spans="1:29" ht="15.75" x14ac:dyDescent="0.25">
      <c r="A803" s="13">
        <v>65714</v>
      </c>
      <c r="B803" s="10">
        <f>CHOOSE(CONTROL!$C$42, 23.597, 23.597) * CHOOSE(CONTROL!$C$21, $C$9, 100%, $E$9)</f>
        <v>23.597000000000001</v>
      </c>
      <c r="C803" s="10">
        <f>CHOOSE(CONTROL!$C$42, 23.6019, 23.6019) * CHOOSE(CONTROL!$C$21, $C$9, 100%, $E$9)</f>
        <v>23.601900000000001</v>
      </c>
      <c r="D803" s="10">
        <f>CHOOSE(CONTROL!$C$42, 23.6315, 23.6315) * CHOOSE(CONTROL!$C$21, $C$9, 100%, $E$9)</f>
        <v>23.631499999999999</v>
      </c>
      <c r="E803" s="10">
        <f>CHOOSE(CONTROL!$C$42, 23.6653, 23.6653) * CHOOSE(CONTROL!$C$21, $C$9, 100%, $E$9)</f>
        <v>23.665299999999998</v>
      </c>
      <c r="F803" s="10">
        <f>CHOOSE(CONTROL!$C$42, 23.5827, 23.5827)*CHOOSE(CONTROL!$C$21, $C$9, 100%, $E$9)</f>
        <v>23.582699999999999</v>
      </c>
      <c r="G803" s="10">
        <f>CHOOSE(CONTROL!$C$42, 23.6008, 23.6008)*CHOOSE(CONTROL!$C$21, $C$9, 100%, $E$9)</f>
        <v>23.6008</v>
      </c>
      <c r="H803" s="10">
        <f>CHOOSE(CONTROL!$C$42, 23.6545, 23.6545) * CHOOSE(CONTROL!$C$21, $C$9, 100%, $E$9)</f>
        <v>23.654499999999999</v>
      </c>
      <c r="I803" s="10">
        <f>CHOOSE(CONTROL!$C$42, 23.5632, 23.5632)* CHOOSE(CONTROL!$C$21, $C$9, 100%, $E$9)</f>
        <v>23.563199999999998</v>
      </c>
      <c r="J803" s="10">
        <f>CHOOSE(CONTROL!$C$42, 23.5757, 23.5757)* CHOOSE(CONTROL!$C$21, $C$9, 100%, $E$9)</f>
        <v>23.575700000000001</v>
      </c>
      <c r="K803" s="54">
        <f>CHOOSE(CONTROL!$C$42, 23.5593, 23.5593) * CHOOSE(CONTROL!$C$21, $C$9, 100%, $E$9)</f>
        <v>23.5593</v>
      </c>
      <c r="L803" s="10">
        <f>CHOOSE(CONTROL!$C$42, 24.2415, 24.2415) * CHOOSE(CONTROL!$C$21, $C$9, 100%, $E$9)</f>
        <v>24.241499999999998</v>
      </c>
      <c r="M803" s="10">
        <f>CHOOSE(CONTROL!$C$42, 23.3516, 23.3516) * CHOOSE(CONTROL!$C$21, $C$9, 100%, $E$9)</f>
        <v>23.351600000000001</v>
      </c>
      <c r="N803" s="10">
        <f>CHOOSE(CONTROL!$C$42, 23.3695, 23.3695) * CHOOSE(CONTROL!$C$21, $C$9, 100%, $E$9)</f>
        <v>23.369499999999999</v>
      </c>
      <c r="O803" s="10">
        <f>CHOOSE(CONTROL!$C$42, 23.4296, 23.4296) * CHOOSE(CONTROL!$C$21, $C$9, 100%, $E$9)</f>
        <v>23.429600000000001</v>
      </c>
      <c r="P803" s="10">
        <f>CHOOSE(CONTROL!$C$42, 23.3392, 23.3392) * CHOOSE(CONTROL!$C$21, $C$9, 100%, $E$9)</f>
        <v>23.339200000000002</v>
      </c>
      <c r="Q803" s="10">
        <f>CHOOSE(CONTROL!$C$42, 24.0249, 24.0249) * CHOOSE(CONTROL!$C$21, $C$9, 100%, $E$9)</f>
        <v>24.024899999999999</v>
      </c>
      <c r="R803" s="10">
        <f>CHOOSE(CONTROL!$C$42, 24.672, 24.672) * CHOOSE(CONTROL!$C$21, $C$9, 100%, $E$9)</f>
        <v>24.672000000000001</v>
      </c>
      <c r="S803" s="10">
        <f>CHOOSE(CONTROL!$C$42, 22.9129, 22.9129) * CHOOSE(CONTROL!$C$21, $C$9, 100%, $E$9)</f>
        <v>22.9129</v>
      </c>
      <c r="T803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03" s="58">
        <f>(1000*CHOOSE(CONTROL!$C$42, 695, 695)*CHOOSE(CONTROL!$C$42, 0.5599, 0.5599)*CHOOSE(CONTROL!$C$42, 30, 30))/1000000</f>
        <v>11.673914999999997</v>
      </c>
      <c r="V803" s="58">
        <f>(1000*CHOOSE(CONTROL!$C$42, 500, 500)*CHOOSE(CONTROL!$C$42, 0.275, 0.275)*CHOOSE(CONTROL!$C$42, 30, 30))/1000000</f>
        <v>4.125</v>
      </c>
      <c r="W803" s="58">
        <f>(1000*CHOOSE(CONTROL!$C$42, 0.1146, 0.1146)*CHOOSE(CONTROL!$C$42, 121.5, 121.5)*CHOOSE(CONTROL!$C$42, 30, 30))/1000000</f>
        <v>0.417717</v>
      </c>
      <c r="X803" s="58">
        <f>(30*0.1790888*100000/1000000)+(30*0.2374*100000/1000000)</f>
        <v>1.2494664</v>
      </c>
      <c r="Y803" s="58"/>
      <c r="Z803" s="10"/>
      <c r="AA803" s="57"/>
      <c r="AB803" s="51">
        <f>(B803*122.58+C803*297.941+D803*89.177+E803*40.302+F803*40+G803*160+H803*0+I803*100+J803*300)/(122.58+297.941+89.177+40.302+0+40+160+100+300)</f>
        <v>23.594874038260869</v>
      </c>
      <c r="AC803" s="27">
        <f>(M803*'RAP TEMPLATE-GAS AVAILABILITY'!O802+N803*'RAP TEMPLATE-GAS AVAILABILITY'!P802+O803*'RAP TEMPLATE-GAS AVAILABILITY'!Q802+P803*'RAP TEMPLATE-GAS AVAILABILITY'!R802)/('RAP TEMPLATE-GAS AVAILABILITY'!O802+'RAP TEMPLATE-GAS AVAILABILITY'!P802+'RAP TEMPLATE-GAS AVAILABILITY'!Q802+'RAP TEMPLATE-GAS AVAILABILITY'!R802)</f>
        <v>23.38619856115108</v>
      </c>
    </row>
    <row r="804" spans="1:29" ht="15.75" x14ac:dyDescent="0.25">
      <c r="A804" s="13">
        <v>65745</v>
      </c>
      <c r="B804" s="10">
        <f>CHOOSE(CONTROL!$C$42, 25.2056, 25.2056) * CHOOSE(CONTROL!$C$21, $C$9, 100%, $E$9)</f>
        <v>25.2056</v>
      </c>
      <c r="C804" s="10">
        <f>CHOOSE(CONTROL!$C$42, 25.2106, 25.2106) * CHOOSE(CONTROL!$C$21, $C$9, 100%, $E$9)</f>
        <v>25.210599999999999</v>
      </c>
      <c r="D804" s="10">
        <f>CHOOSE(CONTROL!$C$42, 25.2402, 25.2402) * CHOOSE(CONTROL!$C$21, $C$9, 100%, $E$9)</f>
        <v>25.240200000000002</v>
      </c>
      <c r="E804" s="10">
        <f>CHOOSE(CONTROL!$C$42, 25.2739, 25.2739) * CHOOSE(CONTROL!$C$21, $C$9, 100%, $E$9)</f>
        <v>25.273900000000001</v>
      </c>
      <c r="F804" s="10">
        <f>CHOOSE(CONTROL!$C$42, 25.1929, 25.1929)*CHOOSE(CONTROL!$C$21, $C$9, 100%, $E$9)</f>
        <v>25.192900000000002</v>
      </c>
      <c r="G804" s="10">
        <f>CHOOSE(CONTROL!$C$42, 25.2114, 25.2114)*CHOOSE(CONTROL!$C$21, $C$9, 100%, $E$9)</f>
        <v>25.211400000000001</v>
      </c>
      <c r="H804" s="10">
        <f>CHOOSE(CONTROL!$C$42, 25.2631, 25.2631) * CHOOSE(CONTROL!$C$21, $C$9, 100%, $E$9)</f>
        <v>25.263100000000001</v>
      </c>
      <c r="I804" s="10">
        <f>CHOOSE(CONTROL!$C$42, 25.1718, 25.1718)* CHOOSE(CONTROL!$C$21, $C$9, 100%, $E$9)</f>
        <v>25.171800000000001</v>
      </c>
      <c r="J804" s="10">
        <f>CHOOSE(CONTROL!$C$42, 25.1859, 25.1859)* CHOOSE(CONTROL!$C$21, $C$9, 100%, $E$9)</f>
        <v>25.1859</v>
      </c>
      <c r="K804" s="54">
        <f>CHOOSE(CONTROL!$C$42, 25.1679, 25.1679) * CHOOSE(CONTROL!$C$21, $C$9, 100%, $E$9)</f>
        <v>25.167899999999999</v>
      </c>
      <c r="L804" s="10">
        <f>CHOOSE(CONTROL!$C$42, 25.8501, 25.8501) * CHOOSE(CONTROL!$C$21, $C$9, 100%, $E$9)</f>
        <v>25.850100000000001</v>
      </c>
      <c r="M804" s="10">
        <f>CHOOSE(CONTROL!$C$42, 24.9456, 24.9456) * CHOOSE(CONTROL!$C$21, $C$9, 100%, $E$9)</f>
        <v>24.945599999999999</v>
      </c>
      <c r="N804" s="10">
        <f>CHOOSE(CONTROL!$C$42, 24.9638, 24.9638) * CHOOSE(CONTROL!$C$21, $C$9, 100%, $E$9)</f>
        <v>24.963799999999999</v>
      </c>
      <c r="O804" s="10">
        <f>CHOOSE(CONTROL!$C$42, 25.022, 25.022) * CHOOSE(CONTROL!$C$21, $C$9, 100%, $E$9)</f>
        <v>25.021999999999998</v>
      </c>
      <c r="P804" s="10">
        <f>CHOOSE(CONTROL!$C$42, 24.9316, 24.9316) * CHOOSE(CONTROL!$C$21, $C$9, 100%, $E$9)</f>
        <v>24.9316</v>
      </c>
      <c r="Q804" s="10">
        <f>CHOOSE(CONTROL!$C$42, 25.6173, 25.6173) * CHOOSE(CONTROL!$C$21, $C$9, 100%, $E$9)</f>
        <v>25.6173</v>
      </c>
      <c r="R804" s="10">
        <f>CHOOSE(CONTROL!$C$42, 26.2684, 26.2684) * CHOOSE(CONTROL!$C$21, $C$9, 100%, $E$9)</f>
        <v>26.2684</v>
      </c>
      <c r="S804" s="10">
        <f>CHOOSE(CONTROL!$C$42, 24.475, 24.475) * CHOOSE(CONTROL!$C$21, $C$9, 100%, $E$9)</f>
        <v>24.475000000000001</v>
      </c>
      <c r="T804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04" s="58">
        <f>(1000*CHOOSE(CONTROL!$C$42, 695, 695)*CHOOSE(CONTROL!$C$42, 0.5599, 0.5599)*CHOOSE(CONTROL!$C$42, 31, 31))/1000000</f>
        <v>12.063045499999998</v>
      </c>
      <c r="V804" s="58">
        <f>(1000*CHOOSE(CONTROL!$C$42, 500, 500)*CHOOSE(CONTROL!$C$42, 0.275, 0.275)*CHOOSE(CONTROL!$C$42, 31, 31))/1000000</f>
        <v>4.2625000000000002</v>
      </c>
      <c r="W804" s="58">
        <f>(1000*CHOOSE(CONTROL!$C$42, 0.1146, 0.1146)*CHOOSE(CONTROL!$C$42, 121.5, 121.5)*CHOOSE(CONTROL!$C$42, 31, 31))/1000000</f>
        <v>0.43164089999999994</v>
      </c>
      <c r="X804" s="58">
        <f>(31*0.1790888*100000/1000000)+(31*0.2374*100000/1000000)</f>
        <v>1.2911152800000001</v>
      </c>
      <c r="Y804" s="58"/>
      <c r="Z804" s="10"/>
      <c r="AA804" s="57"/>
      <c r="AB804" s="51">
        <f>(B804*122.58+C804*297.941+D804*89.177+E804*40.302+F804*40+G804*160+H804*0+I804*100+J804*300)/(122.58+297.941+89.177+40.302+0+40+160+100+300)</f>
        <v>25.204259005043475</v>
      </c>
      <c r="AC804" s="27">
        <f>(M804*'RAP TEMPLATE-GAS AVAILABILITY'!O803+N804*'RAP TEMPLATE-GAS AVAILABILITY'!P803+O804*'RAP TEMPLATE-GAS AVAILABILITY'!Q803+P804*'RAP TEMPLATE-GAS AVAILABILITY'!R803)/('RAP TEMPLATE-GAS AVAILABILITY'!O803+'RAP TEMPLATE-GAS AVAILABILITY'!P803+'RAP TEMPLATE-GAS AVAILABILITY'!Q803+'RAP TEMPLATE-GAS AVAILABILITY'!R803)</f>
        <v>24.979260431654676</v>
      </c>
    </row>
    <row r="805" spans="1:29" ht="15.75" x14ac:dyDescent="0.25">
      <c r="A805" s="13">
        <v>65776</v>
      </c>
      <c r="B805" s="10">
        <f>CHOOSE(CONTROL!$C$42, 26.9066, 26.9066) * CHOOSE(CONTROL!$C$21, $C$9, 100%, $E$9)</f>
        <v>26.906600000000001</v>
      </c>
      <c r="C805" s="10">
        <f>CHOOSE(CONTROL!$C$42, 26.9116, 26.9116) * CHOOSE(CONTROL!$C$21, $C$9, 100%, $E$9)</f>
        <v>26.9116</v>
      </c>
      <c r="D805" s="10">
        <f>CHOOSE(CONTROL!$C$42, 26.9618, 26.9618) * CHOOSE(CONTROL!$C$21, $C$9, 100%, $E$9)</f>
        <v>26.9618</v>
      </c>
      <c r="E805" s="10">
        <f>CHOOSE(CONTROL!$C$42, 26.9956, 26.9956) * CHOOSE(CONTROL!$C$21, $C$9, 100%, $E$9)</f>
        <v>26.9956</v>
      </c>
      <c r="F805" s="10">
        <f>CHOOSE(CONTROL!$C$42, 26.872, 26.872)*CHOOSE(CONTROL!$C$21, $C$9, 100%, $E$9)</f>
        <v>26.872</v>
      </c>
      <c r="G805" s="10">
        <f>CHOOSE(CONTROL!$C$42, 26.8896, 26.8896)*CHOOSE(CONTROL!$C$21, $C$9, 100%, $E$9)</f>
        <v>26.889600000000002</v>
      </c>
      <c r="H805" s="10">
        <f>CHOOSE(CONTROL!$C$42, 26.9848, 26.9848) * CHOOSE(CONTROL!$C$21, $C$9, 100%, $E$9)</f>
        <v>26.9848</v>
      </c>
      <c r="I805" s="10">
        <f>CHOOSE(CONTROL!$C$42, 26.8805, 26.8805)* CHOOSE(CONTROL!$C$21, $C$9, 100%, $E$9)</f>
        <v>26.880500000000001</v>
      </c>
      <c r="J805" s="10">
        <f>CHOOSE(CONTROL!$C$42, 26.865, 26.865)* CHOOSE(CONTROL!$C$21, $C$9, 100%, $E$9)</f>
        <v>26.864999999999998</v>
      </c>
      <c r="K805" s="54">
        <f>CHOOSE(CONTROL!$C$42, 26.8766, 26.8766) * CHOOSE(CONTROL!$C$21, $C$9, 100%, $E$9)</f>
        <v>26.8766</v>
      </c>
      <c r="L805" s="10">
        <f>CHOOSE(CONTROL!$C$42, 27.5718, 27.5718) * CHOOSE(CONTROL!$C$21, $C$9, 100%, $E$9)</f>
        <v>27.5718</v>
      </c>
      <c r="M805" s="10">
        <f>CHOOSE(CONTROL!$C$42, 26.6077, 26.6077) * CHOOSE(CONTROL!$C$21, $C$9, 100%, $E$9)</f>
        <v>26.607700000000001</v>
      </c>
      <c r="N805" s="10">
        <f>CHOOSE(CONTROL!$C$42, 26.6251, 26.6251) * CHOOSE(CONTROL!$C$21, $C$9, 100%, $E$9)</f>
        <v>26.6251</v>
      </c>
      <c r="O805" s="10">
        <f>CHOOSE(CONTROL!$C$42, 26.7263, 26.7263) * CHOOSE(CONTROL!$C$21, $C$9, 100%, $E$9)</f>
        <v>26.726299999999998</v>
      </c>
      <c r="P805" s="10">
        <f>CHOOSE(CONTROL!$C$42, 26.6231, 26.6231) * CHOOSE(CONTROL!$C$21, $C$9, 100%, $E$9)</f>
        <v>26.623100000000001</v>
      </c>
      <c r="Q805" s="10">
        <f>CHOOSE(CONTROL!$C$42, 27.3216, 27.3216) * CHOOSE(CONTROL!$C$21, $C$9, 100%, $E$9)</f>
        <v>27.3216</v>
      </c>
      <c r="R805" s="10">
        <f>CHOOSE(CONTROL!$C$42, 27.9769, 27.9769) * CHOOSE(CONTROL!$C$21, $C$9, 100%, $E$9)</f>
        <v>27.976900000000001</v>
      </c>
      <c r="S805" s="10">
        <f>CHOOSE(CONTROL!$C$42, 26.1269, 26.1269) * CHOOSE(CONTROL!$C$21, $C$9, 100%, $E$9)</f>
        <v>26.126899999999999</v>
      </c>
      <c r="T805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05" s="58">
        <f>(1000*CHOOSE(CONTROL!$C$42, 695, 695)*CHOOSE(CONTROL!$C$42, 0.5599, 0.5599)*CHOOSE(CONTROL!$C$42, 31, 31))/1000000</f>
        <v>12.063045499999998</v>
      </c>
      <c r="V805" s="58">
        <f>(1000*CHOOSE(CONTROL!$C$42, 500, 500)*CHOOSE(CONTROL!$C$42, 0.275, 0.275)*CHOOSE(CONTROL!$C$42, 31, 31))/1000000</f>
        <v>4.2625000000000002</v>
      </c>
      <c r="W805" s="58">
        <f>(1000*CHOOSE(CONTROL!$C$42, 0.1146, 0.1146)*CHOOSE(CONTROL!$C$42, 121.5, 121.5)*CHOOSE(CONTROL!$C$42, 31, 31))/1000000</f>
        <v>0.43164089999999994</v>
      </c>
      <c r="X805" s="58">
        <f>(31*0.1790888*100000/1000000)+(31*0.2374*100000/1000000)</f>
        <v>1.2911152800000001</v>
      </c>
      <c r="Y805" s="58"/>
      <c r="Z805" s="10"/>
      <c r="AA805" s="57"/>
      <c r="AB805" s="51">
        <f>(B805*122.58+C805*297.941+D805*89.177+E805*40.302+F805*40+G805*160+H805*0+I805*100+J805*300)/(122.58+297.941+89.177+40.302+0+40+160+100+300)</f>
        <v>26.89860448121739</v>
      </c>
      <c r="AC805" s="27">
        <f>(M805*'RAP TEMPLATE-GAS AVAILABILITY'!O804+N805*'RAP TEMPLATE-GAS AVAILABILITY'!P804+O805*'RAP TEMPLATE-GAS AVAILABILITY'!Q804+P805*'RAP TEMPLATE-GAS AVAILABILITY'!R804)/('RAP TEMPLATE-GAS AVAILABILITY'!O804+'RAP TEMPLATE-GAS AVAILABILITY'!P804+'RAP TEMPLATE-GAS AVAILABILITY'!Q804+'RAP TEMPLATE-GAS AVAILABILITY'!R804)</f>
        <v>26.664671223021585</v>
      </c>
    </row>
    <row r="806" spans="1:29" ht="15.75" x14ac:dyDescent="0.25">
      <c r="A806" s="13">
        <v>65805</v>
      </c>
      <c r="B806" s="10">
        <f>CHOOSE(CONTROL!$C$42, 27.3856, 27.3856) * CHOOSE(CONTROL!$C$21, $C$9, 100%, $E$9)</f>
        <v>27.3856</v>
      </c>
      <c r="C806" s="10">
        <f>CHOOSE(CONTROL!$C$42, 27.3905, 27.3905) * CHOOSE(CONTROL!$C$21, $C$9, 100%, $E$9)</f>
        <v>27.390499999999999</v>
      </c>
      <c r="D806" s="10">
        <f>CHOOSE(CONTROL!$C$42, 27.5077, 27.5077) * CHOOSE(CONTROL!$C$21, $C$9, 100%, $E$9)</f>
        <v>27.5077</v>
      </c>
      <c r="E806" s="10">
        <f>CHOOSE(CONTROL!$C$42, 27.5414, 27.5414) * CHOOSE(CONTROL!$C$21, $C$9, 100%, $E$9)</f>
        <v>27.541399999999999</v>
      </c>
      <c r="F806" s="10">
        <f>CHOOSE(CONTROL!$C$42, 27.4632, 27.4632)*CHOOSE(CONTROL!$C$21, $C$9, 100%, $E$9)</f>
        <v>27.463200000000001</v>
      </c>
      <c r="G806" s="10">
        <f>CHOOSE(CONTROL!$C$42, 27.4851, 27.4851)*CHOOSE(CONTROL!$C$21, $C$9, 100%, $E$9)</f>
        <v>27.485099999999999</v>
      </c>
      <c r="H806" s="10">
        <f>CHOOSE(CONTROL!$C$42, 27.5306, 27.5306) * CHOOSE(CONTROL!$C$21, $C$9, 100%, $E$9)</f>
        <v>27.5306</v>
      </c>
      <c r="I806" s="10">
        <f>CHOOSE(CONTROL!$C$42, 27.4212, 27.4212)* CHOOSE(CONTROL!$C$21, $C$9, 100%, $E$9)</f>
        <v>27.421199999999999</v>
      </c>
      <c r="J806" s="10">
        <f>CHOOSE(CONTROL!$C$42, 27.4562, 27.4562)* CHOOSE(CONTROL!$C$21, $C$9, 100%, $E$9)</f>
        <v>27.456199999999999</v>
      </c>
      <c r="K806" s="54">
        <f>CHOOSE(CONTROL!$C$42, 27.4174, 27.4174) * CHOOSE(CONTROL!$C$21, $C$9, 100%, $E$9)</f>
        <v>27.417400000000001</v>
      </c>
      <c r="L806" s="10">
        <f>CHOOSE(CONTROL!$C$42, 28.1176, 28.1176) * CHOOSE(CONTROL!$C$21, $C$9, 100%, $E$9)</f>
        <v>28.117599999999999</v>
      </c>
      <c r="M806" s="10">
        <f>CHOOSE(CONTROL!$C$42, 27.1929, 27.1929) * CHOOSE(CONTROL!$C$21, $C$9, 100%, $E$9)</f>
        <v>27.192900000000002</v>
      </c>
      <c r="N806" s="10">
        <f>CHOOSE(CONTROL!$C$42, 27.2146, 27.2146) * CHOOSE(CONTROL!$C$21, $C$9, 100%, $E$9)</f>
        <v>27.214600000000001</v>
      </c>
      <c r="O806" s="10">
        <f>CHOOSE(CONTROL!$C$42, 27.2666, 27.2666) * CHOOSE(CONTROL!$C$21, $C$9, 100%, $E$9)</f>
        <v>27.2666</v>
      </c>
      <c r="P806" s="10">
        <f>CHOOSE(CONTROL!$C$42, 27.1584, 27.1584) * CHOOSE(CONTROL!$C$21, $C$9, 100%, $E$9)</f>
        <v>27.1584</v>
      </c>
      <c r="Q806" s="10">
        <f>CHOOSE(CONTROL!$C$42, 27.8619, 27.8619) * CHOOSE(CONTROL!$C$21, $C$9, 100%, $E$9)</f>
        <v>27.861899999999999</v>
      </c>
      <c r="R806" s="10">
        <f>CHOOSE(CONTROL!$C$42, 28.5186, 28.5186) * CHOOSE(CONTROL!$C$21, $C$9, 100%, $E$9)</f>
        <v>28.518599999999999</v>
      </c>
      <c r="S806" s="10">
        <f>CHOOSE(CONTROL!$C$42, 26.592, 26.592) * CHOOSE(CONTROL!$C$21, $C$9, 100%, $E$9)</f>
        <v>26.591999999999999</v>
      </c>
      <c r="T806" s="5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806" s="58">
        <f>(1000*CHOOSE(CONTROL!$C$42, 695, 695)*CHOOSE(CONTROL!$C$42, 0.5599, 0.5599)*CHOOSE(CONTROL!$C$42, 29, 29))/1000000</f>
        <v>11.284784499999999</v>
      </c>
      <c r="V806" s="58">
        <f>(1000*CHOOSE(CONTROL!$C$42, 500, 500)*CHOOSE(CONTROL!$C$42, 0.275, 0.275)*CHOOSE(CONTROL!$C$42, 29, 29))/1000000</f>
        <v>3.9874999999999998</v>
      </c>
      <c r="W806" s="58">
        <f>(1000*CHOOSE(CONTROL!$C$42, 0.1146, 0.1146)*CHOOSE(CONTROL!$C$42, 121.5, 121.5)*CHOOSE(CONTROL!$C$42, 29, 29))/1000000</f>
        <v>0.40379309999999996</v>
      </c>
      <c r="X806" s="58">
        <f>(29*0.1790888*100000/1000000)+(29*0.2374*100000/1000000)</f>
        <v>1.2078175199999999</v>
      </c>
      <c r="Y806" s="58"/>
      <c r="Z806" s="10"/>
      <c r="AA806" s="57"/>
      <c r="AB806" s="51">
        <f>(B806*122.58+C806*297.941+D806*89.177+E806*40.302+F806*40+G806*160+H806*0+I806*100+J806*300)/(122.58+297.941+89.177+40.302+0+40+160+100+300)</f>
        <v>27.439853455826086</v>
      </c>
      <c r="AC806" s="27">
        <f>(M806*'RAP TEMPLATE-GAS AVAILABILITY'!O805+N806*'RAP TEMPLATE-GAS AVAILABILITY'!P805+O806*'RAP TEMPLATE-GAS AVAILABILITY'!Q805+P806*'RAP TEMPLATE-GAS AVAILABILITY'!R805)/('RAP TEMPLATE-GAS AVAILABILITY'!O805+'RAP TEMPLATE-GAS AVAILABILITY'!P805+'RAP TEMPLATE-GAS AVAILABILITY'!Q805+'RAP TEMPLATE-GAS AVAILABILITY'!R805)</f>
        <v>27.222588489208633</v>
      </c>
    </row>
    <row r="807" spans="1:29" ht="15.75" x14ac:dyDescent="0.25">
      <c r="A807" s="13">
        <v>65836</v>
      </c>
      <c r="B807" s="10">
        <f>CHOOSE(CONTROL!$C$42, 26.6082, 26.6082) * CHOOSE(CONTROL!$C$21, $C$9, 100%, $E$9)</f>
        <v>26.6082</v>
      </c>
      <c r="C807" s="10">
        <f>CHOOSE(CONTROL!$C$42, 26.6131, 26.6131) * CHOOSE(CONTROL!$C$21, $C$9, 100%, $E$9)</f>
        <v>26.613099999999999</v>
      </c>
      <c r="D807" s="10">
        <f>CHOOSE(CONTROL!$C$42, 26.7045, 26.7045) * CHOOSE(CONTROL!$C$21, $C$9, 100%, $E$9)</f>
        <v>26.704499999999999</v>
      </c>
      <c r="E807" s="10">
        <f>CHOOSE(CONTROL!$C$42, 26.7383, 26.7383) * CHOOSE(CONTROL!$C$21, $C$9, 100%, $E$9)</f>
        <v>26.738299999999999</v>
      </c>
      <c r="F807" s="10">
        <f>CHOOSE(CONTROL!$C$42, 26.638, 26.638)*CHOOSE(CONTROL!$C$21, $C$9, 100%, $E$9)</f>
        <v>26.638000000000002</v>
      </c>
      <c r="G807" s="10">
        <f>CHOOSE(CONTROL!$C$42, 26.6575, 26.6575)*CHOOSE(CONTROL!$C$21, $C$9, 100%, $E$9)</f>
        <v>26.657499999999999</v>
      </c>
      <c r="H807" s="10">
        <f>CHOOSE(CONTROL!$C$42, 26.7275, 26.7275) * CHOOSE(CONTROL!$C$21, $C$9, 100%, $E$9)</f>
        <v>26.727499999999999</v>
      </c>
      <c r="I807" s="10">
        <f>CHOOSE(CONTROL!$C$42, 26.631, 26.631)* CHOOSE(CONTROL!$C$21, $C$9, 100%, $E$9)</f>
        <v>26.631</v>
      </c>
      <c r="J807" s="10">
        <f>CHOOSE(CONTROL!$C$42, 26.631, 26.631)* CHOOSE(CONTROL!$C$21, $C$9, 100%, $E$9)</f>
        <v>26.631</v>
      </c>
      <c r="K807" s="54">
        <f>CHOOSE(CONTROL!$C$42, 26.6271, 26.6271) * CHOOSE(CONTROL!$C$21, $C$9, 100%, $E$9)</f>
        <v>26.627099999999999</v>
      </c>
      <c r="L807" s="10">
        <f>CHOOSE(CONTROL!$C$42, 27.3145, 27.3145) * CHOOSE(CONTROL!$C$21, $C$9, 100%, $E$9)</f>
        <v>27.314499999999999</v>
      </c>
      <c r="M807" s="10">
        <f>CHOOSE(CONTROL!$C$42, 26.3761, 26.3761) * CHOOSE(CONTROL!$C$21, $C$9, 100%, $E$9)</f>
        <v>26.376100000000001</v>
      </c>
      <c r="N807" s="10">
        <f>CHOOSE(CONTROL!$C$42, 26.3954, 26.3954) * CHOOSE(CONTROL!$C$21, $C$9, 100%, $E$9)</f>
        <v>26.395399999999999</v>
      </c>
      <c r="O807" s="10">
        <f>CHOOSE(CONTROL!$C$42, 26.4716, 26.4716) * CHOOSE(CONTROL!$C$21, $C$9, 100%, $E$9)</f>
        <v>26.471599999999999</v>
      </c>
      <c r="P807" s="10">
        <f>CHOOSE(CONTROL!$C$42, 26.3761, 26.3761) * CHOOSE(CONTROL!$C$21, $C$9, 100%, $E$9)</f>
        <v>26.376100000000001</v>
      </c>
      <c r="Q807" s="10">
        <f>CHOOSE(CONTROL!$C$42, 27.0669, 27.0669) * CHOOSE(CONTROL!$C$21, $C$9, 100%, $E$9)</f>
        <v>27.0669</v>
      </c>
      <c r="R807" s="10">
        <f>CHOOSE(CONTROL!$C$42, 27.7215, 27.7215) * CHOOSE(CONTROL!$C$21, $C$9, 100%, $E$9)</f>
        <v>27.721499999999999</v>
      </c>
      <c r="S807" s="10">
        <f>CHOOSE(CONTROL!$C$42, 25.837, 25.837) * CHOOSE(CONTROL!$C$21, $C$9, 100%, $E$9)</f>
        <v>25.837</v>
      </c>
      <c r="T807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07" s="58">
        <f>(1000*CHOOSE(CONTROL!$C$42, 695, 695)*CHOOSE(CONTROL!$C$42, 0.5599, 0.5599)*CHOOSE(CONTROL!$C$42, 31, 31))/1000000</f>
        <v>12.063045499999998</v>
      </c>
      <c r="V807" s="58">
        <f>(1000*CHOOSE(CONTROL!$C$42, 500, 500)*CHOOSE(CONTROL!$C$42, 0.275, 0.275)*CHOOSE(CONTROL!$C$42, 31, 31))/1000000</f>
        <v>4.2625000000000002</v>
      </c>
      <c r="W807" s="58">
        <f>(1000*CHOOSE(CONTROL!$C$42, 0.1146, 0.1146)*CHOOSE(CONTROL!$C$42, 121.5, 121.5)*CHOOSE(CONTROL!$C$42, 31, 31))/1000000</f>
        <v>0.43164089999999994</v>
      </c>
      <c r="X807" s="58">
        <f>(31*0.1790888*100000/1000000)+(31*0.2374*100000/1000000)</f>
        <v>1.2911152800000001</v>
      </c>
      <c r="Y807" s="58"/>
      <c r="Z807" s="10"/>
      <c r="AA807" s="57"/>
      <c r="AB807" s="51">
        <f>(B807*122.58+C807*297.941+D807*89.177+E807*40.302+F807*40+G807*160+H807*0+I807*100+J807*300)/(122.58+297.941+89.177+40.302+0+40+160+100+300)</f>
        <v>26.637322561913045</v>
      </c>
      <c r="AC807" s="27">
        <f>(M807*'RAP TEMPLATE-GAS AVAILABILITY'!O806+N807*'RAP TEMPLATE-GAS AVAILABILITY'!P806+O807*'RAP TEMPLATE-GAS AVAILABILITY'!Q806+P807*'RAP TEMPLATE-GAS AVAILABILITY'!R806)/('RAP TEMPLATE-GAS AVAILABILITY'!O806+'RAP TEMPLATE-GAS AVAILABILITY'!P806+'RAP TEMPLATE-GAS AVAILABILITY'!Q806+'RAP TEMPLATE-GAS AVAILABILITY'!R806)</f>
        <v>26.420494964028777</v>
      </c>
    </row>
    <row r="808" spans="1:29" ht="15.75" x14ac:dyDescent="0.25">
      <c r="A808" s="13">
        <v>65866</v>
      </c>
      <c r="B808" s="10">
        <f>CHOOSE(CONTROL!$C$42, 26.5293, 26.5293) * CHOOSE(CONTROL!$C$21, $C$9, 100%, $E$9)</f>
        <v>26.529299999999999</v>
      </c>
      <c r="C808" s="10">
        <f>CHOOSE(CONTROL!$C$42, 26.5336, 26.5336) * CHOOSE(CONTROL!$C$21, $C$9, 100%, $E$9)</f>
        <v>26.5336</v>
      </c>
      <c r="D808" s="10">
        <f>CHOOSE(CONTROL!$C$42, 26.7153, 26.7153) * CHOOSE(CONTROL!$C$21, $C$9, 100%, $E$9)</f>
        <v>26.715299999999999</v>
      </c>
      <c r="E808" s="10">
        <f>CHOOSE(CONTROL!$C$42, 26.7471, 26.7471) * CHOOSE(CONTROL!$C$21, $C$9, 100%, $E$9)</f>
        <v>26.7471</v>
      </c>
      <c r="F808" s="10">
        <f>CHOOSE(CONTROL!$C$42, 26.5176, 26.5176)*CHOOSE(CONTROL!$C$21, $C$9, 100%, $E$9)</f>
        <v>26.517600000000002</v>
      </c>
      <c r="G808" s="10">
        <f>CHOOSE(CONTROL!$C$42, 26.5356, 26.5356)*CHOOSE(CONTROL!$C$21, $C$9, 100%, $E$9)</f>
        <v>26.535599999999999</v>
      </c>
      <c r="H808" s="10">
        <f>CHOOSE(CONTROL!$C$42, 26.7369, 26.7369) * CHOOSE(CONTROL!$C$21, $C$9, 100%, $E$9)</f>
        <v>26.736899999999999</v>
      </c>
      <c r="I808" s="10">
        <f>CHOOSE(CONTROL!$C$42, 26.5075, 26.5075)* CHOOSE(CONTROL!$C$21, $C$9, 100%, $E$9)</f>
        <v>26.5075</v>
      </c>
      <c r="J808" s="10">
        <f>CHOOSE(CONTROL!$C$42, 26.5106, 26.5106)* CHOOSE(CONTROL!$C$21, $C$9, 100%, $E$9)</f>
        <v>26.5106</v>
      </c>
      <c r="K808" s="54">
        <f>CHOOSE(CONTROL!$C$42, 26.5036, 26.5036) * CHOOSE(CONTROL!$C$21, $C$9, 100%, $E$9)</f>
        <v>26.503599999999999</v>
      </c>
      <c r="L808" s="10">
        <f>CHOOSE(CONTROL!$C$42, 27.3239, 27.3239) * CHOOSE(CONTROL!$C$21, $C$9, 100%, $E$9)</f>
        <v>27.323899999999998</v>
      </c>
      <c r="M808" s="10">
        <f>CHOOSE(CONTROL!$C$42, 26.2569, 26.2569) * CHOOSE(CONTROL!$C$21, $C$9, 100%, $E$9)</f>
        <v>26.256900000000002</v>
      </c>
      <c r="N808" s="10">
        <f>CHOOSE(CONTROL!$C$42, 26.2747, 26.2747) * CHOOSE(CONTROL!$C$21, $C$9, 100%, $E$9)</f>
        <v>26.274699999999999</v>
      </c>
      <c r="O808" s="10">
        <f>CHOOSE(CONTROL!$C$42, 26.4809, 26.4809) * CHOOSE(CONTROL!$C$21, $C$9, 100%, $E$9)</f>
        <v>26.480899999999998</v>
      </c>
      <c r="P808" s="10">
        <f>CHOOSE(CONTROL!$C$42, 26.2539, 26.2539) * CHOOSE(CONTROL!$C$21, $C$9, 100%, $E$9)</f>
        <v>26.253900000000002</v>
      </c>
      <c r="Q808" s="10">
        <f>CHOOSE(CONTROL!$C$42, 27.0762, 27.0762) * CHOOSE(CONTROL!$C$21, $C$9, 100%, $E$9)</f>
        <v>27.0762</v>
      </c>
      <c r="R808" s="10">
        <f>CHOOSE(CONTROL!$C$42, 27.7309, 27.7309) * CHOOSE(CONTROL!$C$21, $C$9, 100%, $E$9)</f>
        <v>27.730899999999998</v>
      </c>
      <c r="S808" s="10">
        <f>CHOOSE(CONTROL!$C$42, 25.7597, 25.7597) * CHOOSE(CONTROL!$C$21, $C$9, 100%, $E$9)</f>
        <v>25.759699999999999</v>
      </c>
      <c r="T808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08" s="58">
        <f>(1000*CHOOSE(CONTROL!$C$42, 695, 695)*CHOOSE(CONTROL!$C$42, 0.5599, 0.5599)*CHOOSE(CONTROL!$C$42, 30, 30))/1000000</f>
        <v>11.673914999999997</v>
      </c>
      <c r="V808" s="58">
        <f>(1000*CHOOSE(CONTROL!$C$42, 500, 500)*CHOOSE(CONTROL!$C$42, 0.275, 0.275)*CHOOSE(CONTROL!$C$42, 30, 30))/1000000</f>
        <v>4.125</v>
      </c>
      <c r="W808" s="58">
        <f>(1000*CHOOSE(CONTROL!$C$42, 0.1146, 0.1146)*CHOOSE(CONTROL!$C$42, 121.5, 121.5)*CHOOSE(CONTROL!$C$42, 30, 30))/1000000</f>
        <v>0.417717</v>
      </c>
      <c r="X808" s="58">
        <f>(30*0.1790888*245000/1000000)+(30*0.2374*100000/1000000)</f>
        <v>2.0285026799999999</v>
      </c>
      <c r="Y808" s="58"/>
      <c r="Z808" s="10"/>
      <c r="AA808" s="57"/>
      <c r="AB808" s="51">
        <f>(B808*141.293+C808*267.993+D808*115.016+E808*89.698+F808*40+G808*185+H808*0+I808*100+J808*300)/(141.293+267.993+115.016+89.698+0+40+185+100+300)</f>
        <v>26.557539766182405</v>
      </c>
      <c r="AC808" s="27">
        <f>(M808*'RAP TEMPLATE-GAS AVAILABILITY'!O807+N808*'RAP TEMPLATE-GAS AVAILABILITY'!P807+O808*'RAP TEMPLATE-GAS AVAILABILITY'!Q807+P808*'RAP TEMPLATE-GAS AVAILABILITY'!R807)/('RAP TEMPLATE-GAS AVAILABILITY'!O807+'RAP TEMPLATE-GAS AVAILABILITY'!P807+'RAP TEMPLATE-GAS AVAILABILITY'!Q807+'RAP TEMPLATE-GAS AVAILABILITY'!R807)</f>
        <v>26.359017985611512</v>
      </c>
    </row>
    <row r="809" spans="1:29" ht="15.75" x14ac:dyDescent="0.25">
      <c r="A809" s="13">
        <v>65897</v>
      </c>
      <c r="B809" s="10">
        <f>CHOOSE(CONTROL!$C$42, 26.7652, 26.7652) * CHOOSE(CONTROL!$C$21, $C$9, 100%, $E$9)</f>
        <v>26.7652</v>
      </c>
      <c r="C809" s="10">
        <f>CHOOSE(CONTROL!$C$42, 26.7731, 26.7731) * CHOOSE(CONTROL!$C$21, $C$9, 100%, $E$9)</f>
        <v>26.773099999999999</v>
      </c>
      <c r="D809" s="10">
        <f>CHOOSE(CONTROL!$C$42, 26.9516, 26.9516) * CHOOSE(CONTROL!$C$21, $C$9, 100%, $E$9)</f>
        <v>26.951599999999999</v>
      </c>
      <c r="E809" s="10">
        <f>CHOOSE(CONTROL!$C$42, 26.9828, 26.9828) * CHOOSE(CONTROL!$C$21, $C$9, 100%, $E$9)</f>
        <v>26.982800000000001</v>
      </c>
      <c r="F809" s="10">
        <f>CHOOSE(CONTROL!$C$42, 26.7514, 26.7514)*CHOOSE(CONTROL!$C$21, $C$9, 100%, $E$9)</f>
        <v>26.7514</v>
      </c>
      <c r="G809" s="10">
        <f>CHOOSE(CONTROL!$C$42, 26.7695, 26.7695)*CHOOSE(CONTROL!$C$21, $C$9, 100%, $E$9)</f>
        <v>26.769500000000001</v>
      </c>
      <c r="H809" s="10">
        <f>CHOOSE(CONTROL!$C$42, 26.9714, 26.9714) * CHOOSE(CONTROL!$C$21, $C$9, 100%, $E$9)</f>
        <v>26.971399999999999</v>
      </c>
      <c r="I809" s="10">
        <f>CHOOSE(CONTROL!$C$42, 26.742, 26.742)* CHOOSE(CONTROL!$C$21, $C$9, 100%, $E$9)</f>
        <v>26.742000000000001</v>
      </c>
      <c r="J809" s="10">
        <f>CHOOSE(CONTROL!$C$42, 26.7444, 26.7444)* CHOOSE(CONTROL!$C$21, $C$9, 100%, $E$9)</f>
        <v>26.744399999999999</v>
      </c>
      <c r="K809" s="54">
        <f>CHOOSE(CONTROL!$C$42, 26.7382, 26.7382) * CHOOSE(CONTROL!$C$21, $C$9, 100%, $E$9)</f>
        <v>26.738199999999999</v>
      </c>
      <c r="L809" s="10">
        <f>CHOOSE(CONTROL!$C$42, 27.5584, 27.5584) * CHOOSE(CONTROL!$C$21, $C$9, 100%, $E$9)</f>
        <v>27.558399999999999</v>
      </c>
      <c r="M809" s="10">
        <f>CHOOSE(CONTROL!$C$42, 26.4883, 26.4883) * CHOOSE(CONTROL!$C$21, $C$9, 100%, $E$9)</f>
        <v>26.488299999999999</v>
      </c>
      <c r="N809" s="10">
        <f>CHOOSE(CONTROL!$C$42, 26.5063, 26.5063) * CHOOSE(CONTROL!$C$21, $C$9, 100%, $E$9)</f>
        <v>26.5063</v>
      </c>
      <c r="O809" s="10">
        <f>CHOOSE(CONTROL!$C$42, 26.713, 26.713) * CHOOSE(CONTROL!$C$21, $C$9, 100%, $E$9)</f>
        <v>26.713000000000001</v>
      </c>
      <c r="P809" s="10">
        <f>CHOOSE(CONTROL!$C$42, 26.486, 26.486) * CHOOSE(CONTROL!$C$21, $C$9, 100%, $E$9)</f>
        <v>26.486000000000001</v>
      </c>
      <c r="Q809" s="10">
        <f>CHOOSE(CONTROL!$C$42, 27.3083, 27.3083) * CHOOSE(CONTROL!$C$21, $C$9, 100%, $E$9)</f>
        <v>27.308299999999999</v>
      </c>
      <c r="R809" s="10">
        <f>CHOOSE(CONTROL!$C$42, 27.9636, 27.9636) * CHOOSE(CONTROL!$C$21, $C$9, 100%, $E$9)</f>
        <v>27.9636</v>
      </c>
      <c r="S809" s="10">
        <f>CHOOSE(CONTROL!$C$42, 25.9874, 25.9874) * CHOOSE(CONTROL!$C$21, $C$9, 100%, $E$9)</f>
        <v>25.987400000000001</v>
      </c>
      <c r="T809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09" s="58">
        <f>(1000*CHOOSE(CONTROL!$C$42, 695, 695)*CHOOSE(CONTROL!$C$42, 0.5599, 0.5599)*CHOOSE(CONTROL!$C$42, 31, 31))/1000000</f>
        <v>12.063045499999998</v>
      </c>
      <c r="V809" s="58">
        <f>(1000*CHOOSE(CONTROL!$C$42, 500, 500)*CHOOSE(CONTROL!$C$42, 0.275, 0.275)*CHOOSE(CONTROL!$C$42, 31, 31))/1000000</f>
        <v>4.2625000000000002</v>
      </c>
      <c r="W809" s="58">
        <f>(1000*CHOOSE(CONTROL!$C$42, 0.1146, 0.1146)*CHOOSE(CONTROL!$C$42, 121.5, 121.5)*CHOOSE(CONTROL!$C$42, 31, 31))/1000000</f>
        <v>0.43164089999999994</v>
      </c>
      <c r="X809" s="58">
        <f>(31*0.1790888*245000/1000000)+(31*0.2374*100000/1000000)</f>
        <v>2.0961194359999999</v>
      </c>
      <c r="Y809" s="58"/>
      <c r="Z809" s="10"/>
      <c r="AA809" s="57"/>
      <c r="AB809" s="51">
        <f>(B809*194.205+C809*267.466+D809*133.845+E809*53.484+F809*40+G809*185+H809*0+I809*100+J809*300)/(194.205+267.466+133.845+53.484+0+40+185+100+300)</f>
        <v>26.789048750235477</v>
      </c>
      <c r="AC809" s="27">
        <f>(M809*'RAP TEMPLATE-GAS AVAILABILITY'!O808+N809*'RAP TEMPLATE-GAS AVAILABILITY'!P808+O809*'RAP TEMPLATE-GAS AVAILABILITY'!Q808+P809*'RAP TEMPLATE-GAS AVAILABILITY'!R808)/('RAP TEMPLATE-GAS AVAILABILITY'!O808+'RAP TEMPLATE-GAS AVAILABILITY'!P808+'RAP TEMPLATE-GAS AVAILABILITY'!Q808+'RAP TEMPLATE-GAS AVAILABILITY'!R808)</f>
        <v>26.590847482014386</v>
      </c>
    </row>
    <row r="810" spans="1:29" ht="15.75" x14ac:dyDescent="0.25">
      <c r="A810" s="13">
        <v>65927</v>
      </c>
      <c r="B810" s="10">
        <f>CHOOSE(CONTROL!$C$42, 27.5243, 27.5243) * CHOOSE(CONTROL!$C$21, $C$9, 100%, $E$9)</f>
        <v>27.5243</v>
      </c>
      <c r="C810" s="10">
        <f>CHOOSE(CONTROL!$C$42, 27.5322, 27.5322) * CHOOSE(CONTROL!$C$21, $C$9, 100%, $E$9)</f>
        <v>27.5322</v>
      </c>
      <c r="D810" s="10">
        <f>CHOOSE(CONTROL!$C$42, 27.7107, 27.7107) * CHOOSE(CONTROL!$C$21, $C$9, 100%, $E$9)</f>
        <v>27.710699999999999</v>
      </c>
      <c r="E810" s="10">
        <f>CHOOSE(CONTROL!$C$42, 27.7418, 27.7418) * CHOOSE(CONTROL!$C$21, $C$9, 100%, $E$9)</f>
        <v>27.741800000000001</v>
      </c>
      <c r="F810" s="10">
        <f>CHOOSE(CONTROL!$C$42, 27.5107, 27.5107)*CHOOSE(CONTROL!$C$21, $C$9, 100%, $E$9)</f>
        <v>27.5107</v>
      </c>
      <c r="G810" s="10">
        <f>CHOOSE(CONTROL!$C$42, 27.5289, 27.5289)*CHOOSE(CONTROL!$C$21, $C$9, 100%, $E$9)</f>
        <v>27.5289</v>
      </c>
      <c r="H810" s="10">
        <f>CHOOSE(CONTROL!$C$42, 27.7305, 27.7305) * CHOOSE(CONTROL!$C$21, $C$9, 100%, $E$9)</f>
        <v>27.730499999999999</v>
      </c>
      <c r="I810" s="10">
        <f>CHOOSE(CONTROL!$C$42, 27.5011, 27.5011)* CHOOSE(CONTROL!$C$21, $C$9, 100%, $E$9)</f>
        <v>27.501100000000001</v>
      </c>
      <c r="J810" s="10">
        <f>CHOOSE(CONTROL!$C$42, 27.5037, 27.5037)* CHOOSE(CONTROL!$C$21, $C$9, 100%, $E$9)</f>
        <v>27.503699999999998</v>
      </c>
      <c r="K810" s="54">
        <f>CHOOSE(CONTROL!$C$42, 27.4972, 27.4972) * CHOOSE(CONTROL!$C$21, $C$9, 100%, $E$9)</f>
        <v>27.497199999999999</v>
      </c>
      <c r="L810" s="10">
        <f>CHOOSE(CONTROL!$C$42, 28.3175, 28.3175) * CHOOSE(CONTROL!$C$21, $C$9, 100%, $E$9)</f>
        <v>28.317499999999999</v>
      </c>
      <c r="M810" s="10">
        <f>CHOOSE(CONTROL!$C$42, 27.24, 27.24) * CHOOSE(CONTROL!$C$21, $C$9, 100%, $E$9)</f>
        <v>27.24</v>
      </c>
      <c r="N810" s="10">
        <f>CHOOSE(CONTROL!$C$42, 27.258, 27.258) * CHOOSE(CONTROL!$C$21, $C$9, 100%, $E$9)</f>
        <v>27.257999999999999</v>
      </c>
      <c r="O810" s="10">
        <f>CHOOSE(CONTROL!$C$42, 27.4645, 27.4645) * CHOOSE(CONTROL!$C$21, $C$9, 100%, $E$9)</f>
        <v>27.464500000000001</v>
      </c>
      <c r="P810" s="10">
        <f>CHOOSE(CONTROL!$C$42, 27.2375, 27.2375) * CHOOSE(CONTROL!$C$21, $C$9, 100%, $E$9)</f>
        <v>27.237500000000001</v>
      </c>
      <c r="Q810" s="10">
        <f>CHOOSE(CONTROL!$C$42, 28.0598, 28.0598) * CHOOSE(CONTROL!$C$21, $C$9, 100%, $E$9)</f>
        <v>28.059799999999999</v>
      </c>
      <c r="R810" s="10">
        <f>CHOOSE(CONTROL!$C$42, 28.7169, 28.7169) * CHOOSE(CONTROL!$C$21, $C$9, 100%, $E$9)</f>
        <v>28.716899999999999</v>
      </c>
      <c r="S810" s="10">
        <f>CHOOSE(CONTROL!$C$42, 26.7246, 26.7246) * CHOOSE(CONTROL!$C$21, $C$9, 100%, $E$9)</f>
        <v>26.724599999999999</v>
      </c>
      <c r="T810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810" s="58">
        <f>(1000*CHOOSE(CONTROL!$C$42, 695, 695)*CHOOSE(CONTROL!$C$42, 0.5599, 0.5599)*CHOOSE(CONTROL!$C$42, 30, 30))/1000000</f>
        <v>11.673914999999997</v>
      </c>
      <c r="V810" s="58">
        <f>(1000*CHOOSE(CONTROL!$C$42, 500, 500)*CHOOSE(CONTROL!$C$42, 0.275, 0.275)*CHOOSE(CONTROL!$C$42, 30, 30))/1000000</f>
        <v>4.125</v>
      </c>
      <c r="W810" s="58">
        <f>(1000*CHOOSE(CONTROL!$C$42, 0.1146, 0.1146)*CHOOSE(CONTROL!$C$42, 121.5, 121.5)*CHOOSE(CONTROL!$C$42, 30, 30))/1000000</f>
        <v>0.417717</v>
      </c>
      <c r="X810" s="58">
        <f>(30*0.1790888*245000/1000000)+(30*0.2374*100000/1000000)</f>
        <v>2.0285026799999999</v>
      </c>
      <c r="Y810" s="58"/>
      <c r="Z810" s="10"/>
      <c r="AA810" s="57"/>
      <c r="AB810" s="51">
        <f>(B810*194.205+C810*267.466+D810*133.845+E810*53.484+F810*40+G810*185+H810*0+I810*100+J810*300)/(194.205+267.466+133.845+53.484+0+40+185+100+300)</f>
        <v>27.548241490894821</v>
      </c>
      <c r="AC810" s="27">
        <f>(M810*'RAP TEMPLATE-GAS AVAILABILITY'!O809+N810*'RAP TEMPLATE-GAS AVAILABILITY'!P809+O810*'RAP TEMPLATE-GAS AVAILABILITY'!Q809+P810*'RAP TEMPLATE-GAS AVAILABILITY'!R809)/('RAP TEMPLATE-GAS AVAILABILITY'!O809+'RAP TEMPLATE-GAS AVAILABILITY'!P809+'RAP TEMPLATE-GAS AVAILABILITY'!Q809+'RAP TEMPLATE-GAS AVAILABILITY'!R809)</f>
        <v>27.342428057553956</v>
      </c>
    </row>
    <row r="811" spans="1:29" ht="15.75" x14ac:dyDescent="0.25">
      <c r="A811" s="13">
        <v>65958</v>
      </c>
      <c r="B811" s="10">
        <f>CHOOSE(CONTROL!$C$42, 26.9963, 26.9963) * CHOOSE(CONTROL!$C$21, $C$9, 100%, $E$9)</f>
        <v>26.996300000000002</v>
      </c>
      <c r="C811" s="10">
        <f>CHOOSE(CONTROL!$C$42, 27.0042, 27.0042) * CHOOSE(CONTROL!$C$21, $C$9, 100%, $E$9)</f>
        <v>27.004200000000001</v>
      </c>
      <c r="D811" s="10">
        <f>CHOOSE(CONTROL!$C$42, 27.1828, 27.1828) * CHOOSE(CONTROL!$C$21, $C$9, 100%, $E$9)</f>
        <v>27.1828</v>
      </c>
      <c r="E811" s="10">
        <f>CHOOSE(CONTROL!$C$42, 27.2139, 27.2139) * CHOOSE(CONTROL!$C$21, $C$9, 100%, $E$9)</f>
        <v>27.213899999999999</v>
      </c>
      <c r="F811" s="10">
        <f>CHOOSE(CONTROL!$C$42, 26.983, 26.983)*CHOOSE(CONTROL!$C$21, $C$9, 100%, $E$9)</f>
        <v>26.983000000000001</v>
      </c>
      <c r="G811" s="10">
        <f>CHOOSE(CONTROL!$C$42, 27.0013, 27.0013)*CHOOSE(CONTROL!$C$21, $C$9, 100%, $E$9)</f>
        <v>27.001300000000001</v>
      </c>
      <c r="H811" s="10">
        <f>CHOOSE(CONTROL!$C$42, 27.2025, 27.2025) * CHOOSE(CONTROL!$C$21, $C$9, 100%, $E$9)</f>
        <v>27.202500000000001</v>
      </c>
      <c r="I811" s="10">
        <f>CHOOSE(CONTROL!$C$42, 26.9732, 26.9732)* CHOOSE(CONTROL!$C$21, $C$9, 100%, $E$9)</f>
        <v>26.973199999999999</v>
      </c>
      <c r="J811" s="10">
        <f>CHOOSE(CONTROL!$C$42, 26.976, 26.976)* CHOOSE(CONTROL!$C$21, $C$9, 100%, $E$9)</f>
        <v>26.975999999999999</v>
      </c>
      <c r="K811" s="54">
        <f>CHOOSE(CONTROL!$C$42, 26.9693, 26.9693) * CHOOSE(CONTROL!$C$21, $C$9, 100%, $E$9)</f>
        <v>26.9693</v>
      </c>
      <c r="L811" s="10">
        <f>CHOOSE(CONTROL!$C$42, 27.7895, 27.7895) * CHOOSE(CONTROL!$C$21, $C$9, 100%, $E$9)</f>
        <v>27.7895</v>
      </c>
      <c r="M811" s="10">
        <f>CHOOSE(CONTROL!$C$42, 26.7176, 26.7176) * CHOOSE(CONTROL!$C$21, $C$9, 100%, $E$9)</f>
        <v>26.717600000000001</v>
      </c>
      <c r="N811" s="10">
        <f>CHOOSE(CONTROL!$C$42, 26.7357, 26.7357) * CHOOSE(CONTROL!$C$21, $C$9, 100%, $E$9)</f>
        <v>26.735700000000001</v>
      </c>
      <c r="O811" s="10">
        <f>CHOOSE(CONTROL!$C$42, 26.9418, 26.9418) * CHOOSE(CONTROL!$C$21, $C$9, 100%, $E$9)</f>
        <v>26.941800000000001</v>
      </c>
      <c r="P811" s="10">
        <f>CHOOSE(CONTROL!$C$42, 26.7148, 26.7148) * CHOOSE(CONTROL!$C$21, $C$9, 100%, $E$9)</f>
        <v>26.7148</v>
      </c>
      <c r="Q811" s="10">
        <f>CHOOSE(CONTROL!$C$42, 27.5371, 27.5371) * CHOOSE(CONTROL!$C$21, $C$9, 100%, $E$9)</f>
        <v>27.537099999999999</v>
      </c>
      <c r="R811" s="10">
        <f>CHOOSE(CONTROL!$C$42, 28.193, 28.193) * CHOOSE(CONTROL!$C$21, $C$9, 100%, $E$9)</f>
        <v>28.193000000000001</v>
      </c>
      <c r="S811" s="10">
        <f>CHOOSE(CONTROL!$C$42, 26.2119, 26.2119) * CHOOSE(CONTROL!$C$21, $C$9, 100%, $E$9)</f>
        <v>26.2119</v>
      </c>
      <c r="T811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811" s="58">
        <f>(1000*CHOOSE(CONTROL!$C$42, 695, 695)*CHOOSE(CONTROL!$C$42, 0.5599, 0.5599)*CHOOSE(CONTROL!$C$42, 31, 31))/1000000</f>
        <v>12.063045499999998</v>
      </c>
      <c r="V811" s="58">
        <f>(1000*CHOOSE(CONTROL!$C$42, 500, 500)*CHOOSE(CONTROL!$C$42, 0.275, 0.275)*CHOOSE(CONTROL!$C$42, 31, 31))/1000000</f>
        <v>4.2625000000000002</v>
      </c>
      <c r="W811" s="58">
        <f>(1000*CHOOSE(CONTROL!$C$42, 0.1146, 0.1146)*CHOOSE(CONTROL!$C$42, 121.5, 121.5)*CHOOSE(CONTROL!$C$42, 31, 31))/1000000</f>
        <v>0.43164089999999994</v>
      </c>
      <c r="X811" s="58">
        <f>(31*0.1790888*245000/1000000)+(31*0.2374*100000/1000000)</f>
        <v>2.0961194359999999</v>
      </c>
      <c r="Y811" s="58"/>
      <c r="Z811" s="10"/>
      <c r="AA811" s="57"/>
      <c r="AB811" s="51">
        <f>(B811*194.205+C811*267.466+D811*133.845+E811*53.484+F811*40+G811*185+H811*0+I811*100+J811*300)/(194.205+267.466+133.845+53.484+0+40+185+100+300)</f>
        <v>27.020402191758244</v>
      </c>
      <c r="AC811" s="27">
        <f>(M811*'RAP TEMPLATE-GAS AVAILABILITY'!O810+N811*'RAP TEMPLATE-GAS AVAILABILITY'!P810+O811*'RAP TEMPLATE-GAS AVAILABILITY'!Q810+P811*'RAP TEMPLATE-GAS AVAILABILITY'!R810)/('RAP TEMPLATE-GAS AVAILABILITY'!O810+'RAP TEMPLATE-GAS AVAILABILITY'!P810+'RAP TEMPLATE-GAS AVAILABILITY'!Q810+'RAP TEMPLATE-GAS AVAILABILITY'!R810)</f>
        <v>26.819854676258991</v>
      </c>
    </row>
    <row r="812" spans="1:29" ht="15.75" x14ac:dyDescent="0.25">
      <c r="A812" s="13">
        <v>65989</v>
      </c>
      <c r="B812" s="10">
        <f>CHOOSE(CONTROL!$C$42, 25.6631, 25.6631) * CHOOSE(CONTROL!$C$21, $C$9, 100%, $E$9)</f>
        <v>25.6631</v>
      </c>
      <c r="C812" s="10">
        <f>CHOOSE(CONTROL!$C$42, 25.671, 25.671) * CHOOSE(CONTROL!$C$21, $C$9, 100%, $E$9)</f>
        <v>25.670999999999999</v>
      </c>
      <c r="D812" s="10">
        <f>CHOOSE(CONTROL!$C$42, 25.8495, 25.8495) * CHOOSE(CONTROL!$C$21, $C$9, 100%, $E$9)</f>
        <v>25.849499999999999</v>
      </c>
      <c r="E812" s="10">
        <f>CHOOSE(CONTROL!$C$42, 25.8807, 25.8807) * CHOOSE(CONTROL!$C$21, $C$9, 100%, $E$9)</f>
        <v>25.880700000000001</v>
      </c>
      <c r="F812" s="10">
        <f>CHOOSE(CONTROL!$C$42, 25.6497, 25.6497)*CHOOSE(CONTROL!$C$21, $C$9, 100%, $E$9)</f>
        <v>25.649699999999999</v>
      </c>
      <c r="G812" s="10">
        <f>CHOOSE(CONTROL!$C$42, 25.668, 25.668)*CHOOSE(CONTROL!$C$21, $C$9, 100%, $E$9)</f>
        <v>25.667999999999999</v>
      </c>
      <c r="H812" s="10">
        <f>CHOOSE(CONTROL!$C$42, 25.8693, 25.8693) * CHOOSE(CONTROL!$C$21, $C$9, 100%, $E$9)</f>
        <v>25.869299999999999</v>
      </c>
      <c r="I812" s="10">
        <f>CHOOSE(CONTROL!$C$42, 25.64, 25.64)* CHOOSE(CONTROL!$C$21, $C$9, 100%, $E$9)</f>
        <v>25.64</v>
      </c>
      <c r="J812" s="10">
        <f>CHOOSE(CONTROL!$C$42, 25.6427, 25.6427)* CHOOSE(CONTROL!$C$21, $C$9, 100%, $E$9)</f>
        <v>25.642700000000001</v>
      </c>
      <c r="K812" s="54">
        <f>CHOOSE(CONTROL!$C$42, 25.6361, 25.6361) * CHOOSE(CONTROL!$C$21, $C$9, 100%, $E$9)</f>
        <v>25.636099999999999</v>
      </c>
      <c r="L812" s="10">
        <f>CHOOSE(CONTROL!$C$42, 26.4563, 26.4563) * CHOOSE(CONTROL!$C$21, $C$9, 100%, $E$9)</f>
        <v>26.456299999999999</v>
      </c>
      <c r="M812" s="10">
        <f>CHOOSE(CONTROL!$C$42, 25.3978, 25.3978) * CHOOSE(CONTROL!$C$21, $C$9, 100%, $E$9)</f>
        <v>25.3978</v>
      </c>
      <c r="N812" s="10">
        <f>CHOOSE(CONTROL!$C$42, 25.4159, 25.4159) * CHOOSE(CONTROL!$C$21, $C$9, 100%, $E$9)</f>
        <v>25.415900000000001</v>
      </c>
      <c r="O812" s="10">
        <f>CHOOSE(CONTROL!$C$42, 25.6221, 25.6221) * CHOOSE(CONTROL!$C$21, $C$9, 100%, $E$9)</f>
        <v>25.6221</v>
      </c>
      <c r="P812" s="10">
        <f>CHOOSE(CONTROL!$C$42, 25.3951, 25.3951) * CHOOSE(CONTROL!$C$21, $C$9, 100%, $E$9)</f>
        <v>25.395099999999999</v>
      </c>
      <c r="Q812" s="10">
        <f>CHOOSE(CONTROL!$C$42, 26.2174, 26.2174) * CHOOSE(CONTROL!$C$21, $C$9, 100%, $E$9)</f>
        <v>26.217400000000001</v>
      </c>
      <c r="R812" s="10">
        <f>CHOOSE(CONTROL!$C$42, 26.8699, 26.8699) * CHOOSE(CONTROL!$C$21, $C$9, 100%, $E$9)</f>
        <v>26.869900000000001</v>
      </c>
      <c r="S812" s="10">
        <f>CHOOSE(CONTROL!$C$42, 24.9172, 24.9172) * CHOOSE(CONTROL!$C$21, $C$9, 100%, $E$9)</f>
        <v>24.917200000000001</v>
      </c>
      <c r="T812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12" s="58">
        <f>(1000*CHOOSE(CONTROL!$C$42, 695, 695)*CHOOSE(CONTROL!$C$42, 0.5599, 0.5599)*CHOOSE(CONTROL!$C$42, 31, 31))/1000000</f>
        <v>12.063045499999998</v>
      </c>
      <c r="V812" s="58">
        <f>(1000*CHOOSE(CONTROL!$C$42, 500, 500)*CHOOSE(CONTROL!$C$42, 0.275, 0.275)*CHOOSE(CONTROL!$C$42, 31, 31))/1000000</f>
        <v>4.2625000000000002</v>
      </c>
      <c r="W812" s="58">
        <f>(1000*CHOOSE(CONTROL!$C$42, 0.1146, 0.1146)*CHOOSE(CONTROL!$C$42, 121.5, 121.5)*CHOOSE(CONTROL!$C$42, 31, 31))/1000000</f>
        <v>0.43164089999999994</v>
      </c>
      <c r="X812" s="58">
        <f>(31*0.1790888*245000/1000000)+(31*0.2374*100000/1000000)</f>
        <v>2.0961194359999999</v>
      </c>
      <c r="Y812" s="58"/>
      <c r="Z812" s="10"/>
      <c r="AA812" s="57"/>
      <c r="AB812" s="51">
        <f>(B812*194.205+C812*267.466+D812*133.845+E812*53.484+F812*40+G812*185+H812*0+I812*100+J812*300)/(194.205+267.466+133.845+53.484+0+40+185+100+300)</f>
        <v>25.687150477080067</v>
      </c>
      <c r="AC812" s="27">
        <f>(M812*'RAP TEMPLATE-GAS AVAILABILITY'!O811+N812*'RAP TEMPLATE-GAS AVAILABILITY'!P811+O812*'RAP TEMPLATE-GAS AVAILABILITY'!Q811+P812*'RAP TEMPLATE-GAS AVAILABILITY'!R811)/('RAP TEMPLATE-GAS AVAILABILITY'!O811+'RAP TEMPLATE-GAS AVAILABILITY'!P811+'RAP TEMPLATE-GAS AVAILABILITY'!Q811+'RAP TEMPLATE-GAS AVAILABILITY'!R811)</f>
        <v>25.500114388489209</v>
      </c>
    </row>
    <row r="813" spans="1:29" ht="15.75" x14ac:dyDescent="0.25">
      <c r="A813" s="13">
        <v>66019</v>
      </c>
      <c r="B813" s="10">
        <f>CHOOSE(CONTROL!$C$42, 24.0342, 24.0342) * CHOOSE(CONTROL!$C$21, $C$9, 100%, $E$9)</f>
        <v>24.034199999999998</v>
      </c>
      <c r="C813" s="10">
        <f>CHOOSE(CONTROL!$C$42, 24.0421, 24.0421) * CHOOSE(CONTROL!$C$21, $C$9, 100%, $E$9)</f>
        <v>24.042100000000001</v>
      </c>
      <c r="D813" s="10">
        <f>CHOOSE(CONTROL!$C$42, 24.2206, 24.2206) * CHOOSE(CONTROL!$C$21, $C$9, 100%, $E$9)</f>
        <v>24.220600000000001</v>
      </c>
      <c r="E813" s="10">
        <f>CHOOSE(CONTROL!$C$42, 24.2517, 24.2517) * CHOOSE(CONTROL!$C$21, $C$9, 100%, $E$9)</f>
        <v>24.2517</v>
      </c>
      <c r="F813" s="10">
        <f>CHOOSE(CONTROL!$C$42, 24.0205, 24.0205)*CHOOSE(CONTROL!$C$21, $C$9, 100%, $E$9)</f>
        <v>24.020499999999998</v>
      </c>
      <c r="G813" s="10">
        <f>CHOOSE(CONTROL!$C$42, 24.0387, 24.0387)*CHOOSE(CONTROL!$C$21, $C$9, 100%, $E$9)</f>
        <v>24.038699999999999</v>
      </c>
      <c r="H813" s="10">
        <f>CHOOSE(CONTROL!$C$42, 24.2404, 24.2404) * CHOOSE(CONTROL!$C$21, $C$9, 100%, $E$9)</f>
        <v>24.240400000000001</v>
      </c>
      <c r="I813" s="10">
        <f>CHOOSE(CONTROL!$C$42, 24.011, 24.011)* CHOOSE(CONTROL!$C$21, $C$9, 100%, $E$9)</f>
        <v>24.010999999999999</v>
      </c>
      <c r="J813" s="10">
        <f>CHOOSE(CONTROL!$C$42, 24.0135, 24.0135)* CHOOSE(CONTROL!$C$21, $C$9, 100%, $E$9)</f>
        <v>24.013500000000001</v>
      </c>
      <c r="K813" s="54">
        <f>CHOOSE(CONTROL!$C$42, 24.0071, 24.0071) * CHOOSE(CONTROL!$C$21, $C$9, 100%, $E$9)</f>
        <v>24.007100000000001</v>
      </c>
      <c r="L813" s="10">
        <f>CHOOSE(CONTROL!$C$42, 24.8274, 24.8274) * CHOOSE(CONTROL!$C$21, $C$9, 100%, $E$9)</f>
        <v>24.827400000000001</v>
      </c>
      <c r="M813" s="10">
        <f>CHOOSE(CONTROL!$C$42, 23.785, 23.785) * CHOOSE(CONTROL!$C$21, $C$9, 100%, $E$9)</f>
        <v>23.785</v>
      </c>
      <c r="N813" s="10">
        <f>CHOOSE(CONTROL!$C$42, 23.803, 23.803) * CHOOSE(CONTROL!$C$21, $C$9, 100%, $E$9)</f>
        <v>23.803000000000001</v>
      </c>
      <c r="O813" s="10">
        <f>CHOOSE(CONTROL!$C$42, 24.0096, 24.0096) * CHOOSE(CONTROL!$C$21, $C$9, 100%, $E$9)</f>
        <v>24.009599999999999</v>
      </c>
      <c r="P813" s="10">
        <f>CHOOSE(CONTROL!$C$42, 23.7826, 23.7826) * CHOOSE(CONTROL!$C$21, $C$9, 100%, $E$9)</f>
        <v>23.782599999999999</v>
      </c>
      <c r="Q813" s="10">
        <f>CHOOSE(CONTROL!$C$42, 24.6049, 24.6049) * CHOOSE(CONTROL!$C$21, $C$9, 100%, $E$9)</f>
        <v>24.604900000000001</v>
      </c>
      <c r="R813" s="10">
        <f>CHOOSE(CONTROL!$C$42, 25.2534, 25.2534) * CHOOSE(CONTROL!$C$21, $C$9, 100%, $E$9)</f>
        <v>25.253399999999999</v>
      </c>
      <c r="S813" s="10">
        <f>CHOOSE(CONTROL!$C$42, 23.3353, 23.3353) * CHOOSE(CONTROL!$C$21, $C$9, 100%, $E$9)</f>
        <v>23.3353</v>
      </c>
      <c r="T813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13" s="58">
        <f>(1000*CHOOSE(CONTROL!$C$42, 695, 695)*CHOOSE(CONTROL!$C$42, 0.5599, 0.5599)*CHOOSE(CONTROL!$C$42, 30, 30))/1000000</f>
        <v>11.673914999999997</v>
      </c>
      <c r="V813" s="58">
        <f>(1000*CHOOSE(CONTROL!$C$42, 500, 500)*CHOOSE(CONTROL!$C$42, 0.275, 0.275)*CHOOSE(CONTROL!$C$42, 30, 30))/1000000</f>
        <v>4.125</v>
      </c>
      <c r="W813" s="58">
        <f>(1000*CHOOSE(CONTROL!$C$42, 0.1146, 0.1146)*CHOOSE(CONTROL!$C$42, 121.5, 121.5)*CHOOSE(CONTROL!$C$42, 30, 30))/1000000</f>
        <v>0.417717</v>
      </c>
      <c r="X813" s="58">
        <f>(30*0.1790888*245000/1000000)+(30*0.2374*100000/1000000)</f>
        <v>2.0285026799999999</v>
      </c>
      <c r="Y813" s="58"/>
      <c r="Z813" s="10"/>
      <c r="AA813" s="57"/>
      <c r="AB813" s="51">
        <f>(B813*194.205+C813*267.466+D813*133.845+E813*53.484+F813*40+G813*185+H813*0+I813*100+J813*300)/(194.205+267.466+133.845+53.484+0+40+185+100+300)</f>
        <v>24.058100282103606</v>
      </c>
      <c r="AC813" s="27">
        <f>(M813*'RAP TEMPLATE-GAS AVAILABILITY'!O812+N813*'RAP TEMPLATE-GAS AVAILABILITY'!P812+O813*'RAP TEMPLATE-GAS AVAILABILITY'!Q812+P813*'RAP TEMPLATE-GAS AVAILABILITY'!R812)/('RAP TEMPLATE-GAS AVAILABILITY'!O812+'RAP TEMPLATE-GAS AVAILABILITY'!P812+'RAP TEMPLATE-GAS AVAILABILITY'!Q812+'RAP TEMPLATE-GAS AVAILABILITY'!R812)</f>
        <v>23.887487769784169</v>
      </c>
    </row>
    <row r="814" spans="1:29" ht="15.75" x14ac:dyDescent="0.25">
      <c r="A814" s="13">
        <v>66050</v>
      </c>
      <c r="B814" s="10">
        <f>CHOOSE(CONTROL!$C$42, 23.5441, 23.5441) * CHOOSE(CONTROL!$C$21, $C$9, 100%, $E$9)</f>
        <v>23.5441</v>
      </c>
      <c r="C814" s="10">
        <f>CHOOSE(CONTROL!$C$42, 23.5493, 23.5493) * CHOOSE(CONTROL!$C$21, $C$9, 100%, $E$9)</f>
        <v>23.549299999999999</v>
      </c>
      <c r="D814" s="10">
        <f>CHOOSE(CONTROL!$C$42, 23.7328, 23.7328) * CHOOSE(CONTROL!$C$21, $C$9, 100%, $E$9)</f>
        <v>23.732800000000001</v>
      </c>
      <c r="E814" s="10">
        <f>CHOOSE(CONTROL!$C$42, 23.7616, 23.7616) * CHOOSE(CONTROL!$C$21, $C$9, 100%, $E$9)</f>
        <v>23.761600000000001</v>
      </c>
      <c r="F814" s="10">
        <f>CHOOSE(CONTROL!$C$42, 23.5324, 23.5324)*CHOOSE(CONTROL!$C$21, $C$9, 100%, $E$9)</f>
        <v>23.532399999999999</v>
      </c>
      <c r="G814" s="10">
        <f>CHOOSE(CONTROL!$C$42, 23.5503, 23.5503)*CHOOSE(CONTROL!$C$21, $C$9, 100%, $E$9)</f>
        <v>23.5503</v>
      </c>
      <c r="H814" s="10">
        <f>CHOOSE(CONTROL!$C$42, 23.7521, 23.7521) * CHOOSE(CONTROL!$C$21, $C$9, 100%, $E$9)</f>
        <v>23.752099999999999</v>
      </c>
      <c r="I814" s="10">
        <f>CHOOSE(CONTROL!$C$42, 23.5228, 23.5228)* CHOOSE(CONTROL!$C$21, $C$9, 100%, $E$9)</f>
        <v>23.5228</v>
      </c>
      <c r="J814" s="10">
        <f>CHOOSE(CONTROL!$C$42, 23.5254, 23.5254)* CHOOSE(CONTROL!$C$21, $C$9, 100%, $E$9)</f>
        <v>23.525400000000001</v>
      </c>
      <c r="K814" s="54">
        <f>CHOOSE(CONTROL!$C$42, 23.5189, 23.5189) * CHOOSE(CONTROL!$C$21, $C$9, 100%, $E$9)</f>
        <v>23.518899999999999</v>
      </c>
      <c r="L814" s="10">
        <f>CHOOSE(CONTROL!$C$42, 24.3391, 24.3391) * CHOOSE(CONTROL!$C$21, $C$9, 100%, $E$9)</f>
        <v>24.339099999999998</v>
      </c>
      <c r="M814" s="10">
        <f>CHOOSE(CONTROL!$C$42, 23.3019, 23.3019) * CHOOSE(CONTROL!$C$21, $C$9, 100%, $E$9)</f>
        <v>23.3019</v>
      </c>
      <c r="N814" s="10">
        <f>CHOOSE(CONTROL!$C$42, 23.3196, 23.3196) * CHOOSE(CONTROL!$C$21, $C$9, 100%, $E$9)</f>
        <v>23.319600000000001</v>
      </c>
      <c r="O814" s="10">
        <f>CHOOSE(CONTROL!$C$42, 23.5262, 23.5262) * CHOOSE(CONTROL!$C$21, $C$9, 100%, $E$9)</f>
        <v>23.526199999999999</v>
      </c>
      <c r="P814" s="10">
        <f>CHOOSE(CONTROL!$C$42, 23.2992, 23.2992) * CHOOSE(CONTROL!$C$21, $C$9, 100%, $E$9)</f>
        <v>23.299199999999999</v>
      </c>
      <c r="Q814" s="10">
        <f>CHOOSE(CONTROL!$C$42, 24.1215, 24.1215) * CHOOSE(CONTROL!$C$21, $C$9, 100%, $E$9)</f>
        <v>24.121500000000001</v>
      </c>
      <c r="R814" s="10">
        <f>CHOOSE(CONTROL!$C$42, 24.7688, 24.7688) * CHOOSE(CONTROL!$C$21, $C$9, 100%, $E$9)</f>
        <v>24.768799999999999</v>
      </c>
      <c r="S814" s="10">
        <f>CHOOSE(CONTROL!$C$42, 22.8612, 22.8612) * CHOOSE(CONTROL!$C$21, $C$9, 100%, $E$9)</f>
        <v>22.8612</v>
      </c>
      <c r="T814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14" s="58">
        <f>(1000*CHOOSE(CONTROL!$C$42, 695, 695)*CHOOSE(CONTROL!$C$42, 0.5599, 0.5599)*CHOOSE(CONTROL!$C$42, 31, 31))/1000000</f>
        <v>12.063045499999998</v>
      </c>
      <c r="V814" s="58">
        <f>(1000*CHOOSE(CONTROL!$C$42, 500, 500)*CHOOSE(CONTROL!$C$42, 0.275, 0.275)*CHOOSE(CONTROL!$C$42, 31, 31))/1000000</f>
        <v>4.2625000000000002</v>
      </c>
      <c r="W814" s="58">
        <f>(1000*CHOOSE(CONTROL!$C$42, 0.1146, 0.1146)*CHOOSE(CONTROL!$C$42, 121.5, 121.5)*CHOOSE(CONTROL!$C$42, 31, 31))/1000000</f>
        <v>0.43164089999999994</v>
      </c>
      <c r="X814" s="58">
        <f>(31*0.1790888*245000/1000000)+(31*0.2374*100000/1000000)</f>
        <v>2.0961194359999999</v>
      </c>
      <c r="Y814" s="58"/>
      <c r="Z814" s="10"/>
      <c r="AA814" s="57"/>
      <c r="AB814" s="51">
        <f>(B814*131.881+C814*277.167+D814*79.08+E814*125.872+F814*40+G814*185+H814*0+I814*100+J814*300)/(131.881+277.167+79.08+125.872+0+40+185+100+300)</f>
        <v>23.573704378046809</v>
      </c>
      <c r="AC814" s="27">
        <f>(M814*'RAP TEMPLATE-GAS AVAILABILITY'!O813+N814*'RAP TEMPLATE-GAS AVAILABILITY'!P813+O814*'RAP TEMPLATE-GAS AVAILABILITY'!Q813+P814*'RAP TEMPLATE-GAS AVAILABILITY'!R813)/('RAP TEMPLATE-GAS AVAILABILITY'!O813+'RAP TEMPLATE-GAS AVAILABILITY'!P813+'RAP TEMPLATE-GAS AVAILABILITY'!Q813+'RAP TEMPLATE-GAS AVAILABILITY'!R813)</f>
        <v>23.404191366906474</v>
      </c>
    </row>
    <row r="815" spans="1:29" ht="15.75" x14ac:dyDescent="0.25">
      <c r="A815" s="13">
        <v>66080</v>
      </c>
      <c r="B815" s="10">
        <f>CHOOSE(CONTROL!$C$42, 24.1639, 24.1639) * CHOOSE(CONTROL!$C$21, $C$9, 100%, $E$9)</f>
        <v>24.163900000000002</v>
      </c>
      <c r="C815" s="10">
        <f>CHOOSE(CONTROL!$C$42, 24.1688, 24.1688) * CHOOSE(CONTROL!$C$21, $C$9, 100%, $E$9)</f>
        <v>24.168800000000001</v>
      </c>
      <c r="D815" s="10">
        <f>CHOOSE(CONTROL!$C$42, 24.1984, 24.1984) * CHOOSE(CONTROL!$C$21, $C$9, 100%, $E$9)</f>
        <v>24.198399999999999</v>
      </c>
      <c r="E815" s="10">
        <f>CHOOSE(CONTROL!$C$42, 24.2322, 24.2322) * CHOOSE(CONTROL!$C$21, $C$9, 100%, $E$9)</f>
        <v>24.232199999999999</v>
      </c>
      <c r="F815" s="10">
        <f>CHOOSE(CONTROL!$C$42, 24.1496, 24.1496)*CHOOSE(CONTROL!$C$21, $C$9, 100%, $E$9)</f>
        <v>24.1496</v>
      </c>
      <c r="G815" s="10">
        <f>CHOOSE(CONTROL!$C$42, 24.1677, 24.1677)*CHOOSE(CONTROL!$C$21, $C$9, 100%, $E$9)</f>
        <v>24.1677</v>
      </c>
      <c r="H815" s="10">
        <f>CHOOSE(CONTROL!$C$42, 24.2214, 24.2214) * CHOOSE(CONTROL!$C$21, $C$9, 100%, $E$9)</f>
        <v>24.221399999999999</v>
      </c>
      <c r="I815" s="10">
        <f>CHOOSE(CONTROL!$C$42, 24.1301, 24.1301)* CHOOSE(CONTROL!$C$21, $C$9, 100%, $E$9)</f>
        <v>24.130099999999999</v>
      </c>
      <c r="J815" s="10">
        <f>CHOOSE(CONTROL!$C$42, 24.1426, 24.1426)* CHOOSE(CONTROL!$C$21, $C$9, 100%, $E$9)</f>
        <v>24.142600000000002</v>
      </c>
      <c r="K815" s="54">
        <f>CHOOSE(CONTROL!$C$42, 24.1262, 24.1262) * CHOOSE(CONTROL!$C$21, $C$9, 100%, $E$9)</f>
        <v>24.126200000000001</v>
      </c>
      <c r="L815" s="10">
        <f>CHOOSE(CONTROL!$C$42, 24.8084, 24.8084) * CHOOSE(CONTROL!$C$21, $C$9, 100%, $E$9)</f>
        <v>24.808399999999999</v>
      </c>
      <c r="M815" s="10">
        <f>CHOOSE(CONTROL!$C$42, 23.9128, 23.9128) * CHOOSE(CONTROL!$C$21, $C$9, 100%, $E$9)</f>
        <v>23.912800000000001</v>
      </c>
      <c r="N815" s="10">
        <f>CHOOSE(CONTROL!$C$42, 23.9307, 23.9307) * CHOOSE(CONTROL!$C$21, $C$9, 100%, $E$9)</f>
        <v>23.930700000000002</v>
      </c>
      <c r="O815" s="10">
        <f>CHOOSE(CONTROL!$C$42, 23.9908, 23.9908) * CHOOSE(CONTROL!$C$21, $C$9, 100%, $E$9)</f>
        <v>23.9908</v>
      </c>
      <c r="P815" s="10">
        <f>CHOOSE(CONTROL!$C$42, 23.9004, 23.9004) * CHOOSE(CONTROL!$C$21, $C$9, 100%, $E$9)</f>
        <v>23.900400000000001</v>
      </c>
      <c r="Q815" s="10">
        <f>CHOOSE(CONTROL!$C$42, 24.5861, 24.5861) * CHOOSE(CONTROL!$C$21, $C$9, 100%, $E$9)</f>
        <v>24.586099999999998</v>
      </c>
      <c r="R815" s="10">
        <f>CHOOSE(CONTROL!$C$42, 25.2346, 25.2346) * CHOOSE(CONTROL!$C$21, $C$9, 100%, $E$9)</f>
        <v>25.2346</v>
      </c>
      <c r="S815" s="10">
        <f>CHOOSE(CONTROL!$C$42, 23.4634, 23.4634) * CHOOSE(CONTROL!$C$21, $C$9, 100%, $E$9)</f>
        <v>23.4634</v>
      </c>
      <c r="T815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15" s="58">
        <f>(1000*CHOOSE(CONTROL!$C$42, 695, 695)*CHOOSE(CONTROL!$C$42, 0.5599, 0.5599)*CHOOSE(CONTROL!$C$42, 30, 30))/1000000</f>
        <v>11.673914999999997</v>
      </c>
      <c r="V815" s="58">
        <f>(1000*CHOOSE(CONTROL!$C$42, 500, 500)*CHOOSE(CONTROL!$C$42, 0.275, 0.275)*CHOOSE(CONTROL!$C$42, 30, 30))/1000000</f>
        <v>4.125</v>
      </c>
      <c r="W815" s="58">
        <f>(1000*CHOOSE(CONTROL!$C$42, 0.1146, 0.1146)*CHOOSE(CONTROL!$C$42, 121.5, 121.5)*CHOOSE(CONTROL!$C$42, 30, 30))/1000000</f>
        <v>0.417717</v>
      </c>
      <c r="X815" s="58">
        <f>(30*0.1790888*100000/1000000)+(30*0.2374*100000/1000000)</f>
        <v>1.2494664</v>
      </c>
      <c r="Y815" s="58"/>
      <c r="Z815" s="10"/>
      <c r="AA815" s="57"/>
      <c r="AB815" s="51">
        <f>(B815*122.58+C815*297.941+D815*89.177+E815*40.302+F815*40+G815*160+H815*0+I815*100+J815*300)/(122.58+297.941+89.177+40.302+0+40+160+100+300)</f>
        <v>24.161774038260869</v>
      </c>
      <c r="AC815" s="27">
        <f>(M815*'RAP TEMPLATE-GAS AVAILABILITY'!O814+N815*'RAP TEMPLATE-GAS AVAILABILITY'!P814+O815*'RAP TEMPLATE-GAS AVAILABILITY'!Q814+P815*'RAP TEMPLATE-GAS AVAILABILITY'!R814)/('RAP TEMPLATE-GAS AVAILABILITY'!O814+'RAP TEMPLATE-GAS AVAILABILITY'!P814+'RAP TEMPLATE-GAS AVAILABILITY'!Q814+'RAP TEMPLATE-GAS AVAILABILITY'!R814)</f>
        <v>23.947398561151079</v>
      </c>
    </row>
    <row r="816" spans="1:29" ht="15.75" x14ac:dyDescent="0.25">
      <c r="A816" s="13">
        <v>66111</v>
      </c>
      <c r="B816" s="10">
        <f>CHOOSE(CONTROL!$C$42, 25.8112, 25.8112) * CHOOSE(CONTROL!$C$21, $C$9, 100%, $E$9)</f>
        <v>25.811199999999999</v>
      </c>
      <c r="C816" s="10">
        <f>CHOOSE(CONTROL!$C$42, 25.8161, 25.8161) * CHOOSE(CONTROL!$C$21, $C$9, 100%, $E$9)</f>
        <v>25.816099999999999</v>
      </c>
      <c r="D816" s="10">
        <f>CHOOSE(CONTROL!$C$42, 25.8457, 25.8457) * CHOOSE(CONTROL!$C$21, $C$9, 100%, $E$9)</f>
        <v>25.845700000000001</v>
      </c>
      <c r="E816" s="10">
        <f>CHOOSE(CONTROL!$C$42, 25.8795, 25.8795) * CHOOSE(CONTROL!$C$21, $C$9, 100%, $E$9)</f>
        <v>25.8795</v>
      </c>
      <c r="F816" s="10">
        <f>CHOOSE(CONTROL!$C$42, 25.7985, 25.7985)*CHOOSE(CONTROL!$C$21, $C$9, 100%, $E$9)</f>
        <v>25.798500000000001</v>
      </c>
      <c r="G816" s="10">
        <f>CHOOSE(CONTROL!$C$42, 25.8169, 25.8169)*CHOOSE(CONTROL!$C$21, $C$9, 100%, $E$9)</f>
        <v>25.8169</v>
      </c>
      <c r="H816" s="10">
        <f>CHOOSE(CONTROL!$C$42, 25.8687, 25.8687) * CHOOSE(CONTROL!$C$21, $C$9, 100%, $E$9)</f>
        <v>25.8687</v>
      </c>
      <c r="I816" s="10">
        <f>CHOOSE(CONTROL!$C$42, 25.7773, 25.7773)* CHOOSE(CONTROL!$C$21, $C$9, 100%, $E$9)</f>
        <v>25.7773</v>
      </c>
      <c r="J816" s="10">
        <f>CHOOSE(CONTROL!$C$42, 25.7915, 25.7915)* CHOOSE(CONTROL!$C$21, $C$9, 100%, $E$9)</f>
        <v>25.791499999999999</v>
      </c>
      <c r="K816" s="54">
        <f>CHOOSE(CONTROL!$C$42, 25.7734, 25.7734) * CHOOSE(CONTROL!$C$21, $C$9, 100%, $E$9)</f>
        <v>25.773399999999999</v>
      </c>
      <c r="L816" s="10">
        <f>CHOOSE(CONTROL!$C$42, 26.4557, 26.4557) * CHOOSE(CONTROL!$C$21, $C$9, 100%, $E$9)</f>
        <v>26.4557</v>
      </c>
      <c r="M816" s="10">
        <f>CHOOSE(CONTROL!$C$42, 25.545, 25.545) * CHOOSE(CONTROL!$C$21, $C$9, 100%, $E$9)</f>
        <v>25.545000000000002</v>
      </c>
      <c r="N816" s="10">
        <f>CHOOSE(CONTROL!$C$42, 25.5633, 25.5633) * CHOOSE(CONTROL!$C$21, $C$9, 100%, $E$9)</f>
        <v>25.563300000000002</v>
      </c>
      <c r="O816" s="10">
        <f>CHOOSE(CONTROL!$C$42, 25.6215, 25.6215) * CHOOSE(CONTROL!$C$21, $C$9, 100%, $E$9)</f>
        <v>25.621500000000001</v>
      </c>
      <c r="P816" s="10">
        <f>CHOOSE(CONTROL!$C$42, 25.5311, 25.5311) * CHOOSE(CONTROL!$C$21, $C$9, 100%, $E$9)</f>
        <v>25.531099999999999</v>
      </c>
      <c r="Q816" s="10">
        <f>CHOOSE(CONTROL!$C$42, 26.2168, 26.2168) * CHOOSE(CONTROL!$C$21, $C$9, 100%, $E$9)</f>
        <v>26.216799999999999</v>
      </c>
      <c r="R816" s="10">
        <f>CHOOSE(CONTROL!$C$42, 26.8693, 26.8693) * CHOOSE(CONTROL!$C$21, $C$9, 100%, $E$9)</f>
        <v>26.869299999999999</v>
      </c>
      <c r="S816" s="10">
        <f>CHOOSE(CONTROL!$C$42, 25.0631, 25.0631) * CHOOSE(CONTROL!$C$21, $C$9, 100%, $E$9)</f>
        <v>25.063099999999999</v>
      </c>
      <c r="T816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16" s="58">
        <f>(1000*CHOOSE(CONTROL!$C$42, 695, 695)*CHOOSE(CONTROL!$C$42, 0.5599, 0.5599)*CHOOSE(CONTROL!$C$42, 31, 31))/1000000</f>
        <v>12.063045499999998</v>
      </c>
      <c r="V816" s="58">
        <f>(1000*CHOOSE(CONTROL!$C$42, 500, 500)*CHOOSE(CONTROL!$C$42, 0.275, 0.275)*CHOOSE(CONTROL!$C$42, 31, 31))/1000000</f>
        <v>4.2625000000000002</v>
      </c>
      <c r="W816" s="58">
        <f>(1000*CHOOSE(CONTROL!$C$42, 0.1146, 0.1146)*CHOOSE(CONTROL!$C$42, 121.5, 121.5)*CHOOSE(CONTROL!$C$42, 31, 31))/1000000</f>
        <v>0.43164089999999994</v>
      </c>
      <c r="X816" s="58">
        <f>(31*0.1790888*100000/1000000)+(31*0.2374*100000/1000000)</f>
        <v>1.2911152800000001</v>
      </c>
      <c r="Y816" s="58"/>
      <c r="Z816" s="10"/>
      <c r="AA816" s="57"/>
      <c r="AB816" s="51">
        <f>(B816*122.58+C816*297.941+D816*89.177+E816*40.302+F816*40+G816*160+H816*0+I816*100+J816*300)/(122.58+297.941+89.177+40.302+0+40+160+100+300)</f>
        <v>25.809802733913042</v>
      </c>
      <c r="AC816" s="27">
        <f>(M816*'RAP TEMPLATE-GAS AVAILABILITY'!O815+N816*'RAP TEMPLATE-GAS AVAILABILITY'!P815+O816*'RAP TEMPLATE-GAS AVAILABILITY'!Q815+P816*'RAP TEMPLATE-GAS AVAILABILITY'!R815)/('RAP TEMPLATE-GAS AVAILABILITY'!O815+'RAP TEMPLATE-GAS AVAILABILITY'!P815+'RAP TEMPLATE-GAS AVAILABILITY'!Q815+'RAP TEMPLATE-GAS AVAILABILITY'!R815)</f>
        <v>25.578725899280577</v>
      </c>
    </row>
    <row r="817" spans="1:29" ht="15.75" x14ac:dyDescent="0.25">
      <c r="A817" s="13">
        <v>66142</v>
      </c>
      <c r="B817" s="10">
        <f>CHOOSE(CONTROL!$C$42, 27.5531, 27.5531) * CHOOSE(CONTROL!$C$21, $C$9, 100%, $E$9)</f>
        <v>27.553100000000001</v>
      </c>
      <c r="C817" s="10">
        <f>CHOOSE(CONTROL!$C$42, 27.558, 27.558) * CHOOSE(CONTROL!$C$21, $C$9, 100%, $E$9)</f>
        <v>27.558</v>
      </c>
      <c r="D817" s="10">
        <f>CHOOSE(CONTROL!$C$42, 27.6082, 27.6082) * CHOOSE(CONTROL!$C$21, $C$9, 100%, $E$9)</f>
        <v>27.6082</v>
      </c>
      <c r="E817" s="10">
        <f>CHOOSE(CONTROL!$C$42, 27.642, 27.642) * CHOOSE(CONTROL!$C$21, $C$9, 100%, $E$9)</f>
        <v>27.641999999999999</v>
      </c>
      <c r="F817" s="10">
        <f>CHOOSE(CONTROL!$C$42, 27.5184, 27.5184)*CHOOSE(CONTROL!$C$21, $C$9, 100%, $E$9)</f>
        <v>27.5184</v>
      </c>
      <c r="G817" s="10">
        <f>CHOOSE(CONTROL!$C$42, 27.536, 27.536)*CHOOSE(CONTROL!$C$21, $C$9, 100%, $E$9)</f>
        <v>27.536000000000001</v>
      </c>
      <c r="H817" s="10">
        <f>CHOOSE(CONTROL!$C$42, 27.6312, 27.6312) * CHOOSE(CONTROL!$C$21, $C$9, 100%, $E$9)</f>
        <v>27.6312</v>
      </c>
      <c r="I817" s="10">
        <f>CHOOSE(CONTROL!$C$42, 27.527, 27.527)* CHOOSE(CONTROL!$C$21, $C$9, 100%, $E$9)</f>
        <v>27.527000000000001</v>
      </c>
      <c r="J817" s="10">
        <f>CHOOSE(CONTROL!$C$42, 27.5114, 27.5114)* CHOOSE(CONTROL!$C$21, $C$9, 100%, $E$9)</f>
        <v>27.511399999999998</v>
      </c>
      <c r="K817" s="54">
        <f>CHOOSE(CONTROL!$C$42, 27.5231, 27.5231) * CHOOSE(CONTROL!$C$21, $C$9, 100%, $E$9)</f>
        <v>27.523099999999999</v>
      </c>
      <c r="L817" s="10">
        <f>CHOOSE(CONTROL!$C$42, 28.2182, 28.2182) * CHOOSE(CONTROL!$C$21, $C$9, 100%, $E$9)</f>
        <v>28.2182</v>
      </c>
      <c r="M817" s="10">
        <f>CHOOSE(CONTROL!$C$42, 27.2476, 27.2476) * CHOOSE(CONTROL!$C$21, $C$9, 100%, $E$9)</f>
        <v>27.247599999999998</v>
      </c>
      <c r="N817" s="10">
        <f>CHOOSE(CONTROL!$C$42, 27.265, 27.265) * CHOOSE(CONTROL!$C$21, $C$9, 100%, $E$9)</f>
        <v>27.265000000000001</v>
      </c>
      <c r="O817" s="10">
        <f>CHOOSE(CONTROL!$C$42, 27.3662, 27.3662) * CHOOSE(CONTROL!$C$21, $C$9, 100%, $E$9)</f>
        <v>27.366199999999999</v>
      </c>
      <c r="P817" s="10">
        <f>CHOOSE(CONTROL!$C$42, 27.263, 27.263) * CHOOSE(CONTROL!$C$21, $C$9, 100%, $E$9)</f>
        <v>27.263000000000002</v>
      </c>
      <c r="Q817" s="10">
        <f>CHOOSE(CONTROL!$C$42, 27.9615, 27.9615) * CHOOSE(CONTROL!$C$21, $C$9, 100%, $E$9)</f>
        <v>27.961500000000001</v>
      </c>
      <c r="R817" s="10">
        <f>CHOOSE(CONTROL!$C$42, 28.6184, 28.6184) * CHOOSE(CONTROL!$C$21, $C$9, 100%, $E$9)</f>
        <v>28.618400000000001</v>
      </c>
      <c r="S817" s="10">
        <f>CHOOSE(CONTROL!$C$42, 26.7546, 26.7546) * CHOOSE(CONTROL!$C$21, $C$9, 100%, $E$9)</f>
        <v>26.7546</v>
      </c>
      <c r="T817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17" s="58">
        <f>(1000*CHOOSE(CONTROL!$C$42, 695, 695)*CHOOSE(CONTROL!$C$42, 0.5599, 0.5599)*CHOOSE(CONTROL!$C$42, 31, 31))/1000000</f>
        <v>12.063045499999998</v>
      </c>
      <c r="V817" s="58">
        <f>(1000*CHOOSE(CONTROL!$C$42, 500, 500)*CHOOSE(CONTROL!$C$42, 0.275, 0.275)*CHOOSE(CONTROL!$C$42, 31, 31))/1000000</f>
        <v>4.2625000000000002</v>
      </c>
      <c r="W817" s="58">
        <f>(1000*CHOOSE(CONTROL!$C$42, 0.1146, 0.1146)*CHOOSE(CONTROL!$C$42, 121.5, 121.5)*CHOOSE(CONTROL!$C$42, 31, 31))/1000000</f>
        <v>0.43164089999999994</v>
      </c>
      <c r="X817" s="58">
        <f>(31*0.1790888*100000/1000000)+(31*0.2374*100000/1000000)</f>
        <v>1.2911152800000001</v>
      </c>
      <c r="Y817" s="58"/>
      <c r="Z817" s="10"/>
      <c r="AA817" s="57"/>
      <c r="AB817" s="51">
        <f>(B817*122.58+C817*297.941+D817*89.177+E817*40.302+F817*40+G817*160+H817*0+I817*100+J817*300)/(122.58+297.941+89.177+40.302+0+40+160+100+300)</f>
        <v>27.545023835999999</v>
      </c>
      <c r="AC817" s="27">
        <f>(M817*'RAP TEMPLATE-GAS AVAILABILITY'!O816+N817*'RAP TEMPLATE-GAS AVAILABILITY'!P816+O817*'RAP TEMPLATE-GAS AVAILABILITY'!Q816+P817*'RAP TEMPLATE-GAS AVAILABILITY'!R816)/('RAP TEMPLATE-GAS AVAILABILITY'!O816+'RAP TEMPLATE-GAS AVAILABILITY'!P816+'RAP TEMPLATE-GAS AVAILABILITY'!Q816+'RAP TEMPLATE-GAS AVAILABILITY'!R816)</f>
        <v>27.304571223021583</v>
      </c>
    </row>
    <row r="818" spans="1:29" ht="15.75" x14ac:dyDescent="0.25">
      <c r="A818" s="13">
        <v>66170</v>
      </c>
      <c r="B818" s="10">
        <f>CHOOSE(CONTROL!$C$42, 28.0435, 28.0435) * CHOOSE(CONTROL!$C$21, $C$9, 100%, $E$9)</f>
        <v>28.043500000000002</v>
      </c>
      <c r="C818" s="10">
        <f>CHOOSE(CONTROL!$C$42, 28.0485, 28.0485) * CHOOSE(CONTROL!$C$21, $C$9, 100%, $E$9)</f>
        <v>28.048500000000001</v>
      </c>
      <c r="D818" s="10">
        <f>CHOOSE(CONTROL!$C$42, 28.1656, 28.1656) * CHOOSE(CONTROL!$C$21, $C$9, 100%, $E$9)</f>
        <v>28.165600000000001</v>
      </c>
      <c r="E818" s="10">
        <f>CHOOSE(CONTROL!$C$42, 28.1994, 28.1994) * CHOOSE(CONTROL!$C$21, $C$9, 100%, $E$9)</f>
        <v>28.199400000000001</v>
      </c>
      <c r="F818" s="10">
        <f>CHOOSE(CONTROL!$C$42, 28.1211, 28.1211)*CHOOSE(CONTROL!$C$21, $C$9, 100%, $E$9)</f>
        <v>28.121099999999998</v>
      </c>
      <c r="G818" s="10">
        <f>CHOOSE(CONTROL!$C$42, 28.143, 28.143)*CHOOSE(CONTROL!$C$21, $C$9, 100%, $E$9)</f>
        <v>28.143000000000001</v>
      </c>
      <c r="H818" s="10">
        <f>CHOOSE(CONTROL!$C$42, 28.1886, 28.1886) * CHOOSE(CONTROL!$C$21, $C$9, 100%, $E$9)</f>
        <v>28.188600000000001</v>
      </c>
      <c r="I818" s="10">
        <f>CHOOSE(CONTROL!$C$42, 28.0792, 28.0792)* CHOOSE(CONTROL!$C$21, $C$9, 100%, $E$9)</f>
        <v>28.0792</v>
      </c>
      <c r="J818" s="10">
        <f>CHOOSE(CONTROL!$C$42, 28.1141, 28.1141)* CHOOSE(CONTROL!$C$21, $C$9, 100%, $E$9)</f>
        <v>28.114100000000001</v>
      </c>
      <c r="K818" s="54">
        <f>CHOOSE(CONTROL!$C$42, 28.0753, 28.0753) * CHOOSE(CONTROL!$C$21, $C$9, 100%, $E$9)</f>
        <v>28.075299999999999</v>
      </c>
      <c r="L818" s="10">
        <f>CHOOSE(CONTROL!$C$42, 28.7756, 28.7756) * CHOOSE(CONTROL!$C$21, $C$9, 100%, $E$9)</f>
        <v>28.775600000000001</v>
      </c>
      <c r="M818" s="10">
        <f>CHOOSE(CONTROL!$C$42, 27.8442, 27.8442) * CHOOSE(CONTROL!$C$21, $C$9, 100%, $E$9)</f>
        <v>27.844200000000001</v>
      </c>
      <c r="N818" s="10">
        <f>CHOOSE(CONTROL!$C$42, 27.8659, 27.8659) * CHOOSE(CONTROL!$C$21, $C$9, 100%, $E$9)</f>
        <v>27.8659</v>
      </c>
      <c r="O818" s="10">
        <f>CHOOSE(CONTROL!$C$42, 27.9179, 27.9179) * CHOOSE(CONTROL!$C$21, $C$9, 100%, $E$9)</f>
        <v>27.917899999999999</v>
      </c>
      <c r="P818" s="10">
        <f>CHOOSE(CONTROL!$C$42, 27.8097, 27.8097) * CHOOSE(CONTROL!$C$21, $C$9, 100%, $E$9)</f>
        <v>27.809699999999999</v>
      </c>
      <c r="Q818" s="10">
        <f>CHOOSE(CONTROL!$C$42, 28.5132, 28.5132) * CHOOSE(CONTROL!$C$21, $C$9, 100%, $E$9)</f>
        <v>28.513200000000001</v>
      </c>
      <c r="R818" s="10">
        <f>CHOOSE(CONTROL!$C$42, 29.1715, 29.1715) * CHOOSE(CONTROL!$C$21, $C$9, 100%, $E$9)</f>
        <v>29.171500000000002</v>
      </c>
      <c r="S818" s="10">
        <f>CHOOSE(CONTROL!$C$42, 27.2309, 27.2309) * CHOOSE(CONTROL!$C$21, $C$9, 100%, $E$9)</f>
        <v>27.230899999999998</v>
      </c>
      <c r="T818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818" s="58">
        <f>(1000*CHOOSE(CONTROL!$C$42, 695, 695)*CHOOSE(CONTROL!$C$42, 0.5599, 0.5599)*CHOOSE(CONTROL!$C$42, 28, 28))/1000000</f>
        <v>10.895653999999999</v>
      </c>
      <c r="V818" s="58">
        <f>(1000*CHOOSE(CONTROL!$C$42, 500, 500)*CHOOSE(CONTROL!$C$42, 0.275, 0.275)*CHOOSE(CONTROL!$C$42, 28, 28))/1000000</f>
        <v>3.85</v>
      </c>
      <c r="W818" s="58">
        <f>(1000*CHOOSE(CONTROL!$C$42, 0.1146, 0.1146)*CHOOSE(CONTROL!$C$42, 121.5, 121.5)*CHOOSE(CONTROL!$C$42, 28, 28))/1000000</f>
        <v>0.38986920000000003</v>
      </c>
      <c r="X818" s="58">
        <f>(28*0.1790888*100000/1000000)+(28*0.2374*100000/1000000)</f>
        <v>1.16616864</v>
      </c>
      <c r="Y818" s="58"/>
      <c r="Z818" s="10"/>
      <c r="AA818" s="57"/>
      <c r="AB818" s="51">
        <f>(B818*122.58+C818*297.941+D818*89.177+E818*40.302+F818*40+G818*160+H818*0+I818*100+J818*300)/(122.58+297.941+89.177+40.302+0+40+160+100+300)</f>
        <v>28.097791563913042</v>
      </c>
      <c r="AC818" s="27">
        <f>(M818*'RAP TEMPLATE-GAS AVAILABILITY'!O817+N818*'RAP TEMPLATE-GAS AVAILABILITY'!P817+O818*'RAP TEMPLATE-GAS AVAILABILITY'!Q817+P818*'RAP TEMPLATE-GAS AVAILABILITY'!R817)/('RAP TEMPLATE-GAS AVAILABILITY'!O817+'RAP TEMPLATE-GAS AVAILABILITY'!P817+'RAP TEMPLATE-GAS AVAILABILITY'!Q817+'RAP TEMPLATE-GAS AVAILABILITY'!R817)</f>
        <v>27.873888489208635</v>
      </c>
    </row>
    <row r="819" spans="1:29" ht="15.75" x14ac:dyDescent="0.25">
      <c r="A819" s="13">
        <v>66201</v>
      </c>
      <c r="B819" s="10">
        <f>CHOOSE(CONTROL!$C$42, 27.2474, 27.2474) * CHOOSE(CONTROL!$C$21, $C$9, 100%, $E$9)</f>
        <v>27.247399999999999</v>
      </c>
      <c r="C819" s="10">
        <f>CHOOSE(CONTROL!$C$42, 27.2524, 27.2524) * CHOOSE(CONTROL!$C$21, $C$9, 100%, $E$9)</f>
        <v>27.252400000000002</v>
      </c>
      <c r="D819" s="10">
        <f>CHOOSE(CONTROL!$C$42, 27.3438, 27.3438) * CHOOSE(CONTROL!$C$21, $C$9, 100%, $E$9)</f>
        <v>27.343800000000002</v>
      </c>
      <c r="E819" s="10">
        <f>CHOOSE(CONTROL!$C$42, 27.3775, 27.3775) * CHOOSE(CONTROL!$C$21, $C$9, 100%, $E$9)</f>
        <v>27.377500000000001</v>
      </c>
      <c r="F819" s="10">
        <f>CHOOSE(CONTROL!$C$42, 27.2773, 27.2773)*CHOOSE(CONTROL!$C$21, $C$9, 100%, $E$9)</f>
        <v>27.2773</v>
      </c>
      <c r="G819" s="10">
        <f>CHOOSE(CONTROL!$C$42, 27.2967, 27.2967)*CHOOSE(CONTROL!$C$21, $C$9, 100%, $E$9)</f>
        <v>27.296700000000001</v>
      </c>
      <c r="H819" s="10">
        <f>CHOOSE(CONTROL!$C$42, 27.3667, 27.3667) * CHOOSE(CONTROL!$C$21, $C$9, 100%, $E$9)</f>
        <v>27.366700000000002</v>
      </c>
      <c r="I819" s="10">
        <f>CHOOSE(CONTROL!$C$42, 27.2702, 27.2702)* CHOOSE(CONTROL!$C$21, $C$9, 100%, $E$9)</f>
        <v>27.270199999999999</v>
      </c>
      <c r="J819" s="10">
        <f>CHOOSE(CONTROL!$C$42, 27.2703, 27.2703)* CHOOSE(CONTROL!$C$21, $C$9, 100%, $E$9)</f>
        <v>27.270299999999999</v>
      </c>
      <c r="K819" s="54">
        <f>CHOOSE(CONTROL!$C$42, 27.2663, 27.2663) * CHOOSE(CONTROL!$C$21, $C$9, 100%, $E$9)</f>
        <v>27.266300000000001</v>
      </c>
      <c r="L819" s="10">
        <f>CHOOSE(CONTROL!$C$42, 27.9537, 27.9537) * CHOOSE(CONTROL!$C$21, $C$9, 100%, $E$9)</f>
        <v>27.953700000000001</v>
      </c>
      <c r="M819" s="10">
        <f>CHOOSE(CONTROL!$C$42, 27.0089, 27.0089) * CHOOSE(CONTROL!$C$21, $C$9, 100%, $E$9)</f>
        <v>27.008900000000001</v>
      </c>
      <c r="N819" s="10">
        <f>CHOOSE(CONTROL!$C$42, 27.0282, 27.0282) * CHOOSE(CONTROL!$C$21, $C$9, 100%, $E$9)</f>
        <v>27.028199999999998</v>
      </c>
      <c r="O819" s="10">
        <f>CHOOSE(CONTROL!$C$42, 27.1044, 27.1044) * CHOOSE(CONTROL!$C$21, $C$9, 100%, $E$9)</f>
        <v>27.104399999999998</v>
      </c>
      <c r="P819" s="10">
        <f>CHOOSE(CONTROL!$C$42, 27.0089, 27.0089) * CHOOSE(CONTROL!$C$21, $C$9, 100%, $E$9)</f>
        <v>27.008900000000001</v>
      </c>
      <c r="Q819" s="10">
        <f>CHOOSE(CONTROL!$C$42, 27.6997, 27.6997) * CHOOSE(CONTROL!$C$21, $C$9, 100%, $E$9)</f>
        <v>27.6997</v>
      </c>
      <c r="R819" s="10">
        <f>CHOOSE(CONTROL!$C$42, 28.3559, 28.3559) * CHOOSE(CONTROL!$C$21, $C$9, 100%, $E$9)</f>
        <v>28.355899999999998</v>
      </c>
      <c r="S819" s="10">
        <f>CHOOSE(CONTROL!$C$42, 26.4578, 26.4578) * CHOOSE(CONTROL!$C$21, $C$9, 100%, $E$9)</f>
        <v>26.457799999999999</v>
      </c>
      <c r="T819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19" s="58">
        <f>(1000*CHOOSE(CONTROL!$C$42, 695, 695)*CHOOSE(CONTROL!$C$42, 0.5599, 0.5599)*CHOOSE(CONTROL!$C$42, 31, 31))/1000000</f>
        <v>12.063045499999998</v>
      </c>
      <c r="V819" s="58">
        <f>(1000*CHOOSE(CONTROL!$C$42, 500, 500)*CHOOSE(CONTROL!$C$42, 0.275, 0.275)*CHOOSE(CONTROL!$C$42, 31, 31))/1000000</f>
        <v>4.2625000000000002</v>
      </c>
      <c r="W819" s="58">
        <f>(1000*CHOOSE(CONTROL!$C$42, 0.1146, 0.1146)*CHOOSE(CONTROL!$C$42, 121.5, 121.5)*CHOOSE(CONTROL!$C$42, 31, 31))/1000000</f>
        <v>0.43164089999999994</v>
      </c>
      <c r="X819" s="58">
        <f>(31*0.1790888*100000/1000000)+(31*0.2374*100000/1000000)</f>
        <v>1.2911152800000001</v>
      </c>
      <c r="Y819" s="58"/>
      <c r="Z819" s="10"/>
      <c r="AA819" s="57"/>
      <c r="AB819" s="51">
        <f>(B819*122.58+C819*297.941+D819*89.177+E819*40.302+F819*40+G819*160+H819*0+I819*100+J819*300)/(122.58+297.941+89.177+40.302+0+40+160+100+300)</f>
        <v>27.276585789565218</v>
      </c>
      <c r="AC819" s="27">
        <f>(M819*'RAP TEMPLATE-GAS AVAILABILITY'!O818+N819*'RAP TEMPLATE-GAS AVAILABILITY'!P818+O819*'RAP TEMPLATE-GAS AVAILABILITY'!Q818+P819*'RAP TEMPLATE-GAS AVAILABILITY'!R818)/('RAP TEMPLATE-GAS AVAILABILITY'!O818+'RAP TEMPLATE-GAS AVAILABILITY'!P818+'RAP TEMPLATE-GAS AVAILABILITY'!Q818+'RAP TEMPLATE-GAS AVAILABILITY'!R818)</f>
        <v>27.053294964028773</v>
      </c>
    </row>
    <row r="820" spans="1:29" ht="15.75" x14ac:dyDescent="0.25">
      <c r="A820" s="13">
        <v>66231</v>
      </c>
      <c r="B820" s="10">
        <f>CHOOSE(CONTROL!$C$42, 27.1666, 27.1666) * CHOOSE(CONTROL!$C$21, $C$9, 100%, $E$9)</f>
        <v>27.166599999999999</v>
      </c>
      <c r="C820" s="10">
        <f>CHOOSE(CONTROL!$C$42, 27.171, 27.171) * CHOOSE(CONTROL!$C$21, $C$9, 100%, $E$9)</f>
        <v>27.170999999999999</v>
      </c>
      <c r="D820" s="10">
        <f>CHOOSE(CONTROL!$C$42, 27.3527, 27.3527) * CHOOSE(CONTROL!$C$21, $C$9, 100%, $E$9)</f>
        <v>27.352699999999999</v>
      </c>
      <c r="E820" s="10">
        <f>CHOOSE(CONTROL!$C$42, 27.3844, 27.3844) * CHOOSE(CONTROL!$C$21, $C$9, 100%, $E$9)</f>
        <v>27.384399999999999</v>
      </c>
      <c r="F820" s="10">
        <f>CHOOSE(CONTROL!$C$42, 27.1549, 27.1549)*CHOOSE(CONTROL!$C$21, $C$9, 100%, $E$9)</f>
        <v>27.154900000000001</v>
      </c>
      <c r="G820" s="10">
        <f>CHOOSE(CONTROL!$C$42, 27.1729, 27.1729)*CHOOSE(CONTROL!$C$21, $C$9, 100%, $E$9)</f>
        <v>27.172899999999998</v>
      </c>
      <c r="H820" s="10">
        <f>CHOOSE(CONTROL!$C$42, 27.3742, 27.3742) * CHOOSE(CONTROL!$C$21, $C$9, 100%, $E$9)</f>
        <v>27.374199999999998</v>
      </c>
      <c r="I820" s="10">
        <f>CHOOSE(CONTROL!$C$42, 27.1449, 27.1449)* CHOOSE(CONTROL!$C$21, $C$9, 100%, $E$9)</f>
        <v>27.1449</v>
      </c>
      <c r="J820" s="10">
        <f>CHOOSE(CONTROL!$C$42, 27.1479, 27.1479)* CHOOSE(CONTROL!$C$21, $C$9, 100%, $E$9)</f>
        <v>27.1479</v>
      </c>
      <c r="K820" s="54">
        <f>CHOOSE(CONTROL!$C$42, 27.141, 27.141) * CHOOSE(CONTROL!$C$21, $C$9, 100%, $E$9)</f>
        <v>27.140999999999998</v>
      </c>
      <c r="L820" s="10">
        <f>CHOOSE(CONTROL!$C$42, 27.9612, 27.9612) * CHOOSE(CONTROL!$C$21, $C$9, 100%, $E$9)</f>
        <v>27.961200000000002</v>
      </c>
      <c r="M820" s="10">
        <f>CHOOSE(CONTROL!$C$42, 26.8878, 26.8878) * CHOOSE(CONTROL!$C$21, $C$9, 100%, $E$9)</f>
        <v>26.887799999999999</v>
      </c>
      <c r="N820" s="10">
        <f>CHOOSE(CONTROL!$C$42, 26.9056, 26.9056) * CHOOSE(CONTROL!$C$21, $C$9, 100%, $E$9)</f>
        <v>26.9056</v>
      </c>
      <c r="O820" s="10">
        <f>CHOOSE(CONTROL!$C$42, 27.1118, 27.1118) * CHOOSE(CONTROL!$C$21, $C$9, 100%, $E$9)</f>
        <v>27.111799999999999</v>
      </c>
      <c r="P820" s="10">
        <f>CHOOSE(CONTROL!$C$42, 26.8848, 26.8848) * CHOOSE(CONTROL!$C$21, $C$9, 100%, $E$9)</f>
        <v>26.884799999999998</v>
      </c>
      <c r="Q820" s="10">
        <f>CHOOSE(CONTROL!$C$42, 27.7071, 27.7071) * CHOOSE(CONTROL!$C$21, $C$9, 100%, $E$9)</f>
        <v>27.707100000000001</v>
      </c>
      <c r="R820" s="10">
        <f>CHOOSE(CONTROL!$C$42, 28.3634, 28.3634) * CHOOSE(CONTROL!$C$21, $C$9, 100%, $E$9)</f>
        <v>28.363399999999999</v>
      </c>
      <c r="S820" s="10">
        <f>CHOOSE(CONTROL!$C$42, 26.3786, 26.3786) * CHOOSE(CONTROL!$C$21, $C$9, 100%, $E$9)</f>
        <v>26.378599999999999</v>
      </c>
      <c r="T820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20" s="58">
        <f>(1000*CHOOSE(CONTROL!$C$42, 695, 695)*CHOOSE(CONTROL!$C$42, 0.5599, 0.5599)*CHOOSE(CONTROL!$C$42, 30, 30))/1000000</f>
        <v>11.673914999999997</v>
      </c>
      <c r="V820" s="58">
        <f>(1000*CHOOSE(CONTROL!$C$42, 500, 500)*CHOOSE(CONTROL!$C$42, 0.275, 0.275)*CHOOSE(CONTROL!$C$42, 30, 30))/1000000</f>
        <v>4.125</v>
      </c>
      <c r="W820" s="58">
        <f>(1000*CHOOSE(CONTROL!$C$42, 0.1146, 0.1146)*CHOOSE(CONTROL!$C$42, 121.5, 121.5)*CHOOSE(CONTROL!$C$42, 30, 30))/1000000</f>
        <v>0.417717</v>
      </c>
      <c r="X820" s="58">
        <f>(30*0.1790888*245000/1000000)+(30*0.2374*100000/1000000)</f>
        <v>2.0285026799999999</v>
      </c>
      <c r="Y820" s="58"/>
      <c r="Z820" s="10"/>
      <c r="AA820" s="57"/>
      <c r="AB820" s="51">
        <f>(B820*141.293+C820*267.993+D820*115.016+E820*89.698+F820*40+G820*185+H820*0+I820*100+J820*300)/(141.293+267.993+115.016+89.698+0+40+185+100+300)</f>
        <v>27.194878749959642</v>
      </c>
      <c r="AC820" s="27">
        <f>(M820*'RAP TEMPLATE-GAS AVAILABILITY'!O819+N820*'RAP TEMPLATE-GAS AVAILABILITY'!P819+O820*'RAP TEMPLATE-GAS AVAILABILITY'!Q819+P820*'RAP TEMPLATE-GAS AVAILABILITY'!R819)/('RAP TEMPLATE-GAS AVAILABILITY'!O819+'RAP TEMPLATE-GAS AVAILABILITY'!P819+'RAP TEMPLATE-GAS AVAILABILITY'!Q819+'RAP TEMPLATE-GAS AVAILABILITY'!R819)</f>
        <v>26.989917985611509</v>
      </c>
    </row>
    <row r="821" spans="1:29" ht="15.75" x14ac:dyDescent="0.25">
      <c r="A821" s="13">
        <v>66262</v>
      </c>
      <c r="B821" s="10">
        <f>CHOOSE(CONTROL!$C$42, 27.4081, 27.4081) * CHOOSE(CONTROL!$C$21, $C$9, 100%, $E$9)</f>
        <v>27.408100000000001</v>
      </c>
      <c r="C821" s="10">
        <f>CHOOSE(CONTROL!$C$42, 27.4161, 27.4161) * CHOOSE(CONTROL!$C$21, $C$9, 100%, $E$9)</f>
        <v>27.4161</v>
      </c>
      <c r="D821" s="10">
        <f>CHOOSE(CONTROL!$C$42, 27.5946, 27.5946) * CHOOSE(CONTROL!$C$21, $C$9, 100%, $E$9)</f>
        <v>27.5946</v>
      </c>
      <c r="E821" s="10">
        <f>CHOOSE(CONTROL!$C$42, 27.6257, 27.6257) * CHOOSE(CONTROL!$C$21, $C$9, 100%, $E$9)</f>
        <v>27.625699999999998</v>
      </c>
      <c r="F821" s="10">
        <f>CHOOSE(CONTROL!$C$42, 27.3943, 27.3943)*CHOOSE(CONTROL!$C$21, $C$9, 100%, $E$9)</f>
        <v>27.394300000000001</v>
      </c>
      <c r="G821" s="10">
        <f>CHOOSE(CONTROL!$C$42, 27.4125, 27.4125)*CHOOSE(CONTROL!$C$21, $C$9, 100%, $E$9)</f>
        <v>27.412500000000001</v>
      </c>
      <c r="H821" s="10">
        <f>CHOOSE(CONTROL!$C$42, 27.6144, 27.6144) * CHOOSE(CONTROL!$C$21, $C$9, 100%, $E$9)</f>
        <v>27.6144</v>
      </c>
      <c r="I821" s="10">
        <f>CHOOSE(CONTROL!$C$42, 27.385, 27.385)* CHOOSE(CONTROL!$C$21, $C$9, 100%, $E$9)</f>
        <v>27.385000000000002</v>
      </c>
      <c r="J821" s="10">
        <f>CHOOSE(CONTROL!$C$42, 27.3873, 27.3873)* CHOOSE(CONTROL!$C$21, $C$9, 100%, $E$9)</f>
        <v>27.3873</v>
      </c>
      <c r="K821" s="54">
        <f>CHOOSE(CONTROL!$C$42, 27.3811, 27.3811) * CHOOSE(CONTROL!$C$21, $C$9, 100%, $E$9)</f>
        <v>27.3811</v>
      </c>
      <c r="L821" s="10">
        <f>CHOOSE(CONTROL!$C$42, 28.2014, 28.2014) * CHOOSE(CONTROL!$C$21, $C$9, 100%, $E$9)</f>
        <v>28.2014</v>
      </c>
      <c r="M821" s="10">
        <f>CHOOSE(CONTROL!$C$42, 27.1248, 27.1248) * CHOOSE(CONTROL!$C$21, $C$9, 100%, $E$9)</f>
        <v>27.1248</v>
      </c>
      <c r="N821" s="10">
        <f>CHOOSE(CONTROL!$C$42, 27.1428, 27.1428) * CHOOSE(CONTROL!$C$21, $C$9, 100%, $E$9)</f>
        <v>27.142800000000001</v>
      </c>
      <c r="O821" s="10">
        <f>CHOOSE(CONTROL!$C$42, 27.3495, 27.3495) * CHOOSE(CONTROL!$C$21, $C$9, 100%, $E$9)</f>
        <v>27.349499999999999</v>
      </c>
      <c r="P821" s="10">
        <f>CHOOSE(CONTROL!$C$42, 27.1225, 27.1225) * CHOOSE(CONTROL!$C$21, $C$9, 100%, $E$9)</f>
        <v>27.122499999999999</v>
      </c>
      <c r="Q821" s="10">
        <f>CHOOSE(CONTROL!$C$42, 27.9448, 27.9448) * CHOOSE(CONTROL!$C$21, $C$9, 100%, $E$9)</f>
        <v>27.944800000000001</v>
      </c>
      <c r="R821" s="10">
        <f>CHOOSE(CONTROL!$C$42, 28.6017, 28.6017) * CHOOSE(CONTROL!$C$21, $C$9, 100%, $E$9)</f>
        <v>28.601700000000001</v>
      </c>
      <c r="S821" s="10">
        <f>CHOOSE(CONTROL!$C$42, 26.6118, 26.6118) * CHOOSE(CONTROL!$C$21, $C$9, 100%, $E$9)</f>
        <v>26.611799999999999</v>
      </c>
      <c r="T821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21" s="58">
        <f>(1000*CHOOSE(CONTROL!$C$42, 695, 695)*CHOOSE(CONTROL!$C$42, 0.5599, 0.5599)*CHOOSE(CONTROL!$C$42, 31, 31))/1000000</f>
        <v>12.063045499999998</v>
      </c>
      <c r="V821" s="58">
        <f>(1000*CHOOSE(CONTROL!$C$42, 500, 500)*CHOOSE(CONTROL!$C$42, 0.275, 0.275)*CHOOSE(CONTROL!$C$42, 31, 31))/1000000</f>
        <v>4.2625000000000002</v>
      </c>
      <c r="W821" s="58">
        <f>(1000*CHOOSE(CONTROL!$C$42, 0.1146, 0.1146)*CHOOSE(CONTROL!$C$42, 121.5, 121.5)*CHOOSE(CONTROL!$C$42, 31, 31))/1000000</f>
        <v>0.43164089999999994</v>
      </c>
      <c r="X821" s="58">
        <f>(31*0.1790888*245000/1000000)+(31*0.2374*100000/1000000)</f>
        <v>2.0961194359999999</v>
      </c>
      <c r="Y821" s="58"/>
      <c r="Z821" s="10"/>
      <c r="AA821" s="57"/>
      <c r="AB821" s="51">
        <f>(B821*194.205+C821*267.466+D821*133.845+E821*53.484+F821*40+G821*185+H821*0+I821*100+J821*300)/(194.205+267.466+133.845+53.484+0+40+185+100+300)</f>
        <v>27.432002620800631</v>
      </c>
      <c r="AC821" s="27">
        <f>(M821*'RAP TEMPLATE-GAS AVAILABILITY'!O820+N821*'RAP TEMPLATE-GAS AVAILABILITY'!P820+O821*'RAP TEMPLATE-GAS AVAILABILITY'!Q820+P821*'RAP TEMPLATE-GAS AVAILABILITY'!R820)/('RAP TEMPLATE-GAS AVAILABILITY'!O820+'RAP TEMPLATE-GAS AVAILABILITY'!P820+'RAP TEMPLATE-GAS AVAILABILITY'!Q820+'RAP TEMPLATE-GAS AVAILABILITY'!R820)</f>
        <v>27.227347482014387</v>
      </c>
    </row>
    <row r="822" spans="1:29" ht="15.75" x14ac:dyDescent="0.25">
      <c r="A822" s="13">
        <v>66292</v>
      </c>
      <c r="B822" s="10">
        <f>CHOOSE(CONTROL!$C$42, 28.1855, 28.1855) * CHOOSE(CONTROL!$C$21, $C$9, 100%, $E$9)</f>
        <v>28.185500000000001</v>
      </c>
      <c r="C822" s="10">
        <f>CHOOSE(CONTROL!$C$42, 28.1934, 28.1934) * CHOOSE(CONTROL!$C$21, $C$9, 100%, $E$9)</f>
        <v>28.1934</v>
      </c>
      <c r="D822" s="10">
        <f>CHOOSE(CONTROL!$C$42, 28.3719, 28.3719) * CHOOSE(CONTROL!$C$21, $C$9, 100%, $E$9)</f>
        <v>28.3719</v>
      </c>
      <c r="E822" s="10">
        <f>CHOOSE(CONTROL!$C$42, 28.403, 28.403) * CHOOSE(CONTROL!$C$21, $C$9, 100%, $E$9)</f>
        <v>28.402999999999999</v>
      </c>
      <c r="F822" s="10">
        <f>CHOOSE(CONTROL!$C$42, 28.1719, 28.1719)*CHOOSE(CONTROL!$C$21, $C$9, 100%, $E$9)</f>
        <v>28.171900000000001</v>
      </c>
      <c r="G822" s="10">
        <f>CHOOSE(CONTROL!$C$42, 28.1901, 28.1901)*CHOOSE(CONTROL!$C$21, $C$9, 100%, $E$9)</f>
        <v>28.190100000000001</v>
      </c>
      <c r="H822" s="10">
        <f>CHOOSE(CONTROL!$C$42, 28.3917, 28.3917) * CHOOSE(CONTROL!$C$21, $C$9, 100%, $E$9)</f>
        <v>28.3917</v>
      </c>
      <c r="I822" s="10">
        <f>CHOOSE(CONTROL!$C$42, 28.1623, 28.1623)* CHOOSE(CONTROL!$C$21, $C$9, 100%, $E$9)</f>
        <v>28.162299999999998</v>
      </c>
      <c r="J822" s="10">
        <f>CHOOSE(CONTROL!$C$42, 28.1649, 28.1649)* CHOOSE(CONTROL!$C$21, $C$9, 100%, $E$9)</f>
        <v>28.164899999999999</v>
      </c>
      <c r="K822" s="54">
        <f>CHOOSE(CONTROL!$C$42, 28.1584, 28.1584) * CHOOSE(CONTROL!$C$21, $C$9, 100%, $E$9)</f>
        <v>28.1584</v>
      </c>
      <c r="L822" s="10">
        <f>CHOOSE(CONTROL!$C$42, 28.9787, 28.9787) * CHOOSE(CONTROL!$C$21, $C$9, 100%, $E$9)</f>
        <v>28.9787</v>
      </c>
      <c r="M822" s="10">
        <f>CHOOSE(CONTROL!$C$42, 27.8945, 27.8945) * CHOOSE(CONTROL!$C$21, $C$9, 100%, $E$9)</f>
        <v>27.894500000000001</v>
      </c>
      <c r="N822" s="10">
        <f>CHOOSE(CONTROL!$C$42, 27.9125, 27.9125) * CHOOSE(CONTROL!$C$21, $C$9, 100%, $E$9)</f>
        <v>27.912500000000001</v>
      </c>
      <c r="O822" s="10">
        <f>CHOOSE(CONTROL!$C$42, 28.119, 28.119) * CHOOSE(CONTROL!$C$21, $C$9, 100%, $E$9)</f>
        <v>28.119</v>
      </c>
      <c r="P822" s="10">
        <f>CHOOSE(CONTROL!$C$42, 27.892, 27.892) * CHOOSE(CONTROL!$C$21, $C$9, 100%, $E$9)</f>
        <v>27.891999999999999</v>
      </c>
      <c r="Q822" s="10">
        <f>CHOOSE(CONTROL!$C$42, 28.7143, 28.7143) * CHOOSE(CONTROL!$C$21, $C$9, 100%, $E$9)</f>
        <v>28.714300000000001</v>
      </c>
      <c r="R822" s="10">
        <f>CHOOSE(CONTROL!$C$42, 29.3731, 29.3731) * CHOOSE(CONTROL!$C$21, $C$9, 100%, $E$9)</f>
        <v>29.373100000000001</v>
      </c>
      <c r="S822" s="10">
        <f>CHOOSE(CONTROL!$C$42, 27.3667, 27.3667) * CHOOSE(CONTROL!$C$21, $C$9, 100%, $E$9)</f>
        <v>27.366700000000002</v>
      </c>
      <c r="T822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822" s="58">
        <f>(1000*CHOOSE(CONTROL!$C$42, 695, 695)*CHOOSE(CONTROL!$C$42, 0.5599, 0.5599)*CHOOSE(CONTROL!$C$42, 30, 30))/1000000</f>
        <v>11.673914999999997</v>
      </c>
      <c r="V822" s="58">
        <f>(1000*CHOOSE(CONTROL!$C$42, 500, 500)*CHOOSE(CONTROL!$C$42, 0.275, 0.275)*CHOOSE(CONTROL!$C$42, 30, 30))/1000000</f>
        <v>4.125</v>
      </c>
      <c r="W822" s="58">
        <f>(1000*CHOOSE(CONTROL!$C$42, 0.1146, 0.1146)*CHOOSE(CONTROL!$C$42, 121.5, 121.5)*CHOOSE(CONTROL!$C$42, 30, 30))/1000000</f>
        <v>0.417717</v>
      </c>
      <c r="X822" s="58">
        <f>(30*0.1790888*245000/1000000)+(30*0.2374*100000/1000000)</f>
        <v>2.0285026799999999</v>
      </c>
      <c r="Y822" s="58"/>
      <c r="Z822" s="10"/>
      <c r="AA822" s="57"/>
      <c r="AB822" s="51">
        <f>(B822*194.205+C822*267.466+D822*133.845+E822*53.484+F822*40+G822*185+H822*0+I822*100+J822*300)/(194.205+267.466+133.845+53.484+0+40+185+100+300)</f>
        <v>28.209441490894818</v>
      </c>
      <c r="AC822" s="27">
        <f>(M822*'RAP TEMPLATE-GAS AVAILABILITY'!O821+N822*'RAP TEMPLATE-GAS AVAILABILITY'!P821+O822*'RAP TEMPLATE-GAS AVAILABILITY'!Q821+P822*'RAP TEMPLATE-GAS AVAILABILITY'!R821)/('RAP TEMPLATE-GAS AVAILABILITY'!O821+'RAP TEMPLATE-GAS AVAILABILITY'!P821+'RAP TEMPLATE-GAS AVAILABILITY'!Q821+'RAP TEMPLATE-GAS AVAILABILITY'!R821)</f>
        <v>27.996928057553959</v>
      </c>
    </row>
    <row r="823" spans="1:29" ht="15.75" x14ac:dyDescent="0.25">
      <c r="A823" s="13">
        <v>66323</v>
      </c>
      <c r="B823" s="10">
        <f>CHOOSE(CONTROL!$C$42, 27.6448, 27.6448) * CHOOSE(CONTROL!$C$21, $C$9, 100%, $E$9)</f>
        <v>27.6448</v>
      </c>
      <c r="C823" s="10">
        <f>CHOOSE(CONTROL!$C$42, 27.6528, 27.6528) * CHOOSE(CONTROL!$C$21, $C$9, 100%, $E$9)</f>
        <v>27.652799999999999</v>
      </c>
      <c r="D823" s="10">
        <f>CHOOSE(CONTROL!$C$42, 27.8313, 27.8313) * CHOOSE(CONTROL!$C$21, $C$9, 100%, $E$9)</f>
        <v>27.831299999999999</v>
      </c>
      <c r="E823" s="10">
        <f>CHOOSE(CONTROL!$C$42, 27.8624, 27.8624) * CHOOSE(CONTROL!$C$21, $C$9, 100%, $E$9)</f>
        <v>27.862400000000001</v>
      </c>
      <c r="F823" s="10">
        <f>CHOOSE(CONTROL!$C$42, 27.6315, 27.6315)*CHOOSE(CONTROL!$C$21, $C$9, 100%, $E$9)</f>
        <v>27.631499999999999</v>
      </c>
      <c r="G823" s="10">
        <f>CHOOSE(CONTROL!$C$42, 27.6499, 27.6499)*CHOOSE(CONTROL!$C$21, $C$9, 100%, $E$9)</f>
        <v>27.649899999999999</v>
      </c>
      <c r="H823" s="10">
        <f>CHOOSE(CONTROL!$C$42, 27.8511, 27.8511) * CHOOSE(CONTROL!$C$21, $C$9, 100%, $E$9)</f>
        <v>27.851099999999999</v>
      </c>
      <c r="I823" s="10">
        <f>CHOOSE(CONTROL!$C$42, 27.6217, 27.6217)* CHOOSE(CONTROL!$C$21, $C$9, 100%, $E$9)</f>
        <v>27.621700000000001</v>
      </c>
      <c r="J823" s="10">
        <f>CHOOSE(CONTROL!$C$42, 27.6245, 27.6245)* CHOOSE(CONTROL!$C$21, $C$9, 100%, $E$9)</f>
        <v>27.624500000000001</v>
      </c>
      <c r="K823" s="54">
        <f>CHOOSE(CONTROL!$C$42, 27.6178, 27.6178) * CHOOSE(CONTROL!$C$21, $C$9, 100%, $E$9)</f>
        <v>27.617799999999999</v>
      </c>
      <c r="L823" s="10">
        <f>CHOOSE(CONTROL!$C$42, 28.4381, 28.4381) * CHOOSE(CONTROL!$C$21, $C$9, 100%, $E$9)</f>
        <v>28.438099999999999</v>
      </c>
      <c r="M823" s="10">
        <f>CHOOSE(CONTROL!$C$42, 27.3596, 27.3596) * CHOOSE(CONTROL!$C$21, $C$9, 100%, $E$9)</f>
        <v>27.3596</v>
      </c>
      <c r="N823" s="10">
        <f>CHOOSE(CONTROL!$C$42, 27.3777, 27.3777) * CHOOSE(CONTROL!$C$21, $C$9, 100%, $E$9)</f>
        <v>27.377700000000001</v>
      </c>
      <c r="O823" s="10">
        <f>CHOOSE(CONTROL!$C$42, 27.5838, 27.5838) * CHOOSE(CONTROL!$C$21, $C$9, 100%, $E$9)</f>
        <v>27.5838</v>
      </c>
      <c r="P823" s="10">
        <f>CHOOSE(CONTROL!$C$42, 27.3568, 27.3568) * CHOOSE(CONTROL!$C$21, $C$9, 100%, $E$9)</f>
        <v>27.3568</v>
      </c>
      <c r="Q823" s="10">
        <f>CHOOSE(CONTROL!$C$42, 28.1791, 28.1791) * CHOOSE(CONTROL!$C$21, $C$9, 100%, $E$9)</f>
        <v>28.179099999999998</v>
      </c>
      <c r="R823" s="10">
        <f>CHOOSE(CONTROL!$C$42, 28.8366, 28.8366) * CHOOSE(CONTROL!$C$21, $C$9, 100%, $E$9)</f>
        <v>28.836600000000001</v>
      </c>
      <c r="S823" s="10">
        <f>CHOOSE(CONTROL!$C$42, 26.8416, 26.8416) * CHOOSE(CONTROL!$C$21, $C$9, 100%, $E$9)</f>
        <v>26.8416</v>
      </c>
      <c r="T823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823" s="58">
        <f>(1000*CHOOSE(CONTROL!$C$42, 695, 695)*CHOOSE(CONTROL!$C$42, 0.5599, 0.5599)*CHOOSE(CONTROL!$C$42, 31, 31))/1000000</f>
        <v>12.063045499999998</v>
      </c>
      <c r="V823" s="58">
        <f>(1000*CHOOSE(CONTROL!$C$42, 500, 500)*CHOOSE(CONTROL!$C$42, 0.275, 0.275)*CHOOSE(CONTROL!$C$42, 31, 31))/1000000</f>
        <v>4.2625000000000002</v>
      </c>
      <c r="W823" s="58">
        <f>(1000*CHOOSE(CONTROL!$C$42, 0.1146, 0.1146)*CHOOSE(CONTROL!$C$42, 121.5, 121.5)*CHOOSE(CONTROL!$C$42, 31, 31))/1000000</f>
        <v>0.43164089999999994</v>
      </c>
      <c r="X823" s="58">
        <f>(31*0.1790888*245000/1000000)+(31*0.2374*100000/1000000)</f>
        <v>2.0961194359999999</v>
      </c>
      <c r="Y823" s="58"/>
      <c r="Z823" s="10"/>
      <c r="AA823" s="57"/>
      <c r="AB823" s="51">
        <f>(B823*194.205+C823*267.466+D823*133.845+E823*53.484+F823*40+G823*185+H823*0+I823*100+J823*300)/(194.205+267.466+133.845+53.484+0+40+185+100+300)</f>
        <v>27.668937707142852</v>
      </c>
      <c r="AC823" s="27">
        <f>(M823*'RAP TEMPLATE-GAS AVAILABILITY'!O822+N823*'RAP TEMPLATE-GAS AVAILABILITY'!P822+O823*'RAP TEMPLATE-GAS AVAILABILITY'!Q822+P823*'RAP TEMPLATE-GAS AVAILABILITY'!R822)/('RAP TEMPLATE-GAS AVAILABILITY'!O822+'RAP TEMPLATE-GAS AVAILABILITY'!P822+'RAP TEMPLATE-GAS AVAILABILITY'!Q822+'RAP TEMPLATE-GAS AVAILABILITY'!R822)</f>
        <v>27.461854676258994</v>
      </c>
    </row>
    <row r="824" spans="1:29" ht="15.75" x14ac:dyDescent="0.25">
      <c r="A824" s="13">
        <v>66354</v>
      </c>
      <c r="B824" s="10">
        <f>CHOOSE(CONTROL!$C$42, 26.2796, 26.2796) * CHOOSE(CONTROL!$C$21, $C$9, 100%, $E$9)</f>
        <v>26.279599999999999</v>
      </c>
      <c r="C824" s="10">
        <f>CHOOSE(CONTROL!$C$42, 26.2875, 26.2875) * CHOOSE(CONTROL!$C$21, $C$9, 100%, $E$9)</f>
        <v>26.287500000000001</v>
      </c>
      <c r="D824" s="10">
        <f>CHOOSE(CONTROL!$C$42, 26.466, 26.466) * CHOOSE(CONTROL!$C$21, $C$9, 100%, $E$9)</f>
        <v>26.466000000000001</v>
      </c>
      <c r="E824" s="10">
        <f>CHOOSE(CONTROL!$C$42, 26.4972, 26.4972) * CHOOSE(CONTROL!$C$21, $C$9, 100%, $E$9)</f>
        <v>26.497199999999999</v>
      </c>
      <c r="F824" s="10">
        <f>CHOOSE(CONTROL!$C$42, 26.2662, 26.2662)*CHOOSE(CONTROL!$C$21, $C$9, 100%, $E$9)</f>
        <v>26.266200000000001</v>
      </c>
      <c r="G824" s="10">
        <f>CHOOSE(CONTROL!$C$42, 26.2845, 26.2845)*CHOOSE(CONTROL!$C$21, $C$9, 100%, $E$9)</f>
        <v>26.284500000000001</v>
      </c>
      <c r="H824" s="10">
        <f>CHOOSE(CONTROL!$C$42, 26.4858, 26.4858) * CHOOSE(CONTROL!$C$21, $C$9, 100%, $E$9)</f>
        <v>26.485800000000001</v>
      </c>
      <c r="I824" s="10">
        <f>CHOOSE(CONTROL!$C$42, 26.2564, 26.2564)* CHOOSE(CONTROL!$C$21, $C$9, 100%, $E$9)</f>
        <v>26.256399999999999</v>
      </c>
      <c r="J824" s="10">
        <f>CHOOSE(CONTROL!$C$42, 26.2592, 26.2592)* CHOOSE(CONTROL!$C$21, $C$9, 100%, $E$9)</f>
        <v>26.2592</v>
      </c>
      <c r="K824" s="54">
        <f>CHOOSE(CONTROL!$C$42, 26.2526, 26.2526) * CHOOSE(CONTROL!$C$21, $C$9, 100%, $E$9)</f>
        <v>26.252600000000001</v>
      </c>
      <c r="L824" s="10">
        <f>CHOOSE(CONTROL!$C$42, 27.0728, 27.0728) * CHOOSE(CONTROL!$C$21, $C$9, 100%, $E$9)</f>
        <v>27.072800000000001</v>
      </c>
      <c r="M824" s="10">
        <f>CHOOSE(CONTROL!$C$42, 26.0081, 26.0081) * CHOOSE(CONTROL!$C$21, $C$9, 100%, $E$9)</f>
        <v>26.008099999999999</v>
      </c>
      <c r="N824" s="10">
        <f>CHOOSE(CONTROL!$C$42, 26.0262, 26.0262) * CHOOSE(CONTROL!$C$21, $C$9, 100%, $E$9)</f>
        <v>26.026199999999999</v>
      </c>
      <c r="O824" s="10">
        <f>CHOOSE(CONTROL!$C$42, 26.2323, 26.2323) * CHOOSE(CONTROL!$C$21, $C$9, 100%, $E$9)</f>
        <v>26.232299999999999</v>
      </c>
      <c r="P824" s="10">
        <f>CHOOSE(CONTROL!$C$42, 26.0053, 26.0053) * CHOOSE(CONTROL!$C$21, $C$9, 100%, $E$9)</f>
        <v>26.005299999999998</v>
      </c>
      <c r="Q824" s="10">
        <f>CHOOSE(CONTROL!$C$42, 26.8276, 26.8276) * CHOOSE(CONTROL!$C$21, $C$9, 100%, $E$9)</f>
        <v>26.8276</v>
      </c>
      <c r="R824" s="10">
        <f>CHOOSE(CONTROL!$C$42, 27.4817, 27.4817) * CHOOSE(CONTROL!$C$21, $C$9, 100%, $E$9)</f>
        <v>27.4817</v>
      </c>
      <c r="S824" s="10">
        <f>CHOOSE(CONTROL!$C$42, 25.5159, 25.5159) * CHOOSE(CONTROL!$C$21, $C$9, 100%, $E$9)</f>
        <v>25.515899999999998</v>
      </c>
      <c r="T824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24" s="58">
        <f>(1000*CHOOSE(CONTROL!$C$42, 695, 695)*CHOOSE(CONTROL!$C$42, 0.5599, 0.5599)*CHOOSE(CONTROL!$C$42, 31, 31))/1000000</f>
        <v>12.063045499999998</v>
      </c>
      <c r="V824" s="58">
        <f>(1000*CHOOSE(CONTROL!$C$42, 500, 500)*CHOOSE(CONTROL!$C$42, 0.275, 0.275)*CHOOSE(CONTROL!$C$42, 31, 31))/1000000</f>
        <v>4.2625000000000002</v>
      </c>
      <c r="W824" s="58">
        <f>(1000*CHOOSE(CONTROL!$C$42, 0.1146, 0.1146)*CHOOSE(CONTROL!$C$42, 121.5, 121.5)*CHOOSE(CONTROL!$C$42, 31, 31))/1000000</f>
        <v>0.43164089999999994</v>
      </c>
      <c r="X824" s="58">
        <f>(31*0.1790888*245000/1000000)+(31*0.2374*100000/1000000)</f>
        <v>2.0961194359999999</v>
      </c>
      <c r="Y824" s="58"/>
      <c r="Z824" s="10"/>
      <c r="AA824" s="57"/>
      <c r="AB824" s="51">
        <f>(B824*194.205+C824*267.466+D824*133.845+E824*53.484+F824*40+G824*185+H824*0+I824*100+J824*300)/(194.205+267.466+133.845+53.484+0+40+185+100+300)</f>
        <v>26.303642627786502</v>
      </c>
      <c r="AC824" s="27">
        <f>(M824*'RAP TEMPLATE-GAS AVAILABILITY'!O823+N824*'RAP TEMPLATE-GAS AVAILABILITY'!P823+O824*'RAP TEMPLATE-GAS AVAILABILITY'!Q823+P824*'RAP TEMPLATE-GAS AVAILABILITY'!R823)/('RAP TEMPLATE-GAS AVAILABILITY'!O823+'RAP TEMPLATE-GAS AVAILABILITY'!P823+'RAP TEMPLATE-GAS AVAILABILITY'!Q823+'RAP TEMPLATE-GAS AVAILABILITY'!R823)</f>
        <v>26.110354676258989</v>
      </c>
    </row>
    <row r="825" spans="1:29" ht="15.75" x14ac:dyDescent="0.25">
      <c r="A825" s="13">
        <v>66384</v>
      </c>
      <c r="B825" s="10">
        <f>CHOOSE(CONTROL!$C$42, 24.6115, 24.6115) * CHOOSE(CONTROL!$C$21, $C$9, 100%, $E$9)</f>
        <v>24.611499999999999</v>
      </c>
      <c r="C825" s="10">
        <f>CHOOSE(CONTROL!$C$42, 24.6194, 24.6194) * CHOOSE(CONTROL!$C$21, $C$9, 100%, $E$9)</f>
        <v>24.619399999999999</v>
      </c>
      <c r="D825" s="10">
        <f>CHOOSE(CONTROL!$C$42, 24.7979, 24.7979) * CHOOSE(CONTROL!$C$21, $C$9, 100%, $E$9)</f>
        <v>24.797899999999998</v>
      </c>
      <c r="E825" s="10">
        <f>CHOOSE(CONTROL!$C$42, 24.8291, 24.8291) * CHOOSE(CONTROL!$C$21, $C$9, 100%, $E$9)</f>
        <v>24.8291</v>
      </c>
      <c r="F825" s="10">
        <f>CHOOSE(CONTROL!$C$42, 24.5979, 24.5979)*CHOOSE(CONTROL!$C$21, $C$9, 100%, $E$9)</f>
        <v>24.597899999999999</v>
      </c>
      <c r="G825" s="10">
        <f>CHOOSE(CONTROL!$C$42, 24.6161, 24.6161)*CHOOSE(CONTROL!$C$21, $C$9, 100%, $E$9)</f>
        <v>24.616099999999999</v>
      </c>
      <c r="H825" s="10">
        <f>CHOOSE(CONTROL!$C$42, 24.8177, 24.8177) * CHOOSE(CONTROL!$C$21, $C$9, 100%, $E$9)</f>
        <v>24.817699999999999</v>
      </c>
      <c r="I825" s="10">
        <f>CHOOSE(CONTROL!$C$42, 24.5884, 24.5884)* CHOOSE(CONTROL!$C$21, $C$9, 100%, $E$9)</f>
        <v>24.5884</v>
      </c>
      <c r="J825" s="10">
        <f>CHOOSE(CONTROL!$C$42, 24.5909, 24.5909)* CHOOSE(CONTROL!$C$21, $C$9, 100%, $E$9)</f>
        <v>24.590900000000001</v>
      </c>
      <c r="K825" s="54">
        <f>CHOOSE(CONTROL!$C$42, 24.5845, 24.5845) * CHOOSE(CONTROL!$C$21, $C$9, 100%, $E$9)</f>
        <v>24.584499999999998</v>
      </c>
      <c r="L825" s="10">
        <f>CHOOSE(CONTROL!$C$42, 25.4047, 25.4047) * CHOOSE(CONTROL!$C$21, $C$9, 100%, $E$9)</f>
        <v>25.404699999999998</v>
      </c>
      <c r="M825" s="10">
        <f>CHOOSE(CONTROL!$C$42, 24.3565, 24.3565) * CHOOSE(CONTROL!$C$21, $C$9, 100%, $E$9)</f>
        <v>24.3565</v>
      </c>
      <c r="N825" s="10">
        <f>CHOOSE(CONTROL!$C$42, 24.3746, 24.3746) * CHOOSE(CONTROL!$C$21, $C$9, 100%, $E$9)</f>
        <v>24.374600000000001</v>
      </c>
      <c r="O825" s="10">
        <f>CHOOSE(CONTROL!$C$42, 24.5811, 24.5811) * CHOOSE(CONTROL!$C$21, $C$9, 100%, $E$9)</f>
        <v>24.581099999999999</v>
      </c>
      <c r="P825" s="10">
        <f>CHOOSE(CONTROL!$C$42, 24.3541, 24.3541) * CHOOSE(CONTROL!$C$21, $C$9, 100%, $E$9)</f>
        <v>24.354099999999999</v>
      </c>
      <c r="Q825" s="10">
        <f>CHOOSE(CONTROL!$C$42, 25.1764, 25.1764) * CHOOSE(CONTROL!$C$21, $C$9, 100%, $E$9)</f>
        <v>25.176400000000001</v>
      </c>
      <c r="R825" s="10">
        <f>CHOOSE(CONTROL!$C$42, 25.8263, 25.8263) * CHOOSE(CONTROL!$C$21, $C$9, 100%, $E$9)</f>
        <v>25.8263</v>
      </c>
      <c r="S825" s="10">
        <f>CHOOSE(CONTROL!$C$42, 23.896, 23.896) * CHOOSE(CONTROL!$C$21, $C$9, 100%, $E$9)</f>
        <v>23.896000000000001</v>
      </c>
      <c r="T825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25" s="58">
        <f>(1000*CHOOSE(CONTROL!$C$42, 695, 695)*CHOOSE(CONTROL!$C$42, 0.5599, 0.5599)*CHOOSE(CONTROL!$C$42, 30, 30))/1000000</f>
        <v>11.673914999999997</v>
      </c>
      <c r="V825" s="58">
        <f>(1000*CHOOSE(CONTROL!$C$42, 500, 500)*CHOOSE(CONTROL!$C$42, 0.275, 0.275)*CHOOSE(CONTROL!$C$42, 30, 30))/1000000</f>
        <v>4.125</v>
      </c>
      <c r="W825" s="58">
        <f>(1000*CHOOSE(CONTROL!$C$42, 0.1146, 0.1146)*CHOOSE(CONTROL!$C$42, 121.5, 121.5)*CHOOSE(CONTROL!$C$42, 30, 30))/1000000</f>
        <v>0.417717</v>
      </c>
      <c r="X825" s="58">
        <f>(30*0.1790888*245000/1000000)+(30*0.2374*100000/1000000)</f>
        <v>2.0285026799999999</v>
      </c>
      <c r="Y825" s="58"/>
      <c r="Z825" s="10"/>
      <c r="AA825" s="57"/>
      <c r="AB825" s="51">
        <f>(B825*194.205+C825*267.466+D825*133.845+E825*53.484+F825*40+G825*185+H825*0+I825*100+J825*300)/(194.205+267.466+133.845+53.484+0+40+185+100+300)</f>
        <v>24.635453538304553</v>
      </c>
      <c r="AC825" s="27">
        <f>(M825*'RAP TEMPLATE-GAS AVAILABILITY'!O824+N825*'RAP TEMPLATE-GAS AVAILABILITY'!P824+O825*'RAP TEMPLATE-GAS AVAILABILITY'!Q824+P825*'RAP TEMPLATE-GAS AVAILABILITY'!R824)/('RAP TEMPLATE-GAS AVAILABILITY'!O824+'RAP TEMPLATE-GAS AVAILABILITY'!P824+'RAP TEMPLATE-GAS AVAILABILITY'!Q824+'RAP TEMPLATE-GAS AVAILABILITY'!R824)</f>
        <v>24.45899352517986</v>
      </c>
    </row>
    <row r="826" spans="1:29" ht="15.75" x14ac:dyDescent="0.25">
      <c r="A826" s="13">
        <v>66415</v>
      </c>
      <c r="B826" s="10">
        <f>CHOOSE(CONTROL!$C$42, 24.1097, 24.1097) * CHOOSE(CONTROL!$C$21, $C$9, 100%, $E$9)</f>
        <v>24.1097</v>
      </c>
      <c r="C826" s="10">
        <f>CHOOSE(CONTROL!$C$42, 24.115, 24.115) * CHOOSE(CONTROL!$C$21, $C$9, 100%, $E$9)</f>
        <v>24.114999999999998</v>
      </c>
      <c r="D826" s="10">
        <f>CHOOSE(CONTROL!$C$42, 24.2985, 24.2985) * CHOOSE(CONTROL!$C$21, $C$9, 100%, $E$9)</f>
        <v>24.298500000000001</v>
      </c>
      <c r="E826" s="10">
        <f>CHOOSE(CONTROL!$C$42, 24.3273, 24.3273) * CHOOSE(CONTROL!$C$21, $C$9, 100%, $E$9)</f>
        <v>24.327300000000001</v>
      </c>
      <c r="F826" s="10">
        <f>CHOOSE(CONTROL!$C$42, 24.0981, 24.0981)*CHOOSE(CONTROL!$C$21, $C$9, 100%, $E$9)</f>
        <v>24.098099999999999</v>
      </c>
      <c r="G826" s="10">
        <f>CHOOSE(CONTROL!$C$42, 24.116, 24.116)*CHOOSE(CONTROL!$C$21, $C$9, 100%, $E$9)</f>
        <v>24.116</v>
      </c>
      <c r="H826" s="10">
        <f>CHOOSE(CONTROL!$C$42, 24.3177, 24.3177) * CHOOSE(CONTROL!$C$21, $C$9, 100%, $E$9)</f>
        <v>24.317699999999999</v>
      </c>
      <c r="I826" s="10">
        <f>CHOOSE(CONTROL!$C$42, 24.0884, 24.0884)* CHOOSE(CONTROL!$C$21, $C$9, 100%, $E$9)</f>
        <v>24.0884</v>
      </c>
      <c r="J826" s="10">
        <f>CHOOSE(CONTROL!$C$42, 24.0911, 24.0911)* CHOOSE(CONTROL!$C$21, $C$9, 100%, $E$9)</f>
        <v>24.091100000000001</v>
      </c>
      <c r="K826" s="54">
        <f>CHOOSE(CONTROL!$C$42, 24.0845, 24.0845) * CHOOSE(CONTROL!$C$21, $C$9, 100%, $E$9)</f>
        <v>24.084499999999998</v>
      </c>
      <c r="L826" s="10">
        <f>CHOOSE(CONTROL!$C$42, 24.9047, 24.9047) * CHOOSE(CONTROL!$C$21, $C$9, 100%, $E$9)</f>
        <v>24.904699999999998</v>
      </c>
      <c r="M826" s="10">
        <f>CHOOSE(CONTROL!$C$42, 23.8618, 23.8618) * CHOOSE(CONTROL!$C$21, $C$9, 100%, $E$9)</f>
        <v>23.861799999999999</v>
      </c>
      <c r="N826" s="10">
        <f>CHOOSE(CONTROL!$C$42, 23.8795, 23.8795) * CHOOSE(CONTROL!$C$21, $C$9, 100%, $E$9)</f>
        <v>23.8795</v>
      </c>
      <c r="O826" s="10">
        <f>CHOOSE(CONTROL!$C$42, 24.0861, 24.0861) * CHOOSE(CONTROL!$C$21, $C$9, 100%, $E$9)</f>
        <v>24.086099999999998</v>
      </c>
      <c r="P826" s="10">
        <f>CHOOSE(CONTROL!$C$42, 23.8591, 23.8591) * CHOOSE(CONTROL!$C$21, $C$9, 100%, $E$9)</f>
        <v>23.859100000000002</v>
      </c>
      <c r="Q826" s="10">
        <f>CHOOSE(CONTROL!$C$42, 24.6814, 24.6814) * CHOOSE(CONTROL!$C$21, $C$9, 100%, $E$9)</f>
        <v>24.6814</v>
      </c>
      <c r="R826" s="10">
        <f>CHOOSE(CONTROL!$C$42, 25.3301, 25.3301) * CHOOSE(CONTROL!$C$21, $C$9, 100%, $E$9)</f>
        <v>25.330100000000002</v>
      </c>
      <c r="S826" s="10">
        <f>CHOOSE(CONTROL!$C$42, 23.4104, 23.4104) * CHOOSE(CONTROL!$C$21, $C$9, 100%, $E$9)</f>
        <v>23.410399999999999</v>
      </c>
      <c r="T826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26" s="58">
        <f>(1000*CHOOSE(CONTROL!$C$42, 695, 695)*CHOOSE(CONTROL!$C$42, 0.5599, 0.5599)*CHOOSE(CONTROL!$C$42, 31, 31))/1000000</f>
        <v>12.063045499999998</v>
      </c>
      <c r="V826" s="58">
        <f>(1000*CHOOSE(CONTROL!$C$42, 500, 500)*CHOOSE(CONTROL!$C$42, 0.275, 0.275)*CHOOSE(CONTROL!$C$42, 31, 31))/1000000</f>
        <v>4.2625000000000002</v>
      </c>
      <c r="W826" s="58">
        <f>(1000*CHOOSE(CONTROL!$C$42, 0.1146, 0.1146)*CHOOSE(CONTROL!$C$42, 121.5, 121.5)*CHOOSE(CONTROL!$C$42, 31, 31))/1000000</f>
        <v>0.43164089999999994</v>
      </c>
      <c r="X826" s="58">
        <f>(31*0.1790888*245000/1000000)+(31*0.2374*100000/1000000)</f>
        <v>2.0961194359999999</v>
      </c>
      <c r="Y826" s="58"/>
      <c r="Z826" s="10"/>
      <c r="AA826" s="57"/>
      <c r="AB826" s="51">
        <f>(B826*131.881+C826*277.167+D826*79.08+E826*125.872+F826*40+G826*185+H826*0+I826*100+J826*300)/(131.881+277.167+79.08+125.872+0+40+185+100+300)</f>
        <v>24.139385662873284</v>
      </c>
      <c r="AC826" s="27">
        <f>(M826*'RAP TEMPLATE-GAS AVAILABILITY'!O825+N826*'RAP TEMPLATE-GAS AVAILABILITY'!P825+O826*'RAP TEMPLATE-GAS AVAILABILITY'!Q825+P826*'RAP TEMPLATE-GAS AVAILABILITY'!R825)/('RAP TEMPLATE-GAS AVAILABILITY'!O825+'RAP TEMPLATE-GAS AVAILABILITY'!P825+'RAP TEMPLATE-GAS AVAILABILITY'!Q825+'RAP TEMPLATE-GAS AVAILABILITY'!R825)</f>
        <v>23.964091366906473</v>
      </c>
    </row>
    <row r="827" spans="1:29" ht="15.75" x14ac:dyDescent="0.25">
      <c r="A827" s="13">
        <v>66445</v>
      </c>
      <c r="B827" s="10">
        <f>CHOOSE(CONTROL!$C$42, 24.7444, 24.7444) * CHOOSE(CONTROL!$C$21, $C$9, 100%, $E$9)</f>
        <v>24.744399999999999</v>
      </c>
      <c r="C827" s="10">
        <f>CHOOSE(CONTROL!$C$42, 24.7494, 24.7494) * CHOOSE(CONTROL!$C$21, $C$9, 100%, $E$9)</f>
        <v>24.749400000000001</v>
      </c>
      <c r="D827" s="10">
        <f>CHOOSE(CONTROL!$C$42, 24.779, 24.779) * CHOOSE(CONTROL!$C$21, $C$9, 100%, $E$9)</f>
        <v>24.779</v>
      </c>
      <c r="E827" s="10">
        <f>CHOOSE(CONTROL!$C$42, 24.8127, 24.8127) * CHOOSE(CONTROL!$C$21, $C$9, 100%, $E$9)</f>
        <v>24.8127</v>
      </c>
      <c r="F827" s="10">
        <f>CHOOSE(CONTROL!$C$42, 24.7302, 24.7302)*CHOOSE(CONTROL!$C$21, $C$9, 100%, $E$9)</f>
        <v>24.7302</v>
      </c>
      <c r="G827" s="10">
        <f>CHOOSE(CONTROL!$C$42, 24.7482, 24.7482)*CHOOSE(CONTROL!$C$21, $C$9, 100%, $E$9)</f>
        <v>24.748200000000001</v>
      </c>
      <c r="H827" s="10">
        <f>CHOOSE(CONTROL!$C$42, 24.8019, 24.8019) * CHOOSE(CONTROL!$C$21, $C$9, 100%, $E$9)</f>
        <v>24.8019</v>
      </c>
      <c r="I827" s="10">
        <f>CHOOSE(CONTROL!$C$42, 24.7106, 24.7106)* CHOOSE(CONTROL!$C$21, $C$9, 100%, $E$9)</f>
        <v>24.710599999999999</v>
      </c>
      <c r="J827" s="10">
        <f>CHOOSE(CONTROL!$C$42, 24.7232, 24.7232)* CHOOSE(CONTROL!$C$21, $C$9, 100%, $E$9)</f>
        <v>24.723199999999999</v>
      </c>
      <c r="K827" s="54">
        <f>CHOOSE(CONTROL!$C$42, 24.7067, 24.7067) * CHOOSE(CONTROL!$C$21, $C$9, 100%, $E$9)</f>
        <v>24.706700000000001</v>
      </c>
      <c r="L827" s="10">
        <f>CHOOSE(CONTROL!$C$42, 25.3889, 25.3889) * CHOOSE(CONTROL!$C$21, $C$9, 100%, $E$9)</f>
        <v>25.3889</v>
      </c>
      <c r="M827" s="10">
        <f>CHOOSE(CONTROL!$C$42, 24.4875, 24.4875) * CHOOSE(CONTROL!$C$21, $C$9, 100%, $E$9)</f>
        <v>24.487500000000001</v>
      </c>
      <c r="N827" s="10">
        <f>CHOOSE(CONTROL!$C$42, 24.5054, 24.5054) * CHOOSE(CONTROL!$C$21, $C$9, 100%, $E$9)</f>
        <v>24.505400000000002</v>
      </c>
      <c r="O827" s="10">
        <f>CHOOSE(CONTROL!$C$42, 24.5655, 24.5655) * CHOOSE(CONTROL!$C$21, $C$9, 100%, $E$9)</f>
        <v>24.5655</v>
      </c>
      <c r="P827" s="10">
        <f>CHOOSE(CONTROL!$C$42, 24.4751, 24.4751) * CHOOSE(CONTROL!$C$21, $C$9, 100%, $E$9)</f>
        <v>24.475100000000001</v>
      </c>
      <c r="Q827" s="10">
        <f>CHOOSE(CONTROL!$C$42, 25.1608, 25.1608) * CHOOSE(CONTROL!$C$21, $C$9, 100%, $E$9)</f>
        <v>25.160799999999998</v>
      </c>
      <c r="R827" s="10">
        <f>CHOOSE(CONTROL!$C$42, 25.8107, 25.8107) * CHOOSE(CONTROL!$C$21, $C$9, 100%, $E$9)</f>
        <v>25.810700000000001</v>
      </c>
      <c r="S827" s="10">
        <f>CHOOSE(CONTROL!$C$42, 24.0272, 24.0272) * CHOOSE(CONTROL!$C$21, $C$9, 100%, $E$9)</f>
        <v>24.027200000000001</v>
      </c>
      <c r="T827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27" s="58">
        <f>(1000*CHOOSE(CONTROL!$C$42, 695, 695)*CHOOSE(CONTROL!$C$42, 0.5599, 0.5599)*CHOOSE(CONTROL!$C$42, 30, 30))/1000000</f>
        <v>11.673914999999997</v>
      </c>
      <c r="V827" s="58">
        <f>(1000*CHOOSE(CONTROL!$C$42, 500, 500)*CHOOSE(CONTROL!$C$42, 0.275, 0.275)*CHOOSE(CONTROL!$C$42, 30, 30))/1000000</f>
        <v>4.125</v>
      </c>
      <c r="W827" s="58">
        <f>(1000*CHOOSE(CONTROL!$C$42, 0.1146, 0.1146)*CHOOSE(CONTROL!$C$42, 121.5, 121.5)*CHOOSE(CONTROL!$C$42, 30, 30))/1000000</f>
        <v>0.417717</v>
      </c>
      <c r="X827" s="58">
        <f>(30*0.1790888*100000/1000000)+(30*0.2374*100000/1000000)</f>
        <v>1.2494664</v>
      </c>
      <c r="Y827" s="58"/>
      <c r="Z827" s="10"/>
      <c r="AA827" s="57"/>
      <c r="AB827" s="51">
        <f>(B827*122.58+C827*297.941+D827*89.177+E827*40.302+F827*40+G827*160+H827*0+I827*100+J827*300)/(122.58+297.941+89.177+40.302+0+40+160+100+300)</f>
        <v>24.742337265913044</v>
      </c>
      <c r="AC827" s="27">
        <f>(M827*'RAP TEMPLATE-GAS AVAILABILITY'!O826+N827*'RAP TEMPLATE-GAS AVAILABILITY'!P826+O827*'RAP TEMPLATE-GAS AVAILABILITY'!Q826+P827*'RAP TEMPLATE-GAS AVAILABILITY'!R826)/('RAP TEMPLATE-GAS AVAILABILITY'!O826+'RAP TEMPLATE-GAS AVAILABILITY'!P826+'RAP TEMPLATE-GAS AVAILABILITY'!Q826+'RAP TEMPLATE-GAS AVAILABILITY'!R826)</f>
        <v>24.522098561151083</v>
      </c>
    </row>
    <row r="828" spans="1:29" ht="15.75" x14ac:dyDescent="0.25">
      <c r="A828" s="13">
        <v>66476</v>
      </c>
      <c r="B828" s="10">
        <f>CHOOSE(CONTROL!$C$42, 26.4313, 26.4313) * CHOOSE(CONTROL!$C$21, $C$9, 100%, $E$9)</f>
        <v>26.4313</v>
      </c>
      <c r="C828" s="10">
        <f>CHOOSE(CONTROL!$C$42, 26.4362, 26.4362) * CHOOSE(CONTROL!$C$21, $C$9, 100%, $E$9)</f>
        <v>26.436199999999999</v>
      </c>
      <c r="D828" s="10">
        <f>CHOOSE(CONTROL!$C$42, 26.4658, 26.4658) * CHOOSE(CONTROL!$C$21, $C$9, 100%, $E$9)</f>
        <v>26.465800000000002</v>
      </c>
      <c r="E828" s="10">
        <f>CHOOSE(CONTROL!$C$42, 26.4996, 26.4996) * CHOOSE(CONTROL!$C$21, $C$9, 100%, $E$9)</f>
        <v>26.499600000000001</v>
      </c>
      <c r="F828" s="10">
        <f>CHOOSE(CONTROL!$C$42, 26.4186, 26.4186)*CHOOSE(CONTROL!$C$21, $C$9, 100%, $E$9)</f>
        <v>26.418600000000001</v>
      </c>
      <c r="G828" s="10">
        <f>CHOOSE(CONTROL!$C$42, 26.437, 26.437)*CHOOSE(CONTROL!$C$21, $C$9, 100%, $E$9)</f>
        <v>26.437000000000001</v>
      </c>
      <c r="H828" s="10">
        <f>CHOOSE(CONTROL!$C$42, 26.4888, 26.4888) * CHOOSE(CONTROL!$C$21, $C$9, 100%, $E$9)</f>
        <v>26.488800000000001</v>
      </c>
      <c r="I828" s="10">
        <f>CHOOSE(CONTROL!$C$42, 26.3974, 26.3974)* CHOOSE(CONTROL!$C$21, $C$9, 100%, $E$9)</f>
        <v>26.397400000000001</v>
      </c>
      <c r="J828" s="10">
        <f>CHOOSE(CONTROL!$C$42, 26.4116, 26.4116)* CHOOSE(CONTROL!$C$21, $C$9, 100%, $E$9)</f>
        <v>26.4116</v>
      </c>
      <c r="K828" s="54">
        <f>CHOOSE(CONTROL!$C$42, 26.3935, 26.3935) * CHOOSE(CONTROL!$C$21, $C$9, 100%, $E$9)</f>
        <v>26.3935</v>
      </c>
      <c r="L828" s="10">
        <f>CHOOSE(CONTROL!$C$42, 27.0758, 27.0758) * CHOOSE(CONTROL!$C$21, $C$9, 100%, $E$9)</f>
        <v>27.075800000000001</v>
      </c>
      <c r="M828" s="10">
        <f>CHOOSE(CONTROL!$C$42, 26.1589, 26.1589) * CHOOSE(CONTROL!$C$21, $C$9, 100%, $E$9)</f>
        <v>26.158899999999999</v>
      </c>
      <c r="N828" s="10">
        <f>CHOOSE(CONTROL!$C$42, 26.1771, 26.1771) * CHOOSE(CONTROL!$C$21, $C$9, 100%, $E$9)</f>
        <v>26.177099999999999</v>
      </c>
      <c r="O828" s="10">
        <f>CHOOSE(CONTROL!$C$42, 26.2353, 26.2353) * CHOOSE(CONTROL!$C$21, $C$9, 100%, $E$9)</f>
        <v>26.235299999999999</v>
      </c>
      <c r="P828" s="10">
        <f>CHOOSE(CONTROL!$C$42, 26.1449, 26.1449) * CHOOSE(CONTROL!$C$21, $C$9, 100%, $E$9)</f>
        <v>26.1449</v>
      </c>
      <c r="Q828" s="10">
        <f>CHOOSE(CONTROL!$C$42, 26.8306, 26.8306) * CHOOSE(CONTROL!$C$21, $C$9, 100%, $E$9)</f>
        <v>26.8306</v>
      </c>
      <c r="R828" s="10">
        <f>CHOOSE(CONTROL!$C$42, 27.4847, 27.4847) * CHOOSE(CONTROL!$C$21, $C$9, 100%, $E$9)</f>
        <v>27.4847</v>
      </c>
      <c r="S828" s="10">
        <f>CHOOSE(CONTROL!$C$42, 25.6653, 25.6653) * CHOOSE(CONTROL!$C$21, $C$9, 100%, $E$9)</f>
        <v>25.665299999999998</v>
      </c>
      <c r="T828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28" s="58">
        <f>(1000*CHOOSE(CONTROL!$C$42, 695, 695)*CHOOSE(CONTROL!$C$42, 0.5599, 0.5599)*CHOOSE(CONTROL!$C$42, 31, 31))/1000000</f>
        <v>12.063045499999998</v>
      </c>
      <c r="V828" s="58">
        <f>(1000*CHOOSE(CONTROL!$C$42, 500, 500)*CHOOSE(CONTROL!$C$42, 0.275, 0.275)*CHOOSE(CONTROL!$C$42, 31, 31))/1000000</f>
        <v>4.2625000000000002</v>
      </c>
      <c r="W828" s="58">
        <f>(1000*CHOOSE(CONTROL!$C$42, 0.1146, 0.1146)*CHOOSE(CONTROL!$C$42, 121.5, 121.5)*CHOOSE(CONTROL!$C$42, 31, 31))/1000000</f>
        <v>0.43164089999999994</v>
      </c>
      <c r="X828" s="58">
        <f>(31*0.1790888*100000/1000000)+(31*0.2374*100000/1000000)</f>
        <v>1.2911152800000001</v>
      </c>
      <c r="Y828" s="58"/>
      <c r="Z828" s="10"/>
      <c r="AA828" s="57"/>
      <c r="AB828" s="51">
        <f>(B828*122.58+C828*297.941+D828*89.177+E828*40.302+F828*40+G828*160+H828*0+I828*100+J828*300)/(122.58+297.941+89.177+40.302+0+40+160+100+300)</f>
        <v>26.429902733913046</v>
      </c>
      <c r="AC828" s="27">
        <f>(M828*'RAP TEMPLATE-GAS AVAILABILITY'!O827+N828*'RAP TEMPLATE-GAS AVAILABILITY'!P827+O828*'RAP TEMPLATE-GAS AVAILABILITY'!Q827+P828*'RAP TEMPLATE-GAS AVAILABILITY'!R827)/('RAP TEMPLATE-GAS AVAILABILITY'!O827+'RAP TEMPLATE-GAS AVAILABILITY'!P827+'RAP TEMPLATE-GAS AVAILABILITY'!Q827+'RAP TEMPLATE-GAS AVAILABILITY'!R827)</f>
        <v>26.192560431654677</v>
      </c>
    </row>
    <row r="829" spans="1:29" ht="15.75" x14ac:dyDescent="0.25">
      <c r="A829" s="13">
        <v>66507</v>
      </c>
      <c r="B829" s="10">
        <f>CHOOSE(CONTROL!$C$42, 28.215, 28.215) * CHOOSE(CONTROL!$C$21, $C$9, 100%, $E$9)</f>
        <v>28.215</v>
      </c>
      <c r="C829" s="10">
        <f>CHOOSE(CONTROL!$C$42, 28.22, 28.22) * CHOOSE(CONTROL!$C$21, $C$9, 100%, $E$9)</f>
        <v>28.22</v>
      </c>
      <c r="D829" s="10">
        <f>CHOOSE(CONTROL!$C$42, 28.2702, 28.2702) * CHOOSE(CONTROL!$C$21, $C$9, 100%, $E$9)</f>
        <v>28.270199999999999</v>
      </c>
      <c r="E829" s="10">
        <f>CHOOSE(CONTROL!$C$42, 28.304, 28.304) * CHOOSE(CONTROL!$C$21, $C$9, 100%, $E$9)</f>
        <v>28.303999999999998</v>
      </c>
      <c r="F829" s="10">
        <f>CHOOSE(CONTROL!$C$42, 28.1804, 28.1804)*CHOOSE(CONTROL!$C$21, $C$9, 100%, $E$9)</f>
        <v>28.180399999999999</v>
      </c>
      <c r="G829" s="10">
        <f>CHOOSE(CONTROL!$C$42, 28.1979, 28.1979)*CHOOSE(CONTROL!$C$21, $C$9, 100%, $E$9)</f>
        <v>28.197900000000001</v>
      </c>
      <c r="H829" s="10">
        <f>CHOOSE(CONTROL!$C$42, 28.2932, 28.2932) * CHOOSE(CONTROL!$C$21, $C$9, 100%, $E$9)</f>
        <v>28.293199999999999</v>
      </c>
      <c r="I829" s="10">
        <f>CHOOSE(CONTROL!$C$42, 28.1889, 28.1889)* CHOOSE(CONTROL!$C$21, $C$9, 100%, $E$9)</f>
        <v>28.1889</v>
      </c>
      <c r="J829" s="10">
        <f>CHOOSE(CONTROL!$C$42, 28.1734, 28.1734)* CHOOSE(CONTROL!$C$21, $C$9, 100%, $E$9)</f>
        <v>28.173400000000001</v>
      </c>
      <c r="K829" s="54">
        <f>CHOOSE(CONTROL!$C$42, 28.185, 28.185) * CHOOSE(CONTROL!$C$21, $C$9, 100%, $E$9)</f>
        <v>28.184999999999999</v>
      </c>
      <c r="L829" s="10">
        <f>CHOOSE(CONTROL!$C$42, 28.8802, 28.8802) * CHOOSE(CONTROL!$C$21, $C$9, 100%, $E$9)</f>
        <v>28.880199999999999</v>
      </c>
      <c r="M829" s="10">
        <f>CHOOSE(CONTROL!$C$42, 27.9029, 27.9029) * CHOOSE(CONTROL!$C$21, $C$9, 100%, $E$9)</f>
        <v>27.902899999999999</v>
      </c>
      <c r="N829" s="10">
        <f>CHOOSE(CONTROL!$C$42, 27.9203, 27.9203) * CHOOSE(CONTROL!$C$21, $C$9, 100%, $E$9)</f>
        <v>27.920300000000001</v>
      </c>
      <c r="O829" s="10">
        <f>CHOOSE(CONTROL!$C$42, 28.0215, 28.0215) * CHOOSE(CONTROL!$C$21, $C$9, 100%, $E$9)</f>
        <v>28.0215</v>
      </c>
      <c r="P829" s="10">
        <f>CHOOSE(CONTROL!$C$42, 27.9183, 27.9183) * CHOOSE(CONTROL!$C$21, $C$9, 100%, $E$9)</f>
        <v>27.918299999999999</v>
      </c>
      <c r="Q829" s="10">
        <f>CHOOSE(CONTROL!$C$42, 28.6168, 28.6168) * CHOOSE(CONTROL!$C$21, $C$9, 100%, $E$9)</f>
        <v>28.616800000000001</v>
      </c>
      <c r="R829" s="10">
        <f>CHOOSE(CONTROL!$C$42, 29.2753, 29.2753) * CHOOSE(CONTROL!$C$21, $C$9, 100%, $E$9)</f>
        <v>29.275300000000001</v>
      </c>
      <c r="S829" s="10">
        <f>CHOOSE(CONTROL!$C$42, 27.3975, 27.3975) * CHOOSE(CONTROL!$C$21, $C$9, 100%, $E$9)</f>
        <v>27.397500000000001</v>
      </c>
      <c r="T829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29" s="58">
        <f>(1000*CHOOSE(CONTROL!$C$42, 695, 695)*CHOOSE(CONTROL!$C$42, 0.5599, 0.5599)*CHOOSE(CONTROL!$C$42, 31, 31))/1000000</f>
        <v>12.063045499999998</v>
      </c>
      <c r="V829" s="58">
        <f>(1000*CHOOSE(CONTROL!$C$42, 500, 500)*CHOOSE(CONTROL!$C$42, 0.275, 0.275)*CHOOSE(CONTROL!$C$42, 31, 31))/1000000</f>
        <v>4.2625000000000002</v>
      </c>
      <c r="W829" s="58">
        <f>(1000*CHOOSE(CONTROL!$C$42, 0.1146, 0.1146)*CHOOSE(CONTROL!$C$42, 121.5, 121.5)*CHOOSE(CONTROL!$C$42, 31, 31))/1000000</f>
        <v>0.43164089999999994</v>
      </c>
      <c r="X829" s="58">
        <f>(31*0.1790888*100000/1000000)+(31*0.2374*100000/1000000)</f>
        <v>1.2911152800000001</v>
      </c>
      <c r="Y829" s="58"/>
      <c r="Z829" s="10"/>
      <c r="AA829" s="57"/>
      <c r="AB829" s="51">
        <f>(B829*122.58+C829*297.941+D829*89.177+E829*40.302+F829*40+G829*160+H829*0+I829*100+J829*300)/(122.58+297.941+89.177+40.302+0+40+160+100+300)</f>
        <v>28.206990568173911</v>
      </c>
      <c r="AC829" s="27">
        <f>(M829*'RAP TEMPLATE-GAS AVAILABILITY'!O828+N829*'RAP TEMPLATE-GAS AVAILABILITY'!P828+O829*'RAP TEMPLATE-GAS AVAILABILITY'!Q828+P829*'RAP TEMPLATE-GAS AVAILABILITY'!R828)/('RAP TEMPLATE-GAS AVAILABILITY'!O828+'RAP TEMPLATE-GAS AVAILABILITY'!P828+'RAP TEMPLATE-GAS AVAILABILITY'!Q828+'RAP TEMPLATE-GAS AVAILABILITY'!R828)</f>
        <v>27.959871223021587</v>
      </c>
    </row>
    <row r="830" spans="1:29" ht="15.75" x14ac:dyDescent="0.25">
      <c r="A830" s="13">
        <v>66535</v>
      </c>
      <c r="B830" s="10">
        <f>CHOOSE(CONTROL!$C$42, 28.7172, 28.7172) * CHOOSE(CONTROL!$C$21, $C$9, 100%, $E$9)</f>
        <v>28.717199999999998</v>
      </c>
      <c r="C830" s="10">
        <f>CHOOSE(CONTROL!$C$42, 28.7222, 28.7222) * CHOOSE(CONTROL!$C$21, $C$9, 100%, $E$9)</f>
        <v>28.722200000000001</v>
      </c>
      <c r="D830" s="10">
        <f>CHOOSE(CONTROL!$C$42, 28.8393, 28.8393) * CHOOSE(CONTROL!$C$21, $C$9, 100%, $E$9)</f>
        <v>28.839300000000001</v>
      </c>
      <c r="E830" s="10">
        <f>CHOOSE(CONTROL!$C$42, 28.8731, 28.8731) * CHOOSE(CONTROL!$C$21, $C$9, 100%, $E$9)</f>
        <v>28.873100000000001</v>
      </c>
      <c r="F830" s="10">
        <f>CHOOSE(CONTROL!$C$42, 28.7948, 28.7948)*CHOOSE(CONTROL!$C$21, $C$9, 100%, $E$9)</f>
        <v>28.794799999999999</v>
      </c>
      <c r="G830" s="10">
        <f>CHOOSE(CONTROL!$C$42, 28.8167, 28.8167)*CHOOSE(CONTROL!$C$21, $C$9, 100%, $E$9)</f>
        <v>28.816700000000001</v>
      </c>
      <c r="H830" s="10">
        <f>CHOOSE(CONTROL!$C$42, 28.8623, 28.8623) * CHOOSE(CONTROL!$C$21, $C$9, 100%, $E$9)</f>
        <v>28.862300000000001</v>
      </c>
      <c r="I830" s="10">
        <f>CHOOSE(CONTROL!$C$42, 28.7529, 28.7529)* CHOOSE(CONTROL!$C$21, $C$9, 100%, $E$9)</f>
        <v>28.7529</v>
      </c>
      <c r="J830" s="10">
        <f>CHOOSE(CONTROL!$C$42, 28.7878, 28.7878)* CHOOSE(CONTROL!$C$21, $C$9, 100%, $E$9)</f>
        <v>28.787800000000001</v>
      </c>
      <c r="K830" s="54">
        <f>CHOOSE(CONTROL!$C$42, 28.749, 28.749) * CHOOSE(CONTROL!$C$21, $C$9, 100%, $E$9)</f>
        <v>28.748999999999999</v>
      </c>
      <c r="L830" s="10">
        <f>CHOOSE(CONTROL!$C$42, 29.4493, 29.4493) * CHOOSE(CONTROL!$C$21, $C$9, 100%, $E$9)</f>
        <v>29.449300000000001</v>
      </c>
      <c r="M830" s="10">
        <f>CHOOSE(CONTROL!$C$42, 28.5111, 28.5111) * CHOOSE(CONTROL!$C$21, $C$9, 100%, $E$9)</f>
        <v>28.511099999999999</v>
      </c>
      <c r="N830" s="10">
        <f>CHOOSE(CONTROL!$C$42, 28.5328, 28.5328) * CHOOSE(CONTROL!$C$21, $C$9, 100%, $E$9)</f>
        <v>28.532800000000002</v>
      </c>
      <c r="O830" s="10">
        <f>CHOOSE(CONTROL!$C$42, 28.5849, 28.5849) * CHOOSE(CONTROL!$C$21, $C$9, 100%, $E$9)</f>
        <v>28.584900000000001</v>
      </c>
      <c r="P830" s="10">
        <f>CHOOSE(CONTROL!$C$42, 28.4766, 28.4766) * CHOOSE(CONTROL!$C$21, $C$9, 100%, $E$9)</f>
        <v>28.476600000000001</v>
      </c>
      <c r="Q830" s="10">
        <f>CHOOSE(CONTROL!$C$42, 29.1802, 29.1802) * CHOOSE(CONTROL!$C$21, $C$9, 100%, $E$9)</f>
        <v>29.180199999999999</v>
      </c>
      <c r="R830" s="10">
        <f>CHOOSE(CONTROL!$C$42, 29.8401, 29.8401) * CHOOSE(CONTROL!$C$21, $C$9, 100%, $E$9)</f>
        <v>29.8401</v>
      </c>
      <c r="S830" s="10">
        <f>CHOOSE(CONTROL!$C$42, 27.8852, 27.8852) * CHOOSE(CONTROL!$C$21, $C$9, 100%, $E$9)</f>
        <v>27.885200000000001</v>
      </c>
      <c r="T830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830" s="58">
        <f>(1000*CHOOSE(CONTROL!$C$42, 695, 695)*CHOOSE(CONTROL!$C$42, 0.5599, 0.5599)*CHOOSE(CONTROL!$C$42, 28, 28))/1000000</f>
        <v>10.895653999999999</v>
      </c>
      <c r="V830" s="58">
        <f>(1000*CHOOSE(CONTROL!$C$42, 500, 500)*CHOOSE(CONTROL!$C$42, 0.275, 0.275)*CHOOSE(CONTROL!$C$42, 28, 28))/1000000</f>
        <v>3.85</v>
      </c>
      <c r="W830" s="58">
        <f>(1000*CHOOSE(CONTROL!$C$42, 0.1146, 0.1146)*CHOOSE(CONTROL!$C$42, 121.5, 121.5)*CHOOSE(CONTROL!$C$42, 28, 28))/1000000</f>
        <v>0.38986920000000003</v>
      </c>
      <c r="X830" s="58">
        <f>(28*0.1790888*100000/1000000)+(28*0.2374*100000/1000000)</f>
        <v>1.16616864</v>
      </c>
      <c r="Y830" s="58"/>
      <c r="Z830" s="10"/>
      <c r="AA830" s="57"/>
      <c r="AB830" s="51">
        <f>(B830*122.58+C830*297.941+D830*89.177+E830*40.302+F830*40+G830*160+H830*0+I830*100+J830*300)/(122.58+297.941+89.177+40.302+0+40+160+100+300)</f>
        <v>28.771491563913042</v>
      </c>
      <c r="AC830" s="27">
        <f>(M830*'RAP TEMPLATE-GAS AVAILABILITY'!O829+N830*'RAP TEMPLATE-GAS AVAILABILITY'!P829+O830*'RAP TEMPLATE-GAS AVAILABILITY'!Q829+P830*'RAP TEMPLATE-GAS AVAILABILITY'!R829)/('RAP TEMPLATE-GAS AVAILABILITY'!O829+'RAP TEMPLATE-GAS AVAILABILITY'!P829+'RAP TEMPLATE-GAS AVAILABILITY'!Q829+'RAP TEMPLATE-GAS AVAILABILITY'!R829)</f>
        <v>28.540833812949639</v>
      </c>
    </row>
    <row r="831" spans="1:29" ht="15.75" x14ac:dyDescent="0.25">
      <c r="A831" s="13">
        <v>66566</v>
      </c>
      <c r="B831" s="10">
        <f>CHOOSE(CONTROL!$C$42, 27.902, 27.902) * CHOOSE(CONTROL!$C$21, $C$9, 100%, $E$9)</f>
        <v>27.902000000000001</v>
      </c>
      <c r="C831" s="10">
        <f>CHOOSE(CONTROL!$C$42, 27.907, 27.907) * CHOOSE(CONTROL!$C$21, $C$9, 100%, $E$9)</f>
        <v>27.907</v>
      </c>
      <c r="D831" s="10">
        <f>CHOOSE(CONTROL!$C$42, 27.9984, 27.9984) * CHOOSE(CONTROL!$C$21, $C$9, 100%, $E$9)</f>
        <v>27.9984</v>
      </c>
      <c r="E831" s="10">
        <f>CHOOSE(CONTROL!$C$42, 28.0321, 28.0321) * CHOOSE(CONTROL!$C$21, $C$9, 100%, $E$9)</f>
        <v>28.0321</v>
      </c>
      <c r="F831" s="10">
        <f>CHOOSE(CONTROL!$C$42, 27.9319, 27.9319)*CHOOSE(CONTROL!$C$21, $C$9, 100%, $E$9)</f>
        <v>27.931899999999999</v>
      </c>
      <c r="G831" s="10">
        <f>CHOOSE(CONTROL!$C$42, 27.9514, 27.9514)*CHOOSE(CONTROL!$C$21, $C$9, 100%, $E$9)</f>
        <v>27.9514</v>
      </c>
      <c r="H831" s="10">
        <f>CHOOSE(CONTROL!$C$42, 28.0213, 28.0213) * CHOOSE(CONTROL!$C$21, $C$9, 100%, $E$9)</f>
        <v>28.0213</v>
      </c>
      <c r="I831" s="10">
        <f>CHOOSE(CONTROL!$C$42, 27.9248, 27.9248)* CHOOSE(CONTROL!$C$21, $C$9, 100%, $E$9)</f>
        <v>27.924800000000001</v>
      </c>
      <c r="J831" s="10">
        <f>CHOOSE(CONTROL!$C$42, 27.9249, 27.9249)* CHOOSE(CONTROL!$C$21, $C$9, 100%, $E$9)</f>
        <v>27.924900000000001</v>
      </c>
      <c r="K831" s="54">
        <f>CHOOSE(CONTROL!$C$42, 27.9209, 27.9209) * CHOOSE(CONTROL!$C$21, $C$9, 100%, $E$9)</f>
        <v>27.9209</v>
      </c>
      <c r="L831" s="10">
        <f>CHOOSE(CONTROL!$C$42, 28.6083, 28.6083) * CHOOSE(CONTROL!$C$21, $C$9, 100%, $E$9)</f>
        <v>28.6083</v>
      </c>
      <c r="M831" s="10">
        <f>CHOOSE(CONTROL!$C$42, 27.6569, 27.6569) * CHOOSE(CONTROL!$C$21, $C$9, 100%, $E$9)</f>
        <v>27.6569</v>
      </c>
      <c r="N831" s="10">
        <f>CHOOSE(CONTROL!$C$42, 27.6762, 27.6762) * CHOOSE(CONTROL!$C$21, $C$9, 100%, $E$9)</f>
        <v>27.676200000000001</v>
      </c>
      <c r="O831" s="10">
        <f>CHOOSE(CONTROL!$C$42, 27.7524, 27.7524) * CHOOSE(CONTROL!$C$21, $C$9, 100%, $E$9)</f>
        <v>27.752400000000002</v>
      </c>
      <c r="P831" s="10">
        <f>CHOOSE(CONTROL!$C$42, 27.6569, 27.6569) * CHOOSE(CONTROL!$C$21, $C$9, 100%, $E$9)</f>
        <v>27.6569</v>
      </c>
      <c r="Q831" s="10">
        <f>CHOOSE(CONTROL!$C$42, 28.3477, 28.3477) * CHOOSE(CONTROL!$C$21, $C$9, 100%, $E$9)</f>
        <v>28.3477</v>
      </c>
      <c r="R831" s="10">
        <f>CHOOSE(CONTROL!$C$42, 29.0056, 29.0056) * CHOOSE(CONTROL!$C$21, $C$9, 100%, $E$9)</f>
        <v>29.005600000000001</v>
      </c>
      <c r="S831" s="10">
        <f>CHOOSE(CONTROL!$C$42, 27.0935, 27.0935) * CHOOSE(CONTROL!$C$21, $C$9, 100%, $E$9)</f>
        <v>27.093499999999999</v>
      </c>
      <c r="T831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31" s="58">
        <f>(1000*CHOOSE(CONTROL!$C$42, 695, 695)*CHOOSE(CONTROL!$C$42, 0.5599, 0.5599)*CHOOSE(CONTROL!$C$42, 31, 31))/1000000</f>
        <v>12.063045499999998</v>
      </c>
      <c r="V831" s="58">
        <f>(1000*CHOOSE(CONTROL!$C$42, 500, 500)*CHOOSE(CONTROL!$C$42, 0.275, 0.275)*CHOOSE(CONTROL!$C$42, 31, 31))/1000000</f>
        <v>4.2625000000000002</v>
      </c>
      <c r="W831" s="58">
        <f>(1000*CHOOSE(CONTROL!$C$42, 0.1146, 0.1146)*CHOOSE(CONTROL!$C$42, 121.5, 121.5)*CHOOSE(CONTROL!$C$42, 31, 31))/1000000</f>
        <v>0.43164089999999994</v>
      </c>
      <c r="X831" s="58">
        <f>(31*0.1790888*100000/1000000)+(31*0.2374*100000/1000000)</f>
        <v>1.2911152800000001</v>
      </c>
      <c r="Y831" s="58"/>
      <c r="Z831" s="10"/>
      <c r="AA831" s="57"/>
      <c r="AB831" s="51">
        <f>(B831*122.58+C831*297.941+D831*89.177+E831*40.302+F831*40+G831*160+H831*0+I831*100+J831*300)/(122.58+297.941+89.177+40.302+0+40+160+100+300)</f>
        <v>27.931199702608698</v>
      </c>
      <c r="AC831" s="27">
        <f>(M831*'RAP TEMPLATE-GAS AVAILABILITY'!O830+N831*'RAP TEMPLATE-GAS AVAILABILITY'!P830+O831*'RAP TEMPLATE-GAS AVAILABILITY'!Q830+P831*'RAP TEMPLATE-GAS AVAILABILITY'!R830)/('RAP TEMPLATE-GAS AVAILABILITY'!O830+'RAP TEMPLATE-GAS AVAILABILITY'!P830+'RAP TEMPLATE-GAS AVAILABILITY'!Q830+'RAP TEMPLATE-GAS AVAILABILITY'!R830)</f>
        <v>27.701294964028772</v>
      </c>
    </row>
    <row r="832" spans="1:29" ht="15.75" x14ac:dyDescent="0.25">
      <c r="A832" s="13">
        <v>66596</v>
      </c>
      <c r="B832" s="10">
        <f>CHOOSE(CONTROL!$C$42, 27.8193, 27.8193) * CHOOSE(CONTROL!$C$21, $C$9, 100%, $E$9)</f>
        <v>27.819299999999998</v>
      </c>
      <c r="C832" s="10">
        <f>CHOOSE(CONTROL!$C$42, 27.8236, 27.8236) * CHOOSE(CONTROL!$C$21, $C$9, 100%, $E$9)</f>
        <v>27.823599999999999</v>
      </c>
      <c r="D832" s="10">
        <f>CHOOSE(CONTROL!$C$42, 28.0053, 28.0053) * CHOOSE(CONTROL!$C$21, $C$9, 100%, $E$9)</f>
        <v>28.005299999999998</v>
      </c>
      <c r="E832" s="10">
        <f>CHOOSE(CONTROL!$C$42, 28.0371, 28.0371) * CHOOSE(CONTROL!$C$21, $C$9, 100%, $E$9)</f>
        <v>28.037099999999999</v>
      </c>
      <c r="F832" s="10">
        <f>CHOOSE(CONTROL!$C$42, 27.8076, 27.8076)*CHOOSE(CONTROL!$C$21, $C$9, 100%, $E$9)</f>
        <v>27.807600000000001</v>
      </c>
      <c r="G832" s="10">
        <f>CHOOSE(CONTROL!$C$42, 27.8256, 27.8256)*CHOOSE(CONTROL!$C$21, $C$9, 100%, $E$9)</f>
        <v>27.825600000000001</v>
      </c>
      <c r="H832" s="10">
        <f>CHOOSE(CONTROL!$C$42, 28.0269, 28.0269) * CHOOSE(CONTROL!$C$21, $C$9, 100%, $E$9)</f>
        <v>28.026900000000001</v>
      </c>
      <c r="I832" s="10">
        <f>CHOOSE(CONTROL!$C$42, 27.7975, 27.7975)* CHOOSE(CONTROL!$C$21, $C$9, 100%, $E$9)</f>
        <v>27.797499999999999</v>
      </c>
      <c r="J832" s="10">
        <f>CHOOSE(CONTROL!$C$42, 27.8006, 27.8006)* CHOOSE(CONTROL!$C$21, $C$9, 100%, $E$9)</f>
        <v>27.800599999999999</v>
      </c>
      <c r="K832" s="54">
        <f>CHOOSE(CONTROL!$C$42, 27.7936, 27.7936) * CHOOSE(CONTROL!$C$21, $C$9, 100%, $E$9)</f>
        <v>27.793600000000001</v>
      </c>
      <c r="L832" s="10">
        <f>CHOOSE(CONTROL!$C$42, 28.6139, 28.6139) * CHOOSE(CONTROL!$C$21, $C$9, 100%, $E$9)</f>
        <v>28.613900000000001</v>
      </c>
      <c r="M832" s="10">
        <f>CHOOSE(CONTROL!$C$42, 27.5339, 27.5339) * CHOOSE(CONTROL!$C$21, $C$9, 100%, $E$9)</f>
        <v>27.533899999999999</v>
      </c>
      <c r="N832" s="10">
        <f>CHOOSE(CONTROL!$C$42, 27.5517, 27.5517) * CHOOSE(CONTROL!$C$21, $C$9, 100%, $E$9)</f>
        <v>27.5517</v>
      </c>
      <c r="O832" s="10">
        <f>CHOOSE(CONTROL!$C$42, 27.7579, 27.7579) * CHOOSE(CONTROL!$C$21, $C$9, 100%, $E$9)</f>
        <v>27.757899999999999</v>
      </c>
      <c r="P832" s="10">
        <f>CHOOSE(CONTROL!$C$42, 27.5309, 27.5309) * CHOOSE(CONTROL!$C$21, $C$9, 100%, $E$9)</f>
        <v>27.530899999999999</v>
      </c>
      <c r="Q832" s="10">
        <f>CHOOSE(CONTROL!$C$42, 28.3532, 28.3532) * CHOOSE(CONTROL!$C$21, $C$9, 100%, $E$9)</f>
        <v>28.353200000000001</v>
      </c>
      <c r="R832" s="10">
        <f>CHOOSE(CONTROL!$C$42, 29.0111, 29.0111) * CHOOSE(CONTROL!$C$21, $C$9, 100%, $E$9)</f>
        <v>29.011099999999999</v>
      </c>
      <c r="S832" s="10">
        <f>CHOOSE(CONTROL!$C$42, 27.0124, 27.0124) * CHOOSE(CONTROL!$C$21, $C$9, 100%, $E$9)</f>
        <v>27.0124</v>
      </c>
      <c r="T832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32" s="58">
        <f>(1000*CHOOSE(CONTROL!$C$42, 695, 695)*CHOOSE(CONTROL!$C$42, 0.5599, 0.5599)*CHOOSE(CONTROL!$C$42, 30, 30))/1000000</f>
        <v>11.673914999999997</v>
      </c>
      <c r="V832" s="58">
        <f>(1000*CHOOSE(CONTROL!$C$42, 500, 500)*CHOOSE(CONTROL!$C$42, 0.275, 0.275)*CHOOSE(CONTROL!$C$42, 30, 30))/1000000</f>
        <v>4.125</v>
      </c>
      <c r="W832" s="58">
        <f>(1000*CHOOSE(CONTROL!$C$42, 0.1146, 0.1146)*CHOOSE(CONTROL!$C$42, 121.5, 121.5)*CHOOSE(CONTROL!$C$42, 30, 30))/1000000</f>
        <v>0.417717</v>
      </c>
      <c r="X832" s="58">
        <f>(30*0.1790888*245000/1000000)+(30*0.2374*100000/1000000)</f>
        <v>2.0285026799999999</v>
      </c>
      <c r="Y832" s="58"/>
      <c r="Z832" s="10"/>
      <c r="AA832" s="57"/>
      <c r="AB832" s="51">
        <f>(B832*141.293+C832*267.993+D832*115.016+E832*89.698+F832*40+G832*185+H832*0+I832*100+J832*300)/(141.293+267.993+115.016+89.698+0+40+185+100+300)</f>
        <v>27.847539766182408</v>
      </c>
      <c r="AC832" s="27">
        <f>(M832*'RAP TEMPLATE-GAS AVAILABILITY'!O831+N832*'RAP TEMPLATE-GAS AVAILABILITY'!P831+O832*'RAP TEMPLATE-GAS AVAILABILITY'!Q831+P832*'RAP TEMPLATE-GAS AVAILABILITY'!R831)/('RAP TEMPLATE-GAS AVAILABILITY'!O831+'RAP TEMPLATE-GAS AVAILABILITY'!P831+'RAP TEMPLATE-GAS AVAILABILITY'!Q831+'RAP TEMPLATE-GAS AVAILABILITY'!R831)</f>
        <v>27.636017985611506</v>
      </c>
    </row>
    <row r="833" spans="1:29" ht="15.75" x14ac:dyDescent="0.25">
      <c r="A833" s="13">
        <v>66627</v>
      </c>
      <c r="B833" s="10">
        <f>CHOOSE(CONTROL!$C$42, 28.0666, 28.0666) * CHOOSE(CONTROL!$C$21, $C$9, 100%, $E$9)</f>
        <v>28.066600000000001</v>
      </c>
      <c r="C833" s="10">
        <f>CHOOSE(CONTROL!$C$42, 28.0745, 28.0745) * CHOOSE(CONTROL!$C$21, $C$9, 100%, $E$9)</f>
        <v>28.0745</v>
      </c>
      <c r="D833" s="10">
        <f>CHOOSE(CONTROL!$C$42, 28.253, 28.253) * CHOOSE(CONTROL!$C$21, $C$9, 100%, $E$9)</f>
        <v>28.253</v>
      </c>
      <c r="E833" s="10">
        <f>CHOOSE(CONTROL!$C$42, 28.2841, 28.2841) * CHOOSE(CONTROL!$C$21, $C$9, 100%, $E$9)</f>
        <v>28.284099999999999</v>
      </c>
      <c r="F833" s="10">
        <f>CHOOSE(CONTROL!$C$42, 28.0527, 28.0527)*CHOOSE(CONTROL!$C$21, $C$9, 100%, $E$9)</f>
        <v>28.052700000000002</v>
      </c>
      <c r="G833" s="10">
        <f>CHOOSE(CONTROL!$C$42, 28.0709, 28.0709)*CHOOSE(CONTROL!$C$21, $C$9, 100%, $E$9)</f>
        <v>28.070900000000002</v>
      </c>
      <c r="H833" s="10">
        <f>CHOOSE(CONTROL!$C$42, 28.2728, 28.2728) * CHOOSE(CONTROL!$C$21, $C$9, 100%, $E$9)</f>
        <v>28.2728</v>
      </c>
      <c r="I833" s="10">
        <f>CHOOSE(CONTROL!$C$42, 28.0434, 28.0434)* CHOOSE(CONTROL!$C$21, $C$9, 100%, $E$9)</f>
        <v>28.043399999999998</v>
      </c>
      <c r="J833" s="10">
        <f>CHOOSE(CONTROL!$C$42, 28.0457, 28.0457)* CHOOSE(CONTROL!$C$21, $C$9, 100%, $E$9)</f>
        <v>28.0457</v>
      </c>
      <c r="K833" s="54">
        <f>CHOOSE(CONTROL!$C$42, 28.0395, 28.0395) * CHOOSE(CONTROL!$C$21, $C$9, 100%, $E$9)</f>
        <v>28.0395</v>
      </c>
      <c r="L833" s="10">
        <f>CHOOSE(CONTROL!$C$42, 28.8598, 28.8598) * CHOOSE(CONTROL!$C$21, $C$9, 100%, $E$9)</f>
        <v>28.8598</v>
      </c>
      <c r="M833" s="10">
        <f>CHOOSE(CONTROL!$C$42, 27.7765, 27.7765) * CHOOSE(CONTROL!$C$21, $C$9, 100%, $E$9)</f>
        <v>27.776499999999999</v>
      </c>
      <c r="N833" s="10">
        <f>CHOOSE(CONTROL!$C$42, 27.7945, 27.7945) * CHOOSE(CONTROL!$C$21, $C$9, 100%, $E$9)</f>
        <v>27.794499999999999</v>
      </c>
      <c r="O833" s="10">
        <f>CHOOSE(CONTROL!$C$42, 28.0013, 28.0013) * CHOOSE(CONTROL!$C$21, $C$9, 100%, $E$9)</f>
        <v>28.001300000000001</v>
      </c>
      <c r="P833" s="10">
        <f>CHOOSE(CONTROL!$C$42, 27.7743, 27.7743) * CHOOSE(CONTROL!$C$21, $C$9, 100%, $E$9)</f>
        <v>27.7743</v>
      </c>
      <c r="Q833" s="10">
        <f>CHOOSE(CONTROL!$C$42, 28.5966, 28.5966) * CHOOSE(CONTROL!$C$21, $C$9, 100%, $E$9)</f>
        <v>28.596599999999999</v>
      </c>
      <c r="R833" s="10">
        <f>CHOOSE(CONTROL!$C$42, 29.2551, 29.2551) * CHOOSE(CONTROL!$C$21, $C$9, 100%, $E$9)</f>
        <v>29.255099999999999</v>
      </c>
      <c r="S833" s="10">
        <f>CHOOSE(CONTROL!$C$42, 27.2512, 27.2512) * CHOOSE(CONTROL!$C$21, $C$9, 100%, $E$9)</f>
        <v>27.251200000000001</v>
      </c>
      <c r="T833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33" s="58">
        <f>(1000*CHOOSE(CONTROL!$C$42, 695, 695)*CHOOSE(CONTROL!$C$42, 0.5599, 0.5599)*CHOOSE(CONTROL!$C$42, 31, 31))/1000000</f>
        <v>12.063045499999998</v>
      </c>
      <c r="V833" s="58">
        <f>(1000*CHOOSE(CONTROL!$C$42, 500, 500)*CHOOSE(CONTROL!$C$42, 0.275, 0.275)*CHOOSE(CONTROL!$C$42, 31, 31))/1000000</f>
        <v>4.2625000000000002</v>
      </c>
      <c r="W833" s="58">
        <f>(1000*CHOOSE(CONTROL!$C$42, 0.1146, 0.1146)*CHOOSE(CONTROL!$C$42, 121.5, 121.5)*CHOOSE(CONTROL!$C$42, 31, 31))/1000000</f>
        <v>0.43164089999999994</v>
      </c>
      <c r="X833" s="58">
        <f>(31*0.1790888*245000/1000000)+(31*0.2374*100000/1000000)</f>
        <v>2.0961194359999999</v>
      </c>
      <c r="Y833" s="58"/>
      <c r="Z833" s="10"/>
      <c r="AA833" s="57"/>
      <c r="AB833" s="51">
        <f>(B833*194.205+C833*267.466+D833*133.845+E833*53.484+F833*40+G833*185+H833*0+I833*100+J833*300)/(194.205+267.466+133.845+53.484+0+40+185+100+300)</f>
        <v>28.090417864521196</v>
      </c>
      <c r="AC833" s="27">
        <f>(M833*'RAP TEMPLATE-GAS AVAILABILITY'!O832+N833*'RAP TEMPLATE-GAS AVAILABILITY'!P832+O833*'RAP TEMPLATE-GAS AVAILABILITY'!Q832+P833*'RAP TEMPLATE-GAS AVAILABILITY'!R832)/('RAP TEMPLATE-GAS AVAILABILITY'!O832+'RAP TEMPLATE-GAS AVAILABILITY'!P832+'RAP TEMPLATE-GAS AVAILABILITY'!Q832+'RAP TEMPLATE-GAS AVAILABILITY'!R832)</f>
        <v>27.879107194244607</v>
      </c>
    </row>
    <row r="834" spans="1:29" ht="15.75" x14ac:dyDescent="0.25">
      <c r="A834" s="13">
        <v>66657</v>
      </c>
      <c r="B834" s="10">
        <f>CHOOSE(CONTROL!$C$42, 28.8626, 28.8626) * CHOOSE(CONTROL!$C$21, $C$9, 100%, $E$9)</f>
        <v>28.8626</v>
      </c>
      <c r="C834" s="10">
        <f>CHOOSE(CONTROL!$C$42, 28.8705, 28.8705) * CHOOSE(CONTROL!$C$21, $C$9, 100%, $E$9)</f>
        <v>28.8705</v>
      </c>
      <c r="D834" s="10">
        <f>CHOOSE(CONTROL!$C$42, 29.049, 29.049) * CHOOSE(CONTROL!$C$21, $C$9, 100%, $E$9)</f>
        <v>29.048999999999999</v>
      </c>
      <c r="E834" s="10">
        <f>CHOOSE(CONTROL!$C$42, 29.0801, 29.0801) * CHOOSE(CONTROL!$C$21, $C$9, 100%, $E$9)</f>
        <v>29.080100000000002</v>
      </c>
      <c r="F834" s="10">
        <f>CHOOSE(CONTROL!$C$42, 28.849, 28.849)*CHOOSE(CONTROL!$C$21, $C$9, 100%, $E$9)</f>
        <v>28.849</v>
      </c>
      <c r="G834" s="10">
        <f>CHOOSE(CONTROL!$C$42, 28.8672, 28.8672)*CHOOSE(CONTROL!$C$21, $C$9, 100%, $E$9)</f>
        <v>28.8672</v>
      </c>
      <c r="H834" s="10">
        <f>CHOOSE(CONTROL!$C$42, 29.0688, 29.0688) * CHOOSE(CONTROL!$C$21, $C$9, 100%, $E$9)</f>
        <v>29.0688</v>
      </c>
      <c r="I834" s="10">
        <f>CHOOSE(CONTROL!$C$42, 28.8394, 28.8394)* CHOOSE(CONTROL!$C$21, $C$9, 100%, $E$9)</f>
        <v>28.839400000000001</v>
      </c>
      <c r="J834" s="10">
        <f>CHOOSE(CONTROL!$C$42, 28.842, 28.842)* CHOOSE(CONTROL!$C$21, $C$9, 100%, $E$9)</f>
        <v>28.841999999999999</v>
      </c>
      <c r="K834" s="54">
        <f>CHOOSE(CONTROL!$C$42, 28.8355, 28.8355) * CHOOSE(CONTROL!$C$21, $C$9, 100%, $E$9)</f>
        <v>28.8355</v>
      </c>
      <c r="L834" s="10">
        <f>CHOOSE(CONTROL!$C$42, 29.6558, 29.6558) * CHOOSE(CONTROL!$C$21, $C$9, 100%, $E$9)</f>
        <v>29.655799999999999</v>
      </c>
      <c r="M834" s="10">
        <f>CHOOSE(CONTROL!$C$42, 28.5647, 28.5647) * CHOOSE(CONTROL!$C$21, $C$9, 100%, $E$9)</f>
        <v>28.564699999999998</v>
      </c>
      <c r="N834" s="10">
        <f>CHOOSE(CONTROL!$C$42, 28.5828, 28.5828) * CHOOSE(CONTROL!$C$21, $C$9, 100%, $E$9)</f>
        <v>28.582799999999999</v>
      </c>
      <c r="O834" s="10">
        <f>CHOOSE(CONTROL!$C$42, 28.7892, 28.7892) * CHOOSE(CONTROL!$C$21, $C$9, 100%, $E$9)</f>
        <v>28.789200000000001</v>
      </c>
      <c r="P834" s="10">
        <f>CHOOSE(CONTROL!$C$42, 28.5622, 28.5622) * CHOOSE(CONTROL!$C$21, $C$9, 100%, $E$9)</f>
        <v>28.562200000000001</v>
      </c>
      <c r="Q834" s="10">
        <f>CHOOSE(CONTROL!$C$42, 29.3845, 29.3845) * CHOOSE(CONTROL!$C$21, $C$9, 100%, $E$9)</f>
        <v>29.384499999999999</v>
      </c>
      <c r="R834" s="10">
        <f>CHOOSE(CONTROL!$C$42, 30.045, 30.045) * CHOOSE(CONTROL!$C$21, $C$9, 100%, $E$9)</f>
        <v>30.045000000000002</v>
      </c>
      <c r="S834" s="10">
        <f>CHOOSE(CONTROL!$C$42, 28.0242, 28.0242) * CHOOSE(CONTROL!$C$21, $C$9, 100%, $E$9)</f>
        <v>28.0242</v>
      </c>
      <c r="T834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834" s="58">
        <f>(1000*CHOOSE(CONTROL!$C$42, 695, 695)*CHOOSE(CONTROL!$C$42, 0.5599, 0.5599)*CHOOSE(CONTROL!$C$42, 30, 30))/1000000</f>
        <v>11.673914999999997</v>
      </c>
      <c r="V834" s="58">
        <f>(1000*CHOOSE(CONTROL!$C$42, 500, 500)*CHOOSE(CONTROL!$C$42, 0.275, 0.275)*CHOOSE(CONTROL!$C$42, 30, 30))/1000000</f>
        <v>4.125</v>
      </c>
      <c r="W834" s="58">
        <f>(1000*CHOOSE(CONTROL!$C$42, 0.1146, 0.1146)*CHOOSE(CONTROL!$C$42, 121.5, 121.5)*CHOOSE(CONTROL!$C$42, 30, 30))/1000000</f>
        <v>0.417717</v>
      </c>
      <c r="X834" s="58">
        <f>(30*0.1790888*245000/1000000)+(30*0.2374*100000/1000000)</f>
        <v>2.0285026799999999</v>
      </c>
      <c r="Y834" s="58"/>
      <c r="Z834" s="10"/>
      <c r="AA834" s="57"/>
      <c r="AB834" s="51">
        <f>(B834*194.205+C834*267.466+D834*133.845+E834*53.484+F834*40+G834*185+H834*0+I834*100+J834*300)/(194.205+267.466+133.845+53.484+0+40+185+100+300)</f>
        <v>28.886541490894817</v>
      </c>
      <c r="AC834" s="27">
        <f>(M834*'RAP TEMPLATE-GAS AVAILABILITY'!O833+N834*'RAP TEMPLATE-GAS AVAILABILITY'!P833+O834*'RAP TEMPLATE-GAS AVAILABILITY'!Q833+P834*'RAP TEMPLATE-GAS AVAILABILITY'!R833)/('RAP TEMPLATE-GAS AVAILABILITY'!O833+'RAP TEMPLATE-GAS AVAILABILITY'!P833+'RAP TEMPLATE-GAS AVAILABILITY'!Q833+'RAP TEMPLATE-GAS AVAILABILITY'!R833)</f>
        <v>28.66713381294964</v>
      </c>
    </row>
    <row r="835" spans="1:29" ht="15.75" x14ac:dyDescent="0.25">
      <c r="A835" s="13">
        <v>66688</v>
      </c>
      <c r="B835" s="10">
        <f>CHOOSE(CONTROL!$C$42, 28.3089, 28.3089) * CHOOSE(CONTROL!$C$21, $C$9, 100%, $E$9)</f>
        <v>28.308900000000001</v>
      </c>
      <c r="C835" s="10">
        <f>CHOOSE(CONTROL!$C$42, 28.3169, 28.3169) * CHOOSE(CONTROL!$C$21, $C$9, 100%, $E$9)</f>
        <v>28.3169</v>
      </c>
      <c r="D835" s="10">
        <f>CHOOSE(CONTROL!$C$42, 28.4954, 28.4954) * CHOOSE(CONTROL!$C$21, $C$9, 100%, $E$9)</f>
        <v>28.4954</v>
      </c>
      <c r="E835" s="10">
        <f>CHOOSE(CONTROL!$C$42, 28.5265, 28.5265) * CHOOSE(CONTROL!$C$21, $C$9, 100%, $E$9)</f>
        <v>28.526499999999999</v>
      </c>
      <c r="F835" s="10">
        <f>CHOOSE(CONTROL!$C$42, 28.2956, 28.2956)*CHOOSE(CONTROL!$C$21, $C$9, 100%, $E$9)</f>
        <v>28.2956</v>
      </c>
      <c r="G835" s="10">
        <f>CHOOSE(CONTROL!$C$42, 28.314, 28.314)*CHOOSE(CONTROL!$C$21, $C$9, 100%, $E$9)</f>
        <v>28.314</v>
      </c>
      <c r="H835" s="10">
        <f>CHOOSE(CONTROL!$C$42, 28.5152, 28.5152) * CHOOSE(CONTROL!$C$21, $C$9, 100%, $E$9)</f>
        <v>28.5152</v>
      </c>
      <c r="I835" s="10">
        <f>CHOOSE(CONTROL!$C$42, 28.2858, 28.2858)* CHOOSE(CONTROL!$C$21, $C$9, 100%, $E$9)</f>
        <v>28.285799999999998</v>
      </c>
      <c r="J835" s="10">
        <f>CHOOSE(CONTROL!$C$42, 28.2886, 28.2886)* CHOOSE(CONTROL!$C$21, $C$9, 100%, $E$9)</f>
        <v>28.288599999999999</v>
      </c>
      <c r="K835" s="54">
        <f>CHOOSE(CONTROL!$C$42, 28.2819, 28.2819) * CHOOSE(CONTROL!$C$21, $C$9, 100%, $E$9)</f>
        <v>28.2819</v>
      </c>
      <c r="L835" s="10">
        <f>CHOOSE(CONTROL!$C$42, 29.1022, 29.1022) * CHOOSE(CONTROL!$C$21, $C$9, 100%, $E$9)</f>
        <v>29.1022</v>
      </c>
      <c r="M835" s="10">
        <f>CHOOSE(CONTROL!$C$42, 28.017, 28.017) * CHOOSE(CONTROL!$C$21, $C$9, 100%, $E$9)</f>
        <v>28.016999999999999</v>
      </c>
      <c r="N835" s="10">
        <f>CHOOSE(CONTROL!$C$42, 28.0351, 28.0351) * CHOOSE(CONTROL!$C$21, $C$9, 100%, $E$9)</f>
        <v>28.0351</v>
      </c>
      <c r="O835" s="10">
        <f>CHOOSE(CONTROL!$C$42, 28.2412, 28.2412) * CHOOSE(CONTROL!$C$21, $C$9, 100%, $E$9)</f>
        <v>28.241199999999999</v>
      </c>
      <c r="P835" s="10">
        <f>CHOOSE(CONTROL!$C$42, 28.0142, 28.0142) * CHOOSE(CONTROL!$C$21, $C$9, 100%, $E$9)</f>
        <v>28.014199999999999</v>
      </c>
      <c r="Q835" s="10">
        <f>CHOOSE(CONTROL!$C$42, 28.8365, 28.8365) * CHOOSE(CONTROL!$C$21, $C$9, 100%, $E$9)</f>
        <v>28.836500000000001</v>
      </c>
      <c r="R835" s="10">
        <f>CHOOSE(CONTROL!$C$42, 29.4956, 29.4956) * CHOOSE(CONTROL!$C$21, $C$9, 100%, $E$9)</f>
        <v>29.4956</v>
      </c>
      <c r="S835" s="10">
        <f>CHOOSE(CONTROL!$C$42, 27.4866, 27.4866) * CHOOSE(CONTROL!$C$21, $C$9, 100%, $E$9)</f>
        <v>27.486599999999999</v>
      </c>
      <c r="T835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835" s="58">
        <f>(1000*CHOOSE(CONTROL!$C$42, 695, 695)*CHOOSE(CONTROL!$C$42, 0.5599, 0.5599)*CHOOSE(CONTROL!$C$42, 31, 31))/1000000</f>
        <v>12.063045499999998</v>
      </c>
      <c r="V835" s="58">
        <f>(1000*CHOOSE(CONTROL!$C$42, 500, 500)*CHOOSE(CONTROL!$C$42, 0.275, 0.275)*CHOOSE(CONTROL!$C$42, 31, 31))/1000000</f>
        <v>4.2625000000000002</v>
      </c>
      <c r="W835" s="58">
        <f>(1000*CHOOSE(CONTROL!$C$42, 0.1146, 0.1146)*CHOOSE(CONTROL!$C$42, 121.5, 121.5)*CHOOSE(CONTROL!$C$42, 31, 31))/1000000</f>
        <v>0.43164089999999994</v>
      </c>
      <c r="X835" s="58">
        <f>(31*0.1790888*245000/1000000)+(31*0.2374*100000/1000000)</f>
        <v>2.0961194359999999</v>
      </c>
      <c r="Y835" s="58"/>
      <c r="Z835" s="10"/>
      <c r="AA835" s="57"/>
      <c r="AB835" s="51">
        <f>(B835*194.205+C835*267.466+D835*133.845+E835*53.484+F835*40+G835*185+H835*0+I835*100+J835*300)/(194.205+267.466+133.845+53.484+0+40+185+100+300)</f>
        <v>28.333037707142861</v>
      </c>
      <c r="AC835" s="27">
        <f>(M835*'RAP TEMPLATE-GAS AVAILABILITY'!O834+N835*'RAP TEMPLATE-GAS AVAILABILITY'!P834+O835*'RAP TEMPLATE-GAS AVAILABILITY'!Q834+P835*'RAP TEMPLATE-GAS AVAILABILITY'!R834)/('RAP TEMPLATE-GAS AVAILABILITY'!O834+'RAP TEMPLATE-GAS AVAILABILITY'!P834+'RAP TEMPLATE-GAS AVAILABILITY'!Q834+'RAP TEMPLATE-GAS AVAILABILITY'!R834)</f>
        <v>28.11925467625899</v>
      </c>
    </row>
    <row r="836" spans="1:29" ht="15.75" x14ac:dyDescent="0.25">
      <c r="A836" s="13">
        <v>66719</v>
      </c>
      <c r="B836" s="10">
        <f>CHOOSE(CONTROL!$C$42, 26.9109, 26.9109) * CHOOSE(CONTROL!$C$21, $C$9, 100%, $E$9)</f>
        <v>26.910900000000002</v>
      </c>
      <c r="C836" s="10">
        <f>CHOOSE(CONTROL!$C$42, 26.9188, 26.9188) * CHOOSE(CONTROL!$C$21, $C$9, 100%, $E$9)</f>
        <v>26.918800000000001</v>
      </c>
      <c r="D836" s="10">
        <f>CHOOSE(CONTROL!$C$42, 27.0973, 27.0973) * CHOOSE(CONTROL!$C$21, $C$9, 100%, $E$9)</f>
        <v>27.097300000000001</v>
      </c>
      <c r="E836" s="10">
        <f>CHOOSE(CONTROL!$C$42, 27.1285, 27.1285) * CHOOSE(CONTROL!$C$21, $C$9, 100%, $E$9)</f>
        <v>27.128499999999999</v>
      </c>
      <c r="F836" s="10">
        <f>CHOOSE(CONTROL!$C$42, 26.8975, 26.8975)*CHOOSE(CONTROL!$C$21, $C$9, 100%, $E$9)</f>
        <v>26.897500000000001</v>
      </c>
      <c r="G836" s="10">
        <f>CHOOSE(CONTROL!$C$42, 26.9158, 26.9158)*CHOOSE(CONTROL!$C$21, $C$9, 100%, $E$9)</f>
        <v>26.915800000000001</v>
      </c>
      <c r="H836" s="10">
        <f>CHOOSE(CONTROL!$C$42, 27.1171, 27.1171) * CHOOSE(CONTROL!$C$21, $C$9, 100%, $E$9)</f>
        <v>27.117100000000001</v>
      </c>
      <c r="I836" s="10">
        <f>CHOOSE(CONTROL!$C$42, 26.8877, 26.8877)* CHOOSE(CONTROL!$C$21, $C$9, 100%, $E$9)</f>
        <v>26.887699999999999</v>
      </c>
      <c r="J836" s="10">
        <f>CHOOSE(CONTROL!$C$42, 26.8905, 26.8905)* CHOOSE(CONTROL!$C$21, $C$9, 100%, $E$9)</f>
        <v>26.890499999999999</v>
      </c>
      <c r="K836" s="54">
        <f>CHOOSE(CONTROL!$C$42, 26.8839, 26.8839) * CHOOSE(CONTROL!$C$21, $C$9, 100%, $E$9)</f>
        <v>26.883900000000001</v>
      </c>
      <c r="L836" s="10">
        <f>CHOOSE(CONTROL!$C$42, 27.7041, 27.7041) * CHOOSE(CONTROL!$C$21, $C$9, 100%, $E$9)</f>
        <v>27.7041</v>
      </c>
      <c r="M836" s="10">
        <f>CHOOSE(CONTROL!$C$42, 26.633, 26.633) * CHOOSE(CONTROL!$C$21, $C$9, 100%, $E$9)</f>
        <v>26.632999999999999</v>
      </c>
      <c r="N836" s="10">
        <f>CHOOSE(CONTROL!$C$42, 26.6511, 26.6511) * CHOOSE(CONTROL!$C$21, $C$9, 100%, $E$9)</f>
        <v>26.6511</v>
      </c>
      <c r="O836" s="10">
        <f>CHOOSE(CONTROL!$C$42, 26.8573, 26.8573) * CHOOSE(CONTROL!$C$21, $C$9, 100%, $E$9)</f>
        <v>26.857299999999999</v>
      </c>
      <c r="P836" s="10">
        <f>CHOOSE(CONTROL!$C$42, 26.6303, 26.6303) * CHOOSE(CONTROL!$C$21, $C$9, 100%, $E$9)</f>
        <v>26.630299999999998</v>
      </c>
      <c r="Q836" s="10">
        <f>CHOOSE(CONTROL!$C$42, 27.4526, 27.4526) * CHOOSE(CONTROL!$C$21, $C$9, 100%, $E$9)</f>
        <v>27.4526</v>
      </c>
      <c r="R836" s="10">
        <f>CHOOSE(CONTROL!$C$42, 28.1082, 28.1082) * CHOOSE(CONTROL!$C$21, $C$9, 100%, $E$9)</f>
        <v>28.1082</v>
      </c>
      <c r="S836" s="10">
        <f>CHOOSE(CONTROL!$C$42, 26.1289, 26.1289) * CHOOSE(CONTROL!$C$21, $C$9, 100%, $E$9)</f>
        <v>26.128900000000002</v>
      </c>
      <c r="T836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36" s="58">
        <f>(1000*CHOOSE(CONTROL!$C$42, 695, 695)*CHOOSE(CONTROL!$C$42, 0.5599, 0.5599)*CHOOSE(CONTROL!$C$42, 31, 31))/1000000</f>
        <v>12.063045499999998</v>
      </c>
      <c r="V836" s="58">
        <f>(1000*CHOOSE(CONTROL!$C$42, 500, 500)*CHOOSE(CONTROL!$C$42, 0.275, 0.275)*CHOOSE(CONTROL!$C$42, 31, 31))/1000000</f>
        <v>4.2625000000000002</v>
      </c>
      <c r="W836" s="58">
        <f>(1000*CHOOSE(CONTROL!$C$42, 0.1146, 0.1146)*CHOOSE(CONTROL!$C$42, 121.5, 121.5)*CHOOSE(CONTROL!$C$42, 31, 31))/1000000</f>
        <v>0.43164089999999994</v>
      </c>
      <c r="X836" s="58">
        <f>(31*0.1790888*245000/1000000)+(31*0.2374*100000/1000000)</f>
        <v>2.0961194359999999</v>
      </c>
      <c r="Y836" s="58"/>
      <c r="Z836" s="10"/>
      <c r="AA836" s="57"/>
      <c r="AB836" s="51">
        <f>(B836*194.205+C836*267.466+D836*133.845+E836*53.484+F836*40+G836*185+H836*0+I836*100+J836*300)/(194.205+267.466+133.845+53.484+0+40+185+100+300)</f>
        <v>26.934942627786501</v>
      </c>
      <c r="AC836" s="27">
        <f>(M836*'RAP TEMPLATE-GAS AVAILABILITY'!O835+N836*'RAP TEMPLATE-GAS AVAILABILITY'!P835+O836*'RAP TEMPLATE-GAS AVAILABILITY'!Q835+P836*'RAP TEMPLATE-GAS AVAILABILITY'!R835)/('RAP TEMPLATE-GAS AVAILABILITY'!O835+'RAP TEMPLATE-GAS AVAILABILITY'!P835+'RAP TEMPLATE-GAS AVAILABILITY'!Q835+'RAP TEMPLATE-GAS AVAILABILITY'!R835)</f>
        <v>26.735314388489208</v>
      </c>
    </row>
    <row r="837" spans="1:29" ht="15.75" x14ac:dyDescent="0.25">
      <c r="A837" s="13">
        <v>66749</v>
      </c>
      <c r="B837" s="10">
        <f>CHOOSE(CONTROL!$C$42, 25.2027, 25.2027) * CHOOSE(CONTROL!$C$21, $C$9, 100%, $E$9)</f>
        <v>25.2027</v>
      </c>
      <c r="C837" s="10">
        <f>CHOOSE(CONTROL!$C$42, 25.2106, 25.2106) * CHOOSE(CONTROL!$C$21, $C$9, 100%, $E$9)</f>
        <v>25.210599999999999</v>
      </c>
      <c r="D837" s="10">
        <f>CHOOSE(CONTROL!$C$42, 25.3892, 25.3892) * CHOOSE(CONTROL!$C$21, $C$9, 100%, $E$9)</f>
        <v>25.389199999999999</v>
      </c>
      <c r="E837" s="10">
        <f>CHOOSE(CONTROL!$C$42, 25.4203, 25.4203) * CHOOSE(CONTROL!$C$21, $C$9, 100%, $E$9)</f>
        <v>25.420300000000001</v>
      </c>
      <c r="F837" s="10">
        <f>CHOOSE(CONTROL!$C$42, 25.1891, 25.1891)*CHOOSE(CONTROL!$C$21, $C$9, 100%, $E$9)</f>
        <v>25.1891</v>
      </c>
      <c r="G837" s="10">
        <f>CHOOSE(CONTROL!$C$42, 25.2073, 25.2073)*CHOOSE(CONTROL!$C$21, $C$9, 100%, $E$9)</f>
        <v>25.2073</v>
      </c>
      <c r="H837" s="10">
        <f>CHOOSE(CONTROL!$C$42, 25.4089, 25.4089) * CHOOSE(CONTROL!$C$21, $C$9, 100%, $E$9)</f>
        <v>25.408899999999999</v>
      </c>
      <c r="I837" s="10">
        <f>CHOOSE(CONTROL!$C$42, 25.1796, 25.1796)* CHOOSE(CONTROL!$C$21, $C$9, 100%, $E$9)</f>
        <v>25.179600000000001</v>
      </c>
      <c r="J837" s="10">
        <f>CHOOSE(CONTROL!$C$42, 25.1821, 25.1821)* CHOOSE(CONTROL!$C$21, $C$9, 100%, $E$9)</f>
        <v>25.182099999999998</v>
      </c>
      <c r="K837" s="54">
        <f>CHOOSE(CONTROL!$C$42, 25.1757, 25.1757) * CHOOSE(CONTROL!$C$21, $C$9, 100%, $E$9)</f>
        <v>25.175699999999999</v>
      </c>
      <c r="L837" s="10">
        <f>CHOOSE(CONTROL!$C$42, 25.9959, 25.9959) * CHOOSE(CONTROL!$C$21, $C$9, 100%, $E$9)</f>
        <v>25.995899999999999</v>
      </c>
      <c r="M837" s="10">
        <f>CHOOSE(CONTROL!$C$42, 24.9418, 24.9418) * CHOOSE(CONTROL!$C$21, $C$9, 100%, $E$9)</f>
        <v>24.941800000000001</v>
      </c>
      <c r="N837" s="10">
        <f>CHOOSE(CONTROL!$C$42, 24.9598, 24.9598) * CHOOSE(CONTROL!$C$21, $C$9, 100%, $E$9)</f>
        <v>24.959800000000001</v>
      </c>
      <c r="O837" s="10">
        <f>CHOOSE(CONTROL!$C$42, 25.1663, 25.1663) * CHOOSE(CONTROL!$C$21, $C$9, 100%, $E$9)</f>
        <v>25.1663</v>
      </c>
      <c r="P837" s="10">
        <f>CHOOSE(CONTROL!$C$42, 24.9393, 24.9393) * CHOOSE(CONTROL!$C$21, $C$9, 100%, $E$9)</f>
        <v>24.939299999999999</v>
      </c>
      <c r="Q837" s="10">
        <f>CHOOSE(CONTROL!$C$42, 25.7616, 25.7616) * CHOOSE(CONTROL!$C$21, $C$9, 100%, $E$9)</f>
        <v>25.761600000000001</v>
      </c>
      <c r="R837" s="10">
        <f>CHOOSE(CONTROL!$C$42, 26.413, 26.413) * CHOOSE(CONTROL!$C$21, $C$9, 100%, $E$9)</f>
        <v>26.413</v>
      </c>
      <c r="S837" s="10">
        <f>CHOOSE(CONTROL!$C$42, 24.4701, 24.4701) * CHOOSE(CONTROL!$C$21, $C$9, 100%, $E$9)</f>
        <v>24.470099999999999</v>
      </c>
      <c r="T837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37" s="58">
        <f>(1000*CHOOSE(CONTROL!$C$42, 695, 695)*CHOOSE(CONTROL!$C$42, 0.5599, 0.5599)*CHOOSE(CONTROL!$C$42, 30, 30))/1000000</f>
        <v>11.673914999999997</v>
      </c>
      <c r="V837" s="58">
        <f>(1000*CHOOSE(CONTROL!$C$42, 500, 500)*CHOOSE(CONTROL!$C$42, 0.275, 0.275)*CHOOSE(CONTROL!$C$42, 30, 30))/1000000</f>
        <v>4.125</v>
      </c>
      <c r="W837" s="58">
        <f>(1000*CHOOSE(CONTROL!$C$42, 0.1146, 0.1146)*CHOOSE(CONTROL!$C$42, 121.5, 121.5)*CHOOSE(CONTROL!$C$42, 30, 30))/1000000</f>
        <v>0.417717</v>
      </c>
      <c r="X837" s="58">
        <f>(30*0.1790888*245000/1000000)+(30*0.2374*100000/1000000)</f>
        <v>2.0285026799999999</v>
      </c>
      <c r="Y837" s="58"/>
      <c r="Z837" s="10"/>
      <c r="AA837" s="57"/>
      <c r="AB837" s="51">
        <f>(B837*194.205+C837*267.466+D837*133.845+E837*53.484+F837*40+G837*185+H837*0+I837*100+J837*300)/(194.205+267.466+133.845+53.484+0+40+185+100+300)</f>
        <v>25.226664044191519</v>
      </c>
      <c r="AC837" s="27">
        <f>(M837*'RAP TEMPLATE-GAS AVAILABILITY'!O836+N837*'RAP TEMPLATE-GAS AVAILABILITY'!P836+O837*'RAP TEMPLATE-GAS AVAILABILITY'!Q836+P837*'RAP TEMPLATE-GAS AVAILABILITY'!R836)/('RAP TEMPLATE-GAS AVAILABILITY'!O836+'RAP TEMPLATE-GAS AVAILABILITY'!P836+'RAP TEMPLATE-GAS AVAILABILITY'!Q836+'RAP TEMPLATE-GAS AVAILABILITY'!R836)</f>
        <v>25.044228057553955</v>
      </c>
    </row>
    <row r="838" spans="1:29" ht="15.75" x14ac:dyDescent="0.25">
      <c r="A838" s="13">
        <v>66780</v>
      </c>
      <c r="B838" s="10">
        <f>CHOOSE(CONTROL!$C$42, 24.689, 24.689) * CHOOSE(CONTROL!$C$21, $C$9, 100%, $E$9)</f>
        <v>24.689</v>
      </c>
      <c r="C838" s="10">
        <f>CHOOSE(CONTROL!$C$42, 24.6942, 24.6942) * CHOOSE(CONTROL!$C$21, $C$9, 100%, $E$9)</f>
        <v>24.694199999999999</v>
      </c>
      <c r="D838" s="10">
        <f>CHOOSE(CONTROL!$C$42, 24.8777, 24.8777) * CHOOSE(CONTROL!$C$21, $C$9, 100%, $E$9)</f>
        <v>24.877700000000001</v>
      </c>
      <c r="E838" s="10">
        <f>CHOOSE(CONTROL!$C$42, 24.9065, 24.9065) * CHOOSE(CONTROL!$C$21, $C$9, 100%, $E$9)</f>
        <v>24.906500000000001</v>
      </c>
      <c r="F838" s="10">
        <f>CHOOSE(CONTROL!$C$42, 24.6773, 24.6773)*CHOOSE(CONTROL!$C$21, $C$9, 100%, $E$9)</f>
        <v>24.677299999999999</v>
      </c>
      <c r="G838" s="10">
        <f>CHOOSE(CONTROL!$C$42, 24.6952, 24.6952)*CHOOSE(CONTROL!$C$21, $C$9, 100%, $E$9)</f>
        <v>24.6952</v>
      </c>
      <c r="H838" s="10">
        <f>CHOOSE(CONTROL!$C$42, 24.8969, 24.8969) * CHOOSE(CONTROL!$C$21, $C$9, 100%, $E$9)</f>
        <v>24.896899999999999</v>
      </c>
      <c r="I838" s="10">
        <f>CHOOSE(CONTROL!$C$42, 24.6676, 24.6676)* CHOOSE(CONTROL!$C$21, $C$9, 100%, $E$9)</f>
        <v>24.6676</v>
      </c>
      <c r="J838" s="10">
        <f>CHOOSE(CONTROL!$C$42, 24.6703, 24.6703)* CHOOSE(CONTROL!$C$21, $C$9, 100%, $E$9)</f>
        <v>24.670300000000001</v>
      </c>
      <c r="K838" s="54">
        <f>CHOOSE(CONTROL!$C$42, 24.6637, 24.6637) * CHOOSE(CONTROL!$C$21, $C$9, 100%, $E$9)</f>
        <v>24.663699999999999</v>
      </c>
      <c r="L838" s="10">
        <f>CHOOSE(CONTROL!$C$42, 25.4839, 25.4839) * CHOOSE(CONTROL!$C$21, $C$9, 100%, $E$9)</f>
        <v>25.483899999999998</v>
      </c>
      <c r="M838" s="10">
        <f>CHOOSE(CONTROL!$C$42, 24.4351, 24.4351) * CHOOSE(CONTROL!$C$21, $C$9, 100%, $E$9)</f>
        <v>24.435099999999998</v>
      </c>
      <c r="N838" s="10">
        <f>CHOOSE(CONTROL!$C$42, 24.4528, 24.4528) * CHOOSE(CONTROL!$C$21, $C$9, 100%, $E$9)</f>
        <v>24.4528</v>
      </c>
      <c r="O838" s="10">
        <f>CHOOSE(CONTROL!$C$42, 24.6595, 24.6595) * CHOOSE(CONTROL!$C$21, $C$9, 100%, $E$9)</f>
        <v>24.659500000000001</v>
      </c>
      <c r="P838" s="10">
        <f>CHOOSE(CONTROL!$C$42, 24.4325, 24.4325) * CHOOSE(CONTROL!$C$21, $C$9, 100%, $E$9)</f>
        <v>24.432500000000001</v>
      </c>
      <c r="Q838" s="10">
        <f>CHOOSE(CONTROL!$C$42, 25.2548, 25.2548) * CHOOSE(CONTROL!$C$21, $C$9, 100%, $E$9)</f>
        <v>25.254799999999999</v>
      </c>
      <c r="R838" s="10">
        <f>CHOOSE(CONTROL!$C$42, 25.905, 25.905) * CHOOSE(CONTROL!$C$21, $C$9, 100%, $E$9)</f>
        <v>25.905000000000001</v>
      </c>
      <c r="S838" s="10">
        <f>CHOOSE(CONTROL!$C$42, 23.9729, 23.9729) * CHOOSE(CONTROL!$C$21, $C$9, 100%, $E$9)</f>
        <v>23.972899999999999</v>
      </c>
      <c r="T838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38" s="58">
        <f>(1000*CHOOSE(CONTROL!$C$42, 695, 695)*CHOOSE(CONTROL!$C$42, 0.5599, 0.5599)*CHOOSE(CONTROL!$C$42, 31, 31))/1000000</f>
        <v>12.063045499999998</v>
      </c>
      <c r="V838" s="58">
        <f>(1000*CHOOSE(CONTROL!$C$42, 500, 500)*CHOOSE(CONTROL!$C$42, 0.275, 0.275)*CHOOSE(CONTROL!$C$42, 31, 31))/1000000</f>
        <v>4.2625000000000002</v>
      </c>
      <c r="W838" s="58">
        <f>(1000*CHOOSE(CONTROL!$C$42, 0.1146, 0.1146)*CHOOSE(CONTROL!$C$42, 121.5, 121.5)*CHOOSE(CONTROL!$C$42, 31, 31))/1000000</f>
        <v>0.43164089999999994</v>
      </c>
      <c r="X838" s="58">
        <f>(31*0.1790888*245000/1000000)+(31*0.2374*100000/1000000)</f>
        <v>2.0961194359999999</v>
      </c>
      <c r="Y838" s="58"/>
      <c r="Z838" s="10"/>
      <c r="AA838" s="57"/>
      <c r="AB838" s="51">
        <f>(B838*131.881+C838*277.167+D838*79.08+E838*125.872+F838*40+G838*185+H838*0+I838*100+J838*300)/(131.881+277.167+79.08+125.872+0+40+185+100+300)</f>
        <v>24.718596307021791</v>
      </c>
      <c r="AC838" s="27">
        <f>(M838*'RAP TEMPLATE-GAS AVAILABILITY'!O837+N838*'RAP TEMPLATE-GAS AVAILABILITY'!P837+O838*'RAP TEMPLATE-GAS AVAILABILITY'!Q837+P838*'RAP TEMPLATE-GAS AVAILABILITY'!R837)/('RAP TEMPLATE-GAS AVAILABILITY'!O837+'RAP TEMPLATE-GAS AVAILABILITY'!P837+'RAP TEMPLATE-GAS AVAILABILITY'!Q837+'RAP TEMPLATE-GAS AVAILABILITY'!R837)</f>
        <v>24.537451079136691</v>
      </c>
    </row>
    <row r="839" spans="1:29" ht="15.75" x14ac:dyDescent="0.25">
      <c r="A839" s="13">
        <v>66810</v>
      </c>
      <c r="B839" s="10">
        <f>CHOOSE(CONTROL!$C$42, 25.3389, 25.3389) * CHOOSE(CONTROL!$C$21, $C$9, 100%, $E$9)</f>
        <v>25.338899999999999</v>
      </c>
      <c r="C839" s="10">
        <f>CHOOSE(CONTROL!$C$42, 25.3438, 25.3438) * CHOOSE(CONTROL!$C$21, $C$9, 100%, $E$9)</f>
        <v>25.343800000000002</v>
      </c>
      <c r="D839" s="10">
        <f>CHOOSE(CONTROL!$C$42, 25.3734, 25.3734) * CHOOSE(CONTROL!$C$21, $C$9, 100%, $E$9)</f>
        <v>25.3734</v>
      </c>
      <c r="E839" s="10">
        <f>CHOOSE(CONTROL!$C$42, 25.4072, 25.4072) * CHOOSE(CONTROL!$C$21, $C$9, 100%, $E$9)</f>
        <v>25.4072</v>
      </c>
      <c r="F839" s="10">
        <f>CHOOSE(CONTROL!$C$42, 25.3246, 25.3246)*CHOOSE(CONTROL!$C$21, $C$9, 100%, $E$9)</f>
        <v>25.3246</v>
      </c>
      <c r="G839" s="10">
        <f>CHOOSE(CONTROL!$C$42, 25.3427, 25.3427)*CHOOSE(CONTROL!$C$21, $C$9, 100%, $E$9)</f>
        <v>25.342700000000001</v>
      </c>
      <c r="H839" s="10">
        <f>CHOOSE(CONTROL!$C$42, 25.3964, 25.3964) * CHOOSE(CONTROL!$C$21, $C$9, 100%, $E$9)</f>
        <v>25.3964</v>
      </c>
      <c r="I839" s="10">
        <f>CHOOSE(CONTROL!$C$42, 25.3051, 25.3051)* CHOOSE(CONTROL!$C$21, $C$9, 100%, $E$9)</f>
        <v>25.305099999999999</v>
      </c>
      <c r="J839" s="10">
        <f>CHOOSE(CONTROL!$C$42, 25.3176, 25.3176)* CHOOSE(CONTROL!$C$21, $C$9, 100%, $E$9)</f>
        <v>25.317599999999999</v>
      </c>
      <c r="K839" s="54">
        <f>CHOOSE(CONTROL!$C$42, 25.3012, 25.3012) * CHOOSE(CONTROL!$C$21, $C$9, 100%, $E$9)</f>
        <v>25.301200000000001</v>
      </c>
      <c r="L839" s="10">
        <f>CHOOSE(CONTROL!$C$42, 25.9834, 25.9834) * CHOOSE(CONTROL!$C$21, $C$9, 100%, $E$9)</f>
        <v>25.9834</v>
      </c>
      <c r="M839" s="10">
        <f>CHOOSE(CONTROL!$C$42, 25.076, 25.076) * CHOOSE(CONTROL!$C$21, $C$9, 100%, $E$9)</f>
        <v>25.076000000000001</v>
      </c>
      <c r="N839" s="10">
        <f>CHOOSE(CONTROL!$C$42, 25.0938, 25.0938) * CHOOSE(CONTROL!$C$21, $C$9, 100%, $E$9)</f>
        <v>25.093800000000002</v>
      </c>
      <c r="O839" s="10">
        <f>CHOOSE(CONTROL!$C$42, 25.1539, 25.1539) * CHOOSE(CONTROL!$C$21, $C$9, 100%, $E$9)</f>
        <v>25.1539</v>
      </c>
      <c r="P839" s="10">
        <f>CHOOSE(CONTROL!$C$42, 25.0635, 25.0635) * CHOOSE(CONTROL!$C$21, $C$9, 100%, $E$9)</f>
        <v>25.063500000000001</v>
      </c>
      <c r="Q839" s="10">
        <f>CHOOSE(CONTROL!$C$42, 25.7492, 25.7492) * CHOOSE(CONTROL!$C$21, $C$9, 100%, $E$9)</f>
        <v>25.749199999999998</v>
      </c>
      <c r="R839" s="10">
        <f>CHOOSE(CONTROL!$C$42, 26.4006, 26.4006) * CHOOSE(CONTROL!$C$21, $C$9, 100%, $E$9)</f>
        <v>26.400600000000001</v>
      </c>
      <c r="S839" s="10">
        <f>CHOOSE(CONTROL!$C$42, 24.6045, 24.6045) * CHOOSE(CONTROL!$C$21, $C$9, 100%, $E$9)</f>
        <v>24.604500000000002</v>
      </c>
      <c r="T839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39" s="58">
        <f>(1000*CHOOSE(CONTROL!$C$42, 695, 695)*CHOOSE(CONTROL!$C$42, 0.5599, 0.5599)*CHOOSE(CONTROL!$C$42, 30, 30))/1000000</f>
        <v>11.673914999999997</v>
      </c>
      <c r="V839" s="58">
        <f>(1000*CHOOSE(CONTROL!$C$42, 500, 500)*CHOOSE(CONTROL!$C$42, 0.275, 0.275)*CHOOSE(CONTROL!$C$42, 30, 30))/1000000</f>
        <v>4.125</v>
      </c>
      <c r="W839" s="58">
        <f>(1000*CHOOSE(CONTROL!$C$42, 0.1146, 0.1146)*CHOOSE(CONTROL!$C$42, 121.5, 121.5)*CHOOSE(CONTROL!$C$42, 30, 30))/1000000</f>
        <v>0.417717</v>
      </c>
      <c r="X839" s="58">
        <f>(30*0.1790888*100000/1000000)+(30*0.2374*100000/1000000)</f>
        <v>1.2494664</v>
      </c>
      <c r="Y839" s="58"/>
      <c r="Z839" s="10"/>
      <c r="AA839" s="57"/>
      <c r="AB839" s="51">
        <f>(B839*122.58+C839*297.941+D839*89.177+E839*40.302+F839*40+G839*160+H839*0+I839*100+J839*300)/(122.58+297.941+89.177+40.302+0+40+160+100+300)</f>
        <v>25.336774038260867</v>
      </c>
      <c r="AC839" s="27">
        <f>(M839*'RAP TEMPLATE-GAS AVAILABILITY'!O838+N839*'RAP TEMPLATE-GAS AVAILABILITY'!P838+O839*'RAP TEMPLATE-GAS AVAILABILITY'!Q838+P839*'RAP TEMPLATE-GAS AVAILABILITY'!R838)/('RAP TEMPLATE-GAS AVAILABILITY'!O838+'RAP TEMPLATE-GAS AVAILABILITY'!P838+'RAP TEMPLATE-GAS AVAILABILITY'!Q838+'RAP TEMPLATE-GAS AVAILABILITY'!R838)</f>
        <v>25.110533093525177</v>
      </c>
    </row>
    <row r="840" spans="1:29" ht="15.75" x14ac:dyDescent="0.25">
      <c r="A840" s="13">
        <v>66841</v>
      </c>
      <c r="B840" s="10">
        <f>CHOOSE(CONTROL!$C$42, 27.0663, 27.0663) * CHOOSE(CONTROL!$C$21, $C$9, 100%, $E$9)</f>
        <v>27.066299999999998</v>
      </c>
      <c r="C840" s="10">
        <f>CHOOSE(CONTROL!$C$42, 27.0712, 27.0712) * CHOOSE(CONTROL!$C$21, $C$9, 100%, $E$9)</f>
        <v>27.071200000000001</v>
      </c>
      <c r="D840" s="10">
        <f>CHOOSE(CONTROL!$C$42, 27.1008, 27.1008) * CHOOSE(CONTROL!$C$21, $C$9, 100%, $E$9)</f>
        <v>27.1008</v>
      </c>
      <c r="E840" s="10">
        <f>CHOOSE(CONTROL!$C$42, 27.1346, 27.1346) * CHOOSE(CONTROL!$C$21, $C$9, 100%, $E$9)</f>
        <v>27.134599999999999</v>
      </c>
      <c r="F840" s="10">
        <f>CHOOSE(CONTROL!$C$42, 27.0536, 27.0536)*CHOOSE(CONTROL!$C$21, $C$9, 100%, $E$9)</f>
        <v>27.053599999999999</v>
      </c>
      <c r="G840" s="10">
        <f>CHOOSE(CONTROL!$C$42, 27.072, 27.072)*CHOOSE(CONTROL!$C$21, $C$9, 100%, $E$9)</f>
        <v>27.071999999999999</v>
      </c>
      <c r="H840" s="10">
        <f>CHOOSE(CONTROL!$C$42, 27.1238, 27.1238) * CHOOSE(CONTROL!$C$21, $C$9, 100%, $E$9)</f>
        <v>27.123799999999999</v>
      </c>
      <c r="I840" s="10">
        <f>CHOOSE(CONTROL!$C$42, 27.0324, 27.0324)* CHOOSE(CONTROL!$C$21, $C$9, 100%, $E$9)</f>
        <v>27.032399999999999</v>
      </c>
      <c r="J840" s="10">
        <f>CHOOSE(CONTROL!$C$42, 27.0466, 27.0466)* CHOOSE(CONTROL!$C$21, $C$9, 100%, $E$9)</f>
        <v>27.046600000000002</v>
      </c>
      <c r="K840" s="54">
        <f>CHOOSE(CONTROL!$C$42, 27.0286, 27.0286) * CHOOSE(CONTROL!$C$21, $C$9, 100%, $E$9)</f>
        <v>27.028600000000001</v>
      </c>
      <c r="L840" s="10">
        <f>CHOOSE(CONTROL!$C$42, 27.7108, 27.7108) * CHOOSE(CONTROL!$C$21, $C$9, 100%, $E$9)</f>
        <v>27.710799999999999</v>
      </c>
      <c r="M840" s="10">
        <f>CHOOSE(CONTROL!$C$42, 26.7875, 26.7875) * CHOOSE(CONTROL!$C$21, $C$9, 100%, $E$9)</f>
        <v>26.787500000000001</v>
      </c>
      <c r="N840" s="10">
        <f>CHOOSE(CONTROL!$C$42, 26.8057, 26.8057) * CHOOSE(CONTROL!$C$21, $C$9, 100%, $E$9)</f>
        <v>26.805700000000002</v>
      </c>
      <c r="O840" s="10">
        <f>CHOOSE(CONTROL!$C$42, 26.8639, 26.8639) * CHOOSE(CONTROL!$C$21, $C$9, 100%, $E$9)</f>
        <v>26.863900000000001</v>
      </c>
      <c r="P840" s="10">
        <f>CHOOSE(CONTROL!$C$42, 26.7735, 26.7735) * CHOOSE(CONTROL!$C$21, $C$9, 100%, $E$9)</f>
        <v>26.773499999999999</v>
      </c>
      <c r="Q840" s="10">
        <f>CHOOSE(CONTROL!$C$42, 27.4592, 27.4592) * CHOOSE(CONTROL!$C$21, $C$9, 100%, $E$9)</f>
        <v>27.459199999999999</v>
      </c>
      <c r="R840" s="10">
        <f>CHOOSE(CONTROL!$C$42, 28.1149, 28.1149) * CHOOSE(CONTROL!$C$21, $C$9, 100%, $E$9)</f>
        <v>28.114899999999999</v>
      </c>
      <c r="S840" s="10">
        <f>CHOOSE(CONTROL!$C$42, 26.2819, 26.2819) * CHOOSE(CONTROL!$C$21, $C$9, 100%, $E$9)</f>
        <v>26.2819</v>
      </c>
      <c r="T840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40" s="58">
        <f>(1000*CHOOSE(CONTROL!$C$42, 695, 695)*CHOOSE(CONTROL!$C$42, 0.5599, 0.5599)*CHOOSE(CONTROL!$C$42, 31, 31))/1000000</f>
        <v>12.063045499999998</v>
      </c>
      <c r="V840" s="58">
        <f>(1000*CHOOSE(CONTROL!$C$42, 500, 500)*CHOOSE(CONTROL!$C$42, 0.275, 0.275)*CHOOSE(CONTROL!$C$42, 31, 31))/1000000</f>
        <v>4.2625000000000002</v>
      </c>
      <c r="W840" s="58">
        <f>(1000*CHOOSE(CONTROL!$C$42, 0.1146, 0.1146)*CHOOSE(CONTROL!$C$42, 121.5, 121.5)*CHOOSE(CONTROL!$C$42, 31, 31))/1000000</f>
        <v>0.43164089999999994</v>
      </c>
      <c r="X840" s="58">
        <f>(31*0.1790888*100000/1000000)+(31*0.2374*100000/1000000)</f>
        <v>1.2911152800000001</v>
      </c>
      <c r="Y840" s="58"/>
      <c r="Z840" s="10"/>
      <c r="AA840" s="57"/>
      <c r="AB840" s="51">
        <f>(B840*122.58+C840*297.941+D840*89.177+E840*40.302+F840*40+G840*160+H840*0+I840*100+J840*300)/(122.58+297.941+89.177+40.302+0+40+160+100+300)</f>
        <v>27.064902733913044</v>
      </c>
      <c r="AC840" s="27">
        <f>(M840*'RAP TEMPLATE-GAS AVAILABILITY'!O839+N840*'RAP TEMPLATE-GAS AVAILABILITY'!P839+O840*'RAP TEMPLATE-GAS AVAILABILITY'!Q839+P840*'RAP TEMPLATE-GAS AVAILABILITY'!R839)/('RAP TEMPLATE-GAS AVAILABILITY'!O839+'RAP TEMPLATE-GAS AVAILABILITY'!P839+'RAP TEMPLATE-GAS AVAILABILITY'!Q839+'RAP TEMPLATE-GAS AVAILABILITY'!R839)</f>
        <v>26.821160431654675</v>
      </c>
    </row>
    <row r="841" spans="1:29" ht="15.75" x14ac:dyDescent="0.25">
      <c r="A841" s="13">
        <v>66872</v>
      </c>
      <c r="B841" s="10">
        <f>CHOOSE(CONTROL!$C$42, 28.8929, 28.8929) * CHOOSE(CONTROL!$C$21, $C$9, 100%, $E$9)</f>
        <v>28.892900000000001</v>
      </c>
      <c r="C841" s="10">
        <f>CHOOSE(CONTROL!$C$42, 28.8978, 28.8978) * CHOOSE(CONTROL!$C$21, $C$9, 100%, $E$9)</f>
        <v>28.8978</v>
      </c>
      <c r="D841" s="10">
        <f>CHOOSE(CONTROL!$C$42, 28.948, 28.948) * CHOOSE(CONTROL!$C$21, $C$9, 100%, $E$9)</f>
        <v>28.948</v>
      </c>
      <c r="E841" s="10">
        <f>CHOOSE(CONTROL!$C$42, 28.9818, 28.9818) * CHOOSE(CONTROL!$C$21, $C$9, 100%, $E$9)</f>
        <v>28.9818</v>
      </c>
      <c r="F841" s="10">
        <f>CHOOSE(CONTROL!$C$42, 28.8583, 28.8583)*CHOOSE(CONTROL!$C$21, $C$9, 100%, $E$9)</f>
        <v>28.8583</v>
      </c>
      <c r="G841" s="10">
        <f>CHOOSE(CONTROL!$C$42, 28.8758, 28.8758)*CHOOSE(CONTROL!$C$21, $C$9, 100%, $E$9)</f>
        <v>28.875800000000002</v>
      </c>
      <c r="H841" s="10">
        <f>CHOOSE(CONTROL!$C$42, 28.971, 28.971) * CHOOSE(CONTROL!$C$21, $C$9, 100%, $E$9)</f>
        <v>28.971</v>
      </c>
      <c r="I841" s="10">
        <f>CHOOSE(CONTROL!$C$42, 28.8668, 28.8668)* CHOOSE(CONTROL!$C$21, $C$9, 100%, $E$9)</f>
        <v>28.866800000000001</v>
      </c>
      <c r="J841" s="10">
        <f>CHOOSE(CONTROL!$C$42, 28.8513, 28.8513)* CHOOSE(CONTROL!$C$21, $C$9, 100%, $E$9)</f>
        <v>28.851299999999998</v>
      </c>
      <c r="K841" s="54">
        <f>CHOOSE(CONTROL!$C$42, 28.8629, 28.8629) * CHOOSE(CONTROL!$C$21, $C$9, 100%, $E$9)</f>
        <v>28.8629</v>
      </c>
      <c r="L841" s="10">
        <f>CHOOSE(CONTROL!$C$42, 29.558, 29.558) * CHOOSE(CONTROL!$C$21, $C$9, 100%, $E$9)</f>
        <v>29.558</v>
      </c>
      <c r="M841" s="10">
        <f>CHOOSE(CONTROL!$C$42, 28.5739, 28.5739) * CHOOSE(CONTROL!$C$21, $C$9, 100%, $E$9)</f>
        <v>28.573899999999998</v>
      </c>
      <c r="N841" s="10">
        <f>CHOOSE(CONTROL!$C$42, 28.5913, 28.5913) * CHOOSE(CONTROL!$C$21, $C$9, 100%, $E$9)</f>
        <v>28.5913</v>
      </c>
      <c r="O841" s="10">
        <f>CHOOSE(CONTROL!$C$42, 28.6925, 28.6925) * CHOOSE(CONTROL!$C$21, $C$9, 100%, $E$9)</f>
        <v>28.692499999999999</v>
      </c>
      <c r="P841" s="10">
        <f>CHOOSE(CONTROL!$C$42, 28.5893, 28.5893) * CHOOSE(CONTROL!$C$21, $C$9, 100%, $E$9)</f>
        <v>28.589300000000001</v>
      </c>
      <c r="Q841" s="10">
        <f>CHOOSE(CONTROL!$C$42, 29.2878, 29.2878) * CHOOSE(CONTROL!$C$21, $C$9, 100%, $E$9)</f>
        <v>29.287800000000001</v>
      </c>
      <c r="R841" s="10">
        <f>CHOOSE(CONTROL!$C$42, 29.948, 29.948) * CHOOSE(CONTROL!$C$21, $C$9, 100%, $E$9)</f>
        <v>29.948</v>
      </c>
      <c r="S841" s="10">
        <f>CHOOSE(CONTROL!$C$42, 28.0557, 28.0557) * CHOOSE(CONTROL!$C$21, $C$9, 100%, $E$9)</f>
        <v>28.055700000000002</v>
      </c>
      <c r="T841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41" s="58">
        <f>(1000*CHOOSE(CONTROL!$C$42, 695, 695)*CHOOSE(CONTROL!$C$42, 0.5599, 0.5599)*CHOOSE(CONTROL!$C$42, 31, 31))/1000000</f>
        <v>12.063045499999998</v>
      </c>
      <c r="V841" s="58">
        <f>(1000*CHOOSE(CONTROL!$C$42, 500, 500)*CHOOSE(CONTROL!$C$42, 0.275, 0.275)*CHOOSE(CONTROL!$C$42, 31, 31))/1000000</f>
        <v>4.2625000000000002</v>
      </c>
      <c r="W841" s="58">
        <f>(1000*CHOOSE(CONTROL!$C$42, 0.1146, 0.1146)*CHOOSE(CONTROL!$C$42, 121.5, 121.5)*CHOOSE(CONTROL!$C$42, 31, 31))/1000000</f>
        <v>0.43164089999999994</v>
      </c>
      <c r="X841" s="58">
        <f>(31*0.1790888*100000/1000000)+(31*0.2374*100000/1000000)</f>
        <v>1.2911152800000001</v>
      </c>
      <c r="Y841" s="58"/>
      <c r="Z841" s="10"/>
      <c r="AA841" s="57"/>
      <c r="AB841" s="51">
        <f>(B841*122.58+C841*297.941+D841*89.177+E841*40.302+F841*40+G841*160+H841*0+I841*100+J841*300)/(122.58+297.941+89.177+40.302+0+40+160+100+300)</f>
        <v>28.884853401217388</v>
      </c>
      <c r="AC841" s="27">
        <f>(M841*'RAP TEMPLATE-GAS AVAILABILITY'!O840+N841*'RAP TEMPLATE-GAS AVAILABILITY'!P840+O841*'RAP TEMPLATE-GAS AVAILABILITY'!Q840+P841*'RAP TEMPLATE-GAS AVAILABILITY'!R840)/('RAP TEMPLATE-GAS AVAILABILITY'!O840+'RAP TEMPLATE-GAS AVAILABILITY'!P840+'RAP TEMPLATE-GAS AVAILABILITY'!Q840+'RAP TEMPLATE-GAS AVAILABILITY'!R840)</f>
        <v>28.630871223021582</v>
      </c>
    </row>
    <row r="842" spans="1:29" ht="15.75" x14ac:dyDescent="0.25">
      <c r="A842" s="13">
        <v>66900</v>
      </c>
      <c r="B842" s="10">
        <f>CHOOSE(CONTROL!$C$42, 29.4072, 29.4072) * CHOOSE(CONTROL!$C$21, $C$9, 100%, $E$9)</f>
        <v>29.4072</v>
      </c>
      <c r="C842" s="10">
        <f>CHOOSE(CONTROL!$C$42, 29.4121, 29.4121) * CHOOSE(CONTROL!$C$21, $C$9, 100%, $E$9)</f>
        <v>29.412099999999999</v>
      </c>
      <c r="D842" s="10">
        <f>CHOOSE(CONTROL!$C$42, 29.5293, 29.5293) * CHOOSE(CONTROL!$C$21, $C$9, 100%, $E$9)</f>
        <v>29.529299999999999</v>
      </c>
      <c r="E842" s="10">
        <f>CHOOSE(CONTROL!$C$42, 29.563, 29.563) * CHOOSE(CONTROL!$C$21, $C$9, 100%, $E$9)</f>
        <v>29.562999999999999</v>
      </c>
      <c r="F842" s="10">
        <f>CHOOSE(CONTROL!$C$42, 29.4848, 29.4848)*CHOOSE(CONTROL!$C$21, $C$9, 100%, $E$9)</f>
        <v>29.4848</v>
      </c>
      <c r="G842" s="10">
        <f>CHOOSE(CONTROL!$C$42, 29.5067, 29.5067)*CHOOSE(CONTROL!$C$21, $C$9, 100%, $E$9)</f>
        <v>29.506699999999999</v>
      </c>
      <c r="H842" s="10">
        <f>CHOOSE(CONTROL!$C$42, 29.5522, 29.5522) * CHOOSE(CONTROL!$C$21, $C$9, 100%, $E$9)</f>
        <v>29.552199999999999</v>
      </c>
      <c r="I842" s="10">
        <f>CHOOSE(CONTROL!$C$42, 29.4429, 29.4429)* CHOOSE(CONTROL!$C$21, $C$9, 100%, $E$9)</f>
        <v>29.442900000000002</v>
      </c>
      <c r="J842" s="10">
        <f>CHOOSE(CONTROL!$C$42, 29.4778, 29.4778)* CHOOSE(CONTROL!$C$21, $C$9, 100%, $E$9)</f>
        <v>29.477799999999998</v>
      </c>
      <c r="K842" s="54">
        <f>CHOOSE(CONTROL!$C$42, 29.439, 29.439) * CHOOSE(CONTROL!$C$21, $C$9, 100%, $E$9)</f>
        <v>29.439</v>
      </c>
      <c r="L842" s="10">
        <f>CHOOSE(CONTROL!$C$42, 30.1392, 30.1392) * CHOOSE(CONTROL!$C$21, $C$9, 100%, $E$9)</f>
        <v>30.139199999999999</v>
      </c>
      <c r="M842" s="10">
        <f>CHOOSE(CONTROL!$C$42, 29.1941, 29.1941) * CHOOSE(CONTROL!$C$21, $C$9, 100%, $E$9)</f>
        <v>29.194099999999999</v>
      </c>
      <c r="N842" s="10">
        <f>CHOOSE(CONTROL!$C$42, 29.2158, 29.2158) * CHOOSE(CONTROL!$C$21, $C$9, 100%, $E$9)</f>
        <v>29.215800000000002</v>
      </c>
      <c r="O842" s="10">
        <f>CHOOSE(CONTROL!$C$42, 29.2678, 29.2678) * CHOOSE(CONTROL!$C$21, $C$9, 100%, $E$9)</f>
        <v>29.267800000000001</v>
      </c>
      <c r="P842" s="10">
        <f>CHOOSE(CONTROL!$C$42, 29.1596, 29.1596) * CHOOSE(CONTROL!$C$21, $C$9, 100%, $E$9)</f>
        <v>29.159600000000001</v>
      </c>
      <c r="Q842" s="10">
        <f>CHOOSE(CONTROL!$C$42, 29.8631, 29.8631) * CHOOSE(CONTROL!$C$21, $C$9, 100%, $E$9)</f>
        <v>29.863099999999999</v>
      </c>
      <c r="R842" s="10">
        <f>CHOOSE(CONTROL!$C$42, 30.5248, 30.5248) * CHOOSE(CONTROL!$C$21, $C$9, 100%, $E$9)</f>
        <v>30.524799999999999</v>
      </c>
      <c r="S842" s="10">
        <f>CHOOSE(CONTROL!$C$42, 28.5552, 28.5552) * CHOOSE(CONTROL!$C$21, $C$9, 100%, $E$9)</f>
        <v>28.555199999999999</v>
      </c>
      <c r="T842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842" s="58">
        <f>(1000*CHOOSE(CONTROL!$C$42, 695, 695)*CHOOSE(CONTROL!$C$42, 0.5599, 0.5599)*CHOOSE(CONTROL!$C$42, 28, 28))/1000000</f>
        <v>10.895653999999999</v>
      </c>
      <c r="V842" s="58">
        <f>(1000*CHOOSE(CONTROL!$C$42, 500, 500)*CHOOSE(CONTROL!$C$42, 0.275, 0.275)*CHOOSE(CONTROL!$C$42, 28, 28))/1000000</f>
        <v>3.85</v>
      </c>
      <c r="W842" s="58">
        <f>(1000*CHOOSE(CONTROL!$C$42, 0.1146, 0.1146)*CHOOSE(CONTROL!$C$42, 121.5, 121.5)*CHOOSE(CONTROL!$C$42, 28, 28))/1000000</f>
        <v>0.38986920000000003</v>
      </c>
      <c r="X842" s="58">
        <f>(28*0.1790888*100000/1000000)+(28*0.2374*100000/1000000)</f>
        <v>1.16616864</v>
      </c>
      <c r="Y842" s="58"/>
      <c r="Z842" s="10"/>
      <c r="AA842" s="57"/>
      <c r="AB842" s="51">
        <f>(B842*122.58+C842*297.941+D842*89.177+E842*40.302+F842*40+G842*160+H842*0+I842*100+J842*300)/(122.58+297.941+89.177+40.302+0+40+160+100+300)</f>
        <v>29.461462151478258</v>
      </c>
      <c r="AC842" s="27">
        <f>(M842*'RAP TEMPLATE-GAS AVAILABILITY'!O841+N842*'RAP TEMPLATE-GAS AVAILABILITY'!P841+O842*'RAP TEMPLATE-GAS AVAILABILITY'!Q841+P842*'RAP TEMPLATE-GAS AVAILABILITY'!R841)/('RAP TEMPLATE-GAS AVAILABILITY'!O841+'RAP TEMPLATE-GAS AVAILABILITY'!P841+'RAP TEMPLATE-GAS AVAILABILITY'!Q841+'RAP TEMPLATE-GAS AVAILABILITY'!R841)</f>
        <v>29.223788489208633</v>
      </c>
    </row>
    <row r="843" spans="1:29" ht="15.75" x14ac:dyDescent="0.25">
      <c r="A843" s="13">
        <v>66931</v>
      </c>
      <c r="B843" s="10">
        <f>CHOOSE(CONTROL!$C$42, 28.5724, 28.5724) * CHOOSE(CONTROL!$C$21, $C$9, 100%, $E$9)</f>
        <v>28.572399999999998</v>
      </c>
      <c r="C843" s="10">
        <f>CHOOSE(CONTROL!$C$42, 28.5773, 28.5773) * CHOOSE(CONTROL!$C$21, $C$9, 100%, $E$9)</f>
        <v>28.577300000000001</v>
      </c>
      <c r="D843" s="10">
        <f>CHOOSE(CONTROL!$C$42, 28.6687, 28.6687) * CHOOSE(CONTROL!$C$21, $C$9, 100%, $E$9)</f>
        <v>28.668700000000001</v>
      </c>
      <c r="E843" s="10">
        <f>CHOOSE(CONTROL!$C$42, 28.7025, 28.7025) * CHOOSE(CONTROL!$C$21, $C$9, 100%, $E$9)</f>
        <v>28.702500000000001</v>
      </c>
      <c r="F843" s="10">
        <f>CHOOSE(CONTROL!$C$42, 28.6022, 28.6022)*CHOOSE(CONTROL!$C$21, $C$9, 100%, $E$9)</f>
        <v>28.6022</v>
      </c>
      <c r="G843" s="10">
        <f>CHOOSE(CONTROL!$C$42, 28.6217, 28.6217)*CHOOSE(CONTROL!$C$21, $C$9, 100%, $E$9)</f>
        <v>28.621700000000001</v>
      </c>
      <c r="H843" s="10">
        <f>CHOOSE(CONTROL!$C$42, 28.6917, 28.6917) * CHOOSE(CONTROL!$C$21, $C$9, 100%, $E$9)</f>
        <v>28.691700000000001</v>
      </c>
      <c r="I843" s="10">
        <f>CHOOSE(CONTROL!$C$42, 28.5952, 28.5952)* CHOOSE(CONTROL!$C$21, $C$9, 100%, $E$9)</f>
        <v>28.595199999999998</v>
      </c>
      <c r="J843" s="10">
        <f>CHOOSE(CONTROL!$C$42, 28.5952, 28.5952)* CHOOSE(CONTROL!$C$21, $C$9, 100%, $E$9)</f>
        <v>28.595199999999998</v>
      </c>
      <c r="K843" s="54">
        <f>CHOOSE(CONTROL!$C$42, 28.5913, 28.5913) * CHOOSE(CONTROL!$C$21, $C$9, 100%, $E$9)</f>
        <v>28.5913</v>
      </c>
      <c r="L843" s="10">
        <f>CHOOSE(CONTROL!$C$42, 29.2787, 29.2787) * CHOOSE(CONTROL!$C$21, $C$9, 100%, $E$9)</f>
        <v>29.278700000000001</v>
      </c>
      <c r="M843" s="10">
        <f>CHOOSE(CONTROL!$C$42, 28.3205, 28.3205) * CHOOSE(CONTROL!$C$21, $C$9, 100%, $E$9)</f>
        <v>28.320499999999999</v>
      </c>
      <c r="N843" s="10">
        <f>CHOOSE(CONTROL!$C$42, 28.3398, 28.3398) * CHOOSE(CONTROL!$C$21, $C$9, 100%, $E$9)</f>
        <v>28.3398</v>
      </c>
      <c r="O843" s="10">
        <f>CHOOSE(CONTROL!$C$42, 28.416, 28.416) * CHOOSE(CONTROL!$C$21, $C$9, 100%, $E$9)</f>
        <v>28.416</v>
      </c>
      <c r="P843" s="10">
        <f>CHOOSE(CONTROL!$C$42, 28.3205, 28.3205) * CHOOSE(CONTROL!$C$21, $C$9, 100%, $E$9)</f>
        <v>28.320499999999999</v>
      </c>
      <c r="Q843" s="10">
        <f>CHOOSE(CONTROL!$C$42, 29.0113, 29.0113) * CHOOSE(CONTROL!$C$21, $C$9, 100%, $E$9)</f>
        <v>29.011299999999999</v>
      </c>
      <c r="R843" s="10">
        <f>CHOOSE(CONTROL!$C$42, 29.6708, 29.6708) * CHOOSE(CONTROL!$C$21, $C$9, 100%, $E$9)</f>
        <v>29.6708</v>
      </c>
      <c r="S843" s="10">
        <f>CHOOSE(CONTROL!$C$42, 27.7445, 27.7445) * CHOOSE(CONTROL!$C$21, $C$9, 100%, $E$9)</f>
        <v>27.744499999999999</v>
      </c>
      <c r="T843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43" s="58">
        <f>(1000*CHOOSE(CONTROL!$C$42, 695, 695)*CHOOSE(CONTROL!$C$42, 0.5599, 0.5599)*CHOOSE(CONTROL!$C$42, 31, 31))/1000000</f>
        <v>12.063045499999998</v>
      </c>
      <c r="V843" s="58">
        <f>(1000*CHOOSE(CONTROL!$C$42, 500, 500)*CHOOSE(CONTROL!$C$42, 0.275, 0.275)*CHOOSE(CONTROL!$C$42, 31, 31))/1000000</f>
        <v>4.2625000000000002</v>
      </c>
      <c r="W843" s="58">
        <f>(1000*CHOOSE(CONTROL!$C$42, 0.1146, 0.1146)*CHOOSE(CONTROL!$C$42, 121.5, 121.5)*CHOOSE(CONTROL!$C$42, 31, 31))/1000000</f>
        <v>0.43164089999999994</v>
      </c>
      <c r="X843" s="58">
        <f>(31*0.1790888*100000/1000000)+(31*0.2374*100000/1000000)</f>
        <v>1.2911152800000001</v>
      </c>
      <c r="Y843" s="58"/>
      <c r="Z843" s="10"/>
      <c r="AA843" s="57"/>
      <c r="AB843" s="51">
        <f>(B843*122.58+C843*297.941+D843*89.177+E843*40.302+F843*40+G843*160+H843*0+I843*100+J843*300)/(122.58+297.941+89.177+40.302+0+40+160+100+300)</f>
        <v>28.601522561913043</v>
      </c>
      <c r="AC843" s="27">
        <f>(M843*'RAP TEMPLATE-GAS AVAILABILITY'!O842+N843*'RAP TEMPLATE-GAS AVAILABILITY'!P842+O843*'RAP TEMPLATE-GAS AVAILABILITY'!Q842+P843*'RAP TEMPLATE-GAS AVAILABILITY'!R842)/('RAP TEMPLATE-GAS AVAILABILITY'!O842+'RAP TEMPLATE-GAS AVAILABILITY'!P842+'RAP TEMPLATE-GAS AVAILABILITY'!Q842+'RAP TEMPLATE-GAS AVAILABILITY'!R842)</f>
        <v>28.364894964028782</v>
      </c>
    </row>
    <row r="844" spans="1:29" ht="15.75" x14ac:dyDescent="0.25">
      <c r="A844" s="13">
        <v>66961</v>
      </c>
      <c r="B844" s="10">
        <f>CHOOSE(CONTROL!$C$42, 28.4876, 28.4876) * CHOOSE(CONTROL!$C$21, $C$9, 100%, $E$9)</f>
        <v>28.4876</v>
      </c>
      <c r="C844" s="10">
        <f>CHOOSE(CONTROL!$C$42, 28.492, 28.492) * CHOOSE(CONTROL!$C$21, $C$9, 100%, $E$9)</f>
        <v>28.492000000000001</v>
      </c>
      <c r="D844" s="10">
        <f>CHOOSE(CONTROL!$C$42, 28.6737, 28.6737) * CHOOSE(CONTROL!$C$21, $C$9, 100%, $E$9)</f>
        <v>28.6737</v>
      </c>
      <c r="E844" s="10">
        <f>CHOOSE(CONTROL!$C$42, 28.7054, 28.7054) * CHOOSE(CONTROL!$C$21, $C$9, 100%, $E$9)</f>
        <v>28.705400000000001</v>
      </c>
      <c r="F844" s="10">
        <f>CHOOSE(CONTROL!$C$42, 28.4759, 28.4759)*CHOOSE(CONTROL!$C$21, $C$9, 100%, $E$9)</f>
        <v>28.475899999999999</v>
      </c>
      <c r="G844" s="10">
        <f>CHOOSE(CONTROL!$C$42, 28.4939, 28.4939)*CHOOSE(CONTROL!$C$21, $C$9, 100%, $E$9)</f>
        <v>28.4939</v>
      </c>
      <c r="H844" s="10">
        <f>CHOOSE(CONTROL!$C$42, 28.6952, 28.6952) * CHOOSE(CONTROL!$C$21, $C$9, 100%, $E$9)</f>
        <v>28.6952</v>
      </c>
      <c r="I844" s="10">
        <f>CHOOSE(CONTROL!$C$42, 28.4659, 28.4659)* CHOOSE(CONTROL!$C$21, $C$9, 100%, $E$9)</f>
        <v>28.465900000000001</v>
      </c>
      <c r="J844" s="10">
        <f>CHOOSE(CONTROL!$C$42, 28.4689, 28.4689)* CHOOSE(CONTROL!$C$21, $C$9, 100%, $E$9)</f>
        <v>28.468900000000001</v>
      </c>
      <c r="K844" s="54">
        <f>CHOOSE(CONTROL!$C$42, 28.462, 28.462) * CHOOSE(CONTROL!$C$21, $C$9, 100%, $E$9)</f>
        <v>28.462</v>
      </c>
      <c r="L844" s="10">
        <f>CHOOSE(CONTROL!$C$42, 29.2822, 29.2822) * CHOOSE(CONTROL!$C$21, $C$9, 100%, $E$9)</f>
        <v>29.2822</v>
      </c>
      <c r="M844" s="10">
        <f>CHOOSE(CONTROL!$C$42, 28.1955, 28.1955) * CHOOSE(CONTROL!$C$21, $C$9, 100%, $E$9)</f>
        <v>28.195499999999999</v>
      </c>
      <c r="N844" s="10">
        <f>CHOOSE(CONTROL!$C$42, 28.2133, 28.2133) * CHOOSE(CONTROL!$C$21, $C$9, 100%, $E$9)</f>
        <v>28.2133</v>
      </c>
      <c r="O844" s="10">
        <f>CHOOSE(CONTROL!$C$42, 28.4195, 28.4195) * CHOOSE(CONTROL!$C$21, $C$9, 100%, $E$9)</f>
        <v>28.419499999999999</v>
      </c>
      <c r="P844" s="10">
        <f>CHOOSE(CONTROL!$C$42, 28.1925, 28.1925) * CHOOSE(CONTROL!$C$21, $C$9, 100%, $E$9)</f>
        <v>28.192499999999999</v>
      </c>
      <c r="Q844" s="10">
        <f>CHOOSE(CONTROL!$C$42, 29.0148, 29.0148) * CHOOSE(CONTROL!$C$21, $C$9, 100%, $E$9)</f>
        <v>29.014800000000001</v>
      </c>
      <c r="R844" s="10">
        <f>CHOOSE(CONTROL!$C$42, 29.6743, 29.6743) * CHOOSE(CONTROL!$C$21, $C$9, 100%, $E$9)</f>
        <v>29.674299999999999</v>
      </c>
      <c r="S844" s="10">
        <f>CHOOSE(CONTROL!$C$42, 27.6614, 27.6614) * CHOOSE(CONTROL!$C$21, $C$9, 100%, $E$9)</f>
        <v>27.6614</v>
      </c>
      <c r="T844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44" s="58">
        <f>(1000*CHOOSE(CONTROL!$C$42, 695, 695)*CHOOSE(CONTROL!$C$42, 0.5599, 0.5599)*CHOOSE(CONTROL!$C$42, 30, 30))/1000000</f>
        <v>11.673914999999997</v>
      </c>
      <c r="V844" s="58">
        <f>(1000*CHOOSE(CONTROL!$C$42, 500, 500)*CHOOSE(CONTROL!$C$42, 0.275, 0.275)*CHOOSE(CONTROL!$C$42, 30, 30))/1000000</f>
        <v>4.125</v>
      </c>
      <c r="W844" s="58">
        <f>(1000*CHOOSE(CONTROL!$C$42, 0.1146, 0.1146)*CHOOSE(CONTROL!$C$42, 121.5, 121.5)*CHOOSE(CONTROL!$C$42, 30, 30))/1000000</f>
        <v>0.417717</v>
      </c>
      <c r="X844" s="58">
        <f>(30*0.1790888*245000/1000000)+(30*0.2374*100000/1000000)</f>
        <v>2.0285026799999999</v>
      </c>
      <c r="Y844" s="58"/>
      <c r="Z844" s="10"/>
      <c r="AA844" s="57"/>
      <c r="AB844" s="51">
        <f>(B844*141.293+C844*267.993+D844*115.016+E844*89.698+F844*40+G844*185+H844*0+I844*100+J844*300)/(141.293+267.993+115.016+89.698+0+40+185+100+300)</f>
        <v>28.515878749959647</v>
      </c>
      <c r="AC844" s="27">
        <f>(M844*'RAP TEMPLATE-GAS AVAILABILITY'!O843+N844*'RAP TEMPLATE-GAS AVAILABILITY'!P843+O844*'RAP TEMPLATE-GAS AVAILABILITY'!Q843+P844*'RAP TEMPLATE-GAS AVAILABILITY'!R843)/('RAP TEMPLATE-GAS AVAILABILITY'!O843+'RAP TEMPLATE-GAS AVAILABILITY'!P843+'RAP TEMPLATE-GAS AVAILABILITY'!Q843+'RAP TEMPLATE-GAS AVAILABILITY'!R843)</f>
        <v>28.29761798561151</v>
      </c>
    </row>
    <row r="845" spans="1:29" ht="15.75" x14ac:dyDescent="0.25">
      <c r="A845" s="13">
        <v>66992</v>
      </c>
      <c r="B845" s="10">
        <f>CHOOSE(CONTROL!$C$42, 28.7408, 28.7408) * CHOOSE(CONTROL!$C$21, $C$9, 100%, $E$9)</f>
        <v>28.7408</v>
      </c>
      <c r="C845" s="10">
        <f>CHOOSE(CONTROL!$C$42, 28.7487, 28.7487) * CHOOSE(CONTROL!$C$21, $C$9, 100%, $E$9)</f>
        <v>28.748699999999999</v>
      </c>
      <c r="D845" s="10">
        <f>CHOOSE(CONTROL!$C$42, 28.9272, 28.9272) * CHOOSE(CONTROL!$C$21, $C$9, 100%, $E$9)</f>
        <v>28.927199999999999</v>
      </c>
      <c r="E845" s="10">
        <f>CHOOSE(CONTROL!$C$42, 28.9584, 28.9584) * CHOOSE(CONTROL!$C$21, $C$9, 100%, $E$9)</f>
        <v>28.958400000000001</v>
      </c>
      <c r="F845" s="10">
        <f>CHOOSE(CONTROL!$C$42, 28.727, 28.727)*CHOOSE(CONTROL!$C$21, $C$9, 100%, $E$9)</f>
        <v>28.727</v>
      </c>
      <c r="G845" s="10">
        <f>CHOOSE(CONTROL!$C$42, 28.7451, 28.7451)*CHOOSE(CONTROL!$C$21, $C$9, 100%, $E$9)</f>
        <v>28.745100000000001</v>
      </c>
      <c r="H845" s="10">
        <f>CHOOSE(CONTROL!$C$42, 28.947, 28.947) * CHOOSE(CONTROL!$C$21, $C$9, 100%, $E$9)</f>
        <v>28.946999999999999</v>
      </c>
      <c r="I845" s="10">
        <f>CHOOSE(CONTROL!$C$42, 28.7177, 28.7177)* CHOOSE(CONTROL!$C$21, $C$9, 100%, $E$9)</f>
        <v>28.717700000000001</v>
      </c>
      <c r="J845" s="10">
        <f>CHOOSE(CONTROL!$C$42, 28.72, 28.72)* CHOOSE(CONTROL!$C$21, $C$9, 100%, $E$9)</f>
        <v>28.72</v>
      </c>
      <c r="K845" s="54">
        <f>CHOOSE(CONTROL!$C$42, 28.7138, 28.7138) * CHOOSE(CONTROL!$C$21, $C$9, 100%, $E$9)</f>
        <v>28.713799999999999</v>
      </c>
      <c r="L845" s="10">
        <f>CHOOSE(CONTROL!$C$42, 29.534, 29.534) * CHOOSE(CONTROL!$C$21, $C$9, 100%, $E$9)</f>
        <v>29.533999999999999</v>
      </c>
      <c r="M845" s="10">
        <f>CHOOSE(CONTROL!$C$42, 28.444, 28.444) * CHOOSE(CONTROL!$C$21, $C$9, 100%, $E$9)</f>
        <v>28.443999999999999</v>
      </c>
      <c r="N845" s="10">
        <f>CHOOSE(CONTROL!$C$42, 28.462, 28.462) * CHOOSE(CONTROL!$C$21, $C$9, 100%, $E$9)</f>
        <v>28.462</v>
      </c>
      <c r="O845" s="10">
        <f>CHOOSE(CONTROL!$C$42, 28.6687, 28.6687) * CHOOSE(CONTROL!$C$21, $C$9, 100%, $E$9)</f>
        <v>28.668700000000001</v>
      </c>
      <c r="P845" s="10">
        <f>CHOOSE(CONTROL!$C$42, 28.4417, 28.4417) * CHOOSE(CONTROL!$C$21, $C$9, 100%, $E$9)</f>
        <v>28.441700000000001</v>
      </c>
      <c r="Q845" s="10">
        <f>CHOOSE(CONTROL!$C$42, 29.264, 29.264) * CHOOSE(CONTROL!$C$21, $C$9, 100%, $E$9)</f>
        <v>29.263999999999999</v>
      </c>
      <c r="R845" s="10">
        <f>CHOOSE(CONTROL!$C$42, 29.9242, 29.9242) * CHOOSE(CONTROL!$C$21, $C$9, 100%, $E$9)</f>
        <v>29.924199999999999</v>
      </c>
      <c r="S845" s="10">
        <f>CHOOSE(CONTROL!$C$42, 27.9059, 27.9059) * CHOOSE(CONTROL!$C$21, $C$9, 100%, $E$9)</f>
        <v>27.905899999999999</v>
      </c>
      <c r="T845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45" s="58">
        <f>(1000*CHOOSE(CONTROL!$C$42, 695, 695)*CHOOSE(CONTROL!$C$42, 0.5599, 0.5599)*CHOOSE(CONTROL!$C$42, 31, 31))/1000000</f>
        <v>12.063045499999998</v>
      </c>
      <c r="V845" s="58">
        <f>(1000*CHOOSE(CONTROL!$C$42, 500, 500)*CHOOSE(CONTROL!$C$42, 0.275, 0.275)*CHOOSE(CONTROL!$C$42, 31, 31))/1000000</f>
        <v>4.2625000000000002</v>
      </c>
      <c r="W845" s="58">
        <f>(1000*CHOOSE(CONTROL!$C$42, 0.1146, 0.1146)*CHOOSE(CONTROL!$C$42, 121.5, 121.5)*CHOOSE(CONTROL!$C$42, 31, 31))/1000000</f>
        <v>0.43164089999999994</v>
      </c>
      <c r="X845" s="58">
        <f>(31*0.1790888*245000/1000000)+(31*0.2374*100000/1000000)</f>
        <v>2.0961194359999999</v>
      </c>
      <c r="Y845" s="58"/>
      <c r="Z845" s="10"/>
      <c r="AA845" s="57"/>
      <c r="AB845" s="51">
        <f>(B845*194.205+C845*267.466+D845*133.845+E845*53.484+F845*40+G845*185+H845*0+I845*100+J845*300)/(194.205+267.466+133.845+53.484+0+40+185+100+300)</f>
        <v>28.764656599529044</v>
      </c>
      <c r="AC845" s="27">
        <f>(M845*'RAP TEMPLATE-GAS AVAILABILITY'!O844+N845*'RAP TEMPLATE-GAS AVAILABILITY'!P844+O845*'RAP TEMPLATE-GAS AVAILABILITY'!Q844+P845*'RAP TEMPLATE-GAS AVAILABILITY'!R844)/('RAP TEMPLATE-GAS AVAILABILITY'!O844+'RAP TEMPLATE-GAS AVAILABILITY'!P844+'RAP TEMPLATE-GAS AVAILABILITY'!Q844+'RAP TEMPLATE-GAS AVAILABILITY'!R844)</f>
        <v>28.54654748201439</v>
      </c>
    </row>
    <row r="846" spans="1:29" ht="15.75" x14ac:dyDescent="0.25">
      <c r="A846" s="13">
        <v>67022</v>
      </c>
      <c r="B846" s="10">
        <f>CHOOSE(CONTROL!$C$42, 29.5559, 29.5559) * CHOOSE(CONTROL!$C$21, $C$9, 100%, $E$9)</f>
        <v>29.555900000000001</v>
      </c>
      <c r="C846" s="10">
        <f>CHOOSE(CONTROL!$C$42, 29.5638, 29.5638) * CHOOSE(CONTROL!$C$21, $C$9, 100%, $E$9)</f>
        <v>29.563800000000001</v>
      </c>
      <c r="D846" s="10">
        <f>CHOOSE(CONTROL!$C$42, 29.7424, 29.7424) * CHOOSE(CONTROL!$C$21, $C$9, 100%, $E$9)</f>
        <v>29.7424</v>
      </c>
      <c r="E846" s="10">
        <f>CHOOSE(CONTROL!$C$42, 29.7735, 29.7735) * CHOOSE(CONTROL!$C$21, $C$9, 100%, $E$9)</f>
        <v>29.773499999999999</v>
      </c>
      <c r="F846" s="10">
        <f>CHOOSE(CONTROL!$C$42, 29.5423, 29.5423)*CHOOSE(CONTROL!$C$21, $C$9, 100%, $E$9)</f>
        <v>29.542300000000001</v>
      </c>
      <c r="G846" s="10">
        <f>CHOOSE(CONTROL!$C$42, 29.5606, 29.5606)*CHOOSE(CONTROL!$C$21, $C$9, 100%, $E$9)</f>
        <v>29.560600000000001</v>
      </c>
      <c r="H846" s="10">
        <f>CHOOSE(CONTROL!$C$42, 29.7621, 29.7621) * CHOOSE(CONTROL!$C$21, $C$9, 100%, $E$9)</f>
        <v>29.7621</v>
      </c>
      <c r="I846" s="10">
        <f>CHOOSE(CONTROL!$C$42, 29.5328, 29.5328)* CHOOSE(CONTROL!$C$21, $C$9, 100%, $E$9)</f>
        <v>29.532800000000002</v>
      </c>
      <c r="J846" s="10">
        <f>CHOOSE(CONTROL!$C$42, 29.5353, 29.5353)* CHOOSE(CONTROL!$C$21, $C$9, 100%, $E$9)</f>
        <v>29.535299999999999</v>
      </c>
      <c r="K846" s="54">
        <f>CHOOSE(CONTROL!$C$42, 29.5289, 29.5289) * CHOOSE(CONTROL!$C$21, $C$9, 100%, $E$9)</f>
        <v>29.5289</v>
      </c>
      <c r="L846" s="10">
        <f>CHOOSE(CONTROL!$C$42, 30.3491, 30.3491) * CHOOSE(CONTROL!$C$21, $C$9, 100%, $E$9)</f>
        <v>30.3491</v>
      </c>
      <c r="M846" s="10">
        <f>CHOOSE(CONTROL!$C$42, 29.2511, 29.2511) * CHOOSE(CONTROL!$C$21, $C$9, 100%, $E$9)</f>
        <v>29.251100000000001</v>
      </c>
      <c r="N846" s="10">
        <f>CHOOSE(CONTROL!$C$42, 29.2692, 29.2692) * CHOOSE(CONTROL!$C$21, $C$9, 100%, $E$9)</f>
        <v>29.269200000000001</v>
      </c>
      <c r="O846" s="10">
        <f>CHOOSE(CONTROL!$C$42, 29.4756, 29.4756) * CHOOSE(CONTROL!$C$21, $C$9, 100%, $E$9)</f>
        <v>29.4756</v>
      </c>
      <c r="P846" s="10">
        <f>CHOOSE(CONTROL!$C$42, 29.2486, 29.2486) * CHOOSE(CONTROL!$C$21, $C$9, 100%, $E$9)</f>
        <v>29.2486</v>
      </c>
      <c r="Q846" s="10">
        <f>CHOOSE(CONTROL!$C$42, 30.0709, 30.0709) * CHOOSE(CONTROL!$C$21, $C$9, 100%, $E$9)</f>
        <v>30.070900000000002</v>
      </c>
      <c r="R846" s="10">
        <f>CHOOSE(CONTROL!$C$42, 30.7331, 30.7331) * CHOOSE(CONTROL!$C$21, $C$9, 100%, $E$9)</f>
        <v>30.7331</v>
      </c>
      <c r="S846" s="10">
        <f>CHOOSE(CONTROL!$C$42, 28.6975, 28.6975) * CHOOSE(CONTROL!$C$21, $C$9, 100%, $E$9)</f>
        <v>28.697500000000002</v>
      </c>
      <c r="T846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846" s="58">
        <f>(1000*CHOOSE(CONTROL!$C$42, 695, 695)*CHOOSE(CONTROL!$C$42, 0.5599, 0.5599)*CHOOSE(CONTROL!$C$42, 30, 30))/1000000</f>
        <v>11.673914999999997</v>
      </c>
      <c r="V846" s="58">
        <f>(1000*CHOOSE(CONTROL!$C$42, 500, 500)*CHOOSE(CONTROL!$C$42, 0.275, 0.275)*CHOOSE(CONTROL!$C$42, 30, 30))/1000000</f>
        <v>4.125</v>
      </c>
      <c r="W846" s="58">
        <f>(1000*CHOOSE(CONTROL!$C$42, 0.1146, 0.1146)*CHOOSE(CONTROL!$C$42, 121.5, 121.5)*CHOOSE(CONTROL!$C$42, 30, 30))/1000000</f>
        <v>0.417717</v>
      </c>
      <c r="X846" s="58">
        <f>(30*0.1790888*245000/1000000)+(30*0.2374*100000/1000000)</f>
        <v>2.0285026799999999</v>
      </c>
      <c r="Y846" s="58"/>
      <c r="Z846" s="10"/>
      <c r="AA846" s="57"/>
      <c r="AB846" s="51">
        <f>(B846*194.205+C846*267.466+D846*133.845+E846*53.484+F846*40+G846*185+H846*0+I846*100+J846*300)/(194.205+267.466+133.845+53.484+0+40+185+100+300)</f>
        <v>29.579878565384615</v>
      </c>
      <c r="AC846" s="27">
        <f>(M846*'RAP TEMPLATE-GAS AVAILABILITY'!O845+N846*'RAP TEMPLATE-GAS AVAILABILITY'!P845+O846*'RAP TEMPLATE-GAS AVAILABILITY'!Q845+P846*'RAP TEMPLATE-GAS AVAILABILITY'!R845)/('RAP TEMPLATE-GAS AVAILABILITY'!O845+'RAP TEMPLATE-GAS AVAILABILITY'!P845+'RAP TEMPLATE-GAS AVAILABILITY'!Q845+'RAP TEMPLATE-GAS AVAILABILITY'!R845)</f>
        <v>29.353533812949642</v>
      </c>
    </row>
    <row r="847" spans="1:29" ht="15.75" x14ac:dyDescent="0.25">
      <c r="A847" s="13">
        <v>67053</v>
      </c>
      <c r="B847" s="10">
        <f>CHOOSE(CONTROL!$C$42, 28.989, 28.989) * CHOOSE(CONTROL!$C$21, $C$9, 100%, $E$9)</f>
        <v>28.989000000000001</v>
      </c>
      <c r="C847" s="10">
        <f>CHOOSE(CONTROL!$C$42, 28.9969, 28.9969) * CHOOSE(CONTROL!$C$21, $C$9, 100%, $E$9)</f>
        <v>28.9969</v>
      </c>
      <c r="D847" s="10">
        <f>CHOOSE(CONTROL!$C$42, 29.1754, 29.1754) * CHOOSE(CONTROL!$C$21, $C$9, 100%, $E$9)</f>
        <v>29.1754</v>
      </c>
      <c r="E847" s="10">
        <f>CHOOSE(CONTROL!$C$42, 29.2066, 29.2066) * CHOOSE(CONTROL!$C$21, $C$9, 100%, $E$9)</f>
        <v>29.206600000000002</v>
      </c>
      <c r="F847" s="10">
        <f>CHOOSE(CONTROL!$C$42, 28.9757, 28.9757)*CHOOSE(CONTROL!$C$21, $C$9, 100%, $E$9)</f>
        <v>28.9757</v>
      </c>
      <c r="G847" s="10">
        <f>CHOOSE(CONTROL!$C$42, 28.994, 28.994)*CHOOSE(CONTROL!$C$21, $C$9, 100%, $E$9)</f>
        <v>28.994</v>
      </c>
      <c r="H847" s="10">
        <f>CHOOSE(CONTROL!$C$42, 29.1952, 29.1952) * CHOOSE(CONTROL!$C$21, $C$9, 100%, $E$9)</f>
        <v>29.1952</v>
      </c>
      <c r="I847" s="10">
        <f>CHOOSE(CONTROL!$C$42, 28.9659, 28.9659)* CHOOSE(CONTROL!$C$21, $C$9, 100%, $E$9)</f>
        <v>28.965900000000001</v>
      </c>
      <c r="J847" s="10">
        <f>CHOOSE(CONTROL!$C$42, 28.9687, 28.9687)* CHOOSE(CONTROL!$C$21, $C$9, 100%, $E$9)</f>
        <v>28.968699999999998</v>
      </c>
      <c r="K847" s="54">
        <f>CHOOSE(CONTROL!$C$42, 28.962, 28.962) * CHOOSE(CONTROL!$C$21, $C$9, 100%, $E$9)</f>
        <v>28.962</v>
      </c>
      <c r="L847" s="10">
        <f>CHOOSE(CONTROL!$C$42, 29.7822, 29.7822) * CHOOSE(CONTROL!$C$21, $C$9, 100%, $E$9)</f>
        <v>29.7822</v>
      </c>
      <c r="M847" s="10">
        <f>CHOOSE(CONTROL!$C$42, 28.6902, 28.6902) * CHOOSE(CONTROL!$C$21, $C$9, 100%, $E$9)</f>
        <v>28.690200000000001</v>
      </c>
      <c r="N847" s="10">
        <f>CHOOSE(CONTROL!$C$42, 28.7083, 28.7083) * CHOOSE(CONTROL!$C$21, $C$9, 100%, $E$9)</f>
        <v>28.708300000000001</v>
      </c>
      <c r="O847" s="10">
        <f>CHOOSE(CONTROL!$C$42, 28.9144, 28.9144) * CHOOSE(CONTROL!$C$21, $C$9, 100%, $E$9)</f>
        <v>28.914400000000001</v>
      </c>
      <c r="P847" s="10">
        <f>CHOOSE(CONTROL!$C$42, 28.6874, 28.6874) * CHOOSE(CONTROL!$C$21, $C$9, 100%, $E$9)</f>
        <v>28.6874</v>
      </c>
      <c r="Q847" s="10">
        <f>CHOOSE(CONTROL!$C$42, 29.5097, 29.5097) * CHOOSE(CONTROL!$C$21, $C$9, 100%, $E$9)</f>
        <v>29.509699999999999</v>
      </c>
      <c r="R847" s="10">
        <f>CHOOSE(CONTROL!$C$42, 30.1705, 30.1705) * CHOOSE(CONTROL!$C$21, $C$9, 100%, $E$9)</f>
        <v>30.170500000000001</v>
      </c>
      <c r="S847" s="10">
        <f>CHOOSE(CONTROL!$C$42, 28.147, 28.147) * CHOOSE(CONTROL!$C$21, $C$9, 100%, $E$9)</f>
        <v>28.146999999999998</v>
      </c>
      <c r="T847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847" s="58">
        <f>(1000*CHOOSE(CONTROL!$C$42, 695, 695)*CHOOSE(CONTROL!$C$42, 0.5599, 0.5599)*CHOOSE(CONTROL!$C$42, 31, 31))/1000000</f>
        <v>12.063045499999998</v>
      </c>
      <c r="V847" s="58">
        <f>(1000*CHOOSE(CONTROL!$C$42, 500, 500)*CHOOSE(CONTROL!$C$42, 0.275, 0.275)*CHOOSE(CONTROL!$C$42, 31, 31))/1000000</f>
        <v>4.2625000000000002</v>
      </c>
      <c r="W847" s="58">
        <f>(1000*CHOOSE(CONTROL!$C$42, 0.1146, 0.1146)*CHOOSE(CONTROL!$C$42, 121.5, 121.5)*CHOOSE(CONTROL!$C$42, 31, 31))/1000000</f>
        <v>0.43164089999999994</v>
      </c>
      <c r="X847" s="58">
        <f>(31*0.1790888*245000/1000000)+(31*0.2374*100000/1000000)</f>
        <v>2.0961194359999999</v>
      </c>
      <c r="Y847" s="58"/>
      <c r="Z847" s="10"/>
      <c r="AA847" s="57"/>
      <c r="AB847" s="51">
        <f>(B847*194.205+C847*267.466+D847*133.845+E847*53.484+F847*40+G847*185+H847*0+I847*100+J847*300)/(194.205+267.466+133.845+53.484+0+40+185+100+300)</f>
        <v>29.013091685871274</v>
      </c>
      <c r="AC847" s="27">
        <f>(M847*'RAP TEMPLATE-GAS AVAILABILITY'!O846+N847*'RAP TEMPLATE-GAS AVAILABILITY'!P846+O847*'RAP TEMPLATE-GAS AVAILABILITY'!Q846+P847*'RAP TEMPLATE-GAS AVAILABILITY'!R846)/('RAP TEMPLATE-GAS AVAILABILITY'!O846+'RAP TEMPLATE-GAS AVAILABILITY'!P846+'RAP TEMPLATE-GAS AVAILABILITY'!Q846+'RAP TEMPLATE-GAS AVAILABILITY'!R846)</f>
        <v>28.792454676258995</v>
      </c>
    </row>
    <row r="848" spans="1:29" ht="15.75" x14ac:dyDescent="0.25">
      <c r="A848" s="13">
        <v>67084</v>
      </c>
      <c r="B848" s="10">
        <f>CHOOSE(CONTROL!$C$42, 27.5573, 27.5573) * CHOOSE(CONTROL!$C$21, $C$9, 100%, $E$9)</f>
        <v>27.557300000000001</v>
      </c>
      <c r="C848" s="10">
        <f>CHOOSE(CONTROL!$C$42, 27.5653, 27.5653) * CHOOSE(CONTROL!$C$21, $C$9, 100%, $E$9)</f>
        <v>27.565300000000001</v>
      </c>
      <c r="D848" s="10">
        <f>CHOOSE(CONTROL!$C$42, 27.7438, 27.7438) * CHOOSE(CONTROL!$C$21, $C$9, 100%, $E$9)</f>
        <v>27.7438</v>
      </c>
      <c r="E848" s="10">
        <f>CHOOSE(CONTROL!$C$42, 27.7749, 27.7749) * CHOOSE(CONTROL!$C$21, $C$9, 100%, $E$9)</f>
        <v>27.774899999999999</v>
      </c>
      <c r="F848" s="10">
        <f>CHOOSE(CONTROL!$C$42, 27.544, 27.544)*CHOOSE(CONTROL!$C$21, $C$9, 100%, $E$9)</f>
        <v>27.544</v>
      </c>
      <c r="G848" s="10">
        <f>CHOOSE(CONTROL!$C$42, 27.5623, 27.5623)*CHOOSE(CONTROL!$C$21, $C$9, 100%, $E$9)</f>
        <v>27.5623</v>
      </c>
      <c r="H848" s="10">
        <f>CHOOSE(CONTROL!$C$42, 27.7636, 27.7636) * CHOOSE(CONTROL!$C$21, $C$9, 100%, $E$9)</f>
        <v>27.7636</v>
      </c>
      <c r="I848" s="10">
        <f>CHOOSE(CONTROL!$C$42, 27.5342, 27.5342)* CHOOSE(CONTROL!$C$21, $C$9, 100%, $E$9)</f>
        <v>27.534199999999998</v>
      </c>
      <c r="J848" s="10">
        <f>CHOOSE(CONTROL!$C$42, 27.537, 27.537)* CHOOSE(CONTROL!$C$21, $C$9, 100%, $E$9)</f>
        <v>27.536999999999999</v>
      </c>
      <c r="K848" s="54">
        <f>CHOOSE(CONTROL!$C$42, 27.5303, 27.5303) * CHOOSE(CONTROL!$C$21, $C$9, 100%, $E$9)</f>
        <v>27.5303</v>
      </c>
      <c r="L848" s="10">
        <f>CHOOSE(CONTROL!$C$42, 28.3506, 28.3506) * CHOOSE(CONTROL!$C$21, $C$9, 100%, $E$9)</f>
        <v>28.3506</v>
      </c>
      <c r="M848" s="10">
        <f>CHOOSE(CONTROL!$C$42, 27.2729, 27.2729) * CHOOSE(CONTROL!$C$21, $C$9, 100%, $E$9)</f>
        <v>27.2729</v>
      </c>
      <c r="N848" s="10">
        <f>CHOOSE(CONTROL!$C$42, 27.291, 27.291) * CHOOSE(CONTROL!$C$21, $C$9, 100%, $E$9)</f>
        <v>27.291</v>
      </c>
      <c r="O848" s="10">
        <f>CHOOSE(CONTROL!$C$42, 27.4972, 27.4972) * CHOOSE(CONTROL!$C$21, $C$9, 100%, $E$9)</f>
        <v>27.497199999999999</v>
      </c>
      <c r="P848" s="10">
        <f>CHOOSE(CONTROL!$C$42, 27.2702, 27.2702) * CHOOSE(CONTROL!$C$21, $C$9, 100%, $E$9)</f>
        <v>27.270199999999999</v>
      </c>
      <c r="Q848" s="10">
        <f>CHOOSE(CONTROL!$C$42, 28.0925, 28.0925) * CHOOSE(CONTROL!$C$21, $C$9, 100%, $E$9)</f>
        <v>28.092500000000001</v>
      </c>
      <c r="R848" s="10">
        <f>CHOOSE(CONTROL!$C$42, 28.7497, 28.7497) * CHOOSE(CONTROL!$C$21, $C$9, 100%, $E$9)</f>
        <v>28.749700000000001</v>
      </c>
      <c r="S848" s="10">
        <f>CHOOSE(CONTROL!$C$42, 26.7567, 26.7567) * CHOOSE(CONTROL!$C$21, $C$9, 100%, $E$9)</f>
        <v>26.756699999999999</v>
      </c>
      <c r="T848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48" s="58">
        <f>(1000*CHOOSE(CONTROL!$C$42, 695, 695)*CHOOSE(CONTROL!$C$42, 0.5599, 0.5599)*CHOOSE(CONTROL!$C$42, 31, 31))/1000000</f>
        <v>12.063045499999998</v>
      </c>
      <c r="V848" s="58">
        <f>(1000*CHOOSE(CONTROL!$C$42, 500, 500)*CHOOSE(CONTROL!$C$42, 0.275, 0.275)*CHOOSE(CONTROL!$C$42, 31, 31))/1000000</f>
        <v>4.2625000000000002</v>
      </c>
      <c r="W848" s="58">
        <f>(1000*CHOOSE(CONTROL!$C$42, 0.1146, 0.1146)*CHOOSE(CONTROL!$C$42, 121.5, 121.5)*CHOOSE(CONTROL!$C$42, 31, 31))/1000000</f>
        <v>0.43164089999999994</v>
      </c>
      <c r="X848" s="58">
        <f>(31*0.1790888*245000/1000000)+(31*0.2374*100000/1000000)</f>
        <v>2.0961194359999999</v>
      </c>
      <c r="Y848" s="58"/>
      <c r="Z848" s="10"/>
      <c r="AA848" s="57"/>
      <c r="AB848" s="51">
        <f>(B848*194.205+C848*267.466+D848*133.845+E848*53.484+F848*40+G848*185+H848*0+I848*100+J848*300)/(194.205+267.466+133.845+53.484+0+40+185+100+300)</f>
        <v>27.58142318594976</v>
      </c>
      <c r="AC848" s="27">
        <f>(M848*'RAP TEMPLATE-GAS AVAILABILITY'!O847+N848*'RAP TEMPLATE-GAS AVAILABILITY'!P847+O848*'RAP TEMPLATE-GAS AVAILABILITY'!Q847+P848*'RAP TEMPLATE-GAS AVAILABILITY'!R847)/('RAP TEMPLATE-GAS AVAILABILITY'!O847+'RAP TEMPLATE-GAS AVAILABILITY'!P847+'RAP TEMPLATE-GAS AVAILABILITY'!Q847+'RAP TEMPLATE-GAS AVAILABILITY'!R847)</f>
        <v>27.375214388489212</v>
      </c>
    </row>
    <row r="849" spans="1:29" ht="15.75" x14ac:dyDescent="0.25">
      <c r="A849" s="13">
        <v>67114</v>
      </c>
      <c r="B849" s="10">
        <f>CHOOSE(CONTROL!$C$42, 25.8081, 25.8081) * CHOOSE(CONTROL!$C$21, $C$9, 100%, $E$9)</f>
        <v>25.8081</v>
      </c>
      <c r="C849" s="10">
        <f>CHOOSE(CONTROL!$C$42, 25.8161, 25.8161) * CHOOSE(CONTROL!$C$21, $C$9, 100%, $E$9)</f>
        <v>25.816099999999999</v>
      </c>
      <c r="D849" s="10">
        <f>CHOOSE(CONTROL!$C$42, 25.9946, 25.9946) * CHOOSE(CONTROL!$C$21, $C$9, 100%, $E$9)</f>
        <v>25.994599999999998</v>
      </c>
      <c r="E849" s="10">
        <f>CHOOSE(CONTROL!$C$42, 26.0257, 26.0257) * CHOOSE(CONTROL!$C$21, $C$9, 100%, $E$9)</f>
        <v>26.025700000000001</v>
      </c>
      <c r="F849" s="10">
        <f>CHOOSE(CONTROL!$C$42, 25.7945, 25.7945)*CHOOSE(CONTROL!$C$21, $C$9, 100%, $E$9)</f>
        <v>25.794499999999999</v>
      </c>
      <c r="G849" s="10">
        <f>CHOOSE(CONTROL!$C$42, 25.8127, 25.8127)*CHOOSE(CONTROL!$C$21, $C$9, 100%, $E$9)</f>
        <v>25.8127</v>
      </c>
      <c r="H849" s="10">
        <f>CHOOSE(CONTROL!$C$42, 26.0144, 26.0144) * CHOOSE(CONTROL!$C$21, $C$9, 100%, $E$9)</f>
        <v>26.014399999999998</v>
      </c>
      <c r="I849" s="10">
        <f>CHOOSE(CONTROL!$C$42, 25.785, 25.785)* CHOOSE(CONTROL!$C$21, $C$9, 100%, $E$9)</f>
        <v>25.785</v>
      </c>
      <c r="J849" s="10">
        <f>CHOOSE(CONTROL!$C$42, 25.7875, 25.7875)* CHOOSE(CONTROL!$C$21, $C$9, 100%, $E$9)</f>
        <v>25.787500000000001</v>
      </c>
      <c r="K849" s="54">
        <f>CHOOSE(CONTROL!$C$42, 25.7811, 25.7811) * CHOOSE(CONTROL!$C$21, $C$9, 100%, $E$9)</f>
        <v>25.781099999999999</v>
      </c>
      <c r="L849" s="10">
        <f>CHOOSE(CONTROL!$C$42, 26.6014, 26.6014) * CHOOSE(CONTROL!$C$21, $C$9, 100%, $E$9)</f>
        <v>26.601400000000002</v>
      </c>
      <c r="M849" s="10">
        <f>CHOOSE(CONTROL!$C$42, 25.5411, 25.5411) * CHOOSE(CONTROL!$C$21, $C$9, 100%, $E$9)</f>
        <v>25.5411</v>
      </c>
      <c r="N849" s="10">
        <f>CHOOSE(CONTROL!$C$42, 25.5591, 25.5591) * CHOOSE(CONTROL!$C$21, $C$9, 100%, $E$9)</f>
        <v>25.559100000000001</v>
      </c>
      <c r="O849" s="10">
        <f>CHOOSE(CONTROL!$C$42, 25.7657, 25.7657) * CHOOSE(CONTROL!$C$21, $C$9, 100%, $E$9)</f>
        <v>25.765699999999999</v>
      </c>
      <c r="P849" s="10">
        <f>CHOOSE(CONTROL!$C$42, 25.5387, 25.5387) * CHOOSE(CONTROL!$C$21, $C$9, 100%, $E$9)</f>
        <v>25.538699999999999</v>
      </c>
      <c r="Q849" s="10">
        <f>CHOOSE(CONTROL!$C$42, 26.361, 26.361) * CHOOSE(CONTROL!$C$21, $C$9, 100%, $E$9)</f>
        <v>26.361000000000001</v>
      </c>
      <c r="R849" s="10">
        <f>CHOOSE(CONTROL!$C$42, 27.0139, 27.0139) * CHOOSE(CONTROL!$C$21, $C$9, 100%, $E$9)</f>
        <v>27.0139</v>
      </c>
      <c r="S849" s="10">
        <f>CHOOSE(CONTROL!$C$42, 25.058, 25.058) * CHOOSE(CONTROL!$C$21, $C$9, 100%, $E$9)</f>
        <v>25.058</v>
      </c>
      <c r="T849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49" s="58">
        <f>(1000*CHOOSE(CONTROL!$C$42, 695, 695)*CHOOSE(CONTROL!$C$42, 0.5599, 0.5599)*CHOOSE(CONTROL!$C$42, 30, 30))/1000000</f>
        <v>11.673914999999997</v>
      </c>
      <c r="V849" s="58">
        <f>(1000*CHOOSE(CONTROL!$C$42, 500, 500)*CHOOSE(CONTROL!$C$42, 0.275, 0.275)*CHOOSE(CONTROL!$C$42, 30, 30))/1000000</f>
        <v>4.125</v>
      </c>
      <c r="W849" s="58">
        <f>(1000*CHOOSE(CONTROL!$C$42, 0.1146, 0.1146)*CHOOSE(CONTROL!$C$42, 121.5, 121.5)*CHOOSE(CONTROL!$C$42, 30, 30))/1000000</f>
        <v>0.417717</v>
      </c>
      <c r="X849" s="58">
        <f>(30*0.1790888*245000/1000000)+(30*0.2374*100000/1000000)</f>
        <v>2.0285026799999999</v>
      </c>
      <c r="Y849" s="58"/>
      <c r="Z849" s="10"/>
      <c r="AA849" s="57"/>
      <c r="AB849" s="51">
        <f>(B849*194.205+C849*267.466+D849*133.845+E849*53.484+F849*40+G849*185+H849*0+I849*100+J849*300)/(194.205+267.466+133.845+53.484+0+40+185+100+300)</f>
        <v>25.832085038383045</v>
      </c>
      <c r="AC849" s="27">
        <f>(M849*'RAP TEMPLATE-GAS AVAILABILITY'!O848+N849*'RAP TEMPLATE-GAS AVAILABILITY'!P848+O849*'RAP TEMPLATE-GAS AVAILABILITY'!Q848+P849*'RAP TEMPLATE-GAS AVAILABILITY'!R848)/('RAP TEMPLATE-GAS AVAILABILITY'!O848+'RAP TEMPLATE-GAS AVAILABILITY'!P848+'RAP TEMPLATE-GAS AVAILABILITY'!Q848+'RAP TEMPLATE-GAS AVAILABILITY'!R848)</f>
        <v>25.643587769784173</v>
      </c>
    </row>
    <row r="850" spans="1:29" ht="15.75" x14ac:dyDescent="0.25">
      <c r="A850" s="13">
        <v>67145</v>
      </c>
      <c r="B850" s="10">
        <f>CHOOSE(CONTROL!$C$42, 25.2821, 25.2821) * CHOOSE(CONTROL!$C$21, $C$9, 100%, $E$9)</f>
        <v>25.2821</v>
      </c>
      <c r="C850" s="10">
        <f>CHOOSE(CONTROL!$C$42, 25.2873, 25.2873) * CHOOSE(CONTROL!$C$21, $C$9, 100%, $E$9)</f>
        <v>25.287299999999998</v>
      </c>
      <c r="D850" s="10">
        <f>CHOOSE(CONTROL!$C$42, 25.4708, 25.4708) * CHOOSE(CONTROL!$C$21, $C$9, 100%, $E$9)</f>
        <v>25.470800000000001</v>
      </c>
      <c r="E850" s="10">
        <f>CHOOSE(CONTROL!$C$42, 25.4996, 25.4996) * CHOOSE(CONTROL!$C$21, $C$9, 100%, $E$9)</f>
        <v>25.499600000000001</v>
      </c>
      <c r="F850" s="10">
        <f>CHOOSE(CONTROL!$C$42, 25.2704, 25.2704)*CHOOSE(CONTROL!$C$21, $C$9, 100%, $E$9)</f>
        <v>25.270399999999999</v>
      </c>
      <c r="G850" s="10">
        <f>CHOOSE(CONTROL!$C$42, 25.2883, 25.2883)*CHOOSE(CONTROL!$C$21, $C$9, 100%, $E$9)</f>
        <v>25.2883</v>
      </c>
      <c r="H850" s="10">
        <f>CHOOSE(CONTROL!$C$42, 25.4901, 25.4901) * CHOOSE(CONTROL!$C$21, $C$9, 100%, $E$9)</f>
        <v>25.490100000000002</v>
      </c>
      <c r="I850" s="10">
        <f>CHOOSE(CONTROL!$C$42, 25.2607, 25.2607)* CHOOSE(CONTROL!$C$21, $C$9, 100%, $E$9)</f>
        <v>25.2607</v>
      </c>
      <c r="J850" s="10">
        <f>CHOOSE(CONTROL!$C$42, 25.2634, 25.2634)* CHOOSE(CONTROL!$C$21, $C$9, 100%, $E$9)</f>
        <v>25.263400000000001</v>
      </c>
      <c r="K850" s="54">
        <f>CHOOSE(CONTROL!$C$42, 25.2568, 25.2568) * CHOOSE(CONTROL!$C$21, $C$9, 100%, $E$9)</f>
        <v>25.256799999999998</v>
      </c>
      <c r="L850" s="10">
        <f>CHOOSE(CONTROL!$C$42, 26.0771, 26.0771) * CHOOSE(CONTROL!$C$21, $C$9, 100%, $E$9)</f>
        <v>26.077100000000002</v>
      </c>
      <c r="M850" s="10">
        <f>CHOOSE(CONTROL!$C$42, 25.0223, 25.0223) * CHOOSE(CONTROL!$C$21, $C$9, 100%, $E$9)</f>
        <v>25.022300000000001</v>
      </c>
      <c r="N850" s="10">
        <f>CHOOSE(CONTROL!$C$42, 25.04, 25.04) * CHOOSE(CONTROL!$C$21, $C$9, 100%, $E$9)</f>
        <v>25.04</v>
      </c>
      <c r="O850" s="10">
        <f>CHOOSE(CONTROL!$C$42, 25.2467, 25.2467) * CHOOSE(CONTROL!$C$21, $C$9, 100%, $E$9)</f>
        <v>25.246700000000001</v>
      </c>
      <c r="P850" s="10">
        <f>CHOOSE(CONTROL!$C$42, 25.0197, 25.0197) * CHOOSE(CONTROL!$C$21, $C$9, 100%, $E$9)</f>
        <v>25.0197</v>
      </c>
      <c r="Q850" s="10">
        <f>CHOOSE(CONTROL!$C$42, 25.842, 25.842) * CHOOSE(CONTROL!$C$21, $C$9, 100%, $E$9)</f>
        <v>25.841999999999999</v>
      </c>
      <c r="R850" s="10">
        <f>CHOOSE(CONTROL!$C$42, 26.4936, 26.4936) * CHOOSE(CONTROL!$C$21, $C$9, 100%, $E$9)</f>
        <v>26.493600000000001</v>
      </c>
      <c r="S850" s="10">
        <f>CHOOSE(CONTROL!$C$42, 24.5489, 24.5489) * CHOOSE(CONTROL!$C$21, $C$9, 100%, $E$9)</f>
        <v>24.5489</v>
      </c>
      <c r="T850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50" s="58">
        <f>(1000*CHOOSE(CONTROL!$C$42, 695, 695)*CHOOSE(CONTROL!$C$42, 0.5599, 0.5599)*CHOOSE(CONTROL!$C$42, 31, 31))/1000000</f>
        <v>12.063045499999998</v>
      </c>
      <c r="V850" s="58">
        <f>(1000*CHOOSE(CONTROL!$C$42, 500, 500)*CHOOSE(CONTROL!$C$42, 0.275, 0.275)*CHOOSE(CONTROL!$C$42, 31, 31))/1000000</f>
        <v>4.2625000000000002</v>
      </c>
      <c r="W850" s="58">
        <f>(1000*CHOOSE(CONTROL!$C$42, 0.1146, 0.1146)*CHOOSE(CONTROL!$C$42, 121.5, 121.5)*CHOOSE(CONTROL!$C$42, 31, 31))/1000000</f>
        <v>0.43164089999999994</v>
      </c>
      <c r="X850" s="58">
        <f>(31*0.1790888*245000/1000000)+(31*0.2374*100000/1000000)</f>
        <v>2.0961194359999999</v>
      </c>
      <c r="Y850" s="58"/>
      <c r="Z850" s="10"/>
      <c r="AA850" s="57"/>
      <c r="AB850" s="51">
        <f>(B850*131.881+C850*277.167+D850*79.08+E850*125.872+F850*40+G850*185+H850*0+I850*100+J850*300)/(131.881+277.167+79.08+125.872+0+40+185+100+300)</f>
        <v>25.311696307021791</v>
      </c>
      <c r="AC850" s="27">
        <f>(M850*'RAP TEMPLATE-GAS AVAILABILITY'!O849+N850*'RAP TEMPLATE-GAS AVAILABILITY'!P849+O850*'RAP TEMPLATE-GAS AVAILABILITY'!Q849+P850*'RAP TEMPLATE-GAS AVAILABILITY'!R849)/('RAP TEMPLATE-GAS AVAILABILITY'!O849+'RAP TEMPLATE-GAS AVAILABILITY'!P849+'RAP TEMPLATE-GAS AVAILABILITY'!Q849+'RAP TEMPLATE-GAS AVAILABILITY'!R849)</f>
        <v>25.124651079136694</v>
      </c>
    </row>
    <row r="851" spans="1:29" ht="15.75" x14ac:dyDescent="0.25">
      <c r="A851" s="13">
        <v>67175</v>
      </c>
      <c r="B851" s="10">
        <f>CHOOSE(CONTROL!$C$42, 25.9476, 25.9476) * CHOOSE(CONTROL!$C$21, $C$9, 100%, $E$9)</f>
        <v>25.947600000000001</v>
      </c>
      <c r="C851" s="10">
        <f>CHOOSE(CONTROL!$C$42, 25.9526, 25.9526) * CHOOSE(CONTROL!$C$21, $C$9, 100%, $E$9)</f>
        <v>25.9526</v>
      </c>
      <c r="D851" s="10">
        <f>CHOOSE(CONTROL!$C$42, 25.9822, 25.9822) * CHOOSE(CONTROL!$C$21, $C$9, 100%, $E$9)</f>
        <v>25.982199999999999</v>
      </c>
      <c r="E851" s="10">
        <f>CHOOSE(CONTROL!$C$42, 26.016, 26.016) * CHOOSE(CONTROL!$C$21, $C$9, 100%, $E$9)</f>
        <v>26.015999999999998</v>
      </c>
      <c r="F851" s="10">
        <f>CHOOSE(CONTROL!$C$42, 25.9334, 25.9334)*CHOOSE(CONTROL!$C$21, $C$9, 100%, $E$9)</f>
        <v>25.933399999999999</v>
      </c>
      <c r="G851" s="10">
        <f>CHOOSE(CONTROL!$C$42, 25.9514, 25.9514)*CHOOSE(CONTROL!$C$21, $C$9, 100%, $E$9)</f>
        <v>25.9514</v>
      </c>
      <c r="H851" s="10">
        <f>CHOOSE(CONTROL!$C$42, 26.0052, 26.0052) * CHOOSE(CONTROL!$C$21, $C$9, 100%, $E$9)</f>
        <v>26.005199999999999</v>
      </c>
      <c r="I851" s="10">
        <f>CHOOSE(CONTROL!$C$42, 25.9138, 25.9138)* CHOOSE(CONTROL!$C$21, $C$9, 100%, $E$9)</f>
        <v>25.913799999999998</v>
      </c>
      <c r="J851" s="10">
        <f>CHOOSE(CONTROL!$C$42, 25.9264, 25.9264)* CHOOSE(CONTROL!$C$21, $C$9, 100%, $E$9)</f>
        <v>25.926400000000001</v>
      </c>
      <c r="K851" s="54">
        <f>CHOOSE(CONTROL!$C$42, 25.9099, 25.9099) * CHOOSE(CONTROL!$C$21, $C$9, 100%, $E$9)</f>
        <v>25.9099</v>
      </c>
      <c r="L851" s="10">
        <f>CHOOSE(CONTROL!$C$42, 26.5922, 26.5922) * CHOOSE(CONTROL!$C$21, $C$9, 100%, $E$9)</f>
        <v>26.592199999999998</v>
      </c>
      <c r="M851" s="10">
        <f>CHOOSE(CONTROL!$C$42, 25.6786, 25.6786) * CHOOSE(CONTROL!$C$21, $C$9, 100%, $E$9)</f>
        <v>25.678599999999999</v>
      </c>
      <c r="N851" s="10">
        <f>CHOOSE(CONTROL!$C$42, 25.6964, 25.6964) * CHOOSE(CONTROL!$C$21, $C$9, 100%, $E$9)</f>
        <v>25.696400000000001</v>
      </c>
      <c r="O851" s="10">
        <f>CHOOSE(CONTROL!$C$42, 25.7566, 25.7566) * CHOOSE(CONTROL!$C$21, $C$9, 100%, $E$9)</f>
        <v>25.756599999999999</v>
      </c>
      <c r="P851" s="10">
        <f>CHOOSE(CONTROL!$C$42, 25.6662, 25.6662) * CHOOSE(CONTROL!$C$21, $C$9, 100%, $E$9)</f>
        <v>25.6662</v>
      </c>
      <c r="Q851" s="10">
        <f>CHOOSE(CONTROL!$C$42, 26.3519, 26.3519) * CHOOSE(CONTROL!$C$21, $C$9, 100%, $E$9)</f>
        <v>26.351900000000001</v>
      </c>
      <c r="R851" s="10">
        <f>CHOOSE(CONTROL!$C$42, 27.0047, 27.0047) * CHOOSE(CONTROL!$C$21, $C$9, 100%, $E$9)</f>
        <v>27.0047</v>
      </c>
      <c r="S851" s="10">
        <f>CHOOSE(CONTROL!$C$42, 25.1956, 25.1956) * CHOOSE(CONTROL!$C$21, $C$9, 100%, $E$9)</f>
        <v>25.195599999999999</v>
      </c>
      <c r="T851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51" s="58">
        <f>(1000*CHOOSE(CONTROL!$C$42, 695, 695)*CHOOSE(CONTROL!$C$42, 0.5599, 0.5599)*CHOOSE(CONTROL!$C$42, 30, 30))/1000000</f>
        <v>11.673914999999997</v>
      </c>
      <c r="V851" s="58">
        <f>(1000*CHOOSE(CONTROL!$C$42, 500, 500)*CHOOSE(CONTROL!$C$42, 0.275, 0.275)*CHOOSE(CONTROL!$C$42, 30, 30))/1000000</f>
        <v>4.125</v>
      </c>
      <c r="W851" s="58">
        <f>(1000*CHOOSE(CONTROL!$C$42, 0.1146, 0.1146)*CHOOSE(CONTROL!$C$42, 121.5, 121.5)*CHOOSE(CONTROL!$C$42, 30, 30))/1000000</f>
        <v>0.417717</v>
      </c>
      <c r="X851" s="58">
        <f>(30*0.1790888*100000/1000000)+(30*0.2374*100000/1000000)</f>
        <v>1.2494664</v>
      </c>
      <c r="Y851" s="58"/>
      <c r="Z851" s="10"/>
      <c r="AA851" s="57"/>
      <c r="AB851" s="51">
        <f>(B851*122.58+C851*297.941+D851*89.177+E851*40.302+F851*40+G851*160+H851*0+I851*100+J851*300)/(122.58+297.941+89.177+40.302+0+40+160+100+300)</f>
        <v>25.945540770434782</v>
      </c>
      <c r="AC851" s="27">
        <f>(M851*'RAP TEMPLATE-GAS AVAILABILITY'!O850+N851*'RAP TEMPLATE-GAS AVAILABILITY'!P850+O851*'RAP TEMPLATE-GAS AVAILABILITY'!Q850+P851*'RAP TEMPLATE-GAS AVAILABILITY'!R850)/('RAP TEMPLATE-GAS AVAILABILITY'!O850+'RAP TEMPLATE-GAS AVAILABILITY'!P850+'RAP TEMPLATE-GAS AVAILABILITY'!Q850+'RAP TEMPLATE-GAS AVAILABILITY'!R850)</f>
        <v>25.713192805755394</v>
      </c>
    </row>
    <row r="852" spans="1:29" ht="15.75" x14ac:dyDescent="0.25">
      <c r="A852" s="13">
        <v>67206</v>
      </c>
      <c r="B852" s="10">
        <f>CHOOSE(CONTROL!$C$42, 27.7165, 27.7165) * CHOOSE(CONTROL!$C$21, $C$9, 100%, $E$9)</f>
        <v>27.7165</v>
      </c>
      <c r="C852" s="10">
        <f>CHOOSE(CONTROL!$C$42, 27.7215, 27.7215) * CHOOSE(CONTROL!$C$21, $C$9, 100%, $E$9)</f>
        <v>27.721499999999999</v>
      </c>
      <c r="D852" s="10">
        <f>CHOOSE(CONTROL!$C$42, 27.7511, 27.7511) * CHOOSE(CONTROL!$C$21, $C$9, 100%, $E$9)</f>
        <v>27.751100000000001</v>
      </c>
      <c r="E852" s="10">
        <f>CHOOSE(CONTROL!$C$42, 27.7849, 27.7849) * CHOOSE(CONTROL!$C$21, $C$9, 100%, $E$9)</f>
        <v>27.7849</v>
      </c>
      <c r="F852" s="10">
        <f>CHOOSE(CONTROL!$C$42, 27.7038, 27.7038)*CHOOSE(CONTROL!$C$21, $C$9, 100%, $E$9)</f>
        <v>27.703800000000001</v>
      </c>
      <c r="G852" s="10">
        <f>CHOOSE(CONTROL!$C$42, 27.7223, 27.7223)*CHOOSE(CONTROL!$C$21, $C$9, 100%, $E$9)</f>
        <v>27.722300000000001</v>
      </c>
      <c r="H852" s="10">
        <f>CHOOSE(CONTROL!$C$42, 27.7741, 27.7741) * CHOOSE(CONTROL!$C$21, $C$9, 100%, $E$9)</f>
        <v>27.774100000000001</v>
      </c>
      <c r="I852" s="10">
        <f>CHOOSE(CONTROL!$C$42, 27.6827, 27.6827)* CHOOSE(CONTROL!$C$21, $C$9, 100%, $E$9)</f>
        <v>27.682700000000001</v>
      </c>
      <c r="J852" s="10">
        <f>CHOOSE(CONTROL!$C$42, 27.6968, 27.6968)* CHOOSE(CONTROL!$C$21, $C$9, 100%, $E$9)</f>
        <v>27.6968</v>
      </c>
      <c r="K852" s="54">
        <f>CHOOSE(CONTROL!$C$42, 27.6788, 27.6788) * CHOOSE(CONTROL!$C$21, $C$9, 100%, $E$9)</f>
        <v>27.678799999999999</v>
      </c>
      <c r="L852" s="10">
        <f>CHOOSE(CONTROL!$C$42, 28.3611, 28.3611) * CHOOSE(CONTROL!$C$21, $C$9, 100%, $E$9)</f>
        <v>28.3611</v>
      </c>
      <c r="M852" s="10">
        <f>CHOOSE(CONTROL!$C$42, 27.4311, 27.4311) * CHOOSE(CONTROL!$C$21, $C$9, 100%, $E$9)</f>
        <v>27.431100000000001</v>
      </c>
      <c r="N852" s="10">
        <f>CHOOSE(CONTROL!$C$42, 27.4494, 27.4494) * CHOOSE(CONTROL!$C$21, $C$9, 100%, $E$9)</f>
        <v>27.449400000000001</v>
      </c>
      <c r="O852" s="10">
        <f>CHOOSE(CONTROL!$C$42, 27.5076, 27.5076) * CHOOSE(CONTROL!$C$21, $C$9, 100%, $E$9)</f>
        <v>27.5076</v>
      </c>
      <c r="P852" s="10">
        <f>CHOOSE(CONTROL!$C$42, 27.4172, 27.4172) * CHOOSE(CONTROL!$C$21, $C$9, 100%, $E$9)</f>
        <v>27.417200000000001</v>
      </c>
      <c r="Q852" s="10">
        <f>CHOOSE(CONTROL!$C$42, 28.1029, 28.1029) * CHOOSE(CONTROL!$C$21, $C$9, 100%, $E$9)</f>
        <v>28.102900000000002</v>
      </c>
      <c r="R852" s="10">
        <f>CHOOSE(CONTROL!$C$42, 28.7602, 28.7602) * CHOOSE(CONTROL!$C$21, $C$9, 100%, $E$9)</f>
        <v>28.760200000000001</v>
      </c>
      <c r="S852" s="10">
        <f>CHOOSE(CONTROL!$C$42, 26.9134, 26.9134) * CHOOSE(CONTROL!$C$21, $C$9, 100%, $E$9)</f>
        <v>26.913399999999999</v>
      </c>
      <c r="T852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52" s="58">
        <f>(1000*CHOOSE(CONTROL!$C$42, 695, 695)*CHOOSE(CONTROL!$C$42, 0.5599, 0.5599)*CHOOSE(CONTROL!$C$42, 31, 31))/1000000</f>
        <v>12.063045499999998</v>
      </c>
      <c r="V852" s="58">
        <f>(1000*CHOOSE(CONTROL!$C$42, 500, 500)*CHOOSE(CONTROL!$C$42, 0.275, 0.275)*CHOOSE(CONTROL!$C$42, 31, 31))/1000000</f>
        <v>4.2625000000000002</v>
      </c>
      <c r="W852" s="58">
        <f>(1000*CHOOSE(CONTROL!$C$42, 0.1146, 0.1146)*CHOOSE(CONTROL!$C$42, 121.5, 121.5)*CHOOSE(CONTROL!$C$42, 31, 31))/1000000</f>
        <v>0.43164089999999994</v>
      </c>
      <c r="X852" s="58">
        <f>(31*0.1790888*100000/1000000)+(31*0.2374*100000/1000000)</f>
        <v>1.2911152800000001</v>
      </c>
      <c r="Y852" s="58"/>
      <c r="Z852" s="10"/>
      <c r="AA852" s="57"/>
      <c r="AB852" s="51">
        <f>(B852*122.58+C852*297.941+D852*89.177+E852*40.302+F852*40+G852*160+H852*0+I852*100+J852*300)/(122.58+297.941+89.177+40.302+0+40+160+100+300)</f>
        <v>27.715162509565214</v>
      </c>
      <c r="AC852" s="27">
        <f>(M852*'RAP TEMPLATE-GAS AVAILABILITY'!O851+N852*'RAP TEMPLATE-GAS AVAILABILITY'!P851+O852*'RAP TEMPLATE-GAS AVAILABILITY'!Q851+P852*'RAP TEMPLATE-GAS AVAILABILITY'!R851)/('RAP TEMPLATE-GAS AVAILABILITY'!O851+'RAP TEMPLATE-GAS AVAILABILITY'!P851+'RAP TEMPLATE-GAS AVAILABILITY'!Q851+'RAP TEMPLATE-GAS AVAILABILITY'!R851)</f>
        <v>27.464825899280576</v>
      </c>
    </row>
    <row r="853" spans="1:29" ht="15.75" x14ac:dyDescent="0.25">
      <c r="A853" s="13">
        <v>67237</v>
      </c>
      <c r="B853" s="10">
        <f>CHOOSE(CONTROL!$C$42, 29.587, 29.587) * CHOOSE(CONTROL!$C$21, $C$9, 100%, $E$9)</f>
        <v>29.587</v>
      </c>
      <c r="C853" s="10">
        <f>CHOOSE(CONTROL!$C$42, 29.592, 29.592) * CHOOSE(CONTROL!$C$21, $C$9, 100%, $E$9)</f>
        <v>29.591999999999999</v>
      </c>
      <c r="D853" s="10">
        <f>CHOOSE(CONTROL!$C$42, 29.6422, 29.6422) * CHOOSE(CONTROL!$C$21, $C$9, 100%, $E$9)</f>
        <v>29.642199999999999</v>
      </c>
      <c r="E853" s="10">
        <f>CHOOSE(CONTROL!$C$42, 29.676, 29.676) * CHOOSE(CONTROL!$C$21, $C$9, 100%, $E$9)</f>
        <v>29.675999999999998</v>
      </c>
      <c r="F853" s="10">
        <f>CHOOSE(CONTROL!$C$42, 29.5524, 29.5524)*CHOOSE(CONTROL!$C$21, $C$9, 100%, $E$9)</f>
        <v>29.552399999999999</v>
      </c>
      <c r="G853" s="10">
        <f>CHOOSE(CONTROL!$C$42, 29.57, 29.57)*CHOOSE(CONTROL!$C$21, $C$9, 100%, $E$9)</f>
        <v>29.57</v>
      </c>
      <c r="H853" s="10">
        <f>CHOOSE(CONTROL!$C$42, 29.6652, 29.6652) * CHOOSE(CONTROL!$C$21, $C$9, 100%, $E$9)</f>
        <v>29.665199999999999</v>
      </c>
      <c r="I853" s="10">
        <f>CHOOSE(CONTROL!$C$42, 29.5609, 29.5609)* CHOOSE(CONTROL!$C$21, $C$9, 100%, $E$9)</f>
        <v>29.5609</v>
      </c>
      <c r="J853" s="10">
        <f>CHOOSE(CONTROL!$C$42, 29.5454, 29.5454)* CHOOSE(CONTROL!$C$21, $C$9, 100%, $E$9)</f>
        <v>29.545400000000001</v>
      </c>
      <c r="K853" s="54">
        <f>CHOOSE(CONTROL!$C$42, 29.557, 29.557) * CHOOSE(CONTROL!$C$21, $C$9, 100%, $E$9)</f>
        <v>29.556999999999999</v>
      </c>
      <c r="L853" s="10">
        <f>CHOOSE(CONTROL!$C$42, 30.2522, 30.2522) * CHOOSE(CONTROL!$C$21, $C$9, 100%, $E$9)</f>
        <v>30.252199999999998</v>
      </c>
      <c r="M853" s="10">
        <f>CHOOSE(CONTROL!$C$42, 29.2611, 29.2611) * CHOOSE(CONTROL!$C$21, $C$9, 100%, $E$9)</f>
        <v>29.261099999999999</v>
      </c>
      <c r="N853" s="10">
        <f>CHOOSE(CONTROL!$C$42, 29.2784, 29.2784) * CHOOSE(CONTROL!$C$21, $C$9, 100%, $E$9)</f>
        <v>29.278400000000001</v>
      </c>
      <c r="O853" s="10">
        <f>CHOOSE(CONTROL!$C$42, 29.3796, 29.3796) * CHOOSE(CONTROL!$C$21, $C$9, 100%, $E$9)</f>
        <v>29.3796</v>
      </c>
      <c r="P853" s="10">
        <f>CHOOSE(CONTROL!$C$42, 29.2765, 29.2765) * CHOOSE(CONTROL!$C$21, $C$9, 100%, $E$9)</f>
        <v>29.276499999999999</v>
      </c>
      <c r="Q853" s="10">
        <f>CHOOSE(CONTROL!$C$42, 29.9749, 29.9749) * CHOOSE(CONTROL!$C$21, $C$9, 100%, $E$9)</f>
        <v>29.974900000000002</v>
      </c>
      <c r="R853" s="10">
        <f>CHOOSE(CONTROL!$C$42, 30.6369, 30.6369) * CHOOSE(CONTROL!$C$21, $C$9, 100%, $E$9)</f>
        <v>30.636900000000001</v>
      </c>
      <c r="S853" s="10">
        <f>CHOOSE(CONTROL!$C$42, 28.7298, 28.7298) * CHOOSE(CONTROL!$C$21, $C$9, 100%, $E$9)</f>
        <v>28.729800000000001</v>
      </c>
      <c r="T853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53" s="58">
        <f>(1000*CHOOSE(CONTROL!$C$42, 695, 695)*CHOOSE(CONTROL!$C$42, 0.5599, 0.5599)*CHOOSE(CONTROL!$C$42, 31, 31))/1000000</f>
        <v>12.063045499999998</v>
      </c>
      <c r="V853" s="58">
        <f>(1000*CHOOSE(CONTROL!$C$42, 500, 500)*CHOOSE(CONTROL!$C$42, 0.275, 0.275)*CHOOSE(CONTROL!$C$42, 31, 31))/1000000</f>
        <v>4.2625000000000002</v>
      </c>
      <c r="W853" s="58">
        <f>(1000*CHOOSE(CONTROL!$C$42, 0.1146, 0.1146)*CHOOSE(CONTROL!$C$42, 121.5, 121.5)*CHOOSE(CONTROL!$C$42, 31, 31))/1000000</f>
        <v>0.43164089999999994</v>
      </c>
      <c r="X853" s="58">
        <f>(31*0.1790888*100000/1000000)+(31*0.2374*100000/1000000)</f>
        <v>1.2911152800000001</v>
      </c>
      <c r="Y853" s="58"/>
      <c r="Z853" s="10"/>
      <c r="AA853" s="57"/>
      <c r="AB853" s="51">
        <f>(B853*122.58+C853*297.941+D853*89.177+E853*40.302+F853*40+G853*160+H853*0+I853*100+J853*300)/(122.58+297.941+89.177+40.302+0+40+160+100+300)</f>
        <v>29.579004481217392</v>
      </c>
      <c r="AC853" s="27">
        <f>(M853*'RAP TEMPLATE-GAS AVAILABILITY'!O852+N853*'RAP TEMPLATE-GAS AVAILABILITY'!P852+O853*'RAP TEMPLATE-GAS AVAILABILITY'!Q852+P853*'RAP TEMPLATE-GAS AVAILABILITY'!R852)/('RAP TEMPLATE-GAS AVAILABILITY'!O852+'RAP TEMPLATE-GAS AVAILABILITY'!P852+'RAP TEMPLATE-GAS AVAILABILITY'!Q852+'RAP TEMPLATE-GAS AVAILABILITY'!R852)</f>
        <v>29.31802014388489</v>
      </c>
    </row>
    <row r="854" spans="1:29" ht="15.75" x14ac:dyDescent="0.25">
      <c r="A854" s="13">
        <v>67266</v>
      </c>
      <c r="B854" s="10">
        <f>CHOOSE(CONTROL!$C$42, 30.1137, 30.1137) * CHOOSE(CONTROL!$C$21, $C$9, 100%, $E$9)</f>
        <v>30.113700000000001</v>
      </c>
      <c r="C854" s="10">
        <f>CHOOSE(CONTROL!$C$42, 30.1186, 30.1186) * CHOOSE(CONTROL!$C$21, $C$9, 100%, $E$9)</f>
        <v>30.118600000000001</v>
      </c>
      <c r="D854" s="10">
        <f>CHOOSE(CONTROL!$C$42, 30.2358, 30.2358) * CHOOSE(CONTROL!$C$21, $C$9, 100%, $E$9)</f>
        <v>30.235800000000001</v>
      </c>
      <c r="E854" s="10">
        <f>CHOOSE(CONTROL!$C$42, 30.2695, 30.2695) * CHOOSE(CONTROL!$C$21, $C$9, 100%, $E$9)</f>
        <v>30.269500000000001</v>
      </c>
      <c r="F854" s="10">
        <f>CHOOSE(CONTROL!$C$42, 30.1913, 30.1913)*CHOOSE(CONTROL!$C$21, $C$9, 100%, $E$9)</f>
        <v>30.191299999999998</v>
      </c>
      <c r="G854" s="10">
        <f>CHOOSE(CONTROL!$C$42, 30.2132, 30.2132)*CHOOSE(CONTROL!$C$21, $C$9, 100%, $E$9)</f>
        <v>30.213200000000001</v>
      </c>
      <c r="H854" s="10">
        <f>CHOOSE(CONTROL!$C$42, 30.2587, 30.2587) * CHOOSE(CONTROL!$C$21, $C$9, 100%, $E$9)</f>
        <v>30.258700000000001</v>
      </c>
      <c r="I854" s="10">
        <f>CHOOSE(CONTROL!$C$42, 30.1494, 30.1494)* CHOOSE(CONTROL!$C$21, $C$9, 100%, $E$9)</f>
        <v>30.1494</v>
      </c>
      <c r="J854" s="10">
        <f>CHOOSE(CONTROL!$C$42, 30.1843, 30.1843)* CHOOSE(CONTROL!$C$21, $C$9, 100%, $E$9)</f>
        <v>30.1843</v>
      </c>
      <c r="K854" s="54">
        <f>CHOOSE(CONTROL!$C$42, 30.1455, 30.1455) * CHOOSE(CONTROL!$C$21, $C$9, 100%, $E$9)</f>
        <v>30.145499999999998</v>
      </c>
      <c r="L854" s="10">
        <f>CHOOSE(CONTROL!$C$42, 30.8457, 30.8457) * CHOOSE(CONTROL!$C$21, $C$9, 100%, $E$9)</f>
        <v>30.845700000000001</v>
      </c>
      <c r="M854" s="10">
        <f>CHOOSE(CONTROL!$C$42, 29.8935, 29.8935) * CHOOSE(CONTROL!$C$21, $C$9, 100%, $E$9)</f>
        <v>29.8935</v>
      </c>
      <c r="N854" s="10">
        <f>CHOOSE(CONTROL!$C$42, 29.9152, 29.9152) * CHOOSE(CONTROL!$C$21, $C$9, 100%, $E$9)</f>
        <v>29.915199999999999</v>
      </c>
      <c r="O854" s="10">
        <f>CHOOSE(CONTROL!$C$42, 29.9672, 29.9672) * CHOOSE(CONTROL!$C$21, $C$9, 100%, $E$9)</f>
        <v>29.967199999999998</v>
      </c>
      <c r="P854" s="10">
        <f>CHOOSE(CONTROL!$C$42, 29.859, 29.859) * CHOOSE(CONTROL!$C$21, $C$9, 100%, $E$9)</f>
        <v>29.859000000000002</v>
      </c>
      <c r="Q854" s="10">
        <f>CHOOSE(CONTROL!$C$42, 30.5625, 30.5625) * CHOOSE(CONTROL!$C$21, $C$9, 100%, $E$9)</f>
        <v>30.5625</v>
      </c>
      <c r="R854" s="10">
        <f>CHOOSE(CONTROL!$C$42, 31.2259, 31.2259) * CHOOSE(CONTROL!$C$21, $C$9, 100%, $E$9)</f>
        <v>31.225899999999999</v>
      </c>
      <c r="S854" s="10">
        <f>CHOOSE(CONTROL!$C$42, 29.2413, 29.2413) * CHOOSE(CONTROL!$C$21, $C$9, 100%, $E$9)</f>
        <v>29.241299999999999</v>
      </c>
      <c r="T854" s="5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854" s="58">
        <f>(1000*CHOOSE(CONTROL!$C$42, 695, 695)*CHOOSE(CONTROL!$C$42, 0.5599, 0.5599)*CHOOSE(CONTROL!$C$42, 29, 29))/1000000</f>
        <v>11.284784499999999</v>
      </c>
      <c r="V854" s="58">
        <f>(1000*CHOOSE(CONTROL!$C$42, 500, 500)*CHOOSE(CONTROL!$C$42, 0.275, 0.275)*CHOOSE(CONTROL!$C$42, 29, 29))/1000000</f>
        <v>3.9874999999999998</v>
      </c>
      <c r="W854" s="58">
        <f>(1000*CHOOSE(CONTROL!$C$42, 0.1146, 0.1146)*CHOOSE(CONTROL!$C$42, 121.5, 121.5)*CHOOSE(CONTROL!$C$42, 29, 29))/1000000</f>
        <v>0.40379309999999996</v>
      </c>
      <c r="X854" s="58">
        <f>(29*0.1790888*100000/1000000)+(29*0.2374*100000/1000000)</f>
        <v>1.2078175199999999</v>
      </c>
      <c r="Y854" s="58"/>
      <c r="Z854" s="10"/>
      <c r="AA854" s="57"/>
      <c r="AB854" s="51">
        <f>(B854*122.58+C854*297.941+D854*89.177+E854*40.302+F854*40+G854*160+H854*0+I854*100+J854*300)/(122.58+297.941+89.177+40.302+0+40+160+100+300)</f>
        <v>30.167962151478264</v>
      </c>
      <c r="AC854" s="27">
        <f>(M854*'RAP TEMPLATE-GAS AVAILABILITY'!O853+N854*'RAP TEMPLATE-GAS AVAILABILITY'!P853+O854*'RAP TEMPLATE-GAS AVAILABILITY'!Q853+P854*'RAP TEMPLATE-GAS AVAILABILITY'!R853)/('RAP TEMPLATE-GAS AVAILABILITY'!O853+'RAP TEMPLATE-GAS AVAILABILITY'!P853+'RAP TEMPLATE-GAS AVAILABILITY'!Q853+'RAP TEMPLATE-GAS AVAILABILITY'!R853)</f>
        <v>29.923188489208634</v>
      </c>
    </row>
    <row r="855" spans="1:29" ht="15.75" x14ac:dyDescent="0.25">
      <c r="A855" s="13">
        <v>67297</v>
      </c>
      <c r="B855" s="10">
        <f>CHOOSE(CONTROL!$C$42, 29.2588, 29.2588) * CHOOSE(CONTROL!$C$21, $C$9, 100%, $E$9)</f>
        <v>29.258800000000001</v>
      </c>
      <c r="C855" s="10">
        <f>CHOOSE(CONTROL!$C$42, 29.2638, 29.2638) * CHOOSE(CONTROL!$C$21, $C$9, 100%, $E$9)</f>
        <v>29.2638</v>
      </c>
      <c r="D855" s="10">
        <f>CHOOSE(CONTROL!$C$42, 29.3552, 29.3552) * CHOOSE(CONTROL!$C$21, $C$9, 100%, $E$9)</f>
        <v>29.3552</v>
      </c>
      <c r="E855" s="10">
        <f>CHOOSE(CONTROL!$C$42, 29.3889, 29.3889) * CHOOSE(CONTROL!$C$21, $C$9, 100%, $E$9)</f>
        <v>29.3889</v>
      </c>
      <c r="F855" s="10">
        <f>CHOOSE(CONTROL!$C$42, 29.2887, 29.2887)*CHOOSE(CONTROL!$C$21, $C$9, 100%, $E$9)</f>
        <v>29.288699999999999</v>
      </c>
      <c r="G855" s="10">
        <f>CHOOSE(CONTROL!$C$42, 29.3082, 29.3082)*CHOOSE(CONTROL!$C$21, $C$9, 100%, $E$9)</f>
        <v>29.308199999999999</v>
      </c>
      <c r="H855" s="10">
        <f>CHOOSE(CONTROL!$C$42, 29.3781, 29.3781) * CHOOSE(CONTROL!$C$21, $C$9, 100%, $E$9)</f>
        <v>29.3781</v>
      </c>
      <c r="I855" s="10">
        <f>CHOOSE(CONTROL!$C$42, 29.2816, 29.2816)* CHOOSE(CONTROL!$C$21, $C$9, 100%, $E$9)</f>
        <v>29.281600000000001</v>
      </c>
      <c r="J855" s="10">
        <f>CHOOSE(CONTROL!$C$42, 29.2817, 29.2817)* CHOOSE(CONTROL!$C$21, $C$9, 100%, $E$9)</f>
        <v>29.281700000000001</v>
      </c>
      <c r="K855" s="54">
        <f>CHOOSE(CONTROL!$C$42, 29.2777, 29.2777) * CHOOSE(CONTROL!$C$21, $C$9, 100%, $E$9)</f>
        <v>29.277699999999999</v>
      </c>
      <c r="L855" s="10">
        <f>CHOOSE(CONTROL!$C$42, 29.9651, 29.9651) * CHOOSE(CONTROL!$C$21, $C$9, 100%, $E$9)</f>
        <v>29.9651</v>
      </c>
      <c r="M855" s="10">
        <f>CHOOSE(CONTROL!$C$42, 29, 29) * CHOOSE(CONTROL!$C$21, $C$9, 100%, $E$9)</f>
        <v>29</v>
      </c>
      <c r="N855" s="10">
        <f>CHOOSE(CONTROL!$C$42, 29.0193, 29.0193) * CHOOSE(CONTROL!$C$21, $C$9, 100%, $E$9)</f>
        <v>29.019300000000001</v>
      </c>
      <c r="O855" s="10">
        <f>CHOOSE(CONTROL!$C$42, 29.0955, 29.0955) * CHOOSE(CONTROL!$C$21, $C$9, 100%, $E$9)</f>
        <v>29.095500000000001</v>
      </c>
      <c r="P855" s="10">
        <f>CHOOSE(CONTROL!$C$42, 29, 29) * CHOOSE(CONTROL!$C$21, $C$9, 100%, $E$9)</f>
        <v>29</v>
      </c>
      <c r="Q855" s="10">
        <f>CHOOSE(CONTROL!$C$42, 29.6908, 29.6908) * CHOOSE(CONTROL!$C$21, $C$9, 100%, $E$9)</f>
        <v>29.690799999999999</v>
      </c>
      <c r="R855" s="10">
        <f>CHOOSE(CONTROL!$C$42, 30.352, 30.352) * CHOOSE(CONTROL!$C$21, $C$9, 100%, $E$9)</f>
        <v>30.352</v>
      </c>
      <c r="S855" s="10">
        <f>CHOOSE(CONTROL!$C$42, 28.4111, 28.4111) * CHOOSE(CONTROL!$C$21, $C$9, 100%, $E$9)</f>
        <v>28.411100000000001</v>
      </c>
      <c r="T855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55" s="58">
        <f>(1000*CHOOSE(CONTROL!$C$42, 695, 695)*CHOOSE(CONTROL!$C$42, 0.5599, 0.5599)*CHOOSE(CONTROL!$C$42, 31, 31))/1000000</f>
        <v>12.063045499999998</v>
      </c>
      <c r="V855" s="58">
        <f>(1000*CHOOSE(CONTROL!$C$42, 500, 500)*CHOOSE(CONTROL!$C$42, 0.275, 0.275)*CHOOSE(CONTROL!$C$42, 31, 31))/1000000</f>
        <v>4.2625000000000002</v>
      </c>
      <c r="W855" s="58">
        <f>(1000*CHOOSE(CONTROL!$C$42, 0.1146, 0.1146)*CHOOSE(CONTROL!$C$42, 121.5, 121.5)*CHOOSE(CONTROL!$C$42, 31, 31))/1000000</f>
        <v>0.43164089999999994</v>
      </c>
      <c r="X855" s="58">
        <f>(31*0.1790888*100000/1000000)+(31*0.2374*100000/1000000)</f>
        <v>1.2911152800000001</v>
      </c>
      <c r="Y855" s="58"/>
      <c r="Z855" s="10"/>
      <c r="AA855" s="57"/>
      <c r="AB855" s="51">
        <f>(B855*122.58+C855*297.941+D855*89.177+E855*40.302+F855*40+G855*160+H855*0+I855*100+J855*300)/(122.58+297.941+89.177+40.302+0+40+160+100+300)</f>
        <v>29.287999702608694</v>
      </c>
      <c r="AC855" s="27">
        <f>(M855*'RAP TEMPLATE-GAS AVAILABILITY'!O854+N855*'RAP TEMPLATE-GAS AVAILABILITY'!P854+O855*'RAP TEMPLATE-GAS AVAILABILITY'!Q854+P855*'RAP TEMPLATE-GAS AVAILABILITY'!R854)/('RAP TEMPLATE-GAS AVAILABILITY'!O854+'RAP TEMPLATE-GAS AVAILABILITY'!P854+'RAP TEMPLATE-GAS AVAILABILITY'!Q854+'RAP TEMPLATE-GAS AVAILABILITY'!R854)</f>
        <v>29.044394964028779</v>
      </c>
    </row>
    <row r="856" spans="1:29" ht="15.75" x14ac:dyDescent="0.25">
      <c r="A856" s="13">
        <v>67327</v>
      </c>
      <c r="B856" s="10">
        <f>CHOOSE(CONTROL!$C$42, 29.172, 29.172) * CHOOSE(CONTROL!$C$21, $C$9, 100%, $E$9)</f>
        <v>29.172000000000001</v>
      </c>
      <c r="C856" s="10">
        <f>CHOOSE(CONTROL!$C$42, 29.1764, 29.1764) * CHOOSE(CONTROL!$C$21, $C$9, 100%, $E$9)</f>
        <v>29.176400000000001</v>
      </c>
      <c r="D856" s="10">
        <f>CHOOSE(CONTROL!$C$42, 29.358, 29.358) * CHOOSE(CONTROL!$C$21, $C$9, 100%, $E$9)</f>
        <v>29.358000000000001</v>
      </c>
      <c r="E856" s="10">
        <f>CHOOSE(CONTROL!$C$42, 29.3898, 29.3898) * CHOOSE(CONTROL!$C$21, $C$9, 100%, $E$9)</f>
        <v>29.389800000000001</v>
      </c>
      <c r="F856" s="10">
        <f>CHOOSE(CONTROL!$C$42, 29.1603, 29.1603)*CHOOSE(CONTROL!$C$21, $C$9, 100%, $E$9)</f>
        <v>29.160299999999999</v>
      </c>
      <c r="G856" s="10">
        <f>CHOOSE(CONTROL!$C$42, 29.1783, 29.1783)*CHOOSE(CONTROL!$C$21, $C$9, 100%, $E$9)</f>
        <v>29.1783</v>
      </c>
      <c r="H856" s="10">
        <f>CHOOSE(CONTROL!$C$42, 29.3796, 29.3796) * CHOOSE(CONTROL!$C$21, $C$9, 100%, $E$9)</f>
        <v>29.3796</v>
      </c>
      <c r="I856" s="10">
        <f>CHOOSE(CONTROL!$C$42, 29.1503, 29.1503)* CHOOSE(CONTROL!$C$21, $C$9, 100%, $E$9)</f>
        <v>29.150300000000001</v>
      </c>
      <c r="J856" s="10">
        <f>CHOOSE(CONTROL!$C$42, 29.1533, 29.1533)* CHOOSE(CONTROL!$C$21, $C$9, 100%, $E$9)</f>
        <v>29.153300000000002</v>
      </c>
      <c r="K856" s="54">
        <f>CHOOSE(CONTROL!$C$42, 29.1464, 29.1464) * CHOOSE(CONTROL!$C$21, $C$9, 100%, $E$9)</f>
        <v>29.1464</v>
      </c>
      <c r="L856" s="10">
        <f>CHOOSE(CONTROL!$C$42, 29.9666, 29.9666) * CHOOSE(CONTROL!$C$21, $C$9, 100%, $E$9)</f>
        <v>29.9666</v>
      </c>
      <c r="M856" s="10">
        <f>CHOOSE(CONTROL!$C$42, 28.8729, 28.8729) * CHOOSE(CONTROL!$C$21, $C$9, 100%, $E$9)</f>
        <v>28.872900000000001</v>
      </c>
      <c r="N856" s="10">
        <f>CHOOSE(CONTROL!$C$42, 28.8907, 28.8907) * CHOOSE(CONTROL!$C$21, $C$9, 100%, $E$9)</f>
        <v>28.890699999999999</v>
      </c>
      <c r="O856" s="10">
        <f>CHOOSE(CONTROL!$C$42, 29.0969, 29.0969) * CHOOSE(CONTROL!$C$21, $C$9, 100%, $E$9)</f>
        <v>29.096900000000002</v>
      </c>
      <c r="P856" s="10">
        <f>CHOOSE(CONTROL!$C$42, 28.8699, 28.8699) * CHOOSE(CONTROL!$C$21, $C$9, 100%, $E$9)</f>
        <v>28.869900000000001</v>
      </c>
      <c r="Q856" s="10">
        <f>CHOOSE(CONTROL!$C$42, 29.6922, 29.6922) * CHOOSE(CONTROL!$C$21, $C$9, 100%, $E$9)</f>
        <v>29.6922</v>
      </c>
      <c r="R856" s="10">
        <f>CHOOSE(CONTROL!$C$42, 30.3535, 30.3535) * CHOOSE(CONTROL!$C$21, $C$9, 100%, $E$9)</f>
        <v>30.3535</v>
      </c>
      <c r="S856" s="10">
        <f>CHOOSE(CONTROL!$C$42, 28.326, 28.326) * CHOOSE(CONTROL!$C$21, $C$9, 100%, $E$9)</f>
        <v>28.326000000000001</v>
      </c>
      <c r="T856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56" s="58">
        <f>(1000*CHOOSE(CONTROL!$C$42, 695, 695)*CHOOSE(CONTROL!$C$42, 0.5599, 0.5599)*CHOOSE(CONTROL!$C$42, 30, 30))/1000000</f>
        <v>11.673914999999997</v>
      </c>
      <c r="V856" s="58">
        <f>(1000*CHOOSE(CONTROL!$C$42, 500, 500)*CHOOSE(CONTROL!$C$42, 0.275, 0.275)*CHOOSE(CONTROL!$C$42, 30, 30))/1000000</f>
        <v>4.125</v>
      </c>
      <c r="W856" s="58">
        <f>(1000*CHOOSE(CONTROL!$C$42, 0.1146, 0.1146)*CHOOSE(CONTROL!$C$42, 121.5, 121.5)*CHOOSE(CONTROL!$C$42, 30, 30))/1000000</f>
        <v>0.417717</v>
      </c>
      <c r="X856" s="58">
        <f>(30*0.1790888*245000/1000000)+(30*0.2374*100000/1000000)</f>
        <v>2.0285026799999999</v>
      </c>
      <c r="Y856" s="58"/>
      <c r="Z856" s="10"/>
      <c r="AA856" s="57"/>
      <c r="AB856" s="51">
        <f>(B856*141.293+C856*267.993+D856*115.016+E856*89.698+F856*40+G856*185+H856*0+I856*100+J856*300)/(141.293+267.993+115.016+89.698+0+40+185+100+300)</f>
        <v>29.200269466989504</v>
      </c>
      <c r="AC856" s="27">
        <f>(M856*'RAP TEMPLATE-GAS AVAILABILITY'!O855+N856*'RAP TEMPLATE-GAS AVAILABILITY'!P855+O856*'RAP TEMPLATE-GAS AVAILABILITY'!Q855+P856*'RAP TEMPLATE-GAS AVAILABILITY'!R855)/('RAP TEMPLATE-GAS AVAILABILITY'!O855+'RAP TEMPLATE-GAS AVAILABILITY'!P855+'RAP TEMPLATE-GAS AVAILABILITY'!Q855+'RAP TEMPLATE-GAS AVAILABILITY'!R855)</f>
        <v>28.975017985611512</v>
      </c>
    </row>
    <row r="857" spans="1:29" ht="15.75" x14ac:dyDescent="0.25">
      <c r="A857" s="13">
        <v>67358</v>
      </c>
      <c r="B857" s="10">
        <f>CHOOSE(CONTROL!$C$42, 29.4312, 29.4312) * CHOOSE(CONTROL!$C$21, $C$9, 100%, $E$9)</f>
        <v>29.4312</v>
      </c>
      <c r="C857" s="10">
        <f>CHOOSE(CONTROL!$C$42, 29.4391, 29.4391) * CHOOSE(CONTROL!$C$21, $C$9, 100%, $E$9)</f>
        <v>29.4391</v>
      </c>
      <c r="D857" s="10">
        <f>CHOOSE(CONTROL!$C$42, 29.6177, 29.6177) * CHOOSE(CONTROL!$C$21, $C$9, 100%, $E$9)</f>
        <v>29.617699999999999</v>
      </c>
      <c r="E857" s="10">
        <f>CHOOSE(CONTROL!$C$42, 29.6488, 29.6488) * CHOOSE(CONTROL!$C$21, $C$9, 100%, $E$9)</f>
        <v>29.648800000000001</v>
      </c>
      <c r="F857" s="10">
        <f>CHOOSE(CONTROL!$C$42, 29.4174, 29.4174)*CHOOSE(CONTROL!$C$21, $C$9, 100%, $E$9)</f>
        <v>29.417400000000001</v>
      </c>
      <c r="G857" s="10">
        <f>CHOOSE(CONTROL!$C$42, 29.4356, 29.4356)*CHOOSE(CONTROL!$C$21, $C$9, 100%, $E$9)</f>
        <v>29.435600000000001</v>
      </c>
      <c r="H857" s="10">
        <f>CHOOSE(CONTROL!$C$42, 29.6374, 29.6374) * CHOOSE(CONTROL!$C$21, $C$9, 100%, $E$9)</f>
        <v>29.6374</v>
      </c>
      <c r="I857" s="10">
        <f>CHOOSE(CONTROL!$C$42, 29.4081, 29.4081)* CHOOSE(CONTROL!$C$21, $C$9, 100%, $E$9)</f>
        <v>29.408100000000001</v>
      </c>
      <c r="J857" s="10">
        <f>CHOOSE(CONTROL!$C$42, 29.4104, 29.4104)* CHOOSE(CONTROL!$C$21, $C$9, 100%, $E$9)</f>
        <v>29.410399999999999</v>
      </c>
      <c r="K857" s="54">
        <f>CHOOSE(CONTROL!$C$42, 29.4042, 29.4042) * CHOOSE(CONTROL!$C$21, $C$9, 100%, $E$9)</f>
        <v>29.404199999999999</v>
      </c>
      <c r="L857" s="10">
        <f>CHOOSE(CONTROL!$C$42, 30.2244, 30.2244) * CHOOSE(CONTROL!$C$21, $C$9, 100%, $E$9)</f>
        <v>30.224399999999999</v>
      </c>
      <c r="M857" s="10">
        <f>CHOOSE(CONTROL!$C$42, 29.1274, 29.1274) * CHOOSE(CONTROL!$C$21, $C$9, 100%, $E$9)</f>
        <v>29.127400000000002</v>
      </c>
      <c r="N857" s="10">
        <f>CHOOSE(CONTROL!$C$42, 29.1454, 29.1454) * CHOOSE(CONTROL!$C$21, $C$9, 100%, $E$9)</f>
        <v>29.145399999999999</v>
      </c>
      <c r="O857" s="10">
        <f>CHOOSE(CONTROL!$C$42, 29.3522, 29.3522) * CHOOSE(CONTROL!$C$21, $C$9, 100%, $E$9)</f>
        <v>29.3522</v>
      </c>
      <c r="P857" s="10">
        <f>CHOOSE(CONTROL!$C$42, 29.1252, 29.1252) * CHOOSE(CONTROL!$C$21, $C$9, 100%, $E$9)</f>
        <v>29.1252</v>
      </c>
      <c r="Q857" s="10">
        <f>CHOOSE(CONTROL!$C$42, 29.9475, 29.9475) * CHOOSE(CONTROL!$C$21, $C$9, 100%, $E$9)</f>
        <v>29.947500000000002</v>
      </c>
      <c r="R857" s="10">
        <f>CHOOSE(CONTROL!$C$42, 30.6093, 30.6093) * CHOOSE(CONTROL!$C$21, $C$9, 100%, $E$9)</f>
        <v>30.609300000000001</v>
      </c>
      <c r="S857" s="10">
        <f>CHOOSE(CONTROL!$C$42, 28.5764, 28.5764) * CHOOSE(CONTROL!$C$21, $C$9, 100%, $E$9)</f>
        <v>28.5764</v>
      </c>
      <c r="T857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57" s="58">
        <f>(1000*CHOOSE(CONTROL!$C$42, 695, 695)*CHOOSE(CONTROL!$C$42, 0.5599, 0.5599)*CHOOSE(CONTROL!$C$42, 31, 31))/1000000</f>
        <v>12.063045499999998</v>
      </c>
      <c r="V857" s="58">
        <f>(1000*CHOOSE(CONTROL!$C$42, 500, 500)*CHOOSE(CONTROL!$C$42, 0.275, 0.275)*CHOOSE(CONTROL!$C$42, 31, 31))/1000000</f>
        <v>4.2625000000000002</v>
      </c>
      <c r="W857" s="58">
        <f>(1000*CHOOSE(CONTROL!$C$42, 0.1146, 0.1146)*CHOOSE(CONTROL!$C$42, 121.5, 121.5)*CHOOSE(CONTROL!$C$42, 31, 31))/1000000</f>
        <v>0.43164089999999994</v>
      </c>
      <c r="X857" s="58">
        <f>(31*0.1790888*245000/1000000)+(31*0.2374*100000/1000000)</f>
        <v>2.0961194359999999</v>
      </c>
      <c r="Y857" s="58"/>
      <c r="Z857" s="10"/>
      <c r="AA857" s="57"/>
      <c r="AB857" s="51">
        <f>(B857*194.205+C857*267.466+D857*133.845+E857*53.484+F857*40+G857*185+H857*0+I857*100+J857*300)/(194.205+267.466+133.845+53.484+0+40+185+100+300)</f>
        <v>29.455081626609108</v>
      </c>
      <c r="AC857" s="27">
        <f>(M857*'RAP TEMPLATE-GAS AVAILABILITY'!O856+N857*'RAP TEMPLATE-GAS AVAILABILITY'!P856+O857*'RAP TEMPLATE-GAS AVAILABILITY'!Q856+P857*'RAP TEMPLATE-GAS AVAILABILITY'!R856)/('RAP TEMPLATE-GAS AVAILABILITY'!O856+'RAP TEMPLATE-GAS AVAILABILITY'!P856+'RAP TEMPLATE-GAS AVAILABILITY'!Q856+'RAP TEMPLATE-GAS AVAILABILITY'!R856)</f>
        <v>29.230007194244603</v>
      </c>
    </row>
    <row r="858" spans="1:29" ht="15.75" x14ac:dyDescent="0.25">
      <c r="A858" s="13">
        <v>67388</v>
      </c>
      <c r="B858" s="10">
        <f>CHOOSE(CONTROL!$C$42, 30.2659, 30.2659) * CHOOSE(CONTROL!$C$21, $C$9, 100%, $E$9)</f>
        <v>30.265899999999998</v>
      </c>
      <c r="C858" s="10">
        <f>CHOOSE(CONTROL!$C$42, 30.2738, 30.2738) * CHOOSE(CONTROL!$C$21, $C$9, 100%, $E$9)</f>
        <v>30.273800000000001</v>
      </c>
      <c r="D858" s="10">
        <f>CHOOSE(CONTROL!$C$42, 30.4524, 30.4524) * CHOOSE(CONTROL!$C$21, $C$9, 100%, $E$9)</f>
        <v>30.452400000000001</v>
      </c>
      <c r="E858" s="10">
        <f>CHOOSE(CONTROL!$C$42, 30.4835, 30.4835) * CHOOSE(CONTROL!$C$21, $C$9, 100%, $E$9)</f>
        <v>30.483499999999999</v>
      </c>
      <c r="F858" s="10">
        <f>CHOOSE(CONTROL!$C$42, 30.2524, 30.2524)*CHOOSE(CONTROL!$C$21, $C$9, 100%, $E$9)</f>
        <v>30.252400000000002</v>
      </c>
      <c r="G858" s="10">
        <f>CHOOSE(CONTROL!$C$42, 30.2706, 30.2706)*CHOOSE(CONTROL!$C$21, $C$9, 100%, $E$9)</f>
        <v>30.270600000000002</v>
      </c>
      <c r="H858" s="10">
        <f>CHOOSE(CONTROL!$C$42, 30.4721, 30.4721) * CHOOSE(CONTROL!$C$21, $C$9, 100%, $E$9)</f>
        <v>30.472100000000001</v>
      </c>
      <c r="I858" s="10">
        <f>CHOOSE(CONTROL!$C$42, 30.2428, 30.2428)* CHOOSE(CONTROL!$C$21, $C$9, 100%, $E$9)</f>
        <v>30.242799999999999</v>
      </c>
      <c r="J858" s="10">
        <f>CHOOSE(CONTROL!$C$42, 30.2454, 30.2454)* CHOOSE(CONTROL!$C$21, $C$9, 100%, $E$9)</f>
        <v>30.2454</v>
      </c>
      <c r="K858" s="54">
        <f>CHOOSE(CONTROL!$C$42, 30.2389, 30.2389) * CHOOSE(CONTROL!$C$21, $C$9, 100%, $E$9)</f>
        <v>30.238900000000001</v>
      </c>
      <c r="L858" s="10">
        <f>CHOOSE(CONTROL!$C$42, 31.0591, 31.0591) * CHOOSE(CONTROL!$C$21, $C$9, 100%, $E$9)</f>
        <v>31.059100000000001</v>
      </c>
      <c r="M858" s="10">
        <f>CHOOSE(CONTROL!$C$42, 29.954, 29.954) * CHOOSE(CONTROL!$C$21, $C$9, 100%, $E$9)</f>
        <v>29.954000000000001</v>
      </c>
      <c r="N858" s="10">
        <f>CHOOSE(CONTROL!$C$42, 29.972, 29.972) * CHOOSE(CONTROL!$C$21, $C$9, 100%, $E$9)</f>
        <v>29.972000000000001</v>
      </c>
      <c r="O858" s="10">
        <f>CHOOSE(CONTROL!$C$42, 30.1785, 30.1785) * CHOOSE(CONTROL!$C$21, $C$9, 100%, $E$9)</f>
        <v>30.1785</v>
      </c>
      <c r="P858" s="10">
        <f>CHOOSE(CONTROL!$C$42, 29.9515, 29.9515) * CHOOSE(CONTROL!$C$21, $C$9, 100%, $E$9)</f>
        <v>29.951499999999999</v>
      </c>
      <c r="Q858" s="10">
        <f>CHOOSE(CONTROL!$C$42, 30.7738, 30.7738) * CHOOSE(CONTROL!$C$21, $C$9, 100%, $E$9)</f>
        <v>30.773800000000001</v>
      </c>
      <c r="R858" s="10">
        <f>CHOOSE(CONTROL!$C$42, 31.4377, 31.4377) * CHOOSE(CONTROL!$C$21, $C$9, 100%, $E$9)</f>
        <v>31.4377</v>
      </c>
      <c r="S858" s="10">
        <f>CHOOSE(CONTROL!$C$42, 29.387, 29.387) * CHOOSE(CONTROL!$C$21, $C$9, 100%, $E$9)</f>
        <v>29.387</v>
      </c>
      <c r="T858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858" s="58">
        <f>(1000*CHOOSE(CONTROL!$C$42, 695, 695)*CHOOSE(CONTROL!$C$42, 0.5599, 0.5599)*CHOOSE(CONTROL!$C$42, 30, 30))/1000000</f>
        <v>11.673914999999997</v>
      </c>
      <c r="V858" s="58">
        <f>(1000*CHOOSE(CONTROL!$C$42, 500, 500)*CHOOSE(CONTROL!$C$42, 0.275, 0.275)*CHOOSE(CONTROL!$C$42, 30, 30))/1000000</f>
        <v>4.125</v>
      </c>
      <c r="W858" s="58">
        <f>(1000*CHOOSE(CONTROL!$C$42, 0.1146, 0.1146)*CHOOSE(CONTROL!$C$42, 121.5, 121.5)*CHOOSE(CONTROL!$C$42, 30, 30))/1000000</f>
        <v>0.417717</v>
      </c>
      <c r="X858" s="58">
        <f>(30*0.1790888*245000/1000000)+(30*0.2374*100000/1000000)</f>
        <v>2.0285026799999999</v>
      </c>
      <c r="Y858" s="58"/>
      <c r="Z858" s="10"/>
      <c r="AA858" s="57"/>
      <c r="AB858" s="51">
        <f>(B858*194.205+C858*267.466+D858*133.845+E858*53.484+F858*40+G858*185+H858*0+I858*100+J858*300)/(194.205+267.466+133.845+53.484+0+40+185+100+300)</f>
        <v>30.289905252982738</v>
      </c>
      <c r="AC858" s="27">
        <f>(M858*'RAP TEMPLATE-GAS AVAILABILITY'!O857+N858*'RAP TEMPLATE-GAS AVAILABILITY'!P857+O858*'RAP TEMPLATE-GAS AVAILABILITY'!Q857+P858*'RAP TEMPLATE-GAS AVAILABILITY'!R857)/('RAP TEMPLATE-GAS AVAILABILITY'!O857+'RAP TEMPLATE-GAS AVAILABILITY'!P857+'RAP TEMPLATE-GAS AVAILABILITY'!Q857+'RAP TEMPLATE-GAS AVAILABILITY'!R857)</f>
        <v>30.056428057553955</v>
      </c>
    </row>
    <row r="859" spans="1:29" ht="15.75" x14ac:dyDescent="0.25">
      <c r="A859" s="13">
        <v>67419</v>
      </c>
      <c r="B859" s="10">
        <f>CHOOSE(CONTROL!$C$42, 29.6854, 29.6854) * CHOOSE(CONTROL!$C$21, $C$9, 100%, $E$9)</f>
        <v>29.685400000000001</v>
      </c>
      <c r="C859" s="10">
        <f>CHOOSE(CONTROL!$C$42, 29.6933, 29.6933) * CHOOSE(CONTROL!$C$21, $C$9, 100%, $E$9)</f>
        <v>29.693300000000001</v>
      </c>
      <c r="D859" s="10">
        <f>CHOOSE(CONTROL!$C$42, 29.8718, 29.8718) * CHOOSE(CONTROL!$C$21, $C$9, 100%, $E$9)</f>
        <v>29.8718</v>
      </c>
      <c r="E859" s="10">
        <f>CHOOSE(CONTROL!$C$42, 29.903, 29.903) * CHOOSE(CONTROL!$C$21, $C$9, 100%, $E$9)</f>
        <v>29.902999999999999</v>
      </c>
      <c r="F859" s="10">
        <f>CHOOSE(CONTROL!$C$42, 29.6721, 29.6721)*CHOOSE(CONTROL!$C$21, $C$9, 100%, $E$9)</f>
        <v>29.6721</v>
      </c>
      <c r="G859" s="10">
        <f>CHOOSE(CONTROL!$C$42, 29.6904, 29.6904)*CHOOSE(CONTROL!$C$21, $C$9, 100%, $E$9)</f>
        <v>29.6904</v>
      </c>
      <c r="H859" s="10">
        <f>CHOOSE(CONTROL!$C$42, 29.8916, 29.8916) * CHOOSE(CONTROL!$C$21, $C$9, 100%, $E$9)</f>
        <v>29.8916</v>
      </c>
      <c r="I859" s="10">
        <f>CHOOSE(CONTROL!$C$42, 29.6623, 29.6623)* CHOOSE(CONTROL!$C$21, $C$9, 100%, $E$9)</f>
        <v>29.662299999999998</v>
      </c>
      <c r="J859" s="10">
        <f>CHOOSE(CONTROL!$C$42, 29.6651, 29.6651)* CHOOSE(CONTROL!$C$21, $C$9, 100%, $E$9)</f>
        <v>29.665099999999999</v>
      </c>
      <c r="K859" s="54">
        <f>CHOOSE(CONTROL!$C$42, 29.6584, 29.6584) * CHOOSE(CONTROL!$C$21, $C$9, 100%, $E$9)</f>
        <v>29.6584</v>
      </c>
      <c r="L859" s="10">
        <f>CHOOSE(CONTROL!$C$42, 30.4786, 30.4786) * CHOOSE(CONTROL!$C$21, $C$9, 100%, $E$9)</f>
        <v>30.4786</v>
      </c>
      <c r="M859" s="10">
        <f>CHOOSE(CONTROL!$C$42, 29.3796, 29.3796) * CHOOSE(CONTROL!$C$21, $C$9, 100%, $E$9)</f>
        <v>29.3796</v>
      </c>
      <c r="N859" s="10">
        <f>CHOOSE(CONTROL!$C$42, 29.3977, 29.3977) * CHOOSE(CONTROL!$C$21, $C$9, 100%, $E$9)</f>
        <v>29.3977</v>
      </c>
      <c r="O859" s="10">
        <f>CHOOSE(CONTROL!$C$42, 29.6038, 29.6038) * CHOOSE(CONTROL!$C$21, $C$9, 100%, $E$9)</f>
        <v>29.6038</v>
      </c>
      <c r="P859" s="10">
        <f>CHOOSE(CONTROL!$C$42, 29.3768, 29.3768) * CHOOSE(CONTROL!$C$21, $C$9, 100%, $E$9)</f>
        <v>29.376799999999999</v>
      </c>
      <c r="Q859" s="10">
        <f>CHOOSE(CONTROL!$C$42, 30.1991, 30.1991) * CHOOSE(CONTROL!$C$21, $C$9, 100%, $E$9)</f>
        <v>30.199100000000001</v>
      </c>
      <c r="R859" s="10">
        <f>CHOOSE(CONTROL!$C$42, 30.8616, 30.8616) * CHOOSE(CONTROL!$C$21, $C$9, 100%, $E$9)</f>
        <v>30.861599999999999</v>
      </c>
      <c r="S859" s="10">
        <f>CHOOSE(CONTROL!$C$42, 28.8232, 28.8232) * CHOOSE(CONTROL!$C$21, $C$9, 100%, $E$9)</f>
        <v>28.8232</v>
      </c>
      <c r="T859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859" s="58">
        <f>(1000*CHOOSE(CONTROL!$C$42, 695, 695)*CHOOSE(CONTROL!$C$42, 0.5599, 0.5599)*CHOOSE(CONTROL!$C$42, 31, 31))/1000000</f>
        <v>12.063045499999998</v>
      </c>
      <c r="V859" s="58">
        <f>(1000*CHOOSE(CONTROL!$C$42, 500, 500)*CHOOSE(CONTROL!$C$42, 0.275, 0.275)*CHOOSE(CONTROL!$C$42, 31, 31))/1000000</f>
        <v>4.2625000000000002</v>
      </c>
      <c r="W859" s="58">
        <f>(1000*CHOOSE(CONTROL!$C$42, 0.1146, 0.1146)*CHOOSE(CONTROL!$C$42, 121.5, 121.5)*CHOOSE(CONTROL!$C$42, 31, 31))/1000000</f>
        <v>0.43164089999999994</v>
      </c>
      <c r="X859" s="58">
        <f>(31*0.1790888*245000/1000000)+(31*0.2374*100000/1000000)</f>
        <v>2.0961194359999999</v>
      </c>
      <c r="Y859" s="58"/>
      <c r="Z859" s="10"/>
      <c r="AA859" s="57"/>
      <c r="AB859" s="51">
        <f>(B859*194.205+C859*267.466+D859*133.845+E859*53.484+F859*40+G859*185+H859*0+I859*100+J859*300)/(194.205+267.466+133.845+53.484+0+40+185+100+300)</f>
        <v>29.709491685871271</v>
      </c>
      <c r="AC859" s="27">
        <f>(M859*'RAP TEMPLATE-GAS AVAILABILITY'!O858+N859*'RAP TEMPLATE-GAS AVAILABILITY'!P858+O859*'RAP TEMPLATE-GAS AVAILABILITY'!Q858+P859*'RAP TEMPLATE-GAS AVAILABILITY'!R858)/('RAP TEMPLATE-GAS AVAILABILITY'!O858+'RAP TEMPLATE-GAS AVAILABILITY'!P858+'RAP TEMPLATE-GAS AVAILABILITY'!Q858+'RAP TEMPLATE-GAS AVAILABILITY'!R858)</f>
        <v>29.481854676258997</v>
      </c>
    </row>
    <row r="860" spans="1:29" ht="15.75" x14ac:dyDescent="0.25">
      <c r="A860" s="13">
        <v>67450</v>
      </c>
      <c r="B860" s="10">
        <f>CHOOSE(CONTROL!$C$42, 28.2193, 28.2193) * CHOOSE(CONTROL!$C$21, $C$9, 100%, $E$9)</f>
        <v>28.2193</v>
      </c>
      <c r="C860" s="10">
        <f>CHOOSE(CONTROL!$C$42, 28.2273, 28.2273) * CHOOSE(CONTROL!$C$21, $C$9, 100%, $E$9)</f>
        <v>28.2273</v>
      </c>
      <c r="D860" s="10">
        <f>CHOOSE(CONTROL!$C$42, 28.4058, 28.4058) * CHOOSE(CONTROL!$C$21, $C$9, 100%, $E$9)</f>
        <v>28.405799999999999</v>
      </c>
      <c r="E860" s="10">
        <f>CHOOSE(CONTROL!$C$42, 28.4369, 28.4369) * CHOOSE(CONTROL!$C$21, $C$9, 100%, $E$9)</f>
        <v>28.436900000000001</v>
      </c>
      <c r="F860" s="10">
        <f>CHOOSE(CONTROL!$C$42, 28.206, 28.206)*CHOOSE(CONTROL!$C$21, $C$9, 100%, $E$9)</f>
        <v>28.206</v>
      </c>
      <c r="G860" s="10">
        <f>CHOOSE(CONTROL!$C$42, 28.2243, 28.2243)*CHOOSE(CONTROL!$C$21, $C$9, 100%, $E$9)</f>
        <v>28.224299999999999</v>
      </c>
      <c r="H860" s="10">
        <f>CHOOSE(CONTROL!$C$42, 28.4256, 28.4256) * CHOOSE(CONTROL!$C$21, $C$9, 100%, $E$9)</f>
        <v>28.425599999999999</v>
      </c>
      <c r="I860" s="10">
        <f>CHOOSE(CONTROL!$C$42, 28.1962, 28.1962)* CHOOSE(CONTROL!$C$21, $C$9, 100%, $E$9)</f>
        <v>28.196200000000001</v>
      </c>
      <c r="J860" s="10">
        <f>CHOOSE(CONTROL!$C$42, 28.199, 28.199)* CHOOSE(CONTROL!$C$21, $C$9, 100%, $E$9)</f>
        <v>28.199000000000002</v>
      </c>
      <c r="K860" s="54">
        <f>CHOOSE(CONTROL!$C$42, 28.1923, 28.1923) * CHOOSE(CONTROL!$C$21, $C$9, 100%, $E$9)</f>
        <v>28.192299999999999</v>
      </c>
      <c r="L860" s="10">
        <f>CHOOSE(CONTROL!$C$42, 29.0126, 29.0126) * CHOOSE(CONTROL!$C$21, $C$9, 100%, $E$9)</f>
        <v>29.012599999999999</v>
      </c>
      <c r="M860" s="10">
        <f>CHOOSE(CONTROL!$C$42, 27.9282, 27.9282) * CHOOSE(CONTROL!$C$21, $C$9, 100%, $E$9)</f>
        <v>27.9282</v>
      </c>
      <c r="N860" s="10">
        <f>CHOOSE(CONTROL!$C$42, 27.9463, 27.9463) * CHOOSE(CONTROL!$C$21, $C$9, 100%, $E$9)</f>
        <v>27.946300000000001</v>
      </c>
      <c r="O860" s="10">
        <f>CHOOSE(CONTROL!$C$42, 28.1525, 28.1525) * CHOOSE(CONTROL!$C$21, $C$9, 100%, $E$9)</f>
        <v>28.1525</v>
      </c>
      <c r="P860" s="10">
        <f>CHOOSE(CONTROL!$C$42, 27.9255, 27.9255) * CHOOSE(CONTROL!$C$21, $C$9, 100%, $E$9)</f>
        <v>27.9255</v>
      </c>
      <c r="Q860" s="10">
        <f>CHOOSE(CONTROL!$C$42, 28.7478, 28.7478) * CHOOSE(CONTROL!$C$21, $C$9, 100%, $E$9)</f>
        <v>28.747800000000002</v>
      </c>
      <c r="R860" s="10">
        <f>CHOOSE(CONTROL!$C$42, 29.4067, 29.4067) * CHOOSE(CONTROL!$C$21, $C$9, 100%, $E$9)</f>
        <v>29.406700000000001</v>
      </c>
      <c r="S860" s="10">
        <f>CHOOSE(CONTROL!$C$42, 27.3996, 27.3996) * CHOOSE(CONTROL!$C$21, $C$9, 100%, $E$9)</f>
        <v>27.3996</v>
      </c>
      <c r="T860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60" s="58">
        <f>(1000*CHOOSE(CONTROL!$C$42, 695, 695)*CHOOSE(CONTROL!$C$42, 0.5599, 0.5599)*CHOOSE(CONTROL!$C$42, 31, 31))/1000000</f>
        <v>12.063045499999998</v>
      </c>
      <c r="V860" s="58">
        <f>(1000*CHOOSE(CONTROL!$C$42, 500, 500)*CHOOSE(CONTROL!$C$42, 0.275, 0.275)*CHOOSE(CONTROL!$C$42, 31, 31))/1000000</f>
        <v>4.2625000000000002</v>
      </c>
      <c r="W860" s="58">
        <f>(1000*CHOOSE(CONTROL!$C$42, 0.1146, 0.1146)*CHOOSE(CONTROL!$C$42, 121.5, 121.5)*CHOOSE(CONTROL!$C$42, 31, 31))/1000000</f>
        <v>0.43164089999999994</v>
      </c>
      <c r="X860" s="58">
        <f>(31*0.1790888*245000/1000000)+(31*0.2374*100000/1000000)</f>
        <v>2.0961194359999999</v>
      </c>
      <c r="Y860" s="58"/>
      <c r="Z860" s="10"/>
      <c r="AA860" s="57"/>
      <c r="AB860" s="51">
        <f>(B860*194.205+C860*267.466+D860*133.845+E860*53.484+F860*40+G860*185+H860*0+I860*100+J860*300)/(194.205+267.466+133.845+53.484+0+40+185+100+300)</f>
        <v>28.243423185949766</v>
      </c>
      <c r="AC860" s="27">
        <f>(M860*'RAP TEMPLATE-GAS AVAILABILITY'!O859+N860*'RAP TEMPLATE-GAS AVAILABILITY'!P859+O860*'RAP TEMPLATE-GAS AVAILABILITY'!Q859+P860*'RAP TEMPLATE-GAS AVAILABILITY'!R859)/('RAP TEMPLATE-GAS AVAILABILITY'!O859+'RAP TEMPLATE-GAS AVAILABILITY'!P859+'RAP TEMPLATE-GAS AVAILABILITY'!Q859+'RAP TEMPLATE-GAS AVAILABILITY'!R859)</f>
        <v>28.030514388489209</v>
      </c>
    </row>
    <row r="861" spans="1:29" ht="15.75" x14ac:dyDescent="0.25">
      <c r="A861" s="13">
        <v>67480</v>
      </c>
      <c r="B861" s="10">
        <f>CHOOSE(CONTROL!$C$42, 26.4281, 26.4281) * CHOOSE(CONTROL!$C$21, $C$9, 100%, $E$9)</f>
        <v>26.428100000000001</v>
      </c>
      <c r="C861" s="10">
        <f>CHOOSE(CONTROL!$C$42, 26.436, 26.436) * CHOOSE(CONTROL!$C$21, $C$9, 100%, $E$9)</f>
        <v>26.436</v>
      </c>
      <c r="D861" s="10">
        <f>CHOOSE(CONTROL!$C$42, 26.6146, 26.6146) * CHOOSE(CONTROL!$C$21, $C$9, 100%, $E$9)</f>
        <v>26.614599999999999</v>
      </c>
      <c r="E861" s="10">
        <f>CHOOSE(CONTROL!$C$42, 26.6457, 26.6457) * CHOOSE(CONTROL!$C$21, $C$9, 100%, $E$9)</f>
        <v>26.645700000000001</v>
      </c>
      <c r="F861" s="10">
        <f>CHOOSE(CONTROL!$C$42, 26.4145, 26.4145)*CHOOSE(CONTROL!$C$21, $C$9, 100%, $E$9)</f>
        <v>26.4145</v>
      </c>
      <c r="G861" s="10">
        <f>CHOOSE(CONTROL!$C$42, 26.4327, 26.4327)*CHOOSE(CONTROL!$C$21, $C$9, 100%, $E$9)</f>
        <v>26.432700000000001</v>
      </c>
      <c r="H861" s="10">
        <f>CHOOSE(CONTROL!$C$42, 26.6343, 26.6343) * CHOOSE(CONTROL!$C$21, $C$9, 100%, $E$9)</f>
        <v>26.6343</v>
      </c>
      <c r="I861" s="10">
        <f>CHOOSE(CONTROL!$C$42, 26.405, 26.405)* CHOOSE(CONTROL!$C$21, $C$9, 100%, $E$9)</f>
        <v>26.405000000000001</v>
      </c>
      <c r="J861" s="10">
        <f>CHOOSE(CONTROL!$C$42, 26.4075, 26.4075)* CHOOSE(CONTROL!$C$21, $C$9, 100%, $E$9)</f>
        <v>26.407499999999999</v>
      </c>
      <c r="K861" s="54">
        <f>CHOOSE(CONTROL!$C$42, 26.4011, 26.4011) * CHOOSE(CONTROL!$C$21, $C$9, 100%, $E$9)</f>
        <v>26.4011</v>
      </c>
      <c r="L861" s="10">
        <f>CHOOSE(CONTROL!$C$42, 27.2213, 27.2213) * CHOOSE(CONTROL!$C$21, $C$9, 100%, $E$9)</f>
        <v>27.221299999999999</v>
      </c>
      <c r="M861" s="10">
        <f>CHOOSE(CONTROL!$C$42, 26.1548, 26.1548) * CHOOSE(CONTROL!$C$21, $C$9, 100%, $E$9)</f>
        <v>26.154800000000002</v>
      </c>
      <c r="N861" s="10">
        <f>CHOOSE(CONTROL!$C$42, 26.1728, 26.1728) * CHOOSE(CONTROL!$C$21, $C$9, 100%, $E$9)</f>
        <v>26.172799999999999</v>
      </c>
      <c r="O861" s="10">
        <f>CHOOSE(CONTROL!$C$42, 26.3794, 26.3794) * CHOOSE(CONTROL!$C$21, $C$9, 100%, $E$9)</f>
        <v>26.3794</v>
      </c>
      <c r="P861" s="10">
        <f>CHOOSE(CONTROL!$C$42, 26.1524, 26.1524) * CHOOSE(CONTROL!$C$21, $C$9, 100%, $E$9)</f>
        <v>26.1524</v>
      </c>
      <c r="Q861" s="10">
        <f>CHOOSE(CONTROL!$C$42, 26.9747, 26.9747) * CHOOSE(CONTROL!$C$21, $C$9, 100%, $E$9)</f>
        <v>26.974699999999999</v>
      </c>
      <c r="R861" s="10">
        <f>CHOOSE(CONTROL!$C$42, 27.6291, 27.6291) * CHOOSE(CONTROL!$C$21, $C$9, 100%, $E$9)</f>
        <v>27.629100000000001</v>
      </c>
      <c r="S861" s="10">
        <f>CHOOSE(CONTROL!$C$42, 25.6601, 25.6601) * CHOOSE(CONTROL!$C$21, $C$9, 100%, $E$9)</f>
        <v>25.6601</v>
      </c>
      <c r="T861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61" s="58">
        <f>(1000*CHOOSE(CONTROL!$C$42, 695, 695)*CHOOSE(CONTROL!$C$42, 0.5599, 0.5599)*CHOOSE(CONTROL!$C$42, 30, 30))/1000000</f>
        <v>11.673914999999997</v>
      </c>
      <c r="V861" s="58">
        <f>(1000*CHOOSE(CONTROL!$C$42, 500, 500)*CHOOSE(CONTROL!$C$42, 0.275, 0.275)*CHOOSE(CONTROL!$C$42, 30, 30))/1000000</f>
        <v>4.125</v>
      </c>
      <c r="W861" s="58">
        <f>(1000*CHOOSE(CONTROL!$C$42, 0.1146, 0.1146)*CHOOSE(CONTROL!$C$42, 121.5, 121.5)*CHOOSE(CONTROL!$C$42, 30, 30))/1000000</f>
        <v>0.417717</v>
      </c>
      <c r="X861" s="58">
        <f>(30*0.1790888*245000/1000000)+(30*0.2374*100000/1000000)</f>
        <v>2.0285026799999999</v>
      </c>
      <c r="Y861" s="58"/>
      <c r="Z861" s="10"/>
      <c r="AA861" s="57"/>
      <c r="AB861" s="51">
        <f>(B861*194.205+C861*267.466+D861*133.845+E861*53.484+F861*40+G861*185+H861*0+I861*100+J861*300)/(194.205+267.466+133.845+53.484+0+40+185+100+300)</f>
        <v>26.452064044191523</v>
      </c>
      <c r="AC861" s="27">
        <f>(M861*'RAP TEMPLATE-GAS AVAILABILITY'!O860+N861*'RAP TEMPLATE-GAS AVAILABILITY'!P860+O861*'RAP TEMPLATE-GAS AVAILABILITY'!Q860+P861*'RAP TEMPLATE-GAS AVAILABILITY'!R860)/('RAP TEMPLATE-GAS AVAILABILITY'!O860+'RAP TEMPLATE-GAS AVAILABILITY'!P860+'RAP TEMPLATE-GAS AVAILABILITY'!Q860+'RAP TEMPLATE-GAS AVAILABILITY'!R860)</f>
        <v>26.257287769784178</v>
      </c>
    </row>
    <row r="862" spans="1:29" ht="15.75" x14ac:dyDescent="0.25">
      <c r="A862" s="13">
        <v>67511</v>
      </c>
      <c r="B862" s="10">
        <f>CHOOSE(CONTROL!$C$42, 25.8895, 25.8895) * CHOOSE(CONTROL!$C$21, $C$9, 100%, $E$9)</f>
        <v>25.889500000000002</v>
      </c>
      <c r="C862" s="10">
        <f>CHOOSE(CONTROL!$C$42, 25.8947, 25.8947) * CHOOSE(CONTROL!$C$21, $C$9, 100%, $E$9)</f>
        <v>25.8947</v>
      </c>
      <c r="D862" s="10">
        <f>CHOOSE(CONTROL!$C$42, 26.0782, 26.0782) * CHOOSE(CONTROL!$C$21, $C$9, 100%, $E$9)</f>
        <v>26.078199999999999</v>
      </c>
      <c r="E862" s="10">
        <f>CHOOSE(CONTROL!$C$42, 26.107, 26.107) * CHOOSE(CONTROL!$C$21, $C$9, 100%, $E$9)</f>
        <v>26.106999999999999</v>
      </c>
      <c r="F862" s="10">
        <f>CHOOSE(CONTROL!$C$42, 25.8778, 25.8778)*CHOOSE(CONTROL!$C$21, $C$9, 100%, $E$9)</f>
        <v>25.877800000000001</v>
      </c>
      <c r="G862" s="10">
        <f>CHOOSE(CONTROL!$C$42, 25.8957, 25.8957)*CHOOSE(CONTROL!$C$21, $C$9, 100%, $E$9)</f>
        <v>25.895700000000001</v>
      </c>
      <c r="H862" s="10">
        <f>CHOOSE(CONTROL!$C$42, 26.0975, 26.0975) * CHOOSE(CONTROL!$C$21, $C$9, 100%, $E$9)</f>
        <v>26.0975</v>
      </c>
      <c r="I862" s="10">
        <f>CHOOSE(CONTROL!$C$42, 25.8681, 25.8681)* CHOOSE(CONTROL!$C$21, $C$9, 100%, $E$9)</f>
        <v>25.868099999999998</v>
      </c>
      <c r="J862" s="10">
        <f>CHOOSE(CONTROL!$C$42, 25.8708, 25.8708)* CHOOSE(CONTROL!$C$21, $C$9, 100%, $E$9)</f>
        <v>25.870799999999999</v>
      </c>
      <c r="K862" s="54">
        <f>CHOOSE(CONTROL!$C$42, 25.8642, 25.8642) * CHOOSE(CONTROL!$C$21, $C$9, 100%, $E$9)</f>
        <v>25.8642</v>
      </c>
      <c r="L862" s="10">
        <f>CHOOSE(CONTROL!$C$42, 26.6845, 26.6845) * CHOOSE(CONTROL!$C$21, $C$9, 100%, $E$9)</f>
        <v>26.6845</v>
      </c>
      <c r="M862" s="10">
        <f>CHOOSE(CONTROL!$C$42, 25.6235, 25.6235) * CHOOSE(CONTROL!$C$21, $C$9, 100%, $E$9)</f>
        <v>25.6235</v>
      </c>
      <c r="N862" s="10">
        <f>CHOOSE(CONTROL!$C$42, 25.6412, 25.6412) * CHOOSE(CONTROL!$C$21, $C$9, 100%, $E$9)</f>
        <v>25.641200000000001</v>
      </c>
      <c r="O862" s="10">
        <f>CHOOSE(CONTROL!$C$42, 25.8479, 25.8479) * CHOOSE(CONTROL!$C$21, $C$9, 100%, $E$9)</f>
        <v>25.847899999999999</v>
      </c>
      <c r="P862" s="10">
        <f>CHOOSE(CONTROL!$C$42, 25.6209, 25.6209) * CHOOSE(CONTROL!$C$21, $C$9, 100%, $E$9)</f>
        <v>25.620899999999999</v>
      </c>
      <c r="Q862" s="10">
        <f>CHOOSE(CONTROL!$C$42, 26.4432, 26.4432) * CHOOSE(CONTROL!$C$21, $C$9, 100%, $E$9)</f>
        <v>26.443200000000001</v>
      </c>
      <c r="R862" s="10">
        <f>CHOOSE(CONTROL!$C$42, 27.0963, 27.0963) * CHOOSE(CONTROL!$C$21, $C$9, 100%, $E$9)</f>
        <v>27.096299999999999</v>
      </c>
      <c r="S862" s="10">
        <f>CHOOSE(CONTROL!$C$42, 25.1387, 25.1387) * CHOOSE(CONTROL!$C$21, $C$9, 100%, $E$9)</f>
        <v>25.1387</v>
      </c>
      <c r="T862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62" s="58">
        <f>(1000*CHOOSE(CONTROL!$C$42, 695, 695)*CHOOSE(CONTROL!$C$42, 0.5599, 0.5599)*CHOOSE(CONTROL!$C$42, 31, 31))/1000000</f>
        <v>12.063045499999998</v>
      </c>
      <c r="V862" s="58">
        <f>(1000*CHOOSE(CONTROL!$C$42, 500, 500)*CHOOSE(CONTROL!$C$42, 0.275, 0.275)*CHOOSE(CONTROL!$C$42, 31, 31))/1000000</f>
        <v>4.2625000000000002</v>
      </c>
      <c r="W862" s="58">
        <f>(1000*CHOOSE(CONTROL!$C$42, 0.1146, 0.1146)*CHOOSE(CONTROL!$C$42, 121.5, 121.5)*CHOOSE(CONTROL!$C$42, 31, 31))/1000000</f>
        <v>0.43164089999999994</v>
      </c>
      <c r="X862" s="58">
        <f>(31*0.1790888*245000/1000000)+(31*0.2374*100000/1000000)</f>
        <v>2.0961194359999999</v>
      </c>
      <c r="Y862" s="58"/>
      <c r="Z862" s="10"/>
      <c r="AA862" s="57"/>
      <c r="AB862" s="51">
        <f>(B862*131.881+C862*277.167+D862*79.08+E862*125.872+F862*40+G862*185+H862*0+I862*100+J862*300)/(131.881+277.167+79.08+125.872+0+40+185+100+300)</f>
        <v>25.919096307021789</v>
      </c>
      <c r="AC862" s="27">
        <f>(M862*'RAP TEMPLATE-GAS AVAILABILITY'!O861+N862*'RAP TEMPLATE-GAS AVAILABILITY'!P861+O862*'RAP TEMPLATE-GAS AVAILABILITY'!Q861+P862*'RAP TEMPLATE-GAS AVAILABILITY'!R861)/('RAP TEMPLATE-GAS AVAILABILITY'!O861+'RAP TEMPLATE-GAS AVAILABILITY'!P861+'RAP TEMPLATE-GAS AVAILABILITY'!Q861+'RAP TEMPLATE-GAS AVAILABILITY'!R861)</f>
        <v>25.725851079136689</v>
      </c>
    </row>
    <row r="863" spans="1:29" ht="15.75" x14ac:dyDescent="0.25">
      <c r="A863" s="13">
        <v>67541</v>
      </c>
      <c r="B863" s="10">
        <f>CHOOSE(CONTROL!$C$42, 26.571, 26.571) * CHOOSE(CONTROL!$C$21, $C$9, 100%, $E$9)</f>
        <v>26.571000000000002</v>
      </c>
      <c r="C863" s="10">
        <f>CHOOSE(CONTROL!$C$42, 26.576, 26.576) * CHOOSE(CONTROL!$C$21, $C$9, 100%, $E$9)</f>
        <v>26.576000000000001</v>
      </c>
      <c r="D863" s="10">
        <f>CHOOSE(CONTROL!$C$42, 26.6056, 26.6056) * CHOOSE(CONTROL!$C$21, $C$9, 100%, $E$9)</f>
        <v>26.605599999999999</v>
      </c>
      <c r="E863" s="10">
        <f>CHOOSE(CONTROL!$C$42, 26.6394, 26.6394) * CHOOSE(CONTROL!$C$21, $C$9, 100%, $E$9)</f>
        <v>26.639399999999998</v>
      </c>
      <c r="F863" s="10">
        <f>CHOOSE(CONTROL!$C$42, 26.5568, 26.5568)*CHOOSE(CONTROL!$C$21, $C$9, 100%, $E$9)</f>
        <v>26.556799999999999</v>
      </c>
      <c r="G863" s="10">
        <f>CHOOSE(CONTROL!$C$42, 26.5748, 26.5748)*CHOOSE(CONTROL!$C$21, $C$9, 100%, $E$9)</f>
        <v>26.5748</v>
      </c>
      <c r="H863" s="10">
        <f>CHOOSE(CONTROL!$C$42, 26.6286, 26.6286) * CHOOSE(CONTROL!$C$21, $C$9, 100%, $E$9)</f>
        <v>26.628599999999999</v>
      </c>
      <c r="I863" s="10">
        <f>CHOOSE(CONTROL!$C$42, 26.5372, 26.5372)* CHOOSE(CONTROL!$C$21, $C$9, 100%, $E$9)</f>
        <v>26.537199999999999</v>
      </c>
      <c r="J863" s="10">
        <f>CHOOSE(CONTROL!$C$42, 26.5498, 26.5498)* CHOOSE(CONTROL!$C$21, $C$9, 100%, $E$9)</f>
        <v>26.549800000000001</v>
      </c>
      <c r="K863" s="54">
        <f>CHOOSE(CONTROL!$C$42, 26.5333, 26.5333) * CHOOSE(CONTROL!$C$21, $C$9, 100%, $E$9)</f>
        <v>26.533300000000001</v>
      </c>
      <c r="L863" s="10">
        <f>CHOOSE(CONTROL!$C$42, 27.2156, 27.2156) * CHOOSE(CONTROL!$C$21, $C$9, 100%, $E$9)</f>
        <v>27.215599999999998</v>
      </c>
      <c r="M863" s="10">
        <f>CHOOSE(CONTROL!$C$42, 26.2957, 26.2957) * CHOOSE(CONTROL!$C$21, $C$9, 100%, $E$9)</f>
        <v>26.2957</v>
      </c>
      <c r="N863" s="10">
        <f>CHOOSE(CONTROL!$C$42, 26.3135, 26.3135) * CHOOSE(CONTROL!$C$21, $C$9, 100%, $E$9)</f>
        <v>26.313500000000001</v>
      </c>
      <c r="O863" s="10">
        <f>CHOOSE(CONTROL!$C$42, 26.3737, 26.3737) * CHOOSE(CONTROL!$C$21, $C$9, 100%, $E$9)</f>
        <v>26.373699999999999</v>
      </c>
      <c r="P863" s="10">
        <f>CHOOSE(CONTROL!$C$42, 26.2833, 26.2833) * CHOOSE(CONTROL!$C$21, $C$9, 100%, $E$9)</f>
        <v>26.283300000000001</v>
      </c>
      <c r="Q863" s="10">
        <f>CHOOSE(CONTROL!$C$42, 26.969, 26.969) * CHOOSE(CONTROL!$C$21, $C$9, 100%, $E$9)</f>
        <v>26.969000000000001</v>
      </c>
      <c r="R863" s="10">
        <f>CHOOSE(CONTROL!$C$42, 27.6234, 27.6234) * CHOOSE(CONTROL!$C$21, $C$9, 100%, $E$9)</f>
        <v>27.6234</v>
      </c>
      <c r="S863" s="10">
        <f>CHOOSE(CONTROL!$C$42, 25.801, 25.801) * CHOOSE(CONTROL!$C$21, $C$9, 100%, $E$9)</f>
        <v>25.800999999999998</v>
      </c>
      <c r="T863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63" s="58">
        <f>(1000*CHOOSE(CONTROL!$C$42, 695, 695)*CHOOSE(CONTROL!$C$42, 0.5599, 0.5599)*CHOOSE(CONTROL!$C$42, 30, 30))/1000000</f>
        <v>11.673914999999997</v>
      </c>
      <c r="V863" s="58">
        <f>(1000*CHOOSE(CONTROL!$C$42, 500, 500)*CHOOSE(CONTROL!$C$42, 0.275, 0.275)*CHOOSE(CONTROL!$C$42, 30, 30))/1000000</f>
        <v>4.125</v>
      </c>
      <c r="W863" s="58">
        <f>(1000*CHOOSE(CONTROL!$C$42, 0.1146, 0.1146)*CHOOSE(CONTROL!$C$42, 121.5, 121.5)*CHOOSE(CONTROL!$C$42, 30, 30))/1000000</f>
        <v>0.417717</v>
      </c>
      <c r="X863" s="58">
        <f>(30*0.1790888*100000/1000000)+(30*0.2374*100000/1000000)</f>
        <v>1.2494664</v>
      </c>
      <c r="Y863" s="58"/>
      <c r="Z863" s="10"/>
      <c r="AA863" s="57"/>
      <c r="AB863" s="51">
        <f>(B863*122.58+C863*297.941+D863*89.177+E863*40.302+F863*40+G863*160+H863*0+I863*100+J863*300)/(122.58+297.941+89.177+40.302+0+40+160+100+300)</f>
        <v>26.568940770434786</v>
      </c>
      <c r="AC863" s="27">
        <f>(M863*'RAP TEMPLATE-GAS AVAILABILITY'!O862+N863*'RAP TEMPLATE-GAS AVAILABILITY'!P862+O863*'RAP TEMPLATE-GAS AVAILABILITY'!Q862+P863*'RAP TEMPLATE-GAS AVAILABILITY'!R862)/('RAP TEMPLATE-GAS AVAILABILITY'!O862+'RAP TEMPLATE-GAS AVAILABILITY'!P862+'RAP TEMPLATE-GAS AVAILABILITY'!Q862+'RAP TEMPLATE-GAS AVAILABILITY'!R862)</f>
        <v>26.330292805755398</v>
      </c>
    </row>
    <row r="864" spans="1:29" ht="15.75" x14ac:dyDescent="0.25">
      <c r="A864" s="13">
        <v>67572</v>
      </c>
      <c r="B864" s="10">
        <f>CHOOSE(CONTROL!$C$42, 28.3824, 28.3824) * CHOOSE(CONTROL!$C$21, $C$9, 100%, $E$9)</f>
        <v>28.382400000000001</v>
      </c>
      <c r="C864" s="10">
        <f>CHOOSE(CONTROL!$C$42, 28.3874, 28.3874) * CHOOSE(CONTROL!$C$21, $C$9, 100%, $E$9)</f>
        <v>28.3874</v>
      </c>
      <c r="D864" s="10">
        <f>CHOOSE(CONTROL!$C$42, 28.417, 28.417) * CHOOSE(CONTROL!$C$21, $C$9, 100%, $E$9)</f>
        <v>28.417000000000002</v>
      </c>
      <c r="E864" s="10">
        <f>CHOOSE(CONTROL!$C$42, 28.4508, 28.4508) * CHOOSE(CONTROL!$C$21, $C$9, 100%, $E$9)</f>
        <v>28.450800000000001</v>
      </c>
      <c r="F864" s="10">
        <f>CHOOSE(CONTROL!$C$42, 28.3697, 28.3697)*CHOOSE(CONTROL!$C$21, $C$9, 100%, $E$9)</f>
        <v>28.369700000000002</v>
      </c>
      <c r="G864" s="10">
        <f>CHOOSE(CONTROL!$C$42, 28.3882, 28.3882)*CHOOSE(CONTROL!$C$21, $C$9, 100%, $E$9)</f>
        <v>28.388200000000001</v>
      </c>
      <c r="H864" s="10">
        <f>CHOOSE(CONTROL!$C$42, 28.44, 28.44) * CHOOSE(CONTROL!$C$21, $C$9, 100%, $E$9)</f>
        <v>28.44</v>
      </c>
      <c r="I864" s="10">
        <f>CHOOSE(CONTROL!$C$42, 28.3486, 28.3486)* CHOOSE(CONTROL!$C$21, $C$9, 100%, $E$9)</f>
        <v>28.348600000000001</v>
      </c>
      <c r="J864" s="10">
        <f>CHOOSE(CONTROL!$C$42, 28.3627, 28.3627)* CHOOSE(CONTROL!$C$21, $C$9, 100%, $E$9)</f>
        <v>28.3627</v>
      </c>
      <c r="K864" s="54">
        <f>CHOOSE(CONTROL!$C$42, 28.3447, 28.3447) * CHOOSE(CONTROL!$C$21, $C$9, 100%, $E$9)</f>
        <v>28.3447</v>
      </c>
      <c r="L864" s="10">
        <f>CHOOSE(CONTROL!$C$42, 29.027, 29.027) * CHOOSE(CONTROL!$C$21, $C$9, 100%, $E$9)</f>
        <v>29.027000000000001</v>
      </c>
      <c r="M864" s="10">
        <f>CHOOSE(CONTROL!$C$42, 28.0903, 28.0903) * CHOOSE(CONTROL!$C$21, $C$9, 100%, $E$9)</f>
        <v>28.090299999999999</v>
      </c>
      <c r="N864" s="10">
        <f>CHOOSE(CONTROL!$C$42, 28.1086, 28.1086) * CHOOSE(CONTROL!$C$21, $C$9, 100%, $E$9)</f>
        <v>28.108599999999999</v>
      </c>
      <c r="O864" s="10">
        <f>CHOOSE(CONTROL!$C$42, 28.1668, 28.1668) * CHOOSE(CONTROL!$C$21, $C$9, 100%, $E$9)</f>
        <v>28.166799999999999</v>
      </c>
      <c r="P864" s="10">
        <f>CHOOSE(CONTROL!$C$42, 28.0764, 28.0764) * CHOOSE(CONTROL!$C$21, $C$9, 100%, $E$9)</f>
        <v>28.0764</v>
      </c>
      <c r="Q864" s="10">
        <f>CHOOSE(CONTROL!$C$42, 28.7621, 28.7621) * CHOOSE(CONTROL!$C$21, $C$9, 100%, $E$9)</f>
        <v>28.7621</v>
      </c>
      <c r="R864" s="10">
        <f>CHOOSE(CONTROL!$C$42, 29.421, 29.421) * CHOOSE(CONTROL!$C$21, $C$9, 100%, $E$9)</f>
        <v>29.420999999999999</v>
      </c>
      <c r="S864" s="10">
        <f>CHOOSE(CONTROL!$C$42, 27.56, 27.56) * CHOOSE(CONTROL!$C$21, $C$9, 100%, $E$9)</f>
        <v>27.56</v>
      </c>
      <c r="T864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64" s="58">
        <f>(1000*CHOOSE(CONTROL!$C$42, 695, 695)*CHOOSE(CONTROL!$C$42, 0.5599, 0.5599)*CHOOSE(CONTROL!$C$42, 31, 31))/1000000</f>
        <v>12.063045499999998</v>
      </c>
      <c r="V864" s="58">
        <f>(1000*CHOOSE(CONTROL!$C$42, 500, 500)*CHOOSE(CONTROL!$C$42, 0.275, 0.275)*CHOOSE(CONTROL!$C$42, 31, 31))/1000000</f>
        <v>4.2625000000000002</v>
      </c>
      <c r="W864" s="58">
        <f>(1000*CHOOSE(CONTROL!$C$42, 0.1146, 0.1146)*CHOOSE(CONTROL!$C$42, 121.5, 121.5)*CHOOSE(CONTROL!$C$42, 31, 31))/1000000</f>
        <v>0.43164089999999994</v>
      </c>
      <c r="X864" s="58">
        <f>(31*0.1790888*100000/1000000)+(31*0.2374*100000/1000000)</f>
        <v>1.2911152800000001</v>
      </c>
      <c r="Y864" s="58"/>
      <c r="Z864" s="10"/>
      <c r="AA864" s="57"/>
      <c r="AB864" s="51">
        <f>(B864*122.58+C864*297.941+D864*89.177+E864*40.302+F864*40+G864*160+H864*0+I864*100+J864*300)/(122.58+297.941+89.177+40.302+0+40+160+100+300)</f>
        <v>28.381062509565218</v>
      </c>
      <c r="AC864" s="27">
        <f>(M864*'RAP TEMPLATE-GAS AVAILABILITY'!O863+N864*'RAP TEMPLATE-GAS AVAILABILITY'!P863+O864*'RAP TEMPLATE-GAS AVAILABILITY'!Q863+P864*'RAP TEMPLATE-GAS AVAILABILITY'!R863)/('RAP TEMPLATE-GAS AVAILABILITY'!O863+'RAP TEMPLATE-GAS AVAILABILITY'!P863+'RAP TEMPLATE-GAS AVAILABILITY'!Q863+'RAP TEMPLATE-GAS AVAILABILITY'!R863)</f>
        <v>28.124025899280571</v>
      </c>
    </row>
    <row r="865" spans="1:29" ht="15.75" x14ac:dyDescent="0.25">
      <c r="A865" s="13">
        <v>67603</v>
      </c>
      <c r="B865" s="10">
        <f>CHOOSE(CONTROL!$C$42, 30.2979, 30.2979) * CHOOSE(CONTROL!$C$21, $C$9, 100%, $E$9)</f>
        <v>30.297899999999998</v>
      </c>
      <c r="C865" s="10">
        <f>CHOOSE(CONTROL!$C$42, 30.3028, 30.3028) * CHOOSE(CONTROL!$C$21, $C$9, 100%, $E$9)</f>
        <v>30.302800000000001</v>
      </c>
      <c r="D865" s="10">
        <f>CHOOSE(CONTROL!$C$42, 30.353, 30.353) * CHOOSE(CONTROL!$C$21, $C$9, 100%, $E$9)</f>
        <v>30.353000000000002</v>
      </c>
      <c r="E865" s="10">
        <f>CHOOSE(CONTROL!$C$42, 30.3868, 30.3868) * CHOOSE(CONTROL!$C$21, $C$9, 100%, $E$9)</f>
        <v>30.386800000000001</v>
      </c>
      <c r="F865" s="10">
        <f>CHOOSE(CONTROL!$C$42, 30.2632, 30.2632)*CHOOSE(CONTROL!$C$21, $C$9, 100%, $E$9)</f>
        <v>30.263200000000001</v>
      </c>
      <c r="G865" s="10">
        <f>CHOOSE(CONTROL!$C$42, 30.2808, 30.2808)*CHOOSE(CONTROL!$C$21, $C$9, 100%, $E$9)</f>
        <v>30.280799999999999</v>
      </c>
      <c r="H865" s="10">
        <f>CHOOSE(CONTROL!$C$42, 30.376, 30.376) * CHOOSE(CONTROL!$C$21, $C$9, 100%, $E$9)</f>
        <v>30.376000000000001</v>
      </c>
      <c r="I865" s="10">
        <f>CHOOSE(CONTROL!$C$42, 30.2718, 30.2718)* CHOOSE(CONTROL!$C$21, $C$9, 100%, $E$9)</f>
        <v>30.271799999999999</v>
      </c>
      <c r="J865" s="10">
        <f>CHOOSE(CONTROL!$C$42, 30.2562, 30.2562)* CHOOSE(CONTROL!$C$21, $C$9, 100%, $E$9)</f>
        <v>30.2562</v>
      </c>
      <c r="K865" s="54">
        <f>CHOOSE(CONTROL!$C$42, 30.2679, 30.2679) * CHOOSE(CONTROL!$C$21, $C$9, 100%, $E$9)</f>
        <v>30.267900000000001</v>
      </c>
      <c r="L865" s="10">
        <f>CHOOSE(CONTROL!$C$42, 30.963, 30.963) * CHOOSE(CONTROL!$C$21, $C$9, 100%, $E$9)</f>
        <v>30.963000000000001</v>
      </c>
      <c r="M865" s="10">
        <f>CHOOSE(CONTROL!$C$42, 29.9647, 29.9647) * CHOOSE(CONTROL!$C$21, $C$9, 100%, $E$9)</f>
        <v>29.964700000000001</v>
      </c>
      <c r="N865" s="10">
        <f>CHOOSE(CONTROL!$C$42, 29.9821, 29.9821) * CHOOSE(CONTROL!$C$21, $C$9, 100%, $E$9)</f>
        <v>29.982099999999999</v>
      </c>
      <c r="O865" s="10">
        <f>CHOOSE(CONTROL!$C$42, 30.0833, 30.0833) * CHOOSE(CONTROL!$C$21, $C$9, 100%, $E$9)</f>
        <v>30.083300000000001</v>
      </c>
      <c r="P865" s="10">
        <f>CHOOSE(CONTROL!$C$42, 29.9801, 29.9801) * CHOOSE(CONTROL!$C$21, $C$9, 100%, $E$9)</f>
        <v>29.9801</v>
      </c>
      <c r="Q865" s="10">
        <f>CHOOSE(CONTROL!$C$42, 30.6786, 30.6786) * CHOOSE(CONTROL!$C$21, $C$9, 100%, $E$9)</f>
        <v>30.678599999999999</v>
      </c>
      <c r="R865" s="10">
        <f>CHOOSE(CONTROL!$C$42, 31.3423, 31.3423) * CHOOSE(CONTROL!$C$21, $C$9, 100%, $E$9)</f>
        <v>31.342300000000002</v>
      </c>
      <c r="S865" s="10">
        <f>CHOOSE(CONTROL!$C$42, 29.4201, 29.4201) * CHOOSE(CONTROL!$C$21, $C$9, 100%, $E$9)</f>
        <v>29.420100000000001</v>
      </c>
      <c r="T865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65" s="58">
        <f>(1000*CHOOSE(CONTROL!$C$42, 695, 695)*CHOOSE(CONTROL!$C$42, 0.5599, 0.5599)*CHOOSE(CONTROL!$C$42, 31, 31))/1000000</f>
        <v>12.063045499999998</v>
      </c>
      <c r="V865" s="58">
        <f>(1000*CHOOSE(CONTROL!$C$42, 500, 500)*CHOOSE(CONTROL!$C$42, 0.275, 0.275)*CHOOSE(CONTROL!$C$42, 31, 31))/1000000</f>
        <v>4.2625000000000002</v>
      </c>
      <c r="W865" s="58">
        <f>(1000*CHOOSE(CONTROL!$C$42, 0.1146, 0.1146)*CHOOSE(CONTROL!$C$42, 121.5, 121.5)*CHOOSE(CONTROL!$C$42, 31, 31))/1000000</f>
        <v>0.43164089999999994</v>
      </c>
      <c r="X865" s="58">
        <f>(31*0.1790888*100000/1000000)+(31*0.2374*100000/1000000)</f>
        <v>1.2911152800000001</v>
      </c>
      <c r="Y865" s="58"/>
      <c r="Z865" s="10"/>
      <c r="AA865" s="57"/>
      <c r="AB865" s="51">
        <f>(B865*122.58+C865*297.941+D865*89.177+E865*40.302+F865*40+G865*160+H865*0+I865*100+J865*300)/(122.58+297.941+89.177+40.302+0+40+160+100+300)</f>
        <v>30.289823835999997</v>
      </c>
      <c r="AC865" s="27">
        <f>(M865*'RAP TEMPLATE-GAS AVAILABILITY'!O864+N865*'RAP TEMPLATE-GAS AVAILABILITY'!P864+O865*'RAP TEMPLATE-GAS AVAILABILITY'!Q864+P865*'RAP TEMPLATE-GAS AVAILABILITY'!R864)/('RAP TEMPLATE-GAS AVAILABILITY'!O864+'RAP TEMPLATE-GAS AVAILABILITY'!P864+'RAP TEMPLATE-GAS AVAILABILITY'!Q864+'RAP TEMPLATE-GAS AVAILABILITY'!R864)</f>
        <v>30.021671223021588</v>
      </c>
    </row>
    <row r="866" spans="1:29" ht="15.75" x14ac:dyDescent="0.25">
      <c r="A866" s="13">
        <v>67631</v>
      </c>
      <c r="B866" s="10">
        <f>CHOOSE(CONTROL!$C$42, 30.8372, 30.8372) * CHOOSE(CONTROL!$C$21, $C$9, 100%, $E$9)</f>
        <v>30.837199999999999</v>
      </c>
      <c r="C866" s="10">
        <f>CHOOSE(CONTROL!$C$42, 30.8421, 30.8421) * CHOOSE(CONTROL!$C$21, $C$9, 100%, $E$9)</f>
        <v>30.842099999999999</v>
      </c>
      <c r="D866" s="10">
        <f>CHOOSE(CONTROL!$C$42, 30.9593, 30.9593) * CHOOSE(CONTROL!$C$21, $C$9, 100%, $E$9)</f>
        <v>30.959299999999999</v>
      </c>
      <c r="E866" s="10">
        <f>CHOOSE(CONTROL!$C$42, 30.993, 30.993) * CHOOSE(CONTROL!$C$21, $C$9, 100%, $E$9)</f>
        <v>30.992999999999999</v>
      </c>
      <c r="F866" s="10">
        <f>CHOOSE(CONTROL!$C$42, 30.9148, 30.9148)*CHOOSE(CONTROL!$C$21, $C$9, 100%, $E$9)</f>
        <v>30.9148</v>
      </c>
      <c r="G866" s="10">
        <f>CHOOSE(CONTROL!$C$42, 30.9367, 30.9367)*CHOOSE(CONTROL!$C$21, $C$9, 100%, $E$9)</f>
        <v>30.936699999999998</v>
      </c>
      <c r="H866" s="10">
        <f>CHOOSE(CONTROL!$C$42, 30.9822, 30.9822) * CHOOSE(CONTROL!$C$21, $C$9, 100%, $E$9)</f>
        <v>30.982199999999999</v>
      </c>
      <c r="I866" s="10">
        <f>CHOOSE(CONTROL!$C$42, 30.8728, 30.8728)* CHOOSE(CONTROL!$C$21, $C$9, 100%, $E$9)</f>
        <v>30.872800000000002</v>
      </c>
      <c r="J866" s="10">
        <f>CHOOSE(CONTROL!$C$42, 30.9078, 30.9078)* CHOOSE(CONTROL!$C$21, $C$9, 100%, $E$9)</f>
        <v>30.907800000000002</v>
      </c>
      <c r="K866" s="54">
        <f>CHOOSE(CONTROL!$C$42, 30.869, 30.869) * CHOOSE(CONTROL!$C$21, $C$9, 100%, $E$9)</f>
        <v>30.869</v>
      </c>
      <c r="L866" s="10">
        <f>CHOOSE(CONTROL!$C$42, 31.5692, 31.5692) * CHOOSE(CONTROL!$C$21, $C$9, 100%, $E$9)</f>
        <v>31.569199999999999</v>
      </c>
      <c r="M866" s="10">
        <f>CHOOSE(CONTROL!$C$42, 30.6097, 30.6097) * CHOOSE(CONTROL!$C$21, $C$9, 100%, $E$9)</f>
        <v>30.6097</v>
      </c>
      <c r="N866" s="10">
        <f>CHOOSE(CONTROL!$C$42, 30.6314, 30.6314) * CHOOSE(CONTROL!$C$21, $C$9, 100%, $E$9)</f>
        <v>30.631399999999999</v>
      </c>
      <c r="O866" s="10">
        <f>CHOOSE(CONTROL!$C$42, 30.6834, 30.6834) * CHOOSE(CONTROL!$C$21, $C$9, 100%, $E$9)</f>
        <v>30.683399999999999</v>
      </c>
      <c r="P866" s="10">
        <f>CHOOSE(CONTROL!$C$42, 30.5751, 30.5751) * CHOOSE(CONTROL!$C$21, $C$9, 100%, $E$9)</f>
        <v>30.575099999999999</v>
      </c>
      <c r="Q866" s="10">
        <f>CHOOSE(CONTROL!$C$42, 31.2787, 31.2787) * CHOOSE(CONTROL!$C$21, $C$9, 100%, $E$9)</f>
        <v>31.278700000000001</v>
      </c>
      <c r="R866" s="10">
        <f>CHOOSE(CONTROL!$C$42, 31.9439, 31.9439) * CHOOSE(CONTROL!$C$21, $C$9, 100%, $E$9)</f>
        <v>31.943899999999999</v>
      </c>
      <c r="S866" s="10">
        <f>CHOOSE(CONTROL!$C$42, 29.9438, 29.9438) * CHOOSE(CONTROL!$C$21, $C$9, 100%, $E$9)</f>
        <v>29.9438</v>
      </c>
      <c r="T866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866" s="58">
        <f>(1000*CHOOSE(CONTROL!$C$42, 695, 695)*CHOOSE(CONTROL!$C$42, 0.5599, 0.5599)*CHOOSE(CONTROL!$C$42, 28, 28))/1000000</f>
        <v>10.895653999999999</v>
      </c>
      <c r="V866" s="58">
        <f>(1000*CHOOSE(CONTROL!$C$42, 500, 500)*CHOOSE(CONTROL!$C$42, 0.275, 0.275)*CHOOSE(CONTROL!$C$42, 28, 28))/1000000</f>
        <v>3.85</v>
      </c>
      <c r="W866" s="58">
        <f>(1000*CHOOSE(CONTROL!$C$42, 0.1146, 0.1146)*CHOOSE(CONTROL!$C$42, 121.5, 121.5)*CHOOSE(CONTROL!$C$42, 28, 28))/1000000</f>
        <v>0.38986920000000003</v>
      </c>
      <c r="X866" s="58">
        <f>(28*0.1790888*100000/1000000)+(28*0.2374*100000/1000000)</f>
        <v>1.16616864</v>
      </c>
      <c r="Y866" s="58"/>
      <c r="Z866" s="10"/>
      <c r="AA866" s="57"/>
      <c r="AB866" s="51">
        <f>(B866*122.58+C866*297.941+D866*89.177+E866*40.302+F866*40+G866*160+H866*0+I866*100+J866*300)/(122.58+297.941+89.177+40.302+0+40+160+100+300)</f>
        <v>30.891453455826085</v>
      </c>
      <c r="AC866" s="27">
        <f>(M866*'RAP TEMPLATE-GAS AVAILABILITY'!O865+N866*'RAP TEMPLATE-GAS AVAILABILITY'!P865+O866*'RAP TEMPLATE-GAS AVAILABILITY'!Q865+P866*'RAP TEMPLATE-GAS AVAILABILITY'!R865)/('RAP TEMPLATE-GAS AVAILABILITY'!O865+'RAP TEMPLATE-GAS AVAILABILITY'!P865+'RAP TEMPLATE-GAS AVAILABILITY'!Q865+'RAP TEMPLATE-GAS AVAILABILITY'!R865)</f>
        <v>30.639374100719422</v>
      </c>
    </row>
    <row r="867" spans="1:29" ht="15.75" x14ac:dyDescent="0.25">
      <c r="A867" s="13">
        <v>67662</v>
      </c>
      <c r="B867" s="10">
        <f>CHOOSE(CONTROL!$C$42, 29.9618, 29.9618) * CHOOSE(CONTROL!$C$21, $C$9, 100%, $E$9)</f>
        <v>29.9618</v>
      </c>
      <c r="C867" s="10">
        <f>CHOOSE(CONTROL!$C$42, 29.9667, 29.9667) * CHOOSE(CONTROL!$C$21, $C$9, 100%, $E$9)</f>
        <v>29.966699999999999</v>
      </c>
      <c r="D867" s="10">
        <f>CHOOSE(CONTROL!$C$42, 30.0581, 30.0581) * CHOOSE(CONTROL!$C$21, $C$9, 100%, $E$9)</f>
        <v>30.0581</v>
      </c>
      <c r="E867" s="10">
        <f>CHOOSE(CONTROL!$C$42, 30.0919, 30.0919) * CHOOSE(CONTROL!$C$21, $C$9, 100%, $E$9)</f>
        <v>30.091899999999999</v>
      </c>
      <c r="F867" s="10">
        <f>CHOOSE(CONTROL!$C$42, 29.9916, 29.9916)*CHOOSE(CONTROL!$C$21, $C$9, 100%, $E$9)</f>
        <v>29.991599999999998</v>
      </c>
      <c r="G867" s="10">
        <f>CHOOSE(CONTROL!$C$42, 30.0111, 30.0111)*CHOOSE(CONTROL!$C$21, $C$9, 100%, $E$9)</f>
        <v>30.011099999999999</v>
      </c>
      <c r="H867" s="10">
        <f>CHOOSE(CONTROL!$C$42, 30.0811, 30.0811) * CHOOSE(CONTROL!$C$21, $C$9, 100%, $E$9)</f>
        <v>30.081099999999999</v>
      </c>
      <c r="I867" s="10">
        <f>CHOOSE(CONTROL!$C$42, 29.9846, 29.9846)* CHOOSE(CONTROL!$C$21, $C$9, 100%, $E$9)</f>
        <v>29.9846</v>
      </c>
      <c r="J867" s="10">
        <f>CHOOSE(CONTROL!$C$42, 29.9846, 29.9846)* CHOOSE(CONTROL!$C$21, $C$9, 100%, $E$9)</f>
        <v>29.9846</v>
      </c>
      <c r="K867" s="54">
        <f>CHOOSE(CONTROL!$C$42, 29.9807, 29.9807) * CHOOSE(CONTROL!$C$21, $C$9, 100%, $E$9)</f>
        <v>29.980699999999999</v>
      </c>
      <c r="L867" s="10">
        <f>CHOOSE(CONTROL!$C$42, 30.6681, 30.6681) * CHOOSE(CONTROL!$C$21, $C$9, 100%, $E$9)</f>
        <v>30.668099999999999</v>
      </c>
      <c r="M867" s="10">
        <f>CHOOSE(CONTROL!$C$42, 29.6958, 29.6958) * CHOOSE(CONTROL!$C$21, $C$9, 100%, $E$9)</f>
        <v>29.695799999999998</v>
      </c>
      <c r="N867" s="10">
        <f>CHOOSE(CONTROL!$C$42, 29.7151, 29.7151) * CHOOSE(CONTROL!$C$21, $C$9, 100%, $E$9)</f>
        <v>29.7151</v>
      </c>
      <c r="O867" s="10">
        <f>CHOOSE(CONTROL!$C$42, 29.7913, 29.7913) * CHOOSE(CONTROL!$C$21, $C$9, 100%, $E$9)</f>
        <v>29.7913</v>
      </c>
      <c r="P867" s="10">
        <f>CHOOSE(CONTROL!$C$42, 29.6958, 29.6958) * CHOOSE(CONTROL!$C$21, $C$9, 100%, $E$9)</f>
        <v>29.695799999999998</v>
      </c>
      <c r="Q867" s="10">
        <f>CHOOSE(CONTROL!$C$42, 30.3866, 30.3866) * CHOOSE(CONTROL!$C$21, $C$9, 100%, $E$9)</f>
        <v>30.386600000000001</v>
      </c>
      <c r="R867" s="10">
        <f>CHOOSE(CONTROL!$C$42, 31.0496, 31.0496) * CHOOSE(CONTROL!$C$21, $C$9, 100%, $E$9)</f>
        <v>31.049600000000002</v>
      </c>
      <c r="S867" s="10">
        <f>CHOOSE(CONTROL!$C$42, 29.0937, 29.0937) * CHOOSE(CONTROL!$C$21, $C$9, 100%, $E$9)</f>
        <v>29.093699999999998</v>
      </c>
      <c r="T867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67" s="58">
        <f>(1000*CHOOSE(CONTROL!$C$42, 695, 695)*CHOOSE(CONTROL!$C$42, 0.5599, 0.5599)*CHOOSE(CONTROL!$C$42, 31, 31))/1000000</f>
        <v>12.063045499999998</v>
      </c>
      <c r="V867" s="58">
        <f>(1000*CHOOSE(CONTROL!$C$42, 500, 500)*CHOOSE(CONTROL!$C$42, 0.275, 0.275)*CHOOSE(CONTROL!$C$42, 31, 31))/1000000</f>
        <v>4.2625000000000002</v>
      </c>
      <c r="W867" s="58">
        <f>(1000*CHOOSE(CONTROL!$C$42, 0.1146, 0.1146)*CHOOSE(CONTROL!$C$42, 121.5, 121.5)*CHOOSE(CONTROL!$C$42, 31, 31))/1000000</f>
        <v>0.43164089999999994</v>
      </c>
      <c r="X867" s="58">
        <f>(31*0.1790888*100000/1000000)+(31*0.2374*100000/1000000)</f>
        <v>1.2911152800000001</v>
      </c>
      <c r="Y867" s="58"/>
      <c r="Z867" s="10"/>
      <c r="AA867" s="57"/>
      <c r="AB867" s="51">
        <f>(B867*122.58+C867*297.941+D867*89.177+E867*40.302+F867*40+G867*160+H867*0+I867*100+J867*300)/(122.58+297.941+89.177+40.302+0+40+160+100+300)</f>
        <v>29.990922561913042</v>
      </c>
      <c r="AC867" s="27">
        <f>(M867*'RAP TEMPLATE-GAS AVAILABILITY'!O866+N867*'RAP TEMPLATE-GAS AVAILABILITY'!P866+O867*'RAP TEMPLATE-GAS AVAILABILITY'!Q866+P867*'RAP TEMPLATE-GAS AVAILABILITY'!R866)/('RAP TEMPLATE-GAS AVAILABILITY'!O866+'RAP TEMPLATE-GAS AVAILABILITY'!P866+'RAP TEMPLATE-GAS AVAILABILITY'!Q866+'RAP TEMPLATE-GAS AVAILABILITY'!R866)</f>
        <v>29.740194964028777</v>
      </c>
    </row>
    <row r="868" spans="1:29" ht="15.75" x14ac:dyDescent="0.25">
      <c r="A868" s="13">
        <v>67692</v>
      </c>
      <c r="B868" s="10">
        <f>CHOOSE(CONTROL!$C$42, 29.8728, 29.8728) * CHOOSE(CONTROL!$C$21, $C$9, 100%, $E$9)</f>
        <v>29.872800000000002</v>
      </c>
      <c r="C868" s="10">
        <f>CHOOSE(CONTROL!$C$42, 29.8772, 29.8772) * CHOOSE(CONTROL!$C$21, $C$9, 100%, $E$9)</f>
        <v>29.877199999999998</v>
      </c>
      <c r="D868" s="10">
        <f>CHOOSE(CONTROL!$C$42, 30.0589, 30.0589) * CHOOSE(CONTROL!$C$21, $C$9, 100%, $E$9)</f>
        <v>30.058900000000001</v>
      </c>
      <c r="E868" s="10">
        <f>CHOOSE(CONTROL!$C$42, 30.0907, 30.0907) * CHOOSE(CONTROL!$C$21, $C$9, 100%, $E$9)</f>
        <v>30.090699999999998</v>
      </c>
      <c r="F868" s="10">
        <f>CHOOSE(CONTROL!$C$42, 29.8612, 29.8612)*CHOOSE(CONTROL!$C$21, $C$9, 100%, $E$9)</f>
        <v>29.8612</v>
      </c>
      <c r="G868" s="10">
        <f>CHOOSE(CONTROL!$C$42, 29.8791, 29.8791)*CHOOSE(CONTROL!$C$21, $C$9, 100%, $E$9)</f>
        <v>29.879100000000001</v>
      </c>
      <c r="H868" s="10">
        <f>CHOOSE(CONTROL!$C$42, 30.0804, 30.0804) * CHOOSE(CONTROL!$C$21, $C$9, 100%, $E$9)</f>
        <v>30.080400000000001</v>
      </c>
      <c r="I868" s="10">
        <f>CHOOSE(CONTROL!$C$42, 29.8511, 29.8511)* CHOOSE(CONTROL!$C$21, $C$9, 100%, $E$9)</f>
        <v>29.851099999999999</v>
      </c>
      <c r="J868" s="10">
        <f>CHOOSE(CONTROL!$C$42, 29.8542, 29.8542)* CHOOSE(CONTROL!$C$21, $C$9, 100%, $E$9)</f>
        <v>29.854199999999999</v>
      </c>
      <c r="K868" s="54">
        <f>CHOOSE(CONTROL!$C$42, 29.8472, 29.8472) * CHOOSE(CONTROL!$C$21, $C$9, 100%, $E$9)</f>
        <v>29.847200000000001</v>
      </c>
      <c r="L868" s="10">
        <f>CHOOSE(CONTROL!$C$42, 30.6674, 30.6674) * CHOOSE(CONTROL!$C$21, $C$9, 100%, $E$9)</f>
        <v>30.667400000000001</v>
      </c>
      <c r="M868" s="10">
        <f>CHOOSE(CONTROL!$C$42, 29.5667, 29.5667) * CHOOSE(CONTROL!$C$21, $C$9, 100%, $E$9)</f>
        <v>29.566700000000001</v>
      </c>
      <c r="N868" s="10">
        <f>CHOOSE(CONTROL!$C$42, 29.5845, 29.5845) * CHOOSE(CONTROL!$C$21, $C$9, 100%, $E$9)</f>
        <v>29.584499999999998</v>
      </c>
      <c r="O868" s="10">
        <f>CHOOSE(CONTROL!$C$42, 29.7907, 29.7907) * CHOOSE(CONTROL!$C$21, $C$9, 100%, $E$9)</f>
        <v>29.790700000000001</v>
      </c>
      <c r="P868" s="10">
        <f>CHOOSE(CONTROL!$C$42, 29.5637, 29.5637) * CHOOSE(CONTROL!$C$21, $C$9, 100%, $E$9)</f>
        <v>29.563700000000001</v>
      </c>
      <c r="Q868" s="10">
        <f>CHOOSE(CONTROL!$C$42, 30.386, 30.386) * CHOOSE(CONTROL!$C$21, $C$9, 100%, $E$9)</f>
        <v>30.385999999999999</v>
      </c>
      <c r="R868" s="10">
        <f>CHOOSE(CONTROL!$C$42, 31.049, 31.049) * CHOOSE(CONTROL!$C$21, $C$9, 100%, $E$9)</f>
        <v>31.048999999999999</v>
      </c>
      <c r="S868" s="10">
        <f>CHOOSE(CONTROL!$C$42, 29.0066, 29.0066) * CHOOSE(CONTROL!$C$21, $C$9, 100%, $E$9)</f>
        <v>29.006599999999999</v>
      </c>
      <c r="T868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68" s="58">
        <f>(1000*CHOOSE(CONTROL!$C$42, 695, 695)*CHOOSE(CONTROL!$C$42, 0.5599, 0.5599)*CHOOSE(CONTROL!$C$42, 30, 30))/1000000</f>
        <v>11.673914999999997</v>
      </c>
      <c r="V868" s="58">
        <f>(1000*CHOOSE(CONTROL!$C$42, 500, 500)*CHOOSE(CONTROL!$C$42, 0.275, 0.275)*CHOOSE(CONTROL!$C$42, 30, 30))/1000000</f>
        <v>4.125</v>
      </c>
      <c r="W868" s="58">
        <f>(1000*CHOOSE(CONTROL!$C$42, 0.1146, 0.1146)*CHOOSE(CONTROL!$C$42, 121.5, 121.5)*CHOOSE(CONTROL!$C$42, 30, 30))/1000000</f>
        <v>0.417717</v>
      </c>
      <c r="X868" s="58">
        <f>(30*0.1790888*245000/1000000)+(30*0.2374*100000/1000000)</f>
        <v>2.0285026799999999</v>
      </c>
      <c r="Y868" s="58"/>
      <c r="Z868" s="10"/>
      <c r="AA868" s="57"/>
      <c r="AB868" s="51">
        <f>(B868*141.293+C868*267.993+D868*115.016+E868*89.698+F868*40+G868*185+H868*0+I868*100+J868*300)/(141.293+267.993+115.016+89.698+0+40+185+100+300)</f>
        <v>29.901113430992737</v>
      </c>
      <c r="AC868" s="27">
        <f>(M868*'RAP TEMPLATE-GAS AVAILABILITY'!O867+N868*'RAP TEMPLATE-GAS AVAILABILITY'!P867+O868*'RAP TEMPLATE-GAS AVAILABILITY'!Q867+P868*'RAP TEMPLATE-GAS AVAILABILITY'!R867)/('RAP TEMPLATE-GAS AVAILABILITY'!O867+'RAP TEMPLATE-GAS AVAILABILITY'!P867+'RAP TEMPLATE-GAS AVAILABILITY'!Q867+'RAP TEMPLATE-GAS AVAILABILITY'!R867)</f>
        <v>29.668817985611511</v>
      </c>
    </row>
    <row r="869" spans="1:29" ht="15.75" x14ac:dyDescent="0.25">
      <c r="A869" s="13">
        <v>67723</v>
      </c>
      <c r="B869" s="10">
        <f>CHOOSE(CONTROL!$C$42, 30.1383, 30.1383) * CHOOSE(CONTROL!$C$21, $C$9, 100%, $E$9)</f>
        <v>30.138300000000001</v>
      </c>
      <c r="C869" s="10">
        <f>CHOOSE(CONTROL!$C$42, 30.1462, 30.1462) * CHOOSE(CONTROL!$C$21, $C$9, 100%, $E$9)</f>
        <v>30.1462</v>
      </c>
      <c r="D869" s="10">
        <f>CHOOSE(CONTROL!$C$42, 30.3247, 30.3247) * CHOOSE(CONTROL!$C$21, $C$9, 100%, $E$9)</f>
        <v>30.3247</v>
      </c>
      <c r="E869" s="10">
        <f>CHOOSE(CONTROL!$C$42, 30.3558, 30.3558) * CHOOSE(CONTROL!$C$21, $C$9, 100%, $E$9)</f>
        <v>30.355799999999999</v>
      </c>
      <c r="F869" s="10">
        <f>CHOOSE(CONTROL!$C$42, 30.1244, 30.1244)*CHOOSE(CONTROL!$C$21, $C$9, 100%, $E$9)</f>
        <v>30.124400000000001</v>
      </c>
      <c r="G869" s="10">
        <f>CHOOSE(CONTROL!$C$42, 30.1426, 30.1426)*CHOOSE(CONTROL!$C$21, $C$9, 100%, $E$9)</f>
        <v>30.142600000000002</v>
      </c>
      <c r="H869" s="10">
        <f>CHOOSE(CONTROL!$C$42, 30.3445, 30.3445) * CHOOSE(CONTROL!$C$21, $C$9, 100%, $E$9)</f>
        <v>30.3445</v>
      </c>
      <c r="I869" s="10">
        <f>CHOOSE(CONTROL!$C$42, 30.1151, 30.1151)* CHOOSE(CONTROL!$C$21, $C$9, 100%, $E$9)</f>
        <v>30.115100000000002</v>
      </c>
      <c r="J869" s="10">
        <f>CHOOSE(CONTROL!$C$42, 30.1174, 30.1174)* CHOOSE(CONTROL!$C$21, $C$9, 100%, $E$9)</f>
        <v>30.1174</v>
      </c>
      <c r="K869" s="54">
        <f>CHOOSE(CONTROL!$C$42, 30.1112, 30.1112) * CHOOSE(CONTROL!$C$21, $C$9, 100%, $E$9)</f>
        <v>30.1112</v>
      </c>
      <c r="L869" s="10">
        <f>CHOOSE(CONTROL!$C$42, 30.9315, 30.9315) * CHOOSE(CONTROL!$C$21, $C$9, 100%, $E$9)</f>
        <v>30.9315</v>
      </c>
      <c r="M869" s="10">
        <f>CHOOSE(CONTROL!$C$42, 29.8273, 29.8273) * CHOOSE(CONTROL!$C$21, $C$9, 100%, $E$9)</f>
        <v>29.827300000000001</v>
      </c>
      <c r="N869" s="10">
        <f>CHOOSE(CONTROL!$C$42, 29.8453, 29.8453) * CHOOSE(CONTROL!$C$21, $C$9, 100%, $E$9)</f>
        <v>29.845300000000002</v>
      </c>
      <c r="O869" s="10">
        <f>CHOOSE(CONTROL!$C$42, 30.0521, 30.0521) * CHOOSE(CONTROL!$C$21, $C$9, 100%, $E$9)</f>
        <v>30.052099999999999</v>
      </c>
      <c r="P869" s="10">
        <f>CHOOSE(CONTROL!$C$42, 29.8251, 29.8251) * CHOOSE(CONTROL!$C$21, $C$9, 100%, $E$9)</f>
        <v>29.825099999999999</v>
      </c>
      <c r="Q869" s="10">
        <f>CHOOSE(CONTROL!$C$42, 30.6474, 30.6474) * CHOOSE(CONTROL!$C$21, $C$9, 100%, $E$9)</f>
        <v>30.647400000000001</v>
      </c>
      <c r="R869" s="10">
        <f>CHOOSE(CONTROL!$C$42, 31.311, 31.311) * CHOOSE(CONTROL!$C$21, $C$9, 100%, $E$9)</f>
        <v>31.311</v>
      </c>
      <c r="S869" s="10">
        <f>CHOOSE(CONTROL!$C$42, 29.263, 29.263) * CHOOSE(CONTROL!$C$21, $C$9, 100%, $E$9)</f>
        <v>29.263000000000002</v>
      </c>
      <c r="T869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69" s="58">
        <f>(1000*CHOOSE(CONTROL!$C$42, 695, 695)*CHOOSE(CONTROL!$C$42, 0.5599, 0.5599)*CHOOSE(CONTROL!$C$42, 31, 31))/1000000</f>
        <v>12.063045499999998</v>
      </c>
      <c r="V869" s="58">
        <f>(1000*CHOOSE(CONTROL!$C$42, 500, 500)*CHOOSE(CONTROL!$C$42, 0.275, 0.275)*CHOOSE(CONTROL!$C$42, 31, 31))/1000000</f>
        <v>4.2625000000000002</v>
      </c>
      <c r="W869" s="58">
        <f>(1000*CHOOSE(CONTROL!$C$42, 0.1146, 0.1146)*CHOOSE(CONTROL!$C$42, 121.5, 121.5)*CHOOSE(CONTROL!$C$42, 31, 31))/1000000</f>
        <v>0.43164089999999994</v>
      </c>
      <c r="X869" s="58">
        <f>(31*0.1790888*245000/1000000)+(31*0.2374*100000/1000000)</f>
        <v>2.0961194359999999</v>
      </c>
      <c r="Y869" s="58"/>
      <c r="Z869" s="10"/>
      <c r="AA869" s="57"/>
      <c r="AB869" s="51">
        <f>(B869*194.205+C869*267.466+D869*133.845+E869*53.484+F869*40+G869*185+H869*0+I869*100+J869*300)/(194.205+267.466+133.845+53.484+0+40+185+100+300)</f>
        <v>30.162117864521193</v>
      </c>
      <c r="AC869" s="27">
        <f>(M869*'RAP TEMPLATE-GAS AVAILABILITY'!O868+N869*'RAP TEMPLATE-GAS AVAILABILITY'!P868+O869*'RAP TEMPLATE-GAS AVAILABILITY'!Q868+P869*'RAP TEMPLATE-GAS AVAILABILITY'!R868)/('RAP TEMPLATE-GAS AVAILABILITY'!O868+'RAP TEMPLATE-GAS AVAILABILITY'!P868+'RAP TEMPLATE-GAS AVAILABILITY'!Q868+'RAP TEMPLATE-GAS AVAILABILITY'!R868)</f>
        <v>29.929907194244606</v>
      </c>
    </row>
    <row r="870" spans="1:29" ht="15.75" x14ac:dyDescent="0.25">
      <c r="A870" s="13">
        <v>67753</v>
      </c>
      <c r="B870" s="10">
        <f>CHOOSE(CONTROL!$C$42, 30.993, 30.993) * CHOOSE(CONTROL!$C$21, $C$9, 100%, $E$9)</f>
        <v>30.992999999999999</v>
      </c>
      <c r="C870" s="10">
        <f>CHOOSE(CONTROL!$C$42, 31.0009, 31.0009) * CHOOSE(CONTROL!$C$21, $C$9, 100%, $E$9)</f>
        <v>31.000900000000001</v>
      </c>
      <c r="D870" s="10">
        <f>CHOOSE(CONTROL!$C$42, 31.1795, 31.1795) * CHOOSE(CONTROL!$C$21, $C$9, 100%, $E$9)</f>
        <v>31.179500000000001</v>
      </c>
      <c r="E870" s="10">
        <f>CHOOSE(CONTROL!$C$42, 31.2106, 31.2106) * CHOOSE(CONTROL!$C$21, $C$9, 100%, $E$9)</f>
        <v>31.210599999999999</v>
      </c>
      <c r="F870" s="10">
        <f>CHOOSE(CONTROL!$C$42, 30.9794, 30.9794)*CHOOSE(CONTROL!$C$21, $C$9, 100%, $E$9)</f>
        <v>30.979399999999998</v>
      </c>
      <c r="G870" s="10">
        <f>CHOOSE(CONTROL!$C$42, 30.9977, 30.9977)*CHOOSE(CONTROL!$C$21, $C$9, 100%, $E$9)</f>
        <v>30.997699999999998</v>
      </c>
      <c r="H870" s="10">
        <f>CHOOSE(CONTROL!$C$42, 31.1992, 31.1992) * CHOOSE(CONTROL!$C$21, $C$9, 100%, $E$9)</f>
        <v>31.199200000000001</v>
      </c>
      <c r="I870" s="10">
        <f>CHOOSE(CONTROL!$C$42, 30.9699, 30.9699)* CHOOSE(CONTROL!$C$21, $C$9, 100%, $E$9)</f>
        <v>30.969899999999999</v>
      </c>
      <c r="J870" s="10">
        <f>CHOOSE(CONTROL!$C$42, 30.9724, 30.9724)* CHOOSE(CONTROL!$C$21, $C$9, 100%, $E$9)</f>
        <v>30.9724</v>
      </c>
      <c r="K870" s="54">
        <f>CHOOSE(CONTROL!$C$42, 30.966, 30.966) * CHOOSE(CONTROL!$C$21, $C$9, 100%, $E$9)</f>
        <v>30.966000000000001</v>
      </c>
      <c r="L870" s="10">
        <f>CHOOSE(CONTROL!$C$42, 31.7862, 31.7862) * CHOOSE(CONTROL!$C$21, $C$9, 100%, $E$9)</f>
        <v>31.786200000000001</v>
      </c>
      <c r="M870" s="10">
        <f>CHOOSE(CONTROL!$C$42, 30.6737, 30.6737) * CHOOSE(CONTROL!$C$21, $C$9, 100%, $E$9)</f>
        <v>30.6737</v>
      </c>
      <c r="N870" s="10">
        <f>CHOOSE(CONTROL!$C$42, 30.6918, 30.6918) * CHOOSE(CONTROL!$C$21, $C$9, 100%, $E$9)</f>
        <v>30.691800000000001</v>
      </c>
      <c r="O870" s="10">
        <f>CHOOSE(CONTROL!$C$42, 30.8982, 30.8982) * CHOOSE(CONTROL!$C$21, $C$9, 100%, $E$9)</f>
        <v>30.898199999999999</v>
      </c>
      <c r="P870" s="10">
        <f>CHOOSE(CONTROL!$C$42, 30.6712, 30.6712) * CHOOSE(CONTROL!$C$21, $C$9, 100%, $E$9)</f>
        <v>30.671199999999999</v>
      </c>
      <c r="Q870" s="10">
        <f>CHOOSE(CONTROL!$C$42, 31.4935, 31.4935) * CHOOSE(CONTROL!$C$21, $C$9, 100%, $E$9)</f>
        <v>31.493500000000001</v>
      </c>
      <c r="R870" s="10">
        <f>CHOOSE(CONTROL!$C$42, 32.1592, 32.1592) * CHOOSE(CONTROL!$C$21, $C$9, 100%, $E$9)</f>
        <v>32.159199999999998</v>
      </c>
      <c r="S870" s="10">
        <f>CHOOSE(CONTROL!$C$42, 30.0931, 30.0931) * CHOOSE(CONTROL!$C$21, $C$9, 100%, $E$9)</f>
        <v>30.0931</v>
      </c>
      <c r="T870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870" s="58">
        <f>(1000*CHOOSE(CONTROL!$C$42, 695, 695)*CHOOSE(CONTROL!$C$42, 0.5599, 0.5599)*CHOOSE(CONTROL!$C$42, 30, 30))/1000000</f>
        <v>11.673914999999997</v>
      </c>
      <c r="V870" s="58">
        <f>(1000*CHOOSE(CONTROL!$C$42, 500, 500)*CHOOSE(CONTROL!$C$42, 0.275, 0.275)*CHOOSE(CONTROL!$C$42, 30, 30))/1000000</f>
        <v>4.125</v>
      </c>
      <c r="W870" s="58">
        <f>(1000*CHOOSE(CONTROL!$C$42, 0.1146, 0.1146)*CHOOSE(CONTROL!$C$42, 121.5, 121.5)*CHOOSE(CONTROL!$C$42, 30, 30))/1000000</f>
        <v>0.417717</v>
      </c>
      <c r="X870" s="58">
        <f>(30*0.1790888*245000/1000000)+(30*0.2374*100000/1000000)</f>
        <v>2.0285026799999999</v>
      </c>
      <c r="Y870" s="58"/>
      <c r="Z870" s="10"/>
      <c r="AA870" s="57"/>
      <c r="AB870" s="51">
        <f>(B870*194.205+C870*267.466+D870*133.845+E870*53.484+F870*40+G870*185+H870*0+I870*100+J870*300)/(194.205+267.466+133.845+53.484+0+40+185+100+300)</f>
        <v>31.016978565384616</v>
      </c>
      <c r="AC870" s="27">
        <f>(M870*'RAP TEMPLATE-GAS AVAILABILITY'!O869+N870*'RAP TEMPLATE-GAS AVAILABILITY'!P869+O870*'RAP TEMPLATE-GAS AVAILABILITY'!Q869+P870*'RAP TEMPLATE-GAS AVAILABILITY'!R869)/('RAP TEMPLATE-GAS AVAILABILITY'!O869+'RAP TEMPLATE-GAS AVAILABILITY'!P869+'RAP TEMPLATE-GAS AVAILABILITY'!Q869+'RAP TEMPLATE-GAS AVAILABILITY'!R869)</f>
        <v>30.776133812949634</v>
      </c>
    </row>
    <row r="871" spans="1:29" ht="15.75" x14ac:dyDescent="0.25">
      <c r="A871" s="13">
        <v>67784</v>
      </c>
      <c r="B871" s="10">
        <f>CHOOSE(CONTROL!$C$42, 30.3985, 30.3985) * CHOOSE(CONTROL!$C$21, $C$9, 100%, $E$9)</f>
        <v>30.398499999999999</v>
      </c>
      <c r="C871" s="10">
        <f>CHOOSE(CONTROL!$C$42, 30.4064, 30.4064) * CHOOSE(CONTROL!$C$21, $C$9, 100%, $E$9)</f>
        <v>30.406400000000001</v>
      </c>
      <c r="D871" s="10">
        <f>CHOOSE(CONTROL!$C$42, 30.585, 30.585) * CHOOSE(CONTROL!$C$21, $C$9, 100%, $E$9)</f>
        <v>30.585000000000001</v>
      </c>
      <c r="E871" s="10">
        <f>CHOOSE(CONTROL!$C$42, 30.6161, 30.6161) * CHOOSE(CONTROL!$C$21, $C$9, 100%, $E$9)</f>
        <v>30.616099999999999</v>
      </c>
      <c r="F871" s="10">
        <f>CHOOSE(CONTROL!$C$42, 30.3852, 30.3852)*CHOOSE(CONTROL!$C$21, $C$9, 100%, $E$9)</f>
        <v>30.385200000000001</v>
      </c>
      <c r="G871" s="10">
        <f>CHOOSE(CONTROL!$C$42, 30.4035, 30.4035)*CHOOSE(CONTROL!$C$21, $C$9, 100%, $E$9)</f>
        <v>30.403500000000001</v>
      </c>
      <c r="H871" s="10">
        <f>CHOOSE(CONTROL!$C$42, 30.6047, 30.6047) * CHOOSE(CONTROL!$C$21, $C$9, 100%, $E$9)</f>
        <v>30.604700000000001</v>
      </c>
      <c r="I871" s="10">
        <f>CHOOSE(CONTROL!$C$42, 30.3754, 30.3754)* CHOOSE(CONTROL!$C$21, $C$9, 100%, $E$9)</f>
        <v>30.375399999999999</v>
      </c>
      <c r="J871" s="10">
        <f>CHOOSE(CONTROL!$C$42, 30.3782, 30.3782)* CHOOSE(CONTROL!$C$21, $C$9, 100%, $E$9)</f>
        <v>30.3782</v>
      </c>
      <c r="K871" s="54">
        <f>CHOOSE(CONTROL!$C$42, 30.3715, 30.3715) * CHOOSE(CONTROL!$C$21, $C$9, 100%, $E$9)</f>
        <v>30.371500000000001</v>
      </c>
      <c r="L871" s="10">
        <f>CHOOSE(CONTROL!$C$42, 31.1917, 31.1917) * CHOOSE(CONTROL!$C$21, $C$9, 100%, $E$9)</f>
        <v>31.191700000000001</v>
      </c>
      <c r="M871" s="10">
        <f>CHOOSE(CONTROL!$C$42, 30.0855, 30.0855) * CHOOSE(CONTROL!$C$21, $C$9, 100%, $E$9)</f>
        <v>30.0855</v>
      </c>
      <c r="N871" s="10">
        <f>CHOOSE(CONTROL!$C$42, 30.1036, 30.1036) * CHOOSE(CONTROL!$C$21, $C$9, 100%, $E$9)</f>
        <v>30.1036</v>
      </c>
      <c r="O871" s="10">
        <f>CHOOSE(CONTROL!$C$42, 30.3097, 30.3097) * CHOOSE(CONTROL!$C$21, $C$9, 100%, $E$9)</f>
        <v>30.309699999999999</v>
      </c>
      <c r="P871" s="10">
        <f>CHOOSE(CONTROL!$C$42, 30.0827, 30.0827) * CHOOSE(CONTROL!$C$21, $C$9, 100%, $E$9)</f>
        <v>30.082699999999999</v>
      </c>
      <c r="Q871" s="10">
        <f>CHOOSE(CONTROL!$C$42, 30.905, 30.905) * CHOOSE(CONTROL!$C$21, $C$9, 100%, $E$9)</f>
        <v>30.905000000000001</v>
      </c>
      <c r="R871" s="10">
        <f>CHOOSE(CONTROL!$C$42, 31.5693, 31.5693) * CHOOSE(CONTROL!$C$21, $C$9, 100%, $E$9)</f>
        <v>31.569299999999998</v>
      </c>
      <c r="S871" s="10">
        <f>CHOOSE(CONTROL!$C$42, 29.5158, 29.5158) * CHOOSE(CONTROL!$C$21, $C$9, 100%, $E$9)</f>
        <v>29.515799999999999</v>
      </c>
      <c r="T871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871" s="58">
        <f>(1000*CHOOSE(CONTROL!$C$42, 695, 695)*CHOOSE(CONTROL!$C$42, 0.5599, 0.5599)*CHOOSE(CONTROL!$C$42, 31, 31))/1000000</f>
        <v>12.063045499999998</v>
      </c>
      <c r="V871" s="58">
        <f>(1000*CHOOSE(CONTROL!$C$42, 500, 500)*CHOOSE(CONTROL!$C$42, 0.275, 0.275)*CHOOSE(CONTROL!$C$42, 31, 31))/1000000</f>
        <v>4.2625000000000002</v>
      </c>
      <c r="W871" s="58">
        <f>(1000*CHOOSE(CONTROL!$C$42, 0.1146, 0.1146)*CHOOSE(CONTROL!$C$42, 121.5, 121.5)*CHOOSE(CONTROL!$C$42, 31, 31))/1000000</f>
        <v>0.43164089999999994</v>
      </c>
      <c r="X871" s="58">
        <f>(31*0.1790888*245000/1000000)+(31*0.2374*100000/1000000)</f>
        <v>2.0961194359999999</v>
      </c>
      <c r="Y871" s="58"/>
      <c r="Z871" s="10"/>
      <c r="AA871" s="57"/>
      <c r="AB871" s="51">
        <f>(B871*194.205+C871*267.466+D871*133.845+E871*53.484+F871*40+G871*185+H871*0+I871*100+J871*300)/(194.205+267.466+133.845+53.484+0+40+185+100+300)</f>
        <v>30.422602191758241</v>
      </c>
      <c r="AC871" s="27">
        <f>(M871*'RAP TEMPLATE-GAS AVAILABILITY'!O870+N871*'RAP TEMPLATE-GAS AVAILABILITY'!P870+O871*'RAP TEMPLATE-GAS AVAILABILITY'!Q870+P871*'RAP TEMPLATE-GAS AVAILABILITY'!R870)/('RAP TEMPLATE-GAS AVAILABILITY'!O870+'RAP TEMPLATE-GAS AVAILABILITY'!P870+'RAP TEMPLATE-GAS AVAILABILITY'!Q870+'RAP TEMPLATE-GAS AVAILABILITY'!R870)</f>
        <v>30.187754676258994</v>
      </c>
    </row>
    <row r="872" spans="1:29" ht="15.75" x14ac:dyDescent="0.25">
      <c r="A872" s="13">
        <v>67815</v>
      </c>
      <c r="B872" s="10">
        <f>CHOOSE(CONTROL!$C$42, 28.8972, 28.8972) * CHOOSE(CONTROL!$C$21, $C$9, 100%, $E$9)</f>
        <v>28.897200000000002</v>
      </c>
      <c r="C872" s="10">
        <f>CHOOSE(CONTROL!$C$42, 28.9052, 28.9052) * CHOOSE(CONTROL!$C$21, $C$9, 100%, $E$9)</f>
        <v>28.905200000000001</v>
      </c>
      <c r="D872" s="10">
        <f>CHOOSE(CONTROL!$C$42, 29.0837, 29.0837) * CHOOSE(CONTROL!$C$21, $C$9, 100%, $E$9)</f>
        <v>29.0837</v>
      </c>
      <c r="E872" s="10">
        <f>CHOOSE(CONTROL!$C$42, 29.1148, 29.1148) * CHOOSE(CONTROL!$C$21, $C$9, 100%, $E$9)</f>
        <v>29.114799999999999</v>
      </c>
      <c r="F872" s="10">
        <f>CHOOSE(CONTROL!$C$42, 28.8839, 28.8839)*CHOOSE(CONTROL!$C$21, $C$9, 100%, $E$9)</f>
        <v>28.883900000000001</v>
      </c>
      <c r="G872" s="10">
        <f>CHOOSE(CONTROL!$C$42, 28.9022, 28.9022)*CHOOSE(CONTROL!$C$21, $C$9, 100%, $E$9)</f>
        <v>28.902200000000001</v>
      </c>
      <c r="H872" s="10">
        <f>CHOOSE(CONTROL!$C$42, 29.1035, 29.1035) * CHOOSE(CONTROL!$C$21, $C$9, 100%, $E$9)</f>
        <v>29.1035</v>
      </c>
      <c r="I872" s="10">
        <f>CHOOSE(CONTROL!$C$42, 28.8741, 28.8741)* CHOOSE(CONTROL!$C$21, $C$9, 100%, $E$9)</f>
        <v>28.874099999999999</v>
      </c>
      <c r="J872" s="10">
        <f>CHOOSE(CONTROL!$C$42, 28.8769, 28.8769)* CHOOSE(CONTROL!$C$21, $C$9, 100%, $E$9)</f>
        <v>28.876899999999999</v>
      </c>
      <c r="K872" s="54">
        <f>CHOOSE(CONTROL!$C$42, 28.8702, 28.8702) * CHOOSE(CONTROL!$C$21, $C$9, 100%, $E$9)</f>
        <v>28.870200000000001</v>
      </c>
      <c r="L872" s="10">
        <f>CHOOSE(CONTROL!$C$42, 29.6905, 29.6905) * CHOOSE(CONTROL!$C$21, $C$9, 100%, $E$9)</f>
        <v>29.6905</v>
      </c>
      <c r="M872" s="10">
        <f>CHOOSE(CONTROL!$C$42, 28.5993, 28.5993) * CHOOSE(CONTROL!$C$21, $C$9, 100%, $E$9)</f>
        <v>28.599299999999999</v>
      </c>
      <c r="N872" s="10">
        <f>CHOOSE(CONTROL!$C$42, 28.6174, 28.6174) * CHOOSE(CONTROL!$C$21, $C$9, 100%, $E$9)</f>
        <v>28.6174</v>
      </c>
      <c r="O872" s="10">
        <f>CHOOSE(CONTROL!$C$42, 28.8236, 28.8236) * CHOOSE(CONTROL!$C$21, $C$9, 100%, $E$9)</f>
        <v>28.823599999999999</v>
      </c>
      <c r="P872" s="10">
        <f>CHOOSE(CONTROL!$C$42, 28.5966, 28.5966) * CHOOSE(CONTROL!$C$21, $C$9, 100%, $E$9)</f>
        <v>28.596599999999999</v>
      </c>
      <c r="Q872" s="10">
        <f>CHOOSE(CONTROL!$C$42, 29.4189, 29.4189) * CHOOSE(CONTROL!$C$21, $C$9, 100%, $E$9)</f>
        <v>29.418900000000001</v>
      </c>
      <c r="R872" s="10">
        <f>CHOOSE(CONTROL!$C$42, 30.0794, 30.0794) * CHOOSE(CONTROL!$C$21, $C$9, 100%, $E$9)</f>
        <v>30.0794</v>
      </c>
      <c r="S872" s="10">
        <f>CHOOSE(CONTROL!$C$42, 28.0579, 28.0579) * CHOOSE(CONTROL!$C$21, $C$9, 100%, $E$9)</f>
        <v>28.0579</v>
      </c>
      <c r="T872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72" s="58">
        <f>(1000*CHOOSE(CONTROL!$C$42, 695, 695)*CHOOSE(CONTROL!$C$42, 0.5599, 0.5599)*CHOOSE(CONTROL!$C$42, 31, 31))/1000000</f>
        <v>12.063045499999998</v>
      </c>
      <c r="V872" s="58">
        <f>(1000*CHOOSE(CONTROL!$C$42, 500, 500)*CHOOSE(CONTROL!$C$42, 0.275, 0.275)*CHOOSE(CONTROL!$C$42, 31, 31))/1000000</f>
        <v>4.2625000000000002</v>
      </c>
      <c r="W872" s="58">
        <f>(1000*CHOOSE(CONTROL!$C$42, 0.1146, 0.1146)*CHOOSE(CONTROL!$C$42, 121.5, 121.5)*CHOOSE(CONTROL!$C$42, 31, 31))/1000000</f>
        <v>0.43164089999999994</v>
      </c>
      <c r="X872" s="58">
        <f>(31*0.1790888*245000/1000000)+(31*0.2374*100000/1000000)</f>
        <v>2.0961194359999999</v>
      </c>
      <c r="Y872" s="58"/>
      <c r="Z872" s="10"/>
      <c r="AA872" s="57"/>
      <c r="AB872" s="51">
        <f>(B872*194.205+C872*267.466+D872*133.845+E872*53.484+F872*40+G872*185+H872*0+I872*100+J872*300)/(194.205+267.466+133.845+53.484+0+40+185+100+300)</f>
        <v>28.921323185949767</v>
      </c>
      <c r="AC872" s="27">
        <f>(M872*'RAP TEMPLATE-GAS AVAILABILITY'!O871+N872*'RAP TEMPLATE-GAS AVAILABILITY'!P871+O872*'RAP TEMPLATE-GAS AVAILABILITY'!Q871+P872*'RAP TEMPLATE-GAS AVAILABILITY'!R871)/('RAP TEMPLATE-GAS AVAILABILITY'!O871+'RAP TEMPLATE-GAS AVAILABILITY'!P871+'RAP TEMPLATE-GAS AVAILABILITY'!Q871+'RAP TEMPLATE-GAS AVAILABILITY'!R871)</f>
        <v>28.701614388489208</v>
      </c>
    </row>
    <row r="873" spans="1:29" ht="15.75" x14ac:dyDescent="0.25">
      <c r="A873" s="13">
        <v>67845</v>
      </c>
      <c r="B873" s="10">
        <f>CHOOSE(CONTROL!$C$42, 27.063, 27.063) * CHOOSE(CONTROL!$C$21, $C$9, 100%, $E$9)</f>
        <v>27.062999999999999</v>
      </c>
      <c r="C873" s="10">
        <f>CHOOSE(CONTROL!$C$42, 27.0709, 27.0709) * CHOOSE(CONTROL!$C$21, $C$9, 100%, $E$9)</f>
        <v>27.070900000000002</v>
      </c>
      <c r="D873" s="10">
        <f>CHOOSE(CONTROL!$C$42, 27.2494, 27.2494) * CHOOSE(CONTROL!$C$21, $C$9, 100%, $E$9)</f>
        <v>27.249400000000001</v>
      </c>
      <c r="E873" s="10">
        <f>CHOOSE(CONTROL!$C$42, 27.2806, 27.2806) * CHOOSE(CONTROL!$C$21, $C$9, 100%, $E$9)</f>
        <v>27.2806</v>
      </c>
      <c r="F873" s="10">
        <f>CHOOSE(CONTROL!$C$42, 27.0493, 27.0493)*CHOOSE(CONTROL!$C$21, $C$9, 100%, $E$9)</f>
        <v>27.049299999999999</v>
      </c>
      <c r="G873" s="10">
        <f>CHOOSE(CONTROL!$C$42, 27.0676, 27.0676)*CHOOSE(CONTROL!$C$21, $C$9, 100%, $E$9)</f>
        <v>27.067599999999999</v>
      </c>
      <c r="H873" s="10">
        <f>CHOOSE(CONTROL!$C$42, 27.2692, 27.2692) * CHOOSE(CONTROL!$C$21, $C$9, 100%, $E$9)</f>
        <v>27.269200000000001</v>
      </c>
      <c r="I873" s="10">
        <f>CHOOSE(CONTROL!$C$42, 27.0398, 27.0398)* CHOOSE(CONTROL!$C$21, $C$9, 100%, $E$9)</f>
        <v>27.0398</v>
      </c>
      <c r="J873" s="10">
        <f>CHOOSE(CONTROL!$C$42, 27.0423, 27.0423)* CHOOSE(CONTROL!$C$21, $C$9, 100%, $E$9)</f>
        <v>27.042300000000001</v>
      </c>
      <c r="K873" s="54">
        <f>CHOOSE(CONTROL!$C$42, 27.036, 27.036) * CHOOSE(CONTROL!$C$21, $C$9, 100%, $E$9)</f>
        <v>27.036000000000001</v>
      </c>
      <c r="L873" s="10">
        <f>CHOOSE(CONTROL!$C$42, 27.8562, 27.8562) * CHOOSE(CONTROL!$C$21, $C$9, 100%, $E$9)</f>
        <v>27.856200000000001</v>
      </c>
      <c r="M873" s="10">
        <f>CHOOSE(CONTROL!$C$42, 26.7833, 26.7833) * CHOOSE(CONTROL!$C$21, $C$9, 100%, $E$9)</f>
        <v>26.783300000000001</v>
      </c>
      <c r="N873" s="10">
        <f>CHOOSE(CONTROL!$C$42, 26.8013, 26.8013) * CHOOSE(CONTROL!$C$21, $C$9, 100%, $E$9)</f>
        <v>26.801300000000001</v>
      </c>
      <c r="O873" s="10">
        <f>CHOOSE(CONTROL!$C$42, 27.0078, 27.0078) * CHOOSE(CONTROL!$C$21, $C$9, 100%, $E$9)</f>
        <v>27.0078</v>
      </c>
      <c r="P873" s="10">
        <f>CHOOSE(CONTROL!$C$42, 26.7808, 26.7808) * CHOOSE(CONTROL!$C$21, $C$9, 100%, $E$9)</f>
        <v>26.780799999999999</v>
      </c>
      <c r="Q873" s="10">
        <f>CHOOSE(CONTROL!$C$42, 27.6031, 27.6031) * CHOOSE(CONTROL!$C$21, $C$9, 100%, $E$9)</f>
        <v>27.603100000000001</v>
      </c>
      <c r="R873" s="10">
        <f>CHOOSE(CONTROL!$C$42, 28.2591, 28.2591) * CHOOSE(CONTROL!$C$21, $C$9, 100%, $E$9)</f>
        <v>28.2591</v>
      </c>
      <c r="S873" s="10">
        <f>CHOOSE(CONTROL!$C$42, 26.2766, 26.2766) * CHOOSE(CONTROL!$C$21, $C$9, 100%, $E$9)</f>
        <v>26.276599999999998</v>
      </c>
      <c r="T873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73" s="58">
        <f>(1000*CHOOSE(CONTROL!$C$42, 695, 695)*CHOOSE(CONTROL!$C$42, 0.5599, 0.5599)*CHOOSE(CONTROL!$C$42, 30, 30))/1000000</f>
        <v>11.673914999999997</v>
      </c>
      <c r="V873" s="58">
        <f>(1000*CHOOSE(CONTROL!$C$42, 500, 500)*CHOOSE(CONTROL!$C$42, 0.275, 0.275)*CHOOSE(CONTROL!$C$42, 30, 30))/1000000</f>
        <v>4.125</v>
      </c>
      <c r="W873" s="58">
        <f>(1000*CHOOSE(CONTROL!$C$42, 0.1146, 0.1146)*CHOOSE(CONTROL!$C$42, 121.5, 121.5)*CHOOSE(CONTROL!$C$42, 30, 30))/1000000</f>
        <v>0.417717</v>
      </c>
      <c r="X873" s="58">
        <f>(30*0.1790888*245000/1000000)+(30*0.2374*100000/1000000)</f>
        <v>2.0285026799999999</v>
      </c>
      <c r="Y873" s="58"/>
      <c r="Z873" s="10"/>
      <c r="AA873" s="57"/>
      <c r="AB873" s="51">
        <f>(B873*194.205+C873*267.466+D873*133.845+E873*53.484+F873*40+G873*185+H873*0+I873*100+J873*300)/(194.205+267.466+133.845+53.484+0+40+185+100+300)</f>
        <v>27.086919001412873</v>
      </c>
      <c r="AC873" s="27">
        <f>(M873*'RAP TEMPLATE-GAS AVAILABILITY'!O872+N873*'RAP TEMPLATE-GAS AVAILABILITY'!P872+O873*'RAP TEMPLATE-GAS AVAILABILITY'!Q872+P873*'RAP TEMPLATE-GAS AVAILABILITY'!R872)/('RAP TEMPLATE-GAS AVAILABILITY'!O872+'RAP TEMPLATE-GAS AVAILABILITY'!P872+'RAP TEMPLATE-GAS AVAILABILITY'!Q872+'RAP TEMPLATE-GAS AVAILABILITY'!R872)</f>
        <v>26.885728057553955</v>
      </c>
    </row>
    <row r="874" spans="1:29" ht="15.75" x14ac:dyDescent="0.25">
      <c r="A874" s="13">
        <v>67876</v>
      </c>
      <c r="B874" s="10">
        <f>CHOOSE(CONTROL!$C$42, 26.5114, 26.5114) * CHOOSE(CONTROL!$C$21, $C$9, 100%, $E$9)</f>
        <v>26.511399999999998</v>
      </c>
      <c r="C874" s="10">
        <f>CHOOSE(CONTROL!$C$42, 26.5167, 26.5167) * CHOOSE(CONTROL!$C$21, $C$9, 100%, $E$9)</f>
        <v>26.5167</v>
      </c>
      <c r="D874" s="10">
        <f>CHOOSE(CONTROL!$C$42, 26.7002, 26.7002) * CHOOSE(CONTROL!$C$21, $C$9, 100%, $E$9)</f>
        <v>26.700199999999999</v>
      </c>
      <c r="E874" s="10">
        <f>CHOOSE(CONTROL!$C$42, 26.729, 26.729) * CHOOSE(CONTROL!$C$21, $C$9, 100%, $E$9)</f>
        <v>26.728999999999999</v>
      </c>
      <c r="F874" s="10">
        <f>CHOOSE(CONTROL!$C$42, 26.4998, 26.4998)*CHOOSE(CONTROL!$C$21, $C$9, 100%, $E$9)</f>
        <v>26.4998</v>
      </c>
      <c r="G874" s="10">
        <f>CHOOSE(CONTROL!$C$42, 26.5177, 26.5177)*CHOOSE(CONTROL!$C$21, $C$9, 100%, $E$9)</f>
        <v>26.517700000000001</v>
      </c>
      <c r="H874" s="10">
        <f>CHOOSE(CONTROL!$C$42, 26.7194, 26.7194) * CHOOSE(CONTROL!$C$21, $C$9, 100%, $E$9)</f>
        <v>26.7194</v>
      </c>
      <c r="I874" s="10">
        <f>CHOOSE(CONTROL!$C$42, 26.4901, 26.4901)* CHOOSE(CONTROL!$C$21, $C$9, 100%, $E$9)</f>
        <v>26.490100000000002</v>
      </c>
      <c r="J874" s="10">
        <f>CHOOSE(CONTROL!$C$42, 26.4928, 26.4928)* CHOOSE(CONTROL!$C$21, $C$9, 100%, $E$9)</f>
        <v>26.492799999999999</v>
      </c>
      <c r="K874" s="54">
        <f>CHOOSE(CONTROL!$C$42, 26.4862, 26.4862) * CHOOSE(CONTROL!$C$21, $C$9, 100%, $E$9)</f>
        <v>26.4862</v>
      </c>
      <c r="L874" s="10">
        <f>CHOOSE(CONTROL!$C$42, 27.3064, 27.3064) * CHOOSE(CONTROL!$C$21, $C$9, 100%, $E$9)</f>
        <v>27.3064</v>
      </c>
      <c r="M874" s="10">
        <f>CHOOSE(CONTROL!$C$42, 26.2392, 26.2392) * CHOOSE(CONTROL!$C$21, $C$9, 100%, $E$9)</f>
        <v>26.2392</v>
      </c>
      <c r="N874" s="10">
        <f>CHOOSE(CONTROL!$C$42, 26.2569, 26.2569) * CHOOSE(CONTROL!$C$21, $C$9, 100%, $E$9)</f>
        <v>26.256900000000002</v>
      </c>
      <c r="O874" s="10">
        <f>CHOOSE(CONTROL!$C$42, 26.4636, 26.4636) * CHOOSE(CONTROL!$C$21, $C$9, 100%, $E$9)</f>
        <v>26.4636</v>
      </c>
      <c r="P874" s="10">
        <f>CHOOSE(CONTROL!$C$42, 26.2366, 26.2366) * CHOOSE(CONTROL!$C$21, $C$9, 100%, $E$9)</f>
        <v>26.236599999999999</v>
      </c>
      <c r="Q874" s="10">
        <f>CHOOSE(CONTROL!$C$42, 27.0589, 27.0589) * CHOOSE(CONTROL!$C$21, $C$9, 100%, $E$9)</f>
        <v>27.058900000000001</v>
      </c>
      <c r="R874" s="10">
        <f>CHOOSE(CONTROL!$C$42, 27.7136, 27.7136) * CHOOSE(CONTROL!$C$21, $C$9, 100%, $E$9)</f>
        <v>27.7136</v>
      </c>
      <c r="S874" s="10">
        <f>CHOOSE(CONTROL!$C$42, 25.7427, 25.7427) * CHOOSE(CONTROL!$C$21, $C$9, 100%, $E$9)</f>
        <v>25.742699999999999</v>
      </c>
      <c r="T874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74" s="58">
        <f>(1000*CHOOSE(CONTROL!$C$42, 695, 695)*CHOOSE(CONTROL!$C$42, 0.5599, 0.5599)*CHOOSE(CONTROL!$C$42, 31, 31))/1000000</f>
        <v>12.063045499999998</v>
      </c>
      <c r="V874" s="58">
        <f>(1000*CHOOSE(CONTROL!$C$42, 500, 500)*CHOOSE(CONTROL!$C$42, 0.275, 0.275)*CHOOSE(CONTROL!$C$42, 31, 31))/1000000</f>
        <v>4.2625000000000002</v>
      </c>
      <c r="W874" s="58">
        <f>(1000*CHOOSE(CONTROL!$C$42, 0.1146, 0.1146)*CHOOSE(CONTROL!$C$42, 121.5, 121.5)*CHOOSE(CONTROL!$C$42, 31, 31))/1000000</f>
        <v>0.43164089999999994</v>
      </c>
      <c r="X874" s="58">
        <f>(31*0.1790888*245000/1000000)+(31*0.2374*100000/1000000)</f>
        <v>2.0961194359999999</v>
      </c>
      <c r="Y874" s="58"/>
      <c r="Z874" s="10"/>
      <c r="AA874" s="57"/>
      <c r="AB874" s="51">
        <f>(B874*131.881+C874*277.167+D874*79.08+E874*125.872+F874*40+G874*185+H874*0+I874*100+J874*300)/(131.881+277.167+79.08+125.872+0+40+185+100+300)</f>
        <v>26.541085662873289</v>
      </c>
      <c r="AC874" s="27">
        <f>(M874*'RAP TEMPLATE-GAS AVAILABILITY'!O873+N874*'RAP TEMPLATE-GAS AVAILABILITY'!P873+O874*'RAP TEMPLATE-GAS AVAILABILITY'!Q873+P874*'RAP TEMPLATE-GAS AVAILABILITY'!R873)/('RAP TEMPLATE-GAS AVAILABILITY'!O873+'RAP TEMPLATE-GAS AVAILABILITY'!P873+'RAP TEMPLATE-GAS AVAILABILITY'!Q873+'RAP TEMPLATE-GAS AVAILABILITY'!R873)</f>
        <v>26.341551079136693</v>
      </c>
    </row>
    <row r="875" spans="1:29" ht="15.75" x14ac:dyDescent="0.25">
      <c r="A875" s="13">
        <v>67906</v>
      </c>
      <c r="B875" s="10">
        <f>CHOOSE(CONTROL!$C$42, 27.2094, 27.2094) * CHOOSE(CONTROL!$C$21, $C$9, 100%, $E$9)</f>
        <v>27.209399999999999</v>
      </c>
      <c r="C875" s="10">
        <f>CHOOSE(CONTROL!$C$42, 27.2143, 27.2143) * CHOOSE(CONTROL!$C$21, $C$9, 100%, $E$9)</f>
        <v>27.214300000000001</v>
      </c>
      <c r="D875" s="10">
        <f>CHOOSE(CONTROL!$C$42, 27.2439, 27.2439) * CHOOSE(CONTROL!$C$21, $C$9, 100%, $E$9)</f>
        <v>27.2439</v>
      </c>
      <c r="E875" s="10">
        <f>CHOOSE(CONTROL!$C$42, 27.2777, 27.2777) * CHOOSE(CONTROL!$C$21, $C$9, 100%, $E$9)</f>
        <v>27.277699999999999</v>
      </c>
      <c r="F875" s="10">
        <f>CHOOSE(CONTROL!$C$42, 27.1951, 27.1951)*CHOOSE(CONTROL!$C$21, $C$9, 100%, $E$9)</f>
        <v>27.1951</v>
      </c>
      <c r="G875" s="10">
        <f>CHOOSE(CONTROL!$C$42, 27.2132, 27.2132)*CHOOSE(CONTROL!$C$21, $C$9, 100%, $E$9)</f>
        <v>27.213200000000001</v>
      </c>
      <c r="H875" s="10">
        <f>CHOOSE(CONTROL!$C$42, 27.2669, 27.2669) * CHOOSE(CONTROL!$C$21, $C$9, 100%, $E$9)</f>
        <v>27.2669</v>
      </c>
      <c r="I875" s="10">
        <f>CHOOSE(CONTROL!$C$42, 27.1756, 27.1756)* CHOOSE(CONTROL!$C$21, $C$9, 100%, $E$9)</f>
        <v>27.175599999999999</v>
      </c>
      <c r="J875" s="10">
        <f>CHOOSE(CONTROL!$C$42, 27.1881, 27.1881)* CHOOSE(CONTROL!$C$21, $C$9, 100%, $E$9)</f>
        <v>27.188099999999999</v>
      </c>
      <c r="K875" s="54">
        <f>CHOOSE(CONTROL!$C$42, 27.1717, 27.1717) * CHOOSE(CONTROL!$C$21, $C$9, 100%, $E$9)</f>
        <v>27.171700000000001</v>
      </c>
      <c r="L875" s="10">
        <f>CHOOSE(CONTROL!$C$42, 27.8539, 27.8539) * CHOOSE(CONTROL!$C$21, $C$9, 100%, $E$9)</f>
        <v>27.853899999999999</v>
      </c>
      <c r="M875" s="10">
        <f>CHOOSE(CONTROL!$C$42, 26.9276, 26.9276) * CHOOSE(CONTROL!$C$21, $C$9, 100%, $E$9)</f>
        <v>26.927600000000002</v>
      </c>
      <c r="N875" s="10">
        <f>CHOOSE(CONTROL!$C$42, 26.9454, 26.9454) * CHOOSE(CONTROL!$C$21, $C$9, 100%, $E$9)</f>
        <v>26.945399999999999</v>
      </c>
      <c r="O875" s="10">
        <f>CHOOSE(CONTROL!$C$42, 27.0056, 27.0056) * CHOOSE(CONTROL!$C$21, $C$9, 100%, $E$9)</f>
        <v>27.005600000000001</v>
      </c>
      <c r="P875" s="10">
        <f>CHOOSE(CONTROL!$C$42, 26.9152, 26.9152) * CHOOSE(CONTROL!$C$21, $C$9, 100%, $E$9)</f>
        <v>26.915199999999999</v>
      </c>
      <c r="Q875" s="10">
        <f>CHOOSE(CONTROL!$C$42, 27.6009, 27.6009) * CHOOSE(CONTROL!$C$21, $C$9, 100%, $E$9)</f>
        <v>27.600899999999999</v>
      </c>
      <c r="R875" s="10">
        <f>CHOOSE(CONTROL!$C$42, 28.2569, 28.2569) * CHOOSE(CONTROL!$C$21, $C$9, 100%, $E$9)</f>
        <v>28.256900000000002</v>
      </c>
      <c r="S875" s="10">
        <f>CHOOSE(CONTROL!$C$42, 26.4209, 26.4209) * CHOOSE(CONTROL!$C$21, $C$9, 100%, $E$9)</f>
        <v>26.4209</v>
      </c>
      <c r="T875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75" s="58">
        <f>(1000*CHOOSE(CONTROL!$C$42, 695, 695)*CHOOSE(CONTROL!$C$42, 0.5599, 0.5599)*CHOOSE(CONTROL!$C$42, 30, 30))/1000000</f>
        <v>11.673914999999997</v>
      </c>
      <c r="V875" s="58">
        <f>(1000*CHOOSE(CONTROL!$C$42, 500, 500)*CHOOSE(CONTROL!$C$42, 0.275, 0.275)*CHOOSE(CONTROL!$C$42, 30, 30))/1000000</f>
        <v>4.125</v>
      </c>
      <c r="W875" s="58">
        <f>(1000*CHOOSE(CONTROL!$C$42, 0.1146, 0.1146)*CHOOSE(CONTROL!$C$42, 121.5, 121.5)*CHOOSE(CONTROL!$C$42, 30, 30))/1000000</f>
        <v>0.417717</v>
      </c>
      <c r="X875" s="58">
        <f>(30*0.1790888*100000/1000000)+(30*0.2374*100000/1000000)</f>
        <v>1.2494664</v>
      </c>
      <c r="Y875" s="58"/>
      <c r="Z875" s="10"/>
      <c r="AA875" s="57"/>
      <c r="AB875" s="51">
        <f>(B875*122.58+C875*297.941+D875*89.177+E875*40.302+F875*40+G875*160+H875*0+I875*100+J875*300)/(122.58+297.941+89.177+40.302+0+40+160+100+300)</f>
        <v>27.207274038260874</v>
      </c>
      <c r="AC875" s="27">
        <f>(M875*'RAP TEMPLATE-GAS AVAILABILITY'!O874+N875*'RAP TEMPLATE-GAS AVAILABILITY'!P874+O875*'RAP TEMPLATE-GAS AVAILABILITY'!Q874+P875*'RAP TEMPLATE-GAS AVAILABILITY'!R874)/('RAP TEMPLATE-GAS AVAILABILITY'!O874+'RAP TEMPLATE-GAS AVAILABILITY'!P874+'RAP TEMPLATE-GAS AVAILABILITY'!Q874+'RAP TEMPLATE-GAS AVAILABILITY'!R874)</f>
        <v>26.9621928057554</v>
      </c>
    </row>
    <row r="876" spans="1:29" ht="15.75" x14ac:dyDescent="0.25">
      <c r="A876" s="13">
        <v>67937</v>
      </c>
      <c r="B876" s="10">
        <f>CHOOSE(CONTROL!$C$42, 29.0643, 29.0643) * CHOOSE(CONTROL!$C$21, $C$9, 100%, $E$9)</f>
        <v>29.064299999999999</v>
      </c>
      <c r="C876" s="10">
        <f>CHOOSE(CONTROL!$C$42, 29.0693, 29.0693) * CHOOSE(CONTROL!$C$21, $C$9, 100%, $E$9)</f>
        <v>29.069299999999998</v>
      </c>
      <c r="D876" s="10">
        <f>CHOOSE(CONTROL!$C$42, 29.0989, 29.0989) * CHOOSE(CONTROL!$C$21, $C$9, 100%, $E$9)</f>
        <v>29.0989</v>
      </c>
      <c r="E876" s="10">
        <f>CHOOSE(CONTROL!$C$42, 29.1326, 29.1326) * CHOOSE(CONTROL!$C$21, $C$9, 100%, $E$9)</f>
        <v>29.1326</v>
      </c>
      <c r="F876" s="10">
        <f>CHOOSE(CONTROL!$C$42, 29.0516, 29.0516)*CHOOSE(CONTROL!$C$21, $C$9, 100%, $E$9)</f>
        <v>29.051600000000001</v>
      </c>
      <c r="G876" s="10">
        <f>CHOOSE(CONTROL!$C$42, 29.0701, 29.0701)*CHOOSE(CONTROL!$C$21, $C$9, 100%, $E$9)</f>
        <v>29.0701</v>
      </c>
      <c r="H876" s="10">
        <f>CHOOSE(CONTROL!$C$42, 29.1218, 29.1218) * CHOOSE(CONTROL!$C$21, $C$9, 100%, $E$9)</f>
        <v>29.1218</v>
      </c>
      <c r="I876" s="10">
        <f>CHOOSE(CONTROL!$C$42, 29.0305, 29.0305)* CHOOSE(CONTROL!$C$21, $C$9, 100%, $E$9)</f>
        <v>29.0305</v>
      </c>
      <c r="J876" s="10">
        <f>CHOOSE(CONTROL!$C$42, 29.0446, 29.0446)* CHOOSE(CONTROL!$C$21, $C$9, 100%, $E$9)</f>
        <v>29.044599999999999</v>
      </c>
      <c r="K876" s="54">
        <f>CHOOSE(CONTROL!$C$42, 29.0266, 29.0266) * CHOOSE(CONTROL!$C$21, $C$9, 100%, $E$9)</f>
        <v>29.026599999999998</v>
      </c>
      <c r="L876" s="10">
        <f>CHOOSE(CONTROL!$C$42, 29.7088, 29.7088) * CHOOSE(CONTROL!$C$21, $C$9, 100%, $E$9)</f>
        <v>29.7088</v>
      </c>
      <c r="M876" s="10">
        <f>CHOOSE(CONTROL!$C$42, 28.7653, 28.7653) * CHOOSE(CONTROL!$C$21, $C$9, 100%, $E$9)</f>
        <v>28.7653</v>
      </c>
      <c r="N876" s="10">
        <f>CHOOSE(CONTROL!$C$42, 28.7836, 28.7836) * CHOOSE(CONTROL!$C$21, $C$9, 100%, $E$9)</f>
        <v>28.7836</v>
      </c>
      <c r="O876" s="10">
        <f>CHOOSE(CONTROL!$C$42, 28.8418, 28.8418) * CHOOSE(CONTROL!$C$21, $C$9, 100%, $E$9)</f>
        <v>28.841799999999999</v>
      </c>
      <c r="P876" s="10">
        <f>CHOOSE(CONTROL!$C$42, 28.7514, 28.7514) * CHOOSE(CONTROL!$C$21, $C$9, 100%, $E$9)</f>
        <v>28.7514</v>
      </c>
      <c r="Q876" s="10">
        <f>CHOOSE(CONTROL!$C$42, 29.4371, 29.4371) * CHOOSE(CONTROL!$C$21, $C$9, 100%, $E$9)</f>
        <v>29.437100000000001</v>
      </c>
      <c r="R876" s="10">
        <f>CHOOSE(CONTROL!$C$42, 30.0977, 30.0977) * CHOOSE(CONTROL!$C$21, $C$9, 100%, $E$9)</f>
        <v>30.0977</v>
      </c>
      <c r="S876" s="10">
        <f>CHOOSE(CONTROL!$C$42, 28.2222, 28.2222) * CHOOSE(CONTROL!$C$21, $C$9, 100%, $E$9)</f>
        <v>28.222200000000001</v>
      </c>
      <c r="T876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76" s="58">
        <f>(1000*CHOOSE(CONTROL!$C$42, 695, 695)*CHOOSE(CONTROL!$C$42, 0.5599, 0.5599)*CHOOSE(CONTROL!$C$42, 31, 31))/1000000</f>
        <v>12.063045499999998</v>
      </c>
      <c r="V876" s="58">
        <f>(1000*CHOOSE(CONTROL!$C$42, 500, 500)*CHOOSE(CONTROL!$C$42, 0.275, 0.275)*CHOOSE(CONTROL!$C$42, 31, 31))/1000000</f>
        <v>4.2625000000000002</v>
      </c>
      <c r="W876" s="58">
        <f>(1000*CHOOSE(CONTROL!$C$42, 0.1146, 0.1146)*CHOOSE(CONTROL!$C$42, 121.5, 121.5)*CHOOSE(CONTROL!$C$42, 31, 31))/1000000</f>
        <v>0.43164089999999994</v>
      </c>
      <c r="X876" s="58">
        <f>(31*0.1790888*100000/1000000)+(31*0.2374*100000/1000000)</f>
        <v>1.2911152800000001</v>
      </c>
      <c r="Y876" s="58"/>
      <c r="Z876" s="10"/>
      <c r="AA876" s="57"/>
      <c r="AB876" s="51">
        <f>(B876*122.58+C876*297.941+D876*89.177+E876*40.302+F876*40+G876*160+H876*0+I876*100+J876*300)/(122.58+297.941+89.177+40.302+0+40+160+100+300)</f>
        <v>29.062959005043478</v>
      </c>
      <c r="AC876" s="27">
        <f>(M876*'RAP TEMPLATE-GAS AVAILABILITY'!O875+N876*'RAP TEMPLATE-GAS AVAILABILITY'!P875+O876*'RAP TEMPLATE-GAS AVAILABILITY'!Q875+P876*'RAP TEMPLATE-GAS AVAILABILITY'!R875)/('RAP TEMPLATE-GAS AVAILABILITY'!O875+'RAP TEMPLATE-GAS AVAILABILITY'!P875+'RAP TEMPLATE-GAS AVAILABILITY'!Q875+'RAP TEMPLATE-GAS AVAILABILITY'!R875)</f>
        <v>28.799025899280572</v>
      </c>
    </row>
    <row r="877" spans="1:29" ht="15.75" x14ac:dyDescent="0.25">
      <c r="A877" s="13">
        <v>67968</v>
      </c>
      <c r="B877" s="10">
        <f>CHOOSE(CONTROL!$C$42, 31.0258, 31.0258) * CHOOSE(CONTROL!$C$21, $C$9, 100%, $E$9)</f>
        <v>31.0258</v>
      </c>
      <c r="C877" s="10">
        <f>CHOOSE(CONTROL!$C$42, 31.0307, 31.0307) * CHOOSE(CONTROL!$C$21, $C$9, 100%, $E$9)</f>
        <v>31.0307</v>
      </c>
      <c r="D877" s="10">
        <f>CHOOSE(CONTROL!$C$42, 31.0809, 31.0809) * CHOOSE(CONTROL!$C$21, $C$9, 100%, $E$9)</f>
        <v>31.0809</v>
      </c>
      <c r="E877" s="10">
        <f>CHOOSE(CONTROL!$C$42, 31.1147, 31.1147) * CHOOSE(CONTROL!$C$21, $C$9, 100%, $E$9)</f>
        <v>31.114699999999999</v>
      </c>
      <c r="F877" s="10">
        <f>CHOOSE(CONTROL!$C$42, 30.9911, 30.9911)*CHOOSE(CONTROL!$C$21, $C$9, 100%, $E$9)</f>
        <v>30.991099999999999</v>
      </c>
      <c r="G877" s="10">
        <f>CHOOSE(CONTROL!$C$42, 31.0087, 31.0087)*CHOOSE(CONTROL!$C$21, $C$9, 100%, $E$9)</f>
        <v>31.008700000000001</v>
      </c>
      <c r="H877" s="10">
        <f>CHOOSE(CONTROL!$C$42, 31.1039, 31.1039) * CHOOSE(CONTROL!$C$21, $C$9, 100%, $E$9)</f>
        <v>31.103899999999999</v>
      </c>
      <c r="I877" s="10">
        <f>CHOOSE(CONTROL!$C$42, 30.9997, 30.9997)* CHOOSE(CONTROL!$C$21, $C$9, 100%, $E$9)</f>
        <v>30.999700000000001</v>
      </c>
      <c r="J877" s="10">
        <f>CHOOSE(CONTROL!$C$42, 30.9841, 30.9841)* CHOOSE(CONTROL!$C$21, $C$9, 100%, $E$9)</f>
        <v>30.984100000000002</v>
      </c>
      <c r="K877" s="54">
        <f>CHOOSE(CONTROL!$C$42, 30.9958, 30.9958) * CHOOSE(CONTROL!$C$21, $C$9, 100%, $E$9)</f>
        <v>30.995799999999999</v>
      </c>
      <c r="L877" s="10">
        <f>CHOOSE(CONTROL!$C$42, 31.6909, 31.6909) * CHOOSE(CONTROL!$C$21, $C$9, 100%, $E$9)</f>
        <v>31.690899999999999</v>
      </c>
      <c r="M877" s="10">
        <f>CHOOSE(CONTROL!$C$42, 30.6853, 30.6853) * CHOOSE(CONTROL!$C$21, $C$9, 100%, $E$9)</f>
        <v>30.685300000000002</v>
      </c>
      <c r="N877" s="10">
        <f>CHOOSE(CONTROL!$C$42, 30.7027, 30.7027) * CHOOSE(CONTROL!$C$21, $C$9, 100%, $E$9)</f>
        <v>30.7027</v>
      </c>
      <c r="O877" s="10">
        <f>CHOOSE(CONTROL!$C$42, 30.8038, 30.8038) * CHOOSE(CONTROL!$C$21, $C$9, 100%, $E$9)</f>
        <v>30.803799999999999</v>
      </c>
      <c r="P877" s="10">
        <f>CHOOSE(CONTROL!$C$42, 30.7007, 30.7007) * CHOOSE(CONTROL!$C$21, $C$9, 100%, $E$9)</f>
        <v>30.700700000000001</v>
      </c>
      <c r="Q877" s="10">
        <f>CHOOSE(CONTROL!$C$42, 31.3991, 31.3991) * CHOOSE(CONTROL!$C$21, $C$9, 100%, $E$9)</f>
        <v>31.399100000000001</v>
      </c>
      <c r="R877" s="10">
        <f>CHOOSE(CONTROL!$C$42, 32.0646, 32.0646) * CHOOSE(CONTROL!$C$21, $C$9, 100%, $E$9)</f>
        <v>32.064599999999999</v>
      </c>
      <c r="S877" s="10">
        <f>CHOOSE(CONTROL!$C$42, 30.127, 30.127) * CHOOSE(CONTROL!$C$21, $C$9, 100%, $E$9)</f>
        <v>30.126999999999999</v>
      </c>
      <c r="T877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77" s="58">
        <f>(1000*CHOOSE(CONTROL!$C$42, 695, 695)*CHOOSE(CONTROL!$C$42, 0.5599, 0.5599)*CHOOSE(CONTROL!$C$42, 31, 31))/1000000</f>
        <v>12.063045499999998</v>
      </c>
      <c r="V877" s="58">
        <f>(1000*CHOOSE(CONTROL!$C$42, 500, 500)*CHOOSE(CONTROL!$C$42, 0.275, 0.275)*CHOOSE(CONTROL!$C$42, 31, 31))/1000000</f>
        <v>4.2625000000000002</v>
      </c>
      <c r="W877" s="58">
        <f>(1000*CHOOSE(CONTROL!$C$42, 0.1146, 0.1146)*CHOOSE(CONTROL!$C$42, 121.5, 121.5)*CHOOSE(CONTROL!$C$42, 31, 31))/1000000</f>
        <v>0.43164089999999994</v>
      </c>
      <c r="X877" s="58">
        <f>(31*0.1790888*100000/1000000)+(31*0.2374*100000/1000000)</f>
        <v>1.2911152800000001</v>
      </c>
      <c r="Y877" s="58"/>
      <c r="Z877" s="10"/>
      <c r="AA877" s="57"/>
      <c r="AB877" s="51">
        <f>(B877*122.58+C877*297.941+D877*89.177+E877*40.302+F877*40+G877*160+H877*0+I877*100+J877*300)/(122.58+297.941+89.177+40.302+0+40+160+100+300)</f>
        <v>31.017723836000002</v>
      </c>
      <c r="AC877" s="27">
        <f>(M877*'RAP TEMPLATE-GAS AVAILABILITY'!O876+N877*'RAP TEMPLATE-GAS AVAILABILITY'!P876+O877*'RAP TEMPLATE-GAS AVAILABILITY'!Q876+P877*'RAP TEMPLATE-GAS AVAILABILITY'!R876)/('RAP TEMPLATE-GAS AVAILABILITY'!O876+'RAP TEMPLATE-GAS AVAILABILITY'!P876+'RAP TEMPLATE-GAS AVAILABILITY'!Q876+'RAP TEMPLATE-GAS AVAILABILITY'!R876)</f>
        <v>30.742225899280577</v>
      </c>
    </row>
    <row r="878" spans="1:29" ht="15.75" x14ac:dyDescent="0.25">
      <c r="A878" s="13">
        <v>67996</v>
      </c>
      <c r="B878" s="10">
        <f>CHOOSE(CONTROL!$C$42, 31.578, 31.578) * CHOOSE(CONTROL!$C$21, $C$9, 100%, $E$9)</f>
        <v>31.577999999999999</v>
      </c>
      <c r="C878" s="10">
        <f>CHOOSE(CONTROL!$C$42, 31.583, 31.583) * CHOOSE(CONTROL!$C$21, $C$9, 100%, $E$9)</f>
        <v>31.582999999999998</v>
      </c>
      <c r="D878" s="10">
        <f>CHOOSE(CONTROL!$C$42, 31.7001, 31.7001) * CHOOSE(CONTROL!$C$21, $C$9, 100%, $E$9)</f>
        <v>31.700099999999999</v>
      </c>
      <c r="E878" s="10">
        <f>CHOOSE(CONTROL!$C$42, 31.7339, 31.7339) * CHOOSE(CONTROL!$C$21, $C$9, 100%, $E$9)</f>
        <v>31.733899999999998</v>
      </c>
      <c r="F878" s="10">
        <f>CHOOSE(CONTROL!$C$42, 31.6556, 31.6556)*CHOOSE(CONTROL!$C$21, $C$9, 100%, $E$9)</f>
        <v>31.6556</v>
      </c>
      <c r="G878" s="10">
        <f>CHOOSE(CONTROL!$C$42, 31.6775, 31.6775)*CHOOSE(CONTROL!$C$21, $C$9, 100%, $E$9)</f>
        <v>31.677499999999998</v>
      </c>
      <c r="H878" s="10">
        <f>CHOOSE(CONTROL!$C$42, 31.7231, 31.7231) * CHOOSE(CONTROL!$C$21, $C$9, 100%, $E$9)</f>
        <v>31.723099999999999</v>
      </c>
      <c r="I878" s="10">
        <f>CHOOSE(CONTROL!$C$42, 31.6137, 31.6137)* CHOOSE(CONTROL!$C$21, $C$9, 100%, $E$9)</f>
        <v>31.613700000000001</v>
      </c>
      <c r="J878" s="10">
        <f>CHOOSE(CONTROL!$C$42, 31.6486, 31.6486)* CHOOSE(CONTROL!$C$21, $C$9, 100%, $E$9)</f>
        <v>31.648599999999998</v>
      </c>
      <c r="K878" s="54">
        <f>CHOOSE(CONTROL!$C$42, 31.6098, 31.6098) * CHOOSE(CONTROL!$C$21, $C$9, 100%, $E$9)</f>
        <v>31.6098</v>
      </c>
      <c r="L878" s="10">
        <f>CHOOSE(CONTROL!$C$42, 32.3101, 32.3101) * CHOOSE(CONTROL!$C$21, $C$9, 100%, $E$9)</f>
        <v>32.310099999999998</v>
      </c>
      <c r="M878" s="10">
        <f>CHOOSE(CONTROL!$C$42, 31.3431, 31.3431) * CHOOSE(CONTROL!$C$21, $C$9, 100%, $E$9)</f>
        <v>31.3431</v>
      </c>
      <c r="N878" s="10">
        <f>CHOOSE(CONTROL!$C$42, 31.3647, 31.3647) * CHOOSE(CONTROL!$C$21, $C$9, 100%, $E$9)</f>
        <v>31.364699999999999</v>
      </c>
      <c r="O878" s="10">
        <f>CHOOSE(CONTROL!$C$42, 31.4168, 31.4168) * CHOOSE(CONTROL!$C$21, $C$9, 100%, $E$9)</f>
        <v>31.416799999999999</v>
      </c>
      <c r="P878" s="10">
        <f>CHOOSE(CONTROL!$C$42, 31.3085, 31.3085) * CHOOSE(CONTROL!$C$21, $C$9, 100%, $E$9)</f>
        <v>31.308499999999999</v>
      </c>
      <c r="Q878" s="10">
        <f>CHOOSE(CONTROL!$C$42, 32.0121, 32.0121) * CHOOSE(CONTROL!$C$21, $C$9, 100%, $E$9)</f>
        <v>32.012099999999997</v>
      </c>
      <c r="R878" s="10">
        <f>CHOOSE(CONTROL!$C$42, 32.6791, 32.6791) * CHOOSE(CONTROL!$C$21, $C$9, 100%, $E$9)</f>
        <v>32.679099999999998</v>
      </c>
      <c r="S878" s="10">
        <f>CHOOSE(CONTROL!$C$42, 30.6633, 30.6633) * CHOOSE(CONTROL!$C$21, $C$9, 100%, $E$9)</f>
        <v>30.6633</v>
      </c>
      <c r="T878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878" s="58">
        <f>(1000*CHOOSE(CONTROL!$C$42, 695, 695)*CHOOSE(CONTROL!$C$42, 0.5599, 0.5599)*CHOOSE(CONTROL!$C$42, 28, 28))/1000000</f>
        <v>10.895653999999999</v>
      </c>
      <c r="V878" s="58">
        <f>(1000*CHOOSE(CONTROL!$C$42, 500, 500)*CHOOSE(CONTROL!$C$42, 0.275, 0.275)*CHOOSE(CONTROL!$C$42, 28, 28))/1000000</f>
        <v>3.85</v>
      </c>
      <c r="W878" s="58">
        <f>(1000*CHOOSE(CONTROL!$C$42, 0.1146, 0.1146)*CHOOSE(CONTROL!$C$42, 121.5, 121.5)*CHOOSE(CONTROL!$C$42, 28, 28))/1000000</f>
        <v>0.38986920000000003</v>
      </c>
      <c r="X878" s="58">
        <f>(28*0.1790888*100000/1000000)+(28*0.2374*100000/1000000)</f>
        <v>1.16616864</v>
      </c>
      <c r="Y878" s="58"/>
      <c r="Z878" s="10"/>
      <c r="AA878" s="57"/>
      <c r="AB878" s="51">
        <f>(B878*122.58+C878*297.941+D878*89.177+E878*40.302+F878*40+G878*160+H878*0+I878*100+J878*300)/(122.58+297.941+89.177+40.302+0+40+160+100+300)</f>
        <v>31.632291563913036</v>
      </c>
      <c r="AC878" s="27">
        <f>(M878*'RAP TEMPLATE-GAS AVAILABILITY'!O877+N878*'RAP TEMPLATE-GAS AVAILABILITY'!P877+O878*'RAP TEMPLATE-GAS AVAILABILITY'!Q877+P878*'RAP TEMPLATE-GAS AVAILABILITY'!R877)/('RAP TEMPLATE-GAS AVAILABILITY'!O877+'RAP TEMPLATE-GAS AVAILABILITY'!P877+'RAP TEMPLATE-GAS AVAILABILITY'!Q877+'RAP TEMPLATE-GAS AVAILABILITY'!R877)</f>
        <v>31.372768345323742</v>
      </c>
    </row>
    <row r="879" spans="1:29" ht="15.75" x14ac:dyDescent="0.25">
      <c r="A879" s="13">
        <v>68027</v>
      </c>
      <c r="B879" s="10">
        <f>CHOOSE(CONTROL!$C$42, 30.6816, 30.6816) * CHOOSE(CONTROL!$C$21, $C$9, 100%, $E$9)</f>
        <v>30.6816</v>
      </c>
      <c r="C879" s="10">
        <f>CHOOSE(CONTROL!$C$42, 30.6865, 30.6865) * CHOOSE(CONTROL!$C$21, $C$9, 100%, $E$9)</f>
        <v>30.686499999999999</v>
      </c>
      <c r="D879" s="10">
        <f>CHOOSE(CONTROL!$C$42, 30.7779, 30.7779) * CHOOSE(CONTROL!$C$21, $C$9, 100%, $E$9)</f>
        <v>30.777899999999999</v>
      </c>
      <c r="E879" s="10">
        <f>CHOOSE(CONTROL!$C$42, 30.8117, 30.8117) * CHOOSE(CONTROL!$C$21, $C$9, 100%, $E$9)</f>
        <v>30.811699999999998</v>
      </c>
      <c r="F879" s="10">
        <f>CHOOSE(CONTROL!$C$42, 30.7114, 30.7114)*CHOOSE(CONTROL!$C$21, $C$9, 100%, $E$9)</f>
        <v>30.711400000000001</v>
      </c>
      <c r="G879" s="10">
        <f>CHOOSE(CONTROL!$C$42, 30.7309, 30.7309)*CHOOSE(CONTROL!$C$21, $C$9, 100%, $E$9)</f>
        <v>30.730899999999998</v>
      </c>
      <c r="H879" s="10">
        <f>CHOOSE(CONTROL!$C$42, 30.8009, 30.8009) * CHOOSE(CONTROL!$C$21, $C$9, 100%, $E$9)</f>
        <v>30.800899999999999</v>
      </c>
      <c r="I879" s="10">
        <f>CHOOSE(CONTROL!$C$42, 30.7044, 30.7044)* CHOOSE(CONTROL!$C$21, $C$9, 100%, $E$9)</f>
        <v>30.7044</v>
      </c>
      <c r="J879" s="10">
        <f>CHOOSE(CONTROL!$C$42, 30.7044, 30.7044)* CHOOSE(CONTROL!$C$21, $C$9, 100%, $E$9)</f>
        <v>30.7044</v>
      </c>
      <c r="K879" s="54">
        <f>CHOOSE(CONTROL!$C$42, 30.7005, 30.7005) * CHOOSE(CONTROL!$C$21, $C$9, 100%, $E$9)</f>
        <v>30.700500000000002</v>
      </c>
      <c r="L879" s="10">
        <f>CHOOSE(CONTROL!$C$42, 31.3879, 31.3879) * CHOOSE(CONTROL!$C$21, $C$9, 100%, $E$9)</f>
        <v>31.387899999999998</v>
      </c>
      <c r="M879" s="10">
        <f>CHOOSE(CONTROL!$C$42, 30.4084, 30.4084) * CHOOSE(CONTROL!$C$21, $C$9, 100%, $E$9)</f>
        <v>30.4084</v>
      </c>
      <c r="N879" s="10">
        <f>CHOOSE(CONTROL!$C$42, 30.4277, 30.4277) * CHOOSE(CONTROL!$C$21, $C$9, 100%, $E$9)</f>
        <v>30.427700000000002</v>
      </c>
      <c r="O879" s="10">
        <f>CHOOSE(CONTROL!$C$42, 30.5039, 30.5039) * CHOOSE(CONTROL!$C$21, $C$9, 100%, $E$9)</f>
        <v>30.503900000000002</v>
      </c>
      <c r="P879" s="10">
        <f>CHOOSE(CONTROL!$C$42, 30.4084, 30.4084) * CHOOSE(CONTROL!$C$21, $C$9, 100%, $E$9)</f>
        <v>30.4084</v>
      </c>
      <c r="Q879" s="10">
        <f>CHOOSE(CONTROL!$C$42, 31.0992, 31.0992) * CHOOSE(CONTROL!$C$21, $C$9, 100%, $E$9)</f>
        <v>31.0992</v>
      </c>
      <c r="R879" s="10">
        <f>CHOOSE(CONTROL!$C$42, 31.764, 31.764) * CHOOSE(CONTROL!$C$21, $C$9, 100%, $E$9)</f>
        <v>31.763999999999999</v>
      </c>
      <c r="S879" s="10">
        <f>CHOOSE(CONTROL!$C$42, 29.7928, 29.7928) * CHOOSE(CONTROL!$C$21, $C$9, 100%, $E$9)</f>
        <v>29.7928</v>
      </c>
      <c r="T879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79" s="58">
        <f>(1000*CHOOSE(CONTROL!$C$42, 695, 695)*CHOOSE(CONTROL!$C$42, 0.5599, 0.5599)*CHOOSE(CONTROL!$C$42, 31, 31))/1000000</f>
        <v>12.063045499999998</v>
      </c>
      <c r="V879" s="58">
        <f>(1000*CHOOSE(CONTROL!$C$42, 500, 500)*CHOOSE(CONTROL!$C$42, 0.275, 0.275)*CHOOSE(CONTROL!$C$42, 31, 31))/1000000</f>
        <v>4.2625000000000002</v>
      </c>
      <c r="W879" s="58">
        <f>(1000*CHOOSE(CONTROL!$C$42, 0.1146, 0.1146)*CHOOSE(CONTROL!$C$42, 121.5, 121.5)*CHOOSE(CONTROL!$C$42, 31, 31))/1000000</f>
        <v>0.43164089999999994</v>
      </c>
      <c r="X879" s="58">
        <f>(31*0.1790888*100000/1000000)+(31*0.2374*100000/1000000)</f>
        <v>1.2911152800000001</v>
      </c>
      <c r="Y879" s="58"/>
      <c r="Z879" s="10"/>
      <c r="AA879" s="57"/>
      <c r="AB879" s="51">
        <f>(B879*122.58+C879*297.941+D879*89.177+E879*40.302+F879*40+G879*160+H879*0+I879*100+J879*300)/(122.58+297.941+89.177+40.302+0+40+160+100+300)</f>
        <v>30.710722561913041</v>
      </c>
      <c r="AC879" s="27">
        <f>(M879*'RAP TEMPLATE-GAS AVAILABILITY'!O878+N879*'RAP TEMPLATE-GAS AVAILABILITY'!P878+O879*'RAP TEMPLATE-GAS AVAILABILITY'!Q878+P879*'RAP TEMPLATE-GAS AVAILABILITY'!R878)/('RAP TEMPLATE-GAS AVAILABILITY'!O878+'RAP TEMPLATE-GAS AVAILABILITY'!P878+'RAP TEMPLATE-GAS AVAILABILITY'!Q878+'RAP TEMPLATE-GAS AVAILABILITY'!R878)</f>
        <v>30.452794964028779</v>
      </c>
    </row>
    <row r="880" spans="1:29" ht="15.75" x14ac:dyDescent="0.25">
      <c r="A880" s="13">
        <v>68057</v>
      </c>
      <c r="B880" s="10">
        <f>CHOOSE(CONTROL!$C$42, 30.5905, 30.5905) * CHOOSE(CONTROL!$C$21, $C$9, 100%, $E$9)</f>
        <v>30.590499999999999</v>
      </c>
      <c r="C880" s="10">
        <f>CHOOSE(CONTROL!$C$42, 30.5949, 30.5949) * CHOOSE(CONTROL!$C$21, $C$9, 100%, $E$9)</f>
        <v>30.594899999999999</v>
      </c>
      <c r="D880" s="10">
        <f>CHOOSE(CONTROL!$C$42, 30.7766, 30.7766) * CHOOSE(CONTROL!$C$21, $C$9, 100%, $E$9)</f>
        <v>30.776599999999998</v>
      </c>
      <c r="E880" s="10">
        <f>CHOOSE(CONTROL!$C$42, 30.8083, 30.8083) * CHOOSE(CONTROL!$C$21, $C$9, 100%, $E$9)</f>
        <v>30.808299999999999</v>
      </c>
      <c r="F880" s="10">
        <f>CHOOSE(CONTROL!$C$42, 30.5788, 30.5788)*CHOOSE(CONTROL!$C$21, $C$9, 100%, $E$9)</f>
        <v>30.578800000000001</v>
      </c>
      <c r="G880" s="10">
        <f>CHOOSE(CONTROL!$C$42, 30.5968, 30.5968)*CHOOSE(CONTROL!$C$21, $C$9, 100%, $E$9)</f>
        <v>30.596800000000002</v>
      </c>
      <c r="H880" s="10">
        <f>CHOOSE(CONTROL!$C$42, 30.7981, 30.7981) * CHOOSE(CONTROL!$C$21, $C$9, 100%, $E$9)</f>
        <v>30.798100000000002</v>
      </c>
      <c r="I880" s="10">
        <f>CHOOSE(CONTROL!$C$42, 30.5688, 30.5688)* CHOOSE(CONTROL!$C$21, $C$9, 100%, $E$9)</f>
        <v>30.5688</v>
      </c>
      <c r="J880" s="10">
        <f>CHOOSE(CONTROL!$C$42, 30.5718, 30.5718)* CHOOSE(CONTROL!$C$21, $C$9, 100%, $E$9)</f>
        <v>30.5718</v>
      </c>
      <c r="K880" s="54">
        <f>CHOOSE(CONTROL!$C$42, 30.5649, 30.5649) * CHOOSE(CONTROL!$C$21, $C$9, 100%, $E$9)</f>
        <v>30.564900000000002</v>
      </c>
      <c r="L880" s="10">
        <f>CHOOSE(CONTROL!$C$42, 31.3851, 31.3851) * CHOOSE(CONTROL!$C$21, $C$9, 100%, $E$9)</f>
        <v>31.385100000000001</v>
      </c>
      <c r="M880" s="10">
        <f>CHOOSE(CONTROL!$C$42, 30.2771, 30.2771) * CHOOSE(CONTROL!$C$21, $C$9, 100%, $E$9)</f>
        <v>30.277100000000001</v>
      </c>
      <c r="N880" s="10">
        <f>CHOOSE(CONTROL!$C$42, 30.2949, 30.2949) * CHOOSE(CONTROL!$C$21, $C$9, 100%, $E$9)</f>
        <v>30.294899999999998</v>
      </c>
      <c r="O880" s="10">
        <f>CHOOSE(CONTROL!$C$42, 30.5011, 30.5011) * CHOOSE(CONTROL!$C$21, $C$9, 100%, $E$9)</f>
        <v>30.501100000000001</v>
      </c>
      <c r="P880" s="10">
        <f>CHOOSE(CONTROL!$C$42, 30.2741, 30.2741) * CHOOSE(CONTROL!$C$21, $C$9, 100%, $E$9)</f>
        <v>30.274100000000001</v>
      </c>
      <c r="Q880" s="10">
        <f>CHOOSE(CONTROL!$C$42, 31.0964, 31.0964) * CHOOSE(CONTROL!$C$21, $C$9, 100%, $E$9)</f>
        <v>31.096399999999999</v>
      </c>
      <c r="R880" s="10">
        <f>CHOOSE(CONTROL!$C$42, 31.7612, 31.7612) * CHOOSE(CONTROL!$C$21, $C$9, 100%, $E$9)</f>
        <v>31.761199999999999</v>
      </c>
      <c r="S880" s="10">
        <f>CHOOSE(CONTROL!$C$42, 29.7036, 29.7036) * CHOOSE(CONTROL!$C$21, $C$9, 100%, $E$9)</f>
        <v>29.703600000000002</v>
      </c>
      <c r="T880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80" s="58">
        <f>(1000*CHOOSE(CONTROL!$C$42, 695, 695)*CHOOSE(CONTROL!$C$42, 0.5599, 0.5599)*CHOOSE(CONTROL!$C$42, 30, 30))/1000000</f>
        <v>11.673914999999997</v>
      </c>
      <c r="V880" s="58">
        <f>(1000*CHOOSE(CONTROL!$C$42, 500, 500)*CHOOSE(CONTROL!$C$42, 0.275, 0.275)*CHOOSE(CONTROL!$C$42, 30, 30))/1000000</f>
        <v>4.125</v>
      </c>
      <c r="W880" s="58">
        <f>(1000*CHOOSE(CONTROL!$C$42, 0.1146, 0.1146)*CHOOSE(CONTROL!$C$42, 121.5, 121.5)*CHOOSE(CONTROL!$C$42, 30, 30))/1000000</f>
        <v>0.417717</v>
      </c>
      <c r="X880" s="58">
        <f>(30*0.1790888*245000/1000000)+(30*0.2374*100000/1000000)</f>
        <v>2.0285026799999999</v>
      </c>
      <c r="Y880" s="58"/>
      <c r="Z880" s="10"/>
      <c r="AA880" s="57"/>
      <c r="AB880" s="51">
        <f>(B880*141.293+C880*267.993+D880*115.016+E880*89.698+F880*40+G880*185+H880*0+I880*100+J880*300)/(141.293+267.993+115.016+89.698+0+40+185+100+300)</f>
        <v>30.618778749959649</v>
      </c>
      <c r="AC880" s="27">
        <f>(M880*'RAP TEMPLATE-GAS AVAILABILITY'!O879+N880*'RAP TEMPLATE-GAS AVAILABILITY'!P879+O880*'RAP TEMPLATE-GAS AVAILABILITY'!Q879+P880*'RAP TEMPLATE-GAS AVAILABILITY'!R879)/('RAP TEMPLATE-GAS AVAILABILITY'!O879+'RAP TEMPLATE-GAS AVAILABILITY'!P879+'RAP TEMPLATE-GAS AVAILABILITY'!Q879+'RAP TEMPLATE-GAS AVAILABILITY'!R879)</f>
        <v>30.379217985611508</v>
      </c>
    </row>
    <row r="881" spans="1:29" ht="15.75" x14ac:dyDescent="0.25">
      <c r="A881" s="13">
        <v>68088</v>
      </c>
      <c r="B881" s="10">
        <f>CHOOSE(CONTROL!$C$42, 30.8623, 30.8623) * CHOOSE(CONTROL!$C$21, $C$9, 100%, $E$9)</f>
        <v>30.862300000000001</v>
      </c>
      <c r="C881" s="10">
        <f>CHOOSE(CONTROL!$C$42, 30.8702, 30.8702) * CHOOSE(CONTROL!$C$21, $C$9, 100%, $E$9)</f>
        <v>30.870200000000001</v>
      </c>
      <c r="D881" s="10">
        <f>CHOOSE(CONTROL!$C$42, 31.0487, 31.0487) * CHOOSE(CONTROL!$C$21, $C$9, 100%, $E$9)</f>
        <v>31.0487</v>
      </c>
      <c r="E881" s="10">
        <f>CHOOSE(CONTROL!$C$42, 31.0798, 31.0798) * CHOOSE(CONTROL!$C$21, $C$9, 100%, $E$9)</f>
        <v>31.079799999999999</v>
      </c>
      <c r="F881" s="10">
        <f>CHOOSE(CONTROL!$C$42, 30.8484, 30.8484)*CHOOSE(CONTROL!$C$21, $C$9, 100%, $E$9)</f>
        <v>30.848400000000002</v>
      </c>
      <c r="G881" s="10">
        <f>CHOOSE(CONTROL!$C$42, 30.8666, 30.8666)*CHOOSE(CONTROL!$C$21, $C$9, 100%, $E$9)</f>
        <v>30.866599999999998</v>
      </c>
      <c r="H881" s="10">
        <f>CHOOSE(CONTROL!$C$42, 31.0685, 31.0685) * CHOOSE(CONTROL!$C$21, $C$9, 100%, $E$9)</f>
        <v>31.0685</v>
      </c>
      <c r="I881" s="10">
        <f>CHOOSE(CONTROL!$C$42, 30.8391, 30.8391)* CHOOSE(CONTROL!$C$21, $C$9, 100%, $E$9)</f>
        <v>30.839099999999998</v>
      </c>
      <c r="J881" s="10">
        <f>CHOOSE(CONTROL!$C$42, 30.8414, 30.8414)* CHOOSE(CONTROL!$C$21, $C$9, 100%, $E$9)</f>
        <v>30.8414</v>
      </c>
      <c r="K881" s="54">
        <f>CHOOSE(CONTROL!$C$42, 30.8352, 30.8352) * CHOOSE(CONTROL!$C$21, $C$9, 100%, $E$9)</f>
        <v>30.8352</v>
      </c>
      <c r="L881" s="10">
        <f>CHOOSE(CONTROL!$C$42, 31.6555, 31.6555) * CHOOSE(CONTROL!$C$21, $C$9, 100%, $E$9)</f>
        <v>31.6555</v>
      </c>
      <c r="M881" s="10">
        <f>CHOOSE(CONTROL!$C$42, 30.544, 30.544) * CHOOSE(CONTROL!$C$21, $C$9, 100%, $E$9)</f>
        <v>30.544</v>
      </c>
      <c r="N881" s="10">
        <f>CHOOSE(CONTROL!$C$42, 30.562, 30.562) * CHOOSE(CONTROL!$C$21, $C$9, 100%, $E$9)</f>
        <v>30.562000000000001</v>
      </c>
      <c r="O881" s="10">
        <f>CHOOSE(CONTROL!$C$42, 30.7688, 30.7688) * CHOOSE(CONTROL!$C$21, $C$9, 100%, $E$9)</f>
        <v>30.768799999999999</v>
      </c>
      <c r="P881" s="10">
        <f>CHOOSE(CONTROL!$C$42, 30.5418, 30.5418) * CHOOSE(CONTROL!$C$21, $C$9, 100%, $E$9)</f>
        <v>30.541799999999999</v>
      </c>
      <c r="Q881" s="10">
        <f>CHOOSE(CONTROL!$C$42, 31.3641, 31.3641) * CHOOSE(CONTROL!$C$21, $C$9, 100%, $E$9)</f>
        <v>31.364100000000001</v>
      </c>
      <c r="R881" s="10">
        <f>CHOOSE(CONTROL!$C$42, 32.0295, 32.0295) * CHOOSE(CONTROL!$C$21, $C$9, 100%, $E$9)</f>
        <v>32.029499999999999</v>
      </c>
      <c r="S881" s="10">
        <f>CHOOSE(CONTROL!$C$42, 29.9661, 29.9661) * CHOOSE(CONTROL!$C$21, $C$9, 100%, $E$9)</f>
        <v>29.966100000000001</v>
      </c>
      <c r="T881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81" s="58">
        <f>(1000*CHOOSE(CONTROL!$C$42, 695, 695)*CHOOSE(CONTROL!$C$42, 0.5599, 0.5599)*CHOOSE(CONTROL!$C$42, 31, 31))/1000000</f>
        <v>12.063045499999998</v>
      </c>
      <c r="V881" s="58">
        <f>(1000*CHOOSE(CONTROL!$C$42, 500, 500)*CHOOSE(CONTROL!$C$42, 0.275, 0.275)*CHOOSE(CONTROL!$C$42, 31, 31))/1000000</f>
        <v>4.2625000000000002</v>
      </c>
      <c r="W881" s="58">
        <f>(1000*CHOOSE(CONTROL!$C$42, 0.1146, 0.1146)*CHOOSE(CONTROL!$C$42, 121.5, 121.5)*CHOOSE(CONTROL!$C$42, 31, 31))/1000000</f>
        <v>0.43164089999999994</v>
      </c>
      <c r="X881" s="58">
        <f>(31*0.1790888*245000/1000000)+(31*0.2374*100000/1000000)</f>
        <v>2.0961194359999999</v>
      </c>
      <c r="Y881" s="58"/>
      <c r="Z881" s="10"/>
      <c r="AA881" s="57"/>
      <c r="AB881" s="51">
        <f>(B881*194.205+C881*267.466+D881*133.845+E881*53.484+F881*40+G881*185+H881*0+I881*100+J881*300)/(194.205+267.466+133.845+53.484+0+40+185+100+300)</f>
        <v>30.886117864521196</v>
      </c>
      <c r="AC881" s="27">
        <f>(M881*'RAP TEMPLATE-GAS AVAILABILITY'!O880+N881*'RAP TEMPLATE-GAS AVAILABILITY'!P880+O881*'RAP TEMPLATE-GAS AVAILABILITY'!Q880+P881*'RAP TEMPLATE-GAS AVAILABILITY'!R880)/('RAP TEMPLATE-GAS AVAILABILITY'!O880+'RAP TEMPLATE-GAS AVAILABILITY'!P880+'RAP TEMPLATE-GAS AVAILABILITY'!Q880+'RAP TEMPLATE-GAS AVAILABILITY'!R880)</f>
        <v>30.646607194244606</v>
      </c>
    </row>
    <row r="882" spans="1:29" ht="15.75" x14ac:dyDescent="0.25">
      <c r="A882" s="13">
        <v>68118</v>
      </c>
      <c r="B882" s="10">
        <f>CHOOSE(CONTROL!$C$42, 31.7376, 31.7376) * CHOOSE(CONTROL!$C$21, $C$9, 100%, $E$9)</f>
        <v>31.7376</v>
      </c>
      <c r="C882" s="10">
        <f>CHOOSE(CONTROL!$C$42, 31.7455, 31.7455) * CHOOSE(CONTROL!$C$21, $C$9, 100%, $E$9)</f>
        <v>31.7455</v>
      </c>
      <c r="D882" s="10">
        <f>CHOOSE(CONTROL!$C$42, 31.924, 31.924) * CHOOSE(CONTROL!$C$21, $C$9, 100%, $E$9)</f>
        <v>31.923999999999999</v>
      </c>
      <c r="E882" s="10">
        <f>CHOOSE(CONTROL!$C$42, 31.9551, 31.9551) * CHOOSE(CONTROL!$C$21, $C$9, 100%, $E$9)</f>
        <v>31.955100000000002</v>
      </c>
      <c r="F882" s="10">
        <f>CHOOSE(CONTROL!$C$42, 31.724, 31.724)*CHOOSE(CONTROL!$C$21, $C$9, 100%, $E$9)</f>
        <v>31.724</v>
      </c>
      <c r="G882" s="10">
        <f>CHOOSE(CONTROL!$C$42, 31.7422, 31.7422)*CHOOSE(CONTROL!$C$21, $C$9, 100%, $E$9)</f>
        <v>31.7422</v>
      </c>
      <c r="H882" s="10">
        <f>CHOOSE(CONTROL!$C$42, 31.9438, 31.9438) * CHOOSE(CONTROL!$C$21, $C$9, 100%, $E$9)</f>
        <v>31.9438</v>
      </c>
      <c r="I882" s="10">
        <f>CHOOSE(CONTROL!$C$42, 31.7144, 31.7144)* CHOOSE(CONTROL!$C$21, $C$9, 100%, $E$9)</f>
        <v>31.714400000000001</v>
      </c>
      <c r="J882" s="10">
        <f>CHOOSE(CONTROL!$C$42, 31.717, 31.717)* CHOOSE(CONTROL!$C$21, $C$9, 100%, $E$9)</f>
        <v>31.716999999999999</v>
      </c>
      <c r="K882" s="54">
        <f>CHOOSE(CONTROL!$C$42, 31.7105, 31.7105) * CHOOSE(CONTROL!$C$21, $C$9, 100%, $E$9)</f>
        <v>31.7105</v>
      </c>
      <c r="L882" s="10">
        <f>CHOOSE(CONTROL!$C$42, 32.5308, 32.5308) * CHOOSE(CONTROL!$C$21, $C$9, 100%, $E$9)</f>
        <v>32.530799999999999</v>
      </c>
      <c r="M882" s="10">
        <f>CHOOSE(CONTROL!$C$42, 31.4107, 31.4107) * CHOOSE(CONTROL!$C$21, $C$9, 100%, $E$9)</f>
        <v>31.410699999999999</v>
      </c>
      <c r="N882" s="10">
        <f>CHOOSE(CONTROL!$C$42, 31.4288, 31.4288) * CHOOSE(CONTROL!$C$21, $C$9, 100%, $E$9)</f>
        <v>31.428799999999999</v>
      </c>
      <c r="O882" s="10">
        <f>CHOOSE(CONTROL!$C$42, 31.6352, 31.6352) * CHOOSE(CONTROL!$C$21, $C$9, 100%, $E$9)</f>
        <v>31.635200000000001</v>
      </c>
      <c r="P882" s="10">
        <f>CHOOSE(CONTROL!$C$42, 31.4082, 31.4082) * CHOOSE(CONTROL!$C$21, $C$9, 100%, $E$9)</f>
        <v>31.408200000000001</v>
      </c>
      <c r="Q882" s="10">
        <f>CHOOSE(CONTROL!$C$42, 32.2305, 32.2305) * CHOOSE(CONTROL!$C$21, $C$9, 100%, $E$9)</f>
        <v>32.230499999999999</v>
      </c>
      <c r="R882" s="10">
        <f>CHOOSE(CONTROL!$C$42, 32.8981, 32.8981) * CHOOSE(CONTROL!$C$21, $C$9, 100%, $E$9)</f>
        <v>32.898099999999999</v>
      </c>
      <c r="S882" s="10">
        <f>CHOOSE(CONTROL!$C$42, 30.8161, 30.8161) * CHOOSE(CONTROL!$C$21, $C$9, 100%, $E$9)</f>
        <v>30.816099999999999</v>
      </c>
      <c r="T882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882" s="58">
        <f>(1000*CHOOSE(CONTROL!$C$42, 695, 695)*CHOOSE(CONTROL!$C$42, 0.5599, 0.5599)*CHOOSE(CONTROL!$C$42, 30, 30))/1000000</f>
        <v>11.673914999999997</v>
      </c>
      <c r="V882" s="58">
        <f>(1000*CHOOSE(CONTROL!$C$42, 500, 500)*CHOOSE(CONTROL!$C$42, 0.275, 0.275)*CHOOSE(CONTROL!$C$42, 30, 30))/1000000</f>
        <v>4.125</v>
      </c>
      <c r="W882" s="58">
        <f>(1000*CHOOSE(CONTROL!$C$42, 0.1146, 0.1146)*CHOOSE(CONTROL!$C$42, 121.5, 121.5)*CHOOSE(CONTROL!$C$42, 30, 30))/1000000</f>
        <v>0.417717</v>
      </c>
      <c r="X882" s="58">
        <f>(30*0.1790888*245000/1000000)+(30*0.2374*100000/1000000)</f>
        <v>2.0285026799999999</v>
      </c>
      <c r="Y882" s="58"/>
      <c r="Z882" s="10"/>
      <c r="AA882" s="57"/>
      <c r="AB882" s="51">
        <f>(B882*194.205+C882*267.466+D882*133.845+E882*53.484+F882*40+G882*185+H882*0+I882*100+J882*300)/(194.205+267.466+133.845+53.484+0+40+185+100+300)</f>
        <v>31.761541490894821</v>
      </c>
      <c r="AC882" s="27">
        <f>(M882*'RAP TEMPLATE-GAS AVAILABILITY'!O881+N882*'RAP TEMPLATE-GAS AVAILABILITY'!P881+O882*'RAP TEMPLATE-GAS AVAILABILITY'!Q881+P882*'RAP TEMPLATE-GAS AVAILABILITY'!R881)/('RAP TEMPLATE-GAS AVAILABILITY'!O881+'RAP TEMPLATE-GAS AVAILABILITY'!P881+'RAP TEMPLATE-GAS AVAILABILITY'!Q881+'RAP TEMPLATE-GAS AVAILABILITY'!R881)</f>
        <v>31.513133812949636</v>
      </c>
    </row>
    <row r="883" spans="1:29" ht="15.75" x14ac:dyDescent="0.25">
      <c r="A883" s="13">
        <v>68149</v>
      </c>
      <c r="B883" s="10">
        <f>CHOOSE(CONTROL!$C$42, 31.1288, 31.1288) * CHOOSE(CONTROL!$C$21, $C$9, 100%, $E$9)</f>
        <v>31.128799999999998</v>
      </c>
      <c r="C883" s="10">
        <f>CHOOSE(CONTROL!$C$42, 31.1367, 31.1367) * CHOOSE(CONTROL!$C$21, $C$9, 100%, $E$9)</f>
        <v>31.136700000000001</v>
      </c>
      <c r="D883" s="10">
        <f>CHOOSE(CONTROL!$C$42, 31.3152, 31.3152) * CHOOSE(CONTROL!$C$21, $C$9, 100%, $E$9)</f>
        <v>31.315200000000001</v>
      </c>
      <c r="E883" s="10">
        <f>CHOOSE(CONTROL!$C$42, 31.3464, 31.3464) * CHOOSE(CONTROL!$C$21, $C$9, 100%, $E$9)</f>
        <v>31.346399999999999</v>
      </c>
      <c r="F883" s="10">
        <f>CHOOSE(CONTROL!$C$42, 31.1155, 31.1155)*CHOOSE(CONTROL!$C$21, $C$9, 100%, $E$9)</f>
        <v>31.115500000000001</v>
      </c>
      <c r="G883" s="10">
        <f>CHOOSE(CONTROL!$C$42, 31.1338, 31.1338)*CHOOSE(CONTROL!$C$21, $C$9, 100%, $E$9)</f>
        <v>31.133800000000001</v>
      </c>
      <c r="H883" s="10">
        <f>CHOOSE(CONTROL!$C$42, 31.335, 31.335) * CHOOSE(CONTROL!$C$21, $C$9, 100%, $E$9)</f>
        <v>31.335000000000001</v>
      </c>
      <c r="I883" s="10">
        <f>CHOOSE(CONTROL!$C$42, 31.1057, 31.1057)* CHOOSE(CONTROL!$C$21, $C$9, 100%, $E$9)</f>
        <v>31.105699999999999</v>
      </c>
      <c r="J883" s="10">
        <f>CHOOSE(CONTROL!$C$42, 31.1085, 31.1085)* CHOOSE(CONTROL!$C$21, $C$9, 100%, $E$9)</f>
        <v>31.108499999999999</v>
      </c>
      <c r="K883" s="54">
        <f>CHOOSE(CONTROL!$C$42, 31.1018, 31.1018) * CHOOSE(CONTROL!$C$21, $C$9, 100%, $E$9)</f>
        <v>31.101800000000001</v>
      </c>
      <c r="L883" s="10">
        <f>CHOOSE(CONTROL!$C$42, 31.922, 31.922) * CHOOSE(CONTROL!$C$21, $C$9, 100%, $E$9)</f>
        <v>31.922000000000001</v>
      </c>
      <c r="M883" s="10">
        <f>CHOOSE(CONTROL!$C$42, 30.8084, 30.8084) * CHOOSE(CONTROL!$C$21, $C$9, 100%, $E$9)</f>
        <v>30.808399999999999</v>
      </c>
      <c r="N883" s="10">
        <f>CHOOSE(CONTROL!$C$42, 30.8265, 30.8265) * CHOOSE(CONTROL!$C$21, $C$9, 100%, $E$9)</f>
        <v>30.826499999999999</v>
      </c>
      <c r="O883" s="10">
        <f>CHOOSE(CONTROL!$C$42, 31.0326, 31.0326) * CHOOSE(CONTROL!$C$21, $C$9, 100%, $E$9)</f>
        <v>31.032599999999999</v>
      </c>
      <c r="P883" s="10">
        <f>CHOOSE(CONTROL!$C$42, 30.8056, 30.8056) * CHOOSE(CONTROL!$C$21, $C$9, 100%, $E$9)</f>
        <v>30.805599999999998</v>
      </c>
      <c r="Q883" s="10">
        <f>CHOOSE(CONTROL!$C$42, 31.6279, 31.6279) * CHOOSE(CONTROL!$C$21, $C$9, 100%, $E$9)</f>
        <v>31.6279</v>
      </c>
      <c r="R883" s="10">
        <f>CHOOSE(CONTROL!$C$42, 32.294, 32.294) * CHOOSE(CONTROL!$C$21, $C$9, 100%, $E$9)</f>
        <v>32.293999999999997</v>
      </c>
      <c r="S883" s="10">
        <f>CHOOSE(CONTROL!$C$42, 30.2249, 30.2249) * CHOOSE(CONTROL!$C$21, $C$9, 100%, $E$9)</f>
        <v>30.224900000000002</v>
      </c>
      <c r="T883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883" s="58">
        <f>(1000*CHOOSE(CONTROL!$C$42, 695, 695)*CHOOSE(CONTROL!$C$42, 0.5599, 0.5599)*CHOOSE(CONTROL!$C$42, 31, 31))/1000000</f>
        <v>12.063045499999998</v>
      </c>
      <c r="V883" s="58">
        <f>(1000*CHOOSE(CONTROL!$C$42, 500, 500)*CHOOSE(CONTROL!$C$42, 0.275, 0.275)*CHOOSE(CONTROL!$C$42, 31, 31))/1000000</f>
        <v>4.2625000000000002</v>
      </c>
      <c r="W883" s="58">
        <f>(1000*CHOOSE(CONTROL!$C$42, 0.1146, 0.1146)*CHOOSE(CONTROL!$C$42, 121.5, 121.5)*CHOOSE(CONTROL!$C$42, 31, 31))/1000000</f>
        <v>0.43164089999999994</v>
      </c>
      <c r="X883" s="58">
        <f>(31*0.1790888*245000/1000000)+(31*0.2374*100000/1000000)</f>
        <v>2.0961194359999999</v>
      </c>
      <c r="Y883" s="58"/>
      <c r="Z883" s="10"/>
      <c r="AA883" s="57"/>
      <c r="AB883" s="51">
        <f>(B883*194.205+C883*267.466+D883*133.845+E883*53.484+F883*40+G883*185+H883*0+I883*100+J883*300)/(194.205+267.466+133.845+53.484+0+40+185+100+300)</f>
        <v>31.152891685871271</v>
      </c>
      <c r="AC883" s="27">
        <f>(M883*'RAP TEMPLATE-GAS AVAILABILITY'!O882+N883*'RAP TEMPLATE-GAS AVAILABILITY'!P882+O883*'RAP TEMPLATE-GAS AVAILABILITY'!Q882+P883*'RAP TEMPLATE-GAS AVAILABILITY'!R882)/('RAP TEMPLATE-GAS AVAILABILITY'!O882+'RAP TEMPLATE-GAS AVAILABILITY'!P882+'RAP TEMPLATE-GAS AVAILABILITY'!Q882+'RAP TEMPLATE-GAS AVAILABILITY'!R882)</f>
        <v>30.910654676258996</v>
      </c>
    </row>
    <row r="884" spans="1:29" ht="15.75" x14ac:dyDescent="0.25">
      <c r="A884" s="13">
        <v>68180</v>
      </c>
      <c r="B884" s="10">
        <f>CHOOSE(CONTROL!$C$42, 29.5914, 29.5914) * CHOOSE(CONTROL!$C$21, $C$9, 100%, $E$9)</f>
        <v>29.5914</v>
      </c>
      <c r="C884" s="10">
        <f>CHOOSE(CONTROL!$C$42, 29.5994, 29.5994) * CHOOSE(CONTROL!$C$21, $C$9, 100%, $E$9)</f>
        <v>29.599399999999999</v>
      </c>
      <c r="D884" s="10">
        <f>CHOOSE(CONTROL!$C$42, 29.7779, 29.7779) * CHOOSE(CONTROL!$C$21, $C$9, 100%, $E$9)</f>
        <v>29.777899999999999</v>
      </c>
      <c r="E884" s="10">
        <f>CHOOSE(CONTROL!$C$42, 29.809, 29.809) * CHOOSE(CONTROL!$C$21, $C$9, 100%, $E$9)</f>
        <v>29.809000000000001</v>
      </c>
      <c r="F884" s="10">
        <f>CHOOSE(CONTROL!$C$42, 29.5781, 29.5781)*CHOOSE(CONTROL!$C$21, $C$9, 100%, $E$9)</f>
        <v>29.578099999999999</v>
      </c>
      <c r="G884" s="10">
        <f>CHOOSE(CONTROL!$C$42, 29.5964, 29.5964)*CHOOSE(CONTROL!$C$21, $C$9, 100%, $E$9)</f>
        <v>29.596399999999999</v>
      </c>
      <c r="H884" s="10">
        <f>CHOOSE(CONTROL!$C$42, 29.7977, 29.7977) * CHOOSE(CONTROL!$C$21, $C$9, 100%, $E$9)</f>
        <v>29.797699999999999</v>
      </c>
      <c r="I884" s="10">
        <f>CHOOSE(CONTROL!$C$42, 29.5683, 29.5683)* CHOOSE(CONTROL!$C$21, $C$9, 100%, $E$9)</f>
        <v>29.568300000000001</v>
      </c>
      <c r="J884" s="10">
        <f>CHOOSE(CONTROL!$C$42, 29.5711, 29.5711)* CHOOSE(CONTROL!$C$21, $C$9, 100%, $E$9)</f>
        <v>29.571100000000001</v>
      </c>
      <c r="K884" s="54">
        <f>CHOOSE(CONTROL!$C$42, 29.5644, 29.5644) * CHOOSE(CONTROL!$C$21, $C$9, 100%, $E$9)</f>
        <v>29.564399999999999</v>
      </c>
      <c r="L884" s="10">
        <f>CHOOSE(CONTROL!$C$42, 30.3847, 30.3847) * CHOOSE(CONTROL!$C$21, $C$9, 100%, $E$9)</f>
        <v>30.384699999999999</v>
      </c>
      <c r="M884" s="10">
        <f>CHOOSE(CONTROL!$C$42, 29.2865, 29.2865) * CHOOSE(CONTROL!$C$21, $C$9, 100%, $E$9)</f>
        <v>29.2865</v>
      </c>
      <c r="N884" s="10">
        <f>CHOOSE(CONTROL!$C$42, 29.3046, 29.3046) * CHOOSE(CONTROL!$C$21, $C$9, 100%, $E$9)</f>
        <v>29.304600000000001</v>
      </c>
      <c r="O884" s="10">
        <f>CHOOSE(CONTROL!$C$42, 29.5108, 29.5108) * CHOOSE(CONTROL!$C$21, $C$9, 100%, $E$9)</f>
        <v>29.5108</v>
      </c>
      <c r="P884" s="10">
        <f>CHOOSE(CONTROL!$C$42, 29.2838, 29.2838) * CHOOSE(CONTROL!$C$21, $C$9, 100%, $E$9)</f>
        <v>29.283799999999999</v>
      </c>
      <c r="Q884" s="10">
        <f>CHOOSE(CONTROL!$C$42, 30.1061, 30.1061) * CHOOSE(CONTROL!$C$21, $C$9, 100%, $E$9)</f>
        <v>30.106100000000001</v>
      </c>
      <c r="R884" s="10">
        <f>CHOOSE(CONTROL!$C$42, 30.7683, 30.7683) * CHOOSE(CONTROL!$C$21, $C$9, 100%, $E$9)</f>
        <v>30.7683</v>
      </c>
      <c r="S884" s="10">
        <f>CHOOSE(CONTROL!$C$42, 28.732, 28.732) * CHOOSE(CONTROL!$C$21, $C$9, 100%, $E$9)</f>
        <v>28.731999999999999</v>
      </c>
      <c r="T884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84" s="58">
        <f>(1000*CHOOSE(CONTROL!$C$42, 695, 695)*CHOOSE(CONTROL!$C$42, 0.5599, 0.5599)*CHOOSE(CONTROL!$C$42, 31, 31))/1000000</f>
        <v>12.063045499999998</v>
      </c>
      <c r="V884" s="58">
        <f>(1000*CHOOSE(CONTROL!$C$42, 500, 500)*CHOOSE(CONTROL!$C$42, 0.275, 0.275)*CHOOSE(CONTROL!$C$42, 31, 31))/1000000</f>
        <v>4.2625000000000002</v>
      </c>
      <c r="W884" s="58">
        <f>(1000*CHOOSE(CONTROL!$C$42, 0.1146, 0.1146)*CHOOSE(CONTROL!$C$42, 121.5, 121.5)*CHOOSE(CONTROL!$C$42, 31, 31))/1000000</f>
        <v>0.43164089999999994</v>
      </c>
      <c r="X884" s="58">
        <f>(31*0.1790888*245000/1000000)+(31*0.2374*100000/1000000)</f>
        <v>2.0961194359999999</v>
      </c>
      <c r="Y884" s="58"/>
      <c r="Z884" s="10"/>
      <c r="AA884" s="57"/>
      <c r="AB884" s="51">
        <f>(B884*194.205+C884*267.466+D884*133.845+E884*53.484+F884*40+G884*185+H884*0+I884*100+J884*300)/(194.205+267.466+133.845+53.484+0+40+185+100+300)</f>
        <v>29.615523185949765</v>
      </c>
      <c r="AC884" s="27">
        <f>(M884*'RAP TEMPLATE-GAS AVAILABILITY'!O883+N884*'RAP TEMPLATE-GAS AVAILABILITY'!P883+O884*'RAP TEMPLATE-GAS AVAILABILITY'!Q883+P884*'RAP TEMPLATE-GAS AVAILABILITY'!R883)/('RAP TEMPLATE-GAS AVAILABILITY'!O883+'RAP TEMPLATE-GAS AVAILABILITY'!P883+'RAP TEMPLATE-GAS AVAILABILITY'!Q883+'RAP TEMPLATE-GAS AVAILABILITY'!R883)</f>
        <v>29.388814388489205</v>
      </c>
    </row>
    <row r="885" spans="1:29" ht="15.75" x14ac:dyDescent="0.25">
      <c r="A885" s="13">
        <v>68210</v>
      </c>
      <c r="B885" s="10">
        <f>CHOOSE(CONTROL!$C$42, 27.7131, 27.7131) * CHOOSE(CONTROL!$C$21, $C$9, 100%, $E$9)</f>
        <v>27.713100000000001</v>
      </c>
      <c r="C885" s="10">
        <f>CHOOSE(CONTROL!$C$42, 27.721, 27.721) * CHOOSE(CONTROL!$C$21, $C$9, 100%, $E$9)</f>
        <v>27.721</v>
      </c>
      <c r="D885" s="10">
        <f>CHOOSE(CONTROL!$C$42, 27.8995, 27.8995) * CHOOSE(CONTROL!$C$21, $C$9, 100%, $E$9)</f>
        <v>27.8995</v>
      </c>
      <c r="E885" s="10">
        <f>CHOOSE(CONTROL!$C$42, 27.9307, 27.9307) * CHOOSE(CONTROL!$C$21, $C$9, 100%, $E$9)</f>
        <v>27.930700000000002</v>
      </c>
      <c r="F885" s="10">
        <f>CHOOSE(CONTROL!$C$42, 27.6995, 27.6995)*CHOOSE(CONTROL!$C$21, $C$9, 100%, $E$9)</f>
        <v>27.6995</v>
      </c>
      <c r="G885" s="10">
        <f>CHOOSE(CONTROL!$C$42, 27.7177, 27.7177)*CHOOSE(CONTROL!$C$21, $C$9, 100%, $E$9)</f>
        <v>27.717700000000001</v>
      </c>
      <c r="H885" s="10">
        <f>CHOOSE(CONTROL!$C$42, 27.9193, 27.9193) * CHOOSE(CONTROL!$C$21, $C$9, 100%, $E$9)</f>
        <v>27.9193</v>
      </c>
      <c r="I885" s="10">
        <f>CHOOSE(CONTROL!$C$42, 27.69, 27.69)* CHOOSE(CONTROL!$C$21, $C$9, 100%, $E$9)</f>
        <v>27.69</v>
      </c>
      <c r="J885" s="10">
        <f>CHOOSE(CONTROL!$C$42, 27.6925, 27.6925)* CHOOSE(CONTROL!$C$21, $C$9, 100%, $E$9)</f>
        <v>27.692499999999999</v>
      </c>
      <c r="K885" s="54">
        <f>CHOOSE(CONTROL!$C$42, 27.6861, 27.6861) * CHOOSE(CONTROL!$C$21, $C$9, 100%, $E$9)</f>
        <v>27.6861</v>
      </c>
      <c r="L885" s="10">
        <f>CHOOSE(CONTROL!$C$42, 28.5063, 28.5063) * CHOOSE(CONTROL!$C$21, $C$9, 100%, $E$9)</f>
        <v>28.5063</v>
      </c>
      <c r="M885" s="10">
        <f>CHOOSE(CONTROL!$C$42, 27.4268, 27.4268) * CHOOSE(CONTROL!$C$21, $C$9, 100%, $E$9)</f>
        <v>27.4268</v>
      </c>
      <c r="N885" s="10">
        <f>CHOOSE(CONTROL!$C$42, 27.4449, 27.4449) * CHOOSE(CONTROL!$C$21, $C$9, 100%, $E$9)</f>
        <v>27.444900000000001</v>
      </c>
      <c r="O885" s="10">
        <f>CHOOSE(CONTROL!$C$42, 27.6514, 27.6514) * CHOOSE(CONTROL!$C$21, $C$9, 100%, $E$9)</f>
        <v>27.651399999999999</v>
      </c>
      <c r="P885" s="10">
        <f>CHOOSE(CONTROL!$C$42, 27.4244, 27.4244) * CHOOSE(CONTROL!$C$21, $C$9, 100%, $E$9)</f>
        <v>27.424399999999999</v>
      </c>
      <c r="Q885" s="10">
        <f>CHOOSE(CONTROL!$C$42, 28.2467, 28.2467) * CHOOSE(CONTROL!$C$21, $C$9, 100%, $E$9)</f>
        <v>28.246700000000001</v>
      </c>
      <c r="R885" s="10">
        <f>CHOOSE(CONTROL!$C$42, 28.9043, 28.9043) * CHOOSE(CONTROL!$C$21, $C$9, 100%, $E$9)</f>
        <v>28.904299999999999</v>
      </c>
      <c r="S885" s="10">
        <f>CHOOSE(CONTROL!$C$42, 26.9079, 26.9079) * CHOOSE(CONTROL!$C$21, $C$9, 100%, $E$9)</f>
        <v>26.907900000000001</v>
      </c>
      <c r="T885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85" s="58">
        <f>(1000*CHOOSE(CONTROL!$C$42, 695, 695)*CHOOSE(CONTROL!$C$42, 0.5599, 0.5599)*CHOOSE(CONTROL!$C$42, 30, 30))/1000000</f>
        <v>11.673914999999997</v>
      </c>
      <c r="V885" s="58">
        <f>(1000*CHOOSE(CONTROL!$C$42, 500, 500)*CHOOSE(CONTROL!$C$42, 0.275, 0.275)*CHOOSE(CONTROL!$C$42, 30, 30))/1000000</f>
        <v>4.125</v>
      </c>
      <c r="W885" s="58">
        <f>(1000*CHOOSE(CONTROL!$C$42, 0.1146, 0.1146)*CHOOSE(CONTROL!$C$42, 121.5, 121.5)*CHOOSE(CONTROL!$C$42, 30, 30))/1000000</f>
        <v>0.417717</v>
      </c>
      <c r="X885" s="58">
        <f>(30*0.1790888*245000/1000000)+(30*0.2374*100000/1000000)</f>
        <v>2.0285026799999999</v>
      </c>
      <c r="Y885" s="58"/>
      <c r="Z885" s="10"/>
      <c r="AA885" s="57"/>
      <c r="AB885" s="51">
        <f>(B885*194.205+C885*267.466+D885*133.845+E885*53.484+F885*40+G885*185+H885*0+I885*100+J885*300)/(194.205+267.466+133.845+53.484+0+40+185+100+300)</f>
        <v>27.737053538304558</v>
      </c>
      <c r="AC885" s="27">
        <f>(M885*'RAP TEMPLATE-GAS AVAILABILITY'!O884+N885*'RAP TEMPLATE-GAS AVAILABILITY'!P884+O885*'RAP TEMPLATE-GAS AVAILABILITY'!Q884+P885*'RAP TEMPLATE-GAS AVAILABILITY'!R884)/('RAP TEMPLATE-GAS AVAILABILITY'!O884+'RAP TEMPLATE-GAS AVAILABILITY'!P884+'RAP TEMPLATE-GAS AVAILABILITY'!Q884+'RAP TEMPLATE-GAS AVAILABILITY'!R884)</f>
        <v>27.529293525179853</v>
      </c>
    </row>
    <row r="886" spans="1:29" ht="15.75" x14ac:dyDescent="0.25">
      <c r="A886" s="13">
        <v>68241</v>
      </c>
      <c r="B886" s="10">
        <f>CHOOSE(CONTROL!$C$42, 27.1484, 27.1484) * CHOOSE(CONTROL!$C$21, $C$9, 100%, $E$9)</f>
        <v>27.148399999999999</v>
      </c>
      <c r="C886" s="10">
        <f>CHOOSE(CONTROL!$C$42, 27.1536, 27.1536) * CHOOSE(CONTROL!$C$21, $C$9, 100%, $E$9)</f>
        <v>27.153600000000001</v>
      </c>
      <c r="D886" s="10">
        <f>CHOOSE(CONTROL!$C$42, 27.3371, 27.3371) * CHOOSE(CONTROL!$C$21, $C$9, 100%, $E$9)</f>
        <v>27.3371</v>
      </c>
      <c r="E886" s="10">
        <f>CHOOSE(CONTROL!$C$42, 27.3659, 27.3659) * CHOOSE(CONTROL!$C$21, $C$9, 100%, $E$9)</f>
        <v>27.3659</v>
      </c>
      <c r="F886" s="10">
        <f>CHOOSE(CONTROL!$C$42, 27.1367, 27.1367)*CHOOSE(CONTROL!$C$21, $C$9, 100%, $E$9)</f>
        <v>27.136700000000001</v>
      </c>
      <c r="G886" s="10">
        <f>CHOOSE(CONTROL!$C$42, 27.1546, 27.1546)*CHOOSE(CONTROL!$C$21, $C$9, 100%, $E$9)</f>
        <v>27.154599999999999</v>
      </c>
      <c r="H886" s="10">
        <f>CHOOSE(CONTROL!$C$42, 27.3563, 27.3563) * CHOOSE(CONTROL!$C$21, $C$9, 100%, $E$9)</f>
        <v>27.356300000000001</v>
      </c>
      <c r="I886" s="10">
        <f>CHOOSE(CONTROL!$C$42, 27.127, 27.127)* CHOOSE(CONTROL!$C$21, $C$9, 100%, $E$9)</f>
        <v>27.126999999999999</v>
      </c>
      <c r="J886" s="10">
        <f>CHOOSE(CONTROL!$C$42, 27.1297, 27.1297)* CHOOSE(CONTROL!$C$21, $C$9, 100%, $E$9)</f>
        <v>27.1297</v>
      </c>
      <c r="K886" s="54">
        <f>CHOOSE(CONTROL!$C$42, 27.1231, 27.1231) * CHOOSE(CONTROL!$C$21, $C$9, 100%, $E$9)</f>
        <v>27.123100000000001</v>
      </c>
      <c r="L886" s="10">
        <f>CHOOSE(CONTROL!$C$42, 27.9433, 27.9433) * CHOOSE(CONTROL!$C$21, $C$9, 100%, $E$9)</f>
        <v>27.943300000000001</v>
      </c>
      <c r="M886" s="10">
        <f>CHOOSE(CONTROL!$C$42, 26.8697, 26.8697) * CHOOSE(CONTROL!$C$21, $C$9, 100%, $E$9)</f>
        <v>26.869700000000002</v>
      </c>
      <c r="N886" s="10">
        <f>CHOOSE(CONTROL!$C$42, 26.8874, 26.8874) * CHOOSE(CONTROL!$C$21, $C$9, 100%, $E$9)</f>
        <v>26.8874</v>
      </c>
      <c r="O886" s="10">
        <f>CHOOSE(CONTROL!$C$42, 27.0941, 27.0941) * CHOOSE(CONTROL!$C$21, $C$9, 100%, $E$9)</f>
        <v>27.094100000000001</v>
      </c>
      <c r="P886" s="10">
        <f>CHOOSE(CONTROL!$C$42, 26.8671, 26.8671) * CHOOSE(CONTROL!$C$21, $C$9, 100%, $E$9)</f>
        <v>26.867100000000001</v>
      </c>
      <c r="Q886" s="10">
        <f>CHOOSE(CONTROL!$C$42, 27.6894, 27.6894) * CHOOSE(CONTROL!$C$21, $C$9, 100%, $E$9)</f>
        <v>27.689399999999999</v>
      </c>
      <c r="R886" s="10">
        <f>CHOOSE(CONTROL!$C$42, 28.3456, 28.3456) * CHOOSE(CONTROL!$C$21, $C$9, 100%, $E$9)</f>
        <v>28.345600000000001</v>
      </c>
      <c r="S886" s="10">
        <f>CHOOSE(CONTROL!$C$42, 26.3612, 26.3612) * CHOOSE(CONTROL!$C$21, $C$9, 100%, $E$9)</f>
        <v>26.3612</v>
      </c>
      <c r="T886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86" s="58">
        <f>(1000*CHOOSE(CONTROL!$C$42, 695, 695)*CHOOSE(CONTROL!$C$42, 0.5599, 0.5599)*CHOOSE(CONTROL!$C$42, 31, 31))/1000000</f>
        <v>12.063045499999998</v>
      </c>
      <c r="V886" s="58">
        <f>(1000*CHOOSE(CONTROL!$C$42, 500, 500)*CHOOSE(CONTROL!$C$42, 0.275, 0.275)*CHOOSE(CONTROL!$C$42, 31, 31))/1000000</f>
        <v>4.2625000000000002</v>
      </c>
      <c r="W886" s="58">
        <f>(1000*CHOOSE(CONTROL!$C$42, 0.1146, 0.1146)*CHOOSE(CONTROL!$C$42, 121.5, 121.5)*CHOOSE(CONTROL!$C$42, 31, 31))/1000000</f>
        <v>0.43164089999999994</v>
      </c>
      <c r="X886" s="58">
        <f>(31*0.1790888*245000/1000000)+(31*0.2374*100000/1000000)</f>
        <v>2.0961194359999999</v>
      </c>
      <c r="Y886" s="58"/>
      <c r="Z886" s="10"/>
      <c r="AA886" s="57"/>
      <c r="AB886" s="51">
        <f>(B886*131.881+C886*277.167+D886*79.08+E886*125.872+F886*40+G886*185+H886*0+I886*100+J886*300)/(131.881+277.167+79.08+125.872+0+40+185+100+300)</f>
        <v>27.17799630702179</v>
      </c>
      <c r="AC886" s="27">
        <f>(M886*'RAP TEMPLATE-GAS AVAILABILITY'!O885+N886*'RAP TEMPLATE-GAS AVAILABILITY'!P885+O886*'RAP TEMPLATE-GAS AVAILABILITY'!Q885+P886*'RAP TEMPLATE-GAS AVAILABILITY'!R885)/('RAP TEMPLATE-GAS AVAILABILITY'!O885+'RAP TEMPLATE-GAS AVAILABILITY'!P885+'RAP TEMPLATE-GAS AVAILABILITY'!Q885+'RAP TEMPLATE-GAS AVAILABILITY'!R885)</f>
        <v>26.972051079136691</v>
      </c>
    </row>
    <row r="887" spans="1:29" ht="15.75" x14ac:dyDescent="0.25">
      <c r="A887" s="13">
        <v>68271</v>
      </c>
      <c r="B887" s="10">
        <f>CHOOSE(CONTROL!$C$42, 27.8631, 27.8631) * CHOOSE(CONTROL!$C$21, $C$9, 100%, $E$9)</f>
        <v>27.863099999999999</v>
      </c>
      <c r="C887" s="10">
        <f>CHOOSE(CONTROL!$C$42, 27.868, 27.868) * CHOOSE(CONTROL!$C$21, $C$9, 100%, $E$9)</f>
        <v>27.867999999999999</v>
      </c>
      <c r="D887" s="10">
        <f>CHOOSE(CONTROL!$C$42, 27.8976, 27.8976) * CHOOSE(CONTROL!$C$21, $C$9, 100%, $E$9)</f>
        <v>27.897600000000001</v>
      </c>
      <c r="E887" s="10">
        <f>CHOOSE(CONTROL!$C$42, 27.9314, 27.9314) * CHOOSE(CONTROL!$C$21, $C$9, 100%, $E$9)</f>
        <v>27.9314</v>
      </c>
      <c r="F887" s="10">
        <f>CHOOSE(CONTROL!$C$42, 27.8488, 27.8488)*CHOOSE(CONTROL!$C$21, $C$9, 100%, $E$9)</f>
        <v>27.848800000000001</v>
      </c>
      <c r="G887" s="10">
        <f>CHOOSE(CONTROL!$C$42, 27.8669, 27.8669)*CHOOSE(CONTROL!$C$21, $C$9, 100%, $E$9)</f>
        <v>27.866900000000001</v>
      </c>
      <c r="H887" s="10">
        <f>CHOOSE(CONTROL!$C$42, 27.9206, 27.9206) * CHOOSE(CONTROL!$C$21, $C$9, 100%, $E$9)</f>
        <v>27.9206</v>
      </c>
      <c r="I887" s="10">
        <f>CHOOSE(CONTROL!$C$42, 27.8293, 27.8293)* CHOOSE(CONTROL!$C$21, $C$9, 100%, $E$9)</f>
        <v>27.8293</v>
      </c>
      <c r="J887" s="10">
        <f>CHOOSE(CONTROL!$C$42, 27.8418, 27.8418)* CHOOSE(CONTROL!$C$21, $C$9, 100%, $E$9)</f>
        <v>27.841799999999999</v>
      </c>
      <c r="K887" s="54">
        <f>CHOOSE(CONTROL!$C$42, 27.8254, 27.8254) * CHOOSE(CONTROL!$C$21, $C$9, 100%, $E$9)</f>
        <v>27.825399999999998</v>
      </c>
      <c r="L887" s="10">
        <f>CHOOSE(CONTROL!$C$42, 28.5076, 28.5076) * CHOOSE(CONTROL!$C$21, $C$9, 100%, $E$9)</f>
        <v>28.5076</v>
      </c>
      <c r="M887" s="10">
        <f>CHOOSE(CONTROL!$C$42, 27.5747, 27.5747) * CHOOSE(CONTROL!$C$21, $C$9, 100%, $E$9)</f>
        <v>27.5747</v>
      </c>
      <c r="N887" s="10">
        <f>CHOOSE(CONTROL!$C$42, 27.5926, 27.5926) * CHOOSE(CONTROL!$C$21, $C$9, 100%, $E$9)</f>
        <v>27.592600000000001</v>
      </c>
      <c r="O887" s="10">
        <f>CHOOSE(CONTROL!$C$42, 27.6527, 27.6527) * CHOOSE(CONTROL!$C$21, $C$9, 100%, $E$9)</f>
        <v>27.652699999999999</v>
      </c>
      <c r="P887" s="10">
        <f>CHOOSE(CONTROL!$C$42, 27.5623, 27.5623) * CHOOSE(CONTROL!$C$21, $C$9, 100%, $E$9)</f>
        <v>27.5623</v>
      </c>
      <c r="Q887" s="10">
        <f>CHOOSE(CONTROL!$C$42, 28.248, 28.248) * CHOOSE(CONTROL!$C$21, $C$9, 100%, $E$9)</f>
        <v>28.248000000000001</v>
      </c>
      <c r="R887" s="10">
        <f>CHOOSE(CONTROL!$C$42, 28.9056, 28.9056) * CHOOSE(CONTROL!$C$21, $C$9, 100%, $E$9)</f>
        <v>28.9056</v>
      </c>
      <c r="S887" s="10">
        <f>CHOOSE(CONTROL!$C$42, 27.0557, 27.0557) * CHOOSE(CONTROL!$C$21, $C$9, 100%, $E$9)</f>
        <v>27.055700000000002</v>
      </c>
      <c r="T887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87" s="58">
        <f>(1000*CHOOSE(CONTROL!$C$42, 695, 695)*CHOOSE(CONTROL!$C$42, 0.5599, 0.5599)*CHOOSE(CONTROL!$C$42, 30, 30))/1000000</f>
        <v>11.673914999999997</v>
      </c>
      <c r="V887" s="58">
        <f>(1000*CHOOSE(CONTROL!$C$42, 500, 500)*CHOOSE(CONTROL!$C$42, 0.275, 0.275)*CHOOSE(CONTROL!$C$42, 30, 30))/1000000</f>
        <v>4.125</v>
      </c>
      <c r="W887" s="58">
        <f>(1000*CHOOSE(CONTROL!$C$42, 0.1146, 0.1146)*CHOOSE(CONTROL!$C$42, 121.5, 121.5)*CHOOSE(CONTROL!$C$42, 30, 30))/1000000</f>
        <v>0.417717</v>
      </c>
      <c r="X887" s="58">
        <f>(30*0.1790888*100000/1000000)+(30*0.2374*100000/1000000)</f>
        <v>1.2494664</v>
      </c>
      <c r="Y887" s="58"/>
      <c r="Z887" s="10"/>
      <c r="AA887" s="57"/>
      <c r="AB887" s="51">
        <f>(B887*122.58+C887*297.941+D887*89.177+E887*40.302+F887*40+G887*160+H887*0+I887*100+J887*300)/(122.58+297.941+89.177+40.302+0+40+160+100+300)</f>
        <v>27.860974038260871</v>
      </c>
      <c r="AC887" s="27">
        <f>(M887*'RAP TEMPLATE-GAS AVAILABILITY'!O886+N887*'RAP TEMPLATE-GAS AVAILABILITY'!P886+O887*'RAP TEMPLATE-GAS AVAILABILITY'!Q886+P887*'RAP TEMPLATE-GAS AVAILABILITY'!R886)/('RAP TEMPLATE-GAS AVAILABILITY'!O886+'RAP TEMPLATE-GAS AVAILABILITY'!P886+'RAP TEMPLATE-GAS AVAILABILITY'!Q886+'RAP TEMPLATE-GAS AVAILABILITY'!R886)</f>
        <v>27.609298561151075</v>
      </c>
    </row>
    <row r="888" spans="1:29" ht="15.75" x14ac:dyDescent="0.25">
      <c r="A888" s="13">
        <v>68302</v>
      </c>
      <c r="B888" s="10">
        <f>CHOOSE(CONTROL!$C$42, 29.7626, 29.7626) * CHOOSE(CONTROL!$C$21, $C$9, 100%, $E$9)</f>
        <v>29.762599999999999</v>
      </c>
      <c r="C888" s="10">
        <f>CHOOSE(CONTROL!$C$42, 29.7675, 29.7675) * CHOOSE(CONTROL!$C$21, $C$9, 100%, $E$9)</f>
        <v>29.767499999999998</v>
      </c>
      <c r="D888" s="10">
        <f>CHOOSE(CONTROL!$C$42, 29.7971, 29.7971) * CHOOSE(CONTROL!$C$21, $C$9, 100%, $E$9)</f>
        <v>29.7971</v>
      </c>
      <c r="E888" s="10">
        <f>CHOOSE(CONTROL!$C$42, 29.8309, 29.8309) * CHOOSE(CONTROL!$C$21, $C$9, 100%, $E$9)</f>
        <v>29.8309</v>
      </c>
      <c r="F888" s="10">
        <f>CHOOSE(CONTROL!$C$42, 29.7499, 29.7499)*CHOOSE(CONTROL!$C$21, $C$9, 100%, $E$9)</f>
        <v>29.7499</v>
      </c>
      <c r="G888" s="10">
        <f>CHOOSE(CONTROL!$C$42, 29.7683, 29.7683)*CHOOSE(CONTROL!$C$21, $C$9, 100%, $E$9)</f>
        <v>29.7683</v>
      </c>
      <c r="H888" s="10">
        <f>CHOOSE(CONTROL!$C$42, 29.8201, 29.8201) * CHOOSE(CONTROL!$C$21, $C$9, 100%, $E$9)</f>
        <v>29.8201</v>
      </c>
      <c r="I888" s="10">
        <f>CHOOSE(CONTROL!$C$42, 29.7287, 29.7287)* CHOOSE(CONTROL!$C$21, $C$9, 100%, $E$9)</f>
        <v>29.7287</v>
      </c>
      <c r="J888" s="10">
        <f>CHOOSE(CONTROL!$C$42, 29.7429, 29.7429)* CHOOSE(CONTROL!$C$21, $C$9, 100%, $E$9)</f>
        <v>29.742899999999999</v>
      </c>
      <c r="K888" s="54">
        <f>CHOOSE(CONTROL!$C$42, 29.7249, 29.7249) * CHOOSE(CONTROL!$C$21, $C$9, 100%, $E$9)</f>
        <v>29.724900000000002</v>
      </c>
      <c r="L888" s="10">
        <f>CHOOSE(CONTROL!$C$42, 30.4071, 30.4071) * CHOOSE(CONTROL!$C$21, $C$9, 100%, $E$9)</f>
        <v>30.4071</v>
      </c>
      <c r="M888" s="10">
        <f>CHOOSE(CONTROL!$C$42, 29.4565, 29.4565) * CHOOSE(CONTROL!$C$21, $C$9, 100%, $E$9)</f>
        <v>29.456499999999998</v>
      </c>
      <c r="N888" s="10">
        <f>CHOOSE(CONTROL!$C$42, 29.4748, 29.4748) * CHOOSE(CONTROL!$C$21, $C$9, 100%, $E$9)</f>
        <v>29.474799999999998</v>
      </c>
      <c r="O888" s="10">
        <f>CHOOSE(CONTROL!$C$42, 29.533, 29.533) * CHOOSE(CONTROL!$C$21, $C$9, 100%, $E$9)</f>
        <v>29.533000000000001</v>
      </c>
      <c r="P888" s="10">
        <f>CHOOSE(CONTROL!$C$42, 29.4426, 29.4426) * CHOOSE(CONTROL!$C$21, $C$9, 100%, $E$9)</f>
        <v>29.442599999999999</v>
      </c>
      <c r="Q888" s="10">
        <f>CHOOSE(CONTROL!$C$42, 30.1283, 30.1283) * CHOOSE(CONTROL!$C$21, $C$9, 100%, $E$9)</f>
        <v>30.128299999999999</v>
      </c>
      <c r="R888" s="10">
        <f>CHOOSE(CONTROL!$C$42, 30.7906, 30.7906) * CHOOSE(CONTROL!$C$21, $C$9, 100%, $E$9)</f>
        <v>30.790600000000001</v>
      </c>
      <c r="S888" s="10">
        <f>CHOOSE(CONTROL!$C$42, 28.9003, 28.9003) * CHOOSE(CONTROL!$C$21, $C$9, 100%, $E$9)</f>
        <v>28.900300000000001</v>
      </c>
      <c r="T888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88" s="58">
        <f>(1000*CHOOSE(CONTROL!$C$42, 695, 695)*CHOOSE(CONTROL!$C$42, 0.5599, 0.5599)*CHOOSE(CONTROL!$C$42, 31, 31))/1000000</f>
        <v>12.063045499999998</v>
      </c>
      <c r="V888" s="58">
        <f>(1000*CHOOSE(CONTROL!$C$42, 500, 500)*CHOOSE(CONTROL!$C$42, 0.275, 0.275)*CHOOSE(CONTROL!$C$42, 31, 31))/1000000</f>
        <v>4.2625000000000002</v>
      </c>
      <c r="W888" s="58">
        <f>(1000*CHOOSE(CONTROL!$C$42, 0.1146, 0.1146)*CHOOSE(CONTROL!$C$42, 121.5, 121.5)*CHOOSE(CONTROL!$C$42, 31, 31))/1000000</f>
        <v>0.43164089999999994</v>
      </c>
      <c r="X888" s="58">
        <f>(31*0.1790888*100000/1000000)+(31*0.2374*100000/1000000)</f>
        <v>1.2911152800000001</v>
      </c>
      <c r="Y888" s="58"/>
      <c r="Z888" s="10"/>
      <c r="AA888" s="57"/>
      <c r="AB888" s="51">
        <f>(B888*122.58+C888*297.941+D888*89.177+E888*40.302+F888*40+G888*160+H888*0+I888*100+J888*300)/(122.58+297.941+89.177+40.302+0+40+160+100+300)</f>
        <v>29.761202733913038</v>
      </c>
      <c r="AC888" s="27">
        <f>(M888*'RAP TEMPLATE-GAS AVAILABILITY'!O887+N888*'RAP TEMPLATE-GAS AVAILABILITY'!P887+O888*'RAP TEMPLATE-GAS AVAILABILITY'!Q887+P888*'RAP TEMPLATE-GAS AVAILABILITY'!R887)/('RAP TEMPLATE-GAS AVAILABILITY'!O887+'RAP TEMPLATE-GAS AVAILABILITY'!P887+'RAP TEMPLATE-GAS AVAILABILITY'!Q887+'RAP TEMPLATE-GAS AVAILABILITY'!R887)</f>
        <v>29.490225899280574</v>
      </c>
    </row>
    <row r="889" spans="1:29" ht="15.75" x14ac:dyDescent="0.25">
      <c r="A889" s="13">
        <v>68333</v>
      </c>
      <c r="B889" s="10">
        <f>CHOOSE(CONTROL!$C$42, 31.7712, 31.7712) * CHOOSE(CONTROL!$C$21, $C$9, 100%, $E$9)</f>
        <v>31.7712</v>
      </c>
      <c r="C889" s="10">
        <f>CHOOSE(CONTROL!$C$42, 31.7761, 31.7761) * CHOOSE(CONTROL!$C$21, $C$9, 100%, $E$9)</f>
        <v>31.7761</v>
      </c>
      <c r="D889" s="10">
        <f>CHOOSE(CONTROL!$C$42, 31.8263, 31.8263) * CHOOSE(CONTROL!$C$21, $C$9, 100%, $E$9)</f>
        <v>31.8263</v>
      </c>
      <c r="E889" s="10">
        <f>CHOOSE(CONTROL!$C$42, 31.8601, 31.8601) * CHOOSE(CONTROL!$C$21, $C$9, 100%, $E$9)</f>
        <v>31.860099999999999</v>
      </c>
      <c r="F889" s="10">
        <f>CHOOSE(CONTROL!$C$42, 31.7365, 31.7365)*CHOOSE(CONTROL!$C$21, $C$9, 100%, $E$9)</f>
        <v>31.736499999999999</v>
      </c>
      <c r="G889" s="10">
        <f>CHOOSE(CONTROL!$C$42, 31.7541, 31.7541)*CHOOSE(CONTROL!$C$21, $C$9, 100%, $E$9)</f>
        <v>31.754100000000001</v>
      </c>
      <c r="H889" s="10">
        <f>CHOOSE(CONTROL!$C$42, 31.8493, 31.8493) * CHOOSE(CONTROL!$C$21, $C$9, 100%, $E$9)</f>
        <v>31.849299999999999</v>
      </c>
      <c r="I889" s="10">
        <f>CHOOSE(CONTROL!$C$42, 31.7451, 31.7451)* CHOOSE(CONTROL!$C$21, $C$9, 100%, $E$9)</f>
        <v>31.745100000000001</v>
      </c>
      <c r="J889" s="10">
        <f>CHOOSE(CONTROL!$C$42, 31.7295, 31.7295)* CHOOSE(CONTROL!$C$21, $C$9, 100%, $E$9)</f>
        <v>31.729500000000002</v>
      </c>
      <c r="K889" s="54">
        <f>CHOOSE(CONTROL!$C$42, 31.7412, 31.7412) * CHOOSE(CONTROL!$C$21, $C$9, 100%, $E$9)</f>
        <v>31.741199999999999</v>
      </c>
      <c r="L889" s="10">
        <f>CHOOSE(CONTROL!$C$42, 32.4363, 32.4363) * CHOOSE(CONTROL!$C$21, $C$9, 100%, $E$9)</f>
        <v>32.436300000000003</v>
      </c>
      <c r="M889" s="10">
        <f>CHOOSE(CONTROL!$C$42, 31.4232, 31.4232) * CHOOSE(CONTROL!$C$21, $C$9, 100%, $E$9)</f>
        <v>31.423200000000001</v>
      </c>
      <c r="N889" s="10">
        <f>CHOOSE(CONTROL!$C$42, 31.4405, 31.4405) * CHOOSE(CONTROL!$C$21, $C$9, 100%, $E$9)</f>
        <v>31.4405</v>
      </c>
      <c r="O889" s="10">
        <f>CHOOSE(CONTROL!$C$42, 31.5417, 31.5417) * CHOOSE(CONTROL!$C$21, $C$9, 100%, $E$9)</f>
        <v>31.541699999999999</v>
      </c>
      <c r="P889" s="10">
        <f>CHOOSE(CONTROL!$C$42, 31.4386, 31.4386) * CHOOSE(CONTROL!$C$21, $C$9, 100%, $E$9)</f>
        <v>31.438600000000001</v>
      </c>
      <c r="Q889" s="10">
        <f>CHOOSE(CONTROL!$C$42, 32.137, 32.137) * CHOOSE(CONTROL!$C$21, $C$9, 100%, $E$9)</f>
        <v>32.137</v>
      </c>
      <c r="R889" s="10">
        <f>CHOOSE(CONTROL!$C$42, 32.8044, 32.8044) * CHOOSE(CONTROL!$C$21, $C$9, 100%, $E$9)</f>
        <v>32.804400000000001</v>
      </c>
      <c r="S889" s="10">
        <f>CHOOSE(CONTROL!$C$42, 30.8509, 30.8509) * CHOOSE(CONTROL!$C$21, $C$9, 100%, $E$9)</f>
        <v>30.850899999999999</v>
      </c>
      <c r="T889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89" s="58">
        <f>(1000*CHOOSE(CONTROL!$C$42, 695, 695)*CHOOSE(CONTROL!$C$42, 0.5599, 0.5599)*CHOOSE(CONTROL!$C$42, 31, 31))/1000000</f>
        <v>12.063045499999998</v>
      </c>
      <c r="V889" s="58">
        <f>(1000*CHOOSE(CONTROL!$C$42, 500, 500)*CHOOSE(CONTROL!$C$42, 0.275, 0.275)*CHOOSE(CONTROL!$C$42, 31, 31))/1000000</f>
        <v>4.2625000000000002</v>
      </c>
      <c r="W889" s="58">
        <f>(1000*CHOOSE(CONTROL!$C$42, 0.1146, 0.1146)*CHOOSE(CONTROL!$C$42, 121.5, 121.5)*CHOOSE(CONTROL!$C$42, 31, 31))/1000000</f>
        <v>0.43164089999999994</v>
      </c>
      <c r="X889" s="58">
        <f>(31*0.1790888*100000/1000000)+(31*0.2374*100000/1000000)</f>
        <v>1.2911152800000001</v>
      </c>
      <c r="Y889" s="58"/>
      <c r="Z889" s="10"/>
      <c r="AA889" s="57"/>
      <c r="AB889" s="51">
        <f>(B889*122.58+C889*297.941+D889*89.177+E889*40.302+F889*40+G889*160+H889*0+I889*100+J889*300)/(122.58+297.941+89.177+40.302+0+40+160+100+300)</f>
        <v>31.763123835999995</v>
      </c>
      <c r="AC889" s="27">
        <f>(M889*'RAP TEMPLATE-GAS AVAILABILITY'!O888+N889*'RAP TEMPLATE-GAS AVAILABILITY'!P888+O889*'RAP TEMPLATE-GAS AVAILABILITY'!Q888+P889*'RAP TEMPLATE-GAS AVAILABILITY'!R888)/('RAP TEMPLATE-GAS AVAILABILITY'!O888+'RAP TEMPLATE-GAS AVAILABILITY'!P888+'RAP TEMPLATE-GAS AVAILABILITY'!Q888+'RAP TEMPLATE-GAS AVAILABILITY'!R888)</f>
        <v>31.480120143884889</v>
      </c>
    </row>
    <row r="890" spans="1:29" ht="15.75" x14ac:dyDescent="0.25">
      <c r="A890" s="13">
        <v>68361</v>
      </c>
      <c r="B890" s="10">
        <f>CHOOSE(CONTROL!$C$42, 32.3367, 32.3367) * CHOOSE(CONTROL!$C$21, $C$9, 100%, $E$9)</f>
        <v>32.3367</v>
      </c>
      <c r="C890" s="10">
        <f>CHOOSE(CONTROL!$C$42, 32.3416, 32.3416) * CHOOSE(CONTROL!$C$21, $C$9, 100%, $E$9)</f>
        <v>32.3416</v>
      </c>
      <c r="D890" s="10">
        <f>CHOOSE(CONTROL!$C$42, 32.4588, 32.4588) * CHOOSE(CONTROL!$C$21, $C$9, 100%, $E$9)</f>
        <v>32.458799999999997</v>
      </c>
      <c r="E890" s="10">
        <f>CHOOSE(CONTROL!$C$42, 32.4926, 32.4926) * CHOOSE(CONTROL!$C$21, $C$9, 100%, $E$9)</f>
        <v>32.492600000000003</v>
      </c>
      <c r="F890" s="10">
        <f>CHOOSE(CONTROL!$C$42, 32.4143, 32.4143)*CHOOSE(CONTROL!$C$21, $C$9, 100%, $E$9)</f>
        <v>32.414299999999997</v>
      </c>
      <c r="G890" s="10">
        <f>CHOOSE(CONTROL!$C$42, 32.4362, 32.4362)*CHOOSE(CONTROL!$C$21, $C$9, 100%, $E$9)</f>
        <v>32.436199999999999</v>
      </c>
      <c r="H890" s="10">
        <f>CHOOSE(CONTROL!$C$42, 32.4818, 32.4818) * CHOOSE(CONTROL!$C$21, $C$9, 100%, $E$9)</f>
        <v>32.4818</v>
      </c>
      <c r="I890" s="10">
        <f>CHOOSE(CONTROL!$C$42, 32.3724, 32.3724)* CHOOSE(CONTROL!$C$21, $C$9, 100%, $E$9)</f>
        <v>32.372399999999999</v>
      </c>
      <c r="J890" s="10">
        <f>CHOOSE(CONTROL!$C$42, 32.4073, 32.4073)* CHOOSE(CONTROL!$C$21, $C$9, 100%, $E$9)</f>
        <v>32.407299999999999</v>
      </c>
      <c r="K890" s="54">
        <f>CHOOSE(CONTROL!$C$42, 32.3685, 32.3685) * CHOOSE(CONTROL!$C$21, $C$9, 100%, $E$9)</f>
        <v>32.368499999999997</v>
      </c>
      <c r="L890" s="10">
        <f>CHOOSE(CONTROL!$C$42, 33.0688, 33.0688) * CHOOSE(CONTROL!$C$21, $C$9, 100%, $E$9)</f>
        <v>33.068800000000003</v>
      </c>
      <c r="M890" s="10">
        <f>CHOOSE(CONTROL!$C$42, 32.0941, 32.0941) * CHOOSE(CONTROL!$C$21, $C$9, 100%, $E$9)</f>
        <v>32.094099999999997</v>
      </c>
      <c r="N890" s="10">
        <f>CHOOSE(CONTROL!$C$42, 32.1158, 32.1158) * CHOOSE(CONTROL!$C$21, $C$9, 100%, $E$9)</f>
        <v>32.1158</v>
      </c>
      <c r="O890" s="10">
        <f>CHOOSE(CONTROL!$C$42, 32.1678, 32.1678) * CHOOSE(CONTROL!$C$21, $C$9, 100%, $E$9)</f>
        <v>32.1678</v>
      </c>
      <c r="P890" s="10">
        <f>CHOOSE(CONTROL!$C$42, 32.0595, 32.0595) * CHOOSE(CONTROL!$C$21, $C$9, 100%, $E$9)</f>
        <v>32.0595</v>
      </c>
      <c r="Q890" s="10">
        <f>CHOOSE(CONTROL!$C$42, 32.7631, 32.7631) * CHOOSE(CONTROL!$C$21, $C$9, 100%, $E$9)</f>
        <v>32.763100000000001</v>
      </c>
      <c r="R890" s="10">
        <f>CHOOSE(CONTROL!$C$42, 33.432, 33.432) * CHOOSE(CONTROL!$C$21, $C$9, 100%, $E$9)</f>
        <v>33.432000000000002</v>
      </c>
      <c r="S890" s="10">
        <f>CHOOSE(CONTROL!$C$42, 31.4, 31.4) * CHOOSE(CONTROL!$C$21, $C$9, 100%, $E$9)</f>
        <v>31.4</v>
      </c>
      <c r="T890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890" s="58">
        <f>(1000*CHOOSE(CONTROL!$C$42, 695, 695)*CHOOSE(CONTROL!$C$42, 0.5599, 0.5599)*CHOOSE(CONTROL!$C$42, 28, 28))/1000000</f>
        <v>10.895653999999999</v>
      </c>
      <c r="V890" s="58">
        <f>(1000*CHOOSE(CONTROL!$C$42, 500, 500)*CHOOSE(CONTROL!$C$42, 0.275, 0.275)*CHOOSE(CONTROL!$C$42, 28, 28))/1000000</f>
        <v>3.85</v>
      </c>
      <c r="W890" s="58">
        <f>(1000*CHOOSE(CONTROL!$C$42, 0.1146, 0.1146)*CHOOSE(CONTROL!$C$42, 121.5, 121.5)*CHOOSE(CONTROL!$C$42, 28, 28))/1000000</f>
        <v>0.38986920000000003</v>
      </c>
      <c r="X890" s="58">
        <f>(28*0.1790888*100000/1000000)+(28*0.2374*100000/1000000)</f>
        <v>1.16616864</v>
      </c>
      <c r="Y890" s="58"/>
      <c r="Z890" s="10"/>
      <c r="AA890" s="57"/>
      <c r="AB890" s="51">
        <f>(B890*122.58+C890*297.941+D890*89.177+E890*40.302+F890*40+G890*160+H890*0+I890*100+J890*300)/(122.58+297.941+89.177+40.302+0+40+160+100+300)</f>
        <v>32.390965655999999</v>
      </c>
      <c r="AC890" s="27">
        <f>(M890*'RAP TEMPLATE-GAS AVAILABILITY'!O889+N890*'RAP TEMPLATE-GAS AVAILABILITY'!P889+O890*'RAP TEMPLATE-GAS AVAILABILITY'!Q889+P890*'RAP TEMPLATE-GAS AVAILABILITY'!R889)/('RAP TEMPLATE-GAS AVAILABILITY'!O889+'RAP TEMPLATE-GAS AVAILABILITY'!P889+'RAP TEMPLATE-GAS AVAILABILITY'!Q889+'RAP TEMPLATE-GAS AVAILABILITY'!R889)</f>
        <v>32.123774100719423</v>
      </c>
    </row>
    <row r="891" spans="1:29" ht="15.75" x14ac:dyDescent="0.25">
      <c r="A891" s="13">
        <v>68392</v>
      </c>
      <c r="B891" s="10">
        <f>CHOOSE(CONTROL!$C$42, 31.4187, 31.4187) * CHOOSE(CONTROL!$C$21, $C$9, 100%, $E$9)</f>
        <v>31.418700000000001</v>
      </c>
      <c r="C891" s="10">
        <f>CHOOSE(CONTROL!$C$42, 31.4237, 31.4237) * CHOOSE(CONTROL!$C$21, $C$9, 100%, $E$9)</f>
        <v>31.4237</v>
      </c>
      <c r="D891" s="10">
        <f>CHOOSE(CONTROL!$C$42, 31.5151, 31.5151) * CHOOSE(CONTROL!$C$21, $C$9, 100%, $E$9)</f>
        <v>31.5151</v>
      </c>
      <c r="E891" s="10">
        <f>CHOOSE(CONTROL!$C$42, 31.5488, 31.5488) * CHOOSE(CONTROL!$C$21, $C$9, 100%, $E$9)</f>
        <v>31.5488</v>
      </c>
      <c r="F891" s="10">
        <f>CHOOSE(CONTROL!$C$42, 31.4486, 31.4486)*CHOOSE(CONTROL!$C$21, $C$9, 100%, $E$9)</f>
        <v>31.448599999999999</v>
      </c>
      <c r="G891" s="10">
        <f>CHOOSE(CONTROL!$C$42, 31.4681, 31.4681)*CHOOSE(CONTROL!$C$21, $C$9, 100%, $E$9)</f>
        <v>31.4681</v>
      </c>
      <c r="H891" s="10">
        <f>CHOOSE(CONTROL!$C$42, 31.538, 31.538) * CHOOSE(CONTROL!$C$21, $C$9, 100%, $E$9)</f>
        <v>31.538</v>
      </c>
      <c r="I891" s="10">
        <f>CHOOSE(CONTROL!$C$42, 31.4415, 31.4415)* CHOOSE(CONTROL!$C$21, $C$9, 100%, $E$9)</f>
        <v>31.441500000000001</v>
      </c>
      <c r="J891" s="10">
        <f>CHOOSE(CONTROL!$C$42, 31.4416, 31.4416)* CHOOSE(CONTROL!$C$21, $C$9, 100%, $E$9)</f>
        <v>31.441600000000001</v>
      </c>
      <c r="K891" s="54">
        <f>CHOOSE(CONTROL!$C$42, 31.4376, 31.4376) * CHOOSE(CONTROL!$C$21, $C$9, 100%, $E$9)</f>
        <v>31.4376</v>
      </c>
      <c r="L891" s="10">
        <f>CHOOSE(CONTROL!$C$42, 32.125, 32.125) * CHOOSE(CONTROL!$C$21, $C$9, 100%, $E$9)</f>
        <v>32.125</v>
      </c>
      <c r="M891" s="10">
        <f>CHOOSE(CONTROL!$C$42, 31.1381, 31.1381) * CHOOSE(CONTROL!$C$21, $C$9, 100%, $E$9)</f>
        <v>31.138100000000001</v>
      </c>
      <c r="N891" s="10">
        <f>CHOOSE(CONTROL!$C$42, 31.1574, 31.1574) * CHOOSE(CONTROL!$C$21, $C$9, 100%, $E$9)</f>
        <v>31.157399999999999</v>
      </c>
      <c r="O891" s="10">
        <f>CHOOSE(CONTROL!$C$42, 31.2336, 31.2336) * CHOOSE(CONTROL!$C$21, $C$9, 100%, $E$9)</f>
        <v>31.233599999999999</v>
      </c>
      <c r="P891" s="10">
        <f>CHOOSE(CONTROL!$C$42, 31.1381, 31.1381) * CHOOSE(CONTROL!$C$21, $C$9, 100%, $E$9)</f>
        <v>31.138100000000001</v>
      </c>
      <c r="Q891" s="10">
        <f>CHOOSE(CONTROL!$C$42, 31.8289, 31.8289) * CHOOSE(CONTROL!$C$21, $C$9, 100%, $E$9)</f>
        <v>31.828900000000001</v>
      </c>
      <c r="R891" s="10">
        <f>CHOOSE(CONTROL!$C$42, 32.4955, 32.4955) * CHOOSE(CONTROL!$C$21, $C$9, 100%, $E$9)</f>
        <v>32.4955</v>
      </c>
      <c r="S891" s="10">
        <f>CHOOSE(CONTROL!$C$42, 30.5086, 30.5086) * CHOOSE(CONTROL!$C$21, $C$9, 100%, $E$9)</f>
        <v>30.508600000000001</v>
      </c>
      <c r="T891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91" s="58">
        <f>(1000*CHOOSE(CONTROL!$C$42, 695, 695)*CHOOSE(CONTROL!$C$42, 0.5599, 0.5599)*CHOOSE(CONTROL!$C$42, 31, 31))/1000000</f>
        <v>12.063045499999998</v>
      </c>
      <c r="V891" s="58">
        <f>(1000*CHOOSE(CONTROL!$C$42, 500, 500)*CHOOSE(CONTROL!$C$42, 0.275, 0.275)*CHOOSE(CONTROL!$C$42, 31, 31))/1000000</f>
        <v>4.2625000000000002</v>
      </c>
      <c r="W891" s="58">
        <f>(1000*CHOOSE(CONTROL!$C$42, 0.1146, 0.1146)*CHOOSE(CONTROL!$C$42, 121.5, 121.5)*CHOOSE(CONTROL!$C$42, 31, 31))/1000000</f>
        <v>0.43164089999999994</v>
      </c>
      <c r="X891" s="58">
        <f>(31*0.1790888*100000/1000000)+(31*0.2374*100000/1000000)</f>
        <v>1.2911152800000001</v>
      </c>
      <c r="Y891" s="58"/>
      <c r="Z891" s="10"/>
      <c r="AA891" s="57"/>
      <c r="AB891" s="51">
        <f>(B891*122.58+C891*297.941+D891*89.177+E891*40.302+F891*40+G891*160+H891*0+I891*100+J891*300)/(122.58+297.941+89.177+40.302+0+40+160+100+300)</f>
        <v>31.447899702608694</v>
      </c>
      <c r="AC891" s="27">
        <f>(M891*'RAP TEMPLATE-GAS AVAILABILITY'!O890+N891*'RAP TEMPLATE-GAS AVAILABILITY'!P890+O891*'RAP TEMPLATE-GAS AVAILABILITY'!Q890+P891*'RAP TEMPLATE-GAS AVAILABILITY'!R890)/('RAP TEMPLATE-GAS AVAILABILITY'!O890+'RAP TEMPLATE-GAS AVAILABILITY'!P890+'RAP TEMPLATE-GAS AVAILABILITY'!Q890+'RAP TEMPLATE-GAS AVAILABILITY'!R890)</f>
        <v>31.182494964028777</v>
      </c>
    </row>
    <row r="892" spans="1:29" ht="15.75" x14ac:dyDescent="0.25">
      <c r="A892" s="13">
        <v>68422</v>
      </c>
      <c r="B892" s="10">
        <f>CHOOSE(CONTROL!$C$42, 31.3254, 31.3254) * CHOOSE(CONTROL!$C$21, $C$9, 100%, $E$9)</f>
        <v>31.325399999999998</v>
      </c>
      <c r="C892" s="10">
        <f>CHOOSE(CONTROL!$C$42, 31.3298, 31.3298) * CHOOSE(CONTROL!$C$21, $C$9, 100%, $E$9)</f>
        <v>31.329799999999999</v>
      </c>
      <c r="D892" s="10">
        <f>CHOOSE(CONTROL!$C$42, 31.5115, 31.5115) * CHOOSE(CONTROL!$C$21, $C$9, 100%, $E$9)</f>
        <v>31.511500000000002</v>
      </c>
      <c r="E892" s="10">
        <f>CHOOSE(CONTROL!$C$42, 31.5433, 31.5433) * CHOOSE(CONTROL!$C$21, $C$9, 100%, $E$9)</f>
        <v>31.543299999999999</v>
      </c>
      <c r="F892" s="10">
        <f>CHOOSE(CONTROL!$C$42, 31.3138, 31.3138)*CHOOSE(CONTROL!$C$21, $C$9, 100%, $E$9)</f>
        <v>31.313800000000001</v>
      </c>
      <c r="G892" s="10">
        <f>CHOOSE(CONTROL!$C$42, 31.3317, 31.3317)*CHOOSE(CONTROL!$C$21, $C$9, 100%, $E$9)</f>
        <v>31.331700000000001</v>
      </c>
      <c r="H892" s="10">
        <f>CHOOSE(CONTROL!$C$42, 31.533, 31.533) * CHOOSE(CONTROL!$C$21, $C$9, 100%, $E$9)</f>
        <v>31.533000000000001</v>
      </c>
      <c r="I892" s="10">
        <f>CHOOSE(CONTROL!$C$42, 31.3037, 31.3037)* CHOOSE(CONTROL!$C$21, $C$9, 100%, $E$9)</f>
        <v>31.303699999999999</v>
      </c>
      <c r="J892" s="10">
        <f>CHOOSE(CONTROL!$C$42, 31.3068, 31.3068)* CHOOSE(CONTROL!$C$21, $C$9, 100%, $E$9)</f>
        <v>31.306799999999999</v>
      </c>
      <c r="K892" s="54">
        <f>CHOOSE(CONTROL!$C$42, 31.2998, 31.2998) * CHOOSE(CONTROL!$C$21, $C$9, 100%, $E$9)</f>
        <v>31.299800000000001</v>
      </c>
      <c r="L892" s="10">
        <f>CHOOSE(CONTROL!$C$42, 32.12, 32.12) * CHOOSE(CONTROL!$C$21, $C$9, 100%, $E$9)</f>
        <v>32.119999999999997</v>
      </c>
      <c r="M892" s="10">
        <f>CHOOSE(CONTROL!$C$42, 31.0046, 31.0046) * CHOOSE(CONTROL!$C$21, $C$9, 100%, $E$9)</f>
        <v>31.0046</v>
      </c>
      <c r="N892" s="10">
        <f>CHOOSE(CONTROL!$C$42, 31.0224, 31.0224) * CHOOSE(CONTROL!$C$21, $C$9, 100%, $E$9)</f>
        <v>31.022400000000001</v>
      </c>
      <c r="O892" s="10">
        <f>CHOOSE(CONTROL!$C$42, 31.2287, 31.2287) * CHOOSE(CONTROL!$C$21, $C$9, 100%, $E$9)</f>
        <v>31.2287</v>
      </c>
      <c r="P892" s="10">
        <f>CHOOSE(CONTROL!$C$42, 31.0017, 31.0017) * CHOOSE(CONTROL!$C$21, $C$9, 100%, $E$9)</f>
        <v>31.0017</v>
      </c>
      <c r="Q892" s="10">
        <f>CHOOSE(CONTROL!$C$42, 31.824, 31.824) * CHOOSE(CONTROL!$C$21, $C$9, 100%, $E$9)</f>
        <v>31.824000000000002</v>
      </c>
      <c r="R892" s="10">
        <f>CHOOSE(CONTROL!$C$42, 32.4905, 32.4905) * CHOOSE(CONTROL!$C$21, $C$9, 100%, $E$9)</f>
        <v>32.490499999999997</v>
      </c>
      <c r="S892" s="10">
        <f>CHOOSE(CONTROL!$C$42, 30.4172, 30.4172) * CHOOSE(CONTROL!$C$21, $C$9, 100%, $E$9)</f>
        <v>30.417200000000001</v>
      </c>
      <c r="T892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92" s="58">
        <f>(1000*CHOOSE(CONTROL!$C$42, 695, 695)*CHOOSE(CONTROL!$C$42, 0.5599, 0.5599)*CHOOSE(CONTROL!$C$42, 30, 30))/1000000</f>
        <v>11.673914999999997</v>
      </c>
      <c r="V892" s="58">
        <f>(1000*CHOOSE(CONTROL!$C$42, 500, 500)*CHOOSE(CONTROL!$C$42, 0.275, 0.275)*CHOOSE(CONTROL!$C$42, 30, 30))/1000000</f>
        <v>4.125</v>
      </c>
      <c r="W892" s="58">
        <f>(1000*CHOOSE(CONTROL!$C$42, 0.1146, 0.1146)*CHOOSE(CONTROL!$C$42, 121.5, 121.5)*CHOOSE(CONTROL!$C$42, 30, 30))/1000000</f>
        <v>0.417717</v>
      </c>
      <c r="X892" s="58">
        <f>(30*0.1790888*245000/1000000)+(30*0.2374*100000/1000000)</f>
        <v>2.0285026799999999</v>
      </c>
      <c r="Y892" s="58"/>
      <c r="Z892" s="10"/>
      <c r="AA892" s="57"/>
      <c r="AB892" s="51">
        <f>(B892*141.293+C892*267.993+D892*115.016+E892*89.698+F892*40+G892*185+H892*0+I892*100+J892*300)/(141.293+267.993+115.016+89.698+0+40+185+100+300)</f>
        <v>31.35371343099273</v>
      </c>
      <c r="AC892" s="27">
        <f>(M892*'RAP TEMPLATE-GAS AVAILABILITY'!O891+N892*'RAP TEMPLATE-GAS AVAILABILITY'!P891+O892*'RAP TEMPLATE-GAS AVAILABILITY'!Q891+P892*'RAP TEMPLATE-GAS AVAILABILITY'!R891)/('RAP TEMPLATE-GAS AVAILABILITY'!O891+'RAP TEMPLATE-GAS AVAILABILITY'!P891+'RAP TEMPLATE-GAS AVAILABILITY'!Q891+'RAP TEMPLATE-GAS AVAILABILITY'!R891)</f>
        <v>31.106777697841729</v>
      </c>
    </row>
    <row r="893" spans="1:29" ht="15.75" x14ac:dyDescent="0.25">
      <c r="A893" s="13">
        <v>68453</v>
      </c>
      <c r="B893" s="10">
        <f>CHOOSE(CONTROL!$C$42, 31.6037, 31.6037) * CHOOSE(CONTROL!$C$21, $C$9, 100%, $E$9)</f>
        <v>31.6037</v>
      </c>
      <c r="C893" s="10">
        <f>CHOOSE(CONTROL!$C$42, 31.6116, 31.6116) * CHOOSE(CONTROL!$C$21, $C$9, 100%, $E$9)</f>
        <v>31.611599999999999</v>
      </c>
      <c r="D893" s="10">
        <f>CHOOSE(CONTROL!$C$42, 31.7901, 31.7901) * CHOOSE(CONTROL!$C$21, $C$9, 100%, $E$9)</f>
        <v>31.790099999999999</v>
      </c>
      <c r="E893" s="10">
        <f>CHOOSE(CONTROL!$C$42, 31.8213, 31.8213) * CHOOSE(CONTROL!$C$21, $C$9, 100%, $E$9)</f>
        <v>31.821300000000001</v>
      </c>
      <c r="F893" s="10">
        <f>CHOOSE(CONTROL!$C$42, 31.5898, 31.5898)*CHOOSE(CONTROL!$C$21, $C$9, 100%, $E$9)</f>
        <v>31.5898</v>
      </c>
      <c r="G893" s="10">
        <f>CHOOSE(CONTROL!$C$42, 31.608, 31.608)*CHOOSE(CONTROL!$C$21, $C$9, 100%, $E$9)</f>
        <v>31.608000000000001</v>
      </c>
      <c r="H893" s="10">
        <f>CHOOSE(CONTROL!$C$42, 31.8099, 31.8099) * CHOOSE(CONTROL!$C$21, $C$9, 100%, $E$9)</f>
        <v>31.809899999999999</v>
      </c>
      <c r="I893" s="10">
        <f>CHOOSE(CONTROL!$C$42, 31.5805, 31.5805)* CHOOSE(CONTROL!$C$21, $C$9, 100%, $E$9)</f>
        <v>31.580500000000001</v>
      </c>
      <c r="J893" s="10">
        <f>CHOOSE(CONTROL!$C$42, 31.5828, 31.5828)* CHOOSE(CONTROL!$C$21, $C$9, 100%, $E$9)</f>
        <v>31.582799999999999</v>
      </c>
      <c r="K893" s="54">
        <f>CHOOSE(CONTROL!$C$42, 31.5766, 31.5766) * CHOOSE(CONTROL!$C$21, $C$9, 100%, $E$9)</f>
        <v>31.576599999999999</v>
      </c>
      <c r="L893" s="10">
        <f>CHOOSE(CONTROL!$C$42, 32.3969, 32.3969) * CHOOSE(CONTROL!$C$21, $C$9, 100%, $E$9)</f>
        <v>32.396900000000002</v>
      </c>
      <c r="M893" s="10">
        <f>CHOOSE(CONTROL!$C$42, 31.2779, 31.2779) * CHOOSE(CONTROL!$C$21, $C$9, 100%, $E$9)</f>
        <v>31.277899999999999</v>
      </c>
      <c r="N893" s="10">
        <f>CHOOSE(CONTROL!$C$42, 31.2959, 31.2959) * CHOOSE(CONTROL!$C$21, $C$9, 100%, $E$9)</f>
        <v>31.2959</v>
      </c>
      <c r="O893" s="10">
        <f>CHOOSE(CONTROL!$C$42, 31.5027, 31.5027) * CHOOSE(CONTROL!$C$21, $C$9, 100%, $E$9)</f>
        <v>31.502700000000001</v>
      </c>
      <c r="P893" s="10">
        <f>CHOOSE(CONTROL!$C$42, 31.2757, 31.2757) * CHOOSE(CONTROL!$C$21, $C$9, 100%, $E$9)</f>
        <v>31.275700000000001</v>
      </c>
      <c r="Q893" s="10">
        <f>CHOOSE(CONTROL!$C$42, 32.098, 32.098) * CHOOSE(CONTROL!$C$21, $C$9, 100%, $E$9)</f>
        <v>32.097999999999999</v>
      </c>
      <c r="R893" s="10">
        <f>CHOOSE(CONTROL!$C$42, 32.7652, 32.7652) * CHOOSE(CONTROL!$C$21, $C$9, 100%, $E$9)</f>
        <v>32.7652</v>
      </c>
      <c r="S893" s="10">
        <f>CHOOSE(CONTROL!$C$42, 30.6861, 30.6861) * CHOOSE(CONTROL!$C$21, $C$9, 100%, $E$9)</f>
        <v>30.6861</v>
      </c>
      <c r="T893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93" s="58">
        <f>(1000*CHOOSE(CONTROL!$C$42, 695, 695)*CHOOSE(CONTROL!$C$42, 0.5599, 0.5599)*CHOOSE(CONTROL!$C$42, 31, 31))/1000000</f>
        <v>12.063045499999998</v>
      </c>
      <c r="V893" s="58">
        <f>(1000*CHOOSE(CONTROL!$C$42, 500, 500)*CHOOSE(CONTROL!$C$42, 0.275, 0.275)*CHOOSE(CONTROL!$C$42, 31, 31))/1000000</f>
        <v>4.2625000000000002</v>
      </c>
      <c r="W893" s="58">
        <f>(1000*CHOOSE(CONTROL!$C$42, 0.1146, 0.1146)*CHOOSE(CONTROL!$C$42, 121.5, 121.5)*CHOOSE(CONTROL!$C$42, 31, 31))/1000000</f>
        <v>0.43164089999999994</v>
      </c>
      <c r="X893" s="58">
        <f>(31*0.1790888*245000/1000000)+(31*0.2374*100000/1000000)</f>
        <v>2.0961194359999999</v>
      </c>
      <c r="Y893" s="58"/>
      <c r="Z893" s="10"/>
      <c r="AA893" s="57"/>
      <c r="AB893" s="51">
        <f>(B893*194.205+C893*267.466+D893*133.845+E893*53.484+F893*40+G893*185+H893*0+I893*100+J893*300)/(194.205+267.466+133.845+53.484+0+40+185+100+300)</f>
        <v>31.627522062637365</v>
      </c>
      <c r="AC893" s="27">
        <f>(M893*'RAP TEMPLATE-GAS AVAILABILITY'!O892+N893*'RAP TEMPLATE-GAS AVAILABILITY'!P892+O893*'RAP TEMPLATE-GAS AVAILABILITY'!Q892+P893*'RAP TEMPLATE-GAS AVAILABILITY'!R892)/('RAP TEMPLATE-GAS AVAILABILITY'!O892+'RAP TEMPLATE-GAS AVAILABILITY'!P892+'RAP TEMPLATE-GAS AVAILABILITY'!Q892+'RAP TEMPLATE-GAS AVAILABILITY'!R892)</f>
        <v>31.380507194244604</v>
      </c>
    </row>
    <row r="894" spans="1:29" ht="15.75" x14ac:dyDescent="0.25">
      <c r="A894" s="13">
        <v>68483</v>
      </c>
      <c r="B894" s="10">
        <f>CHOOSE(CONTROL!$C$42, 32.5, 32.5) * CHOOSE(CONTROL!$C$21, $C$9, 100%, $E$9)</f>
        <v>32.5</v>
      </c>
      <c r="C894" s="10">
        <f>CHOOSE(CONTROL!$C$42, 32.5079, 32.5079) * CHOOSE(CONTROL!$C$21, $C$9, 100%, $E$9)</f>
        <v>32.507899999999999</v>
      </c>
      <c r="D894" s="10">
        <f>CHOOSE(CONTROL!$C$42, 32.6864, 32.6864) * CHOOSE(CONTROL!$C$21, $C$9, 100%, $E$9)</f>
        <v>32.686399999999999</v>
      </c>
      <c r="E894" s="10">
        <f>CHOOSE(CONTROL!$C$42, 32.7176, 32.7176) * CHOOSE(CONTROL!$C$21, $C$9, 100%, $E$9)</f>
        <v>32.717599999999997</v>
      </c>
      <c r="F894" s="10">
        <f>CHOOSE(CONTROL!$C$42, 32.4864, 32.4864)*CHOOSE(CONTROL!$C$21, $C$9, 100%, $E$9)</f>
        <v>32.486400000000003</v>
      </c>
      <c r="G894" s="10">
        <f>CHOOSE(CONTROL!$C$42, 32.5047, 32.5047)*CHOOSE(CONTROL!$C$21, $C$9, 100%, $E$9)</f>
        <v>32.5047</v>
      </c>
      <c r="H894" s="10">
        <f>CHOOSE(CONTROL!$C$42, 32.7062, 32.7062) * CHOOSE(CONTROL!$C$21, $C$9, 100%, $E$9)</f>
        <v>32.706200000000003</v>
      </c>
      <c r="I894" s="10">
        <f>CHOOSE(CONTROL!$C$42, 32.4769, 32.4769)* CHOOSE(CONTROL!$C$21, $C$9, 100%, $E$9)</f>
        <v>32.476900000000001</v>
      </c>
      <c r="J894" s="10">
        <f>CHOOSE(CONTROL!$C$42, 32.4794, 32.4794)* CHOOSE(CONTROL!$C$21, $C$9, 100%, $E$9)</f>
        <v>32.479399999999998</v>
      </c>
      <c r="K894" s="54">
        <f>CHOOSE(CONTROL!$C$42, 32.473, 32.473) * CHOOSE(CONTROL!$C$21, $C$9, 100%, $E$9)</f>
        <v>32.472999999999999</v>
      </c>
      <c r="L894" s="10">
        <f>CHOOSE(CONTROL!$C$42, 33.2932, 33.2932) * CHOOSE(CONTROL!$C$21, $C$9, 100%, $E$9)</f>
        <v>33.293199999999999</v>
      </c>
      <c r="M894" s="10">
        <f>CHOOSE(CONTROL!$C$42, 32.1655, 32.1655) * CHOOSE(CONTROL!$C$21, $C$9, 100%, $E$9)</f>
        <v>32.165500000000002</v>
      </c>
      <c r="N894" s="10">
        <f>CHOOSE(CONTROL!$C$42, 32.1835, 32.1835) * CHOOSE(CONTROL!$C$21, $C$9, 100%, $E$9)</f>
        <v>32.183500000000002</v>
      </c>
      <c r="O894" s="10">
        <f>CHOOSE(CONTROL!$C$42, 32.39, 32.39) * CHOOSE(CONTROL!$C$21, $C$9, 100%, $E$9)</f>
        <v>32.39</v>
      </c>
      <c r="P894" s="10">
        <f>CHOOSE(CONTROL!$C$42, 32.163, 32.163) * CHOOSE(CONTROL!$C$21, $C$9, 100%, $E$9)</f>
        <v>32.162999999999997</v>
      </c>
      <c r="Q894" s="10">
        <f>CHOOSE(CONTROL!$C$42, 32.9853, 32.9853) * CHOOSE(CONTROL!$C$21, $C$9, 100%, $E$9)</f>
        <v>32.985300000000002</v>
      </c>
      <c r="R894" s="10">
        <f>CHOOSE(CONTROL!$C$42, 33.6547, 33.6547) * CHOOSE(CONTROL!$C$21, $C$9, 100%, $E$9)</f>
        <v>33.654699999999998</v>
      </c>
      <c r="S894" s="10">
        <f>CHOOSE(CONTROL!$C$42, 31.5565, 31.5565) * CHOOSE(CONTROL!$C$21, $C$9, 100%, $E$9)</f>
        <v>31.5565</v>
      </c>
      <c r="T894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894" s="58">
        <f>(1000*CHOOSE(CONTROL!$C$42, 695, 695)*CHOOSE(CONTROL!$C$42, 0.5599, 0.5599)*CHOOSE(CONTROL!$C$42, 30, 30))/1000000</f>
        <v>11.673914999999997</v>
      </c>
      <c r="V894" s="58">
        <f>(1000*CHOOSE(CONTROL!$C$42, 500, 500)*CHOOSE(CONTROL!$C$42, 0.275, 0.275)*CHOOSE(CONTROL!$C$42, 30, 30))/1000000</f>
        <v>4.125</v>
      </c>
      <c r="W894" s="58">
        <f>(1000*CHOOSE(CONTROL!$C$42, 0.1146, 0.1146)*CHOOSE(CONTROL!$C$42, 121.5, 121.5)*CHOOSE(CONTROL!$C$42, 30, 30))/1000000</f>
        <v>0.417717</v>
      </c>
      <c r="X894" s="58">
        <f>(30*0.1790888*245000/1000000)+(30*0.2374*100000/1000000)</f>
        <v>2.0285026799999999</v>
      </c>
      <c r="Y894" s="58"/>
      <c r="Z894" s="10"/>
      <c r="AA894" s="57"/>
      <c r="AB894" s="51">
        <f>(B894*194.205+C894*267.466+D894*133.845+E894*53.484+F894*40+G894*185+H894*0+I894*100+J894*300)/(194.205+267.466+133.845+53.484+0+40+185+100+300)</f>
        <v>32.523968059497648</v>
      </c>
      <c r="AC894" s="27">
        <f>(M894*'RAP TEMPLATE-GAS AVAILABILITY'!O893+N894*'RAP TEMPLATE-GAS AVAILABILITY'!P893+O894*'RAP TEMPLATE-GAS AVAILABILITY'!Q893+P894*'RAP TEMPLATE-GAS AVAILABILITY'!R893)/('RAP TEMPLATE-GAS AVAILABILITY'!O893+'RAP TEMPLATE-GAS AVAILABILITY'!P893+'RAP TEMPLATE-GAS AVAILABILITY'!Q893+'RAP TEMPLATE-GAS AVAILABILITY'!R893)</f>
        <v>32.267928057553959</v>
      </c>
    </row>
    <row r="895" spans="1:29" ht="15.75" x14ac:dyDescent="0.25">
      <c r="A895" s="13">
        <v>68514</v>
      </c>
      <c r="B895" s="10">
        <f>CHOOSE(CONTROL!$C$42, 31.8766, 31.8766) * CHOOSE(CONTROL!$C$21, $C$9, 100%, $E$9)</f>
        <v>31.8766</v>
      </c>
      <c r="C895" s="10">
        <f>CHOOSE(CONTROL!$C$42, 31.8845, 31.8845) * CHOOSE(CONTROL!$C$21, $C$9, 100%, $E$9)</f>
        <v>31.884499999999999</v>
      </c>
      <c r="D895" s="10">
        <f>CHOOSE(CONTROL!$C$42, 32.063, 32.063) * CHOOSE(CONTROL!$C$21, $C$9, 100%, $E$9)</f>
        <v>32.063000000000002</v>
      </c>
      <c r="E895" s="10">
        <f>CHOOSE(CONTROL!$C$42, 32.0942, 32.0942) * CHOOSE(CONTROL!$C$21, $C$9, 100%, $E$9)</f>
        <v>32.094200000000001</v>
      </c>
      <c r="F895" s="10">
        <f>CHOOSE(CONTROL!$C$42, 31.8633, 31.8633)*CHOOSE(CONTROL!$C$21, $C$9, 100%, $E$9)</f>
        <v>31.863299999999999</v>
      </c>
      <c r="G895" s="10">
        <f>CHOOSE(CONTROL!$C$42, 31.8816, 31.8816)*CHOOSE(CONTROL!$C$21, $C$9, 100%, $E$9)</f>
        <v>31.881599999999999</v>
      </c>
      <c r="H895" s="10">
        <f>CHOOSE(CONTROL!$C$42, 32.0828, 32.0828) * CHOOSE(CONTROL!$C$21, $C$9, 100%, $E$9)</f>
        <v>32.082799999999999</v>
      </c>
      <c r="I895" s="10">
        <f>CHOOSE(CONTROL!$C$42, 31.8535, 31.8535)* CHOOSE(CONTROL!$C$21, $C$9, 100%, $E$9)</f>
        <v>31.8535</v>
      </c>
      <c r="J895" s="10">
        <f>CHOOSE(CONTROL!$C$42, 31.8563, 31.8563)* CHOOSE(CONTROL!$C$21, $C$9, 100%, $E$9)</f>
        <v>31.856300000000001</v>
      </c>
      <c r="K895" s="54">
        <f>CHOOSE(CONTROL!$C$42, 31.8496, 31.8496) * CHOOSE(CONTROL!$C$21, $C$9, 100%, $E$9)</f>
        <v>31.849599999999999</v>
      </c>
      <c r="L895" s="10">
        <f>CHOOSE(CONTROL!$C$42, 32.6698, 32.6698) * CHOOSE(CONTROL!$C$21, $C$9, 100%, $E$9)</f>
        <v>32.669800000000002</v>
      </c>
      <c r="M895" s="10">
        <f>CHOOSE(CONTROL!$C$42, 31.5486, 31.5486) * CHOOSE(CONTROL!$C$21, $C$9, 100%, $E$9)</f>
        <v>31.5486</v>
      </c>
      <c r="N895" s="10">
        <f>CHOOSE(CONTROL!$C$42, 31.5668, 31.5668) * CHOOSE(CONTROL!$C$21, $C$9, 100%, $E$9)</f>
        <v>31.566800000000001</v>
      </c>
      <c r="O895" s="10">
        <f>CHOOSE(CONTROL!$C$42, 31.7729, 31.7729) * CHOOSE(CONTROL!$C$21, $C$9, 100%, $E$9)</f>
        <v>31.7729</v>
      </c>
      <c r="P895" s="10">
        <f>CHOOSE(CONTROL!$C$42, 31.5459, 31.5459) * CHOOSE(CONTROL!$C$21, $C$9, 100%, $E$9)</f>
        <v>31.5459</v>
      </c>
      <c r="Q895" s="10">
        <f>CHOOSE(CONTROL!$C$42, 32.3682, 32.3682) * CHOOSE(CONTROL!$C$21, $C$9, 100%, $E$9)</f>
        <v>32.368200000000002</v>
      </c>
      <c r="R895" s="10">
        <f>CHOOSE(CONTROL!$C$42, 33.0361, 33.0361) * CHOOSE(CONTROL!$C$21, $C$9, 100%, $E$9)</f>
        <v>33.036099999999998</v>
      </c>
      <c r="S895" s="10">
        <f>CHOOSE(CONTROL!$C$42, 30.9511, 30.9511) * CHOOSE(CONTROL!$C$21, $C$9, 100%, $E$9)</f>
        <v>30.9511</v>
      </c>
      <c r="T895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895" s="58">
        <f>(1000*CHOOSE(CONTROL!$C$42, 695, 695)*CHOOSE(CONTROL!$C$42, 0.5599, 0.5599)*CHOOSE(CONTROL!$C$42, 31, 31))/1000000</f>
        <v>12.063045499999998</v>
      </c>
      <c r="V895" s="58">
        <f>(1000*CHOOSE(CONTROL!$C$42, 500, 500)*CHOOSE(CONTROL!$C$42, 0.275, 0.275)*CHOOSE(CONTROL!$C$42, 31, 31))/1000000</f>
        <v>4.2625000000000002</v>
      </c>
      <c r="W895" s="58">
        <f>(1000*CHOOSE(CONTROL!$C$42, 0.1146, 0.1146)*CHOOSE(CONTROL!$C$42, 121.5, 121.5)*CHOOSE(CONTROL!$C$42, 31, 31))/1000000</f>
        <v>0.43164089999999994</v>
      </c>
      <c r="X895" s="58">
        <f>(31*0.1790888*245000/1000000)+(31*0.2374*100000/1000000)</f>
        <v>2.0961194359999999</v>
      </c>
      <c r="Y895" s="58"/>
      <c r="Z895" s="10"/>
      <c r="AA895" s="57"/>
      <c r="AB895" s="51">
        <f>(B895*194.205+C895*267.466+D895*133.845+E895*53.484+F895*40+G895*185+H895*0+I895*100+J895*300)/(194.205+267.466+133.845+53.484+0+40+185+100+300)</f>
        <v>31.900691685871269</v>
      </c>
      <c r="AC895" s="27">
        <f>(M895*'RAP TEMPLATE-GAS AVAILABILITY'!O894+N895*'RAP TEMPLATE-GAS AVAILABILITY'!P894+O895*'RAP TEMPLATE-GAS AVAILABILITY'!Q894+P895*'RAP TEMPLATE-GAS AVAILABILITY'!R894)/('RAP TEMPLATE-GAS AVAILABILITY'!O894+'RAP TEMPLATE-GAS AVAILABILITY'!P894+'RAP TEMPLATE-GAS AVAILABILITY'!Q894+'RAP TEMPLATE-GAS AVAILABILITY'!R894)</f>
        <v>31.650920143884893</v>
      </c>
    </row>
    <row r="896" spans="1:29" ht="15.75" x14ac:dyDescent="0.25">
      <c r="A896" s="13">
        <v>68545</v>
      </c>
      <c r="B896" s="10">
        <f>CHOOSE(CONTROL!$C$42, 30.3023, 30.3023) * CHOOSE(CONTROL!$C$21, $C$9, 100%, $E$9)</f>
        <v>30.302299999999999</v>
      </c>
      <c r="C896" s="10">
        <f>CHOOSE(CONTROL!$C$42, 30.3102, 30.3102) * CHOOSE(CONTROL!$C$21, $C$9, 100%, $E$9)</f>
        <v>30.310199999999998</v>
      </c>
      <c r="D896" s="10">
        <f>CHOOSE(CONTROL!$C$42, 30.4888, 30.4888) * CHOOSE(CONTROL!$C$21, $C$9, 100%, $E$9)</f>
        <v>30.488800000000001</v>
      </c>
      <c r="E896" s="10">
        <f>CHOOSE(CONTROL!$C$42, 30.5199, 30.5199) * CHOOSE(CONTROL!$C$21, $C$9, 100%, $E$9)</f>
        <v>30.5199</v>
      </c>
      <c r="F896" s="10">
        <f>CHOOSE(CONTROL!$C$42, 30.289, 30.289)*CHOOSE(CONTROL!$C$21, $C$9, 100%, $E$9)</f>
        <v>30.289000000000001</v>
      </c>
      <c r="G896" s="10">
        <f>CHOOSE(CONTROL!$C$42, 30.3073, 30.3073)*CHOOSE(CONTROL!$C$21, $C$9, 100%, $E$9)</f>
        <v>30.307300000000001</v>
      </c>
      <c r="H896" s="10">
        <f>CHOOSE(CONTROL!$C$42, 30.5085, 30.5085) * CHOOSE(CONTROL!$C$21, $C$9, 100%, $E$9)</f>
        <v>30.508500000000002</v>
      </c>
      <c r="I896" s="10">
        <f>CHOOSE(CONTROL!$C$42, 30.2792, 30.2792)* CHOOSE(CONTROL!$C$21, $C$9, 100%, $E$9)</f>
        <v>30.279199999999999</v>
      </c>
      <c r="J896" s="10">
        <f>CHOOSE(CONTROL!$C$42, 30.282, 30.282)* CHOOSE(CONTROL!$C$21, $C$9, 100%, $E$9)</f>
        <v>30.282</v>
      </c>
      <c r="K896" s="54">
        <f>CHOOSE(CONTROL!$C$42, 30.2753, 30.2753) * CHOOSE(CONTROL!$C$21, $C$9, 100%, $E$9)</f>
        <v>30.275300000000001</v>
      </c>
      <c r="L896" s="10">
        <f>CHOOSE(CONTROL!$C$42, 31.0955, 31.0955) * CHOOSE(CONTROL!$C$21, $C$9, 100%, $E$9)</f>
        <v>31.095500000000001</v>
      </c>
      <c r="M896" s="10">
        <f>CHOOSE(CONTROL!$C$42, 29.9902, 29.9902) * CHOOSE(CONTROL!$C$21, $C$9, 100%, $E$9)</f>
        <v>29.990200000000002</v>
      </c>
      <c r="N896" s="10">
        <f>CHOOSE(CONTROL!$C$42, 30.0083, 30.0083) * CHOOSE(CONTROL!$C$21, $C$9, 100%, $E$9)</f>
        <v>30.008299999999998</v>
      </c>
      <c r="O896" s="10">
        <f>CHOOSE(CONTROL!$C$42, 30.2145, 30.2145) * CHOOSE(CONTROL!$C$21, $C$9, 100%, $E$9)</f>
        <v>30.214500000000001</v>
      </c>
      <c r="P896" s="10">
        <f>CHOOSE(CONTROL!$C$42, 29.9875, 29.9875) * CHOOSE(CONTROL!$C$21, $C$9, 100%, $E$9)</f>
        <v>29.987500000000001</v>
      </c>
      <c r="Q896" s="10">
        <f>CHOOSE(CONTROL!$C$42, 30.8098, 30.8098) * CHOOSE(CONTROL!$C$21, $C$9, 100%, $E$9)</f>
        <v>30.809799999999999</v>
      </c>
      <c r="R896" s="10">
        <f>CHOOSE(CONTROL!$C$42, 31.4738, 31.4738) * CHOOSE(CONTROL!$C$21, $C$9, 100%, $E$9)</f>
        <v>31.473800000000001</v>
      </c>
      <c r="S896" s="10">
        <f>CHOOSE(CONTROL!$C$42, 29.4223, 29.4223) * CHOOSE(CONTROL!$C$21, $C$9, 100%, $E$9)</f>
        <v>29.4223</v>
      </c>
      <c r="T896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96" s="58">
        <f>(1000*CHOOSE(CONTROL!$C$42, 695, 695)*CHOOSE(CONTROL!$C$42, 0.5599, 0.5599)*CHOOSE(CONTROL!$C$42, 31, 31))/1000000</f>
        <v>12.063045499999998</v>
      </c>
      <c r="V896" s="58">
        <f>(1000*CHOOSE(CONTROL!$C$42, 500, 500)*CHOOSE(CONTROL!$C$42, 0.275, 0.275)*CHOOSE(CONTROL!$C$42, 31, 31))/1000000</f>
        <v>4.2625000000000002</v>
      </c>
      <c r="W896" s="58">
        <f>(1000*CHOOSE(CONTROL!$C$42, 0.1146, 0.1146)*CHOOSE(CONTROL!$C$42, 121.5, 121.5)*CHOOSE(CONTROL!$C$42, 31, 31))/1000000</f>
        <v>0.43164089999999994</v>
      </c>
      <c r="X896" s="58">
        <f>(31*0.1790888*245000/1000000)+(31*0.2374*100000/1000000)</f>
        <v>2.0961194359999999</v>
      </c>
      <c r="Y896" s="58"/>
      <c r="Z896" s="10"/>
      <c r="AA896" s="57"/>
      <c r="AB896" s="51">
        <f>(B896*194.205+C896*267.466+D896*133.845+E896*53.484+F896*40+G896*185+H896*0+I896*100+J896*300)/(194.205+267.466+133.845+53.484+0+40+185+100+300)</f>
        <v>30.326402191758241</v>
      </c>
      <c r="AC896" s="27">
        <f>(M896*'RAP TEMPLATE-GAS AVAILABILITY'!O895+N896*'RAP TEMPLATE-GAS AVAILABILITY'!P895+O896*'RAP TEMPLATE-GAS AVAILABILITY'!Q895+P896*'RAP TEMPLATE-GAS AVAILABILITY'!R895)/('RAP TEMPLATE-GAS AVAILABILITY'!O895+'RAP TEMPLATE-GAS AVAILABILITY'!P895+'RAP TEMPLATE-GAS AVAILABILITY'!Q895+'RAP TEMPLATE-GAS AVAILABILITY'!R895)</f>
        <v>30.09251438848921</v>
      </c>
    </row>
    <row r="897" spans="1:29" ht="15.75" x14ac:dyDescent="0.25">
      <c r="A897" s="13">
        <v>68575</v>
      </c>
      <c r="B897" s="10">
        <f>CHOOSE(CONTROL!$C$42, 28.3788, 28.3788) * CHOOSE(CONTROL!$C$21, $C$9, 100%, $E$9)</f>
        <v>28.378799999999998</v>
      </c>
      <c r="C897" s="10">
        <f>CHOOSE(CONTROL!$C$42, 28.3868, 28.3868) * CHOOSE(CONTROL!$C$21, $C$9, 100%, $E$9)</f>
        <v>28.386800000000001</v>
      </c>
      <c r="D897" s="10">
        <f>CHOOSE(CONTROL!$C$42, 28.5653, 28.5653) * CHOOSE(CONTROL!$C$21, $C$9, 100%, $E$9)</f>
        <v>28.565300000000001</v>
      </c>
      <c r="E897" s="10">
        <f>CHOOSE(CONTROL!$C$42, 28.5964, 28.5964) * CHOOSE(CONTROL!$C$21, $C$9, 100%, $E$9)</f>
        <v>28.596399999999999</v>
      </c>
      <c r="F897" s="10">
        <f>CHOOSE(CONTROL!$C$42, 28.3652, 28.3652)*CHOOSE(CONTROL!$C$21, $C$9, 100%, $E$9)</f>
        <v>28.365200000000002</v>
      </c>
      <c r="G897" s="10">
        <f>CHOOSE(CONTROL!$C$42, 28.3834, 28.3834)*CHOOSE(CONTROL!$C$21, $C$9, 100%, $E$9)</f>
        <v>28.383400000000002</v>
      </c>
      <c r="H897" s="10">
        <f>CHOOSE(CONTROL!$C$42, 28.5851, 28.5851) * CHOOSE(CONTROL!$C$21, $C$9, 100%, $E$9)</f>
        <v>28.585100000000001</v>
      </c>
      <c r="I897" s="10">
        <f>CHOOSE(CONTROL!$C$42, 28.3557, 28.3557)* CHOOSE(CONTROL!$C$21, $C$9, 100%, $E$9)</f>
        <v>28.355699999999999</v>
      </c>
      <c r="J897" s="10">
        <f>CHOOSE(CONTROL!$C$42, 28.3582, 28.3582)* CHOOSE(CONTROL!$C$21, $C$9, 100%, $E$9)</f>
        <v>28.3582</v>
      </c>
      <c r="K897" s="54">
        <f>CHOOSE(CONTROL!$C$42, 28.3518, 28.3518) * CHOOSE(CONTROL!$C$21, $C$9, 100%, $E$9)</f>
        <v>28.351800000000001</v>
      </c>
      <c r="L897" s="10">
        <f>CHOOSE(CONTROL!$C$42, 29.1721, 29.1721) * CHOOSE(CONTROL!$C$21, $C$9, 100%, $E$9)</f>
        <v>29.1721</v>
      </c>
      <c r="M897" s="10">
        <f>CHOOSE(CONTROL!$C$42, 28.0858, 28.0858) * CHOOSE(CONTROL!$C$21, $C$9, 100%, $E$9)</f>
        <v>28.085799999999999</v>
      </c>
      <c r="N897" s="10">
        <f>CHOOSE(CONTROL!$C$42, 28.1039, 28.1039) * CHOOSE(CONTROL!$C$21, $C$9, 100%, $E$9)</f>
        <v>28.103899999999999</v>
      </c>
      <c r="O897" s="10">
        <f>CHOOSE(CONTROL!$C$42, 28.3104, 28.3104) * CHOOSE(CONTROL!$C$21, $C$9, 100%, $E$9)</f>
        <v>28.310400000000001</v>
      </c>
      <c r="P897" s="10">
        <f>CHOOSE(CONTROL!$C$42, 28.0834, 28.0834) * CHOOSE(CONTROL!$C$21, $C$9, 100%, $E$9)</f>
        <v>28.083400000000001</v>
      </c>
      <c r="Q897" s="10">
        <f>CHOOSE(CONTROL!$C$42, 28.9057, 28.9057) * CHOOSE(CONTROL!$C$21, $C$9, 100%, $E$9)</f>
        <v>28.9057</v>
      </c>
      <c r="R897" s="10">
        <f>CHOOSE(CONTROL!$C$42, 29.565, 29.565) * CHOOSE(CONTROL!$C$21, $C$9, 100%, $E$9)</f>
        <v>29.565000000000001</v>
      </c>
      <c r="S897" s="10">
        <f>CHOOSE(CONTROL!$C$42, 27.5544, 27.5544) * CHOOSE(CONTROL!$C$21, $C$9, 100%, $E$9)</f>
        <v>27.554400000000001</v>
      </c>
      <c r="T897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97" s="58">
        <f>(1000*CHOOSE(CONTROL!$C$42, 695, 695)*CHOOSE(CONTROL!$C$42, 0.5599, 0.5599)*CHOOSE(CONTROL!$C$42, 30, 30))/1000000</f>
        <v>11.673914999999997</v>
      </c>
      <c r="V897" s="58">
        <f>(1000*CHOOSE(CONTROL!$C$42, 500, 500)*CHOOSE(CONTROL!$C$42, 0.275, 0.275)*CHOOSE(CONTROL!$C$42, 30, 30))/1000000</f>
        <v>4.125</v>
      </c>
      <c r="W897" s="58">
        <f>(1000*CHOOSE(CONTROL!$C$42, 0.1146, 0.1146)*CHOOSE(CONTROL!$C$42, 121.5, 121.5)*CHOOSE(CONTROL!$C$42, 30, 30))/1000000</f>
        <v>0.417717</v>
      </c>
      <c r="X897" s="58">
        <f>(30*0.1790888*245000/1000000)+(30*0.2374*100000/1000000)</f>
        <v>2.0285026799999999</v>
      </c>
      <c r="Y897" s="58"/>
      <c r="Z897" s="10"/>
      <c r="AA897" s="57"/>
      <c r="AB897" s="51">
        <f>(B897*194.205+C897*267.466+D897*133.845+E897*53.484+F897*40+G897*185+H897*0+I897*100+J897*300)/(194.205+267.466+133.845+53.484+0+40+185+100+300)</f>
        <v>28.402785038383044</v>
      </c>
      <c r="AC897" s="27">
        <f>(M897*'RAP TEMPLATE-GAS AVAILABILITY'!O896+N897*'RAP TEMPLATE-GAS AVAILABILITY'!P896+O897*'RAP TEMPLATE-GAS AVAILABILITY'!Q896+P897*'RAP TEMPLATE-GAS AVAILABILITY'!R896)/('RAP TEMPLATE-GAS AVAILABILITY'!O896+'RAP TEMPLATE-GAS AVAILABILITY'!P896+'RAP TEMPLATE-GAS AVAILABILITY'!Q896+'RAP TEMPLATE-GAS AVAILABILITY'!R896)</f>
        <v>28.188293525179851</v>
      </c>
    </row>
    <row r="898" spans="1:29" ht="15.75" x14ac:dyDescent="0.25">
      <c r="A898" s="13">
        <v>68606</v>
      </c>
      <c r="B898" s="10">
        <f>CHOOSE(CONTROL!$C$42, 27.8006, 27.8006) * CHOOSE(CONTROL!$C$21, $C$9, 100%, $E$9)</f>
        <v>27.800599999999999</v>
      </c>
      <c r="C898" s="10">
        <f>CHOOSE(CONTROL!$C$42, 27.8058, 27.8058) * CHOOSE(CONTROL!$C$21, $C$9, 100%, $E$9)</f>
        <v>27.805800000000001</v>
      </c>
      <c r="D898" s="10">
        <f>CHOOSE(CONTROL!$C$42, 27.9893, 27.9893) * CHOOSE(CONTROL!$C$21, $C$9, 100%, $E$9)</f>
        <v>27.9893</v>
      </c>
      <c r="E898" s="10">
        <f>CHOOSE(CONTROL!$C$42, 28.0181, 28.0181) * CHOOSE(CONTROL!$C$21, $C$9, 100%, $E$9)</f>
        <v>28.0181</v>
      </c>
      <c r="F898" s="10">
        <f>CHOOSE(CONTROL!$C$42, 27.7889, 27.7889)*CHOOSE(CONTROL!$C$21, $C$9, 100%, $E$9)</f>
        <v>27.788900000000002</v>
      </c>
      <c r="G898" s="10">
        <f>CHOOSE(CONTROL!$C$42, 27.8068, 27.8068)*CHOOSE(CONTROL!$C$21, $C$9, 100%, $E$9)</f>
        <v>27.806799999999999</v>
      </c>
      <c r="H898" s="10">
        <f>CHOOSE(CONTROL!$C$42, 28.0086, 28.0086) * CHOOSE(CONTROL!$C$21, $C$9, 100%, $E$9)</f>
        <v>28.008600000000001</v>
      </c>
      <c r="I898" s="10">
        <f>CHOOSE(CONTROL!$C$42, 27.7792, 27.7792)* CHOOSE(CONTROL!$C$21, $C$9, 100%, $E$9)</f>
        <v>27.779199999999999</v>
      </c>
      <c r="J898" s="10">
        <f>CHOOSE(CONTROL!$C$42, 27.7819, 27.7819)* CHOOSE(CONTROL!$C$21, $C$9, 100%, $E$9)</f>
        <v>27.7819</v>
      </c>
      <c r="K898" s="54">
        <f>CHOOSE(CONTROL!$C$42, 27.7753, 27.7753) * CHOOSE(CONTROL!$C$21, $C$9, 100%, $E$9)</f>
        <v>27.775300000000001</v>
      </c>
      <c r="L898" s="10">
        <f>CHOOSE(CONTROL!$C$42, 28.5956, 28.5956) * CHOOSE(CONTROL!$C$21, $C$9, 100%, $E$9)</f>
        <v>28.595600000000001</v>
      </c>
      <c r="M898" s="10">
        <f>CHOOSE(CONTROL!$C$42, 27.5154, 27.5154) * CHOOSE(CONTROL!$C$21, $C$9, 100%, $E$9)</f>
        <v>27.5154</v>
      </c>
      <c r="N898" s="10">
        <f>CHOOSE(CONTROL!$C$42, 27.5331, 27.5331) * CHOOSE(CONTROL!$C$21, $C$9, 100%, $E$9)</f>
        <v>27.533100000000001</v>
      </c>
      <c r="O898" s="10">
        <f>CHOOSE(CONTROL!$C$42, 27.7397, 27.7397) * CHOOSE(CONTROL!$C$21, $C$9, 100%, $E$9)</f>
        <v>27.739699999999999</v>
      </c>
      <c r="P898" s="10">
        <f>CHOOSE(CONTROL!$C$42, 27.5127, 27.5127) * CHOOSE(CONTROL!$C$21, $C$9, 100%, $E$9)</f>
        <v>27.512699999999999</v>
      </c>
      <c r="Q898" s="10">
        <f>CHOOSE(CONTROL!$C$42, 28.335, 28.335) * CHOOSE(CONTROL!$C$21, $C$9, 100%, $E$9)</f>
        <v>28.335000000000001</v>
      </c>
      <c r="R898" s="10">
        <f>CHOOSE(CONTROL!$C$42, 28.9929, 28.9929) * CHOOSE(CONTROL!$C$21, $C$9, 100%, $E$9)</f>
        <v>28.992899999999999</v>
      </c>
      <c r="S898" s="10">
        <f>CHOOSE(CONTROL!$C$42, 26.9946, 26.9946) * CHOOSE(CONTROL!$C$21, $C$9, 100%, $E$9)</f>
        <v>26.994599999999998</v>
      </c>
      <c r="T898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98" s="58">
        <f>(1000*CHOOSE(CONTROL!$C$42, 695, 695)*CHOOSE(CONTROL!$C$42, 0.5599, 0.5599)*CHOOSE(CONTROL!$C$42, 31, 31))/1000000</f>
        <v>12.063045499999998</v>
      </c>
      <c r="V898" s="58">
        <f>(1000*CHOOSE(CONTROL!$C$42, 500, 500)*CHOOSE(CONTROL!$C$42, 0.275, 0.275)*CHOOSE(CONTROL!$C$42, 31, 31))/1000000</f>
        <v>4.2625000000000002</v>
      </c>
      <c r="W898" s="58">
        <f>(1000*CHOOSE(CONTROL!$C$42, 0.1146, 0.1146)*CHOOSE(CONTROL!$C$42, 121.5, 121.5)*CHOOSE(CONTROL!$C$42, 31, 31))/1000000</f>
        <v>0.43164089999999994</v>
      </c>
      <c r="X898" s="58">
        <f>(31*0.1790888*245000/1000000)+(31*0.2374*100000/1000000)</f>
        <v>2.0961194359999999</v>
      </c>
      <c r="Y898" s="58"/>
      <c r="Z898" s="10"/>
      <c r="AA898" s="57"/>
      <c r="AB898" s="51">
        <f>(B898*131.881+C898*277.167+D898*79.08+E898*125.872+F898*40+G898*185+H898*0+I898*100+J898*300)/(131.881+277.167+79.08+125.872+0+40+185+100+300)</f>
        <v>27.83019630702179</v>
      </c>
      <c r="AC898" s="27">
        <f>(M898*'RAP TEMPLATE-GAS AVAILABILITY'!O897+N898*'RAP TEMPLATE-GAS AVAILABILITY'!P897+O898*'RAP TEMPLATE-GAS AVAILABILITY'!Q897+P898*'RAP TEMPLATE-GAS AVAILABILITY'!R897)/('RAP TEMPLATE-GAS AVAILABILITY'!O897+'RAP TEMPLATE-GAS AVAILABILITY'!P897+'RAP TEMPLATE-GAS AVAILABILITY'!Q897+'RAP TEMPLATE-GAS AVAILABILITY'!R897)</f>
        <v>27.617691366906474</v>
      </c>
    </row>
    <row r="899" spans="1:29" ht="15.75" x14ac:dyDescent="0.25">
      <c r="A899" s="13">
        <v>68636</v>
      </c>
      <c r="B899" s="10">
        <f>CHOOSE(CONTROL!$C$42, 28.5325, 28.5325) * CHOOSE(CONTROL!$C$21, $C$9, 100%, $E$9)</f>
        <v>28.532499999999999</v>
      </c>
      <c r="C899" s="10">
        <f>CHOOSE(CONTROL!$C$42, 28.5374, 28.5374) * CHOOSE(CONTROL!$C$21, $C$9, 100%, $E$9)</f>
        <v>28.537400000000002</v>
      </c>
      <c r="D899" s="10">
        <f>CHOOSE(CONTROL!$C$42, 28.567, 28.567) * CHOOSE(CONTROL!$C$21, $C$9, 100%, $E$9)</f>
        <v>28.567</v>
      </c>
      <c r="E899" s="10">
        <f>CHOOSE(CONTROL!$C$42, 28.6008, 28.6008) * CHOOSE(CONTROL!$C$21, $C$9, 100%, $E$9)</f>
        <v>28.6008</v>
      </c>
      <c r="F899" s="10">
        <f>CHOOSE(CONTROL!$C$42, 28.5182, 28.5182)*CHOOSE(CONTROL!$C$21, $C$9, 100%, $E$9)</f>
        <v>28.5182</v>
      </c>
      <c r="G899" s="10">
        <f>CHOOSE(CONTROL!$C$42, 28.5363, 28.5363)*CHOOSE(CONTROL!$C$21, $C$9, 100%, $E$9)</f>
        <v>28.536300000000001</v>
      </c>
      <c r="H899" s="10">
        <f>CHOOSE(CONTROL!$C$42, 28.59, 28.59) * CHOOSE(CONTROL!$C$21, $C$9, 100%, $E$9)</f>
        <v>28.59</v>
      </c>
      <c r="I899" s="10">
        <f>CHOOSE(CONTROL!$C$42, 28.4987, 28.4987)* CHOOSE(CONTROL!$C$21, $C$9, 100%, $E$9)</f>
        <v>28.498699999999999</v>
      </c>
      <c r="J899" s="10">
        <f>CHOOSE(CONTROL!$C$42, 28.5112, 28.5112)* CHOOSE(CONTROL!$C$21, $C$9, 100%, $E$9)</f>
        <v>28.511199999999999</v>
      </c>
      <c r="K899" s="54">
        <f>CHOOSE(CONTROL!$C$42, 28.4948, 28.4948) * CHOOSE(CONTROL!$C$21, $C$9, 100%, $E$9)</f>
        <v>28.494800000000001</v>
      </c>
      <c r="L899" s="10">
        <f>CHOOSE(CONTROL!$C$42, 29.177, 29.177) * CHOOSE(CONTROL!$C$21, $C$9, 100%, $E$9)</f>
        <v>29.177</v>
      </c>
      <c r="M899" s="10">
        <f>CHOOSE(CONTROL!$C$42, 28.2373, 28.2373) * CHOOSE(CONTROL!$C$21, $C$9, 100%, $E$9)</f>
        <v>28.237300000000001</v>
      </c>
      <c r="N899" s="10">
        <f>CHOOSE(CONTROL!$C$42, 28.2552, 28.2552) * CHOOSE(CONTROL!$C$21, $C$9, 100%, $E$9)</f>
        <v>28.255199999999999</v>
      </c>
      <c r="O899" s="10">
        <f>CHOOSE(CONTROL!$C$42, 28.3153, 28.3153) * CHOOSE(CONTROL!$C$21, $C$9, 100%, $E$9)</f>
        <v>28.315300000000001</v>
      </c>
      <c r="P899" s="10">
        <f>CHOOSE(CONTROL!$C$42, 28.2249, 28.2249) * CHOOSE(CONTROL!$C$21, $C$9, 100%, $E$9)</f>
        <v>28.224900000000002</v>
      </c>
      <c r="Q899" s="10">
        <f>CHOOSE(CONTROL!$C$42, 28.9106, 28.9106) * CHOOSE(CONTROL!$C$21, $C$9, 100%, $E$9)</f>
        <v>28.910599999999999</v>
      </c>
      <c r="R899" s="10">
        <f>CHOOSE(CONTROL!$C$42, 29.5699, 29.5699) * CHOOSE(CONTROL!$C$21, $C$9, 100%, $E$9)</f>
        <v>29.569900000000001</v>
      </c>
      <c r="S899" s="10">
        <f>CHOOSE(CONTROL!$C$42, 27.7058, 27.7058) * CHOOSE(CONTROL!$C$21, $C$9, 100%, $E$9)</f>
        <v>27.7058</v>
      </c>
      <c r="T899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99" s="58">
        <f>(1000*CHOOSE(CONTROL!$C$42, 695, 695)*CHOOSE(CONTROL!$C$42, 0.5599, 0.5599)*CHOOSE(CONTROL!$C$42, 30, 30))/1000000</f>
        <v>11.673914999999997</v>
      </c>
      <c r="V899" s="58">
        <f>(1000*CHOOSE(CONTROL!$C$42, 500, 500)*CHOOSE(CONTROL!$C$42, 0.275, 0.275)*CHOOSE(CONTROL!$C$42, 30, 30))/1000000</f>
        <v>4.125</v>
      </c>
      <c r="W899" s="58">
        <f>(1000*CHOOSE(CONTROL!$C$42, 0.1146, 0.1146)*CHOOSE(CONTROL!$C$42, 121.5, 121.5)*CHOOSE(CONTROL!$C$42, 30, 30))/1000000</f>
        <v>0.417717</v>
      </c>
      <c r="X899" s="58">
        <f>(30*0.1790888*100000/1000000)+(30*0.2374*100000/1000000)</f>
        <v>1.2494664</v>
      </c>
      <c r="Y899" s="58"/>
      <c r="Z899" s="10"/>
      <c r="AA899" s="57"/>
      <c r="AB899" s="51">
        <f>(B899*122.58+C899*297.941+D899*89.177+E899*40.302+F899*40+G899*160+H899*0+I899*100+J899*300)/(122.58+297.941+89.177+40.302+0+40+160+100+300)</f>
        <v>28.530374038260867</v>
      </c>
      <c r="AC899" s="27">
        <f>(M899*'RAP TEMPLATE-GAS AVAILABILITY'!O898+N899*'RAP TEMPLATE-GAS AVAILABILITY'!P898+O899*'RAP TEMPLATE-GAS AVAILABILITY'!Q898+P899*'RAP TEMPLATE-GAS AVAILABILITY'!R898)/('RAP TEMPLATE-GAS AVAILABILITY'!O898+'RAP TEMPLATE-GAS AVAILABILITY'!P898+'RAP TEMPLATE-GAS AVAILABILITY'!Q898+'RAP TEMPLATE-GAS AVAILABILITY'!R898)</f>
        <v>28.271898561151083</v>
      </c>
    </row>
    <row r="900" spans="1:29" ht="15.75" x14ac:dyDescent="0.25">
      <c r="A900" s="13">
        <v>68667</v>
      </c>
      <c r="B900" s="10">
        <f>CHOOSE(CONTROL!$C$42, 30.4776, 30.4776) * CHOOSE(CONTROL!$C$21, $C$9, 100%, $E$9)</f>
        <v>30.477599999999999</v>
      </c>
      <c r="C900" s="10">
        <f>CHOOSE(CONTROL!$C$42, 30.4826, 30.4826) * CHOOSE(CONTROL!$C$21, $C$9, 100%, $E$9)</f>
        <v>30.482600000000001</v>
      </c>
      <c r="D900" s="10">
        <f>CHOOSE(CONTROL!$C$42, 30.5122, 30.5122) * CHOOSE(CONTROL!$C$21, $C$9, 100%, $E$9)</f>
        <v>30.5122</v>
      </c>
      <c r="E900" s="10">
        <f>CHOOSE(CONTROL!$C$42, 30.546, 30.546) * CHOOSE(CONTROL!$C$21, $C$9, 100%, $E$9)</f>
        <v>30.545999999999999</v>
      </c>
      <c r="F900" s="10">
        <f>CHOOSE(CONTROL!$C$42, 30.4649, 30.4649)*CHOOSE(CONTROL!$C$21, $C$9, 100%, $E$9)</f>
        <v>30.4649</v>
      </c>
      <c r="G900" s="10">
        <f>CHOOSE(CONTROL!$C$42, 30.4834, 30.4834)*CHOOSE(CONTROL!$C$21, $C$9, 100%, $E$9)</f>
        <v>30.4834</v>
      </c>
      <c r="H900" s="10">
        <f>CHOOSE(CONTROL!$C$42, 30.5352, 30.5352) * CHOOSE(CONTROL!$C$21, $C$9, 100%, $E$9)</f>
        <v>30.5352</v>
      </c>
      <c r="I900" s="10">
        <f>CHOOSE(CONTROL!$C$42, 30.4438, 30.4438)* CHOOSE(CONTROL!$C$21, $C$9, 100%, $E$9)</f>
        <v>30.4438</v>
      </c>
      <c r="J900" s="10">
        <f>CHOOSE(CONTROL!$C$42, 30.4579, 30.4579)* CHOOSE(CONTROL!$C$21, $C$9, 100%, $E$9)</f>
        <v>30.457899999999999</v>
      </c>
      <c r="K900" s="54">
        <f>CHOOSE(CONTROL!$C$42, 30.4399, 30.4399) * CHOOSE(CONTROL!$C$21, $C$9, 100%, $E$9)</f>
        <v>30.439900000000002</v>
      </c>
      <c r="L900" s="10">
        <f>CHOOSE(CONTROL!$C$42, 31.1222, 31.1222) * CHOOSE(CONTROL!$C$21, $C$9, 100%, $E$9)</f>
        <v>31.122199999999999</v>
      </c>
      <c r="M900" s="10">
        <f>CHOOSE(CONTROL!$C$42, 30.1644, 30.1644) * CHOOSE(CONTROL!$C$21, $C$9, 100%, $E$9)</f>
        <v>30.164400000000001</v>
      </c>
      <c r="N900" s="10">
        <f>CHOOSE(CONTROL!$C$42, 30.1826, 30.1826) * CHOOSE(CONTROL!$C$21, $C$9, 100%, $E$9)</f>
        <v>30.182600000000001</v>
      </c>
      <c r="O900" s="10">
        <f>CHOOSE(CONTROL!$C$42, 30.2408, 30.2408) * CHOOSE(CONTROL!$C$21, $C$9, 100%, $E$9)</f>
        <v>30.2408</v>
      </c>
      <c r="P900" s="10">
        <f>CHOOSE(CONTROL!$C$42, 30.1504, 30.1504) * CHOOSE(CONTROL!$C$21, $C$9, 100%, $E$9)</f>
        <v>30.150400000000001</v>
      </c>
      <c r="Q900" s="10">
        <f>CHOOSE(CONTROL!$C$42, 30.8361, 30.8361) * CHOOSE(CONTROL!$C$21, $C$9, 100%, $E$9)</f>
        <v>30.836099999999998</v>
      </c>
      <c r="R900" s="10">
        <f>CHOOSE(CONTROL!$C$42, 31.5002, 31.5002) * CHOOSE(CONTROL!$C$21, $C$9, 100%, $E$9)</f>
        <v>31.5002</v>
      </c>
      <c r="S900" s="10">
        <f>CHOOSE(CONTROL!$C$42, 29.5947, 29.5947) * CHOOSE(CONTROL!$C$21, $C$9, 100%, $E$9)</f>
        <v>29.5947</v>
      </c>
      <c r="T900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00" s="58">
        <f>(1000*CHOOSE(CONTROL!$C$42, 695, 695)*CHOOSE(CONTROL!$C$42, 0.5599, 0.5599)*CHOOSE(CONTROL!$C$42, 31, 31))/1000000</f>
        <v>12.063045499999998</v>
      </c>
      <c r="V900" s="58">
        <f>(1000*CHOOSE(CONTROL!$C$42, 500, 500)*CHOOSE(CONTROL!$C$42, 0.275, 0.275)*CHOOSE(CONTROL!$C$42, 31, 31))/1000000</f>
        <v>4.2625000000000002</v>
      </c>
      <c r="W900" s="58">
        <f>(1000*CHOOSE(CONTROL!$C$42, 0.1146, 0.1146)*CHOOSE(CONTROL!$C$42, 121.5, 121.5)*CHOOSE(CONTROL!$C$42, 31, 31))/1000000</f>
        <v>0.43164089999999994</v>
      </c>
      <c r="X900" s="58">
        <f>(31*0.1790888*100000/1000000)+(31*0.2374*100000/1000000)</f>
        <v>1.2911152800000001</v>
      </c>
      <c r="Y900" s="58"/>
      <c r="Z900" s="10"/>
      <c r="AA900" s="57"/>
      <c r="AB900" s="51">
        <f>(B900*122.58+C900*297.941+D900*89.177+E900*40.302+F900*40+G900*160+H900*0+I900*100+J900*300)/(122.58+297.941+89.177+40.302+0+40+160+100+300)</f>
        <v>30.476262509565213</v>
      </c>
      <c r="AC900" s="27">
        <f>(M900*'RAP TEMPLATE-GAS AVAILABILITY'!O899+N900*'RAP TEMPLATE-GAS AVAILABILITY'!P899+O900*'RAP TEMPLATE-GAS AVAILABILITY'!Q899+P900*'RAP TEMPLATE-GAS AVAILABILITY'!R899)/('RAP TEMPLATE-GAS AVAILABILITY'!O899+'RAP TEMPLATE-GAS AVAILABILITY'!P899+'RAP TEMPLATE-GAS AVAILABILITY'!Q899+'RAP TEMPLATE-GAS AVAILABILITY'!R899)</f>
        <v>30.198060431654678</v>
      </c>
    </row>
    <row r="901" spans="1:29" ht="15.75" x14ac:dyDescent="0.25">
      <c r="A901" s="13">
        <v>68698</v>
      </c>
      <c r="B901" s="10">
        <f>CHOOSE(CONTROL!$C$42, 32.5345, 32.5345) * CHOOSE(CONTROL!$C$21, $C$9, 100%, $E$9)</f>
        <v>32.534500000000001</v>
      </c>
      <c r="C901" s="10">
        <f>CHOOSE(CONTROL!$C$42, 32.5394, 32.5394) * CHOOSE(CONTROL!$C$21, $C$9, 100%, $E$9)</f>
        <v>32.539400000000001</v>
      </c>
      <c r="D901" s="10">
        <f>CHOOSE(CONTROL!$C$42, 32.5896, 32.5896) * CHOOSE(CONTROL!$C$21, $C$9, 100%, $E$9)</f>
        <v>32.589599999999997</v>
      </c>
      <c r="E901" s="10">
        <f>CHOOSE(CONTROL!$C$42, 32.6234, 32.6234) * CHOOSE(CONTROL!$C$21, $C$9, 100%, $E$9)</f>
        <v>32.623399999999997</v>
      </c>
      <c r="F901" s="10">
        <f>CHOOSE(CONTROL!$C$42, 32.4998, 32.4998)*CHOOSE(CONTROL!$C$21, $C$9, 100%, $E$9)</f>
        <v>32.4998</v>
      </c>
      <c r="G901" s="10">
        <f>CHOOSE(CONTROL!$C$42, 32.5174, 32.5174)*CHOOSE(CONTROL!$C$21, $C$9, 100%, $E$9)</f>
        <v>32.517400000000002</v>
      </c>
      <c r="H901" s="10">
        <f>CHOOSE(CONTROL!$C$42, 32.6126, 32.6126) * CHOOSE(CONTROL!$C$21, $C$9, 100%, $E$9)</f>
        <v>32.6126</v>
      </c>
      <c r="I901" s="10">
        <f>CHOOSE(CONTROL!$C$42, 32.5084, 32.5084)* CHOOSE(CONTROL!$C$21, $C$9, 100%, $E$9)</f>
        <v>32.508400000000002</v>
      </c>
      <c r="J901" s="10">
        <f>CHOOSE(CONTROL!$C$42, 32.4928, 32.4928)* CHOOSE(CONTROL!$C$21, $C$9, 100%, $E$9)</f>
        <v>32.492800000000003</v>
      </c>
      <c r="K901" s="54">
        <f>CHOOSE(CONTROL!$C$42, 32.5045, 32.5045) * CHOOSE(CONTROL!$C$21, $C$9, 100%, $E$9)</f>
        <v>32.5045</v>
      </c>
      <c r="L901" s="10">
        <f>CHOOSE(CONTROL!$C$42, 33.1996, 33.1996) * CHOOSE(CONTROL!$C$21, $C$9, 100%, $E$9)</f>
        <v>33.199599999999997</v>
      </c>
      <c r="M901" s="10">
        <f>CHOOSE(CONTROL!$C$42, 32.1788, 32.1788) * CHOOSE(CONTROL!$C$21, $C$9, 100%, $E$9)</f>
        <v>32.178800000000003</v>
      </c>
      <c r="N901" s="10">
        <f>CHOOSE(CONTROL!$C$42, 32.1961, 32.1961) * CHOOSE(CONTROL!$C$21, $C$9, 100%, $E$9)</f>
        <v>32.196100000000001</v>
      </c>
      <c r="O901" s="10">
        <f>CHOOSE(CONTROL!$C$42, 32.2973, 32.2973) * CHOOSE(CONTROL!$C$21, $C$9, 100%, $E$9)</f>
        <v>32.2973</v>
      </c>
      <c r="P901" s="10">
        <f>CHOOSE(CONTROL!$C$42, 32.1942, 32.1942) * CHOOSE(CONTROL!$C$21, $C$9, 100%, $E$9)</f>
        <v>32.194200000000002</v>
      </c>
      <c r="Q901" s="10">
        <f>CHOOSE(CONTROL!$C$42, 32.8926, 32.8926) * CHOOSE(CONTROL!$C$21, $C$9, 100%, $E$9)</f>
        <v>32.892600000000002</v>
      </c>
      <c r="R901" s="10">
        <f>CHOOSE(CONTROL!$C$42, 33.5619, 33.5619) * CHOOSE(CONTROL!$C$21, $C$9, 100%, $E$9)</f>
        <v>33.561900000000001</v>
      </c>
      <c r="S901" s="10">
        <f>CHOOSE(CONTROL!$C$42, 31.5921, 31.5921) * CHOOSE(CONTROL!$C$21, $C$9, 100%, $E$9)</f>
        <v>31.592099999999999</v>
      </c>
      <c r="T901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01" s="58">
        <f>(1000*CHOOSE(CONTROL!$C$42, 695, 695)*CHOOSE(CONTROL!$C$42, 0.5599, 0.5599)*CHOOSE(CONTROL!$C$42, 31, 31))/1000000</f>
        <v>12.063045499999998</v>
      </c>
      <c r="V901" s="58">
        <f>(1000*CHOOSE(CONTROL!$C$42, 500, 500)*CHOOSE(CONTROL!$C$42, 0.275, 0.275)*CHOOSE(CONTROL!$C$42, 31, 31))/1000000</f>
        <v>4.2625000000000002</v>
      </c>
      <c r="W901" s="58">
        <f>(1000*CHOOSE(CONTROL!$C$42, 0.1146, 0.1146)*CHOOSE(CONTROL!$C$42, 121.5, 121.5)*CHOOSE(CONTROL!$C$42, 31, 31))/1000000</f>
        <v>0.43164089999999994</v>
      </c>
      <c r="X901" s="58">
        <f>(31*0.1790888*100000/1000000)+(31*0.2374*100000/1000000)</f>
        <v>1.2911152800000001</v>
      </c>
      <c r="Y901" s="58"/>
      <c r="Z901" s="10"/>
      <c r="AA901" s="57"/>
      <c r="AB901" s="51">
        <f>(B901*122.58+C901*297.941+D901*89.177+E901*40.302+F901*40+G901*160+H901*0+I901*100+J901*300)/(122.58+297.941+89.177+40.302+0+40+160+100+300)</f>
        <v>32.526423835999992</v>
      </c>
      <c r="AC901" s="27">
        <f>(M901*'RAP TEMPLATE-GAS AVAILABILITY'!O900+N901*'RAP TEMPLATE-GAS AVAILABILITY'!P900+O901*'RAP TEMPLATE-GAS AVAILABILITY'!Q900+P901*'RAP TEMPLATE-GAS AVAILABILITY'!R900)/('RAP TEMPLATE-GAS AVAILABILITY'!O900+'RAP TEMPLATE-GAS AVAILABILITY'!P900+'RAP TEMPLATE-GAS AVAILABILITY'!Q900+'RAP TEMPLATE-GAS AVAILABILITY'!R900)</f>
        <v>32.23572014388489</v>
      </c>
    </row>
    <row r="902" spans="1:29" ht="15.75" x14ac:dyDescent="0.25">
      <c r="A902" s="13">
        <v>68727</v>
      </c>
      <c r="B902" s="10">
        <f>CHOOSE(CONTROL!$C$42, 33.1136, 33.1136) * CHOOSE(CONTROL!$C$21, $C$9, 100%, $E$9)</f>
        <v>33.113599999999998</v>
      </c>
      <c r="C902" s="10">
        <f>CHOOSE(CONTROL!$C$42, 33.1185, 33.1185) * CHOOSE(CONTROL!$C$21, $C$9, 100%, $E$9)</f>
        <v>33.118499999999997</v>
      </c>
      <c r="D902" s="10">
        <f>CHOOSE(CONTROL!$C$42, 33.2357, 33.2357) * CHOOSE(CONTROL!$C$21, $C$9, 100%, $E$9)</f>
        <v>33.235700000000001</v>
      </c>
      <c r="E902" s="10">
        <f>CHOOSE(CONTROL!$C$42, 33.2695, 33.2695) * CHOOSE(CONTROL!$C$21, $C$9, 100%, $E$9)</f>
        <v>33.269500000000001</v>
      </c>
      <c r="F902" s="10">
        <f>CHOOSE(CONTROL!$C$42, 33.1912, 33.1912)*CHOOSE(CONTROL!$C$21, $C$9, 100%, $E$9)</f>
        <v>33.191200000000002</v>
      </c>
      <c r="G902" s="10">
        <f>CHOOSE(CONTROL!$C$42, 33.2131, 33.2131)*CHOOSE(CONTROL!$C$21, $C$9, 100%, $E$9)</f>
        <v>33.213099999999997</v>
      </c>
      <c r="H902" s="10">
        <f>CHOOSE(CONTROL!$C$42, 33.2587, 33.2587) * CHOOSE(CONTROL!$C$21, $C$9, 100%, $E$9)</f>
        <v>33.258699999999997</v>
      </c>
      <c r="I902" s="10">
        <f>CHOOSE(CONTROL!$C$42, 33.1493, 33.1493)* CHOOSE(CONTROL!$C$21, $C$9, 100%, $E$9)</f>
        <v>33.149299999999997</v>
      </c>
      <c r="J902" s="10">
        <f>CHOOSE(CONTROL!$C$42, 33.1842, 33.1842)* CHOOSE(CONTROL!$C$21, $C$9, 100%, $E$9)</f>
        <v>33.184199999999997</v>
      </c>
      <c r="K902" s="54">
        <f>CHOOSE(CONTROL!$C$42, 33.1454, 33.1454) * CHOOSE(CONTROL!$C$21, $C$9, 100%, $E$9)</f>
        <v>33.145400000000002</v>
      </c>
      <c r="L902" s="10">
        <f>CHOOSE(CONTROL!$C$42, 33.8457, 33.8457) * CHOOSE(CONTROL!$C$21, $C$9, 100%, $E$9)</f>
        <v>33.845700000000001</v>
      </c>
      <c r="M902" s="10">
        <f>CHOOSE(CONTROL!$C$42, 32.8631, 32.8631) * CHOOSE(CONTROL!$C$21, $C$9, 100%, $E$9)</f>
        <v>32.863100000000003</v>
      </c>
      <c r="N902" s="10">
        <f>CHOOSE(CONTROL!$C$42, 32.8848, 32.8848) * CHOOSE(CONTROL!$C$21, $C$9, 100%, $E$9)</f>
        <v>32.884799999999998</v>
      </c>
      <c r="O902" s="10">
        <f>CHOOSE(CONTROL!$C$42, 32.9368, 32.9368) * CHOOSE(CONTROL!$C$21, $C$9, 100%, $E$9)</f>
        <v>32.936799999999998</v>
      </c>
      <c r="P902" s="10">
        <f>CHOOSE(CONTROL!$C$42, 32.8286, 32.8286) * CHOOSE(CONTROL!$C$21, $C$9, 100%, $E$9)</f>
        <v>32.828600000000002</v>
      </c>
      <c r="Q902" s="10">
        <f>CHOOSE(CONTROL!$C$42, 33.5321, 33.5321) * CHOOSE(CONTROL!$C$21, $C$9, 100%, $E$9)</f>
        <v>33.5321</v>
      </c>
      <c r="R902" s="10">
        <f>CHOOSE(CONTROL!$C$42, 34.203, 34.203) * CHOOSE(CONTROL!$C$21, $C$9, 100%, $E$9)</f>
        <v>34.203000000000003</v>
      </c>
      <c r="S902" s="10">
        <f>CHOOSE(CONTROL!$C$42, 32.1545, 32.1545) * CHOOSE(CONTROL!$C$21, $C$9, 100%, $E$9)</f>
        <v>32.154499999999999</v>
      </c>
      <c r="T902" s="5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902" s="58">
        <f>(1000*CHOOSE(CONTROL!$C$42, 695, 695)*CHOOSE(CONTROL!$C$42, 0.5599, 0.5599)*CHOOSE(CONTROL!$C$42, 29, 29))/1000000</f>
        <v>11.284784499999999</v>
      </c>
      <c r="V902" s="58">
        <f>(1000*CHOOSE(CONTROL!$C$42, 500, 500)*CHOOSE(CONTROL!$C$42, 0.275, 0.275)*CHOOSE(CONTROL!$C$42, 29, 29))/1000000</f>
        <v>3.9874999999999998</v>
      </c>
      <c r="W902" s="58">
        <f>(1000*CHOOSE(CONTROL!$C$42, 0.1146, 0.1146)*CHOOSE(CONTROL!$C$42, 121.5, 121.5)*CHOOSE(CONTROL!$C$42, 29, 29))/1000000</f>
        <v>0.40379309999999996</v>
      </c>
      <c r="X902" s="58">
        <f>(29*0.1790888*100000/1000000)+(29*0.2374*100000/1000000)</f>
        <v>1.2078175199999999</v>
      </c>
      <c r="Y902" s="58"/>
      <c r="Z902" s="10"/>
      <c r="AA902" s="57"/>
      <c r="AB902" s="51">
        <f>(B902*122.58+C902*297.941+D902*89.177+E902*40.302+F902*40+G902*160+H902*0+I902*100+J902*300)/(122.58+297.941+89.177+40.302+0+40+160+100+300)</f>
        <v>33.167865655999996</v>
      </c>
      <c r="AC902" s="27">
        <f>(M902*'RAP TEMPLATE-GAS AVAILABILITY'!O901+N902*'RAP TEMPLATE-GAS AVAILABILITY'!P901+O902*'RAP TEMPLATE-GAS AVAILABILITY'!Q901+P902*'RAP TEMPLATE-GAS AVAILABILITY'!R901)/('RAP TEMPLATE-GAS AVAILABILITY'!O901+'RAP TEMPLATE-GAS AVAILABILITY'!P901+'RAP TEMPLATE-GAS AVAILABILITY'!Q901+'RAP TEMPLATE-GAS AVAILABILITY'!R901)</f>
        <v>32.892788489208627</v>
      </c>
    </row>
    <row r="903" spans="1:29" ht="15.75" x14ac:dyDescent="0.25">
      <c r="A903" s="13">
        <v>68758</v>
      </c>
      <c r="B903" s="10">
        <f>CHOOSE(CONTROL!$C$42, 32.1736, 32.1736) * CHOOSE(CONTROL!$C$21, $C$9, 100%, $E$9)</f>
        <v>32.1736</v>
      </c>
      <c r="C903" s="10">
        <f>CHOOSE(CONTROL!$C$42, 32.1785, 32.1785) * CHOOSE(CONTROL!$C$21, $C$9, 100%, $E$9)</f>
        <v>32.1785</v>
      </c>
      <c r="D903" s="10">
        <f>CHOOSE(CONTROL!$C$42, 32.2699, 32.2699) * CHOOSE(CONTROL!$C$21, $C$9, 100%, $E$9)</f>
        <v>32.2699</v>
      </c>
      <c r="E903" s="10">
        <f>CHOOSE(CONTROL!$C$42, 32.3037, 32.3037) * CHOOSE(CONTROL!$C$21, $C$9, 100%, $E$9)</f>
        <v>32.303699999999999</v>
      </c>
      <c r="F903" s="10">
        <f>CHOOSE(CONTROL!$C$42, 32.2034, 32.2034)*CHOOSE(CONTROL!$C$21, $C$9, 100%, $E$9)</f>
        <v>32.203400000000002</v>
      </c>
      <c r="G903" s="10">
        <f>CHOOSE(CONTROL!$C$42, 32.2229, 32.2229)*CHOOSE(CONTROL!$C$21, $C$9, 100%, $E$9)</f>
        <v>32.222900000000003</v>
      </c>
      <c r="H903" s="10">
        <f>CHOOSE(CONTROL!$C$42, 32.2929, 32.2929) * CHOOSE(CONTROL!$C$21, $C$9, 100%, $E$9)</f>
        <v>32.292900000000003</v>
      </c>
      <c r="I903" s="10">
        <f>CHOOSE(CONTROL!$C$42, 32.1964, 32.1964)* CHOOSE(CONTROL!$C$21, $C$9, 100%, $E$9)</f>
        <v>32.196399999999997</v>
      </c>
      <c r="J903" s="10">
        <f>CHOOSE(CONTROL!$C$42, 32.1964, 32.1964)* CHOOSE(CONTROL!$C$21, $C$9, 100%, $E$9)</f>
        <v>32.196399999999997</v>
      </c>
      <c r="K903" s="54">
        <f>CHOOSE(CONTROL!$C$42, 32.1925, 32.1925) * CHOOSE(CONTROL!$C$21, $C$9, 100%, $E$9)</f>
        <v>32.192500000000003</v>
      </c>
      <c r="L903" s="10">
        <f>CHOOSE(CONTROL!$C$42, 32.8799, 32.8799) * CHOOSE(CONTROL!$C$21, $C$9, 100%, $E$9)</f>
        <v>32.879899999999999</v>
      </c>
      <c r="M903" s="10">
        <f>CHOOSE(CONTROL!$C$42, 31.8853, 31.8853) * CHOOSE(CONTROL!$C$21, $C$9, 100%, $E$9)</f>
        <v>31.885300000000001</v>
      </c>
      <c r="N903" s="10">
        <f>CHOOSE(CONTROL!$C$42, 31.9046, 31.9046) * CHOOSE(CONTROL!$C$21, $C$9, 100%, $E$9)</f>
        <v>31.904599999999999</v>
      </c>
      <c r="O903" s="10">
        <f>CHOOSE(CONTROL!$C$42, 31.9808, 31.9808) * CHOOSE(CONTROL!$C$21, $C$9, 100%, $E$9)</f>
        <v>31.980799999999999</v>
      </c>
      <c r="P903" s="10">
        <f>CHOOSE(CONTROL!$C$42, 31.8853, 31.8853) * CHOOSE(CONTROL!$C$21, $C$9, 100%, $E$9)</f>
        <v>31.885300000000001</v>
      </c>
      <c r="Q903" s="10">
        <f>CHOOSE(CONTROL!$C$42, 32.5761, 32.5761) * CHOOSE(CONTROL!$C$21, $C$9, 100%, $E$9)</f>
        <v>32.576099999999997</v>
      </c>
      <c r="R903" s="10">
        <f>CHOOSE(CONTROL!$C$42, 33.2446, 33.2446) * CHOOSE(CONTROL!$C$21, $C$9, 100%, $E$9)</f>
        <v>33.244599999999998</v>
      </c>
      <c r="S903" s="10">
        <f>CHOOSE(CONTROL!$C$42, 31.2416, 31.2416) * CHOOSE(CONTROL!$C$21, $C$9, 100%, $E$9)</f>
        <v>31.241599999999998</v>
      </c>
      <c r="T903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03" s="58">
        <f>(1000*CHOOSE(CONTROL!$C$42, 695, 695)*CHOOSE(CONTROL!$C$42, 0.5599, 0.5599)*CHOOSE(CONTROL!$C$42, 31, 31))/1000000</f>
        <v>12.063045499999998</v>
      </c>
      <c r="V903" s="58">
        <f>(1000*CHOOSE(CONTROL!$C$42, 500, 500)*CHOOSE(CONTROL!$C$42, 0.275, 0.275)*CHOOSE(CONTROL!$C$42, 31, 31))/1000000</f>
        <v>4.2625000000000002</v>
      </c>
      <c r="W903" s="58">
        <f>(1000*CHOOSE(CONTROL!$C$42, 0.1146, 0.1146)*CHOOSE(CONTROL!$C$42, 121.5, 121.5)*CHOOSE(CONTROL!$C$42, 31, 31))/1000000</f>
        <v>0.43164089999999994</v>
      </c>
      <c r="X903" s="58">
        <f>(31*0.1790888*100000/1000000)+(31*0.2374*100000/1000000)</f>
        <v>1.2911152800000001</v>
      </c>
      <c r="Y903" s="58"/>
      <c r="Z903" s="10"/>
      <c r="AA903" s="57"/>
      <c r="AB903" s="51">
        <f>(B903*122.58+C903*297.941+D903*89.177+E903*40.302+F903*40+G903*160+H903*0+I903*100+J903*300)/(122.58+297.941+89.177+40.302+0+40+160+100+300)</f>
        <v>32.202722561913035</v>
      </c>
      <c r="AC903" s="27">
        <f>(M903*'RAP TEMPLATE-GAS AVAILABILITY'!O902+N903*'RAP TEMPLATE-GAS AVAILABILITY'!P902+O903*'RAP TEMPLATE-GAS AVAILABILITY'!Q902+P903*'RAP TEMPLATE-GAS AVAILABILITY'!R902)/('RAP TEMPLATE-GAS AVAILABILITY'!O902+'RAP TEMPLATE-GAS AVAILABILITY'!P902+'RAP TEMPLATE-GAS AVAILABILITY'!Q902+'RAP TEMPLATE-GAS AVAILABILITY'!R902)</f>
        <v>31.929694964028776</v>
      </c>
    </row>
    <row r="904" spans="1:29" ht="15.75" x14ac:dyDescent="0.25">
      <c r="A904" s="13">
        <v>68788</v>
      </c>
      <c r="B904" s="10">
        <f>CHOOSE(CONTROL!$C$42, 32.078, 32.078) * CHOOSE(CONTROL!$C$21, $C$9, 100%, $E$9)</f>
        <v>32.078000000000003</v>
      </c>
      <c r="C904" s="10">
        <f>CHOOSE(CONTROL!$C$42, 32.0824, 32.0824) * CHOOSE(CONTROL!$C$21, $C$9, 100%, $E$9)</f>
        <v>32.0824</v>
      </c>
      <c r="D904" s="10">
        <f>CHOOSE(CONTROL!$C$42, 32.2641, 32.2641) * CHOOSE(CONTROL!$C$21, $C$9, 100%, $E$9)</f>
        <v>32.264099999999999</v>
      </c>
      <c r="E904" s="10">
        <f>CHOOSE(CONTROL!$C$42, 32.2958, 32.2958) * CHOOSE(CONTROL!$C$21, $C$9, 100%, $E$9)</f>
        <v>32.2958</v>
      </c>
      <c r="F904" s="10">
        <f>CHOOSE(CONTROL!$C$42, 32.0663, 32.0663)*CHOOSE(CONTROL!$C$21, $C$9, 100%, $E$9)</f>
        <v>32.066299999999998</v>
      </c>
      <c r="G904" s="10">
        <f>CHOOSE(CONTROL!$C$42, 32.0843, 32.0843)*CHOOSE(CONTROL!$C$21, $C$9, 100%, $E$9)</f>
        <v>32.084299999999999</v>
      </c>
      <c r="H904" s="10">
        <f>CHOOSE(CONTROL!$C$42, 32.2856, 32.2856) * CHOOSE(CONTROL!$C$21, $C$9, 100%, $E$9)</f>
        <v>32.285600000000002</v>
      </c>
      <c r="I904" s="10">
        <f>CHOOSE(CONTROL!$C$42, 32.0563, 32.0563)* CHOOSE(CONTROL!$C$21, $C$9, 100%, $E$9)</f>
        <v>32.0563</v>
      </c>
      <c r="J904" s="10">
        <f>CHOOSE(CONTROL!$C$42, 32.0593, 32.0593)* CHOOSE(CONTROL!$C$21, $C$9, 100%, $E$9)</f>
        <v>32.0593</v>
      </c>
      <c r="K904" s="54">
        <f>CHOOSE(CONTROL!$C$42, 32.0524, 32.0524) * CHOOSE(CONTROL!$C$21, $C$9, 100%, $E$9)</f>
        <v>32.052399999999999</v>
      </c>
      <c r="L904" s="10">
        <f>CHOOSE(CONTROL!$C$42, 32.8726, 32.8726) * CHOOSE(CONTROL!$C$21, $C$9, 100%, $E$9)</f>
        <v>32.872599999999998</v>
      </c>
      <c r="M904" s="10">
        <f>CHOOSE(CONTROL!$C$42, 31.7496, 31.7496) * CHOOSE(CONTROL!$C$21, $C$9, 100%, $E$9)</f>
        <v>31.749600000000001</v>
      </c>
      <c r="N904" s="10">
        <f>CHOOSE(CONTROL!$C$42, 31.7674, 31.7674) * CHOOSE(CONTROL!$C$21, $C$9, 100%, $E$9)</f>
        <v>31.767399999999999</v>
      </c>
      <c r="O904" s="10">
        <f>CHOOSE(CONTROL!$C$42, 31.9736, 31.9736) * CHOOSE(CONTROL!$C$21, $C$9, 100%, $E$9)</f>
        <v>31.973600000000001</v>
      </c>
      <c r="P904" s="10">
        <f>CHOOSE(CONTROL!$C$42, 31.7466, 31.7466) * CHOOSE(CONTROL!$C$21, $C$9, 100%, $E$9)</f>
        <v>31.746600000000001</v>
      </c>
      <c r="Q904" s="10">
        <f>CHOOSE(CONTROL!$C$42, 32.5689, 32.5689) * CHOOSE(CONTROL!$C$21, $C$9, 100%, $E$9)</f>
        <v>32.568899999999999</v>
      </c>
      <c r="R904" s="10">
        <f>CHOOSE(CONTROL!$C$42, 33.2374, 33.2374) * CHOOSE(CONTROL!$C$21, $C$9, 100%, $E$9)</f>
        <v>33.237400000000001</v>
      </c>
      <c r="S904" s="10">
        <f>CHOOSE(CONTROL!$C$42, 31.1481, 31.1481) * CHOOSE(CONTROL!$C$21, $C$9, 100%, $E$9)</f>
        <v>31.148099999999999</v>
      </c>
      <c r="T904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904" s="58">
        <f>(1000*CHOOSE(CONTROL!$C$42, 695, 695)*CHOOSE(CONTROL!$C$42, 0.5599, 0.5599)*CHOOSE(CONTROL!$C$42, 30, 30))/1000000</f>
        <v>11.673914999999997</v>
      </c>
      <c r="V904" s="58">
        <f>(1000*CHOOSE(CONTROL!$C$42, 500, 500)*CHOOSE(CONTROL!$C$42, 0.275, 0.275)*CHOOSE(CONTROL!$C$42, 30, 30))/1000000</f>
        <v>4.125</v>
      </c>
      <c r="W904" s="58">
        <f>(1000*CHOOSE(CONTROL!$C$42, 0.1146, 0.1146)*CHOOSE(CONTROL!$C$42, 121.5, 121.5)*CHOOSE(CONTROL!$C$42, 30, 30))/1000000</f>
        <v>0.417717</v>
      </c>
      <c r="X904" s="58">
        <f>(30*0.1790888*245000/1000000)+(30*0.2374*100000/1000000)</f>
        <v>2.0285026799999999</v>
      </c>
      <c r="Y904" s="58"/>
      <c r="Z904" s="10"/>
      <c r="AA904" s="57"/>
      <c r="AB904" s="51">
        <f>(B904*141.293+C904*267.993+D904*115.016+E904*89.698+F904*40+G904*185+H904*0+I904*100+J904*300)/(141.293+267.993+115.016+89.698+0+40+185+100+300)</f>
        <v>32.106278749959642</v>
      </c>
      <c r="AC904" s="27">
        <f>(M904*'RAP TEMPLATE-GAS AVAILABILITY'!O903+N904*'RAP TEMPLATE-GAS AVAILABILITY'!P903+O904*'RAP TEMPLATE-GAS AVAILABILITY'!Q903+P904*'RAP TEMPLATE-GAS AVAILABILITY'!R903)/('RAP TEMPLATE-GAS AVAILABILITY'!O903+'RAP TEMPLATE-GAS AVAILABILITY'!P903+'RAP TEMPLATE-GAS AVAILABILITY'!Q903+'RAP TEMPLATE-GAS AVAILABILITY'!R903)</f>
        <v>31.851717985611511</v>
      </c>
    </row>
    <row r="905" spans="1:29" ht="15.75" x14ac:dyDescent="0.25">
      <c r="A905" s="13">
        <v>68819</v>
      </c>
      <c r="B905" s="10">
        <f>CHOOSE(CONTROL!$C$42, 32.3629, 32.3629) * CHOOSE(CONTROL!$C$21, $C$9, 100%, $E$9)</f>
        <v>32.362900000000003</v>
      </c>
      <c r="C905" s="10">
        <f>CHOOSE(CONTROL!$C$42, 32.3708, 32.3708) * CHOOSE(CONTROL!$C$21, $C$9, 100%, $E$9)</f>
        <v>32.370800000000003</v>
      </c>
      <c r="D905" s="10">
        <f>CHOOSE(CONTROL!$C$42, 32.5493, 32.5493) * CHOOSE(CONTROL!$C$21, $C$9, 100%, $E$9)</f>
        <v>32.549300000000002</v>
      </c>
      <c r="E905" s="10">
        <f>CHOOSE(CONTROL!$C$42, 32.5805, 32.5805) * CHOOSE(CONTROL!$C$21, $C$9, 100%, $E$9)</f>
        <v>32.580500000000001</v>
      </c>
      <c r="F905" s="10">
        <f>CHOOSE(CONTROL!$C$42, 32.3491, 32.3491)*CHOOSE(CONTROL!$C$21, $C$9, 100%, $E$9)</f>
        <v>32.3491</v>
      </c>
      <c r="G905" s="10">
        <f>CHOOSE(CONTROL!$C$42, 32.3672, 32.3672)*CHOOSE(CONTROL!$C$21, $C$9, 100%, $E$9)</f>
        <v>32.367199999999997</v>
      </c>
      <c r="H905" s="10">
        <f>CHOOSE(CONTROL!$C$42, 32.5691, 32.5691) * CHOOSE(CONTROL!$C$21, $C$9, 100%, $E$9)</f>
        <v>32.569099999999999</v>
      </c>
      <c r="I905" s="10">
        <f>CHOOSE(CONTROL!$C$42, 32.3398, 32.3398)* CHOOSE(CONTROL!$C$21, $C$9, 100%, $E$9)</f>
        <v>32.339799999999997</v>
      </c>
      <c r="J905" s="10">
        <f>CHOOSE(CONTROL!$C$42, 32.3421, 32.3421)* CHOOSE(CONTROL!$C$21, $C$9, 100%, $E$9)</f>
        <v>32.342100000000002</v>
      </c>
      <c r="K905" s="54">
        <f>CHOOSE(CONTROL!$C$42, 32.3359, 32.3359) * CHOOSE(CONTROL!$C$21, $C$9, 100%, $E$9)</f>
        <v>32.335900000000002</v>
      </c>
      <c r="L905" s="10">
        <f>CHOOSE(CONTROL!$C$42, 33.1561, 33.1561) * CHOOSE(CONTROL!$C$21, $C$9, 100%, $E$9)</f>
        <v>33.156100000000002</v>
      </c>
      <c r="M905" s="10">
        <f>CHOOSE(CONTROL!$C$42, 32.0295, 32.0295) * CHOOSE(CONTROL!$C$21, $C$9, 100%, $E$9)</f>
        <v>32.029499999999999</v>
      </c>
      <c r="N905" s="10">
        <f>CHOOSE(CONTROL!$C$42, 32.0475, 32.0475) * CHOOSE(CONTROL!$C$21, $C$9, 100%, $E$9)</f>
        <v>32.047499999999999</v>
      </c>
      <c r="O905" s="10">
        <f>CHOOSE(CONTROL!$C$42, 32.2543, 32.2543) * CHOOSE(CONTROL!$C$21, $C$9, 100%, $E$9)</f>
        <v>32.254300000000001</v>
      </c>
      <c r="P905" s="10">
        <f>CHOOSE(CONTROL!$C$42, 32.0273, 32.0273) * CHOOSE(CONTROL!$C$21, $C$9, 100%, $E$9)</f>
        <v>32.027299999999997</v>
      </c>
      <c r="Q905" s="10">
        <f>CHOOSE(CONTROL!$C$42, 32.8496, 32.8496) * CHOOSE(CONTROL!$C$21, $C$9, 100%, $E$9)</f>
        <v>32.849600000000002</v>
      </c>
      <c r="R905" s="10">
        <f>CHOOSE(CONTROL!$C$42, 33.5187, 33.5187) * CHOOSE(CONTROL!$C$21, $C$9, 100%, $E$9)</f>
        <v>33.518700000000003</v>
      </c>
      <c r="S905" s="10">
        <f>CHOOSE(CONTROL!$C$42, 31.4234, 31.4234) * CHOOSE(CONTROL!$C$21, $C$9, 100%, $E$9)</f>
        <v>31.423400000000001</v>
      </c>
      <c r="T905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905" s="58">
        <f>(1000*CHOOSE(CONTROL!$C$42, 695, 695)*CHOOSE(CONTROL!$C$42, 0.5599, 0.5599)*CHOOSE(CONTROL!$C$42, 31, 31))/1000000</f>
        <v>12.063045499999998</v>
      </c>
      <c r="V905" s="58">
        <f>(1000*CHOOSE(CONTROL!$C$42, 500, 500)*CHOOSE(CONTROL!$C$42, 0.275, 0.275)*CHOOSE(CONTROL!$C$42, 31, 31))/1000000</f>
        <v>4.2625000000000002</v>
      </c>
      <c r="W905" s="58">
        <f>(1000*CHOOSE(CONTROL!$C$42, 0.1146, 0.1146)*CHOOSE(CONTROL!$C$42, 121.5, 121.5)*CHOOSE(CONTROL!$C$42, 31, 31))/1000000</f>
        <v>0.43164089999999994</v>
      </c>
      <c r="X905" s="58">
        <f>(31*0.1790888*245000/1000000)+(31*0.2374*100000/1000000)</f>
        <v>2.0961194359999999</v>
      </c>
      <c r="Y905" s="58"/>
      <c r="Z905" s="10"/>
      <c r="AA905" s="57"/>
      <c r="AB905" s="51">
        <f>(B905*194.205+C905*267.466+D905*133.845+E905*53.484+F905*40+G905*185+H905*0+I905*100+J905*300)/(194.205+267.466+133.845+53.484+0+40+185+100+300)</f>
        <v>32.386756599529043</v>
      </c>
      <c r="AC905" s="27">
        <f>(M905*'RAP TEMPLATE-GAS AVAILABILITY'!O904+N905*'RAP TEMPLATE-GAS AVAILABILITY'!P904+O905*'RAP TEMPLATE-GAS AVAILABILITY'!Q904+P905*'RAP TEMPLATE-GAS AVAILABILITY'!R904)/('RAP TEMPLATE-GAS AVAILABILITY'!O904+'RAP TEMPLATE-GAS AVAILABILITY'!P904+'RAP TEMPLATE-GAS AVAILABILITY'!Q904+'RAP TEMPLATE-GAS AVAILABILITY'!R904)</f>
        <v>32.132107194244597</v>
      </c>
    </row>
    <row r="906" spans="1:29" ht="15.75" x14ac:dyDescent="0.25">
      <c r="A906" s="13">
        <v>68849</v>
      </c>
      <c r="B906" s="10">
        <f>CHOOSE(CONTROL!$C$42, 33.2808, 33.2808) * CHOOSE(CONTROL!$C$21, $C$9, 100%, $E$9)</f>
        <v>33.280799999999999</v>
      </c>
      <c r="C906" s="10">
        <f>CHOOSE(CONTROL!$C$42, 33.2887, 33.2887) * CHOOSE(CONTROL!$C$21, $C$9, 100%, $E$9)</f>
        <v>33.288699999999999</v>
      </c>
      <c r="D906" s="10">
        <f>CHOOSE(CONTROL!$C$42, 33.4672, 33.4672) * CHOOSE(CONTROL!$C$21, $C$9, 100%, $E$9)</f>
        <v>33.467199999999998</v>
      </c>
      <c r="E906" s="10">
        <f>CHOOSE(CONTROL!$C$42, 33.4983, 33.4983) * CHOOSE(CONTROL!$C$21, $C$9, 100%, $E$9)</f>
        <v>33.4983</v>
      </c>
      <c r="F906" s="10">
        <f>CHOOSE(CONTROL!$C$42, 33.2672, 33.2672)*CHOOSE(CONTROL!$C$21, $C$9, 100%, $E$9)</f>
        <v>33.267200000000003</v>
      </c>
      <c r="G906" s="10">
        <f>CHOOSE(CONTROL!$C$42, 33.2854, 33.2854)*CHOOSE(CONTROL!$C$21, $C$9, 100%, $E$9)</f>
        <v>33.285400000000003</v>
      </c>
      <c r="H906" s="10">
        <f>CHOOSE(CONTROL!$C$42, 33.487, 33.487) * CHOOSE(CONTROL!$C$21, $C$9, 100%, $E$9)</f>
        <v>33.487000000000002</v>
      </c>
      <c r="I906" s="10">
        <f>CHOOSE(CONTROL!$C$42, 33.2576, 33.2576)* CHOOSE(CONTROL!$C$21, $C$9, 100%, $E$9)</f>
        <v>33.257599999999996</v>
      </c>
      <c r="J906" s="10">
        <f>CHOOSE(CONTROL!$C$42, 33.2602, 33.2602)* CHOOSE(CONTROL!$C$21, $C$9, 100%, $E$9)</f>
        <v>33.260199999999998</v>
      </c>
      <c r="K906" s="54">
        <f>CHOOSE(CONTROL!$C$42, 33.2537, 33.2537) * CHOOSE(CONTROL!$C$21, $C$9, 100%, $E$9)</f>
        <v>33.253700000000002</v>
      </c>
      <c r="L906" s="10">
        <f>CHOOSE(CONTROL!$C$42, 34.074, 34.074) * CHOOSE(CONTROL!$C$21, $C$9, 100%, $E$9)</f>
        <v>34.073999999999998</v>
      </c>
      <c r="M906" s="10">
        <f>CHOOSE(CONTROL!$C$42, 32.9384, 32.9384) * CHOOSE(CONTROL!$C$21, $C$9, 100%, $E$9)</f>
        <v>32.938400000000001</v>
      </c>
      <c r="N906" s="10">
        <f>CHOOSE(CONTROL!$C$42, 32.9564, 32.9564) * CHOOSE(CONTROL!$C$21, $C$9, 100%, $E$9)</f>
        <v>32.956400000000002</v>
      </c>
      <c r="O906" s="10">
        <f>CHOOSE(CONTROL!$C$42, 33.1629, 33.1629) * CHOOSE(CONTROL!$C$21, $C$9, 100%, $E$9)</f>
        <v>33.1629</v>
      </c>
      <c r="P906" s="10">
        <f>CHOOSE(CONTROL!$C$42, 32.9359, 32.9359) * CHOOSE(CONTROL!$C$21, $C$9, 100%, $E$9)</f>
        <v>32.935899999999997</v>
      </c>
      <c r="Q906" s="10">
        <f>CHOOSE(CONTROL!$C$42, 33.7582, 33.7582) * CHOOSE(CONTROL!$C$21, $C$9, 100%, $E$9)</f>
        <v>33.758200000000002</v>
      </c>
      <c r="R906" s="10">
        <f>CHOOSE(CONTROL!$C$42, 34.4296, 34.4296) * CHOOSE(CONTROL!$C$21, $C$9, 100%, $E$9)</f>
        <v>34.429600000000001</v>
      </c>
      <c r="S906" s="10">
        <f>CHOOSE(CONTROL!$C$42, 32.3147, 32.3147) * CHOOSE(CONTROL!$C$21, $C$9, 100%, $E$9)</f>
        <v>32.314700000000002</v>
      </c>
      <c r="T906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06" s="58">
        <f>(1000*CHOOSE(CONTROL!$C$42, 695, 695)*CHOOSE(CONTROL!$C$42, 0.5599, 0.5599)*CHOOSE(CONTROL!$C$42, 30, 30))/1000000</f>
        <v>11.673914999999997</v>
      </c>
      <c r="V906" s="58">
        <f>(1000*CHOOSE(CONTROL!$C$42, 500, 500)*CHOOSE(CONTROL!$C$42, 0.275, 0.275)*CHOOSE(CONTROL!$C$42, 30, 30))/1000000</f>
        <v>4.125</v>
      </c>
      <c r="W906" s="58">
        <f>(1000*CHOOSE(CONTROL!$C$42, 0.1146, 0.1146)*CHOOSE(CONTROL!$C$42, 121.5, 121.5)*CHOOSE(CONTROL!$C$42, 30, 30))/1000000</f>
        <v>0.417717</v>
      </c>
      <c r="X906" s="58">
        <f>(30*0.1790888*245000/1000000)+(30*0.2374*100000/1000000)</f>
        <v>2.0285026799999999</v>
      </c>
      <c r="Y906" s="58"/>
      <c r="Z906" s="10"/>
      <c r="AA906" s="57"/>
      <c r="AB906" s="51">
        <f>(B906*194.205+C906*267.466+D906*133.845+E906*53.484+F906*40+G906*185+H906*0+I906*100+J906*300)/(194.205+267.466+133.845+53.484+0+40+185+100+300)</f>
        <v>33.30474149089482</v>
      </c>
      <c r="AC906" s="27">
        <f>(M906*'RAP TEMPLATE-GAS AVAILABILITY'!O905+N906*'RAP TEMPLATE-GAS AVAILABILITY'!P905+O906*'RAP TEMPLATE-GAS AVAILABILITY'!Q905+P906*'RAP TEMPLATE-GAS AVAILABILITY'!R905)/('RAP TEMPLATE-GAS AVAILABILITY'!O905+'RAP TEMPLATE-GAS AVAILABILITY'!P905+'RAP TEMPLATE-GAS AVAILABILITY'!Q905+'RAP TEMPLATE-GAS AVAILABILITY'!R905)</f>
        <v>33.040828057553952</v>
      </c>
    </row>
    <row r="907" spans="1:29" ht="15.75" x14ac:dyDescent="0.25">
      <c r="A907" s="13">
        <v>68880</v>
      </c>
      <c r="B907" s="10">
        <f>CHOOSE(CONTROL!$C$42, 32.6424, 32.6424) * CHOOSE(CONTROL!$C$21, $C$9, 100%, $E$9)</f>
        <v>32.642400000000002</v>
      </c>
      <c r="C907" s="10">
        <f>CHOOSE(CONTROL!$C$42, 32.6503, 32.6503) * CHOOSE(CONTROL!$C$21, $C$9, 100%, $E$9)</f>
        <v>32.650300000000001</v>
      </c>
      <c r="D907" s="10">
        <f>CHOOSE(CONTROL!$C$42, 32.8288, 32.8288) * CHOOSE(CONTROL!$C$21, $C$9, 100%, $E$9)</f>
        <v>32.828800000000001</v>
      </c>
      <c r="E907" s="10">
        <f>CHOOSE(CONTROL!$C$42, 32.86, 32.86) * CHOOSE(CONTROL!$C$21, $C$9, 100%, $E$9)</f>
        <v>32.86</v>
      </c>
      <c r="F907" s="10">
        <f>CHOOSE(CONTROL!$C$42, 32.6291, 32.6291)*CHOOSE(CONTROL!$C$21, $C$9, 100%, $E$9)</f>
        <v>32.629100000000001</v>
      </c>
      <c r="G907" s="10">
        <f>CHOOSE(CONTROL!$C$42, 32.6474, 32.6474)*CHOOSE(CONTROL!$C$21, $C$9, 100%, $E$9)</f>
        <v>32.647399999999998</v>
      </c>
      <c r="H907" s="10">
        <f>CHOOSE(CONTROL!$C$42, 32.8486, 32.8486) * CHOOSE(CONTROL!$C$21, $C$9, 100%, $E$9)</f>
        <v>32.848599999999998</v>
      </c>
      <c r="I907" s="10">
        <f>CHOOSE(CONTROL!$C$42, 32.6192, 32.6192)* CHOOSE(CONTROL!$C$21, $C$9, 100%, $E$9)</f>
        <v>32.619199999999999</v>
      </c>
      <c r="J907" s="10">
        <f>CHOOSE(CONTROL!$C$42, 32.6221, 32.6221)* CHOOSE(CONTROL!$C$21, $C$9, 100%, $E$9)</f>
        <v>32.622100000000003</v>
      </c>
      <c r="K907" s="54">
        <f>CHOOSE(CONTROL!$C$42, 32.6154, 32.6154) * CHOOSE(CONTROL!$C$21, $C$9, 100%, $E$9)</f>
        <v>32.615400000000001</v>
      </c>
      <c r="L907" s="10">
        <f>CHOOSE(CONTROL!$C$42, 33.4356, 33.4356) * CHOOSE(CONTROL!$C$21, $C$9, 100%, $E$9)</f>
        <v>33.435600000000001</v>
      </c>
      <c r="M907" s="10">
        <f>CHOOSE(CONTROL!$C$42, 32.3067, 32.3067) * CHOOSE(CONTROL!$C$21, $C$9, 100%, $E$9)</f>
        <v>32.306699999999999</v>
      </c>
      <c r="N907" s="10">
        <f>CHOOSE(CONTROL!$C$42, 32.3248, 32.3248) * CHOOSE(CONTROL!$C$21, $C$9, 100%, $E$9)</f>
        <v>32.324800000000003</v>
      </c>
      <c r="O907" s="10">
        <f>CHOOSE(CONTROL!$C$42, 32.5309, 32.5309) * CHOOSE(CONTROL!$C$21, $C$9, 100%, $E$9)</f>
        <v>32.530900000000003</v>
      </c>
      <c r="P907" s="10">
        <f>CHOOSE(CONTROL!$C$42, 32.3039, 32.3039) * CHOOSE(CONTROL!$C$21, $C$9, 100%, $E$9)</f>
        <v>32.303899999999999</v>
      </c>
      <c r="Q907" s="10">
        <f>CHOOSE(CONTROL!$C$42, 33.1262, 33.1262) * CHOOSE(CONTROL!$C$21, $C$9, 100%, $E$9)</f>
        <v>33.126199999999997</v>
      </c>
      <c r="R907" s="10">
        <f>CHOOSE(CONTROL!$C$42, 33.796, 33.796) * CHOOSE(CONTROL!$C$21, $C$9, 100%, $E$9)</f>
        <v>33.795999999999999</v>
      </c>
      <c r="S907" s="10">
        <f>CHOOSE(CONTROL!$C$42, 31.6948, 31.6948) * CHOOSE(CONTROL!$C$21, $C$9, 100%, $E$9)</f>
        <v>31.694800000000001</v>
      </c>
      <c r="T907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07" s="58">
        <f>(1000*CHOOSE(CONTROL!$C$42, 695, 695)*CHOOSE(CONTROL!$C$42, 0.5599, 0.5599)*CHOOSE(CONTROL!$C$42, 31, 31))/1000000</f>
        <v>12.063045499999998</v>
      </c>
      <c r="V907" s="58">
        <f>(1000*CHOOSE(CONTROL!$C$42, 500, 500)*CHOOSE(CONTROL!$C$42, 0.275, 0.275)*CHOOSE(CONTROL!$C$42, 31, 31))/1000000</f>
        <v>4.2625000000000002</v>
      </c>
      <c r="W907" s="58">
        <f>(1000*CHOOSE(CONTROL!$C$42, 0.1146, 0.1146)*CHOOSE(CONTROL!$C$42, 121.5, 121.5)*CHOOSE(CONTROL!$C$42, 31, 31))/1000000</f>
        <v>0.43164089999999994</v>
      </c>
      <c r="X907" s="58">
        <f>(31*0.1790888*245000/1000000)+(31*0.2374*100000/1000000)</f>
        <v>2.0961194359999999</v>
      </c>
      <c r="Y907" s="58"/>
      <c r="Z907" s="10"/>
      <c r="AA907" s="57"/>
      <c r="AB907" s="51">
        <f>(B907*194.205+C907*267.466+D907*133.845+E907*53.484+F907*40+G907*185+H907*0+I907*100+J907*300)/(194.205+267.466+133.845+53.484+0+40+185+100+300)</f>
        <v>32.666483836577704</v>
      </c>
      <c r="AC907" s="27">
        <f>(M907*'RAP TEMPLATE-GAS AVAILABILITY'!O906+N907*'RAP TEMPLATE-GAS AVAILABILITY'!P906+O907*'RAP TEMPLATE-GAS AVAILABILITY'!Q906+P907*'RAP TEMPLATE-GAS AVAILABILITY'!R906)/('RAP TEMPLATE-GAS AVAILABILITY'!O906+'RAP TEMPLATE-GAS AVAILABILITY'!P906+'RAP TEMPLATE-GAS AVAILABILITY'!Q906+'RAP TEMPLATE-GAS AVAILABILITY'!R906)</f>
        <v>32.408954676258993</v>
      </c>
    </row>
    <row r="908" spans="1:29" ht="15.75" x14ac:dyDescent="0.25">
      <c r="A908" s="13">
        <v>68911</v>
      </c>
      <c r="B908" s="10">
        <f>CHOOSE(CONTROL!$C$42, 31.0303, 31.0303) * CHOOSE(CONTROL!$C$21, $C$9, 100%, $E$9)</f>
        <v>31.0303</v>
      </c>
      <c r="C908" s="10">
        <f>CHOOSE(CONTROL!$C$42, 31.0382, 31.0382) * CHOOSE(CONTROL!$C$21, $C$9, 100%, $E$9)</f>
        <v>31.0382</v>
      </c>
      <c r="D908" s="10">
        <f>CHOOSE(CONTROL!$C$42, 31.2167, 31.2167) * CHOOSE(CONTROL!$C$21, $C$9, 100%, $E$9)</f>
        <v>31.216699999999999</v>
      </c>
      <c r="E908" s="10">
        <f>CHOOSE(CONTROL!$C$42, 31.2479, 31.2479) * CHOOSE(CONTROL!$C$21, $C$9, 100%, $E$9)</f>
        <v>31.247900000000001</v>
      </c>
      <c r="F908" s="10">
        <f>CHOOSE(CONTROL!$C$42, 31.0169, 31.0169)*CHOOSE(CONTROL!$C$21, $C$9, 100%, $E$9)</f>
        <v>31.0169</v>
      </c>
      <c r="G908" s="10">
        <f>CHOOSE(CONTROL!$C$42, 31.0352, 31.0352)*CHOOSE(CONTROL!$C$21, $C$9, 100%, $E$9)</f>
        <v>31.0352</v>
      </c>
      <c r="H908" s="10">
        <f>CHOOSE(CONTROL!$C$42, 31.2365, 31.2365) * CHOOSE(CONTROL!$C$21, $C$9, 100%, $E$9)</f>
        <v>31.236499999999999</v>
      </c>
      <c r="I908" s="10">
        <f>CHOOSE(CONTROL!$C$42, 31.0071, 31.0071)* CHOOSE(CONTROL!$C$21, $C$9, 100%, $E$9)</f>
        <v>31.007100000000001</v>
      </c>
      <c r="J908" s="10">
        <f>CHOOSE(CONTROL!$C$42, 31.0099, 31.0099)* CHOOSE(CONTROL!$C$21, $C$9, 100%, $E$9)</f>
        <v>31.009899999999998</v>
      </c>
      <c r="K908" s="54">
        <f>CHOOSE(CONTROL!$C$42, 31.0032, 31.0032) * CHOOSE(CONTROL!$C$21, $C$9, 100%, $E$9)</f>
        <v>31.0032</v>
      </c>
      <c r="L908" s="10">
        <f>CHOOSE(CONTROL!$C$42, 31.8235, 31.8235) * CHOOSE(CONTROL!$C$21, $C$9, 100%, $E$9)</f>
        <v>31.823499999999999</v>
      </c>
      <c r="M908" s="10">
        <f>CHOOSE(CONTROL!$C$42, 30.7108, 30.7108) * CHOOSE(CONTROL!$C$21, $C$9, 100%, $E$9)</f>
        <v>30.710799999999999</v>
      </c>
      <c r="N908" s="10">
        <f>CHOOSE(CONTROL!$C$42, 30.7289, 30.7289) * CHOOSE(CONTROL!$C$21, $C$9, 100%, $E$9)</f>
        <v>30.728899999999999</v>
      </c>
      <c r="O908" s="10">
        <f>CHOOSE(CONTROL!$C$42, 30.9351, 30.9351) * CHOOSE(CONTROL!$C$21, $C$9, 100%, $E$9)</f>
        <v>30.935099999999998</v>
      </c>
      <c r="P908" s="10">
        <f>CHOOSE(CONTROL!$C$42, 30.7081, 30.7081) * CHOOSE(CONTROL!$C$21, $C$9, 100%, $E$9)</f>
        <v>30.708100000000002</v>
      </c>
      <c r="Q908" s="10">
        <f>CHOOSE(CONTROL!$C$42, 31.5304, 31.5304) * CHOOSE(CONTROL!$C$21, $C$9, 100%, $E$9)</f>
        <v>31.5304</v>
      </c>
      <c r="R908" s="10">
        <f>CHOOSE(CONTROL!$C$42, 32.1962, 32.1962) * CHOOSE(CONTROL!$C$21, $C$9, 100%, $E$9)</f>
        <v>32.196199999999997</v>
      </c>
      <c r="S908" s="10">
        <f>CHOOSE(CONTROL!$C$42, 30.1292, 30.1292) * CHOOSE(CONTROL!$C$21, $C$9, 100%, $E$9)</f>
        <v>30.129200000000001</v>
      </c>
      <c r="T908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08" s="58">
        <f>(1000*CHOOSE(CONTROL!$C$42, 695, 695)*CHOOSE(CONTROL!$C$42, 0.5599, 0.5599)*CHOOSE(CONTROL!$C$42, 31, 31))/1000000</f>
        <v>12.063045499999998</v>
      </c>
      <c r="V908" s="58">
        <f>(1000*CHOOSE(CONTROL!$C$42, 500, 500)*CHOOSE(CONTROL!$C$42, 0.275, 0.275)*CHOOSE(CONTROL!$C$42, 31, 31))/1000000</f>
        <v>4.2625000000000002</v>
      </c>
      <c r="W908" s="58">
        <f>(1000*CHOOSE(CONTROL!$C$42, 0.1146, 0.1146)*CHOOSE(CONTROL!$C$42, 121.5, 121.5)*CHOOSE(CONTROL!$C$42, 31, 31))/1000000</f>
        <v>0.43164089999999994</v>
      </c>
      <c r="X908" s="58">
        <f>(31*0.1790888*245000/1000000)+(31*0.2374*100000/1000000)</f>
        <v>2.0961194359999999</v>
      </c>
      <c r="Y908" s="58"/>
      <c r="Z908" s="10"/>
      <c r="AA908" s="57"/>
      <c r="AB908" s="51">
        <f>(B908*194.205+C908*267.466+D908*133.845+E908*53.484+F908*40+G908*185+H908*0+I908*100+J908*300)/(194.205+267.466+133.845+53.484+0+40+185+100+300)</f>
        <v>31.0543426277865</v>
      </c>
      <c r="AC908" s="27">
        <f>(M908*'RAP TEMPLATE-GAS AVAILABILITY'!O907+N908*'RAP TEMPLATE-GAS AVAILABILITY'!P907+O908*'RAP TEMPLATE-GAS AVAILABILITY'!Q907+P908*'RAP TEMPLATE-GAS AVAILABILITY'!R907)/('RAP TEMPLATE-GAS AVAILABILITY'!O907+'RAP TEMPLATE-GAS AVAILABILITY'!P907+'RAP TEMPLATE-GAS AVAILABILITY'!Q907+'RAP TEMPLATE-GAS AVAILABILITY'!R907)</f>
        <v>30.813114388489208</v>
      </c>
    </row>
    <row r="909" spans="1:29" ht="15.75" x14ac:dyDescent="0.25">
      <c r="A909" s="13">
        <v>68941</v>
      </c>
      <c r="B909" s="10">
        <f>CHOOSE(CONTROL!$C$42, 29.0606, 29.0606) * CHOOSE(CONTROL!$C$21, $C$9, 100%, $E$9)</f>
        <v>29.060600000000001</v>
      </c>
      <c r="C909" s="10">
        <f>CHOOSE(CONTROL!$C$42, 29.0685, 29.0685) * CHOOSE(CONTROL!$C$21, $C$9, 100%, $E$9)</f>
        <v>29.0685</v>
      </c>
      <c r="D909" s="10">
        <f>CHOOSE(CONTROL!$C$42, 29.247, 29.247) * CHOOSE(CONTROL!$C$21, $C$9, 100%, $E$9)</f>
        <v>29.247</v>
      </c>
      <c r="E909" s="10">
        <f>CHOOSE(CONTROL!$C$42, 29.2782, 29.2782) * CHOOSE(CONTROL!$C$21, $C$9, 100%, $E$9)</f>
        <v>29.278199999999998</v>
      </c>
      <c r="F909" s="10">
        <f>CHOOSE(CONTROL!$C$42, 29.0469, 29.0469)*CHOOSE(CONTROL!$C$21, $C$9, 100%, $E$9)</f>
        <v>29.046900000000001</v>
      </c>
      <c r="G909" s="10">
        <f>CHOOSE(CONTROL!$C$42, 29.0652, 29.0652)*CHOOSE(CONTROL!$C$21, $C$9, 100%, $E$9)</f>
        <v>29.065200000000001</v>
      </c>
      <c r="H909" s="10">
        <f>CHOOSE(CONTROL!$C$42, 29.2668, 29.2668) * CHOOSE(CONTROL!$C$21, $C$9, 100%, $E$9)</f>
        <v>29.2668</v>
      </c>
      <c r="I909" s="10">
        <f>CHOOSE(CONTROL!$C$42, 29.0374, 29.0374)* CHOOSE(CONTROL!$C$21, $C$9, 100%, $E$9)</f>
        <v>29.037400000000002</v>
      </c>
      <c r="J909" s="10">
        <f>CHOOSE(CONTROL!$C$42, 29.0399, 29.0399)* CHOOSE(CONTROL!$C$21, $C$9, 100%, $E$9)</f>
        <v>29.039899999999999</v>
      </c>
      <c r="K909" s="54">
        <f>CHOOSE(CONTROL!$C$42, 29.0336, 29.0336) * CHOOSE(CONTROL!$C$21, $C$9, 100%, $E$9)</f>
        <v>29.0336</v>
      </c>
      <c r="L909" s="10">
        <f>CHOOSE(CONTROL!$C$42, 29.8538, 29.8538) * CHOOSE(CONTROL!$C$21, $C$9, 100%, $E$9)</f>
        <v>29.8538</v>
      </c>
      <c r="M909" s="10">
        <f>CHOOSE(CONTROL!$C$42, 28.7607, 28.7607) * CHOOSE(CONTROL!$C$21, $C$9, 100%, $E$9)</f>
        <v>28.7607</v>
      </c>
      <c r="N909" s="10">
        <f>CHOOSE(CONTROL!$C$42, 28.7787, 28.7787) * CHOOSE(CONTROL!$C$21, $C$9, 100%, $E$9)</f>
        <v>28.778700000000001</v>
      </c>
      <c r="O909" s="10">
        <f>CHOOSE(CONTROL!$C$42, 28.9853, 28.9853) * CHOOSE(CONTROL!$C$21, $C$9, 100%, $E$9)</f>
        <v>28.985299999999999</v>
      </c>
      <c r="P909" s="10">
        <f>CHOOSE(CONTROL!$C$42, 28.7583, 28.7583) * CHOOSE(CONTROL!$C$21, $C$9, 100%, $E$9)</f>
        <v>28.758299999999998</v>
      </c>
      <c r="Q909" s="10">
        <f>CHOOSE(CONTROL!$C$42, 29.5806, 29.5806) * CHOOSE(CONTROL!$C$21, $C$9, 100%, $E$9)</f>
        <v>29.5806</v>
      </c>
      <c r="R909" s="10">
        <f>CHOOSE(CONTROL!$C$42, 30.2415, 30.2415) * CHOOSE(CONTROL!$C$21, $C$9, 100%, $E$9)</f>
        <v>30.241499999999998</v>
      </c>
      <c r="S909" s="10">
        <f>CHOOSE(CONTROL!$C$42, 28.2165, 28.2165) * CHOOSE(CONTROL!$C$21, $C$9, 100%, $E$9)</f>
        <v>28.2165</v>
      </c>
      <c r="T909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09" s="58">
        <f>(1000*CHOOSE(CONTROL!$C$42, 695, 695)*CHOOSE(CONTROL!$C$42, 0.5599, 0.5599)*CHOOSE(CONTROL!$C$42, 30, 30))/1000000</f>
        <v>11.673914999999997</v>
      </c>
      <c r="V909" s="58">
        <f>(1000*CHOOSE(CONTROL!$C$42, 500, 500)*CHOOSE(CONTROL!$C$42, 0.275, 0.275)*CHOOSE(CONTROL!$C$42, 30, 30))/1000000</f>
        <v>4.125</v>
      </c>
      <c r="W909" s="58">
        <f>(1000*CHOOSE(CONTROL!$C$42, 0.1146, 0.1146)*CHOOSE(CONTROL!$C$42, 121.5, 121.5)*CHOOSE(CONTROL!$C$42, 30, 30))/1000000</f>
        <v>0.417717</v>
      </c>
      <c r="X909" s="58">
        <f>(30*0.1790888*245000/1000000)+(30*0.2374*100000/1000000)</f>
        <v>2.0285026799999999</v>
      </c>
      <c r="Y909" s="58"/>
      <c r="Z909" s="10"/>
      <c r="AA909" s="57"/>
      <c r="AB909" s="51">
        <f>(B909*194.205+C909*267.466+D909*133.845+E909*53.484+F909*40+G909*185+H909*0+I909*100+J909*300)/(194.205+267.466+133.845+53.484+0+40+185+100+300)</f>
        <v>29.084519001412872</v>
      </c>
      <c r="AC909" s="27">
        <f>(M909*'RAP TEMPLATE-GAS AVAILABILITY'!O908+N909*'RAP TEMPLATE-GAS AVAILABILITY'!P908+O909*'RAP TEMPLATE-GAS AVAILABILITY'!Q908+P909*'RAP TEMPLATE-GAS AVAILABILITY'!R908)/('RAP TEMPLATE-GAS AVAILABILITY'!O908+'RAP TEMPLATE-GAS AVAILABILITY'!P908+'RAP TEMPLATE-GAS AVAILABILITY'!Q908+'RAP TEMPLATE-GAS AVAILABILITY'!R908)</f>
        <v>28.863187769784176</v>
      </c>
    </row>
    <row r="910" spans="1:29" ht="15.75" x14ac:dyDescent="0.25">
      <c r="A910" s="13">
        <v>68972</v>
      </c>
      <c r="B910" s="10">
        <f>CHOOSE(CONTROL!$C$42, 28.4685, 28.4685) * CHOOSE(CONTROL!$C$21, $C$9, 100%, $E$9)</f>
        <v>28.468499999999999</v>
      </c>
      <c r="C910" s="10">
        <f>CHOOSE(CONTROL!$C$42, 28.4737, 28.4737) * CHOOSE(CONTROL!$C$21, $C$9, 100%, $E$9)</f>
        <v>28.473700000000001</v>
      </c>
      <c r="D910" s="10">
        <f>CHOOSE(CONTROL!$C$42, 28.6572, 28.6572) * CHOOSE(CONTROL!$C$21, $C$9, 100%, $E$9)</f>
        <v>28.6572</v>
      </c>
      <c r="E910" s="10">
        <f>CHOOSE(CONTROL!$C$42, 28.686, 28.686) * CHOOSE(CONTROL!$C$21, $C$9, 100%, $E$9)</f>
        <v>28.686</v>
      </c>
      <c r="F910" s="10">
        <f>CHOOSE(CONTROL!$C$42, 28.4568, 28.4568)*CHOOSE(CONTROL!$C$21, $C$9, 100%, $E$9)</f>
        <v>28.456800000000001</v>
      </c>
      <c r="G910" s="10">
        <f>CHOOSE(CONTROL!$C$42, 28.4747, 28.4747)*CHOOSE(CONTROL!$C$21, $C$9, 100%, $E$9)</f>
        <v>28.474699999999999</v>
      </c>
      <c r="H910" s="10">
        <f>CHOOSE(CONTROL!$C$42, 28.6765, 28.6765) * CHOOSE(CONTROL!$C$21, $C$9, 100%, $E$9)</f>
        <v>28.676500000000001</v>
      </c>
      <c r="I910" s="10">
        <f>CHOOSE(CONTROL!$C$42, 28.4471, 28.4471)* CHOOSE(CONTROL!$C$21, $C$9, 100%, $E$9)</f>
        <v>28.447099999999999</v>
      </c>
      <c r="J910" s="10">
        <f>CHOOSE(CONTROL!$C$42, 28.4498, 28.4498)* CHOOSE(CONTROL!$C$21, $C$9, 100%, $E$9)</f>
        <v>28.4498</v>
      </c>
      <c r="K910" s="54">
        <f>CHOOSE(CONTROL!$C$42, 28.4432, 28.4432) * CHOOSE(CONTROL!$C$21, $C$9, 100%, $E$9)</f>
        <v>28.443200000000001</v>
      </c>
      <c r="L910" s="10">
        <f>CHOOSE(CONTROL!$C$42, 29.2635, 29.2635) * CHOOSE(CONTROL!$C$21, $C$9, 100%, $E$9)</f>
        <v>29.263500000000001</v>
      </c>
      <c r="M910" s="10">
        <f>CHOOSE(CONTROL!$C$42, 28.1765, 28.1765) * CHOOSE(CONTROL!$C$21, $C$9, 100%, $E$9)</f>
        <v>28.176500000000001</v>
      </c>
      <c r="N910" s="10">
        <f>CHOOSE(CONTROL!$C$42, 28.1942, 28.1942) * CHOOSE(CONTROL!$C$21, $C$9, 100%, $E$9)</f>
        <v>28.194199999999999</v>
      </c>
      <c r="O910" s="10">
        <f>CHOOSE(CONTROL!$C$42, 28.4009, 28.4009) * CHOOSE(CONTROL!$C$21, $C$9, 100%, $E$9)</f>
        <v>28.4009</v>
      </c>
      <c r="P910" s="10">
        <f>CHOOSE(CONTROL!$C$42, 28.1739, 28.1739) * CHOOSE(CONTROL!$C$21, $C$9, 100%, $E$9)</f>
        <v>28.1739</v>
      </c>
      <c r="Q910" s="10">
        <f>CHOOSE(CONTROL!$C$42, 28.9962, 28.9962) * CHOOSE(CONTROL!$C$21, $C$9, 100%, $E$9)</f>
        <v>28.996200000000002</v>
      </c>
      <c r="R910" s="10">
        <f>CHOOSE(CONTROL!$C$42, 29.6557, 29.6557) * CHOOSE(CONTROL!$C$21, $C$9, 100%, $E$9)</f>
        <v>29.6557</v>
      </c>
      <c r="S910" s="10">
        <f>CHOOSE(CONTROL!$C$42, 27.6432, 27.6432) * CHOOSE(CONTROL!$C$21, $C$9, 100%, $E$9)</f>
        <v>27.6432</v>
      </c>
      <c r="T910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10" s="58">
        <f>(1000*CHOOSE(CONTROL!$C$42, 695, 695)*CHOOSE(CONTROL!$C$42, 0.5599, 0.5599)*CHOOSE(CONTROL!$C$42, 31, 31))/1000000</f>
        <v>12.063045499999998</v>
      </c>
      <c r="V910" s="58">
        <f>(1000*CHOOSE(CONTROL!$C$42, 500, 500)*CHOOSE(CONTROL!$C$42, 0.275, 0.275)*CHOOSE(CONTROL!$C$42, 31, 31))/1000000</f>
        <v>4.2625000000000002</v>
      </c>
      <c r="W910" s="58">
        <f>(1000*CHOOSE(CONTROL!$C$42, 0.1146, 0.1146)*CHOOSE(CONTROL!$C$42, 121.5, 121.5)*CHOOSE(CONTROL!$C$42, 31, 31))/1000000</f>
        <v>0.43164089999999994</v>
      </c>
      <c r="X910" s="58">
        <f>(31*0.1790888*245000/1000000)+(31*0.2374*100000/1000000)</f>
        <v>2.0961194359999999</v>
      </c>
      <c r="Y910" s="58"/>
      <c r="Z910" s="10"/>
      <c r="AA910" s="57"/>
      <c r="AB910" s="51">
        <f>(B910*131.881+C910*277.167+D910*79.08+E910*125.872+F910*40+G910*185+H910*0+I910*100+J910*300)/(131.881+277.167+79.08+125.872+0+40+185+100+300)</f>
        <v>28.498096307021793</v>
      </c>
      <c r="AC910" s="27">
        <f>(M910*'RAP TEMPLATE-GAS AVAILABILITY'!O909+N910*'RAP TEMPLATE-GAS AVAILABILITY'!P909+O910*'RAP TEMPLATE-GAS AVAILABILITY'!Q909+P910*'RAP TEMPLATE-GAS AVAILABILITY'!R909)/('RAP TEMPLATE-GAS AVAILABILITY'!O909+'RAP TEMPLATE-GAS AVAILABILITY'!P909+'RAP TEMPLATE-GAS AVAILABILITY'!Q909+'RAP TEMPLATE-GAS AVAILABILITY'!R909)</f>
        <v>28.278851079136693</v>
      </c>
    </row>
    <row r="911" spans="1:29" ht="15.75" x14ac:dyDescent="0.25">
      <c r="A911" s="13">
        <v>69002</v>
      </c>
      <c r="B911" s="10">
        <f>CHOOSE(CONTROL!$C$42, 29.218, 29.218) * CHOOSE(CONTROL!$C$21, $C$9, 100%, $E$9)</f>
        <v>29.218</v>
      </c>
      <c r="C911" s="10">
        <f>CHOOSE(CONTROL!$C$42, 29.2229, 29.2229) * CHOOSE(CONTROL!$C$21, $C$9, 100%, $E$9)</f>
        <v>29.222899999999999</v>
      </c>
      <c r="D911" s="10">
        <f>CHOOSE(CONTROL!$C$42, 29.2525, 29.2525) * CHOOSE(CONTROL!$C$21, $C$9, 100%, $E$9)</f>
        <v>29.252500000000001</v>
      </c>
      <c r="E911" s="10">
        <f>CHOOSE(CONTROL!$C$42, 29.2863, 29.2863) * CHOOSE(CONTROL!$C$21, $C$9, 100%, $E$9)</f>
        <v>29.286300000000001</v>
      </c>
      <c r="F911" s="10">
        <f>CHOOSE(CONTROL!$C$42, 29.2037, 29.2037)*CHOOSE(CONTROL!$C$21, $C$9, 100%, $E$9)</f>
        <v>29.203700000000001</v>
      </c>
      <c r="G911" s="10">
        <f>CHOOSE(CONTROL!$C$42, 29.2218, 29.2218)*CHOOSE(CONTROL!$C$21, $C$9, 100%, $E$9)</f>
        <v>29.221800000000002</v>
      </c>
      <c r="H911" s="10">
        <f>CHOOSE(CONTROL!$C$42, 29.2755, 29.2755) * CHOOSE(CONTROL!$C$21, $C$9, 100%, $E$9)</f>
        <v>29.275500000000001</v>
      </c>
      <c r="I911" s="10">
        <f>CHOOSE(CONTROL!$C$42, 29.1842, 29.1842)* CHOOSE(CONTROL!$C$21, $C$9, 100%, $E$9)</f>
        <v>29.184200000000001</v>
      </c>
      <c r="J911" s="10">
        <f>CHOOSE(CONTROL!$C$42, 29.1967, 29.1967)* CHOOSE(CONTROL!$C$21, $C$9, 100%, $E$9)</f>
        <v>29.1967</v>
      </c>
      <c r="K911" s="54">
        <f>CHOOSE(CONTROL!$C$42, 29.1803, 29.1803) * CHOOSE(CONTROL!$C$21, $C$9, 100%, $E$9)</f>
        <v>29.180299999999999</v>
      </c>
      <c r="L911" s="10">
        <f>CHOOSE(CONTROL!$C$42, 29.8625, 29.8625) * CHOOSE(CONTROL!$C$21, $C$9, 100%, $E$9)</f>
        <v>29.862500000000001</v>
      </c>
      <c r="M911" s="10">
        <f>CHOOSE(CONTROL!$C$42, 28.9159, 28.9159) * CHOOSE(CONTROL!$C$21, $C$9, 100%, $E$9)</f>
        <v>28.915900000000001</v>
      </c>
      <c r="N911" s="10">
        <f>CHOOSE(CONTROL!$C$42, 28.9338, 28.9338) * CHOOSE(CONTROL!$C$21, $C$9, 100%, $E$9)</f>
        <v>28.933800000000002</v>
      </c>
      <c r="O911" s="10">
        <f>CHOOSE(CONTROL!$C$42, 28.9939, 28.9939) * CHOOSE(CONTROL!$C$21, $C$9, 100%, $E$9)</f>
        <v>28.9939</v>
      </c>
      <c r="P911" s="10">
        <f>CHOOSE(CONTROL!$C$42, 28.9035, 28.9035) * CHOOSE(CONTROL!$C$21, $C$9, 100%, $E$9)</f>
        <v>28.903500000000001</v>
      </c>
      <c r="Q911" s="10">
        <f>CHOOSE(CONTROL!$C$42, 29.5892, 29.5892) * CHOOSE(CONTROL!$C$21, $C$9, 100%, $E$9)</f>
        <v>29.589200000000002</v>
      </c>
      <c r="R911" s="10">
        <f>CHOOSE(CONTROL!$C$42, 30.2502, 30.2502) * CHOOSE(CONTROL!$C$21, $C$9, 100%, $E$9)</f>
        <v>30.2502</v>
      </c>
      <c r="S911" s="10">
        <f>CHOOSE(CONTROL!$C$42, 28.3714, 28.3714) * CHOOSE(CONTROL!$C$21, $C$9, 100%, $E$9)</f>
        <v>28.371400000000001</v>
      </c>
      <c r="T911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11" s="58">
        <f>(1000*CHOOSE(CONTROL!$C$42, 695, 695)*CHOOSE(CONTROL!$C$42, 0.5599, 0.5599)*CHOOSE(CONTROL!$C$42, 30, 30))/1000000</f>
        <v>11.673914999999997</v>
      </c>
      <c r="V911" s="58">
        <f>(1000*CHOOSE(CONTROL!$C$42, 500, 500)*CHOOSE(CONTROL!$C$42, 0.275, 0.275)*CHOOSE(CONTROL!$C$42, 30, 30))/1000000</f>
        <v>4.125</v>
      </c>
      <c r="W911" s="58">
        <f>(1000*CHOOSE(CONTROL!$C$42, 0.1146, 0.1146)*CHOOSE(CONTROL!$C$42, 121.5, 121.5)*CHOOSE(CONTROL!$C$42, 30, 30))/1000000</f>
        <v>0.417717</v>
      </c>
      <c r="X911" s="58">
        <f>(30*0.1790888*100000/1000000)+(30*0.2374*100000/1000000)</f>
        <v>1.2494664</v>
      </c>
      <c r="Y911" s="58"/>
      <c r="Z911" s="10"/>
      <c r="AA911" s="57"/>
      <c r="AB911" s="51">
        <f>(B911*122.58+C911*297.941+D911*89.177+E911*40.302+F911*40+G911*160+H911*0+I911*100+J911*300)/(122.58+297.941+89.177+40.302+0+40+160+100+300)</f>
        <v>29.215874038260871</v>
      </c>
      <c r="AC911" s="27">
        <f>(M911*'RAP TEMPLATE-GAS AVAILABILITY'!O910+N911*'RAP TEMPLATE-GAS AVAILABILITY'!P910+O911*'RAP TEMPLATE-GAS AVAILABILITY'!Q910+P911*'RAP TEMPLATE-GAS AVAILABILITY'!R910)/('RAP TEMPLATE-GAS AVAILABILITY'!O910+'RAP TEMPLATE-GAS AVAILABILITY'!P910+'RAP TEMPLATE-GAS AVAILABILITY'!Q910+'RAP TEMPLATE-GAS AVAILABILITY'!R910)</f>
        <v>28.950498561151079</v>
      </c>
    </row>
    <row r="912" spans="1:29" ht="15.75" x14ac:dyDescent="0.25">
      <c r="A912" s="13">
        <v>69033</v>
      </c>
      <c r="B912" s="10">
        <f>CHOOSE(CONTROL!$C$42, 31.2098, 31.2098) * CHOOSE(CONTROL!$C$21, $C$9, 100%, $E$9)</f>
        <v>31.209800000000001</v>
      </c>
      <c r="C912" s="10">
        <f>CHOOSE(CONTROL!$C$42, 31.2148, 31.2148) * CHOOSE(CONTROL!$C$21, $C$9, 100%, $E$9)</f>
        <v>31.2148</v>
      </c>
      <c r="D912" s="10">
        <f>CHOOSE(CONTROL!$C$42, 31.2444, 31.2444) * CHOOSE(CONTROL!$C$21, $C$9, 100%, $E$9)</f>
        <v>31.244399999999999</v>
      </c>
      <c r="E912" s="10">
        <f>CHOOSE(CONTROL!$C$42, 31.2782, 31.2782) * CHOOSE(CONTROL!$C$21, $C$9, 100%, $E$9)</f>
        <v>31.278199999999998</v>
      </c>
      <c r="F912" s="10">
        <f>CHOOSE(CONTROL!$C$42, 31.1971, 31.1971)*CHOOSE(CONTROL!$C$21, $C$9, 100%, $E$9)</f>
        <v>31.197099999999999</v>
      </c>
      <c r="G912" s="10">
        <f>CHOOSE(CONTROL!$C$42, 31.2156, 31.2156)*CHOOSE(CONTROL!$C$21, $C$9, 100%, $E$9)</f>
        <v>31.215599999999998</v>
      </c>
      <c r="H912" s="10">
        <f>CHOOSE(CONTROL!$C$42, 31.2674, 31.2674) * CHOOSE(CONTROL!$C$21, $C$9, 100%, $E$9)</f>
        <v>31.267399999999999</v>
      </c>
      <c r="I912" s="10">
        <f>CHOOSE(CONTROL!$C$42, 31.176, 31.176)* CHOOSE(CONTROL!$C$21, $C$9, 100%, $E$9)</f>
        <v>31.175999999999998</v>
      </c>
      <c r="J912" s="10">
        <f>CHOOSE(CONTROL!$C$42, 31.1901, 31.1901)* CHOOSE(CONTROL!$C$21, $C$9, 100%, $E$9)</f>
        <v>31.190100000000001</v>
      </c>
      <c r="K912" s="54">
        <f>CHOOSE(CONTROL!$C$42, 31.1721, 31.1721) * CHOOSE(CONTROL!$C$21, $C$9, 100%, $E$9)</f>
        <v>31.1721</v>
      </c>
      <c r="L912" s="10">
        <f>CHOOSE(CONTROL!$C$42, 31.8544, 31.8544) * CHOOSE(CONTROL!$C$21, $C$9, 100%, $E$9)</f>
        <v>31.854399999999998</v>
      </c>
      <c r="M912" s="10">
        <f>CHOOSE(CONTROL!$C$42, 30.8892, 30.8892) * CHOOSE(CONTROL!$C$21, $C$9, 100%, $E$9)</f>
        <v>30.889199999999999</v>
      </c>
      <c r="N912" s="10">
        <f>CHOOSE(CONTROL!$C$42, 30.9075, 30.9075) * CHOOSE(CONTROL!$C$21, $C$9, 100%, $E$9)</f>
        <v>30.907499999999999</v>
      </c>
      <c r="O912" s="10">
        <f>CHOOSE(CONTROL!$C$42, 30.9657, 30.9657) * CHOOSE(CONTROL!$C$21, $C$9, 100%, $E$9)</f>
        <v>30.965699999999998</v>
      </c>
      <c r="P912" s="10">
        <f>CHOOSE(CONTROL!$C$42, 30.8753, 30.8753) * CHOOSE(CONTROL!$C$21, $C$9, 100%, $E$9)</f>
        <v>30.875299999999999</v>
      </c>
      <c r="Q912" s="10">
        <f>CHOOSE(CONTROL!$C$42, 31.561, 31.561) * CHOOSE(CONTROL!$C$21, $C$9, 100%, $E$9)</f>
        <v>31.561</v>
      </c>
      <c r="R912" s="10">
        <f>CHOOSE(CONTROL!$C$42, 32.2269, 32.2269) * CHOOSE(CONTROL!$C$21, $C$9, 100%, $E$9)</f>
        <v>32.226900000000001</v>
      </c>
      <c r="S912" s="10">
        <f>CHOOSE(CONTROL!$C$42, 30.3057, 30.3057) * CHOOSE(CONTROL!$C$21, $C$9, 100%, $E$9)</f>
        <v>30.305700000000002</v>
      </c>
      <c r="T912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12" s="58">
        <f>(1000*CHOOSE(CONTROL!$C$42, 695, 695)*CHOOSE(CONTROL!$C$42, 0.5599, 0.5599)*CHOOSE(CONTROL!$C$42, 31, 31))/1000000</f>
        <v>12.063045499999998</v>
      </c>
      <c r="V912" s="58">
        <f>(1000*CHOOSE(CONTROL!$C$42, 500, 500)*CHOOSE(CONTROL!$C$42, 0.275, 0.275)*CHOOSE(CONTROL!$C$42, 31, 31))/1000000</f>
        <v>4.2625000000000002</v>
      </c>
      <c r="W912" s="58">
        <f>(1000*CHOOSE(CONTROL!$C$42, 0.1146, 0.1146)*CHOOSE(CONTROL!$C$42, 121.5, 121.5)*CHOOSE(CONTROL!$C$42, 31, 31))/1000000</f>
        <v>0.43164089999999994</v>
      </c>
      <c r="X912" s="58">
        <f>(31*0.1790888*100000/1000000)+(31*0.2374*100000/1000000)</f>
        <v>1.2911152800000001</v>
      </c>
      <c r="Y912" s="58"/>
      <c r="Z912" s="10"/>
      <c r="AA912" s="57"/>
      <c r="AB912" s="51">
        <f>(B912*122.58+C912*297.941+D912*89.177+E912*40.302+F912*40+G912*160+H912*0+I912*100+J912*300)/(122.58+297.941+89.177+40.302+0+40+160+100+300)</f>
        <v>31.208462509565212</v>
      </c>
      <c r="AC912" s="27">
        <f>(M912*'RAP TEMPLATE-GAS AVAILABILITY'!O911+N912*'RAP TEMPLATE-GAS AVAILABILITY'!P911+O912*'RAP TEMPLATE-GAS AVAILABILITY'!Q911+P912*'RAP TEMPLATE-GAS AVAILABILITY'!R911)/('RAP TEMPLATE-GAS AVAILABILITY'!O911+'RAP TEMPLATE-GAS AVAILABILITY'!P911+'RAP TEMPLATE-GAS AVAILABILITY'!Q911+'RAP TEMPLATE-GAS AVAILABILITY'!R911)</f>
        <v>30.922925899280575</v>
      </c>
    </row>
    <row r="913" spans="1:29" ht="15.75" x14ac:dyDescent="0.25">
      <c r="A913" s="13">
        <v>69064</v>
      </c>
      <c r="B913" s="10">
        <f>CHOOSE(CONTROL!$C$42, 33.3161, 33.3161) * CHOOSE(CONTROL!$C$21, $C$9, 100%, $E$9)</f>
        <v>33.316099999999999</v>
      </c>
      <c r="C913" s="10">
        <f>CHOOSE(CONTROL!$C$42, 33.3211, 33.3211) * CHOOSE(CONTROL!$C$21, $C$9, 100%, $E$9)</f>
        <v>33.321100000000001</v>
      </c>
      <c r="D913" s="10">
        <f>CHOOSE(CONTROL!$C$42, 33.3713, 33.3713) * CHOOSE(CONTROL!$C$21, $C$9, 100%, $E$9)</f>
        <v>33.371299999999998</v>
      </c>
      <c r="E913" s="10">
        <f>CHOOSE(CONTROL!$C$42, 33.4051, 33.4051) * CHOOSE(CONTROL!$C$21, $C$9, 100%, $E$9)</f>
        <v>33.405099999999997</v>
      </c>
      <c r="F913" s="10">
        <f>CHOOSE(CONTROL!$C$42, 33.2815, 33.2815)*CHOOSE(CONTROL!$C$21, $C$9, 100%, $E$9)</f>
        <v>33.281500000000001</v>
      </c>
      <c r="G913" s="10">
        <f>CHOOSE(CONTROL!$C$42, 33.299, 33.299)*CHOOSE(CONTROL!$C$21, $C$9, 100%, $E$9)</f>
        <v>33.298999999999999</v>
      </c>
      <c r="H913" s="10">
        <f>CHOOSE(CONTROL!$C$42, 33.3943, 33.3943) * CHOOSE(CONTROL!$C$21, $C$9, 100%, $E$9)</f>
        <v>33.394300000000001</v>
      </c>
      <c r="I913" s="10">
        <f>CHOOSE(CONTROL!$C$42, 33.29, 33.29)* CHOOSE(CONTROL!$C$21, $C$9, 100%, $E$9)</f>
        <v>33.29</v>
      </c>
      <c r="J913" s="10">
        <f>CHOOSE(CONTROL!$C$42, 33.2745, 33.2745)* CHOOSE(CONTROL!$C$21, $C$9, 100%, $E$9)</f>
        <v>33.274500000000003</v>
      </c>
      <c r="K913" s="54">
        <f>CHOOSE(CONTROL!$C$42, 33.2861, 33.2861) * CHOOSE(CONTROL!$C$21, $C$9, 100%, $E$9)</f>
        <v>33.286099999999998</v>
      </c>
      <c r="L913" s="10">
        <f>CHOOSE(CONTROL!$C$42, 33.9813, 33.9813) * CHOOSE(CONTROL!$C$21, $C$9, 100%, $E$9)</f>
        <v>33.981299999999997</v>
      </c>
      <c r="M913" s="10">
        <f>CHOOSE(CONTROL!$C$42, 32.9525, 32.9525) * CHOOSE(CONTROL!$C$21, $C$9, 100%, $E$9)</f>
        <v>32.952500000000001</v>
      </c>
      <c r="N913" s="10">
        <f>CHOOSE(CONTROL!$C$42, 32.9699, 32.9699) * CHOOSE(CONTROL!$C$21, $C$9, 100%, $E$9)</f>
        <v>32.969900000000003</v>
      </c>
      <c r="O913" s="10">
        <f>CHOOSE(CONTROL!$C$42, 33.0711, 33.0711) * CHOOSE(CONTROL!$C$21, $C$9, 100%, $E$9)</f>
        <v>33.071100000000001</v>
      </c>
      <c r="P913" s="10">
        <f>CHOOSE(CONTROL!$C$42, 32.9679, 32.9679) * CHOOSE(CONTROL!$C$21, $C$9, 100%, $E$9)</f>
        <v>32.9679</v>
      </c>
      <c r="Q913" s="10">
        <f>CHOOSE(CONTROL!$C$42, 33.6664, 33.6664) * CHOOSE(CONTROL!$C$21, $C$9, 100%, $E$9)</f>
        <v>33.666400000000003</v>
      </c>
      <c r="R913" s="10">
        <f>CHOOSE(CONTROL!$C$42, 34.3375, 34.3375) * CHOOSE(CONTROL!$C$21, $C$9, 100%, $E$9)</f>
        <v>34.337499999999999</v>
      </c>
      <c r="S913" s="10">
        <f>CHOOSE(CONTROL!$C$42, 32.3512, 32.3512) * CHOOSE(CONTROL!$C$21, $C$9, 100%, $E$9)</f>
        <v>32.351199999999999</v>
      </c>
      <c r="T913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13" s="58">
        <f>(1000*CHOOSE(CONTROL!$C$42, 695, 695)*CHOOSE(CONTROL!$C$42, 0.5599, 0.5599)*CHOOSE(CONTROL!$C$42, 31, 31))/1000000</f>
        <v>12.063045499999998</v>
      </c>
      <c r="V913" s="58">
        <f>(1000*CHOOSE(CONTROL!$C$42, 500, 500)*CHOOSE(CONTROL!$C$42, 0.275, 0.275)*CHOOSE(CONTROL!$C$42, 31, 31))/1000000</f>
        <v>4.2625000000000002</v>
      </c>
      <c r="W913" s="58">
        <f>(1000*CHOOSE(CONTROL!$C$42, 0.1146, 0.1146)*CHOOSE(CONTROL!$C$42, 121.5, 121.5)*CHOOSE(CONTROL!$C$42, 31, 31))/1000000</f>
        <v>0.43164089999999994</v>
      </c>
      <c r="X913" s="58">
        <f>(31*0.1790888*100000/1000000)+(31*0.2374*100000/1000000)</f>
        <v>1.2911152800000001</v>
      </c>
      <c r="Y913" s="58"/>
      <c r="Z913" s="10"/>
      <c r="AA913" s="57"/>
      <c r="AB913" s="51">
        <f>(B913*122.58+C913*297.941+D913*89.177+E913*40.302+F913*40+G913*160+H913*0+I913*100+J913*300)/(122.58+297.941+89.177+40.302+0+40+160+100+300)</f>
        <v>33.308090568173917</v>
      </c>
      <c r="AC913" s="27">
        <f>(M913*'RAP TEMPLATE-GAS AVAILABILITY'!O912+N913*'RAP TEMPLATE-GAS AVAILABILITY'!P912+O913*'RAP TEMPLATE-GAS AVAILABILITY'!Q912+P913*'RAP TEMPLATE-GAS AVAILABILITY'!R912)/('RAP TEMPLATE-GAS AVAILABILITY'!O912+'RAP TEMPLATE-GAS AVAILABILITY'!P912+'RAP TEMPLATE-GAS AVAILABILITY'!Q912+'RAP TEMPLATE-GAS AVAILABILITY'!R912)</f>
        <v>33.009471223021592</v>
      </c>
    </row>
    <row r="914" spans="1:29" ht="15.75" x14ac:dyDescent="0.25">
      <c r="A914" s="13">
        <v>69092</v>
      </c>
      <c r="B914" s="10">
        <f>CHOOSE(CONTROL!$C$42, 33.9092, 33.9092) * CHOOSE(CONTROL!$C$21, $C$9, 100%, $E$9)</f>
        <v>33.909199999999998</v>
      </c>
      <c r="C914" s="10">
        <f>CHOOSE(CONTROL!$C$42, 33.9141, 33.9141) * CHOOSE(CONTROL!$C$21, $C$9, 100%, $E$9)</f>
        <v>33.914099999999998</v>
      </c>
      <c r="D914" s="10">
        <f>CHOOSE(CONTROL!$C$42, 34.0312, 34.0312) * CHOOSE(CONTROL!$C$21, $C$9, 100%, $E$9)</f>
        <v>34.031199999999998</v>
      </c>
      <c r="E914" s="10">
        <f>CHOOSE(CONTROL!$C$42, 34.065, 34.065) * CHOOSE(CONTROL!$C$21, $C$9, 100%, $E$9)</f>
        <v>34.064999999999998</v>
      </c>
      <c r="F914" s="10">
        <f>CHOOSE(CONTROL!$C$42, 33.9867, 33.9867)*CHOOSE(CONTROL!$C$21, $C$9, 100%, $E$9)</f>
        <v>33.986699999999999</v>
      </c>
      <c r="G914" s="10">
        <f>CHOOSE(CONTROL!$C$42, 34.0087, 34.0087)*CHOOSE(CONTROL!$C$21, $C$9, 100%, $E$9)</f>
        <v>34.008699999999997</v>
      </c>
      <c r="H914" s="10">
        <f>CHOOSE(CONTROL!$C$42, 34.0542, 34.0542) * CHOOSE(CONTROL!$C$21, $C$9, 100%, $E$9)</f>
        <v>34.054200000000002</v>
      </c>
      <c r="I914" s="10">
        <f>CHOOSE(CONTROL!$C$42, 33.9448, 33.9448)* CHOOSE(CONTROL!$C$21, $C$9, 100%, $E$9)</f>
        <v>33.944800000000001</v>
      </c>
      <c r="J914" s="10">
        <f>CHOOSE(CONTROL!$C$42, 33.9797, 33.9797)* CHOOSE(CONTROL!$C$21, $C$9, 100%, $E$9)</f>
        <v>33.979700000000001</v>
      </c>
      <c r="K914" s="54">
        <f>CHOOSE(CONTROL!$C$42, 33.9409, 33.9409) * CHOOSE(CONTROL!$C$21, $C$9, 100%, $E$9)</f>
        <v>33.940899999999999</v>
      </c>
      <c r="L914" s="10">
        <f>CHOOSE(CONTROL!$C$42, 34.6412, 34.6412) * CHOOSE(CONTROL!$C$21, $C$9, 100%, $E$9)</f>
        <v>34.641199999999998</v>
      </c>
      <c r="M914" s="10">
        <f>CHOOSE(CONTROL!$C$42, 33.6507, 33.6507) * CHOOSE(CONTROL!$C$21, $C$9, 100%, $E$9)</f>
        <v>33.650700000000001</v>
      </c>
      <c r="N914" s="10">
        <f>CHOOSE(CONTROL!$C$42, 33.6723, 33.6723) * CHOOSE(CONTROL!$C$21, $C$9, 100%, $E$9)</f>
        <v>33.6723</v>
      </c>
      <c r="O914" s="10">
        <f>CHOOSE(CONTROL!$C$42, 33.7244, 33.7244) * CHOOSE(CONTROL!$C$21, $C$9, 100%, $E$9)</f>
        <v>33.724400000000003</v>
      </c>
      <c r="P914" s="10">
        <f>CHOOSE(CONTROL!$C$42, 33.6161, 33.6161) * CHOOSE(CONTROL!$C$21, $C$9, 100%, $E$9)</f>
        <v>33.616100000000003</v>
      </c>
      <c r="Q914" s="10">
        <f>CHOOSE(CONTROL!$C$42, 34.3197, 34.3197) * CHOOSE(CONTROL!$C$21, $C$9, 100%, $E$9)</f>
        <v>34.319699999999997</v>
      </c>
      <c r="R914" s="10">
        <f>CHOOSE(CONTROL!$C$42, 34.9925, 34.9925) * CHOOSE(CONTROL!$C$21, $C$9, 100%, $E$9)</f>
        <v>34.9925</v>
      </c>
      <c r="S914" s="10">
        <f>CHOOSE(CONTROL!$C$42, 32.927, 32.927) * CHOOSE(CONTROL!$C$21, $C$9, 100%, $E$9)</f>
        <v>32.927</v>
      </c>
      <c r="T914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914" s="58">
        <f>(1000*CHOOSE(CONTROL!$C$42, 695, 695)*CHOOSE(CONTROL!$C$42, 0.5599, 0.5599)*CHOOSE(CONTROL!$C$42, 28, 28))/1000000</f>
        <v>10.895653999999999</v>
      </c>
      <c r="V914" s="58">
        <f>(1000*CHOOSE(CONTROL!$C$42, 500, 500)*CHOOSE(CONTROL!$C$42, 0.275, 0.275)*CHOOSE(CONTROL!$C$42, 28, 28))/1000000</f>
        <v>3.85</v>
      </c>
      <c r="W914" s="58">
        <f>(1000*CHOOSE(CONTROL!$C$42, 0.1146, 0.1146)*CHOOSE(CONTROL!$C$42, 121.5, 121.5)*CHOOSE(CONTROL!$C$42, 28, 28))/1000000</f>
        <v>0.38986920000000003</v>
      </c>
      <c r="X914" s="58">
        <f>(28*0.1790888*100000/1000000)+(28*0.2374*100000/1000000)</f>
        <v>1.16616864</v>
      </c>
      <c r="Y914" s="58"/>
      <c r="Z914" s="10"/>
      <c r="AA914" s="57"/>
      <c r="AB914" s="51">
        <f>(B914*122.58+C914*297.941+D914*89.177+E914*40.302+F914*40+G914*160+H914*0+I914*100+J914*300)/(122.58+297.941+89.177+40.302+0+40+160+100+300)</f>
        <v>33.963416136086956</v>
      </c>
      <c r="AC914" s="27">
        <f>(M914*'RAP TEMPLATE-GAS AVAILABILITY'!O913+N914*'RAP TEMPLATE-GAS AVAILABILITY'!P913+O914*'RAP TEMPLATE-GAS AVAILABILITY'!Q913+P914*'RAP TEMPLATE-GAS AVAILABILITY'!R913)/('RAP TEMPLATE-GAS AVAILABILITY'!O913+'RAP TEMPLATE-GAS AVAILABILITY'!P913+'RAP TEMPLATE-GAS AVAILABILITY'!Q913+'RAP TEMPLATE-GAS AVAILABILITY'!R913)</f>
        <v>33.680368345323743</v>
      </c>
    </row>
    <row r="915" spans="1:29" ht="15.75" x14ac:dyDescent="0.25">
      <c r="A915" s="13">
        <v>69123</v>
      </c>
      <c r="B915" s="10">
        <f>CHOOSE(CONTROL!$C$42, 32.9465, 32.9465) * CHOOSE(CONTROL!$C$21, $C$9, 100%, $E$9)</f>
        <v>32.9465</v>
      </c>
      <c r="C915" s="10">
        <f>CHOOSE(CONTROL!$C$42, 32.9515, 32.9515) * CHOOSE(CONTROL!$C$21, $C$9, 100%, $E$9)</f>
        <v>32.951500000000003</v>
      </c>
      <c r="D915" s="10">
        <f>CHOOSE(CONTROL!$C$42, 33.0429, 33.0429) * CHOOSE(CONTROL!$C$21, $C$9, 100%, $E$9)</f>
        <v>33.042900000000003</v>
      </c>
      <c r="E915" s="10">
        <f>CHOOSE(CONTROL!$C$42, 33.0767, 33.0767) * CHOOSE(CONTROL!$C$21, $C$9, 100%, $E$9)</f>
        <v>33.076700000000002</v>
      </c>
      <c r="F915" s="10">
        <f>CHOOSE(CONTROL!$C$42, 32.9764, 32.9764)*CHOOSE(CONTROL!$C$21, $C$9, 100%, $E$9)</f>
        <v>32.976399999999998</v>
      </c>
      <c r="G915" s="10">
        <f>CHOOSE(CONTROL!$C$42, 32.9959, 32.9959)*CHOOSE(CONTROL!$C$21, $C$9, 100%, $E$9)</f>
        <v>32.995899999999999</v>
      </c>
      <c r="H915" s="10">
        <f>CHOOSE(CONTROL!$C$42, 33.0659, 33.0659) * CHOOSE(CONTROL!$C$21, $C$9, 100%, $E$9)</f>
        <v>33.065899999999999</v>
      </c>
      <c r="I915" s="10">
        <f>CHOOSE(CONTROL!$C$42, 32.9693, 32.9693)* CHOOSE(CONTROL!$C$21, $C$9, 100%, $E$9)</f>
        <v>32.969299999999997</v>
      </c>
      <c r="J915" s="10">
        <f>CHOOSE(CONTROL!$C$42, 32.9694, 32.9694)* CHOOSE(CONTROL!$C$21, $C$9, 100%, $E$9)</f>
        <v>32.9694</v>
      </c>
      <c r="K915" s="54">
        <f>CHOOSE(CONTROL!$C$42, 32.9655, 32.9655) * CHOOSE(CONTROL!$C$21, $C$9, 100%, $E$9)</f>
        <v>32.965499999999999</v>
      </c>
      <c r="L915" s="10">
        <f>CHOOSE(CONTROL!$C$42, 33.6529, 33.6529) * CHOOSE(CONTROL!$C$21, $C$9, 100%, $E$9)</f>
        <v>33.652900000000002</v>
      </c>
      <c r="M915" s="10">
        <f>CHOOSE(CONTROL!$C$42, 32.6505, 32.6505) * CHOOSE(CONTROL!$C$21, $C$9, 100%, $E$9)</f>
        <v>32.650500000000001</v>
      </c>
      <c r="N915" s="10">
        <f>CHOOSE(CONTROL!$C$42, 32.6698, 32.6698) * CHOOSE(CONTROL!$C$21, $C$9, 100%, $E$9)</f>
        <v>32.669800000000002</v>
      </c>
      <c r="O915" s="10">
        <f>CHOOSE(CONTROL!$C$42, 32.746, 32.746) * CHOOSE(CONTROL!$C$21, $C$9, 100%, $E$9)</f>
        <v>32.746000000000002</v>
      </c>
      <c r="P915" s="10">
        <f>CHOOSE(CONTROL!$C$42, 32.6505, 32.6505) * CHOOSE(CONTROL!$C$21, $C$9, 100%, $E$9)</f>
        <v>32.650500000000001</v>
      </c>
      <c r="Q915" s="10">
        <f>CHOOSE(CONTROL!$C$42, 33.3413, 33.3413) * CHOOSE(CONTROL!$C$21, $C$9, 100%, $E$9)</f>
        <v>33.341299999999997</v>
      </c>
      <c r="R915" s="10">
        <f>CHOOSE(CONTROL!$C$42, 34.0116, 34.0116) * CHOOSE(CONTROL!$C$21, $C$9, 100%, $E$9)</f>
        <v>34.011600000000001</v>
      </c>
      <c r="S915" s="10">
        <f>CHOOSE(CONTROL!$C$42, 31.9922, 31.9922) * CHOOSE(CONTROL!$C$21, $C$9, 100%, $E$9)</f>
        <v>31.9922</v>
      </c>
      <c r="T915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15" s="58">
        <f>(1000*CHOOSE(CONTROL!$C$42, 695, 695)*CHOOSE(CONTROL!$C$42, 0.5599, 0.5599)*CHOOSE(CONTROL!$C$42, 31, 31))/1000000</f>
        <v>12.063045499999998</v>
      </c>
      <c r="V915" s="58">
        <f>(1000*CHOOSE(CONTROL!$C$42, 500, 500)*CHOOSE(CONTROL!$C$42, 0.275, 0.275)*CHOOSE(CONTROL!$C$42, 31, 31))/1000000</f>
        <v>4.2625000000000002</v>
      </c>
      <c r="W915" s="58">
        <f>(1000*CHOOSE(CONTROL!$C$42, 0.1146, 0.1146)*CHOOSE(CONTROL!$C$42, 121.5, 121.5)*CHOOSE(CONTROL!$C$42, 31, 31))/1000000</f>
        <v>0.43164089999999994</v>
      </c>
      <c r="X915" s="58">
        <f>(31*0.1790888*100000/1000000)+(31*0.2374*100000/1000000)</f>
        <v>1.2911152800000001</v>
      </c>
      <c r="Y915" s="58"/>
      <c r="Z915" s="10"/>
      <c r="AA915" s="57"/>
      <c r="AB915" s="51">
        <f>(B915*122.58+C915*297.941+D915*89.177+E915*40.302+F915*40+G915*160+H915*0+I915*100+J915*300)/(122.58+297.941+89.177+40.302+0+40+160+100+300)</f>
        <v>32.975703207130444</v>
      </c>
      <c r="AC915" s="27">
        <f>(M915*'RAP TEMPLATE-GAS AVAILABILITY'!O914+N915*'RAP TEMPLATE-GAS AVAILABILITY'!P914+O915*'RAP TEMPLATE-GAS AVAILABILITY'!Q914+P915*'RAP TEMPLATE-GAS AVAILABILITY'!R914)/('RAP TEMPLATE-GAS AVAILABILITY'!O914+'RAP TEMPLATE-GAS AVAILABILITY'!P914+'RAP TEMPLATE-GAS AVAILABILITY'!Q914+'RAP TEMPLATE-GAS AVAILABILITY'!R914)</f>
        <v>32.694894964028776</v>
      </c>
    </row>
    <row r="916" spans="1:29" ht="15.75" x14ac:dyDescent="0.25">
      <c r="A916" s="13">
        <v>69153</v>
      </c>
      <c r="B916" s="10">
        <f>CHOOSE(CONTROL!$C$42, 32.8487, 32.8487) * CHOOSE(CONTROL!$C$21, $C$9, 100%, $E$9)</f>
        <v>32.848700000000001</v>
      </c>
      <c r="C916" s="10">
        <f>CHOOSE(CONTROL!$C$42, 32.853, 32.853) * CHOOSE(CONTROL!$C$21, $C$9, 100%, $E$9)</f>
        <v>32.853000000000002</v>
      </c>
      <c r="D916" s="10">
        <f>CHOOSE(CONTROL!$C$42, 33.0347, 33.0347) * CHOOSE(CONTROL!$C$21, $C$9, 100%, $E$9)</f>
        <v>33.034700000000001</v>
      </c>
      <c r="E916" s="10">
        <f>CHOOSE(CONTROL!$C$42, 33.0665, 33.0665) * CHOOSE(CONTROL!$C$21, $C$9, 100%, $E$9)</f>
        <v>33.066499999999998</v>
      </c>
      <c r="F916" s="10">
        <f>CHOOSE(CONTROL!$C$42, 32.837, 32.837)*CHOOSE(CONTROL!$C$21, $C$9, 100%, $E$9)</f>
        <v>32.837000000000003</v>
      </c>
      <c r="G916" s="10">
        <f>CHOOSE(CONTROL!$C$42, 32.855, 32.855)*CHOOSE(CONTROL!$C$21, $C$9, 100%, $E$9)</f>
        <v>32.854999999999997</v>
      </c>
      <c r="H916" s="10">
        <f>CHOOSE(CONTROL!$C$42, 33.0563, 33.0563) * CHOOSE(CONTROL!$C$21, $C$9, 100%, $E$9)</f>
        <v>33.0563</v>
      </c>
      <c r="I916" s="10">
        <f>CHOOSE(CONTROL!$C$42, 32.8269, 32.8269)* CHOOSE(CONTROL!$C$21, $C$9, 100%, $E$9)</f>
        <v>32.826900000000002</v>
      </c>
      <c r="J916" s="10">
        <f>CHOOSE(CONTROL!$C$42, 32.83, 32.83)* CHOOSE(CONTROL!$C$21, $C$9, 100%, $E$9)</f>
        <v>32.83</v>
      </c>
      <c r="K916" s="54">
        <f>CHOOSE(CONTROL!$C$42, 32.823, 32.823) * CHOOSE(CONTROL!$C$21, $C$9, 100%, $E$9)</f>
        <v>32.823</v>
      </c>
      <c r="L916" s="10">
        <f>CHOOSE(CONTROL!$C$42, 33.6433, 33.6433) * CHOOSE(CONTROL!$C$21, $C$9, 100%, $E$9)</f>
        <v>33.643300000000004</v>
      </c>
      <c r="M916" s="10">
        <f>CHOOSE(CONTROL!$C$42, 32.5125, 32.5125) * CHOOSE(CONTROL!$C$21, $C$9, 100%, $E$9)</f>
        <v>32.512500000000003</v>
      </c>
      <c r="N916" s="10">
        <f>CHOOSE(CONTROL!$C$42, 32.5303, 32.5303) * CHOOSE(CONTROL!$C$21, $C$9, 100%, $E$9)</f>
        <v>32.530299999999997</v>
      </c>
      <c r="O916" s="10">
        <f>CHOOSE(CONTROL!$C$42, 32.7365, 32.7365) * CHOOSE(CONTROL!$C$21, $C$9, 100%, $E$9)</f>
        <v>32.736499999999999</v>
      </c>
      <c r="P916" s="10">
        <f>CHOOSE(CONTROL!$C$42, 32.5095, 32.5095) * CHOOSE(CONTROL!$C$21, $C$9, 100%, $E$9)</f>
        <v>32.509500000000003</v>
      </c>
      <c r="Q916" s="10">
        <f>CHOOSE(CONTROL!$C$42, 33.3318, 33.3318) * CHOOSE(CONTROL!$C$21, $C$9, 100%, $E$9)</f>
        <v>33.331800000000001</v>
      </c>
      <c r="R916" s="10">
        <f>CHOOSE(CONTROL!$C$42, 34.0021, 34.0021) * CHOOSE(CONTROL!$C$21, $C$9, 100%, $E$9)</f>
        <v>34.002099999999999</v>
      </c>
      <c r="S916" s="10">
        <f>CHOOSE(CONTROL!$C$42, 31.8965, 31.8965) * CHOOSE(CONTROL!$C$21, $C$9, 100%, $E$9)</f>
        <v>31.8965</v>
      </c>
      <c r="T916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916" s="58">
        <f>(1000*CHOOSE(CONTROL!$C$42, 695, 695)*CHOOSE(CONTROL!$C$42, 0.5599, 0.5599)*CHOOSE(CONTROL!$C$42, 30, 30))/1000000</f>
        <v>11.673914999999997</v>
      </c>
      <c r="V916" s="58">
        <f>(1000*CHOOSE(CONTROL!$C$42, 500, 500)*CHOOSE(CONTROL!$C$42, 0.275, 0.275)*CHOOSE(CONTROL!$C$42, 30, 30))/1000000</f>
        <v>4.125</v>
      </c>
      <c r="W916" s="58">
        <f>(1000*CHOOSE(CONTROL!$C$42, 0.1146, 0.1146)*CHOOSE(CONTROL!$C$42, 121.5, 121.5)*CHOOSE(CONTROL!$C$42, 30, 30))/1000000</f>
        <v>0.417717</v>
      </c>
      <c r="X916" s="58">
        <f>(30*0.1790888*245000/1000000)+(30*0.2374*100000/1000000)</f>
        <v>2.0285026799999999</v>
      </c>
      <c r="Y916" s="58"/>
      <c r="Z916" s="10"/>
      <c r="AA916" s="57"/>
      <c r="AB916" s="51">
        <f>(B916*141.293+C916*267.993+D916*115.016+E916*89.698+F916*40+G916*185+H916*0+I916*100+J916*300)/(141.293+267.993+115.016+89.698+0+40+185+100+300)</f>
        <v>32.87693976618241</v>
      </c>
      <c r="AC916" s="27">
        <f>(M916*'RAP TEMPLATE-GAS AVAILABILITY'!O915+N916*'RAP TEMPLATE-GAS AVAILABILITY'!P915+O916*'RAP TEMPLATE-GAS AVAILABILITY'!Q915+P916*'RAP TEMPLATE-GAS AVAILABILITY'!R915)/('RAP TEMPLATE-GAS AVAILABILITY'!O915+'RAP TEMPLATE-GAS AVAILABILITY'!P915+'RAP TEMPLATE-GAS AVAILABILITY'!Q915+'RAP TEMPLATE-GAS AVAILABILITY'!R915)</f>
        <v>32.61461798561151</v>
      </c>
    </row>
    <row r="917" spans="1:29" ht="15.75" x14ac:dyDescent="0.25">
      <c r="A917" s="13">
        <v>69184</v>
      </c>
      <c r="B917" s="10">
        <f>CHOOSE(CONTROL!$C$42, 33.1404, 33.1404) * CHOOSE(CONTROL!$C$21, $C$9, 100%, $E$9)</f>
        <v>33.1404</v>
      </c>
      <c r="C917" s="10">
        <f>CHOOSE(CONTROL!$C$42, 33.1483, 33.1483) * CHOOSE(CONTROL!$C$21, $C$9, 100%, $E$9)</f>
        <v>33.148299999999999</v>
      </c>
      <c r="D917" s="10">
        <f>CHOOSE(CONTROL!$C$42, 33.3268, 33.3268) * CHOOSE(CONTROL!$C$21, $C$9, 100%, $E$9)</f>
        <v>33.326799999999999</v>
      </c>
      <c r="E917" s="10">
        <f>CHOOSE(CONTROL!$C$42, 33.3579, 33.3579) * CHOOSE(CONTROL!$C$21, $C$9, 100%, $E$9)</f>
        <v>33.357900000000001</v>
      </c>
      <c r="F917" s="10">
        <f>CHOOSE(CONTROL!$C$42, 33.1265, 33.1265)*CHOOSE(CONTROL!$C$21, $C$9, 100%, $E$9)</f>
        <v>33.1265</v>
      </c>
      <c r="G917" s="10">
        <f>CHOOSE(CONTROL!$C$42, 33.1447, 33.1447)*CHOOSE(CONTROL!$C$21, $C$9, 100%, $E$9)</f>
        <v>33.1447</v>
      </c>
      <c r="H917" s="10">
        <f>CHOOSE(CONTROL!$C$42, 33.3466, 33.3466) * CHOOSE(CONTROL!$C$21, $C$9, 100%, $E$9)</f>
        <v>33.346600000000002</v>
      </c>
      <c r="I917" s="10">
        <f>CHOOSE(CONTROL!$C$42, 33.1172, 33.1172)* CHOOSE(CONTROL!$C$21, $C$9, 100%, $E$9)</f>
        <v>33.117199999999997</v>
      </c>
      <c r="J917" s="10">
        <f>CHOOSE(CONTROL!$C$42, 33.1195, 33.1195)* CHOOSE(CONTROL!$C$21, $C$9, 100%, $E$9)</f>
        <v>33.119500000000002</v>
      </c>
      <c r="K917" s="54">
        <f>CHOOSE(CONTROL!$C$42, 33.1133, 33.1133) * CHOOSE(CONTROL!$C$21, $C$9, 100%, $E$9)</f>
        <v>33.113300000000002</v>
      </c>
      <c r="L917" s="10">
        <f>CHOOSE(CONTROL!$C$42, 33.9336, 33.9336) * CHOOSE(CONTROL!$C$21, $C$9, 100%, $E$9)</f>
        <v>33.933599999999998</v>
      </c>
      <c r="M917" s="10">
        <f>CHOOSE(CONTROL!$C$42, 32.7991, 32.7991) * CHOOSE(CONTROL!$C$21, $C$9, 100%, $E$9)</f>
        <v>32.799100000000003</v>
      </c>
      <c r="N917" s="10">
        <f>CHOOSE(CONTROL!$C$42, 32.8171, 32.8171) * CHOOSE(CONTROL!$C$21, $C$9, 100%, $E$9)</f>
        <v>32.817100000000003</v>
      </c>
      <c r="O917" s="10">
        <f>CHOOSE(CONTROL!$C$42, 33.0239, 33.0239) * CHOOSE(CONTROL!$C$21, $C$9, 100%, $E$9)</f>
        <v>33.023899999999998</v>
      </c>
      <c r="P917" s="10">
        <f>CHOOSE(CONTROL!$C$42, 32.7969, 32.7969) * CHOOSE(CONTROL!$C$21, $C$9, 100%, $E$9)</f>
        <v>32.796900000000001</v>
      </c>
      <c r="Q917" s="10">
        <f>CHOOSE(CONTROL!$C$42, 33.6192, 33.6192) * CHOOSE(CONTROL!$C$21, $C$9, 100%, $E$9)</f>
        <v>33.619199999999999</v>
      </c>
      <c r="R917" s="10">
        <f>CHOOSE(CONTROL!$C$42, 34.2902, 34.2902) * CHOOSE(CONTROL!$C$21, $C$9, 100%, $E$9)</f>
        <v>34.290199999999999</v>
      </c>
      <c r="S917" s="10">
        <f>CHOOSE(CONTROL!$C$42, 32.1783, 32.1783) * CHOOSE(CONTROL!$C$21, $C$9, 100%, $E$9)</f>
        <v>32.1783</v>
      </c>
      <c r="T917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917" s="58">
        <f>(1000*CHOOSE(CONTROL!$C$42, 695, 695)*CHOOSE(CONTROL!$C$42, 0.5599, 0.5599)*CHOOSE(CONTROL!$C$42, 31, 31))/1000000</f>
        <v>12.063045499999998</v>
      </c>
      <c r="V917" s="58">
        <f>(1000*CHOOSE(CONTROL!$C$42, 500, 500)*CHOOSE(CONTROL!$C$42, 0.275, 0.275)*CHOOSE(CONTROL!$C$42, 31, 31))/1000000</f>
        <v>4.2625000000000002</v>
      </c>
      <c r="W917" s="58">
        <f>(1000*CHOOSE(CONTROL!$C$42, 0.1146, 0.1146)*CHOOSE(CONTROL!$C$42, 121.5, 121.5)*CHOOSE(CONTROL!$C$42, 31, 31))/1000000</f>
        <v>0.43164089999999994</v>
      </c>
      <c r="X917" s="58">
        <f>(31*0.1790888*245000/1000000)+(31*0.2374*100000/1000000)</f>
        <v>2.0961194359999999</v>
      </c>
      <c r="Y917" s="58"/>
      <c r="Z917" s="10"/>
      <c r="AA917" s="57"/>
      <c r="AB917" s="51">
        <f>(B917*194.205+C917*267.466+D917*133.845+E917*53.484+F917*40+G917*185+H917*0+I917*100+J917*300)/(194.205+267.466+133.845+53.484+0+40+185+100+300)</f>
        <v>33.164217864521191</v>
      </c>
      <c r="AC917" s="27">
        <f>(M917*'RAP TEMPLATE-GAS AVAILABILITY'!O916+N917*'RAP TEMPLATE-GAS AVAILABILITY'!P916+O917*'RAP TEMPLATE-GAS AVAILABILITY'!Q916+P917*'RAP TEMPLATE-GAS AVAILABILITY'!R916)/('RAP TEMPLATE-GAS AVAILABILITY'!O916+'RAP TEMPLATE-GAS AVAILABILITY'!P916+'RAP TEMPLATE-GAS AVAILABILITY'!Q916+'RAP TEMPLATE-GAS AVAILABILITY'!R916)</f>
        <v>32.901707194244601</v>
      </c>
    </row>
    <row r="918" spans="1:29" ht="15.75" x14ac:dyDescent="0.25">
      <c r="A918" s="13">
        <v>69214</v>
      </c>
      <c r="B918" s="10">
        <f>CHOOSE(CONTROL!$C$42, 34.0803, 34.0803) * CHOOSE(CONTROL!$C$21, $C$9, 100%, $E$9)</f>
        <v>34.080300000000001</v>
      </c>
      <c r="C918" s="10">
        <f>CHOOSE(CONTROL!$C$42, 34.0882, 34.0882) * CHOOSE(CONTROL!$C$21, $C$9, 100%, $E$9)</f>
        <v>34.088200000000001</v>
      </c>
      <c r="D918" s="10">
        <f>CHOOSE(CONTROL!$C$42, 34.2667, 34.2667) * CHOOSE(CONTROL!$C$21, $C$9, 100%, $E$9)</f>
        <v>34.2667</v>
      </c>
      <c r="E918" s="10">
        <f>CHOOSE(CONTROL!$C$42, 34.2979, 34.2979) * CHOOSE(CONTROL!$C$21, $C$9, 100%, $E$9)</f>
        <v>34.297899999999998</v>
      </c>
      <c r="F918" s="10">
        <f>CHOOSE(CONTROL!$C$42, 34.0667, 34.0667)*CHOOSE(CONTROL!$C$21, $C$9, 100%, $E$9)</f>
        <v>34.066699999999997</v>
      </c>
      <c r="G918" s="10">
        <f>CHOOSE(CONTROL!$C$42, 34.0849, 34.0849)*CHOOSE(CONTROL!$C$21, $C$9, 100%, $E$9)</f>
        <v>34.084899999999998</v>
      </c>
      <c r="H918" s="10">
        <f>CHOOSE(CONTROL!$C$42, 34.2865, 34.2865) * CHOOSE(CONTROL!$C$21, $C$9, 100%, $E$9)</f>
        <v>34.286499999999997</v>
      </c>
      <c r="I918" s="10">
        <f>CHOOSE(CONTROL!$C$42, 34.0571, 34.0571)* CHOOSE(CONTROL!$C$21, $C$9, 100%, $E$9)</f>
        <v>34.057099999999998</v>
      </c>
      <c r="J918" s="10">
        <f>CHOOSE(CONTROL!$C$42, 34.0597, 34.0597)* CHOOSE(CONTROL!$C$21, $C$9, 100%, $E$9)</f>
        <v>34.059699999999999</v>
      </c>
      <c r="K918" s="54">
        <f>CHOOSE(CONTROL!$C$42, 34.0532, 34.0532) * CHOOSE(CONTROL!$C$21, $C$9, 100%, $E$9)</f>
        <v>34.053199999999997</v>
      </c>
      <c r="L918" s="10">
        <f>CHOOSE(CONTROL!$C$42, 34.8735, 34.8735) * CHOOSE(CONTROL!$C$21, $C$9, 100%, $E$9)</f>
        <v>34.8735</v>
      </c>
      <c r="M918" s="10">
        <f>CHOOSE(CONTROL!$C$42, 33.7298, 33.7298) * CHOOSE(CONTROL!$C$21, $C$9, 100%, $E$9)</f>
        <v>33.729799999999997</v>
      </c>
      <c r="N918" s="10">
        <f>CHOOSE(CONTROL!$C$42, 33.7479, 33.7479) * CHOOSE(CONTROL!$C$21, $C$9, 100%, $E$9)</f>
        <v>33.747900000000001</v>
      </c>
      <c r="O918" s="10">
        <f>CHOOSE(CONTROL!$C$42, 33.9543, 33.9543) * CHOOSE(CONTROL!$C$21, $C$9, 100%, $E$9)</f>
        <v>33.954300000000003</v>
      </c>
      <c r="P918" s="10">
        <f>CHOOSE(CONTROL!$C$42, 33.7273, 33.7273) * CHOOSE(CONTROL!$C$21, $C$9, 100%, $E$9)</f>
        <v>33.7273</v>
      </c>
      <c r="Q918" s="10">
        <f>CHOOSE(CONTROL!$C$42, 34.5496, 34.5496) * CHOOSE(CONTROL!$C$21, $C$9, 100%, $E$9)</f>
        <v>34.549599999999998</v>
      </c>
      <c r="R918" s="10">
        <f>CHOOSE(CONTROL!$C$42, 35.223, 35.223) * CHOOSE(CONTROL!$C$21, $C$9, 100%, $E$9)</f>
        <v>35.222999999999999</v>
      </c>
      <c r="S918" s="10">
        <f>CHOOSE(CONTROL!$C$42, 33.0911, 33.0911) * CHOOSE(CONTROL!$C$21, $C$9, 100%, $E$9)</f>
        <v>33.091099999999997</v>
      </c>
      <c r="T918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18" s="58">
        <f>(1000*CHOOSE(CONTROL!$C$42, 695, 695)*CHOOSE(CONTROL!$C$42, 0.5599, 0.5599)*CHOOSE(CONTROL!$C$42, 30, 30))/1000000</f>
        <v>11.673914999999997</v>
      </c>
      <c r="V918" s="58">
        <f>(1000*CHOOSE(CONTROL!$C$42, 500, 500)*CHOOSE(CONTROL!$C$42, 0.275, 0.275)*CHOOSE(CONTROL!$C$42, 30, 30))/1000000</f>
        <v>4.125</v>
      </c>
      <c r="W918" s="58">
        <f>(1000*CHOOSE(CONTROL!$C$42, 0.1146, 0.1146)*CHOOSE(CONTROL!$C$42, 121.5, 121.5)*CHOOSE(CONTROL!$C$42, 30, 30))/1000000</f>
        <v>0.417717</v>
      </c>
      <c r="X918" s="58">
        <f>(30*0.1790888*245000/1000000)+(30*0.2374*100000/1000000)</f>
        <v>2.0285026799999999</v>
      </c>
      <c r="Y918" s="58"/>
      <c r="Z918" s="10"/>
      <c r="AA918" s="57"/>
      <c r="AB918" s="51">
        <f>(B918*194.205+C918*267.466+D918*133.845+E918*53.484+F918*40+G918*185+H918*0+I918*100+J918*300)/(194.205+267.466+133.845+53.484+0+40+185+100+300)</f>
        <v>34.104245689010995</v>
      </c>
      <c r="AC918" s="27">
        <f>(M918*'RAP TEMPLATE-GAS AVAILABILITY'!O917+N918*'RAP TEMPLATE-GAS AVAILABILITY'!P917+O918*'RAP TEMPLATE-GAS AVAILABILITY'!Q917+P918*'RAP TEMPLATE-GAS AVAILABILITY'!R917)/('RAP TEMPLATE-GAS AVAILABILITY'!O917+'RAP TEMPLATE-GAS AVAILABILITY'!P917+'RAP TEMPLATE-GAS AVAILABILITY'!Q917+'RAP TEMPLATE-GAS AVAILABILITY'!R917)</f>
        <v>33.832233812949639</v>
      </c>
    </row>
    <row r="919" spans="1:29" ht="15.75" x14ac:dyDescent="0.25">
      <c r="A919" s="13">
        <v>69245</v>
      </c>
      <c r="B919" s="10">
        <f>CHOOSE(CONTROL!$C$42, 33.4266, 33.4266) * CHOOSE(CONTROL!$C$21, $C$9, 100%, $E$9)</f>
        <v>33.426600000000001</v>
      </c>
      <c r="C919" s="10">
        <f>CHOOSE(CONTROL!$C$42, 33.4345, 33.4345) * CHOOSE(CONTROL!$C$21, $C$9, 100%, $E$9)</f>
        <v>33.4345</v>
      </c>
      <c r="D919" s="10">
        <f>CHOOSE(CONTROL!$C$42, 33.613, 33.613) * CHOOSE(CONTROL!$C$21, $C$9, 100%, $E$9)</f>
        <v>33.613</v>
      </c>
      <c r="E919" s="10">
        <f>CHOOSE(CONTROL!$C$42, 33.6441, 33.6441) * CHOOSE(CONTROL!$C$21, $C$9, 100%, $E$9)</f>
        <v>33.644100000000002</v>
      </c>
      <c r="F919" s="10">
        <f>CHOOSE(CONTROL!$C$42, 33.4133, 33.4133)*CHOOSE(CONTROL!$C$21, $C$9, 100%, $E$9)</f>
        <v>33.4133</v>
      </c>
      <c r="G919" s="10">
        <f>CHOOSE(CONTROL!$C$42, 33.4316, 33.4316)*CHOOSE(CONTROL!$C$21, $C$9, 100%, $E$9)</f>
        <v>33.431600000000003</v>
      </c>
      <c r="H919" s="10">
        <f>CHOOSE(CONTROL!$C$42, 33.6328, 33.6328) * CHOOSE(CONTROL!$C$21, $C$9, 100%, $E$9)</f>
        <v>33.632800000000003</v>
      </c>
      <c r="I919" s="10">
        <f>CHOOSE(CONTROL!$C$42, 33.4034, 33.4034)* CHOOSE(CONTROL!$C$21, $C$9, 100%, $E$9)</f>
        <v>33.403399999999998</v>
      </c>
      <c r="J919" s="10">
        <f>CHOOSE(CONTROL!$C$42, 33.4063, 33.4063)* CHOOSE(CONTROL!$C$21, $C$9, 100%, $E$9)</f>
        <v>33.406300000000002</v>
      </c>
      <c r="K919" s="54">
        <f>CHOOSE(CONTROL!$C$42, 33.3995, 33.3995) * CHOOSE(CONTROL!$C$21, $C$9, 100%, $E$9)</f>
        <v>33.399500000000003</v>
      </c>
      <c r="L919" s="10">
        <f>CHOOSE(CONTROL!$C$42, 34.2198, 34.2198) * CHOOSE(CONTROL!$C$21, $C$9, 100%, $E$9)</f>
        <v>34.219799999999999</v>
      </c>
      <c r="M919" s="10">
        <f>CHOOSE(CONTROL!$C$42, 33.083, 33.083) * CHOOSE(CONTROL!$C$21, $C$9, 100%, $E$9)</f>
        <v>33.082999999999998</v>
      </c>
      <c r="N919" s="10">
        <f>CHOOSE(CONTROL!$C$42, 33.1011, 33.1011) * CHOOSE(CONTROL!$C$21, $C$9, 100%, $E$9)</f>
        <v>33.101100000000002</v>
      </c>
      <c r="O919" s="10">
        <f>CHOOSE(CONTROL!$C$42, 33.3072, 33.3072) * CHOOSE(CONTROL!$C$21, $C$9, 100%, $E$9)</f>
        <v>33.307200000000002</v>
      </c>
      <c r="P919" s="10">
        <f>CHOOSE(CONTROL!$C$42, 33.0802, 33.0802) * CHOOSE(CONTROL!$C$21, $C$9, 100%, $E$9)</f>
        <v>33.080199999999998</v>
      </c>
      <c r="Q919" s="10">
        <f>CHOOSE(CONTROL!$C$42, 33.9025, 33.9025) * CHOOSE(CONTROL!$C$21, $C$9, 100%, $E$9)</f>
        <v>33.902500000000003</v>
      </c>
      <c r="R919" s="10">
        <f>CHOOSE(CONTROL!$C$42, 34.5742, 34.5742) * CHOOSE(CONTROL!$C$21, $C$9, 100%, $E$9)</f>
        <v>34.574199999999998</v>
      </c>
      <c r="S919" s="10">
        <f>CHOOSE(CONTROL!$C$42, 32.4563, 32.4563) * CHOOSE(CONTROL!$C$21, $C$9, 100%, $E$9)</f>
        <v>32.456299999999999</v>
      </c>
      <c r="T919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19" s="58">
        <f>(1000*CHOOSE(CONTROL!$C$42, 695, 695)*CHOOSE(CONTROL!$C$42, 0.5599, 0.5599)*CHOOSE(CONTROL!$C$42, 31, 31))/1000000</f>
        <v>12.063045499999998</v>
      </c>
      <c r="V919" s="58">
        <f>(1000*CHOOSE(CONTROL!$C$42, 500, 500)*CHOOSE(CONTROL!$C$42, 0.275, 0.275)*CHOOSE(CONTROL!$C$42, 31, 31))/1000000</f>
        <v>4.2625000000000002</v>
      </c>
      <c r="W919" s="58">
        <f>(1000*CHOOSE(CONTROL!$C$42, 0.1146, 0.1146)*CHOOSE(CONTROL!$C$42, 121.5, 121.5)*CHOOSE(CONTROL!$C$42, 31, 31))/1000000</f>
        <v>0.43164089999999994</v>
      </c>
      <c r="X919" s="58">
        <f>(31*0.1790888*245000/1000000)+(31*0.2374*100000/1000000)</f>
        <v>2.0961194359999999</v>
      </c>
      <c r="Y919" s="58"/>
      <c r="Z919" s="10"/>
      <c r="AA919" s="57"/>
      <c r="AB919" s="51">
        <f>(B919*194.205+C919*267.466+D919*133.845+E919*53.484+F919*40+G919*185+H919*0+I919*100+J919*300)/(194.205+267.466+133.845+53.484+0+40+185+100+300)</f>
        <v>33.450679638461544</v>
      </c>
      <c r="AC919" s="27">
        <f>(M919*'RAP TEMPLATE-GAS AVAILABILITY'!O918+N919*'RAP TEMPLATE-GAS AVAILABILITY'!P918+O919*'RAP TEMPLATE-GAS AVAILABILITY'!Q918+P919*'RAP TEMPLATE-GAS AVAILABILITY'!R918)/('RAP TEMPLATE-GAS AVAILABILITY'!O918+'RAP TEMPLATE-GAS AVAILABILITY'!P918+'RAP TEMPLATE-GAS AVAILABILITY'!Q918+'RAP TEMPLATE-GAS AVAILABILITY'!R918)</f>
        <v>33.185254676258992</v>
      </c>
    </row>
    <row r="920" spans="1:29" ht="15.75" x14ac:dyDescent="0.25">
      <c r="A920" s="13">
        <v>69276</v>
      </c>
      <c r="B920" s="10">
        <f>CHOOSE(CONTROL!$C$42, 31.7757, 31.7757) * CHOOSE(CONTROL!$C$21, $C$9, 100%, $E$9)</f>
        <v>31.775700000000001</v>
      </c>
      <c r="C920" s="10">
        <f>CHOOSE(CONTROL!$C$42, 31.7836, 31.7836) * CHOOSE(CONTROL!$C$21, $C$9, 100%, $E$9)</f>
        <v>31.7836</v>
      </c>
      <c r="D920" s="10">
        <f>CHOOSE(CONTROL!$C$42, 31.9622, 31.9622) * CHOOSE(CONTROL!$C$21, $C$9, 100%, $E$9)</f>
        <v>31.962199999999999</v>
      </c>
      <c r="E920" s="10">
        <f>CHOOSE(CONTROL!$C$42, 31.9933, 31.9933) * CHOOSE(CONTROL!$C$21, $C$9, 100%, $E$9)</f>
        <v>31.993300000000001</v>
      </c>
      <c r="F920" s="10">
        <f>CHOOSE(CONTROL!$C$42, 31.7624, 31.7624)*CHOOSE(CONTROL!$C$21, $C$9, 100%, $E$9)</f>
        <v>31.7624</v>
      </c>
      <c r="G920" s="10">
        <f>CHOOSE(CONTROL!$C$42, 31.7807, 31.7807)*CHOOSE(CONTROL!$C$21, $C$9, 100%, $E$9)</f>
        <v>31.7807</v>
      </c>
      <c r="H920" s="10">
        <f>CHOOSE(CONTROL!$C$42, 31.9819, 31.9819) * CHOOSE(CONTROL!$C$21, $C$9, 100%, $E$9)</f>
        <v>31.9819</v>
      </c>
      <c r="I920" s="10">
        <f>CHOOSE(CONTROL!$C$42, 31.7526, 31.7526)* CHOOSE(CONTROL!$C$21, $C$9, 100%, $E$9)</f>
        <v>31.752600000000001</v>
      </c>
      <c r="J920" s="10">
        <f>CHOOSE(CONTROL!$C$42, 31.7554, 31.7554)* CHOOSE(CONTROL!$C$21, $C$9, 100%, $E$9)</f>
        <v>31.755400000000002</v>
      </c>
      <c r="K920" s="54">
        <f>CHOOSE(CONTROL!$C$42, 31.7487, 31.7487) * CHOOSE(CONTROL!$C$21, $C$9, 100%, $E$9)</f>
        <v>31.748699999999999</v>
      </c>
      <c r="L920" s="10">
        <f>CHOOSE(CONTROL!$C$42, 32.5689, 32.5689) * CHOOSE(CONTROL!$C$21, $C$9, 100%, $E$9)</f>
        <v>32.568899999999999</v>
      </c>
      <c r="M920" s="10">
        <f>CHOOSE(CONTROL!$C$42, 31.4487, 31.4487) * CHOOSE(CONTROL!$C$21, $C$9, 100%, $E$9)</f>
        <v>31.448699999999999</v>
      </c>
      <c r="N920" s="10">
        <f>CHOOSE(CONTROL!$C$42, 31.4668, 31.4668) * CHOOSE(CONTROL!$C$21, $C$9, 100%, $E$9)</f>
        <v>31.466799999999999</v>
      </c>
      <c r="O920" s="10">
        <f>CHOOSE(CONTROL!$C$42, 31.673, 31.673) * CHOOSE(CONTROL!$C$21, $C$9, 100%, $E$9)</f>
        <v>31.672999999999998</v>
      </c>
      <c r="P920" s="10">
        <f>CHOOSE(CONTROL!$C$42, 31.446, 31.446) * CHOOSE(CONTROL!$C$21, $C$9, 100%, $E$9)</f>
        <v>31.446000000000002</v>
      </c>
      <c r="Q920" s="10">
        <f>CHOOSE(CONTROL!$C$42, 32.2683, 32.2683) * CHOOSE(CONTROL!$C$21, $C$9, 100%, $E$9)</f>
        <v>32.268300000000004</v>
      </c>
      <c r="R920" s="10">
        <f>CHOOSE(CONTROL!$C$42, 32.936, 32.936) * CHOOSE(CONTROL!$C$21, $C$9, 100%, $E$9)</f>
        <v>32.936</v>
      </c>
      <c r="S920" s="10">
        <f>CHOOSE(CONTROL!$C$42, 30.8531, 30.8531) * CHOOSE(CONTROL!$C$21, $C$9, 100%, $E$9)</f>
        <v>30.853100000000001</v>
      </c>
      <c r="T920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20" s="58">
        <f>(1000*CHOOSE(CONTROL!$C$42, 695, 695)*CHOOSE(CONTROL!$C$42, 0.5599, 0.5599)*CHOOSE(CONTROL!$C$42, 31, 31))/1000000</f>
        <v>12.063045499999998</v>
      </c>
      <c r="V920" s="58">
        <f>(1000*CHOOSE(CONTROL!$C$42, 500, 500)*CHOOSE(CONTROL!$C$42, 0.275, 0.275)*CHOOSE(CONTROL!$C$42, 31, 31))/1000000</f>
        <v>4.2625000000000002</v>
      </c>
      <c r="W920" s="58">
        <f>(1000*CHOOSE(CONTROL!$C$42, 0.1146, 0.1146)*CHOOSE(CONTROL!$C$42, 121.5, 121.5)*CHOOSE(CONTROL!$C$42, 31, 31))/1000000</f>
        <v>0.43164089999999994</v>
      </c>
      <c r="X920" s="58">
        <f>(31*0.1790888*245000/1000000)+(31*0.2374*100000/1000000)</f>
        <v>2.0961194359999999</v>
      </c>
      <c r="Y920" s="58"/>
      <c r="Z920" s="10"/>
      <c r="AA920" s="57"/>
      <c r="AB920" s="51">
        <f>(B920*194.205+C920*267.466+D920*133.845+E920*53.484+F920*40+G920*185+H920*0+I920*100+J920*300)/(194.205+267.466+133.845+53.484+0+40+185+100+300)</f>
        <v>31.799802191758246</v>
      </c>
      <c r="AC920" s="27">
        <f>(M920*'RAP TEMPLATE-GAS AVAILABILITY'!O919+N920*'RAP TEMPLATE-GAS AVAILABILITY'!P919+O920*'RAP TEMPLATE-GAS AVAILABILITY'!Q919+P920*'RAP TEMPLATE-GAS AVAILABILITY'!R919)/('RAP TEMPLATE-GAS AVAILABILITY'!O919+'RAP TEMPLATE-GAS AVAILABILITY'!P919+'RAP TEMPLATE-GAS AVAILABILITY'!Q919+'RAP TEMPLATE-GAS AVAILABILITY'!R919)</f>
        <v>31.551014388489211</v>
      </c>
    </row>
    <row r="921" spans="1:29" ht="15.75" x14ac:dyDescent="0.25">
      <c r="A921" s="13">
        <v>69306</v>
      </c>
      <c r="B921" s="10">
        <f>CHOOSE(CONTROL!$C$42, 29.7587, 29.7587) * CHOOSE(CONTROL!$C$21, $C$9, 100%, $E$9)</f>
        <v>29.758700000000001</v>
      </c>
      <c r="C921" s="10">
        <f>CHOOSE(CONTROL!$C$42, 29.7666, 29.7666) * CHOOSE(CONTROL!$C$21, $C$9, 100%, $E$9)</f>
        <v>29.7666</v>
      </c>
      <c r="D921" s="10">
        <f>CHOOSE(CONTROL!$C$42, 29.9451, 29.9451) * CHOOSE(CONTROL!$C$21, $C$9, 100%, $E$9)</f>
        <v>29.9451</v>
      </c>
      <c r="E921" s="10">
        <f>CHOOSE(CONTROL!$C$42, 29.9763, 29.9763) * CHOOSE(CONTROL!$C$21, $C$9, 100%, $E$9)</f>
        <v>29.976299999999998</v>
      </c>
      <c r="F921" s="10">
        <f>CHOOSE(CONTROL!$C$42, 29.7451, 29.7451)*CHOOSE(CONTROL!$C$21, $C$9, 100%, $E$9)</f>
        <v>29.745100000000001</v>
      </c>
      <c r="G921" s="10">
        <f>CHOOSE(CONTROL!$C$42, 29.7633, 29.7633)*CHOOSE(CONTROL!$C$21, $C$9, 100%, $E$9)</f>
        <v>29.763300000000001</v>
      </c>
      <c r="H921" s="10">
        <f>CHOOSE(CONTROL!$C$42, 29.9649, 29.9649) * CHOOSE(CONTROL!$C$21, $C$9, 100%, $E$9)</f>
        <v>29.9649</v>
      </c>
      <c r="I921" s="10">
        <f>CHOOSE(CONTROL!$C$42, 29.7356, 29.7356)* CHOOSE(CONTROL!$C$21, $C$9, 100%, $E$9)</f>
        <v>29.735600000000002</v>
      </c>
      <c r="J921" s="10">
        <f>CHOOSE(CONTROL!$C$42, 29.7381, 29.7381)* CHOOSE(CONTROL!$C$21, $C$9, 100%, $E$9)</f>
        <v>29.738099999999999</v>
      </c>
      <c r="K921" s="54">
        <f>CHOOSE(CONTROL!$C$42, 29.7317, 29.7317) * CHOOSE(CONTROL!$C$21, $C$9, 100%, $E$9)</f>
        <v>29.7317</v>
      </c>
      <c r="L921" s="10">
        <f>CHOOSE(CONTROL!$C$42, 30.5519, 30.5519) * CHOOSE(CONTROL!$C$21, $C$9, 100%, $E$9)</f>
        <v>30.5519</v>
      </c>
      <c r="M921" s="10">
        <f>CHOOSE(CONTROL!$C$42, 29.4518, 29.4518) * CHOOSE(CONTROL!$C$21, $C$9, 100%, $E$9)</f>
        <v>29.451799999999999</v>
      </c>
      <c r="N921" s="10">
        <f>CHOOSE(CONTROL!$C$42, 29.4698, 29.4698) * CHOOSE(CONTROL!$C$21, $C$9, 100%, $E$9)</f>
        <v>29.469799999999999</v>
      </c>
      <c r="O921" s="10">
        <f>CHOOSE(CONTROL!$C$42, 29.6763, 29.6763) * CHOOSE(CONTROL!$C$21, $C$9, 100%, $E$9)</f>
        <v>29.676300000000001</v>
      </c>
      <c r="P921" s="10">
        <f>CHOOSE(CONTROL!$C$42, 29.4493, 29.4493) * CHOOSE(CONTROL!$C$21, $C$9, 100%, $E$9)</f>
        <v>29.449300000000001</v>
      </c>
      <c r="Q921" s="10">
        <f>CHOOSE(CONTROL!$C$42, 30.2716, 30.2716) * CHOOSE(CONTROL!$C$21, $C$9, 100%, $E$9)</f>
        <v>30.271599999999999</v>
      </c>
      <c r="R921" s="10">
        <f>CHOOSE(CONTROL!$C$42, 30.9343, 30.9343) * CHOOSE(CONTROL!$C$21, $C$9, 100%, $E$9)</f>
        <v>30.9343</v>
      </c>
      <c r="S921" s="10">
        <f>CHOOSE(CONTROL!$C$42, 28.8944, 28.8944) * CHOOSE(CONTROL!$C$21, $C$9, 100%, $E$9)</f>
        <v>28.894400000000001</v>
      </c>
      <c r="T921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21" s="58">
        <f>(1000*CHOOSE(CONTROL!$C$42, 695, 695)*CHOOSE(CONTROL!$C$42, 0.5599, 0.5599)*CHOOSE(CONTROL!$C$42, 30, 30))/1000000</f>
        <v>11.673914999999997</v>
      </c>
      <c r="V921" s="58">
        <f>(1000*CHOOSE(CONTROL!$C$42, 500, 500)*CHOOSE(CONTROL!$C$42, 0.275, 0.275)*CHOOSE(CONTROL!$C$42, 30, 30))/1000000</f>
        <v>4.125</v>
      </c>
      <c r="W921" s="58">
        <f>(1000*CHOOSE(CONTROL!$C$42, 0.1146, 0.1146)*CHOOSE(CONTROL!$C$42, 121.5, 121.5)*CHOOSE(CONTROL!$C$42, 30, 30))/1000000</f>
        <v>0.417717</v>
      </c>
      <c r="X921" s="58">
        <f>(30*0.1790888*245000/1000000)+(30*0.2374*100000/1000000)</f>
        <v>2.0285026799999999</v>
      </c>
      <c r="Y921" s="58"/>
      <c r="Z921" s="10"/>
      <c r="AA921" s="57"/>
      <c r="AB921" s="51">
        <f>(B921*194.205+C921*267.466+D921*133.845+E921*53.484+F921*40+G921*185+H921*0+I921*100+J921*300)/(194.205+267.466+133.845+53.484+0+40+185+100+300)</f>
        <v>29.782653538304558</v>
      </c>
      <c r="AC921" s="27">
        <f>(M921*'RAP TEMPLATE-GAS AVAILABILITY'!O920+N921*'RAP TEMPLATE-GAS AVAILABILITY'!P920+O921*'RAP TEMPLATE-GAS AVAILABILITY'!Q920+P921*'RAP TEMPLATE-GAS AVAILABILITY'!R920)/('RAP TEMPLATE-GAS AVAILABILITY'!O920+'RAP TEMPLATE-GAS AVAILABILITY'!P920+'RAP TEMPLATE-GAS AVAILABILITY'!Q920+'RAP TEMPLATE-GAS AVAILABILITY'!R920)</f>
        <v>29.554228057553956</v>
      </c>
    </row>
    <row r="922" spans="1:29" ht="15.75" x14ac:dyDescent="0.25">
      <c r="A922" s="13">
        <v>69337</v>
      </c>
      <c r="B922" s="10">
        <f>CHOOSE(CONTROL!$C$42, 29.1524, 29.1524) * CHOOSE(CONTROL!$C$21, $C$9, 100%, $E$9)</f>
        <v>29.1524</v>
      </c>
      <c r="C922" s="10">
        <f>CHOOSE(CONTROL!$C$42, 29.1576, 29.1576) * CHOOSE(CONTROL!$C$21, $C$9, 100%, $E$9)</f>
        <v>29.157599999999999</v>
      </c>
      <c r="D922" s="10">
        <f>CHOOSE(CONTROL!$C$42, 29.3411, 29.3411) * CHOOSE(CONTROL!$C$21, $C$9, 100%, $E$9)</f>
        <v>29.341100000000001</v>
      </c>
      <c r="E922" s="10">
        <f>CHOOSE(CONTROL!$C$42, 29.3699, 29.3699) * CHOOSE(CONTROL!$C$21, $C$9, 100%, $E$9)</f>
        <v>29.369900000000001</v>
      </c>
      <c r="F922" s="10">
        <f>CHOOSE(CONTROL!$C$42, 29.1408, 29.1408)*CHOOSE(CONTROL!$C$21, $C$9, 100%, $E$9)</f>
        <v>29.140799999999999</v>
      </c>
      <c r="G922" s="10">
        <f>CHOOSE(CONTROL!$C$42, 29.1586, 29.1586)*CHOOSE(CONTROL!$C$21, $C$9, 100%, $E$9)</f>
        <v>29.1586</v>
      </c>
      <c r="H922" s="10">
        <f>CHOOSE(CONTROL!$C$42, 29.3604, 29.3604) * CHOOSE(CONTROL!$C$21, $C$9, 100%, $E$9)</f>
        <v>29.360399999999998</v>
      </c>
      <c r="I922" s="10">
        <f>CHOOSE(CONTROL!$C$42, 29.1311, 29.1311)* CHOOSE(CONTROL!$C$21, $C$9, 100%, $E$9)</f>
        <v>29.1311</v>
      </c>
      <c r="J922" s="10">
        <f>CHOOSE(CONTROL!$C$42, 29.1338, 29.1338)* CHOOSE(CONTROL!$C$21, $C$9, 100%, $E$9)</f>
        <v>29.133800000000001</v>
      </c>
      <c r="K922" s="54">
        <f>CHOOSE(CONTROL!$C$42, 29.1272, 29.1272) * CHOOSE(CONTROL!$C$21, $C$9, 100%, $E$9)</f>
        <v>29.127199999999998</v>
      </c>
      <c r="L922" s="10">
        <f>CHOOSE(CONTROL!$C$42, 29.9474, 29.9474) * CHOOSE(CONTROL!$C$21, $C$9, 100%, $E$9)</f>
        <v>29.947399999999998</v>
      </c>
      <c r="M922" s="10">
        <f>CHOOSE(CONTROL!$C$42, 28.8536, 28.8536) * CHOOSE(CONTROL!$C$21, $C$9, 100%, $E$9)</f>
        <v>28.8536</v>
      </c>
      <c r="N922" s="10">
        <f>CHOOSE(CONTROL!$C$42, 28.8713, 28.8713) * CHOOSE(CONTROL!$C$21, $C$9, 100%, $E$9)</f>
        <v>28.871300000000002</v>
      </c>
      <c r="O922" s="10">
        <f>CHOOSE(CONTROL!$C$42, 29.0779, 29.0779) * CHOOSE(CONTROL!$C$21, $C$9, 100%, $E$9)</f>
        <v>29.0779</v>
      </c>
      <c r="P922" s="10">
        <f>CHOOSE(CONTROL!$C$42, 28.8509, 28.8509) * CHOOSE(CONTROL!$C$21, $C$9, 100%, $E$9)</f>
        <v>28.850899999999999</v>
      </c>
      <c r="Q922" s="10">
        <f>CHOOSE(CONTROL!$C$42, 29.6732, 29.6732) * CHOOSE(CONTROL!$C$21, $C$9, 100%, $E$9)</f>
        <v>29.673200000000001</v>
      </c>
      <c r="R922" s="10">
        <f>CHOOSE(CONTROL!$C$42, 30.3344, 30.3344) * CHOOSE(CONTROL!$C$21, $C$9, 100%, $E$9)</f>
        <v>30.334399999999999</v>
      </c>
      <c r="S922" s="10">
        <f>CHOOSE(CONTROL!$C$42, 28.3074, 28.3074) * CHOOSE(CONTROL!$C$21, $C$9, 100%, $E$9)</f>
        <v>28.307400000000001</v>
      </c>
      <c r="T922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22" s="58">
        <f>(1000*CHOOSE(CONTROL!$C$42, 695, 695)*CHOOSE(CONTROL!$C$42, 0.5599, 0.5599)*CHOOSE(CONTROL!$C$42, 31, 31))/1000000</f>
        <v>12.063045499999998</v>
      </c>
      <c r="V922" s="58">
        <f>(1000*CHOOSE(CONTROL!$C$42, 500, 500)*CHOOSE(CONTROL!$C$42, 0.275, 0.275)*CHOOSE(CONTROL!$C$42, 31, 31))/1000000</f>
        <v>4.2625000000000002</v>
      </c>
      <c r="W922" s="58">
        <f>(1000*CHOOSE(CONTROL!$C$42, 0.1146, 0.1146)*CHOOSE(CONTROL!$C$42, 121.5, 121.5)*CHOOSE(CONTROL!$C$42, 31, 31))/1000000</f>
        <v>0.43164089999999994</v>
      </c>
      <c r="X922" s="58">
        <f>(31*0.1790888*245000/1000000)+(31*0.2374*100000/1000000)</f>
        <v>2.0961194359999999</v>
      </c>
      <c r="Y922" s="58"/>
      <c r="Z922" s="10"/>
      <c r="AA922" s="57"/>
      <c r="AB922" s="51">
        <f>(B922*131.881+C922*277.167+D922*79.08+E922*125.872+F922*40+G922*185+H922*0+I922*100+J922*300)/(131.881+277.167+79.08+125.872+0+40+185+100+300)</f>
        <v>29.182031819531879</v>
      </c>
      <c r="AC922" s="27">
        <f>(M922*'RAP TEMPLATE-GAS AVAILABILITY'!O921+N922*'RAP TEMPLATE-GAS AVAILABILITY'!P921+O922*'RAP TEMPLATE-GAS AVAILABILITY'!Q921+P922*'RAP TEMPLATE-GAS AVAILABILITY'!R921)/('RAP TEMPLATE-GAS AVAILABILITY'!O921+'RAP TEMPLATE-GAS AVAILABILITY'!P921+'RAP TEMPLATE-GAS AVAILABILITY'!Q921+'RAP TEMPLATE-GAS AVAILABILITY'!R921)</f>
        <v>28.955891366906474</v>
      </c>
    </row>
    <row r="923" spans="1:29" ht="15.75" x14ac:dyDescent="0.25">
      <c r="A923" s="13">
        <v>69367</v>
      </c>
      <c r="B923" s="10">
        <f>CHOOSE(CONTROL!$C$42, 29.9199, 29.9199) * CHOOSE(CONTROL!$C$21, $C$9, 100%, $E$9)</f>
        <v>29.919899999999998</v>
      </c>
      <c r="C923" s="10">
        <f>CHOOSE(CONTROL!$C$42, 29.9249, 29.9249) * CHOOSE(CONTROL!$C$21, $C$9, 100%, $E$9)</f>
        <v>29.924900000000001</v>
      </c>
      <c r="D923" s="10">
        <f>CHOOSE(CONTROL!$C$42, 29.9545, 29.9545) * CHOOSE(CONTROL!$C$21, $C$9, 100%, $E$9)</f>
        <v>29.954499999999999</v>
      </c>
      <c r="E923" s="10">
        <f>CHOOSE(CONTROL!$C$42, 29.9883, 29.9883) * CHOOSE(CONTROL!$C$21, $C$9, 100%, $E$9)</f>
        <v>29.988299999999999</v>
      </c>
      <c r="F923" s="10">
        <f>CHOOSE(CONTROL!$C$42, 29.9057, 29.9057)*CHOOSE(CONTROL!$C$21, $C$9, 100%, $E$9)</f>
        <v>29.9057</v>
      </c>
      <c r="G923" s="10">
        <f>CHOOSE(CONTROL!$C$42, 29.9237, 29.9237)*CHOOSE(CONTROL!$C$21, $C$9, 100%, $E$9)</f>
        <v>29.9237</v>
      </c>
      <c r="H923" s="10">
        <f>CHOOSE(CONTROL!$C$42, 29.9775, 29.9775) * CHOOSE(CONTROL!$C$21, $C$9, 100%, $E$9)</f>
        <v>29.977499999999999</v>
      </c>
      <c r="I923" s="10">
        <f>CHOOSE(CONTROL!$C$42, 29.8861, 29.8861)* CHOOSE(CONTROL!$C$21, $C$9, 100%, $E$9)</f>
        <v>29.886099999999999</v>
      </c>
      <c r="J923" s="10">
        <f>CHOOSE(CONTROL!$C$42, 29.8987, 29.8987)* CHOOSE(CONTROL!$C$21, $C$9, 100%, $E$9)</f>
        <v>29.898700000000002</v>
      </c>
      <c r="K923" s="54">
        <f>CHOOSE(CONTROL!$C$42, 29.8822, 29.8822) * CHOOSE(CONTROL!$C$21, $C$9, 100%, $E$9)</f>
        <v>29.882200000000001</v>
      </c>
      <c r="L923" s="10">
        <f>CHOOSE(CONTROL!$C$42, 30.5645, 30.5645) * CHOOSE(CONTROL!$C$21, $C$9, 100%, $E$9)</f>
        <v>30.564499999999999</v>
      </c>
      <c r="M923" s="10">
        <f>CHOOSE(CONTROL!$C$42, 29.6108, 29.6108) * CHOOSE(CONTROL!$C$21, $C$9, 100%, $E$9)</f>
        <v>29.610800000000001</v>
      </c>
      <c r="N923" s="10">
        <f>CHOOSE(CONTROL!$C$42, 29.6287, 29.6287) * CHOOSE(CONTROL!$C$21, $C$9, 100%, $E$9)</f>
        <v>29.628699999999998</v>
      </c>
      <c r="O923" s="10">
        <f>CHOOSE(CONTROL!$C$42, 29.6888, 29.6888) * CHOOSE(CONTROL!$C$21, $C$9, 100%, $E$9)</f>
        <v>29.688800000000001</v>
      </c>
      <c r="P923" s="10">
        <f>CHOOSE(CONTROL!$C$42, 29.5984, 29.5984) * CHOOSE(CONTROL!$C$21, $C$9, 100%, $E$9)</f>
        <v>29.598400000000002</v>
      </c>
      <c r="Q923" s="10">
        <f>CHOOSE(CONTROL!$C$42, 30.2841, 30.2841) * CHOOSE(CONTROL!$C$21, $C$9, 100%, $E$9)</f>
        <v>30.284099999999999</v>
      </c>
      <c r="R923" s="10">
        <f>CHOOSE(CONTROL!$C$42, 30.9468, 30.9468) * CHOOSE(CONTROL!$C$21, $C$9, 100%, $E$9)</f>
        <v>30.9468</v>
      </c>
      <c r="S923" s="10">
        <f>CHOOSE(CONTROL!$C$42, 29.0531, 29.0531) * CHOOSE(CONTROL!$C$21, $C$9, 100%, $E$9)</f>
        <v>29.053100000000001</v>
      </c>
      <c r="T923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23" s="58">
        <f>(1000*CHOOSE(CONTROL!$C$42, 695, 695)*CHOOSE(CONTROL!$C$42, 0.5599, 0.5599)*CHOOSE(CONTROL!$C$42, 30, 30))/1000000</f>
        <v>11.673914999999997</v>
      </c>
      <c r="V923" s="58">
        <f>(1000*CHOOSE(CONTROL!$C$42, 500, 500)*CHOOSE(CONTROL!$C$42, 0.275, 0.275)*CHOOSE(CONTROL!$C$42, 30, 30))/1000000</f>
        <v>4.125</v>
      </c>
      <c r="W923" s="58">
        <f>(1000*CHOOSE(CONTROL!$C$42, 0.1146, 0.1146)*CHOOSE(CONTROL!$C$42, 121.5, 121.5)*CHOOSE(CONTROL!$C$42, 30, 30))/1000000</f>
        <v>0.417717</v>
      </c>
      <c r="X923" s="58">
        <f>(30*0.1790888*100000/1000000)+(30*0.2374*100000/1000000)</f>
        <v>1.2494664</v>
      </c>
      <c r="Y923" s="58"/>
      <c r="Z923" s="10"/>
      <c r="AA923" s="57"/>
      <c r="AB923" s="51">
        <f>(B923*122.58+C923*297.941+D923*89.177+E923*40.302+F923*40+G923*160+H923*0+I923*100+J923*300)/(122.58+297.941+89.177+40.302+0+40+160+100+300)</f>
        <v>29.917840770434779</v>
      </c>
      <c r="AC923" s="27">
        <f>(M923*'RAP TEMPLATE-GAS AVAILABILITY'!O922+N923*'RAP TEMPLATE-GAS AVAILABILITY'!P922+O923*'RAP TEMPLATE-GAS AVAILABILITY'!Q922+P923*'RAP TEMPLATE-GAS AVAILABILITY'!R922)/('RAP TEMPLATE-GAS AVAILABILITY'!O922+'RAP TEMPLATE-GAS AVAILABILITY'!P922+'RAP TEMPLATE-GAS AVAILABILITY'!Q922+'RAP TEMPLATE-GAS AVAILABILITY'!R922)</f>
        <v>29.64539856115108</v>
      </c>
    </row>
    <row r="924" spans="1:29" ht="15.75" x14ac:dyDescent="0.25">
      <c r="A924" s="13">
        <v>69398</v>
      </c>
      <c r="B924" s="10">
        <f>CHOOSE(CONTROL!$C$42, 31.9597, 31.9597) * CHOOSE(CONTROL!$C$21, $C$9, 100%, $E$9)</f>
        <v>31.959700000000002</v>
      </c>
      <c r="C924" s="10">
        <f>CHOOSE(CONTROL!$C$42, 31.9646, 31.9646) * CHOOSE(CONTROL!$C$21, $C$9, 100%, $E$9)</f>
        <v>31.964600000000001</v>
      </c>
      <c r="D924" s="10">
        <f>CHOOSE(CONTROL!$C$42, 31.9942, 31.9942) * CHOOSE(CONTROL!$C$21, $C$9, 100%, $E$9)</f>
        <v>31.994199999999999</v>
      </c>
      <c r="E924" s="10">
        <f>CHOOSE(CONTROL!$C$42, 32.028, 32.028) * CHOOSE(CONTROL!$C$21, $C$9, 100%, $E$9)</f>
        <v>32.027999999999999</v>
      </c>
      <c r="F924" s="10">
        <f>CHOOSE(CONTROL!$C$42, 31.947, 31.947)*CHOOSE(CONTROL!$C$21, $C$9, 100%, $E$9)</f>
        <v>31.946999999999999</v>
      </c>
      <c r="G924" s="10">
        <f>CHOOSE(CONTROL!$C$42, 31.9654, 31.9654)*CHOOSE(CONTROL!$C$21, $C$9, 100%, $E$9)</f>
        <v>31.965399999999999</v>
      </c>
      <c r="H924" s="10">
        <f>CHOOSE(CONTROL!$C$42, 32.0172, 32.0172) * CHOOSE(CONTROL!$C$21, $C$9, 100%, $E$9)</f>
        <v>32.017200000000003</v>
      </c>
      <c r="I924" s="10">
        <f>CHOOSE(CONTROL!$C$42, 31.9258, 31.9258)* CHOOSE(CONTROL!$C$21, $C$9, 100%, $E$9)</f>
        <v>31.925799999999999</v>
      </c>
      <c r="J924" s="10">
        <f>CHOOSE(CONTROL!$C$42, 31.94, 31.94)* CHOOSE(CONTROL!$C$21, $C$9, 100%, $E$9)</f>
        <v>31.94</v>
      </c>
      <c r="K924" s="54">
        <f>CHOOSE(CONTROL!$C$42, 31.9219, 31.9219) * CHOOSE(CONTROL!$C$21, $C$9, 100%, $E$9)</f>
        <v>31.921900000000001</v>
      </c>
      <c r="L924" s="10">
        <f>CHOOSE(CONTROL!$C$42, 32.6042, 32.6042) * CHOOSE(CONTROL!$C$21, $C$9, 100%, $E$9)</f>
        <v>32.604199999999999</v>
      </c>
      <c r="M924" s="10">
        <f>CHOOSE(CONTROL!$C$42, 31.6315, 31.6315) * CHOOSE(CONTROL!$C$21, $C$9, 100%, $E$9)</f>
        <v>31.631499999999999</v>
      </c>
      <c r="N924" s="10">
        <f>CHOOSE(CONTROL!$C$42, 31.6497, 31.6497) * CHOOSE(CONTROL!$C$21, $C$9, 100%, $E$9)</f>
        <v>31.649699999999999</v>
      </c>
      <c r="O924" s="10">
        <f>CHOOSE(CONTROL!$C$42, 31.7079, 31.7079) * CHOOSE(CONTROL!$C$21, $C$9, 100%, $E$9)</f>
        <v>31.707899999999999</v>
      </c>
      <c r="P924" s="10">
        <f>CHOOSE(CONTROL!$C$42, 31.6175, 31.6175) * CHOOSE(CONTROL!$C$21, $C$9, 100%, $E$9)</f>
        <v>31.6175</v>
      </c>
      <c r="Q924" s="10">
        <f>CHOOSE(CONTROL!$C$42, 32.3032, 32.3032) * CHOOSE(CONTROL!$C$21, $C$9, 100%, $E$9)</f>
        <v>32.303199999999997</v>
      </c>
      <c r="R924" s="10">
        <f>CHOOSE(CONTROL!$C$42, 32.971, 32.971) * CHOOSE(CONTROL!$C$21, $C$9, 100%, $E$9)</f>
        <v>32.970999999999997</v>
      </c>
      <c r="S924" s="10">
        <f>CHOOSE(CONTROL!$C$42, 31.0339, 31.0339) * CHOOSE(CONTROL!$C$21, $C$9, 100%, $E$9)</f>
        <v>31.033899999999999</v>
      </c>
      <c r="T924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24" s="58">
        <f>(1000*CHOOSE(CONTROL!$C$42, 695, 695)*CHOOSE(CONTROL!$C$42, 0.5599, 0.5599)*CHOOSE(CONTROL!$C$42, 31, 31))/1000000</f>
        <v>12.063045499999998</v>
      </c>
      <c r="V924" s="58">
        <f>(1000*CHOOSE(CONTROL!$C$42, 500, 500)*CHOOSE(CONTROL!$C$42, 0.275, 0.275)*CHOOSE(CONTROL!$C$42, 31, 31))/1000000</f>
        <v>4.2625000000000002</v>
      </c>
      <c r="W924" s="58">
        <f>(1000*CHOOSE(CONTROL!$C$42, 0.1146, 0.1146)*CHOOSE(CONTROL!$C$42, 121.5, 121.5)*CHOOSE(CONTROL!$C$42, 31, 31))/1000000</f>
        <v>0.43164089999999994</v>
      </c>
      <c r="X924" s="58">
        <f>(31*0.1790888*100000/1000000)+(31*0.2374*100000/1000000)</f>
        <v>1.2911152800000001</v>
      </c>
      <c r="Y924" s="58"/>
      <c r="Z924" s="10"/>
      <c r="AA924" s="57"/>
      <c r="AB924" s="51">
        <f>(B924*122.58+C924*297.941+D924*89.177+E924*40.302+F924*40+G924*160+H924*0+I924*100+J924*300)/(122.58+297.941+89.177+40.302+0+40+160+100+300)</f>
        <v>31.958302733913044</v>
      </c>
      <c r="AC924" s="27">
        <f>(M924*'RAP TEMPLATE-GAS AVAILABILITY'!O923+N924*'RAP TEMPLATE-GAS AVAILABILITY'!P923+O924*'RAP TEMPLATE-GAS AVAILABILITY'!Q923+P924*'RAP TEMPLATE-GAS AVAILABILITY'!R923)/('RAP TEMPLATE-GAS AVAILABILITY'!O923+'RAP TEMPLATE-GAS AVAILABILITY'!P923+'RAP TEMPLATE-GAS AVAILABILITY'!Q923+'RAP TEMPLATE-GAS AVAILABILITY'!R923)</f>
        <v>31.665160431654673</v>
      </c>
    </row>
    <row r="925" spans="1:29" ht="15.75" x14ac:dyDescent="0.25">
      <c r="A925" s="13">
        <v>69429</v>
      </c>
      <c r="B925" s="10">
        <f>CHOOSE(CONTROL!$C$42, 34.1166, 34.1166) * CHOOSE(CONTROL!$C$21, $C$9, 100%, $E$9)</f>
        <v>34.116599999999998</v>
      </c>
      <c r="C925" s="10">
        <f>CHOOSE(CONTROL!$C$42, 34.1215, 34.1215) * CHOOSE(CONTROL!$C$21, $C$9, 100%, $E$9)</f>
        <v>34.121499999999997</v>
      </c>
      <c r="D925" s="10">
        <f>CHOOSE(CONTROL!$C$42, 34.1717, 34.1717) * CHOOSE(CONTROL!$C$21, $C$9, 100%, $E$9)</f>
        <v>34.171700000000001</v>
      </c>
      <c r="E925" s="10">
        <f>CHOOSE(CONTROL!$C$42, 34.2055, 34.2055) * CHOOSE(CONTROL!$C$21, $C$9, 100%, $E$9)</f>
        <v>34.205500000000001</v>
      </c>
      <c r="F925" s="10">
        <f>CHOOSE(CONTROL!$C$42, 34.0819, 34.0819)*CHOOSE(CONTROL!$C$21, $C$9, 100%, $E$9)</f>
        <v>34.081899999999997</v>
      </c>
      <c r="G925" s="10">
        <f>CHOOSE(CONTROL!$C$42, 34.0995, 34.0995)*CHOOSE(CONTROL!$C$21, $C$9, 100%, $E$9)</f>
        <v>34.099499999999999</v>
      </c>
      <c r="H925" s="10">
        <f>CHOOSE(CONTROL!$C$42, 34.1947, 34.1947) * CHOOSE(CONTROL!$C$21, $C$9, 100%, $E$9)</f>
        <v>34.194699999999997</v>
      </c>
      <c r="I925" s="10">
        <f>CHOOSE(CONTROL!$C$42, 34.0905, 34.0905)* CHOOSE(CONTROL!$C$21, $C$9, 100%, $E$9)</f>
        <v>34.090499999999999</v>
      </c>
      <c r="J925" s="10">
        <f>CHOOSE(CONTROL!$C$42, 34.0749, 34.0749)* CHOOSE(CONTROL!$C$21, $C$9, 100%, $E$9)</f>
        <v>34.0749</v>
      </c>
      <c r="K925" s="54">
        <f>CHOOSE(CONTROL!$C$42, 34.0866, 34.0866) * CHOOSE(CONTROL!$C$21, $C$9, 100%, $E$9)</f>
        <v>34.086599999999997</v>
      </c>
      <c r="L925" s="10">
        <f>CHOOSE(CONTROL!$C$42, 34.7817, 34.7817) * CHOOSE(CONTROL!$C$21, $C$9, 100%, $E$9)</f>
        <v>34.781700000000001</v>
      </c>
      <c r="M925" s="10">
        <f>CHOOSE(CONTROL!$C$42, 33.7449, 33.7449) * CHOOSE(CONTROL!$C$21, $C$9, 100%, $E$9)</f>
        <v>33.744900000000001</v>
      </c>
      <c r="N925" s="10">
        <f>CHOOSE(CONTROL!$C$42, 33.7623, 33.7623) * CHOOSE(CONTROL!$C$21, $C$9, 100%, $E$9)</f>
        <v>33.762300000000003</v>
      </c>
      <c r="O925" s="10">
        <f>CHOOSE(CONTROL!$C$42, 33.8634, 33.8634) * CHOOSE(CONTROL!$C$21, $C$9, 100%, $E$9)</f>
        <v>33.863399999999999</v>
      </c>
      <c r="P925" s="10">
        <f>CHOOSE(CONTROL!$C$42, 33.7603, 33.7603) * CHOOSE(CONTROL!$C$21, $C$9, 100%, $E$9)</f>
        <v>33.760300000000001</v>
      </c>
      <c r="Q925" s="10">
        <f>CHOOSE(CONTROL!$C$42, 34.4587, 34.4587) * CHOOSE(CONTROL!$C$21, $C$9, 100%, $E$9)</f>
        <v>34.4587</v>
      </c>
      <c r="R925" s="10">
        <f>CHOOSE(CONTROL!$C$42, 35.1319, 35.1319) * CHOOSE(CONTROL!$C$21, $C$9, 100%, $E$9)</f>
        <v>35.131900000000002</v>
      </c>
      <c r="S925" s="10">
        <f>CHOOSE(CONTROL!$C$42, 33.1285, 33.1285) * CHOOSE(CONTROL!$C$21, $C$9, 100%, $E$9)</f>
        <v>33.128500000000003</v>
      </c>
      <c r="T925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25" s="58">
        <f>(1000*CHOOSE(CONTROL!$C$42, 695, 695)*CHOOSE(CONTROL!$C$42, 0.5599, 0.5599)*CHOOSE(CONTROL!$C$42, 31, 31))/1000000</f>
        <v>12.063045499999998</v>
      </c>
      <c r="V925" s="58">
        <f>(1000*CHOOSE(CONTROL!$C$42, 500, 500)*CHOOSE(CONTROL!$C$42, 0.275, 0.275)*CHOOSE(CONTROL!$C$42, 31, 31))/1000000</f>
        <v>4.2625000000000002</v>
      </c>
      <c r="W925" s="58">
        <f>(1000*CHOOSE(CONTROL!$C$42, 0.1146, 0.1146)*CHOOSE(CONTROL!$C$42, 121.5, 121.5)*CHOOSE(CONTROL!$C$42, 31, 31))/1000000</f>
        <v>0.43164089999999994</v>
      </c>
      <c r="X925" s="58">
        <f>(31*0.1790888*100000/1000000)+(31*0.2374*100000/1000000)</f>
        <v>1.2911152800000001</v>
      </c>
      <c r="Y925" s="58"/>
      <c r="Z925" s="10"/>
      <c r="AA925" s="57"/>
      <c r="AB925" s="51">
        <f>(B925*122.58+C925*297.941+D925*89.177+E925*40.302+F925*40+G925*160+H925*0+I925*100+J925*300)/(122.58+297.941+89.177+40.302+0+40+160+100+300)</f>
        <v>34.108523835999996</v>
      </c>
      <c r="AC925" s="27">
        <f>(M925*'RAP TEMPLATE-GAS AVAILABILITY'!O924+N925*'RAP TEMPLATE-GAS AVAILABILITY'!P924+O925*'RAP TEMPLATE-GAS AVAILABILITY'!Q924+P925*'RAP TEMPLATE-GAS AVAILABILITY'!R924)/('RAP TEMPLATE-GAS AVAILABILITY'!O924+'RAP TEMPLATE-GAS AVAILABILITY'!P924+'RAP TEMPLATE-GAS AVAILABILITY'!Q924+'RAP TEMPLATE-GAS AVAILABILITY'!R924)</f>
        <v>33.801825899280573</v>
      </c>
    </row>
    <row r="926" spans="1:29" ht="15.75" x14ac:dyDescent="0.25">
      <c r="A926" s="13">
        <v>69457</v>
      </c>
      <c r="B926" s="10">
        <f>CHOOSE(CONTROL!$C$42, 34.7238, 34.7238) * CHOOSE(CONTROL!$C$21, $C$9, 100%, $E$9)</f>
        <v>34.723799999999997</v>
      </c>
      <c r="C926" s="10">
        <f>CHOOSE(CONTROL!$C$42, 34.7288, 34.7288) * CHOOSE(CONTROL!$C$21, $C$9, 100%, $E$9)</f>
        <v>34.7288</v>
      </c>
      <c r="D926" s="10">
        <f>CHOOSE(CONTROL!$C$42, 34.8459, 34.8459) * CHOOSE(CONTROL!$C$21, $C$9, 100%, $E$9)</f>
        <v>34.8459</v>
      </c>
      <c r="E926" s="10">
        <f>CHOOSE(CONTROL!$C$42, 34.8797, 34.8797) * CHOOSE(CONTROL!$C$21, $C$9, 100%, $E$9)</f>
        <v>34.8797</v>
      </c>
      <c r="F926" s="10">
        <f>CHOOSE(CONTROL!$C$42, 34.8014, 34.8014)*CHOOSE(CONTROL!$C$21, $C$9, 100%, $E$9)</f>
        <v>34.801400000000001</v>
      </c>
      <c r="G926" s="10">
        <f>CHOOSE(CONTROL!$C$42, 34.8233, 34.8233)*CHOOSE(CONTROL!$C$21, $C$9, 100%, $E$9)</f>
        <v>34.823300000000003</v>
      </c>
      <c r="H926" s="10">
        <f>CHOOSE(CONTROL!$C$42, 34.8689, 34.8689) * CHOOSE(CONTROL!$C$21, $C$9, 100%, $E$9)</f>
        <v>34.868899999999996</v>
      </c>
      <c r="I926" s="10">
        <f>CHOOSE(CONTROL!$C$42, 34.7595, 34.7595)* CHOOSE(CONTROL!$C$21, $C$9, 100%, $E$9)</f>
        <v>34.759500000000003</v>
      </c>
      <c r="J926" s="10">
        <f>CHOOSE(CONTROL!$C$42, 34.7944, 34.7944)* CHOOSE(CONTROL!$C$21, $C$9, 100%, $E$9)</f>
        <v>34.794400000000003</v>
      </c>
      <c r="K926" s="54">
        <f>CHOOSE(CONTROL!$C$42, 34.7556, 34.7556) * CHOOSE(CONTROL!$C$21, $C$9, 100%, $E$9)</f>
        <v>34.755600000000001</v>
      </c>
      <c r="L926" s="10">
        <f>CHOOSE(CONTROL!$C$42, 35.4559, 35.4559) * CHOOSE(CONTROL!$C$21, $C$9, 100%, $E$9)</f>
        <v>35.4559</v>
      </c>
      <c r="M926" s="10">
        <f>CHOOSE(CONTROL!$C$42, 34.4571, 34.4571) * CHOOSE(CONTROL!$C$21, $C$9, 100%, $E$9)</f>
        <v>34.457099999999997</v>
      </c>
      <c r="N926" s="10">
        <f>CHOOSE(CONTROL!$C$42, 34.4788, 34.4788) * CHOOSE(CONTROL!$C$21, $C$9, 100%, $E$9)</f>
        <v>34.4788</v>
      </c>
      <c r="O926" s="10">
        <f>CHOOSE(CONTROL!$C$42, 34.5308, 34.5308) * CHOOSE(CONTROL!$C$21, $C$9, 100%, $E$9)</f>
        <v>34.530799999999999</v>
      </c>
      <c r="P926" s="10">
        <f>CHOOSE(CONTROL!$C$42, 34.4226, 34.4226) * CHOOSE(CONTROL!$C$21, $C$9, 100%, $E$9)</f>
        <v>34.422600000000003</v>
      </c>
      <c r="Q926" s="10">
        <f>CHOOSE(CONTROL!$C$42, 35.1261, 35.1261) * CHOOSE(CONTROL!$C$21, $C$9, 100%, $E$9)</f>
        <v>35.126100000000001</v>
      </c>
      <c r="R926" s="10">
        <f>CHOOSE(CONTROL!$C$42, 35.801, 35.801) * CHOOSE(CONTROL!$C$21, $C$9, 100%, $E$9)</f>
        <v>35.801000000000002</v>
      </c>
      <c r="S926" s="10">
        <f>CHOOSE(CONTROL!$C$42, 33.7182, 33.7182) * CHOOSE(CONTROL!$C$21, $C$9, 100%, $E$9)</f>
        <v>33.718200000000003</v>
      </c>
      <c r="T926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926" s="58">
        <f>(1000*CHOOSE(CONTROL!$C$42, 695, 695)*CHOOSE(CONTROL!$C$42, 0.5599, 0.5599)*CHOOSE(CONTROL!$C$42, 28, 28))/1000000</f>
        <v>10.895653999999999</v>
      </c>
      <c r="V926" s="58">
        <f>(1000*CHOOSE(CONTROL!$C$42, 500, 500)*CHOOSE(CONTROL!$C$42, 0.275, 0.275)*CHOOSE(CONTROL!$C$42, 28, 28))/1000000</f>
        <v>3.85</v>
      </c>
      <c r="W926" s="58">
        <f>(1000*CHOOSE(CONTROL!$C$42, 0.1146, 0.1146)*CHOOSE(CONTROL!$C$42, 121.5, 121.5)*CHOOSE(CONTROL!$C$42, 28, 28))/1000000</f>
        <v>0.38986920000000003</v>
      </c>
      <c r="X926" s="58">
        <f>(28*0.1790888*100000/1000000)+(28*0.2374*100000/1000000)</f>
        <v>1.16616864</v>
      </c>
      <c r="Y926" s="58"/>
      <c r="Z926" s="10"/>
      <c r="AA926" s="57"/>
      <c r="AB926" s="51">
        <f>(B926*122.58+C926*297.941+D926*89.177+E926*40.302+F926*40+G926*160+H926*0+I926*100+J926*300)/(122.58+297.941+89.177+40.302+0+40+160+100+300)</f>
        <v>34.778091563913044</v>
      </c>
      <c r="AC926" s="27">
        <f>(M926*'RAP TEMPLATE-GAS AVAILABILITY'!O925+N926*'RAP TEMPLATE-GAS AVAILABILITY'!P925+O926*'RAP TEMPLATE-GAS AVAILABILITY'!Q925+P926*'RAP TEMPLATE-GAS AVAILABILITY'!R925)/('RAP TEMPLATE-GAS AVAILABILITY'!O925+'RAP TEMPLATE-GAS AVAILABILITY'!P925+'RAP TEMPLATE-GAS AVAILABILITY'!Q925+'RAP TEMPLATE-GAS AVAILABILITY'!R925)</f>
        <v>34.486788489208635</v>
      </c>
    </row>
    <row r="927" spans="1:29" ht="15.75" x14ac:dyDescent="0.25">
      <c r="A927" s="13">
        <v>69488</v>
      </c>
      <c r="B927" s="10">
        <f>CHOOSE(CONTROL!$C$42, 33.7381, 33.7381) * CHOOSE(CONTROL!$C$21, $C$9, 100%, $E$9)</f>
        <v>33.738100000000003</v>
      </c>
      <c r="C927" s="10">
        <f>CHOOSE(CONTROL!$C$42, 33.743, 33.743) * CHOOSE(CONTROL!$C$21, $C$9, 100%, $E$9)</f>
        <v>33.743000000000002</v>
      </c>
      <c r="D927" s="10">
        <f>CHOOSE(CONTROL!$C$42, 33.8344, 33.8344) * CHOOSE(CONTROL!$C$21, $C$9, 100%, $E$9)</f>
        <v>33.834400000000002</v>
      </c>
      <c r="E927" s="10">
        <f>CHOOSE(CONTROL!$C$42, 33.8682, 33.8682) * CHOOSE(CONTROL!$C$21, $C$9, 100%, $E$9)</f>
        <v>33.868200000000002</v>
      </c>
      <c r="F927" s="10">
        <f>CHOOSE(CONTROL!$C$42, 33.7679, 33.7679)*CHOOSE(CONTROL!$C$21, $C$9, 100%, $E$9)</f>
        <v>33.767899999999997</v>
      </c>
      <c r="G927" s="10">
        <f>CHOOSE(CONTROL!$C$42, 33.7874, 33.7874)*CHOOSE(CONTROL!$C$21, $C$9, 100%, $E$9)</f>
        <v>33.787399999999998</v>
      </c>
      <c r="H927" s="10">
        <f>CHOOSE(CONTROL!$C$42, 33.8574, 33.8574) * CHOOSE(CONTROL!$C$21, $C$9, 100%, $E$9)</f>
        <v>33.857399999999998</v>
      </c>
      <c r="I927" s="10">
        <f>CHOOSE(CONTROL!$C$42, 33.7609, 33.7609)* CHOOSE(CONTROL!$C$21, $C$9, 100%, $E$9)</f>
        <v>33.760899999999999</v>
      </c>
      <c r="J927" s="10">
        <f>CHOOSE(CONTROL!$C$42, 33.7609, 33.7609)* CHOOSE(CONTROL!$C$21, $C$9, 100%, $E$9)</f>
        <v>33.760899999999999</v>
      </c>
      <c r="K927" s="54">
        <f>CHOOSE(CONTROL!$C$42, 33.757, 33.757) * CHOOSE(CONTROL!$C$21, $C$9, 100%, $E$9)</f>
        <v>33.756999999999998</v>
      </c>
      <c r="L927" s="10">
        <f>CHOOSE(CONTROL!$C$42, 34.4444, 34.4444) * CHOOSE(CONTROL!$C$21, $C$9, 100%, $E$9)</f>
        <v>34.444400000000002</v>
      </c>
      <c r="M927" s="10">
        <f>CHOOSE(CONTROL!$C$42, 33.434, 33.434) * CHOOSE(CONTROL!$C$21, $C$9, 100%, $E$9)</f>
        <v>33.433999999999997</v>
      </c>
      <c r="N927" s="10">
        <f>CHOOSE(CONTROL!$C$42, 33.4533, 33.4533) * CHOOSE(CONTROL!$C$21, $C$9, 100%, $E$9)</f>
        <v>33.453299999999999</v>
      </c>
      <c r="O927" s="10">
        <f>CHOOSE(CONTROL!$C$42, 33.5295, 33.5295) * CHOOSE(CONTROL!$C$21, $C$9, 100%, $E$9)</f>
        <v>33.529499999999999</v>
      </c>
      <c r="P927" s="10">
        <f>CHOOSE(CONTROL!$C$42, 33.4341, 33.4341) * CHOOSE(CONTROL!$C$21, $C$9, 100%, $E$9)</f>
        <v>33.434100000000001</v>
      </c>
      <c r="Q927" s="10">
        <f>CHOOSE(CONTROL!$C$42, 34.1248, 34.1248) * CHOOSE(CONTROL!$C$21, $C$9, 100%, $E$9)</f>
        <v>34.1248</v>
      </c>
      <c r="R927" s="10">
        <f>CHOOSE(CONTROL!$C$42, 34.7972, 34.7972) * CHOOSE(CONTROL!$C$21, $C$9, 100%, $E$9)</f>
        <v>34.797199999999997</v>
      </c>
      <c r="S927" s="10">
        <f>CHOOSE(CONTROL!$C$42, 32.7609, 32.7609) * CHOOSE(CONTROL!$C$21, $C$9, 100%, $E$9)</f>
        <v>32.760899999999999</v>
      </c>
      <c r="T927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27" s="58">
        <f>(1000*CHOOSE(CONTROL!$C$42, 695, 695)*CHOOSE(CONTROL!$C$42, 0.5599, 0.5599)*CHOOSE(CONTROL!$C$42, 31, 31))/1000000</f>
        <v>12.063045499999998</v>
      </c>
      <c r="V927" s="58">
        <f>(1000*CHOOSE(CONTROL!$C$42, 500, 500)*CHOOSE(CONTROL!$C$42, 0.275, 0.275)*CHOOSE(CONTROL!$C$42, 31, 31))/1000000</f>
        <v>4.2625000000000002</v>
      </c>
      <c r="W927" s="58">
        <f>(1000*CHOOSE(CONTROL!$C$42, 0.1146, 0.1146)*CHOOSE(CONTROL!$C$42, 121.5, 121.5)*CHOOSE(CONTROL!$C$42, 31, 31))/1000000</f>
        <v>0.43164089999999994</v>
      </c>
      <c r="X927" s="58">
        <f>(31*0.1790888*100000/1000000)+(31*0.2374*100000/1000000)</f>
        <v>1.2911152800000001</v>
      </c>
      <c r="Y927" s="58"/>
      <c r="Z927" s="10"/>
      <c r="AA927" s="57"/>
      <c r="AB927" s="51">
        <f>(B927*122.58+C927*297.941+D927*89.177+E927*40.302+F927*40+G927*160+H927*0+I927*100+J927*300)/(122.58+297.941+89.177+40.302+0+40+160+100+300)</f>
        <v>33.767222561913044</v>
      </c>
      <c r="AC927" s="27">
        <f>(M927*'RAP TEMPLATE-GAS AVAILABILITY'!O926+N927*'RAP TEMPLATE-GAS AVAILABILITY'!P926+O927*'RAP TEMPLATE-GAS AVAILABILITY'!Q926+P927*'RAP TEMPLATE-GAS AVAILABILITY'!R926)/('RAP TEMPLATE-GAS AVAILABILITY'!O926+'RAP TEMPLATE-GAS AVAILABILITY'!P926+'RAP TEMPLATE-GAS AVAILABILITY'!Q926+'RAP TEMPLATE-GAS AVAILABILITY'!R926)</f>
        <v>33.478409352517978</v>
      </c>
    </row>
    <row r="928" spans="1:29" ht="15.75" x14ac:dyDescent="0.25">
      <c r="A928" s="13">
        <v>69518</v>
      </c>
      <c r="B928" s="10">
        <f>CHOOSE(CONTROL!$C$42, 33.6379, 33.6379) * CHOOSE(CONTROL!$C$21, $C$9, 100%, $E$9)</f>
        <v>33.637900000000002</v>
      </c>
      <c r="C928" s="10">
        <f>CHOOSE(CONTROL!$C$42, 33.6422, 33.6422) * CHOOSE(CONTROL!$C$21, $C$9, 100%, $E$9)</f>
        <v>33.642200000000003</v>
      </c>
      <c r="D928" s="10">
        <f>CHOOSE(CONTROL!$C$42, 33.8239, 33.8239) * CHOOSE(CONTROL!$C$21, $C$9, 100%, $E$9)</f>
        <v>33.823900000000002</v>
      </c>
      <c r="E928" s="10">
        <f>CHOOSE(CONTROL!$C$42, 33.8557, 33.8557) * CHOOSE(CONTROL!$C$21, $C$9, 100%, $E$9)</f>
        <v>33.855699999999999</v>
      </c>
      <c r="F928" s="10">
        <f>CHOOSE(CONTROL!$C$42, 33.6262, 33.6262)*CHOOSE(CONTROL!$C$21, $C$9, 100%, $E$9)</f>
        <v>33.626199999999997</v>
      </c>
      <c r="G928" s="10">
        <f>CHOOSE(CONTROL!$C$42, 33.6442, 33.6442)*CHOOSE(CONTROL!$C$21, $C$9, 100%, $E$9)</f>
        <v>33.644199999999998</v>
      </c>
      <c r="H928" s="10">
        <f>CHOOSE(CONTROL!$C$42, 33.8455, 33.8455) * CHOOSE(CONTROL!$C$21, $C$9, 100%, $E$9)</f>
        <v>33.845500000000001</v>
      </c>
      <c r="I928" s="10">
        <f>CHOOSE(CONTROL!$C$42, 33.6161, 33.6161)* CHOOSE(CONTROL!$C$21, $C$9, 100%, $E$9)</f>
        <v>33.616100000000003</v>
      </c>
      <c r="J928" s="10">
        <f>CHOOSE(CONTROL!$C$42, 33.6192, 33.6192)* CHOOSE(CONTROL!$C$21, $C$9, 100%, $E$9)</f>
        <v>33.619199999999999</v>
      </c>
      <c r="K928" s="54">
        <f>CHOOSE(CONTROL!$C$42, 33.6122, 33.6122) * CHOOSE(CONTROL!$C$21, $C$9, 100%, $E$9)</f>
        <v>33.612200000000001</v>
      </c>
      <c r="L928" s="10">
        <f>CHOOSE(CONTROL!$C$42, 34.4325, 34.4325) * CHOOSE(CONTROL!$C$21, $C$9, 100%, $E$9)</f>
        <v>34.432499999999997</v>
      </c>
      <c r="M928" s="10">
        <f>CHOOSE(CONTROL!$C$42, 33.2937, 33.2937) * CHOOSE(CONTROL!$C$21, $C$9, 100%, $E$9)</f>
        <v>33.293700000000001</v>
      </c>
      <c r="N928" s="10">
        <f>CHOOSE(CONTROL!$C$42, 33.3115, 33.3115) * CHOOSE(CONTROL!$C$21, $C$9, 100%, $E$9)</f>
        <v>33.311500000000002</v>
      </c>
      <c r="O928" s="10">
        <f>CHOOSE(CONTROL!$C$42, 33.5177, 33.5177) * CHOOSE(CONTROL!$C$21, $C$9, 100%, $E$9)</f>
        <v>33.517699999999998</v>
      </c>
      <c r="P928" s="10">
        <f>CHOOSE(CONTROL!$C$42, 33.2907, 33.2907) * CHOOSE(CONTROL!$C$21, $C$9, 100%, $E$9)</f>
        <v>33.290700000000001</v>
      </c>
      <c r="Q928" s="10">
        <f>CHOOSE(CONTROL!$C$42, 34.113, 34.113) * CHOOSE(CONTROL!$C$21, $C$9, 100%, $E$9)</f>
        <v>34.113</v>
      </c>
      <c r="R928" s="10">
        <f>CHOOSE(CONTROL!$C$42, 34.7853, 34.7853) * CHOOSE(CONTROL!$C$21, $C$9, 100%, $E$9)</f>
        <v>34.785299999999999</v>
      </c>
      <c r="S928" s="10">
        <f>CHOOSE(CONTROL!$C$42, 32.6628, 32.6628) * CHOOSE(CONTROL!$C$21, $C$9, 100%, $E$9)</f>
        <v>32.662799999999997</v>
      </c>
      <c r="T928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928" s="58">
        <f>(1000*CHOOSE(CONTROL!$C$42, 695, 695)*CHOOSE(CONTROL!$C$42, 0.5599, 0.5599)*CHOOSE(CONTROL!$C$42, 30, 30))/1000000</f>
        <v>11.673914999999997</v>
      </c>
      <c r="V928" s="58">
        <f>(1000*CHOOSE(CONTROL!$C$42, 500, 500)*CHOOSE(CONTROL!$C$42, 0.275, 0.275)*CHOOSE(CONTROL!$C$42, 30, 30))/1000000</f>
        <v>4.125</v>
      </c>
      <c r="W928" s="58">
        <f>(1000*CHOOSE(CONTROL!$C$42, 0.1146, 0.1146)*CHOOSE(CONTROL!$C$42, 121.5, 121.5)*CHOOSE(CONTROL!$C$42, 30, 30))/1000000</f>
        <v>0.417717</v>
      </c>
      <c r="X928" s="58">
        <f>(30*0.1790888*245000/1000000)+(30*0.2374*100000/1000000)</f>
        <v>2.0285026799999999</v>
      </c>
      <c r="Y928" s="58"/>
      <c r="Z928" s="10"/>
      <c r="AA928" s="57"/>
      <c r="AB928" s="51">
        <f>(B928*141.293+C928*267.993+D928*115.016+E928*89.698+F928*40+G928*185+H928*0+I928*100+J928*300)/(141.293+267.993+115.016+89.698+0+40+185+100+300)</f>
        <v>33.666139766182411</v>
      </c>
      <c r="AC928" s="27">
        <f>(M928*'RAP TEMPLATE-GAS AVAILABILITY'!O927+N928*'RAP TEMPLATE-GAS AVAILABILITY'!P927+O928*'RAP TEMPLATE-GAS AVAILABILITY'!Q927+P928*'RAP TEMPLATE-GAS AVAILABILITY'!R927)/('RAP TEMPLATE-GAS AVAILABILITY'!O927+'RAP TEMPLATE-GAS AVAILABILITY'!P927+'RAP TEMPLATE-GAS AVAILABILITY'!Q927+'RAP TEMPLATE-GAS AVAILABILITY'!R927)</f>
        <v>33.395817985611508</v>
      </c>
    </row>
    <row r="929" spans="1:29" ht="15.75" x14ac:dyDescent="0.25">
      <c r="A929" s="13">
        <v>69549</v>
      </c>
      <c r="B929" s="10">
        <f>CHOOSE(CONTROL!$C$42, 33.9365, 33.9365) * CHOOSE(CONTROL!$C$21, $C$9, 100%, $E$9)</f>
        <v>33.936500000000002</v>
      </c>
      <c r="C929" s="10">
        <f>CHOOSE(CONTROL!$C$42, 33.9444, 33.9444) * CHOOSE(CONTROL!$C$21, $C$9, 100%, $E$9)</f>
        <v>33.944400000000002</v>
      </c>
      <c r="D929" s="10">
        <f>CHOOSE(CONTROL!$C$42, 34.1229, 34.1229) * CHOOSE(CONTROL!$C$21, $C$9, 100%, $E$9)</f>
        <v>34.122900000000001</v>
      </c>
      <c r="E929" s="10">
        <f>CHOOSE(CONTROL!$C$42, 34.1541, 34.1541) * CHOOSE(CONTROL!$C$21, $C$9, 100%, $E$9)</f>
        <v>34.1541</v>
      </c>
      <c r="F929" s="10">
        <f>CHOOSE(CONTROL!$C$42, 33.9227, 33.9227)*CHOOSE(CONTROL!$C$21, $C$9, 100%, $E$9)</f>
        <v>33.922699999999999</v>
      </c>
      <c r="G929" s="10">
        <f>CHOOSE(CONTROL!$C$42, 33.9409, 33.9409)*CHOOSE(CONTROL!$C$21, $C$9, 100%, $E$9)</f>
        <v>33.940899999999999</v>
      </c>
      <c r="H929" s="10">
        <f>CHOOSE(CONTROL!$C$42, 34.1427, 34.1427) * CHOOSE(CONTROL!$C$21, $C$9, 100%, $E$9)</f>
        <v>34.142699999999998</v>
      </c>
      <c r="I929" s="10">
        <f>CHOOSE(CONTROL!$C$42, 33.9134, 33.9134)* CHOOSE(CONTROL!$C$21, $C$9, 100%, $E$9)</f>
        <v>33.913400000000003</v>
      </c>
      <c r="J929" s="10">
        <f>CHOOSE(CONTROL!$C$42, 33.9157, 33.9157)* CHOOSE(CONTROL!$C$21, $C$9, 100%, $E$9)</f>
        <v>33.915700000000001</v>
      </c>
      <c r="K929" s="54">
        <f>CHOOSE(CONTROL!$C$42, 33.9095, 33.9095) * CHOOSE(CONTROL!$C$21, $C$9, 100%, $E$9)</f>
        <v>33.909500000000001</v>
      </c>
      <c r="L929" s="10">
        <f>CHOOSE(CONTROL!$C$42, 34.7297, 34.7297) * CHOOSE(CONTROL!$C$21, $C$9, 100%, $E$9)</f>
        <v>34.729700000000001</v>
      </c>
      <c r="M929" s="10">
        <f>CHOOSE(CONTROL!$C$42, 33.5872, 33.5872) * CHOOSE(CONTROL!$C$21, $C$9, 100%, $E$9)</f>
        <v>33.587200000000003</v>
      </c>
      <c r="N929" s="10">
        <f>CHOOSE(CONTROL!$C$42, 33.6052, 33.6052) * CHOOSE(CONTROL!$C$21, $C$9, 100%, $E$9)</f>
        <v>33.605200000000004</v>
      </c>
      <c r="O929" s="10">
        <f>CHOOSE(CONTROL!$C$42, 33.812, 33.812) * CHOOSE(CONTROL!$C$21, $C$9, 100%, $E$9)</f>
        <v>33.811999999999998</v>
      </c>
      <c r="P929" s="10">
        <f>CHOOSE(CONTROL!$C$42, 33.585, 33.585) * CHOOSE(CONTROL!$C$21, $C$9, 100%, $E$9)</f>
        <v>33.585000000000001</v>
      </c>
      <c r="Q929" s="10">
        <f>CHOOSE(CONTROL!$C$42, 34.4073, 34.4073) * CHOOSE(CONTROL!$C$21, $C$9, 100%, $E$9)</f>
        <v>34.407299999999999</v>
      </c>
      <c r="R929" s="10">
        <f>CHOOSE(CONTROL!$C$42, 35.0803, 35.0803) * CHOOSE(CONTROL!$C$21, $C$9, 100%, $E$9)</f>
        <v>35.080300000000001</v>
      </c>
      <c r="S929" s="10">
        <f>CHOOSE(CONTROL!$C$42, 32.9515, 32.9515) * CHOOSE(CONTROL!$C$21, $C$9, 100%, $E$9)</f>
        <v>32.951500000000003</v>
      </c>
      <c r="T929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929" s="58">
        <f>(1000*CHOOSE(CONTROL!$C$42, 695, 695)*CHOOSE(CONTROL!$C$42, 0.5599, 0.5599)*CHOOSE(CONTROL!$C$42, 31, 31))/1000000</f>
        <v>12.063045499999998</v>
      </c>
      <c r="V929" s="58">
        <f>(1000*CHOOSE(CONTROL!$C$42, 500, 500)*CHOOSE(CONTROL!$C$42, 0.275, 0.275)*CHOOSE(CONTROL!$C$42, 31, 31))/1000000</f>
        <v>4.2625000000000002</v>
      </c>
      <c r="W929" s="58">
        <f>(1000*CHOOSE(CONTROL!$C$42, 0.1146, 0.1146)*CHOOSE(CONTROL!$C$42, 121.5, 121.5)*CHOOSE(CONTROL!$C$42, 31, 31))/1000000</f>
        <v>0.43164089999999994</v>
      </c>
      <c r="X929" s="58">
        <f>(31*0.1790888*245000/1000000)+(31*0.2374*100000/1000000)</f>
        <v>2.0961194359999999</v>
      </c>
      <c r="Y929" s="58"/>
      <c r="Z929" s="10"/>
      <c r="AA929" s="57"/>
      <c r="AB929" s="51">
        <f>(B929*194.205+C929*267.466+D929*133.845+E929*53.484+F929*40+G929*185+H929*0+I929*100+J929*300)/(194.205+267.466+133.845+53.484+0+40+185+100+300)</f>
        <v>33.960371120722137</v>
      </c>
      <c r="AC929" s="27">
        <f>(M929*'RAP TEMPLATE-GAS AVAILABILITY'!O928+N929*'RAP TEMPLATE-GAS AVAILABILITY'!P928+O929*'RAP TEMPLATE-GAS AVAILABILITY'!Q928+P929*'RAP TEMPLATE-GAS AVAILABILITY'!R928)/('RAP TEMPLATE-GAS AVAILABILITY'!O928+'RAP TEMPLATE-GAS AVAILABILITY'!P928+'RAP TEMPLATE-GAS AVAILABILITY'!Q928+'RAP TEMPLATE-GAS AVAILABILITY'!R928)</f>
        <v>33.689807194244601</v>
      </c>
    </row>
    <row r="930" spans="1:29" ht="15.75" x14ac:dyDescent="0.25">
      <c r="A930" s="13">
        <v>69579</v>
      </c>
      <c r="B930" s="10">
        <f>CHOOSE(CONTROL!$C$42, 34.899, 34.899) * CHOOSE(CONTROL!$C$21, $C$9, 100%, $E$9)</f>
        <v>34.899000000000001</v>
      </c>
      <c r="C930" s="10">
        <f>CHOOSE(CONTROL!$C$42, 34.9069, 34.9069) * CHOOSE(CONTROL!$C$21, $C$9, 100%, $E$9)</f>
        <v>34.9069</v>
      </c>
      <c r="D930" s="10">
        <f>CHOOSE(CONTROL!$C$42, 35.0854, 35.0854) * CHOOSE(CONTROL!$C$21, $C$9, 100%, $E$9)</f>
        <v>35.0854</v>
      </c>
      <c r="E930" s="10">
        <f>CHOOSE(CONTROL!$C$42, 35.1166, 35.1166) * CHOOSE(CONTROL!$C$21, $C$9, 100%, $E$9)</f>
        <v>35.116599999999998</v>
      </c>
      <c r="F930" s="10">
        <f>CHOOSE(CONTROL!$C$42, 34.8854, 34.8854)*CHOOSE(CONTROL!$C$21, $C$9, 100%, $E$9)</f>
        <v>34.885399999999997</v>
      </c>
      <c r="G930" s="10">
        <f>CHOOSE(CONTROL!$C$42, 34.9037, 34.9037)*CHOOSE(CONTROL!$C$21, $C$9, 100%, $E$9)</f>
        <v>34.903700000000001</v>
      </c>
      <c r="H930" s="10">
        <f>CHOOSE(CONTROL!$C$42, 35.1052, 35.1052) * CHOOSE(CONTROL!$C$21, $C$9, 100%, $E$9)</f>
        <v>35.105200000000004</v>
      </c>
      <c r="I930" s="10">
        <f>CHOOSE(CONTROL!$C$42, 34.8759, 34.8759)* CHOOSE(CONTROL!$C$21, $C$9, 100%, $E$9)</f>
        <v>34.875900000000001</v>
      </c>
      <c r="J930" s="10">
        <f>CHOOSE(CONTROL!$C$42, 34.8784, 34.8784)* CHOOSE(CONTROL!$C$21, $C$9, 100%, $E$9)</f>
        <v>34.878399999999999</v>
      </c>
      <c r="K930" s="54">
        <f>CHOOSE(CONTROL!$C$42, 34.872, 34.872) * CHOOSE(CONTROL!$C$21, $C$9, 100%, $E$9)</f>
        <v>34.872</v>
      </c>
      <c r="L930" s="10">
        <f>CHOOSE(CONTROL!$C$42, 35.6922, 35.6922) * CHOOSE(CONTROL!$C$21, $C$9, 100%, $E$9)</f>
        <v>35.6922</v>
      </c>
      <c r="M930" s="10">
        <f>CHOOSE(CONTROL!$C$42, 34.5403, 34.5403) * CHOOSE(CONTROL!$C$21, $C$9, 100%, $E$9)</f>
        <v>34.540300000000002</v>
      </c>
      <c r="N930" s="10">
        <f>CHOOSE(CONTROL!$C$42, 34.5583, 34.5583) * CHOOSE(CONTROL!$C$21, $C$9, 100%, $E$9)</f>
        <v>34.558300000000003</v>
      </c>
      <c r="O930" s="10">
        <f>CHOOSE(CONTROL!$C$42, 34.7648, 34.7648) * CHOOSE(CONTROL!$C$21, $C$9, 100%, $E$9)</f>
        <v>34.764800000000001</v>
      </c>
      <c r="P930" s="10">
        <f>CHOOSE(CONTROL!$C$42, 34.5378, 34.5378) * CHOOSE(CONTROL!$C$21, $C$9, 100%, $E$9)</f>
        <v>34.537799999999997</v>
      </c>
      <c r="Q930" s="10">
        <f>CHOOSE(CONTROL!$C$42, 35.3601, 35.3601) * CHOOSE(CONTROL!$C$21, $C$9, 100%, $E$9)</f>
        <v>35.360100000000003</v>
      </c>
      <c r="R930" s="10">
        <f>CHOOSE(CONTROL!$C$42, 36.0355, 36.0355) * CHOOSE(CONTROL!$C$21, $C$9, 100%, $E$9)</f>
        <v>36.035499999999999</v>
      </c>
      <c r="S930" s="10">
        <f>CHOOSE(CONTROL!$C$42, 33.8862, 33.8862) * CHOOSE(CONTROL!$C$21, $C$9, 100%, $E$9)</f>
        <v>33.886200000000002</v>
      </c>
      <c r="T930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30" s="58">
        <f>(1000*CHOOSE(CONTROL!$C$42, 695, 695)*CHOOSE(CONTROL!$C$42, 0.5599, 0.5599)*CHOOSE(CONTROL!$C$42, 30, 30))/1000000</f>
        <v>11.673914999999997</v>
      </c>
      <c r="V930" s="58">
        <f>(1000*CHOOSE(CONTROL!$C$42, 500, 500)*CHOOSE(CONTROL!$C$42, 0.275, 0.275)*CHOOSE(CONTROL!$C$42, 30, 30))/1000000</f>
        <v>4.125</v>
      </c>
      <c r="W930" s="58">
        <f>(1000*CHOOSE(CONTROL!$C$42, 0.1146, 0.1146)*CHOOSE(CONTROL!$C$42, 121.5, 121.5)*CHOOSE(CONTROL!$C$42, 30, 30))/1000000</f>
        <v>0.417717</v>
      </c>
      <c r="X930" s="58">
        <f>(30*0.1790888*245000/1000000)+(30*0.2374*100000/1000000)</f>
        <v>2.0285026799999999</v>
      </c>
      <c r="Y930" s="58"/>
      <c r="Z930" s="10"/>
      <c r="AA930" s="57"/>
      <c r="AB930" s="51">
        <f>(B930*194.205+C930*267.466+D930*133.845+E930*53.484+F930*40+G930*185+H930*0+I930*100+J930*300)/(194.205+267.466+133.845+53.484+0+40+185+100+300)</f>
        <v>34.922968059497649</v>
      </c>
      <c r="AC930" s="27">
        <f>(M930*'RAP TEMPLATE-GAS AVAILABILITY'!O929+N930*'RAP TEMPLATE-GAS AVAILABILITY'!P929+O930*'RAP TEMPLATE-GAS AVAILABILITY'!Q929+P930*'RAP TEMPLATE-GAS AVAILABILITY'!R929)/('RAP TEMPLATE-GAS AVAILABILITY'!O929+'RAP TEMPLATE-GAS AVAILABILITY'!P929+'RAP TEMPLATE-GAS AVAILABILITY'!Q929+'RAP TEMPLATE-GAS AVAILABILITY'!R929)</f>
        <v>34.64272805755396</v>
      </c>
    </row>
    <row r="931" spans="1:29" ht="15.75" x14ac:dyDescent="0.25">
      <c r="A931" s="13">
        <v>69610</v>
      </c>
      <c r="B931" s="10">
        <f>CHOOSE(CONTROL!$C$42, 34.2296, 34.2296) * CHOOSE(CONTROL!$C$21, $C$9, 100%, $E$9)</f>
        <v>34.229599999999998</v>
      </c>
      <c r="C931" s="10">
        <f>CHOOSE(CONTROL!$C$42, 34.2375, 34.2375) * CHOOSE(CONTROL!$C$21, $C$9, 100%, $E$9)</f>
        <v>34.237499999999997</v>
      </c>
      <c r="D931" s="10">
        <f>CHOOSE(CONTROL!$C$42, 34.416, 34.416) * CHOOSE(CONTROL!$C$21, $C$9, 100%, $E$9)</f>
        <v>34.415999999999997</v>
      </c>
      <c r="E931" s="10">
        <f>CHOOSE(CONTROL!$C$42, 34.4472, 34.4472) * CHOOSE(CONTROL!$C$21, $C$9, 100%, $E$9)</f>
        <v>34.447200000000002</v>
      </c>
      <c r="F931" s="10">
        <f>CHOOSE(CONTROL!$C$42, 34.2163, 34.2163)*CHOOSE(CONTROL!$C$21, $C$9, 100%, $E$9)</f>
        <v>34.216299999999997</v>
      </c>
      <c r="G931" s="10">
        <f>CHOOSE(CONTROL!$C$42, 34.2346, 34.2346)*CHOOSE(CONTROL!$C$21, $C$9, 100%, $E$9)</f>
        <v>34.2346</v>
      </c>
      <c r="H931" s="10">
        <f>CHOOSE(CONTROL!$C$42, 34.4358, 34.4358) * CHOOSE(CONTROL!$C$21, $C$9, 100%, $E$9)</f>
        <v>34.4358</v>
      </c>
      <c r="I931" s="10">
        <f>CHOOSE(CONTROL!$C$42, 34.2064, 34.2064)* CHOOSE(CONTROL!$C$21, $C$9, 100%, $E$9)</f>
        <v>34.206400000000002</v>
      </c>
      <c r="J931" s="10">
        <f>CHOOSE(CONTROL!$C$42, 34.2093, 34.2093)* CHOOSE(CONTROL!$C$21, $C$9, 100%, $E$9)</f>
        <v>34.209299999999999</v>
      </c>
      <c r="K931" s="54">
        <f>CHOOSE(CONTROL!$C$42, 34.2026, 34.2026) * CHOOSE(CONTROL!$C$21, $C$9, 100%, $E$9)</f>
        <v>34.202599999999997</v>
      </c>
      <c r="L931" s="10">
        <f>CHOOSE(CONTROL!$C$42, 35.0228, 35.0228) * CHOOSE(CONTROL!$C$21, $C$9, 100%, $E$9)</f>
        <v>35.022799999999997</v>
      </c>
      <c r="M931" s="10">
        <f>CHOOSE(CONTROL!$C$42, 33.8779, 33.8779) * CHOOSE(CONTROL!$C$21, $C$9, 100%, $E$9)</f>
        <v>33.877899999999997</v>
      </c>
      <c r="N931" s="10">
        <f>CHOOSE(CONTROL!$C$42, 33.896, 33.896) * CHOOSE(CONTROL!$C$21, $C$9, 100%, $E$9)</f>
        <v>33.896000000000001</v>
      </c>
      <c r="O931" s="10">
        <f>CHOOSE(CONTROL!$C$42, 34.1021, 34.1021) * CHOOSE(CONTROL!$C$21, $C$9, 100%, $E$9)</f>
        <v>34.1021</v>
      </c>
      <c r="P931" s="10">
        <f>CHOOSE(CONTROL!$C$42, 33.8751, 33.8751) * CHOOSE(CONTROL!$C$21, $C$9, 100%, $E$9)</f>
        <v>33.875100000000003</v>
      </c>
      <c r="Q931" s="10">
        <f>CHOOSE(CONTROL!$C$42, 34.6974, 34.6974) * CHOOSE(CONTROL!$C$21, $C$9, 100%, $E$9)</f>
        <v>34.697400000000002</v>
      </c>
      <c r="R931" s="10">
        <f>CHOOSE(CONTROL!$C$42, 35.3711, 35.3711) * CHOOSE(CONTROL!$C$21, $C$9, 100%, $E$9)</f>
        <v>35.371099999999998</v>
      </c>
      <c r="S931" s="10">
        <f>CHOOSE(CONTROL!$C$42, 33.2361, 33.2361) * CHOOSE(CONTROL!$C$21, $C$9, 100%, $E$9)</f>
        <v>33.2361</v>
      </c>
      <c r="T931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31" s="58">
        <f>(1000*CHOOSE(CONTROL!$C$42, 695, 695)*CHOOSE(CONTROL!$C$42, 0.5599, 0.5599)*CHOOSE(CONTROL!$C$42, 31, 31))/1000000</f>
        <v>12.063045499999998</v>
      </c>
      <c r="V931" s="58">
        <f>(1000*CHOOSE(CONTROL!$C$42, 500, 500)*CHOOSE(CONTROL!$C$42, 0.275, 0.275)*CHOOSE(CONTROL!$C$42, 31, 31))/1000000</f>
        <v>4.2625000000000002</v>
      </c>
      <c r="W931" s="58">
        <f>(1000*CHOOSE(CONTROL!$C$42, 0.1146, 0.1146)*CHOOSE(CONTROL!$C$42, 121.5, 121.5)*CHOOSE(CONTROL!$C$42, 31, 31))/1000000</f>
        <v>0.43164089999999994</v>
      </c>
      <c r="X931" s="58">
        <f>(31*0.1790888*245000/1000000)+(31*0.2374*100000/1000000)</f>
        <v>2.0961194359999999</v>
      </c>
      <c r="Y931" s="58"/>
      <c r="Z931" s="10"/>
      <c r="AA931" s="57"/>
      <c r="AB931" s="51">
        <f>(B931*194.205+C931*267.466+D931*133.845+E931*53.484+F931*40+G931*185+H931*0+I931*100+J931*300)/(194.205+267.466+133.845+53.484+0+40+185+100+300)</f>
        <v>34.253683836577707</v>
      </c>
      <c r="AC931" s="27">
        <f>(M931*'RAP TEMPLATE-GAS AVAILABILITY'!O930+N931*'RAP TEMPLATE-GAS AVAILABILITY'!P930+O931*'RAP TEMPLATE-GAS AVAILABILITY'!Q930+P931*'RAP TEMPLATE-GAS AVAILABILITY'!R930)/('RAP TEMPLATE-GAS AVAILABILITY'!O930+'RAP TEMPLATE-GAS AVAILABILITY'!P930+'RAP TEMPLATE-GAS AVAILABILITY'!Q930+'RAP TEMPLATE-GAS AVAILABILITY'!R930)</f>
        <v>33.980154676258998</v>
      </c>
    </row>
    <row r="932" spans="1:29" ht="15.75" x14ac:dyDescent="0.25">
      <c r="A932" s="13">
        <v>69641</v>
      </c>
      <c r="B932" s="10">
        <f>CHOOSE(CONTROL!$C$42, 32.5391, 32.5391) * CHOOSE(CONTROL!$C$21, $C$9, 100%, $E$9)</f>
        <v>32.539099999999998</v>
      </c>
      <c r="C932" s="10">
        <f>CHOOSE(CONTROL!$C$42, 32.547, 32.547) * CHOOSE(CONTROL!$C$21, $C$9, 100%, $E$9)</f>
        <v>32.546999999999997</v>
      </c>
      <c r="D932" s="10">
        <f>CHOOSE(CONTROL!$C$42, 32.7255, 32.7255) * CHOOSE(CONTROL!$C$21, $C$9, 100%, $E$9)</f>
        <v>32.725499999999997</v>
      </c>
      <c r="E932" s="10">
        <f>CHOOSE(CONTROL!$C$42, 32.7567, 32.7567) * CHOOSE(CONTROL!$C$21, $C$9, 100%, $E$9)</f>
        <v>32.756700000000002</v>
      </c>
      <c r="F932" s="10">
        <f>CHOOSE(CONTROL!$C$42, 32.5257, 32.5257)*CHOOSE(CONTROL!$C$21, $C$9, 100%, $E$9)</f>
        <v>32.525700000000001</v>
      </c>
      <c r="G932" s="10">
        <f>CHOOSE(CONTROL!$C$42, 32.544, 32.544)*CHOOSE(CONTROL!$C$21, $C$9, 100%, $E$9)</f>
        <v>32.543999999999997</v>
      </c>
      <c r="H932" s="10">
        <f>CHOOSE(CONTROL!$C$42, 32.7453, 32.7453) * CHOOSE(CONTROL!$C$21, $C$9, 100%, $E$9)</f>
        <v>32.7453</v>
      </c>
      <c r="I932" s="10">
        <f>CHOOSE(CONTROL!$C$42, 32.5159, 32.5159)* CHOOSE(CONTROL!$C$21, $C$9, 100%, $E$9)</f>
        <v>32.515900000000002</v>
      </c>
      <c r="J932" s="10">
        <f>CHOOSE(CONTROL!$C$42, 32.5187, 32.5187)* CHOOSE(CONTROL!$C$21, $C$9, 100%, $E$9)</f>
        <v>32.518700000000003</v>
      </c>
      <c r="K932" s="54">
        <f>CHOOSE(CONTROL!$C$42, 32.512, 32.512) * CHOOSE(CONTROL!$C$21, $C$9, 100%, $E$9)</f>
        <v>32.512</v>
      </c>
      <c r="L932" s="10">
        <f>CHOOSE(CONTROL!$C$42, 33.3323, 33.3323) * CHOOSE(CONTROL!$C$21, $C$9, 100%, $E$9)</f>
        <v>33.332299999999996</v>
      </c>
      <c r="M932" s="10">
        <f>CHOOSE(CONTROL!$C$42, 32.2044, 32.2044) * CHOOSE(CONTROL!$C$21, $C$9, 100%, $E$9)</f>
        <v>32.2044</v>
      </c>
      <c r="N932" s="10">
        <f>CHOOSE(CONTROL!$C$42, 32.2225, 32.2225) * CHOOSE(CONTROL!$C$21, $C$9, 100%, $E$9)</f>
        <v>32.222499999999997</v>
      </c>
      <c r="O932" s="10">
        <f>CHOOSE(CONTROL!$C$42, 32.4287, 32.4287) * CHOOSE(CONTROL!$C$21, $C$9, 100%, $E$9)</f>
        <v>32.428699999999999</v>
      </c>
      <c r="P932" s="10">
        <f>CHOOSE(CONTROL!$C$42, 32.2017, 32.2017) * CHOOSE(CONTROL!$C$21, $C$9, 100%, $E$9)</f>
        <v>32.201700000000002</v>
      </c>
      <c r="Q932" s="10">
        <f>CHOOSE(CONTROL!$C$42, 33.024, 33.024) * CHOOSE(CONTROL!$C$21, $C$9, 100%, $E$9)</f>
        <v>33.024000000000001</v>
      </c>
      <c r="R932" s="10">
        <f>CHOOSE(CONTROL!$C$42, 33.6935, 33.6935) * CHOOSE(CONTROL!$C$21, $C$9, 100%, $E$9)</f>
        <v>33.6935</v>
      </c>
      <c r="S932" s="10">
        <f>CHOOSE(CONTROL!$C$42, 31.5944, 31.5944) * CHOOSE(CONTROL!$C$21, $C$9, 100%, $E$9)</f>
        <v>31.5944</v>
      </c>
      <c r="T932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32" s="58">
        <f>(1000*CHOOSE(CONTROL!$C$42, 695, 695)*CHOOSE(CONTROL!$C$42, 0.5599, 0.5599)*CHOOSE(CONTROL!$C$42, 31, 31))/1000000</f>
        <v>12.063045499999998</v>
      </c>
      <c r="V932" s="58">
        <f>(1000*CHOOSE(CONTROL!$C$42, 500, 500)*CHOOSE(CONTROL!$C$42, 0.275, 0.275)*CHOOSE(CONTROL!$C$42, 31, 31))/1000000</f>
        <v>4.2625000000000002</v>
      </c>
      <c r="W932" s="58">
        <f>(1000*CHOOSE(CONTROL!$C$42, 0.1146, 0.1146)*CHOOSE(CONTROL!$C$42, 121.5, 121.5)*CHOOSE(CONTROL!$C$42, 31, 31))/1000000</f>
        <v>0.43164089999999994</v>
      </c>
      <c r="X932" s="58">
        <f>(31*0.1790888*245000/1000000)+(31*0.2374*100000/1000000)</f>
        <v>2.0961194359999999</v>
      </c>
      <c r="Y932" s="58"/>
      <c r="Z932" s="10"/>
      <c r="AA932" s="57"/>
      <c r="AB932" s="51">
        <f>(B932*194.205+C932*267.466+D932*133.845+E932*53.484+F932*40+G932*185+H932*0+I932*100+J932*300)/(194.205+267.466+133.845+53.484+0+40+185+100+300)</f>
        <v>32.563142627786497</v>
      </c>
      <c r="AC932" s="27">
        <f>(M932*'RAP TEMPLATE-GAS AVAILABILITY'!O931+N932*'RAP TEMPLATE-GAS AVAILABILITY'!P931+O932*'RAP TEMPLATE-GAS AVAILABILITY'!Q931+P932*'RAP TEMPLATE-GAS AVAILABILITY'!R931)/('RAP TEMPLATE-GAS AVAILABILITY'!O931+'RAP TEMPLATE-GAS AVAILABILITY'!P931+'RAP TEMPLATE-GAS AVAILABILITY'!Q931+'RAP TEMPLATE-GAS AVAILABILITY'!R931)</f>
        <v>32.306714388489205</v>
      </c>
    </row>
    <row r="933" spans="1:29" ht="15.75" x14ac:dyDescent="0.25">
      <c r="A933" s="13">
        <v>69671</v>
      </c>
      <c r="B933" s="10">
        <f>CHOOSE(CONTROL!$C$42, 30.4736, 30.4736) * CHOOSE(CONTROL!$C$21, $C$9, 100%, $E$9)</f>
        <v>30.473600000000001</v>
      </c>
      <c r="C933" s="10">
        <f>CHOOSE(CONTROL!$C$42, 30.4815, 30.4815) * CHOOSE(CONTROL!$C$21, $C$9, 100%, $E$9)</f>
        <v>30.4815</v>
      </c>
      <c r="D933" s="10">
        <f>CHOOSE(CONTROL!$C$42, 30.66, 30.66) * CHOOSE(CONTROL!$C$21, $C$9, 100%, $E$9)</f>
        <v>30.66</v>
      </c>
      <c r="E933" s="10">
        <f>CHOOSE(CONTROL!$C$42, 30.6912, 30.6912) * CHOOSE(CONTROL!$C$21, $C$9, 100%, $E$9)</f>
        <v>30.691199999999998</v>
      </c>
      <c r="F933" s="10">
        <f>CHOOSE(CONTROL!$C$42, 30.4599, 30.4599)*CHOOSE(CONTROL!$C$21, $C$9, 100%, $E$9)</f>
        <v>30.459900000000001</v>
      </c>
      <c r="G933" s="10">
        <f>CHOOSE(CONTROL!$C$42, 30.4782, 30.4782)*CHOOSE(CONTROL!$C$21, $C$9, 100%, $E$9)</f>
        <v>30.478200000000001</v>
      </c>
      <c r="H933" s="10">
        <f>CHOOSE(CONTROL!$C$42, 30.6798, 30.6798) * CHOOSE(CONTROL!$C$21, $C$9, 100%, $E$9)</f>
        <v>30.6798</v>
      </c>
      <c r="I933" s="10">
        <f>CHOOSE(CONTROL!$C$42, 30.4504, 30.4504)* CHOOSE(CONTROL!$C$21, $C$9, 100%, $E$9)</f>
        <v>30.450399999999998</v>
      </c>
      <c r="J933" s="10">
        <f>CHOOSE(CONTROL!$C$42, 30.4529, 30.4529)* CHOOSE(CONTROL!$C$21, $C$9, 100%, $E$9)</f>
        <v>30.4529</v>
      </c>
      <c r="K933" s="54">
        <f>CHOOSE(CONTROL!$C$42, 30.4466, 30.4466) * CHOOSE(CONTROL!$C$21, $C$9, 100%, $E$9)</f>
        <v>30.4466</v>
      </c>
      <c r="L933" s="10">
        <f>CHOOSE(CONTROL!$C$42, 31.2668, 31.2668) * CHOOSE(CONTROL!$C$21, $C$9, 100%, $E$9)</f>
        <v>31.2668</v>
      </c>
      <c r="M933" s="10">
        <f>CHOOSE(CONTROL!$C$42, 30.1595, 30.1595) * CHOOSE(CONTROL!$C$21, $C$9, 100%, $E$9)</f>
        <v>30.159500000000001</v>
      </c>
      <c r="N933" s="10">
        <f>CHOOSE(CONTROL!$C$42, 30.1775, 30.1775) * CHOOSE(CONTROL!$C$21, $C$9, 100%, $E$9)</f>
        <v>30.177499999999998</v>
      </c>
      <c r="O933" s="10">
        <f>CHOOSE(CONTROL!$C$42, 30.384, 30.384) * CHOOSE(CONTROL!$C$21, $C$9, 100%, $E$9)</f>
        <v>30.384</v>
      </c>
      <c r="P933" s="10">
        <f>CHOOSE(CONTROL!$C$42, 30.157, 30.157) * CHOOSE(CONTROL!$C$21, $C$9, 100%, $E$9)</f>
        <v>30.157</v>
      </c>
      <c r="Q933" s="10">
        <f>CHOOSE(CONTROL!$C$42, 30.9793, 30.9793) * CHOOSE(CONTROL!$C$21, $C$9, 100%, $E$9)</f>
        <v>30.979299999999999</v>
      </c>
      <c r="R933" s="10">
        <f>CHOOSE(CONTROL!$C$42, 31.6438, 31.6438) * CHOOSE(CONTROL!$C$21, $C$9, 100%, $E$9)</f>
        <v>31.643799999999999</v>
      </c>
      <c r="S933" s="10">
        <f>CHOOSE(CONTROL!$C$42, 29.5886, 29.5886) * CHOOSE(CONTROL!$C$21, $C$9, 100%, $E$9)</f>
        <v>29.5886</v>
      </c>
      <c r="T933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33" s="58">
        <f>(1000*CHOOSE(CONTROL!$C$42, 695, 695)*CHOOSE(CONTROL!$C$42, 0.5599, 0.5599)*CHOOSE(CONTROL!$C$42, 30, 30))/1000000</f>
        <v>11.673914999999997</v>
      </c>
      <c r="V933" s="58">
        <f>(1000*CHOOSE(CONTROL!$C$42, 500, 500)*CHOOSE(CONTROL!$C$42, 0.275, 0.275)*CHOOSE(CONTROL!$C$42, 30, 30))/1000000</f>
        <v>4.125</v>
      </c>
      <c r="W933" s="58">
        <f>(1000*CHOOSE(CONTROL!$C$42, 0.1146, 0.1146)*CHOOSE(CONTROL!$C$42, 121.5, 121.5)*CHOOSE(CONTROL!$C$42, 30, 30))/1000000</f>
        <v>0.417717</v>
      </c>
      <c r="X933" s="58">
        <f>(30*0.1790888*245000/1000000)+(30*0.2374*100000/1000000)</f>
        <v>2.0285026799999999</v>
      </c>
      <c r="Y933" s="58"/>
      <c r="Z933" s="10"/>
      <c r="AA933" s="57"/>
      <c r="AB933" s="51">
        <f>(B933*194.205+C933*267.466+D933*133.845+E933*53.484+F933*40+G933*185+H933*0+I933*100+J933*300)/(194.205+267.466+133.845+53.484+0+40+185+100+300)</f>
        <v>30.497519001412876</v>
      </c>
      <c r="AC933" s="27">
        <f>(M933*'RAP TEMPLATE-GAS AVAILABILITY'!O932+N933*'RAP TEMPLATE-GAS AVAILABILITY'!P932+O933*'RAP TEMPLATE-GAS AVAILABILITY'!Q932+P933*'RAP TEMPLATE-GAS AVAILABILITY'!R932)/('RAP TEMPLATE-GAS AVAILABILITY'!O932+'RAP TEMPLATE-GAS AVAILABILITY'!P932+'RAP TEMPLATE-GAS AVAILABILITY'!Q932+'RAP TEMPLATE-GAS AVAILABILITY'!R932)</f>
        <v>30.261928057553963</v>
      </c>
    </row>
    <row r="934" spans="1:29" ht="15.75" x14ac:dyDescent="0.25">
      <c r="A934" s="13">
        <v>69702</v>
      </c>
      <c r="B934" s="10">
        <f>CHOOSE(CONTROL!$C$42, 29.8528, 29.8528) * CHOOSE(CONTROL!$C$21, $C$9, 100%, $E$9)</f>
        <v>29.852799999999998</v>
      </c>
      <c r="C934" s="10">
        <f>CHOOSE(CONTROL!$C$42, 29.858, 29.858) * CHOOSE(CONTROL!$C$21, $C$9, 100%, $E$9)</f>
        <v>29.858000000000001</v>
      </c>
      <c r="D934" s="10">
        <f>CHOOSE(CONTROL!$C$42, 30.0415, 30.0415) * CHOOSE(CONTROL!$C$21, $C$9, 100%, $E$9)</f>
        <v>30.041499999999999</v>
      </c>
      <c r="E934" s="10">
        <f>CHOOSE(CONTROL!$C$42, 30.0703, 30.0703) * CHOOSE(CONTROL!$C$21, $C$9, 100%, $E$9)</f>
        <v>30.0703</v>
      </c>
      <c r="F934" s="10">
        <f>CHOOSE(CONTROL!$C$42, 29.8411, 29.8411)*CHOOSE(CONTROL!$C$21, $C$9, 100%, $E$9)</f>
        <v>29.841100000000001</v>
      </c>
      <c r="G934" s="10">
        <f>CHOOSE(CONTROL!$C$42, 29.859, 29.859)*CHOOSE(CONTROL!$C$21, $C$9, 100%, $E$9)</f>
        <v>29.859000000000002</v>
      </c>
      <c r="H934" s="10">
        <f>CHOOSE(CONTROL!$C$42, 30.0608, 30.0608) * CHOOSE(CONTROL!$C$21, $C$9, 100%, $E$9)</f>
        <v>30.0608</v>
      </c>
      <c r="I934" s="10">
        <f>CHOOSE(CONTROL!$C$42, 29.8314, 29.8314)* CHOOSE(CONTROL!$C$21, $C$9, 100%, $E$9)</f>
        <v>29.831399999999999</v>
      </c>
      <c r="J934" s="10">
        <f>CHOOSE(CONTROL!$C$42, 29.8341, 29.8341)* CHOOSE(CONTROL!$C$21, $C$9, 100%, $E$9)</f>
        <v>29.834099999999999</v>
      </c>
      <c r="K934" s="54">
        <f>CHOOSE(CONTROL!$C$42, 29.8275, 29.8275) * CHOOSE(CONTROL!$C$21, $C$9, 100%, $E$9)</f>
        <v>29.827500000000001</v>
      </c>
      <c r="L934" s="10">
        <f>CHOOSE(CONTROL!$C$42, 30.6478, 30.6478) * CHOOSE(CONTROL!$C$21, $C$9, 100%, $E$9)</f>
        <v>30.6478</v>
      </c>
      <c r="M934" s="10">
        <f>CHOOSE(CONTROL!$C$42, 29.5469, 29.5469) * CHOOSE(CONTROL!$C$21, $C$9, 100%, $E$9)</f>
        <v>29.546900000000001</v>
      </c>
      <c r="N934" s="10">
        <f>CHOOSE(CONTROL!$C$42, 29.5646, 29.5646) * CHOOSE(CONTROL!$C$21, $C$9, 100%, $E$9)</f>
        <v>29.564599999999999</v>
      </c>
      <c r="O934" s="10">
        <f>CHOOSE(CONTROL!$C$42, 29.7712, 29.7712) * CHOOSE(CONTROL!$C$21, $C$9, 100%, $E$9)</f>
        <v>29.7712</v>
      </c>
      <c r="P934" s="10">
        <f>CHOOSE(CONTROL!$C$42, 29.5443, 29.5443) * CHOOSE(CONTROL!$C$21, $C$9, 100%, $E$9)</f>
        <v>29.5443</v>
      </c>
      <c r="Q934" s="10">
        <f>CHOOSE(CONTROL!$C$42, 30.3665, 30.3665) * CHOOSE(CONTROL!$C$21, $C$9, 100%, $E$9)</f>
        <v>30.366499999999998</v>
      </c>
      <c r="R934" s="10">
        <f>CHOOSE(CONTROL!$C$42, 31.0295, 31.0295) * CHOOSE(CONTROL!$C$21, $C$9, 100%, $E$9)</f>
        <v>31.029499999999999</v>
      </c>
      <c r="S934" s="10">
        <f>CHOOSE(CONTROL!$C$42, 28.9875, 28.9875) * CHOOSE(CONTROL!$C$21, $C$9, 100%, $E$9)</f>
        <v>28.987500000000001</v>
      </c>
      <c r="T934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34" s="58">
        <f>(1000*CHOOSE(CONTROL!$C$42, 695, 695)*CHOOSE(CONTROL!$C$42, 0.5599, 0.5599)*CHOOSE(CONTROL!$C$42, 31, 31))/1000000</f>
        <v>12.063045499999998</v>
      </c>
      <c r="V934" s="58">
        <f>(1000*CHOOSE(CONTROL!$C$42, 500, 500)*CHOOSE(CONTROL!$C$42, 0.275, 0.275)*CHOOSE(CONTROL!$C$42, 31, 31))/1000000</f>
        <v>4.2625000000000002</v>
      </c>
      <c r="W934" s="58">
        <f>(1000*CHOOSE(CONTROL!$C$42, 0.1146, 0.1146)*CHOOSE(CONTROL!$C$42, 121.5, 121.5)*CHOOSE(CONTROL!$C$42, 31, 31))/1000000</f>
        <v>0.43164089999999994</v>
      </c>
      <c r="X934" s="58">
        <f>(31*0.1790888*245000/1000000)+(31*0.2374*100000/1000000)</f>
        <v>2.0961194359999999</v>
      </c>
      <c r="Y934" s="58"/>
      <c r="Z934" s="10"/>
      <c r="AA934" s="57"/>
      <c r="AB934" s="51">
        <f>(B934*131.881+C934*277.167+D934*79.08+E934*125.872+F934*40+G934*185+H934*0+I934*100+J934*300)/(131.881+277.167+79.08+125.872+0+40+185+100+300)</f>
        <v>29.882396307021793</v>
      </c>
      <c r="AC934" s="27">
        <f>(M934*'RAP TEMPLATE-GAS AVAILABILITY'!O933+N934*'RAP TEMPLATE-GAS AVAILABILITY'!P933+O934*'RAP TEMPLATE-GAS AVAILABILITY'!Q933+P934*'RAP TEMPLATE-GAS AVAILABILITY'!R933)/('RAP TEMPLATE-GAS AVAILABILITY'!O933+'RAP TEMPLATE-GAS AVAILABILITY'!P933+'RAP TEMPLATE-GAS AVAILABILITY'!Q933+'RAP TEMPLATE-GAS AVAILABILITY'!R933)</f>
        <v>29.649205755395684</v>
      </c>
    </row>
    <row r="935" spans="1:29" ht="15.75" x14ac:dyDescent="0.25">
      <c r="A935" s="13">
        <v>69732</v>
      </c>
      <c r="B935" s="10">
        <f>CHOOSE(CONTROL!$C$42, 30.6388, 30.6388) * CHOOSE(CONTROL!$C$21, $C$9, 100%, $E$9)</f>
        <v>30.6388</v>
      </c>
      <c r="C935" s="10">
        <f>CHOOSE(CONTROL!$C$42, 30.6437, 30.6437) * CHOOSE(CONTROL!$C$21, $C$9, 100%, $E$9)</f>
        <v>30.643699999999999</v>
      </c>
      <c r="D935" s="10">
        <f>CHOOSE(CONTROL!$C$42, 30.6733, 30.6733) * CHOOSE(CONTROL!$C$21, $C$9, 100%, $E$9)</f>
        <v>30.673300000000001</v>
      </c>
      <c r="E935" s="10">
        <f>CHOOSE(CONTROL!$C$42, 30.7071, 30.7071) * CHOOSE(CONTROL!$C$21, $C$9, 100%, $E$9)</f>
        <v>30.707100000000001</v>
      </c>
      <c r="F935" s="10">
        <f>CHOOSE(CONTROL!$C$42, 30.6245, 30.6245)*CHOOSE(CONTROL!$C$21, $C$9, 100%, $E$9)</f>
        <v>30.624500000000001</v>
      </c>
      <c r="G935" s="10">
        <f>CHOOSE(CONTROL!$C$42, 30.6426, 30.6426)*CHOOSE(CONTROL!$C$21, $C$9, 100%, $E$9)</f>
        <v>30.642600000000002</v>
      </c>
      <c r="H935" s="10">
        <f>CHOOSE(CONTROL!$C$42, 30.6963, 30.6963) * CHOOSE(CONTROL!$C$21, $C$9, 100%, $E$9)</f>
        <v>30.696300000000001</v>
      </c>
      <c r="I935" s="10">
        <f>CHOOSE(CONTROL!$C$42, 30.6049, 30.6049)* CHOOSE(CONTROL!$C$21, $C$9, 100%, $E$9)</f>
        <v>30.604900000000001</v>
      </c>
      <c r="J935" s="10">
        <f>CHOOSE(CONTROL!$C$42, 30.6175, 30.6175)* CHOOSE(CONTROL!$C$21, $C$9, 100%, $E$9)</f>
        <v>30.6175</v>
      </c>
      <c r="K935" s="54">
        <f>CHOOSE(CONTROL!$C$42, 30.601, 30.601) * CHOOSE(CONTROL!$C$21, $C$9, 100%, $E$9)</f>
        <v>30.600999999999999</v>
      </c>
      <c r="L935" s="10">
        <f>CHOOSE(CONTROL!$C$42, 31.2833, 31.2833) * CHOOSE(CONTROL!$C$21, $C$9, 100%, $E$9)</f>
        <v>31.283300000000001</v>
      </c>
      <c r="M935" s="10">
        <f>CHOOSE(CONTROL!$C$42, 30.3224, 30.3224) * CHOOSE(CONTROL!$C$21, $C$9, 100%, $E$9)</f>
        <v>30.322399999999998</v>
      </c>
      <c r="N935" s="10">
        <f>CHOOSE(CONTROL!$C$42, 30.3402, 30.3402) * CHOOSE(CONTROL!$C$21, $C$9, 100%, $E$9)</f>
        <v>30.340199999999999</v>
      </c>
      <c r="O935" s="10">
        <f>CHOOSE(CONTROL!$C$42, 30.4003, 30.4003) * CHOOSE(CONTROL!$C$21, $C$9, 100%, $E$9)</f>
        <v>30.400300000000001</v>
      </c>
      <c r="P935" s="10">
        <f>CHOOSE(CONTROL!$C$42, 30.3099, 30.3099) * CHOOSE(CONTROL!$C$21, $C$9, 100%, $E$9)</f>
        <v>30.309899999999999</v>
      </c>
      <c r="Q935" s="10">
        <f>CHOOSE(CONTROL!$C$42, 30.9956, 30.9956) * CHOOSE(CONTROL!$C$21, $C$9, 100%, $E$9)</f>
        <v>30.9956</v>
      </c>
      <c r="R935" s="10">
        <f>CHOOSE(CONTROL!$C$42, 31.6601, 31.6601) * CHOOSE(CONTROL!$C$21, $C$9, 100%, $E$9)</f>
        <v>31.6601</v>
      </c>
      <c r="S935" s="10">
        <f>CHOOSE(CONTROL!$C$42, 29.7512, 29.7512) * CHOOSE(CONTROL!$C$21, $C$9, 100%, $E$9)</f>
        <v>29.751200000000001</v>
      </c>
      <c r="T935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35" s="58">
        <f>(1000*CHOOSE(CONTROL!$C$42, 695, 695)*CHOOSE(CONTROL!$C$42, 0.5599, 0.5599)*CHOOSE(CONTROL!$C$42, 30, 30))/1000000</f>
        <v>11.673914999999997</v>
      </c>
      <c r="V935" s="58">
        <f>(1000*CHOOSE(CONTROL!$C$42, 500, 500)*CHOOSE(CONTROL!$C$42, 0.275, 0.275)*CHOOSE(CONTROL!$C$42, 30, 30))/1000000</f>
        <v>4.125</v>
      </c>
      <c r="W935" s="58">
        <f>(1000*CHOOSE(CONTROL!$C$42, 0.1146, 0.1146)*CHOOSE(CONTROL!$C$42, 121.5, 121.5)*CHOOSE(CONTROL!$C$42, 30, 30))/1000000</f>
        <v>0.417717</v>
      </c>
      <c r="X935" s="58">
        <f>(30*0.1790888*100000/1000000)+(30*0.2374*100000/1000000)</f>
        <v>1.2494664</v>
      </c>
      <c r="Y935" s="58"/>
      <c r="Z935" s="10"/>
      <c r="AA935" s="57"/>
      <c r="AB935" s="51">
        <f>(B935*122.58+C935*297.941+D935*89.177+E935*40.302+F935*40+G935*160+H935*0+I935*100+J935*300)/(122.58+297.941+89.177+40.302+0+40+160+100+300)</f>
        <v>30.636665342608694</v>
      </c>
      <c r="AC935" s="27">
        <f>(M935*'RAP TEMPLATE-GAS AVAILABILITY'!O934+N935*'RAP TEMPLATE-GAS AVAILABILITY'!P934+O935*'RAP TEMPLATE-GAS AVAILABILITY'!Q934+P935*'RAP TEMPLATE-GAS AVAILABILITY'!R934)/('RAP TEMPLATE-GAS AVAILABILITY'!O934+'RAP TEMPLATE-GAS AVAILABILITY'!P934+'RAP TEMPLATE-GAS AVAILABILITY'!Q934+'RAP TEMPLATE-GAS AVAILABILITY'!R934)</f>
        <v>30.356933093525182</v>
      </c>
    </row>
    <row r="936" spans="1:29" ht="15.75" x14ac:dyDescent="0.25">
      <c r="A936" s="13">
        <v>69763</v>
      </c>
      <c r="B936" s="10">
        <f>CHOOSE(CONTROL!$C$42, 32.7275, 32.7275) * CHOOSE(CONTROL!$C$21, $C$9, 100%, $E$9)</f>
        <v>32.727499999999999</v>
      </c>
      <c r="C936" s="10">
        <f>CHOOSE(CONTROL!$C$42, 32.7325, 32.7325) * CHOOSE(CONTROL!$C$21, $C$9, 100%, $E$9)</f>
        <v>32.732500000000002</v>
      </c>
      <c r="D936" s="10">
        <f>CHOOSE(CONTROL!$C$42, 32.7621, 32.7621) * CHOOSE(CONTROL!$C$21, $C$9, 100%, $E$9)</f>
        <v>32.762099999999997</v>
      </c>
      <c r="E936" s="10">
        <f>CHOOSE(CONTROL!$C$42, 32.7958, 32.7958) * CHOOSE(CONTROL!$C$21, $C$9, 100%, $E$9)</f>
        <v>32.7958</v>
      </c>
      <c r="F936" s="10">
        <f>CHOOSE(CONTROL!$C$42, 32.7148, 32.7148)*CHOOSE(CONTROL!$C$21, $C$9, 100%, $E$9)</f>
        <v>32.714799999999997</v>
      </c>
      <c r="G936" s="10">
        <f>CHOOSE(CONTROL!$C$42, 32.7333, 32.7333)*CHOOSE(CONTROL!$C$21, $C$9, 100%, $E$9)</f>
        <v>32.7333</v>
      </c>
      <c r="H936" s="10">
        <f>CHOOSE(CONTROL!$C$42, 32.785, 32.785) * CHOOSE(CONTROL!$C$21, $C$9, 100%, $E$9)</f>
        <v>32.784999999999997</v>
      </c>
      <c r="I936" s="10">
        <f>CHOOSE(CONTROL!$C$42, 32.6937, 32.6937)* CHOOSE(CONTROL!$C$21, $C$9, 100%, $E$9)</f>
        <v>32.6937</v>
      </c>
      <c r="J936" s="10">
        <f>CHOOSE(CONTROL!$C$42, 32.7078, 32.7078)* CHOOSE(CONTROL!$C$21, $C$9, 100%, $E$9)</f>
        <v>32.707799999999999</v>
      </c>
      <c r="K936" s="54">
        <f>CHOOSE(CONTROL!$C$42, 32.6898, 32.6898) * CHOOSE(CONTROL!$C$21, $C$9, 100%, $E$9)</f>
        <v>32.689799999999998</v>
      </c>
      <c r="L936" s="10">
        <f>CHOOSE(CONTROL!$C$42, 33.372, 33.372) * CHOOSE(CONTROL!$C$21, $C$9, 100%, $E$9)</f>
        <v>33.372</v>
      </c>
      <c r="M936" s="10">
        <f>CHOOSE(CONTROL!$C$42, 32.3915, 32.3915) * CHOOSE(CONTROL!$C$21, $C$9, 100%, $E$9)</f>
        <v>32.391500000000001</v>
      </c>
      <c r="N936" s="10">
        <f>CHOOSE(CONTROL!$C$42, 32.4098, 32.4098) * CHOOSE(CONTROL!$C$21, $C$9, 100%, $E$9)</f>
        <v>32.409799999999997</v>
      </c>
      <c r="O936" s="10">
        <f>CHOOSE(CONTROL!$C$42, 32.468, 32.468) * CHOOSE(CONTROL!$C$21, $C$9, 100%, $E$9)</f>
        <v>32.468000000000004</v>
      </c>
      <c r="P936" s="10">
        <f>CHOOSE(CONTROL!$C$42, 32.3776, 32.3776) * CHOOSE(CONTROL!$C$21, $C$9, 100%, $E$9)</f>
        <v>32.377600000000001</v>
      </c>
      <c r="Q936" s="10">
        <f>CHOOSE(CONTROL!$C$42, 33.0633, 33.0633) * CHOOSE(CONTROL!$C$21, $C$9, 100%, $E$9)</f>
        <v>33.063299999999998</v>
      </c>
      <c r="R936" s="10">
        <f>CHOOSE(CONTROL!$C$42, 33.733, 33.733) * CHOOSE(CONTROL!$C$21, $C$9, 100%, $E$9)</f>
        <v>33.732999999999997</v>
      </c>
      <c r="S936" s="10">
        <f>CHOOSE(CONTROL!$C$42, 31.7795, 31.7795) * CHOOSE(CONTROL!$C$21, $C$9, 100%, $E$9)</f>
        <v>31.779499999999999</v>
      </c>
      <c r="T936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36" s="58">
        <f>(1000*CHOOSE(CONTROL!$C$42, 695, 695)*CHOOSE(CONTROL!$C$42, 0.5599, 0.5599)*CHOOSE(CONTROL!$C$42, 31, 31))/1000000</f>
        <v>12.063045499999998</v>
      </c>
      <c r="V936" s="58">
        <f>(1000*CHOOSE(CONTROL!$C$42, 500, 500)*CHOOSE(CONTROL!$C$42, 0.275, 0.275)*CHOOSE(CONTROL!$C$42, 31, 31))/1000000</f>
        <v>4.2625000000000002</v>
      </c>
      <c r="W936" s="58">
        <f>(1000*CHOOSE(CONTROL!$C$42, 0.1146, 0.1146)*CHOOSE(CONTROL!$C$42, 121.5, 121.5)*CHOOSE(CONTROL!$C$42, 31, 31))/1000000</f>
        <v>0.43164089999999994</v>
      </c>
      <c r="X936" s="58">
        <f>(31*0.1790888*100000/1000000)+(31*0.2374*100000/1000000)</f>
        <v>1.2911152800000001</v>
      </c>
      <c r="Y936" s="58"/>
      <c r="Z936" s="10"/>
      <c r="AA936" s="57"/>
      <c r="AB936" s="51">
        <f>(B936*122.58+C936*297.941+D936*89.177+E936*40.302+F936*40+G936*160+H936*0+I936*100+J936*300)/(122.58+297.941+89.177+40.302+0+40+160+100+300)</f>
        <v>32.726159005043478</v>
      </c>
      <c r="AC936" s="27">
        <f>(M936*'RAP TEMPLATE-GAS AVAILABILITY'!O935+N936*'RAP TEMPLATE-GAS AVAILABILITY'!P935+O936*'RAP TEMPLATE-GAS AVAILABILITY'!Q935+P936*'RAP TEMPLATE-GAS AVAILABILITY'!R935)/('RAP TEMPLATE-GAS AVAILABILITY'!O935+'RAP TEMPLATE-GAS AVAILABILITY'!P935+'RAP TEMPLATE-GAS AVAILABILITY'!Q935+'RAP TEMPLATE-GAS AVAILABILITY'!R935)</f>
        <v>32.425225899280576</v>
      </c>
    </row>
    <row r="937" spans="1:29" ht="15.75" x14ac:dyDescent="0.25">
      <c r="A937" s="13">
        <v>69794</v>
      </c>
      <c r="B937" s="10">
        <f>CHOOSE(CONTROL!$C$42, 34.9362, 34.9362) * CHOOSE(CONTROL!$C$21, $C$9, 100%, $E$9)</f>
        <v>34.936199999999999</v>
      </c>
      <c r="C937" s="10">
        <f>CHOOSE(CONTROL!$C$42, 34.9412, 34.9412) * CHOOSE(CONTROL!$C$21, $C$9, 100%, $E$9)</f>
        <v>34.941200000000002</v>
      </c>
      <c r="D937" s="10">
        <f>CHOOSE(CONTROL!$C$42, 34.9914, 34.9914) * CHOOSE(CONTROL!$C$21, $C$9, 100%, $E$9)</f>
        <v>34.991399999999999</v>
      </c>
      <c r="E937" s="10">
        <f>CHOOSE(CONTROL!$C$42, 35.0252, 35.0252) * CHOOSE(CONTROL!$C$21, $C$9, 100%, $E$9)</f>
        <v>35.025199999999998</v>
      </c>
      <c r="F937" s="10">
        <f>CHOOSE(CONTROL!$C$42, 34.9016, 34.9016)*CHOOSE(CONTROL!$C$21, $C$9, 100%, $E$9)</f>
        <v>34.901600000000002</v>
      </c>
      <c r="G937" s="10">
        <f>CHOOSE(CONTROL!$C$42, 34.9191, 34.9191)*CHOOSE(CONTROL!$C$21, $C$9, 100%, $E$9)</f>
        <v>34.9191</v>
      </c>
      <c r="H937" s="10">
        <f>CHOOSE(CONTROL!$C$42, 35.0144, 35.0144) * CHOOSE(CONTROL!$C$21, $C$9, 100%, $E$9)</f>
        <v>35.014400000000002</v>
      </c>
      <c r="I937" s="10">
        <f>CHOOSE(CONTROL!$C$42, 34.9101, 34.9101)* CHOOSE(CONTROL!$C$21, $C$9, 100%, $E$9)</f>
        <v>34.9101</v>
      </c>
      <c r="J937" s="10">
        <f>CHOOSE(CONTROL!$C$42, 34.8946, 34.8946)* CHOOSE(CONTROL!$C$21, $C$9, 100%, $E$9)</f>
        <v>34.894599999999997</v>
      </c>
      <c r="K937" s="54">
        <f>CHOOSE(CONTROL!$C$42, 34.9062, 34.9062) * CHOOSE(CONTROL!$C$21, $C$9, 100%, $E$9)</f>
        <v>34.906199999999998</v>
      </c>
      <c r="L937" s="10">
        <f>CHOOSE(CONTROL!$C$42, 35.6014, 35.6014) * CHOOSE(CONTROL!$C$21, $C$9, 100%, $E$9)</f>
        <v>35.601399999999998</v>
      </c>
      <c r="M937" s="10">
        <f>CHOOSE(CONTROL!$C$42, 34.5563, 34.5563) * CHOOSE(CONTROL!$C$21, $C$9, 100%, $E$9)</f>
        <v>34.5563</v>
      </c>
      <c r="N937" s="10">
        <f>CHOOSE(CONTROL!$C$42, 34.5736, 34.5736) * CHOOSE(CONTROL!$C$21, $C$9, 100%, $E$9)</f>
        <v>34.573599999999999</v>
      </c>
      <c r="O937" s="10">
        <f>CHOOSE(CONTROL!$C$42, 34.6748, 34.6748) * CHOOSE(CONTROL!$C$21, $C$9, 100%, $E$9)</f>
        <v>34.674799999999998</v>
      </c>
      <c r="P937" s="10">
        <f>CHOOSE(CONTROL!$C$42, 34.5717, 34.5717) * CHOOSE(CONTROL!$C$21, $C$9, 100%, $E$9)</f>
        <v>34.5717</v>
      </c>
      <c r="Q937" s="10">
        <f>CHOOSE(CONTROL!$C$42, 35.2701, 35.2701) * CHOOSE(CONTROL!$C$21, $C$9, 100%, $E$9)</f>
        <v>35.270099999999999</v>
      </c>
      <c r="R937" s="10">
        <f>CHOOSE(CONTROL!$C$42, 35.9453, 35.9453) * CHOOSE(CONTROL!$C$21, $C$9, 100%, $E$9)</f>
        <v>35.945300000000003</v>
      </c>
      <c r="S937" s="10">
        <f>CHOOSE(CONTROL!$C$42, 33.9244, 33.9244) * CHOOSE(CONTROL!$C$21, $C$9, 100%, $E$9)</f>
        <v>33.924399999999999</v>
      </c>
      <c r="T937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37" s="58">
        <f>(1000*CHOOSE(CONTROL!$C$42, 695, 695)*CHOOSE(CONTROL!$C$42, 0.5599, 0.5599)*CHOOSE(CONTROL!$C$42, 31, 31))/1000000</f>
        <v>12.063045499999998</v>
      </c>
      <c r="V937" s="58">
        <f>(1000*CHOOSE(CONTROL!$C$42, 500, 500)*CHOOSE(CONTROL!$C$42, 0.275, 0.275)*CHOOSE(CONTROL!$C$42, 31, 31))/1000000</f>
        <v>4.2625000000000002</v>
      </c>
      <c r="W937" s="58">
        <f>(1000*CHOOSE(CONTROL!$C$42, 0.1146, 0.1146)*CHOOSE(CONTROL!$C$42, 121.5, 121.5)*CHOOSE(CONTROL!$C$42, 31, 31))/1000000</f>
        <v>0.43164089999999994</v>
      </c>
      <c r="X937" s="58">
        <f>(31*0.1790888*100000/1000000)+(31*0.2374*100000/1000000)</f>
        <v>1.2911152800000001</v>
      </c>
      <c r="Y937" s="58"/>
      <c r="Z937" s="10"/>
      <c r="AA937" s="57"/>
      <c r="AB937" s="51">
        <f>(B937*122.58+C937*297.941+D937*89.177+E937*40.302+F937*40+G937*160+H937*0+I937*100+J937*300)/(122.58+297.941+89.177+40.302+0+40+160+100+300)</f>
        <v>34.92819056817391</v>
      </c>
      <c r="AC937" s="27">
        <f>(M937*'RAP TEMPLATE-GAS AVAILABILITY'!O936+N937*'RAP TEMPLATE-GAS AVAILABILITY'!P936+O937*'RAP TEMPLATE-GAS AVAILABILITY'!Q936+P937*'RAP TEMPLATE-GAS AVAILABILITY'!R936)/('RAP TEMPLATE-GAS AVAILABILITY'!O936+'RAP TEMPLATE-GAS AVAILABILITY'!P936+'RAP TEMPLATE-GAS AVAILABILITY'!Q936+'RAP TEMPLATE-GAS AVAILABILITY'!R936)</f>
        <v>34.613220143884895</v>
      </c>
    </row>
    <row r="938" spans="1:29" ht="15.75" x14ac:dyDescent="0.25">
      <c r="A938" s="13">
        <v>69822</v>
      </c>
      <c r="B938" s="10">
        <f>CHOOSE(CONTROL!$C$42, 35.5581, 35.5581) * CHOOSE(CONTROL!$C$21, $C$9, 100%, $E$9)</f>
        <v>35.558100000000003</v>
      </c>
      <c r="C938" s="10">
        <f>CHOOSE(CONTROL!$C$42, 35.563, 35.563) * CHOOSE(CONTROL!$C$21, $C$9, 100%, $E$9)</f>
        <v>35.563000000000002</v>
      </c>
      <c r="D938" s="10">
        <f>CHOOSE(CONTROL!$C$42, 35.6802, 35.6802) * CHOOSE(CONTROL!$C$21, $C$9, 100%, $E$9)</f>
        <v>35.680199999999999</v>
      </c>
      <c r="E938" s="10">
        <f>CHOOSE(CONTROL!$C$42, 35.714, 35.714) * CHOOSE(CONTROL!$C$21, $C$9, 100%, $E$9)</f>
        <v>35.713999999999999</v>
      </c>
      <c r="F938" s="10">
        <f>CHOOSE(CONTROL!$C$42, 35.6357, 35.6357)*CHOOSE(CONTROL!$C$21, $C$9, 100%, $E$9)</f>
        <v>35.6357</v>
      </c>
      <c r="G938" s="10">
        <f>CHOOSE(CONTROL!$C$42, 35.6576, 35.6576)*CHOOSE(CONTROL!$C$21, $C$9, 100%, $E$9)</f>
        <v>35.657600000000002</v>
      </c>
      <c r="H938" s="10">
        <f>CHOOSE(CONTROL!$C$42, 35.7031, 35.7031) * CHOOSE(CONTROL!$C$21, $C$9, 100%, $E$9)</f>
        <v>35.703099999999999</v>
      </c>
      <c r="I938" s="10">
        <f>CHOOSE(CONTROL!$C$42, 35.5938, 35.5938)* CHOOSE(CONTROL!$C$21, $C$9, 100%, $E$9)</f>
        <v>35.593800000000002</v>
      </c>
      <c r="J938" s="10">
        <f>CHOOSE(CONTROL!$C$42, 35.6287, 35.6287)* CHOOSE(CONTROL!$C$21, $C$9, 100%, $E$9)</f>
        <v>35.628700000000002</v>
      </c>
      <c r="K938" s="54">
        <f>CHOOSE(CONTROL!$C$42, 35.5899, 35.5899) * CHOOSE(CONTROL!$C$21, $C$9, 100%, $E$9)</f>
        <v>35.5899</v>
      </c>
      <c r="L938" s="10">
        <f>CHOOSE(CONTROL!$C$42, 36.2901, 36.2901) * CHOOSE(CONTROL!$C$21, $C$9, 100%, $E$9)</f>
        <v>36.290100000000002</v>
      </c>
      <c r="M938" s="10">
        <f>CHOOSE(CONTROL!$C$42, 35.2829, 35.2829) * CHOOSE(CONTROL!$C$21, $C$9, 100%, $E$9)</f>
        <v>35.282899999999998</v>
      </c>
      <c r="N938" s="10">
        <f>CHOOSE(CONTROL!$C$42, 35.3046, 35.3046) * CHOOSE(CONTROL!$C$21, $C$9, 100%, $E$9)</f>
        <v>35.304600000000001</v>
      </c>
      <c r="O938" s="10">
        <f>CHOOSE(CONTROL!$C$42, 35.3567, 35.3567) * CHOOSE(CONTROL!$C$21, $C$9, 100%, $E$9)</f>
        <v>35.356699999999996</v>
      </c>
      <c r="P938" s="10">
        <f>CHOOSE(CONTROL!$C$42, 35.2484, 35.2484) * CHOOSE(CONTROL!$C$21, $C$9, 100%, $E$9)</f>
        <v>35.248399999999997</v>
      </c>
      <c r="Q938" s="10">
        <f>CHOOSE(CONTROL!$C$42, 35.952, 35.952) * CHOOSE(CONTROL!$C$21, $C$9, 100%, $E$9)</f>
        <v>35.951999999999998</v>
      </c>
      <c r="R938" s="10">
        <f>CHOOSE(CONTROL!$C$42, 36.6288, 36.6288) * CHOOSE(CONTROL!$C$21, $C$9, 100%, $E$9)</f>
        <v>36.628799999999998</v>
      </c>
      <c r="S938" s="10">
        <f>CHOOSE(CONTROL!$C$42, 34.5283, 34.5283) * CHOOSE(CONTROL!$C$21, $C$9, 100%, $E$9)</f>
        <v>34.528300000000002</v>
      </c>
      <c r="T938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938" s="58">
        <f>(1000*CHOOSE(CONTROL!$C$42, 695, 695)*CHOOSE(CONTROL!$C$42, 0.5599, 0.5599)*CHOOSE(CONTROL!$C$42, 28, 28))/1000000</f>
        <v>10.895653999999999</v>
      </c>
      <c r="V938" s="58">
        <f>(1000*CHOOSE(CONTROL!$C$42, 500, 500)*CHOOSE(CONTROL!$C$42, 0.275, 0.275)*CHOOSE(CONTROL!$C$42, 28, 28))/1000000</f>
        <v>3.85</v>
      </c>
      <c r="W938" s="58">
        <f>(1000*CHOOSE(CONTROL!$C$42, 0.1146, 0.1146)*CHOOSE(CONTROL!$C$42, 121.5, 121.5)*CHOOSE(CONTROL!$C$42, 28, 28))/1000000</f>
        <v>0.38986920000000003</v>
      </c>
      <c r="X938" s="58">
        <f>(28*0.1790888*100000/1000000)+(28*0.2374*100000/1000000)</f>
        <v>1.16616864</v>
      </c>
      <c r="Y938" s="58"/>
      <c r="Z938" s="10"/>
      <c r="AA938" s="57"/>
      <c r="AB938" s="51">
        <f>(B938*122.58+C938*297.941+D938*89.177+E938*40.302+F938*40+G938*160+H938*0+I938*100+J938*300)/(122.58+297.941+89.177+40.302+0+40+160+100+300)</f>
        <v>35.612365656000001</v>
      </c>
      <c r="AC938" s="27">
        <f>(M938*'RAP TEMPLATE-GAS AVAILABILITY'!O937+N938*'RAP TEMPLATE-GAS AVAILABILITY'!P937+O938*'RAP TEMPLATE-GAS AVAILABILITY'!Q937+P938*'RAP TEMPLATE-GAS AVAILABILITY'!R937)/('RAP TEMPLATE-GAS AVAILABILITY'!O937+'RAP TEMPLATE-GAS AVAILABILITY'!P937+'RAP TEMPLATE-GAS AVAILABILITY'!Q937+'RAP TEMPLATE-GAS AVAILABILITY'!R937)</f>
        <v>35.312633812949635</v>
      </c>
    </row>
    <row r="939" spans="1:29" ht="15.75" x14ac:dyDescent="0.25">
      <c r="A939" s="13">
        <v>69853</v>
      </c>
      <c r="B939" s="10">
        <f>CHOOSE(CONTROL!$C$42, 34.5486, 34.5486) * CHOOSE(CONTROL!$C$21, $C$9, 100%, $E$9)</f>
        <v>34.5486</v>
      </c>
      <c r="C939" s="10">
        <f>CHOOSE(CONTROL!$C$42, 34.5536, 34.5536) * CHOOSE(CONTROL!$C$21, $C$9, 100%, $E$9)</f>
        <v>34.553600000000003</v>
      </c>
      <c r="D939" s="10">
        <f>CHOOSE(CONTROL!$C$42, 34.645, 34.645) * CHOOSE(CONTROL!$C$21, $C$9, 100%, $E$9)</f>
        <v>34.645000000000003</v>
      </c>
      <c r="E939" s="10">
        <f>CHOOSE(CONTROL!$C$42, 34.6788, 34.6788) * CHOOSE(CONTROL!$C$21, $C$9, 100%, $E$9)</f>
        <v>34.678800000000003</v>
      </c>
      <c r="F939" s="10">
        <f>CHOOSE(CONTROL!$C$42, 34.5785, 34.5785)*CHOOSE(CONTROL!$C$21, $C$9, 100%, $E$9)</f>
        <v>34.578499999999998</v>
      </c>
      <c r="G939" s="10">
        <f>CHOOSE(CONTROL!$C$42, 34.598, 34.598)*CHOOSE(CONTROL!$C$21, $C$9, 100%, $E$9)</f>
        <v>34.597999999999999</v>
      </c>
      <c r="H939" s="10">
        <f>CHOOSE(CONTROL!$C$42, 34.668, 34.668) * CHOOSE(CONTROL!$C$21, $C$9, 100%, $E$9)</f>
        <v>34.667999999999999</v>
      </c>
      <c r="I939" s="10">
        <f>CHOOSE(CONTROL!$C$42, 34.5715, 34.5715)* CHOOSE(CONTROL!$C$21, $C$9, 100%, $E$9)</f>
        <v>34.5715</v>
      </c>
      <c r="J939" s="10">
        <f>CHOOSE(CONTROL!$C$42, 34.5715, 34.5715)* CHOOSE(CONTROL!$C$21, $C$9, 100%, $E$9)</f>
        <v>34.5715</v>
      </c>
      <c r="K939" s="54">
        <f>CHOOSE(CONTROL!$C$42, 34.5676, 34.5676) * CHOOSE(CONTROL!$C$21, $C$9, 100%, $E$9)</f>
        <v>34.567599999999999</v>
      </c>
      <c r="L939" s="10">
        <f>CHOOSE(CONTROL!$C$42, 35.255, 35.255) * CHOOSE(CONTROL!$C$21, $C$9, 100%, $E$9)</f>
        <v>35.255000000000003</v>
      </c>
      <c r="M939" s="10">
        <f>CHOOSE(CONTROL!$C$42, 34.2364, 34.2364) * CHOOSE(CONTROL!$C$21, $C$9, 100%, $E$9)</f>
        <v>34.236400000000003</v>
      </c>
      <c r="N939" s="10">
        <f>CHOOSE(CONTROL!$C$42, 34.2557, 34.2557) * CHOOSE(CONTROL!$C$21, $C$9, 100%, $E$9)</f>
        <v>34.255699999999997</v>
      </c>
      <c r="O939" s="10">
        <f>CHOOSE(CONTROL!$C$42, 34.3319, 34.3319) * CHOOSE(CONTROL!$C$21, $C$9, 100%, $E$9)</f>
        <v>34.331899999999997</v>
      </c>
      <c r="P939" s="10">
        <f>CHOOSE(CONTROL!$C$42, 34.2364, 34.2364) * CHOOSE(CONTROL!$C$21, $C$9, 100%, $E$9)</f>
        <v>34.236400000000003</v>
      </c>
      <c r="Q939" s="10">
        <f>CHOOSE(CONTROL!$C$42, 34.9272, 34.9272) * CHOOSE(CONTROL!$C$21, $C$9, 100%, $E$9)</f>
        <v>34.927199999999999</v>
      </c>
      <c r="R939" s="10">
        <f>CHOOSE(CONTROL!$C$42, 35.6016, 35.6016) * CHOOSE(CONTROL!$C$21, $C$9, 100%, $E$9)</f>
        <v>35.601599999999998</v>
      </c>
      <c r="S939" s="10">
        <f>CHOOSE(CONTROL!$C$42, 33.5481, 33.5481) * CHOOSE(CONTROL!$C$21, $C$9, 100%, $E$9)</f>
        <v>33.548099999999998</v>
      </c>
      <c r="T939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39" s="58">
        <f>(1000*CHOOSE(CONTROL!$C$42, 695, 695)*CHOOSE(CONTROL!$C$42, 0.5599, 0.5599)*CHOOSE(CONTROL!$C$42, 31, 31))/1000000</f>
        <v>12.063045499999998</v>
      </c>
      <c r="V939" s="58">
        <f>(1000*CHOOSE(CONTROL!$C$42, 500, 500)*CHOOSE(CONTROL!$C$42, 0.275, 0.275)*CHOOSE(CONTROL!$C$42, 31, 31))/1000000</f>
        <v>4.2625000000000002</v>
      </c>
      <c r="W939" s="58">
        <f>(1000*CHOOSE(CONTROL!$C$42, 0.1146, 0.1146)*CHOOSE(CONTROL!$C$42, 121.5, 121.5)*CHOOSE(CONTROL!$C$42, 31, 31))/1000000</f>
        <v>0.43164089999999994</v>
      </c>
      <c r="X939" s="58">
        <f>(31*0.1790888*100000/1000000)+(31*0.2374*100000/1000000)</f>
        <v>1.2911152800000001</v>
      </c>
      <c r="Y939" s="58"/>
      <c r="Z939" s="10"/>
      <c r="AA939" s="57"/>
      <c r="AB939" s="51">
        <f>(B939*122.58+C939*297.941+D939*89.177+E939*40.302+F939*40+G939*160+H939*0+I939*100+J939*300)/(122.58+297.941+89.177+40.302+0+40+160+100+300)</f>
        <v>34.577811902782614</v>
      </c>
      <c r="AC939" s="27">
        <f>(M939*'RAP TEMPLATE-GAS AVAILABILITY'!O938+N939*'RAP TEMPLATE-GAS AVAILABILITY'!P938+O939*'RAP TEMPLATE-GAS AVAILABILITY'!Q938+P939*'RAP TEMPLATE-GAS AVAILABILITY'!R938)/('RAP TEMPLATE-GAS AVAILABILITY'!O938+'RAP TEMPLATE-GAS AVAILABILITY'!P938+'RAP TEMPLATE-GAS AVAILABILITY'!Q938+'RAP TEMPLATE-GAS AVAILABILITY'!R938)</f>
        <v>34.280794964028772</v>
      </c>
    </row>
    <row r="940" spans="1:29" ht="15.75" x14ac:dyDescent="0.25">
      <c r="A940" s="13">
        <v>69883</v>
      </c>
      <c r="B940" s="10">
        <f>CHOOSE(CONTROL!$C$42, 34.446, 34.446) * CHOOSE(CONTROL!$C$21, $C$9, 100%, $E$9)</f>
        <v>34.445999999999998</v>
      </c>
      <c r="C940" s="10">
        <f>CHOOSE(CONTROL!$C$42, 34.4504, 34.4504) * CHOOSE(CONTROL!$C$21, $C$9, 100%, $E$9)</f>
        <v>34.450400000000002</v>
      </c>
      <c r="D940" s="10">
        <f>CHOOSE(CONTROL!$C$42, 34.632, 34.632) * CHOOSE(CONTROL!$C$21, $C$9, 100%, $E$9)</f>
        <v>34.631999999999998</v>
      </c>
      <c r="E940" s="10">
        <f>CHOOSE(CONTROL!$C$42, 34.6638, 34.6638) * CHOOSE(CONTROL!$C$21, $C$9, 100%, $E$9)</f>
        <v>34.663800000000002</v>
      </c>
      <c r="F940" s="10">
        <f>CHOOSE(CONTROL!$C$42, 34.4343, 34.4343)*CHOOSE(CONTROL!$C$21, $C$9, 100%, $E$9)</f>
        <v>34.4343</v>
      </c>
      <c r="G940" s="10">
        <f>CHOOSE(CONTROL!$C$42, 34.4523, 34.4523)*CHOOSE(CONTROL!$C$21, $C$9, 100%, $E$9)</f>
        <v>34.452300000000001</v>
      </c>
      <c r="H940" s="10">
        <f>CHOOSE(CONTROL!$C$42, 34.6536, 34.6536) * CHOOSE(CONTROL!$C$21, $C$9, 100%, $E$9)</f>
        <v>34.653599999999997</v>
      </c>
      <c r="I940" s="10">
        <f>CHOOSE(CONTROL!$C$42, 34.4243, 34.4243)* CHOOSE(CONTROL!$C$21, $C$9, 100%, $E$9)</f>
        <v>34.424300000000002</v>
      </c>
      <c r="J940" s="10">
        <f>CHOOSE(CONTROL!$C$42, 34.4273, 34.4273)* CHOOSE(CONTROL!$C$21, $C$9, 100%, $E$9)</f>
        <v>34.427300000000002</v>
      </c>
      <c r="K940" s="54">
        <f>CHOOSE(CONTROL!$C$42, 34.4204, 34.4204) * CHOOSE(CONTROL!$C$21, $C$9, 100%, $E$9)</f>
        <v>34.420400000000001</v>
      </c>
      <c r="L940" s="10">
        <f>CHOOSE(CONTROL!$C$42, 35.2406, 35.2406) * CHOOSE(CONTROL!$C$21, $C$9, 100%, $E$9)</f>
        <v>35.240600000000001</v>
      </c>
      <c r="M940" s="10">
        <f>CHOOSE(CONTROL!$C$42, 34.0937, 34.0937) * CHOOSE(CONTROL!$C$21, $C$9, 100%, $E$9)</f>
        <v>34.093699999999998</v>
      </c>
      <c r="N940" s="10">
        <f>CHOOSE(CONTROL!$C$42, 34.1115, 34.1115) * CHOOSE(CONTROL!$C$21, $C$9, 100%, $E$9)</f>
        <v>34.111499999999999</v>
      </c>
      <c r="O940" s="10">
        <f>CHOOSE(CONTROL!$C$42, 34.3177, 34.3177) * CHOOSE(CONTROL!$C$21, $C$9, 100%, $E$9)</f>
        <v>34.317700000000002</v>
      </c>
      <c r="P940" s="10">
        <f>CHOOSE(CONTROL!$C$42, 34.0907, 34.0907) * CHOOSE(CONTROL!$C$21, $C$9, 100%, $E$9)</f>
        <v>34.090699999999998</v>
      </c>
      <c r="Q940" s="10">
        <f>CHOOSE(CONTROL!$C$42, 34.913, 34.913) * CHOOSE(CONTROL!$C$21, $C$9, 100%, $E$9)</f>
        <v>34.912999999999997</v>
      </c>
      <c r="R940" s="10">
        <f>CHOOSE(CONTROL!$C$42, 35.5873, 35.5873) * CHOOSE(CONTROL!$C$21, $C$9, 100%, $E$9)</f>
        <v>35.587299999999999</v>
      </c>
      <c r="S940" s="10">
        <f>CHOOSE(CONTROL!$C$42, 33.4476, 33.4476) * CHOOSE(CONTROL!$C$21, $C$9, 100%, $E$9)</f>
        <v>33.447600000000001</v>
      </c>
      <c r="T940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940" s="58">
        <f>(1000*CHOOSE(CONTROL!$C$42, 695, 695)*CHOOSE(CONTROL!$C$42, 0.5599, 0.5599)*CHOOSE(CONTROL!$C$42, 30, 30))/1000000</f>
        <v>11.673914999999997</v>
      </c>
      <c r="V940" s="58">
        <f>(1000*CHOOSE(CONTROL!$C$42, 500, 500)*CHOOSE(CONTROL!$C$42, 0.275, 0.275)*CHOOSE(CONTROL!$C$42, 30, 30))/1000000</f>
        <v>4.125</v>
      </c>
      <c r="W940" s="58">
        <f>(1000*CHOOSE(CONTROL!$C$42, 0.1146, 0.1146)*CHOOSE(CONTROL!$C$42, 121.5, 121.5)*CHOOSE(CONTROL!$C$42, 30, 30))/1000000</f>
        <v>0.417717</v>
      </c>
      <c r="X940" s="58">
        <f>(30*0.1790888*245000/1000000)+(30*0.2374*100000/1000000)</f>
        <v>2.0285026799999999</v>
      </c>
      <c r="Y940" s="58"/>
      <c r="Z940" s="10"/>
      <c r="AA940" s="57"/>
      <c r="AB940" s="51">
        <f>(B940*141.293+C940*267.993+D940*115.016+E940*89.698+F940*40+G940*185+H940*0+I940*100+J940*300)/(141.293+267.993+115.016+89.698+0+40+185+100+300)</f>
        <v>34.474269466989504</v>
      </c>
      <c r="AC940" s="27">
        <f>(M940*'RAP TEMPLATE-GAS AVAILABILITY'!O939+N940*'RAP TEMPLATE-GAS AVAILABILITY'!P939+O940*'RAP TEMPLATE-GAS AVAILABILITY'!Q939+P940*'RAP TEMPLATE-GAS AVAILABILITY'!R939)/('RAP TEMPLATE-GAS AVAILABILITY'!O939+'RAP TEMPLATE-GAS AVAILABILITY'!P939+'RAP TEMPLATE-GAS AVAILABILITY'!Q939+'RAP TEMPLATE-GAS AVAILABILITY'!R939)</f>
        <v>34.195817985611512</v>
      </c>
    </row>
    <row r="941" spans="1:29" ht="15.75" x14ac:dyDescent="0.25">
      <c r="A941" s="13">
        <v>69914</v>
      </c>
      <c r="B941" s="10">
        <f>CHOOSE(CONTROL!$C$42, 34.7518, 34.7518) * CHOOSE(CONTROL!$C$21, $C$9, 100%, $E$9)</f>
        <v>34.751800000000003</v>
      </c>
      <c r="C941" s="10">
        <f>CHOOSE(CONTROL!$C$42, 34.7597, 34.7597) * CHOOSE(CONTROL!$C$21, $C$9, 100%, $E$9)</f>
        <v>34.759700000000002</v>
      </c>
      <c r="D941" s="10">
        <f>CHOOSE(CONTROL!$C$42, 34.9382, 34.9382) * CHOOSE(CONTROL!$C$21, $C$9, 100%, $E$9)</f>
        <v>34.938200000000002</v>
      </c>
      <c r="E941" s="10">
        <f>CHOOSE(CONTROL!$C$42, 34.9694, 34.9694) * CHOOSE(CONTROL!$C$21, $C$9, 100%, $E$9)</f>
        <v>34.9694</v>
      </c>
      <c r="F941" s="10">
        <f>CHOOSE(CONTROL!$C$42, 34.738, 34.738)*CHOOSE(CONTROL!$C$21, $C$9, 100%, $E$9)</f>
        <v>34.738</v>
      </c>
      <c r="G941" s="10">
        <f>CHOOSE(CONTROL!$C$42, 34.7561, 34.7561)*CHOOSE(CONTROL!$C$21, $C$9, 100%, $E$9)</f>
        <v>34.756100000000004</v>
      </c>
      <c r="H941" s="10">
        <f>CHOOSE(CONTROL!$C$42, 34.958, 34.958) * CHOOSE(CONTROL!$C$21, $C$9, 100%, $E$9)</f>
        <v>34.957999999999998</v>
      </c>
      <c r="I941" s="10">
        <f>CHOOSE(CONTROL!$C$42, 34.7286, 34.7286)* CHOOSE(CONTROL!$C$21, $C$9, 100%, $E$9)</f>
        <v>34.7286</v>
      </c>
      <c r="J941" s="10">
        <f>CHOOSE(CONTROL!$C$42, 34.731, 34.731)* CHOOSE(CONTROL!$C$21, $C$9, 100%, $E$9)</f>
        <v>34.731000000000002</v>
      </c>
      <c r="K941" s="54">
        <f>CHOOSE(CONTROL!$C$42, 34.7247, 34.7247) * CHOOSE(CONTROL!$C$21, $C$9, 100%, $E$9)</f>
        <v>34.724699999999999</v>
      </c>
      <c r="L941" s="10">
        <f>CHOOSE(CONTROL!$C$42, 35.545, 35.545) * CHOOSE(CONTROL!$C$21, $C$9, 100%, $E$9)</f>
        <v>35.545000000000002</v>
      </c>
      <c r="M941" s="10">
        <f>CHOOSE(CONTROL!$C$42, 34.3943, 34.3943) * CHOOSE(CONTROL!$C$21, $C$9, 100%, $E$9)</f>
        <v>34.394300000000001</v>
      </c>
      <c r="N941" s="10">
        <f>CHOOSE(CONTROL!$C$42, 34.4123, 34.4123) * CHOOSE(CONTROL!$C$21, $C$9, 100%, $E$9)</f>
        <v>34.412300000000002</v>
      </c>
      <c r="O941" s="10">
        <f>CHOOSE(CONTROL!$C$42, 34.619, 34.619) * CHOOSE(CONTROL!$C$21, $C$9, 100%, $E$9)</f>
        <v>34.619</v>
      </c>
      <c r="P941" s="10">
        <f>CHOOSE(CONTROL!$C$42, 34.392, 34.392) * CHOOSE(CONTROL!$C$21, $C$9, 100%, $E$9)</f>
        <v>34.392000000000003</v>
      </c>
      <c r="Q941" s="10">
        <f>CHOOSE(CONTROL!$C$42, 35.2143, 35.2143) * CHOOSE(CONTROL!$C$21, $C$9, 100%, $E$9)</f>
        <v>35.214300000000001</v>
      </c>
      <c r="R941" s="10">
        <f>CHOOSE(CONTROL!$C$42, 35.8894, 35.8894) * CHOOSE(CONTROL!$C$21, $C$9, 100%, $E$9)</f>
        <v>35.889400000000002</v>
      </c>
      <c r="S941" s="10">
        <f>CHOOSE(CONTROL!$C$42, 33.7432, 33.7432) * CHOOSE(CONTROL!$C$21, $C$9, 100%, $E$9)</f>
        <v>33.743200000000002</v>
      </c>
      <c r="T941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941" s="58">
        <f>(1000*CHOOSE(CONTROL!$C$42, 695, 695)*CHOOSE(CONTROL!$C$42, 0.5599, 0.5599)*CHOOSE(CONTROL!$C$42, 31, 31))/1000000</f>
        <v>12.063045499999998</v>
      </c>
      <c r="V941" s="58">
        <f>(1000*CHOOSE(CONTROL!$C$42, 500, 500)*CHOOSE(CONTROL!$C$42, 0.275, 0.275)*CHOOSE(CONTROL!$C$42, 31, 31))/1000000</f>
        <v>4.2625000000000002</v>
      </c>
      <c r="W941" s="58">
        <f>(1000*CHOOSE(CONTROL!$C$42, 0.1146, 0.1146)*CHOOSE(CONTROL!$C$42, 121.5, 121.5)*CHOOSE(CONTROL!$C$42, 31, 31))/1000000</f>
        <v>0.43164089999999994</v>
      </c>
      <c r="X941" s="58">
        <f>(31*0.1790888*245000/1000000)+(31*0.2374*100000/1000000)</f>
        <v>2.0961194359999999</v>
      </c>
      <c r="Y941" s="58"/>
      <c r="Z941" s="10"/>
      <c r="AA941" s="57"/>
      <c r="AB941" s="51">
        <f>(B941*194.205+C941*267.466+D941*133.845+E941*53.484+F941*40+G941*185+H941*0+I941*100+J941*300)/(194.205+267.466+133.845+53.484+0+40+185+100+300)</f>
        <v>34.77564875023549</v>
      </c>
      <c r="AC941" s="27">
        <f>(M941*'RAP TEMPLATE-GAS AVAILABILITY'!O940+N941*'RAP TEMPLATE-GAS AVAILABILITY'!P940+O941*'RAP TEMPLATE-GAS AVAILABILITY'!Q940+P941*'RAP TEMPLATE-GAS AVAILABILITY'!R940)/('RAP TEMPLATE-GAS AVAILABILITY'!O940+'RAP TEMPLATE-GAS AVAILABILITY'!P940+'RAP TEMPLATE-GAS AVAILABILITY'!Q940+'RAP TEMPLATE-GAS AVAILABILITY'!R940)</f>
        <v>34.496847482014388</v>
      </c>
    </row>
    <row r="942" spans="1:29" ht="15.75" x14ac:dyDescent="0.25">
      <c r="A942" s="13">
        <v>69944</v>
      </c>
      <c r="B942" s="10">
        <f>CHOOSE(CONTROL!$C$42, 35.7374, 35.7374) * CHOOSE(CONTROL!$C$21, $C$9, 100%, $E$9)</f>
        <v>35.737400000000001</v>
      </c>
      <c r="C942" s="10">
        <f>CHOOSE(CONTROL!$C$42, 35.7453, 35.7453) * CHOOSE(CONTROL!$C$21, $C$9, 100%, $E$9)</f>
        <v>35.7453</v>
      </c>
      <c r="D942" s="10">
        <f>CHOOSE(CONTROL!$C$42, 35.9238, 35.9238) * CHOOSE(CONTROL!$C$21, $C$9, 100%, $E$9)</f>
        <v>35.9238</v>
      </c>
      <c r="E942" s="10">
        <f>CHOOSE(CONTROL!$C$42, 35.955, 35.955) * CHOOSE(CONTROL!$C$21, $C$9, 100%, $E$9)</f>
        <v>35.954999999999998</v>
      </c>
      <c r="F942" s="10">
        <f>CHOOSE(CONTROL!$C$42, 35.7238, 35.7238)*CHOOSE(CONTROL!$C$21, $C$9, 100%, $E$9)</f>
        <v>35.723799999999997</v>
      </c>
      <c r="G942" s="10">
        <f>CHOOSE(CONTROL!$C$42, 35.7421, 35.7421)*CHOOSE(CONTROL!$C$21, $C$9, 100%, $E$9)</f>
        <v>35.742100000000001</v>
      </c>
      <c r="H942" s="10">
        <f>CHOOSE(CONTROL!$C$42, 35.9436, 35.9436) * CHOOSE(CONTROL!$C$21, $C$9, 100%, $E$9)</f>
        <v>35.943600000000004</v>
      </c>
      <c r="I942" s="10">
        <f>CHOOSE(CONTROL!$C$42, 35.7143, 35.7143)* CHOOSE(CONTROL!$C$21, $C$9, 100%, $E$9)</f>
        <v>35.714300000000001</v>
      </c>
      <c r="J942" s="10">
        <f>CHOOSE(CONTROL!$C$42, 35.7168, 35.7168)* CHOOSE(CONTROL!$C$21, $C$9, 100%, $E$9)</f>
        <v>35.716799999999999</v>
      </c>
      <c r="K942" s="54">
        <f>CHOOSE(CONTROL!$C$42, 35.7104, 35.7104) * CHOOSE(CONTROL!$C$21, $C$9, 100%, $E$9)</f>
        <v>35.7104</v>
      </c>
      <c r="L942" s="10">
        <f>CHOOSE(CONTROL!$C$42, 36.5306, 36.5306) * CHOOSE(CONTROL!$C$21, $C$9, 100%, $E$9)</f>
        <v>36.5306</v>
      </c>
      <c r="M942" s="10">
        <f>CHOOSE(CONTROL!$C$42, 35.3702, 35.3702) * CHOOSE(CONTROL!$C$21, $C$9, 100%, $E$9)</f>
        <v>35.370199999999997</v>
      </c>
      <c r="N942" s="10">
        <f>CHOOSE(CONTROL!$C$42, 35.3883, 35.3883) * CHOOSE(CONTROL!$C$21, $C$9, 100%, $E$9)</f>
        <v>35.388300000000001</v>
      </c>
      <c r="O942" s="10">
        <f>CHOOSE(CONTROL!$C$42, 35.5947, 35.5947) * CHOOSE(CONTROL!$C$21, $C$9, 100%, $E$9)</f>
        <v>35.594700000000003</v>
      </c>
      <c r="P942" s="10">
        <f>CHOOSE(CONTROL!$C$42, 35.3677, 35.3677) * CHOOSE(CONTROL!$C$21, $C$9, 100%, $E$9)</f>
        <v>35.367699999999999</v>
      </c>
      <c r="Q942" s="10">
        <f>CHOOSE(CONTROL!$C$42, 36.19, 36.19) * CHOOSE(CONTROL!$C$21, $C$9, 100%, $E$9)</f>
        <v>36.19</v>
      </c>
      <c r="R942" s="10">
        <f>CHOOSE(CONTROL!$C$42, 36.8675, 36.8675) * CHOOSE(CONTROL!$C$21, $C$9, 100%, $E$9)</f>
        <v>36.8675</v>
      </c>
      <c r="S942" s="10">
        <f>CHOOSE(CONTROL!$C$42, 34.7003, 34.7003) * CHOOSE(CONTROL!$C$21, $C$9, 100%, $E$9)</f>
        <v>34.700299999999999</v>
      </c>
      <c r="T942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42" s="58">
        <f>(1000*CHOOSE(CONTROL!$C$42, 695, 695)*CHOOSE(CONTROL!$C$42, 0.5599, 0.5599)*CHOOSE(CONTROL!$C$42, 30, 30))/1000000</f>
        <v>11.673914999999997</v>
      </c>
      <c r="V942" s="58">
        <f>(1000*CHOOSE(CONTROL!$C$42, 500, 500)*CHOOSE(CONTROL!$C$42, 0.275, 0.275)*CHOOSE(CONTROL!$C$42, 30, 30))/1000000</f>
        <v>4.125</v>
      </c>
      <c r="W942" s="58">
        <f>(1000*CHOOSE(CONTROL!$C$42, 0.1146, 0.1146)*CHOOSE(CONTROL!$C$42, 121.5, 121.5)*CHOOSE(CONTROL!$C$42, 30, 30))/1000000</f>
        <v>0.417717</v>
      </c>
      <c r="X942" s="58">
        <f>(30*0.1790888*245000/1000000)+(30*0.2374*100000/1000000)</f>
        <v>2.0285026799999999</v>
      </c>
      <c r="Y942" s="58"/>
      <c r="Z942" s="10"/>
      <c r="AA942" s="57"/>
      <c r="AB942" s="51">
        <f>(B942*194.205+C942*267.466+D942*133.845+E942*53.484+F942*40+G942*185+H942*0+I942*100+J942*300)/(194.205+267.466+133.845+53.484+0+40+185+100+300)</f>
        <v>35.761368059497649</v>
      </c>
      <c r="AC942" s="27">
        <f>(M942*'RAP TEMPLATE-GAS AVAILABILITY'!O941+N942*'RAP TEMPLATE-GAS AVAILABILITY'!P941+O942*'RAP TEMPLATE-GAS AVAILABILITY'!Q941+P942*'RAP TEMPLATE-GAS AVAILABILITY'!R941)/('RAP TEMPLATE-GAS AVAILABILITY'!O941+'RAP TEMPLATE-GAS AVAILABILITY'!P941+'RAP TEMPLATE-GAS AVAILABILITY'!Q941+'RAP TEMPLATE-GAS AVAILABILITY'!R941)</f>
        <v>35.472633812949645</v>
      </c>
    </row>
    <row r="943" spans="1:29" ht="15.75" x14ac:dyDescent="0.25">
      <c r="A943" s="13">
        <v>69975</v>
      </c>
      <c r="B943" s="10">
        <f>CHOOSE(CONTROL!$C$42, 35.0519, 35.0519) * CHOOSE(CONTROL!$C$21, $C$9, 100%, $E$9)</f>
        <v>35.051900000000003</v>
      </c>
      <c r="C943" s="10">
        <f>CHOOSE(CONTROL!$C$42, 35.0598, 35.0598) * CHOOSE(CONTROL!$C$21, $C$9, 100%, $E$9)</f>
        <v>35.059800000000003</v>
      </c>
      <c r="D943" s="10">
        <f>CHOOSE(CONTROL!$C$42, 35.2383, 35.2383) * CHOOSE(CONTROL!$C$21, $C$9, 100%, $E$9)</f>
        <v>35.238300000000002</v>
      </c>
      <c r="E943" s="10">
        <f>CHOOSE(CONTROL!$C$42, 35.2695, 35.2695) * CHOOSE(CONTROL!$C$21, $C$9, 100%, $E$9)</f>
        <v>35.269500000000001</v>
      </c>
      <c r="F943" s="10">
        <f>CHOOSE(CONTROL!$C$42, 35.0386, 35.0386)*CHOOSE(CONTROL!$C$21, $C$9, 100%, $E$9)</f>
        <v>35.038600000000002</v>
      </c>
      <c r="G943" s="10">
        <f>CHOOSE(CONTROL!$C$42, 35.0569, 35.0569)*CHOOSE(CONTROL!$C$21, $C$9, 100%, $E$9)</f>
        <v>35.056899999999999</v>
      </c>
      <c r="H943" s="10">
        <f>CHOOSE(CONTROL!$C$42, 35.2581, 35.2581) * CHOOSE(CONTROL!$C$21, $C$9, 100%, $E$9)</f>
        <v>35.258099999999999</v>
      </c>
      <c r="I943" s="10">
        <f>CHOOSE(CONTROL!$C$42, 35.0288, 35.0288)* CHOOSE(CONTROL!$C$21, $C$9, 100%, $E$9)</f>
        <v>35.028799999999997</v>
      </c>
      <c r="J943" s="10">
        <f>CHOOSE(CONTROL!$C$42, 35.0316, 35.0316)* CHOOSE(CONTROL!$C$21, $C$9, 100%, $E$9)</f>
        <v>35.031599999999997</v>
      </c>
      <c r="K943" s="54">
        <f>CHOOSE(CONTROL!$C$42, 35.0249, 35.0249) * CHOOSE(CONTROL!$C$21, $C$9, 100%, $E$9)</f>
        <v>35.024900000000002</v>
      </c>
      <c r="L943" s="10">
        <f>CHOOSE(CONTROL!$C$42, 35.8451, 35.8451) * CHOOSE(CONTROL!$C$21, $C$9, 100%, $E$9)</f>
        <v>35.845100000000002</v>
      </c>
      <c r="M943" s="10">
        <f>CHOOSE(CONTROL!$C$42, 34.6919, 34.6919) * CHOOSE(CONTROL!$C$21, $C$9, 100%, $E$9)</f>
        <v>34.691899999999997</v>
      </c>
      <c r="N943" s="10">
        <f>CHOOSE(CONTROL!$C$42, 34.71, 34.71) * CHOOSE(CONTROL!$C$21, $C$9, 100%, $E$9)</f>
        <v>34.71</v>
      </c>
      <c r="O943" s="10">
        <f>CHOOSE(CONTROL!$C$42, 34.9161, 34.9161) * CHOOSE(CONTROL!$C$21, $C$9, 100%, $E$9)</f>
        <v>34.9161</v>
      </c>
      <c r="P943" s="10">
        <f>CHOOSE(CONTROL!$C$42, 34.6891, 34.6891) * CHOOSE(CONTROL!$C$21, $C$9, 100%, $E$9)</f>
        <v>34.689100000000003</v>
      </c>
      <c r="Q943" s="10">
        <f>CHOOSE(CONTROL!$C$42, 35.5114, 35.5114) * CHOOSE(CONTROL!$C$21, $C$9, 100%, $E$9)</f>
        <v>35.511400000000002</v>
      </c>
      <c r="R943" s="10">
        <f>CHOOSE(CONTROL!$C$42, 36.1872, 36.1872) * CHOOSE(CONTROL!$C$21, $C$9, 100%, $E$9)</f>
        <v>36.187199999999997</v>
      </c>
      <c r="S943" s="10">
        <f>CHOOSE(CONTROL!$C$42, 34.0346, 34.0346) * CHOOSE(CONTROL!$C$21, $C$9, 100%, $E$9)</f>
        <v>34.034599999999998</v>
      </c>
      <c r="T943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43" s="58">
        <f>(1000*CHOOSE(CONTROL!$C$42, 695, 695)*CHOOSE(CONTROL!$C$42, 0.5599, 0.5599)*CHOOSE(CONTROL!$C$42, 31, 31))/1000000</f>
        <v>12.063045499999998</v>
      </c>
      <c r="V943" s="58">
        <f>(1000*CHOOSE(CONTROL!$C$42, 500, 500)*CHOOSE(CONTROL!$C$42, 0.275, 0.275)*CHOOSE(CONTROL!$C$42, 31, 31))/1000000</f>
        <v>4.2625000000000002</v>
      </c>
      <c r="W943" s="58">
        <f>(1000*CHOOSE(CONTROL!$C$42, 0.1146, 0.1146)*CHOOSE(CONTROL!$C$42, 121.5, 121.5)*CHOOSE(CONTROL!$C$42, 31, 31))/1000000</f>
        <v>0.43164089999999994</v>
      </c>
      <c r="X943" s="58">
        <f>(31*0.1790888*245000/1000000)+(31*0.2374*100000/1000000)</f>
        <v>2.0961194359999999</v>
      </c>
      <c r="Y943" s="58"/>
      <c r="Z943" s="10"/>
      <c r="AA943" s="57"/>
      <c r="AB943" s="51">
        <f>(B943*194.205+C943*267.466+D943*133.845+E943*53.484+F943*40+G943*185+H943*0+I943*100+J943*300)/(194.205+267.466+133.845+53.484+0+40+185+100+300)</f>
        <v>35.075991685871273</v>
      </c>
      <c r="AC943" s="27">
        <f>(M943*'RAP TEMPLATE-GAS AVAILABILITY'!O942+N943*'RAP TEMPLATE-GAS AVAILABILITY'!P942+O943*'RAP TEMPLATE-GAS AVAILABILITY'!Q942+P943*'RAP TEMPLATE-GAS AVAILABILITY'!R942)/('RAP TEMPLATE-GAS AVAILABILITY'!O942+'RAP TEMPLATE-GAS AVAILABILITY'!P942+'RAP TEMPLATE-GAS AVAILABILITY'!Q942+'RAP TEMPLATE-GAS AVAILABILITY'!R942)</f>
        <v>34.794154676258991</v>
      </c>
    </row>
    <row r="944" spans="1:29" ht="15.75" x14ac:dyDescent="0.25">
      <c r="A944" s="13">
        <v>70006</v>
      </c>
      <c r="B944" s="10">
        <f>CHOOSE(CONTROL!$C$42, 33.3208, 33.3208) * CHOOSE(CONTROL!$C$21, $C$9, 100%, $E$9)</f>
        <v>33.320799999999998</v>
      </c>
      <c r="C944" s="10">
        <f>CHOOSE(CONTROL!$C$42, 33.3287, 33.3287) * CHOOSE(CONTROL!$C$21, $C$9, 100%, $E$9)</f>
        <v>33.328699999999998</v>
      </c>
      <c r="D944" s="10">
        <f>CHOOSE(CONTROL!$C$42, 33.5072, 33.5072) * CHOOSE(CONTROL!$C$21, $C$9, 100%, $E$9)</f>
        <v>33.507199999999997</v>
      </c>
      <c r="E944" s="10">
        <f>CHOOSE(CONTROL!$C$42, 33.5383, 33.5383) * CHOOSE(CONTROL!$C$21, $C$9, 100%, $E$9)</f>
        <v>33.5383</v>
      </c>
      <c r="F944" s="10">
        <f>CHOOSE(CONTROL!$C$42, 33.3074, 33.3074)*CHOOSE(CONTROL!$C$21, $C$9, 100%, $E$9)</f>
        <v>33.307400000000001</v>
      </c>
      <c r="G944" s="10">
        <f>CHOOSE(CONTROL!$C$42, 33.3257, 33.3257)*CHOOSE(CONTROL!$C$21, $C$9, 100%, $E$9)</f>
        <v>33.325699999999998</v>
      </c>
      <c r="H944" s="10">
        <f>CHOOSE(CONTROL!$C$42, 33.527, 33.527) * CHOOSE(CONTROL!$C$21, $C$9, 100%, $E$9)</f>
        <v>33.527000000000001</v>
      </c>
      <c r="I944" s="10">
        <f>CHOOSE(CONTROL!$C$42, 33.2976, 33.2976)* CHOOSE(CONTROL!$C$21, $C$9, 100%, $E$9)</f>
        <v>33.297600000000003</v>
      </c>
      <c r="J944" s="10">
        <f>CHOOSE(CONTROL!$C$42, 33.3004, 33.3004)* CHOOSE(CONTROL!$C$21, $C$9, 100%, $E$9)</f>
        <v>33.300400000000003</v>
      </c>
      <c r="K944" s="54">
        <f>CHOOSE(CONTROL!$C$42, 33.2937, 33.2937) * CHOOSE(CONTROL!$C$21, $C$9, 100%, $E$9)</f>
        <v>33.293700000000001</v>
      </c>
      <c r="L944" s="10">
        <f>CHOOSE(CONTROL!$C$42, 34.114, 34.114) * CHOOSE(CONTROL!$C$21, $C$9, 100%, $E$9)</f>
        <v>34.113999999999997</v>
      </c>
      <c r="M944" s="10">
        <f>CHOOSE(CONTROL!$C$42, 32.9782, 32.9782) * CHOOSE(CONTROL!$C$21, $C$9, 100%, $E$9)</f>
        <v>32.978200000000001</v>
      </c>
      <c r="N944" s="10">
        <f>CHOOSE(CONTROL!$C$42, 32.9963, 32.9963) * CHOOSE(CONTROL!$C$21, $C$9, 100%, $E$9)</f>
        <v>32.996299999999998</v>
      </c>
      <c r="O944" s="10">
        <f>CHOOSE(CONTROL!$C$42, 33.2025, 33.2025) * CHOOSE(CONTROL!$C$21, $C$9, 100%, $E$9)</f>
        <v>33.202500000000001</v>
      </c>
      <c r="P944" s="10">
        <f>CHOOSE(CONTROL!$C$42, 32.9755, 32.9755) * CHOOSE(CONTROL!$C$21, $C$9, 100%, $E$9)</f>
        <v>32.975499999999997</v>
      </c>
      <c r="Q944" s="10">
        <f>CHOOSE(CONTROL!$C$42, 33.7978, 33.7978) * CHOOSE(CONTROL!$C$21, $C$9, 100%, $E$9)</f>
        <v>33.797800000000002</v>
      </c>
      <c r="R944" s="10">
        <f>CHOOSE(CONTROL!$C$42, 34.4693, 34.4693) * CHOOSE(CONTROL!$C$21, $C$9, 100%, $E$9)</f>
        <v>34.469299999999997</v>
      </c>
      <c r="S944" s="10">
        <f>CHOOSE(CONTROL!$C$42, 32.3535, 32.3535) * CHOOSE(CONTROL!$C$21, $C$9, 100%, $E$9)</f>
        <v>32.353499999999997</v>
      </c>
      <c r="T944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44" s="58">
        <f>(1000*CHOOSE(CONTROL!$C$42, 695, 695)*CHOOSE(CONTROL!$C$42, 0.5599, 0.5599)*CHOOSE(CONTROL!$C$42, 31, 31))/1000000</f>
        <v>12.063045499999998</v>
      </c>
      <c r="V944" s="58">
        <f>(1000*CHOOSE(CONTROL!$C$42, 500, 500)*CHOOSE(CONTROL!$C$42, 0.275, 0.275)*CHOOSE(CONTROL!$C$42, 31, 31))/1000000</f>
        <v>4.2625000000000002</v>
      </c>
      <c r="W944" s="58">
        <f>(1000*CHOOSE(CONTROL!$C$42, 0.1146, 0.1146)*CHOOSE(CONTROL!$C$42, 121.5, 121.5)*CHOOSE(CONTROL!$C$42, 31, 31))/1000000</f>
        <v>0.43164089999999994</v>
      </c>
      <c r="X944" s="58">
        <f>(31*0.1790888*245000/1000000)+(31*0.2374*100000/1000000)</f>
        <v>2.0961194359999999</v>
      </c>
      <c r="Y944" s="58"/>
      <c r="Z944" s="10"/>
      <c r="AA944" s="57"/>
      <c r="AB944" s="51">
        <f>(B944*194.205+C944*267.466+D944*133.845+E944*53.484+F944*40+G944*185+H944*0+I944*100+J944*300)/(194.205+267.466+133.845+53.484+0+40+185+100+300)</f>
        <v>33.344838429670332</v>
      </c>
      <c r="AC944" s="27">
        <f>(M944*'RAP TEMPLATE-GAS AVAILABILITY'!O943+N944*'RAP TEMPLATE-GAS AVAILABILITY'!P943+O944*'RAP TEMPLATE-GAS AVAILABILITY'!Q943+P944*'RAP TEMPLATE-GAS AVAILABILITY'!R943)/('RAP TEMPLATE-GAS AVAILABILITY'!O943+'RAP TEMPLATE-GAS AVAILABILITY'!P943+'RAP TEMPLATE-GAS AVAILABILITY'!Q943+'RAP TEMPLATE-GAS AVAILABILITY'!R943)</f>
        <v>33.080514388489206</v>
      </c>
    </row>
    <row r="945" spans="1:29" ht="15.75" x14ac:dyDescent="0.25">
      <c r="A945" s="13">
        <v>70036</v>
      </c>
      <c r="B945" s="10">
        <f>CHOOSE(CONTROL!$C$42, 31.2057, 31.2057) * CHOOSE(CONTROL!$C$21, $C$9, 100%, $E$9)</f>
        <v>31.2057</v>
      </c>
      <c r="C945" s="10">
        <f>CHOOSE(CONTROL!$C$42, 31.2136, 31.2136) * CHOOSE(CONTROL!$C$21, $C$9, 100%, $E$9)</f>
        <v>31.2136</v>
      </c>
      <c r="D945" s="10">
        <f>CHOOSE(CONTROL!$C$42, 31.3921, 31.3921) * CHOOSE(CONTROL!$C$21, $C$9, 100%, $E$9)</f>
        <v>31.392099999999999</v>
      </c>
      <c r="E945" s="10">
        <f>CHOOSE(CONTROL!$C$42, 31.4232, 31.4232) * CHOOSE(CONTROL!$C$21, $C$9, 100%, $E$9)</f>
        <v>31.423200000000001</v>
      </c>
      <c r="F945" s="10">
        <f>CHOOSE(CONTROL!$C$42, 31.192, 31.192)*CHOOSE(CONTROL!$C$21, $C$9, 100%, $E$9)</f>
        <v>31.192</v>
      </c>
      <c r="G945" s="10">
        <f>CHOOSE(CONTROL!$C$42, 31.2102, 31.2102)*CHOOSE(CONTROL!$C$21, $C$9, 100%, $E$9)</f>
        <v>31.2102</v>
      </c>
      <c r="H945" s="10">
        <f>CHOOSE(CONTROL!$C$42, 31.4119, 31.4119) * CHOOSE(CONTROL!$C$21, $C$9, 100%, $E$9)</f>
        <v>31.411899999999999</v>
      </c>
      <c r="I945" s="10">
        <f>CHOOSE(CONTROL!$C$42, 31.1825, 31.1825)* CHOOSE(CONTROL!$C$21, $C$9, 100%, $E$9)</f>
        <v>31.182500000000001</v>
      </c>
      <c r="J945" s="10">
        <f>CHOOSE(CONTROL!$C$42, 31.185, 31.185)* CHOOSE(CONTROL!$C$21, $C$9, 100%, $E$9)</f>
        <v>31.184999999999999</v>
      </c>
      <c r="K945" s="54">
        <f>CHOOSE(CONTROL!$C$42, 31.1786, 31.1786) * CHOOSE(CONTROL!$C$21, $C$9, 100%, $E$9)</f>
        <v>31.178599999999999</v>
      </c>
      <c r="L945" s="10">
        <f>CHOOSE(CONTROL!$C$42, 31.9989, 31.9989) * CHOOSE(CONTROL!$C$21, $C$9, 100%, $E$9)</f>
        <v>31.998899999999999</v>
      </c>
      <c r="M945" s="10">
        <f>CHOOSE(CONTROL!$C$42, 30.8841, 30.8841) * CHOOSE(CONTROL!$C$21, $C$9, 100%, $E$9)</f>
        <v>30.8841</v>
      </c>
      <c r="N945" s="10">
        <f>CHOOSE(CONTROL!$C$42, 30.9022, 30.9022) * CHOOSE(CONTROL!$C$21, $C$9, 100%, $E$9)</f>
        <v>30.902200000000001</v>
      </c>
      <c r="O945" s="10">
        <f>CHOOSE(CONTROL!$C$42, 31.1087, 31.1087) * CHOOSE(CONTROL!$C$21, $C$9, 100%, $E$9)</f>
        <v>31.108699999999999</v>
      </c>
      <c r="P945" s="10">
        <f>CHOOSE(CONTROL!$C$42, 30.8817, 30.8817) * CHOOSE(CONTROL!$C$21, $C$9, 100%, $E$9)</f>
        <v>30.881699999999999</v>
      </c>
      <c r="Q945" s="10">
        <f>CHOOSE(CONTROL!$C$42, 31.704, 31.704) * CHOOSE(CONTROL!$C$21, $C$9, 100%, $E$9)</f>
        <v>31.704000000000001</v>
      </c>
      <c r="R945" s="10">
        <f>CHOOSE(CONTROL!$C$42, 32.3703, 32.3703) * CHOOSE(CONTROL!$C$21, $C$9, 100%, $E$9)</f>
        <v>32.3703</v>
      </c>
      <c r="S945" s="10">
        <f>CHOOSE(CONTROL!$C$42, 30.2996, 30.2996) * CHOOSE(CONTROL!$C$21, $C$9, 100%, $E$9)</f>
        <v>30.299600000000002</v>
      </c>
      <c r="T945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45" s="58">
        <f>(1000*CHOOSE(CONTROL!$C$42, 695, 695)*CHOOSE(CONTROL!$C$42, 0.5599, 0.5599)*CHOOSE(CONTROL!$C$42, 30, 30))/1000000</f>
        <v>11.673914999999997</v>
      </c>
      <c r="V945" s="58">
        <f>(1000*CHOOSE(CONTROL!$C$42, 500, 500)*CHOOSE(CONTROL!$C$42, 0.275, 0.275)*CHOOSE(CONTROL!$C$42, 30, 30))/1000000</f>
        <v>4.125</v>
      </c>
      <c r="W945" s="58">
        <f>(1000*CHOOSE(CONTROL!$C$42, 0.1146, 0.1146)*CHOOSE(CONTROL!$C$42, 121.5, 121.5)*CHOOSE(CONTROL!$C$42, 30, 30))/1000000</f>
        <v>0.417717</v>
      </c>
      <c r="X945" s="58">
        <f>(30*0.1790888*245000/1000000)+(30*0.2374*100000/1000000)</f>
        <v>2.0285026799999999</v>
      </c>
      <c r="Y945" s="58"/>
      <c r="Z945" s="10"/>
      <c r="AA945" s="57"/>
      <c r="AB945" s="51">
        <f>(B945*194.205+C945*267.466+D945*133.845+E945*53.484+F945*40+G945*185+H945*0+I945*100+J945*300)/(194.205+267.466+133.845+53.484+0+40+185+100+300)</f>
        <v>31.229600282103611</v>
      </c>
      <c r="AC945" s="27">
        <f>(M945*'RAP TEMPLATE-GAS AVAILABILITY'!O944+N945*'RAP TEMPLATE-GAS AVAILABILITY'!P944+O945*'RAP TEMPLATE-GAS AVAILABILITY'!Q944+P945*'RAP TEMPLATE-GAS AVAILABILITY'!R944)/('RAP TEMPLATE-GAS AVAILABILITY'!O944+'RAP TEMPLATE-GAS AVAILABILITY'!P944+'RAP TEMPLATE-GAS AVAILABILITY'!Q944+'RAP TEMPLATE-GAS AVAILABILITY'!R944)</f>
        <v>30.98659352517986</v>
      </c>
    </row>
    <row r="946" spans="1:29" ht="15.75" x14ac:dyDescent="0.25">
      <c r="A946" s="13">
        <v>70067</v>
      </c>
      <c r="B946" s="10">
        <f>CHOOSE(CONTROL!$C$42, 30.57, 30.57) * CHOOSE(CONTROL!$C$21, $C$9, 100%, $E$9)</f>
        <v>30.57</v>
      </c>
      <c r="C946" s="10">
        <f>CHOOSE(CONTROL!$C$42, 30.5752, 30.5752) * CHOOSE(CONTROL!$C$21, $C$9, 100%, $E$9)</f>
        <v>30.575199999999999</v>
      </c>
      <c r="D946" s="10">
        <f>CHOOSE(CONTROL!$C$42, 30.7587, 30.7587) * CHOOSE(CONTROL!$C$21, $C$9, 100%, $E$9)</f>
        <v>30.758700000000001</v>
      </c>
      <c r="E946" s="10">
        <f>CHOOSE(CONTROL!$C$42, 30.7875, 30.7875) * CHOOSE(CONTROL!$C$21, $C$9, 100%, $E$9)</f>
        <v>30.787500000000001</v>
      </c>
      <c r="F946" s="10">
        <f>CHOOSE(CONTROL!$C$42, 30.5583, 30.5583)*CHOOSE(CONTROL!$C$21, $C$9, 100%, $E$9)</f>
        <v>30.558299999999999</v>
      </c>
      <c r="G946" s="10">
        <f>CHOOSE(CONTROL!$C$42, 30.5762, 30.5762)*CHOOSE(CONTROL!$C$21, $C$9, 100%, $E$9)</f>
        <v>30.5762</v>
      </c>
      <c r="H946" s="10">
        <f>CHOOSE(CONTROL!$C$42, 30.778, 30.778) * CHOOSE(CONTROL!$C$21, $C$9, 100%, $E$9)</f>
        <v>30.777999999999999</v>
      </c>
      <c r="I946" s="10">
        <f>CHOOSE(CONTROL!$C$42, 30.5486, 30.5486)* CHOOSE(CONTROL!$C$21, $C$9, 100%, $E$9)</f>
        <v>30.5486</v>
      </c>
      <c r="J946" s="10">
        <f>CHOOSE(CONTROL!$C$42, 30.5513, 30.5513)* CHOOSE(CONTROL!$C$21, $C$9, 100%, $E$9)</f>
        <v>30.551300000000001</v>
      </c>
      <c r="K946" s="54">
        <f>CHOOSE(CONTROL!$C$42, 30.5447, 30.5447) * CHOOSE(CONTROL!$C$21, $C$9, 100%, $E$9)</f>
        <v>30.544699999999999</v>
      </c>
      <c r="L946" s="10">
        <f>CHOOSE(CONTROL!$C$42, 31.365, 31.365) * CHOOSE(CONTROL!$C$21, $C$9, 100%, $E$9)</f>
        <v>31.364999999999998</v>
      </c>
      <c r="M946" s="10">
        <f>CHOOSE(CONTROL!$C$42, 30.2568, 30.2568) * CHOOSE(CONTROL!$C$21, $C$9, 100%, $E$9)</f>
        <v>30.256799999999998</v>
      </c>
      <c r="N946" s="10">
        <f>CHOOSE(CONTROL!$C$42, 30.2745, 30.2745) * CHOOSE(CONTROL!$C$21, $C$9, 100%, $E$9)</f>
        <v>30.2745</v>
      </c>
      <c r="O946" s="10">
        <f>CHOOSE(CONTROL!$C$42, 30.4812, 30.4812) * CHOOSE(CONTROL!$C$21, $C$9, 100%, $E$9)</f>
        <v>30.481200000000001</v>
      </c>
      <c r="P946" s="10">
        <f>CHOOSE(CONTROL!$C$42, 30.2542, 30.2542) * CHOOSE(CONTROL!$C$21, $C$9, 100%, $E$9)</f>
        <v>30.254200000000001</v>
      </c>
      <c r="Q946" s="10">
        <f>CHOOSE(CONTROL!$C$42, 31.0765, 31.0765) * CHOOSE(CONTROL!$C$21, $C$9, 100%, $E$9)</f>
        <v>31.076499999999999</v>
      </c>
      <c r="R946" s="10">
        <f>CHOOSE(CONTROL!$C$42, 31.7412, 31.7412) * CHOOSE(CONTROL!$C$21, $C$9, 100%, $E$9)</f>
        <v>31.741199999999999</v>
      </c>
      <c r="S946" s="10">
        <f>CHOOSE(CONTROL!$C$42, 29.684, 29.684) * CHOOSE(CONTROL!$C$21, $C$9, 100%, $E$9)</f>
        <v>29.684000000000001</v>
      </c>
      <c r="T946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46" s="58">
        <f>(1000*CHOOSE(CONTROL!$C$42, 695, 695)*CHOOSE(CONTROL!$C$42, 0.5599, 0.5599)*CHOOSE(CONTROL!$C$42, 31, 31))/1000000</f>
        <v>12.063045499999998</v>
      </c>
      <c r="V946" s="58">
        <f>(1000*CHOOSE(CONTROL!$C$42, 500, 500)*CHOOSE(CONTROL!$C$42, 0.275, 0.275)*CHOOSE(CONTROL!$C$42, 31, 31))/1000000</f>
        <v>4.2625000000000002</v>
      </c>
      <c r="W946" s="58">
        <f>(1000*CHOOSE(CONTROL!$C$42, 0.1146, 0.1146)*CHOOSE(CONTROL!$C$42, 121.5, 121.5)*CHOOSE(CONTROL!$C$42, 31, 31))/1000000</f>
        <v>0.43164089999999994</v>
      </c>
      <c r="X946" s="58">
        <f>(31*0.1790888*245000/1000000)+(31*0.2374*100000/1000000)</f>
        <v>2.0961194359999999</v>
      </c>
      <c r="Y946" s="58"/>
      <c r="Z946" s="10"/>
      <c r="AA946" s="57"/>
      <c r="AB946" s="51">
        <f>(B946*131.881+C946*277.167+D946*79.08+E946*125.872+F946*40+G946*185+H946*0+I946*100+J946*300)/(131.881+277.167+79.08+125.872+0+40+185+100+300)</f>
        <v>30.599596307021788</v>
      </c>
      <c r="AC946" s="27">
        <f>(M946*'RAP TEMPLATE-GAS AVAILABILITY'!O945+N946*'RAP TEMPLATE-GAS AVAILABILITY'!P945+O946*'RAP TEMPLATE-GAS AVAILABILITY'!Q945+P946*'RAP TEMPLATE-GAS AVAILABILITY'!R945)/('RAP TEMPLATE-GAS AVAILABILITY'!O945+'RAP TEMPLATE-GAS AVAILABILITY'!P945+'RAP TEMPLATE-GAS AVAILABILITY'!Q945+'RAP TEMPLATE-GAS AVAILABILITY'!R945)</f>
        <v>30.359151079136691</v>
      </c>
    </row>
    <row r="947" spans="1:29" ht="15.75" x14ac:dyDescent="0.25">
      <c r="A947" s="13">
        <v>70097</v>
      </c>
      <c r="B947" s="10">
        <f>CHOOSE(CONTROL!$C$42, 31.3749, 31.3749) * CHOOSE(CONTROL!$C$21, $C$9, 100%, $E$9)</f>
        <v>31.3749</v>
      </c>
      <c r="C947" s="10">
        <f>CHOOSE(CONTROL!$C$42, 31.3798, 31.3798) * CHOOSE(CONTROL!$C$21, $C$9, 100%, $E$9)</f>
        <v>31.379799999999999</v>
      </c>
      <c r="D947" s="10">
        <f>CHOOSE(CONTROL!$C$42, 31.4094, 31.4094) * CHOOSE(CONTROL!$C$21, $C$9, 100%, $E$9)</f>
        <v>31.409400000000002</v>
      </c>
      <c r="E947" s="10">
        <f>CHOOSE(CONTROL!$C$42, 31.4432, 31.4432) * CHOOSE(CONTROL!$C$21, $C$9, 100%, $E$9)</f>
        <v>31.443200000000001</v>
      </c>
      <c r="F947" s="10">
        <f>CHOOSE(CONTROL!$C$42, 31.3606, 31.3606)*CHOOSE(CONTROL!$C$21, $C$9, 100%, $E$9)</f>
        <v>31.360600000000002</v>
      </c>
      <c r="G947" s="10">
        <f>CHOOSE(CONTROL!$C$42, 31.3787, 31.3787)*CHOOSE(CONTROL!$C$21, $C$9, 100%, $E$9)</f>
        <v>31.378699999999998</v>
      </c>
      <c r="H947" s="10">
        <f>CHOOSE(CONTROL!$C$42, 31.4324, 31.4324) * CHOOSE(CONTROL!$C$21, $C$9, 100%, $E$9)</f>
        <v>31.432400000000001</v>
      </c>
      <c r="I947" s="10">
        <f>CHOOSE(CONTROL!$C$42, 31.341, 31.341)* CHOOSE(CONTROL!$C$21, $C$9, 100%, $E$9)</f>
        <v>31.341000000000001</v>
      </c>
      <c r="J947" s="10">
        <f>CHOOSE(CONTROL!$C$42, 31.3536, 31.3536)* CHOOSE(CONTROL!$C$21, $C$9, 100%, $E$9)</f>
        <v>31.3536</v>
      </c>
      <c r="K947" s="54">
        <f>CHOOSE(CONTROL!$C$42, 31.3371, 31.3371) * CHOOSE(CONTROL!$C$21, $C$9, 100%, $E$9)</f>
        <v>31.3371</v>
      </c>
      <c r="L947" s="10">
        <f>CHOOSE(CONTROL!$C$42, 32.0194, 32.0194) * CHOOSE(CONTROL!$C$21, $C$9, 100%, $E$9)</f>
        <v>32.019399999999997</v>
      </c>
      <c r="M947" s="10">
        <f>CHOOSE(CONTROL!$C$42, 31.051, 31.051) * CHOOSE(CONTROL!$C$21, $C$9, 100%, $E$9)</f>
        <v>31.050999999999998</v>
      </c>
      <c r="N947" s="10">
        <f>CHOOSE(CONTROL!$C$42, 31.0689, 31.0689) * CHOOSE(CONTROL!$C$21, $C$9, 100%, $E$9)</f>
        <v>31.068899999999999</v>
      </c>
      <c r="O947" s="10">
        <f>CHOOSE(CONTROL!$C$42, 31.129, 31.129) * CHOOSE(CONTROL!$C$21, $C$9, 100%, $E$9)</f>
        <v>31.129000000000001</v>
      </c>
      <c r="P947" s="10">
        <f>CHOOSE(CONTROL!$C$42, 31.0386, 31.0386) * CHOOSE(CONTROL!$C$21, $C$9, 100%, $E$9)</f>
        <v>31.038599999999999</v>
      </c>
      <c r="Q947" s="10">
        <f>CHOOSE(CONTROL!$C$42, 31.7243, 31.7243) * CHOOSE(CONTROL!$C$21, $C$9, 100%, $E$9)</f>
        <v>31.724299999999999</v>
      </c>
      <c r="R947" s="10">
        <f>CHOOSE(CONTROL!$C$42, 32.3906, 32.3906) * CHOOSE(CONTROL!$C$21, $C$9, 100%, $E$9)</f>
        <v>32.390599999999999</v>
      </c>
      <c r="S947" s="10">
        <f>CHOOSE(CONTROL!$C$42, 30.466, 30.466) * CHOOSE(CONTROL!$C$21, $C$9, 100%, $E$9)</f>
        <v>30.466000000000001</v>
      </c>
      <c r="T947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47" s="58">
        <f>(1000*CHOOSE(CONTROL!$C$42, 695, 695)*CHOOSE(CONTROL!$C$42, 0.5599, 0.5599)*CHOOSE(CONTROL!$C$42, 30, 30))/1000000</f>
        <v>11.673914999999997</v>
      </c>
      <c r="V947" s="58">
        <f>(1000*CHOOSE(CONTROL!$C$42, 500, 500)*CHOOSE(CONTROL!$C$42, 0.275, 0.275)*CHOOSE(CONTROL!$C$42, 30, 30))/1000000</f>
        <v>4.125</v>
      </c>
      <c r="W947" s="58">
        <f>(1000*CHOOSE(CONTROL!$C$42, 0.1146, 0.1146)*CHOOSE(CONTROL!$C$42, 121.5, 121.5)*CHOOSE(CONTROL!$C$42, 30, 30))/1000000</f>
        <v>0.417717</v>
      </c>
      <c r="X947" s="58">
        <f>(30*0.1790888*100000/1000000)+(30*0.2374*100000/1000000)</f>
        <v>1.2494664</v>
      </c>
      <c r="Y947" s="58"/>
      <c r="Z947" s="10"/>
      <c r="AA947" s="57"/>
      <c r="AB947" s="51">
        <f>(B947*122.58+C947*297.941+D947*89.177+E947*40.302+F947*40+G947*160+H947*0+I947*100+J947*300)/(122.58+297.941+89.177+40.302+0+40+160+100+300)</f>
        <v>31.372765342608695</v>
      </c>
      <c r="AC947" s="27">
        <f>(M947*'RAP TEMPLATE-GAS AVAILABILITY'!O946+N947*'RAP TEMPLATE-GAS AVAILABILITY'!P946+O947*'RAP TEMPLATE-GAS AVAILABILITY'!Q946+P947*'RAP TEMPLATE-GAS AVAILABILITY'!R946)/('RAP TEMPLATE-GAS AVAILABILITY'!O946+'RAP TEMPLATE-GAS AVAILABILITY'!P946+'RAP TEMPLATE-GAS AVAILABILITY'!Q946+'RAP TEMPLATE-GAS AVAILABILITY'!R946)</f>
        <v>31.08559856115108</v>
      </c>
    </row>
    <row r="948" spans="1:29" ht="15.75" x14ac:dyDescent="0.25">
      <c r="A948" s="13">
        <v>70128</v>
      </c>
      <c r="B948" s="10">
        <f>CHOOSE(CONTROL!$C$42, 33.5138, 33.5138) * CHOOSE(CONTROL!$C$21, $C$9, 100%, $E$9)</f>
        <v>33.513800000000003</v>
      </c>
      <c r="C948" s="10">
        <f>CHOOSE(CONTROL!$C$42, 33.5187, 33.5187) * CHOOSE(CONTROL!$C$21, $C$9, 100%, $E$9)</f>
        <v>33.518700000000003</v>
      </c>
      <c r="D948" s="10">
        <f>CHOOSE(CONTROL!$C$42, 33.5483, 33.5483) * CHOOSE(CONTROL!$C$21, $C$9, 100%, $E$9)</f>
        <v>33.548299999999998</v>
      </c>
      <c r="E948" s="10">
        <f>CHOOSE(CONTROL!$C$42, 33.5821, 33.5821) * CHOOSE(CONTROL!$C$21, $C$9, 100%, $E$9)</f>
        <v>33.582099999999997</v>
      </c>
      <c r="F948" s="10">
        <f>CHOOSE(CONTROL!$C$42, 33.5011, 33.5011)*CHOOSE(CONTROL!$C$21, $C$9, 100%, $E$9)</f>
        <v>33.501100000000001</v>
      </c>
      <c r="G948" s="10">
        <f>CHOOSE(CONTROL!$C$42, 33.5195, 33.5195)*CHOOSE(CONTROL!$C$21, $C$9, 100%, $E$9)</f>
        <v>33.519500000000001</v>
      </c>
      <c r="H948" s="10">
        <f>CHOOSE(CONTROL!$C$42, 33.5713, 33.5713) * CHOOSE(CONTROL!$C$21, $C$9, 100%, $E$9)</f>
        <v>33.571300000000001</v>
      </c>
      <c r="I948" s="10">
        <f>CHOOSE(CONTROL!$C$42, 33.48, 33.48)* CHOOSE(CONTROL!$C$21, $C$9, 100%, $E$9)</f>
        <v>33.479999999999997</v>
      </c>
      <c r="J948" s="10">
        <f>CHOOSE(CONTROL!$C$42, 33.4941, 33.4941)* CHOOSE(CONTROL!$C$21, $C$9, 100%, $E$9)</f>
        <v>33.494100000000003</v>
      </c>
      <c r="K948" s="54">
        <f>CHOOSE(CONTROL!$C$42, 33.4761, 33.4761) * CHOOSE(CONTROL!$C$21, $C$9, 100%, $E$9)</f>
        <v>33.476100000000002</v>
      </c>
      <c r="L948" s="10">
        <f>CHOOSE(CONTROL!$C$42, 34.1583, 34.1583) * CHOOSE(CONTROL!$C$21, $C$9, 100%, $E$9)</f>
        <v>34.158299999999997</v>
      </c>
      <c r="M948" s="10">
        <f>CHOOSE(CONTROL!$C$42, 33.1699, 33.1699) * CHOOSE(CONTROL!$C$21, $C$9, 100%, $E$9)</f>
        <v>33.169899999999998</v>
      </c>
      <c r="N948" s="10">
        <f>CHOOSE(CONTROL!$C$42, 33.1882, 33.1882) * CHOOSE(CONTROL!$C$21, $C$9, 100%, $E$9)</f>
        <v>33.188200000000002</v>
      </c>
      <c r="O948" s="10">
        <f>CHOOSE(CONTROL!$C$42, 33.2464, 33.2464) * CHOOSE(CONTROL!$C$21, $C$9, 100%, $E$9)</f>
        <v>33.246400000000001</v>
      </c>
      <c r="P948" s="10">
        <f>CHOOSE(CONTROL!$C$42, 33.156, 33.156) * CHOOSE(CONTROL!$C$21, $C$9, 100%, $E$9)</f>
        <v>33.155999999999999</v>
      </c>
      <c r="Q948" s="10">
        <f>CHOOSE(CONTROL!$C$42, 33.8417, 33.8417) * CHOOSE(CONTROL!$C$21, $C$9, 100%, $E$9)</f>
        <v>33.841700000000003</v>
      </c>
      <c r="R948" s="10">
        <f>CHOOSE(CONTROL!$C$42, 34.5133, 34.5133) * CHOOSE(CONTROL!$C$21, $C$9, 100%, $E$9)</f>
        <v>34.513300000000001</v>
      </c>
      <c r="S948" s="10">
        <f>CHOOSE(CONTROL!$C$42, 32.5431, 32.5431) * CHOOSE(CONTROL!$C$21, $C$9, 100%, $E$9)</f>
        <v>32.543100000000003</v>
      </c>
      <c r="T948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48" s="58">
        <f>(1000*CHOOSE(CONTROL!$C$42, 695, 695)*CHOOSE(CONTROL!$C$42, 0.5599, 0.5599)*CHOOSE(CONTROL!$C$42, 31, 31))/1000000</f>
        <v>12.063045499999998</v>
      </c>
      <c r="V948" s="58">
        <f>(1000*CHOOSE(CONTROL!$C$42, 500, 500)*CHOOSE(CONTROL!$C$42, 0.275, 0.275)*CHOOSE(CONTROL!$C$42, 31, 31))/1000000</f>
        <v>4.2625000000000002</v>
      </c>
      <c r="W948" s="58">
        <f>(1000*CHOOSE(CONTROL!$C$42, 0.1146, 0.1146)*CHOOSE(CONTROL!$C$42, 121.5, 121.5)*CHOOSE(CONTROL!$C$42, 31, 31))/1000000</f>
        <v>0.43164089999999994</v>
      </c>
      <c r="X948" s="58">
        <f>(31*0.1790888*100000/1000000)+(31*0.2374*100000/1000000)</f>
        <v>1.2911152800000001</v>
      </c>
      <c r="Y948" s="58"/>
      <c r="Z948" s="10"/>
      <c r="AA948" s="57"/>
      <c r="AB948" s="51">
        <f>(B948*122.58+C948*297.941+D948*89.177+E948*40.302+F948*40+G948*160+H948*0+I948*100+J948*300)/(122.58+297.941+89.177+40.302+0+40+160+100+300)</f>
        <v>33.512411429565219</v>
      </c>
      <c r="AC948" s="27">
        <f>(M948*'RAP TEMPLATE-GAS AVAILABILITY'!O947+N948*'RAP TEMPLATE-GAS AVAILABILITY'!P947+O948*'RAP TEMPLATE-GAS AVAILABILITY'!Q947+P948*'RAP TEMPLATE-GAS AVAILABILITY'!R947)/('RAP TEMPLATE-GAS AVAILABILITY'!O947+'RAP TEMPLATE-GAS AVAILABILITY'!P947+'RAP TEMPLATE-GAS AVAILABILITY'!Q947+'RAP TEMPLATE-GAS AVAILABILITY'!R947)</f>
        <v>33.203625899280574</v>
      </c>
    </row>
    <row r="949" spans="1:29" ht="15.75" x14ac:dyDescent="0.25">
      <c r="A949" s="13">
        <v>70159</v>
      </c>
      <c r="B949" s="10">
        <f>CHOOSE(CONTROL!$C$42, 35.7756, 35.7756) * CHOOSE(CONTROL!$C$21, $C$9, 100%, $E$9)</f>
        <v>35.775599999999997</v>
      </c>
      <c r="C949" s="10">
        <f>CHOOSE(CONTROL!$C$42, 35.7805, 35.7805) * CHOOSE(CONTROL!$C$21, $C$9, 100%, $E$9)</f>
        <v>35.780500000000004</v>
      </c>
      <c r="D949" s="10">
        <f>CHOOSE(CONTROL!$C$42, 35.8307, 35.8307) * CHOOSE(CONTROL!$C$21, $C$9, 100%, $E$9)</f>
        <v>35.8307</v>
      </c>
      <c r="E949" s="10">
        <f>CHOOSE(CONTROL!$C$42, 35.8645, 35.8645) * CHOOSE(CONTROL!$C$21, $C$9, 100%, $E$9)</f>
        <v>35.8645</v>
      </c>
      <c r="F949" s="10">
        <f>CHOOSE(CONTROL!$C$42, 35.7409, 35.7409)*CHOOSE(CONTROL!$C$21, $C$9, 100%, $E$9)</f>
        <v>35.740900000000003</v>
      </c>
      <c r="G949" s="10">
        <f>CHOOSE(CONTROL!$C$42, 35.7585, 35.7585)*CHOOSE(CONTROL!$C$21, $C$9, 100%, $E$9)</f>
        <v>35.758499999999998</v>
      </c>
      <c r="H949" s="10">
        <f>CHOOSE(CONTROL!$C$42, 35.8537, 35.8537) * CHOOSE(CONTROL!$C$21, $C$9, 100%, $E$9)</f>
        <v>35.853700000000003</v>
      </c>
      <c r="I949" s="10">
        <f>CHOOSE(CONTROL!$C$42, 35.7495, 35.7495)* CHOOSE(CONTROL!$C$21, $C$9, 100%, $E$9)</f>
        <v>35.749499999999998</v>
      </c>
      <c r="J949" s="10">
        <f>CHOOSE(CONTROL!$C$42, 35.7339, 35.7339)* CHOOSE(CONTROL!$C$21, $C$9, 100%, $E$9)</f>
        <v>35.733899999999998</v>
      </c>
      <c r="K949" s="54">
        <f>CHOOSE(CONTROL!$C$42, 35.7456, 35.7456) * CHOOSE(CONTROL!$C$21, $C$9, 100%, $E$9)</f>
        <v>35.745600000000003</v>
      </c>
      <c r="L949" s="10">
        <f>CHOOSE(CONTROL!$C$42, 36.4407, 36.4407) * CHOOSE(CONTROL!$C$21, $C$9, 100%, $E$9)</f>
        <v>36.4407</v>
      </c>
      <c r="M949" s="10">
        <f>CHOOSE(CONTROL!$C$42, 35.3871, 35.3871) * CHOOSE(CONTROL!$C$21, $C$9, 100%, $E$9)</f>
        <v>35.387099999999997</v>
      </c>
      <c r="N949" s="10">
        <f>CHOOSE(CONTROL!$C$42, 35.4045, 35.4045) * CHOOSE(CONTROL!$C$21, $C$9, 100%, $E$9)</f>
        <v>35.404499999999999</v>
      </c>
      <c r="O949" s="10">
        <f>CHOOSE(CONTROL!$C$42, 35.5057, 35.5057) * CHOOSE(CONTROL!$C$21, $C$9, 100%, $E$9)</f>
        <v>35.505699999999997</v>
      </c>
      <c r="P949" s="10">
        <f>CHOOSE(CONTROL!$C$42, 35.4026, 35.4026) * CHOOSE(CONTROL!$C$21, $C$9, 100%, $E$9)</f>
        <v>35.4026</v>
      </c>
      <c r="Q949" s="10">
        <f>CHOOSE(CONTROL!$C$42, 36.101, 36.101) * CHOOSE(CONTROL!$C$21, $C$9, 100%, $E$9)</f>
        <v>36.100999999999999</v>
      </c>
      <c r="R949" s="10">
        <f>CHOOSE(CONTROL!$C$42, 36.7783, 36.7783) * CHOOSE(CONTROL!$C$21, $C$9, 100%, $E$9)</f>
        <v>36.778300000000002</v>
      </c>
      <c r="S949" s="10">
        <f>CHOOSE(CONTROL!$C$42, 34.7395, 34.7395) * CHOOSE(CONTROL!$C$21, $C$9, 100%, $E$9)</f>
        <v>34.7395</v>
      </c>
      <c r="T949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49" s="58">
        <f>(1000*CHOOSE(CONTROL!$C$42, 695, 695)*CHOOSE(CONTROL!$C$42, 0.5599, 0.5599)*CHOOSE(CONTROL!$C$42, 31, 31))/1000000</f>
        <v>12.063045499999998</v>
      </c>
      <c r="V949" s="58">
        <f>(1000*CHOOSE(CONTROL!$C$42, 500, 500)*CHOOSE(CONTROL!$C$42, 0.275, 0.275)*CHOOSE(CONTROL!$C$42, 31, 31))/1000000</f>
        <v>4.2625000000000002</v>
      </c>
      <c r="W949" s="58">
        <f>(1000*CHOOSE(CONTROL!$C$42, 0.1146, 0.1146)*CHOOSE(CONTROL!$C$42, 121.5, 121.5)*CHOOSE(CONTROL!$C$42, 31, 31))/1000000</f>
        <v>0.43164089999999994</v>
      </c>
      <c r="X949" s="58">
        <f>(31*0.1790888*100000/1000000)+(31*0.2374*100000/1000000)</f>
        <v>1.2911152800000001</v>
      </c>
      <c r="Y949" s="58"/>
      <c r="Z949" s="10"/>
      <c r="AA949" s="57"/>
      <c r="AB949" s="51">
        <f>(B949*122.58+C949*297.941+D949*89.177+E949*40.302+F949*40+G949*160+H949*0+I949*100+J949*300)/(122.58+297.941+89.177+40.302+0+40+160+100+300)</f>
        <v>35.767523835999995</v>
      </c>
      <c r="AC949" s="27">
        <f>(M949*'RAP TEMPLATE-GAS AVAILABILITY'!O948+N949*'RAP TEMPLATE-GAS AVAILABILITY'!P948+O949*'RAP TEMPLATE-GAS AVAILABILITY'!Q948+P949*'RAP TEMPLATE-GAS AVAILABILITY'!R948)/('RAP TEMPLATE-GAS AVAILABILITY'!O948+'RAP TEMPLATE-GAS AVAILABILITY'!P948+'RAP TEMPLATE-GAS AVAILABILITY'!Q948+'RAP TEMPLATE-GAS AVAILABILITY'!R948)</f>
        <v>35.444085611510779</v>
      </c>
    </row>
    <row r="950" spans="1:29" ht="15.75" x14ac:dyDescent="0.25">
      <c r="A950" s="13">
        <v>70188</v>
      </c>
      <c r="B950" s="10">
        <f>CHOOSE(CONTROL!$C$42, 36.4124, 36.4124) * CHOOSE(CONTROL!$C$21, $C$9, 100%, $E$9)</f>
        <v>36.412399999999998</v>
      </c>
      <c r="C950" s="10">
        <f>CHOOSE(CONTROL!$C$42, 36.4173, 36.4173) * CHOOSE(CONTROL!$C$21, $C$9, 100%, $E$9)</f>
        <v>36.417299999999997</v>
      </c>
      <c r="D950" s="10">
        <f>CHOOSE(CONTROL!$C$42, 36.5345, 36.5345) * CHOOSE(CONTROL!$C$21, $C$9, 100%, $E$9)</f>
        <v>36.534500000000001</v>
      </c>
      <c r="E950" s="10">
        <f>CHOOSE(CONTROL!$C$42, 36.5682, 36.5682) * CHOOSE(CONTROL!$C$21, $C$9, 100%, $E$9)</f>
        <v>36.568199999999997</v>
      </c>
      <c r="F950" s="10">
        <f>CHOOSE(CONTROL!$C$42, 36.49, 36.49)*CHOOSE(CONTROL!$C$21, $C$9, 100%, $E$9)</f>
        <v>36.49</v>
      </c>
      <c r="G950" s="10">
        <f>CHOOSE(CONTROL!$C$42, 36.5119, 36.5119)*CHOOSE(CONTROL!$C$21, $C$9, 100%, $E$9)</f>
        <v>36.511899999999997</v>
      </c>
      <c r="H950" s="10">
        <f>CHOOSE(CONTROL!$C$42, 36.5574, 36.5574) * CHOOSE(CONTROL!$C$21, $C$9, 100%, $E$9)</f>
        <v>36.557400000000001</v>
      </c>
      <c r="I950" s="10">
        <f>CHOOSE(CONTROL!$C$42, 36.4481, 36.4481)* CHOOSE(CONTROL!$C$21, $C$9, 100%, $E$9)</f>
        <v>36.448099999999997</v>
      </c>
      <c r="J950" s="10">
        <f>CHOOSE(CONTROL!$C$42, 36.483, 36.483)* CHOOSE(CONTROL!$C$21, $C$9, 100%, $E$9)</f>
        <v>36.482999999999997</v>
      </c>
      <c r="K950" s="54">
        <f>CHOOSE(CONTROL!$C$42, 36.4442, 36.4442) * CHOOSE(CONTROL!$C$21, $C$9, 100%, $E$9)</f>
        <v>36.444200000000002</v>
      </c>
      <c r="L950" s="10">
        <f>CHOOSE(CONTROL!$C$42, 37.1444, 37.1444) * CHOOSE(CONTROL!$C$21, $C$9, 100%, $E$9)</f>
        <v>37.144399999999997</v>
      </c>
      <c r="M950" s="10">
        <f>CHOOSE(CONTROL!$C$42, 36.1286, 36.1286) * CHOOSE(CONTROL!$C$21, $C$9, 100%, $E$9)</f>
        <v>36.128599999999999</v>
      </c>
      <c r="N950" s="10">
        <f>CHOOSE(CONTROL!$C$42, 36.1503, 36.1503) * CHOOSE(CONTROL!$C$21, $C$9, 100%, $E$9)</f>
        <v>36.150300000000001</v>
      </c>
      <c r="O950" s="10">
        <f>CHOOSE(CONTROL!$C$42, 36.2023, 36.2023) * CHOOSE(CONTROL!$C$21, $C$9, 100%, $E$9)</f>
        <v>36.202300000000001</v>
      </c>
      <c r="P950" s="10">
        <f>CHOOSE(CONTROL!$C$42, 36.0941, 36.0941) * CHOOSE(CONTROL!$C$21, $C$9, 100%, $E$9)</f>
        <v>36.094099999999997</v>
      </c>
      <c r="Q950" s="10">
        <f>CHOOSE(CONTROL!$C$42, 36.7976, 36.7976) * CHOOSE(CONTROL!$C$21, $C$9, 100%, $E$9)</f>
        <v>36.797600000000003</v>
      </c>
      <c r="R950" s="10">
        <f>CHOOSE(CONTROL!$C$42, 37.4766, 37.4766) * CHOOSE(CONTROL!$C$21, $C$9, 100%, $E$9)</f>
        <v>37.476599999999998</v>
      </c>
      <c r="S950" s="10">
        <f>CHOOSE(CONTROL!$C$42, 35.3579, 35.3579) * CHOOSE(CONTROL!$C$21, $C$9, 100%, $E$9)</f>
        <v>35.357900000000001</v>
      </c>
      <c r="T950" s="5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950" s="58">
        <f>(1000*CHOOSE(CONTROL!$C$42, 695, 695)*CHOOSE(CONTROL!$C$42, 0.5599, 0.5599)*CHOOSE(CONTROL!$C$42, 29, 29))/1000000</f>
        <v>11.284784499999999</v>
      </c>
      <c r="V950" s="58">
        <f>(1000*CHOOSE(CONTROL!$C$42, 500, 500)*CHOOSE(CONTROL!$C$42, 0.275, 0.275)*CHOOSE(CONTROL!$C$42, 29, 29))/1000000</f>
        <v>3.9874999999999998</v>
      </c>
      <c r="W950" s="58">
        <f>(1000*CHOOSE(CONTROL!$C$42, 0.1146, 0.1146)*CHOOSE(CONTROL!$C$42, 121.5, 121.5)*CHOOSE(CONTROL!$C$42, 29, 29))/1000000</f>
        <v>0.40379309999999996</v>
      </c>
      <c r="X950" s="58">
        <f>(29*0.1790888*100000/1000000)+(29*0.2374*100000/1000000)</f>
        <v>1.2078175199999999</v>
      </c>
      <c r="Y950" s="58"/>
      <c r="Z950" s="10"/>
      <c r="AA950" s="57"/>
      <c r="AB950" s="51">
        <f>(B950*122.58+C950*297.941+D950*89.177+E950*40.302+F950*40+G950*160+H950*0+I950*100+J950*300)/(122.58+297.941+89.177+40.302+0+40+160+100+300)</f>
        <v>36.466662151478261</v>
      </c>
      <c r="AC950" s="27">
        <f>(M950*'RAP TEMPLATE-GAS AVAILABILITY'!O949+N950*'RAP TEMPLATE-GAS AVAILABILITY'!P949+O950*'RAP TEMPLATE-GAS AVAILABILITY'!Q949+P950*'RAP TEMPLATE-GAS AVAILABILITY'!R949)/('RAP TEMPLATE-GAS AVAILABILITY'!O949+'RAP TEMPLATE-GAS AVAILABILITY'!P949+'RAP TEMPLATE-GAS AVAILABILITY'!Q949+'RAP TEMPLATE-GAS AVAILABILITY'!R949)</f>
        <v>36.158288489208637</v>
      </c>
    </row>
    <row r="951" spans="1:29" ht="15.75" x14ac:dyDescent="0.25">
      <c r="A951" s="13">
        <v>70219</v>
      </c>
      <c r="B951" s="10">
        <f>CHOOSE(CONTROL!$C$42, 35.3787, 35.3787) * CHOOSE(CONTROL!$C$21, $C$9, 100%, $E$9)</f>
        <v>35.378700000000002</v>
      </c>
      <c r="C951" s="10">
        <f>CHOOSE(CONTROL!$C$42, 35.3836, 35.3836) * CHOOSE(CONTROL!$C$21, $C$9, 100%, $E$9)</f>
        <v>35.383600000000001</v>
      </c>
      <c r="D951" s="10">
        <f>CHOOSE(CONTROL!$C$42, 35.475, 35.475) * CHOOSE(CONTROL!$C$21, $C$9, 100%, $E$9)</f>
        <v>35.475000000000001</v>
      </c>
      <c r="E951" s="10">
        <f>CHOOSE(CONTROL!$C$42, 35.5088, 35.5088) * CHOOSE(CONTROL!$C$21, $C$9, 100%, $E$9)</f>
        <v>35.508800000000001</v>
      </c>
      <c r="F951" s="10">
        <f>CHOOSE(CONTROL!$C$42, 35.4085, 35.4085)*CHOOSE(CONTROL!$C$21, $C$9, 100%, $E$9)</f>
        <v>35.408499999999997</v>
      </c>
      <c r="G951" s="10">
        <f>CHOOSE(CONTROL!$C$42, 35.428, 35.428)*CHOOSE(CONTROL!$C$21, $C$9, 100%, $E$9)</f>
        <v>35.427999999999997</v>
      </c>
      <c r="H951" s="10">
        <f>CHOOSE(CONTROL!$C$42, 35.498, 35.498) * CHOOSE(CONTROL!$C$21, $C$9, 100%, $E$9)</f>
        <v>35.497999999999998</v>
      </c>
      <c r="I951" s="10">
        <f>CHOOSE(CONTROL!$C$42, 35.4015, 35.4015)* CHOOSE(CONTROL!$C$21, $C$9, 100%, $E$9)</f>
        <v>35.401499999999999</v>
      </c>
      <c r="J951" s="10">
        <f>CHOOSE(CONTROL!$C$42, 35.4015, 35.4015)* CHOOSE(CONTROL!$C$21, $C$9, 100%, $E$9)</f>
        <v>35.401499999999999</v>
      </c>
      <c r="K951" s="54">
        <f>CHOOSE(CONTROL!$C$42, 35.3976, 35.3976) * CHOOSE(CONTROL!$C$21, $C$9, 100%, $E$9)</f>
        <v>35.397599999999997</v>
      </c>
      <c r="L951" s="10">
        <f>CHOOSE(CONTROL!$C$42, 36.085, 36.085) * CHOOSE(CONTROL!$C$21, $C$9, 100%, $E$9)</f>
        <v>36.085000000000001</v>
      </c>
      <c r="M951" s="10">
        <f>CHOOSE(CONTROL!$C$42, 35.0581, 35.0581) * CHOOSE(CONTROL!$C$21, $C$9, 100%, $E$9)</f>
        <v>35.058100000000003</v>
      </c>
      <c r="N951" s="10">
        <f>CHOOSE(CONTROL!$C$42, 35.0774, 35.0774) * CHOOSE(CONTROL!$C$21, $C$9, 100%, $E$9)</f>
        <v>35.077399999999997</v>
      </c>
      <c r="O951" s="10">
        <f>CHOOSE(CONTROL!$C$42, 35.1536, 35.1536) * CHOOSE(CONTROL!$C$21, $C$9, 100%, $E$9)</f>
        <v>35.153599999999997</v>
      </c>
      <c r="P951" s="10">
        <f>CHOOSE(CONTROL!$C$42, 35.0581, 35.0581) * CHOOSE(CONTROL!$C$21, $C$9, 100%, $E$9)</f>
        <v>35.058100000000003</v>
      </c>
      <c r="Q951" s="10">
        <f>CHOOSE(CONTROL!$C$42, 35.7489, 35.7489) * CHOOSE(CONTROL!$C$21, $C$9, 100%, $E$9)</f>
        <v>35.748899999999999</v>
      </c>
      <c r="R951" s="10">
        <f>CHOOSE(CONTROL!$C$42, 36.4253, 36.4253) * CHOOSE(CONTROL!$C$21, $C$9, 100%, $E$9)</f>
        <v>36.4253</v>
      </c>
      <c r="S951" s="10">
        <f>CHOOSE(CONTROL!$C$42, 34.3541, 34.3541) * CHOOSE(CONTROL!$C$21, $C$9, 100%, $E$9)</f>
        <v>34.354100000000003</v>
      </c>
      <c r="T951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51" s="58">
        <f>(1000*CHOOSE(CONTROL!$C$42, 695, 695)*CHOOSE(CONTROL!$C$42, 0.5599, 0.5599)*CHOOSE(CONTROL!$C$42, 31, 31))/1000000</f>
        <v>12.063045499999998</v>
      </c>
      <c r="V951" s="58">
        <f>(1000*CHOOSE(CONTROL!$C$42, 500, 500)*CHOOSE(CONTROL!$C$42, 0.275, 0.275)*CHOOSE(CONTROL!$C$42, 31, 31))/1000000</f>
        <v>4.2625000000000002</v>
      </c>
      <c r="W951" s="58">
        <f>(1000*CHOOSE(CONTROL!$C$42, 0.1146, 0.1146)*CHOOSE(CONTROL!$C$42, 121.5, 121.5)*CHOOSE(CONTROL!$C$42, 31, 31))/1000000</f>
        <v>0.43164089999999994</v>
      </c>
      <c r="X951" s="58">
        <f>(31*0.1790888*100000/1000000)+(31*0.2374*100000/1000000)</f>
        <v>1.2911152800000001</v>
      </c>
      <c r="Y951" s="58"/>
      <c r="Z951" s="10"/>
      <c r="AA951" s="57"/>
      <c r="AB951" s="51">
        <f>(B951*122.58+C951*297.941+D951*89.177+E951*40.302+F951*40+G951*160+H951*0+I951*100+J951*300)/(122.58+297.941+89.177+40.302+0+40+160+100+300)</f>
        <v>35.407822561913044</v>
      </c>
      <c r="AC951" s="27">
        <f>(M951*'RAP TEMPLATE-GAS AVAILABILITY'!O950+N951*'RAP TEMPLATE-GAS AVAILABILITY'!P950+O951*'RAP TEMPLATE-GAS AVAILABILITY'!Q950+P951*'RAP TEMPLATE-GAS AVAILABILITY'!R950)/('RAP TEMPLATE-GAS AVAILABILITY'!O950+'RAP TEMPLATE-GAS AVAILABILITY'!P950+'RAP TEMPLATE-GAS AVAILABILITY'!Q950+'RAP TEMPLATE-GAS AVAILABILITY'!R950)</f>
        <v>35.102494964028779</v>
      </c>
    </row>
    <row r="952" spans="1:29" ht="15.75" x14ac:dyDescent="0.25">
      <c r="A952" s="13">
        <v>70249</v>
      </c>
      <c r="B952" s="10">
        <f>CHOOSE(CONTROL!$C$42, 35.2736, 35.2736) * CHOOSE(CONTROL!$C$21, $C$9, 100%, $E$9)</f>
        <v>35.273600000000002</v>
      </c>
      <c r="C952" s="10">
        <f>CHOOSE(CONTROL!$C$42, 35.2779, 35.2779) * CHOOSE(CONTROL!$C$21, $C$9, 100%, $E$9)</f>
        <v>35.277900000000002</v>
      </c>
      <c r="D952" s="10">
        <f>CHOOSE(CONTROL!$C$42, 35.4596, 35.4596) * CHOOSE(CONTROL!$C$21, $C$9, 100%, $E$9)</f>
        <v>35.459600000000002</v>
      </c>
      <c r="E952" s="10">
        <f>CHOOSE(CONTROL!$C$42, 35.4914, 35.4914) * CHOOSE(CONTROL!$C$21, $C$9, 100%, $E$9)</f>
        <v>35.491399999999999</v>
      </c>
      <c r="F952" s="10">
        <f>CHOOSE(CONTROL!$C$42, 35.2619, 35.2619)*CHOOSE(CONTROL!$C$21, $C$9, 100%, $E$9)</f>
        <v>35.261899999999997</v>
      </c>
      <c r="G952" s="10">
        <f>CHOOSE(CONTROL!$C$42, 35.2799, 35.2799)*CHOOSE(CONTROL!$C$21, $C$9, 100%, $E$9)</f>
        <v>35.279899999999998</v>
      </c>
      <c r="H952" s="10">
        <f>CHOOSE(CONTROL!$C$42, 35.4812, 35.4812) * CHOOSE(CONTROL!$C$21, $C$9, 100%, $E$9)</f>
        <v>35.481200000000001</v>
      </c>
      <c r="I952" s="10">
        <f>CHOOSE(CONTROL!$C$42, 35.2518, 35.2518)* CHOOSE(CONTROL!$C$21, $C$9, 100%, $E$9)</f>
        <v>35.251800000000003</v>
      </c>
      <c r="J952" s="10">
        <f>CHOOSE(CONTROL!$C$42, 35.2549, 35.2549)* CHOOSE(CONTROL!$C$21, $C$9, 100%, $E$9)</f>
        <v>35.254899999999999</v>
      </c>
      <c r="K952" s="54">
        <f>CHOOSE(CONTROL!$C$42, 35.2479, 35.2479) * CHOOSE(CONTROL!$C$21, $C$9, 100%, $E$9)</f>
        <v>35.247900000000001</v>
      </c>
      <c r="L952" s="10">
        <f>CHOOSE(CONTROL!$C$42, 36.0682, 36.0682) * CHOOSE(CONTROL!$C$21, $C$9, 100%, $E$9)</f>
        <v>36.068199999999997</v>
      </c>
      <c r="M952" s="10">
        <f>CHOOSE(CONTROL!$C$42, 34.9129, 34.9129) * CHOOSE(CONTROL!$C$21, $C$9, 100%, $E$9)</f>
        <v>34.9129</v>
      </c>
      <c r="N952" s="10">
        <f>CHOOSE(CONTROL!$C$42, 34.9307, 34.9307) * CHOOSE(CONTROL!$C$21, $C$9, 100%, $E$9)</f>
        <v>34.930700000000002</v>
      </c>
      <c r="O952" s="10">
        <f>CHOOSE(CONTROL!$C$42, 35.1369, 35.1369) * CHOOSE(CONTROL!$C$21, $C$9, 100%, $E$9)</f>
        <v>35.136899999999997</v>
      </c>
      <c r="P952" s="10">
        <f>CHOOSE(CONTROL!$C$42, 34.9099, 34.9099) * CHOOSE(CONTROL!$C$21, $C$9, 100%, $E$9)</f>
        <v>34.9099</v>
      </c>
      <c r="Q952" s="10">
        <f>CHOOSE(CONTROL!$C$42, 35.7322, 35.7322) * CHOOSE(CONTROL!$C$21, $C$9, 100%, $E$9)</f>
        <v>35.732199999999999</v>
      </c>
      <c r="R952" s="10">
        <f>CHOOSE(CONTROL!$C$42, 36.4086, 36.4086) * CHOOSE(CONTROL!$C$21, $C$9, 100%, $E$9)</f>
        <v>36.4086</v>
      </c>
      <c r="S952" s="10">
        <f>CHOOSE(CONTROL!$C$42, 34.2513, 34.2513) * CHOOSE(CONTROL!$C$21, $C$9, 100%, $E$9)</f>
        <v>34.251300000000001</v>
      </c>
      <c r="T952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952" s="58">
        <f>(1000*CHOOSE(CONTROL!$C$42, 695, 695)*CHOOSE(CONTROL!$C$42, 0.5599, 0.5599)*CHOOSE(CONTROL!$C$42, 30, 30))/1000000</f>
        <v>11.673914999999997</v>
      </c>
      <c r="V952" s="58">
        <f>(1000*CHOOSE(CONTROL!$C$42, 500, 500)*CHOOSE(CONTROL!$C$42, 0.275, 0.275)*CHOOSE(CONTROL!$C$42, 30, 30))/1000000</f>
        <v>4.125</v>
      </c>
      <c r="W952" s="58">
        <f>(1000*CHOOSE(CONTROL!$C$42, 0.1146, 0.1146)*CHOOSE(CONTROL!$C$42, 121.5, 121.5)*CHOOSE(CONTROL!$C$42, 30, 30))/1000000</f>
        <v>0.417717</v>
      </c>
      <c r="X952" s="58">
        <f>(30*0.1790888*245000/1000000)+(30*0.2374*100000/1000000)</f>
        <v>2.0285026799999999</v>
      </c>
      <c r="Y952" s="58"/>
      <c r="Z952" s="10"/>
      <c r="AA952" s="57"/>
      <c r="AB952" s="51">
        <f>(B952*141.293+C952*267.993+D952*115.016+E952*89.698+F952*40+G952*185+H952*0+I952*100+J952*300)/(141.293+267.993+115.016+89.698+0+40+185+100+300)</f>
        <v>35.301839766182404</v>
      </c>
      <c r="AC952" s="27">
        <f>(M952*'RAP TEMPLATE-GAS AVAILABILITY'!O951+N952*'RAP TEMPLATE-GAS AVAILABILITY'!P951+O952*'RAP TEMPLATE-GAS AVAILABILITY'!Q951+P952*'RAP TEMPLATE-GAS AVAILABILITY'!R951)/('RAP TEMPLATE-GAS AVAILABILITY'!O951+'RAP TEMPLATE-GAS AVAILABILITY'!P951+'RAP TEMPLATE-GAS AVAILABILITY'!Q951+'RAP TEMPLATE-GAS AVAILABILITY'!R951)</f>
        <v>35.015017985611514</v>
      </c>
    </row>
    <row r="953" spans="1:29" ht="15.75" x14ac:dyDescent="0.25">
      <c r="A953" s="13">
        <v>70280</v>
      </c>
      <c r="B953" s="10">
        <f>CHOOSE(CONTROL!$C$42, 35.5866, 35.5866) * CHOOSE(CONTROL!$C$21, $C$9, 100%, $E$9)</f>
        <v>35.586599999999997</v>
      </c>
      <c r="C953" s="10">
        <f>CHOOSE(CONTROL!$C$42, 35.5946, 35.5946) * CHOOSE(CONTROL!$C$21, $C$9, 100%, $E$9)</f>
        <v>35.5946</v>
      </c>
      <c r="D953" s="10">
        <f>CHOOSE(CONTROL!$C$42, 35.7731, 35.7731) * CHOOSE(CONTROL!$C$21, $C$9, 100%, $E$9)</f>
        <v>35.773099999999999</v>
      </c>
      <c r="E953" s="10">
        <f>CHOOSE(CONTROL!$C$42, 35.8042, 35.8042) * CHOOSE(CONTROL!$C$21, $C$9, 100%, $E$9)</f>
        <v>35.804200000000002</v>
      </c>
      <c r="F953" s="10">
        <f>CHOOSE(CONTROL!$C$42, 35.5728, 35.5728)*CHOOSE(CONTROL!$C$21, $C$9, 100%, $E$9)</f>
        <v>35.572800000000001</v>
      </c>
      <c r="G953" s="10">
        <f>CHOOSE(CONTROL!$C$42, 35.591, 35.591)*CHOOSE(CONTROL!$C$21, $C$9, 100%, $E$9)</f>
        <v>35.591000000000001</v>
      </c>
      <c r="H953" s="10">
        <f>CHOOSE(CONTROL!$C$42, 35.7929, 35.7929) * CHOOSE(CONTROL!$C$21, $C$9, 100%, $E$9)</f>
        <v>35.792900000000003</v>
      </c>
      <c r="I953" s="10">
        <f>CHOOSE(CONTROL!$C$42, 35.5635, 35.5635)* CHOOSE(CONTROL!$C$21, $C$9, 100%, $E$9)</f>
        <v>35.563499999999998</v>
      </c>
      <c r="J953" s="10">
        <f>CHOOSE(CONTROL!$C$42, 35.5658, 35.5658)* CHOOSE(CONTROL!$C$21, $C$9, 100%, $E$9)</f>
        <v>35.565800000000003</v>
      </c>
      <c r="K953" s="54">
        <f>CHOOSE(CONTROL!$C$42, 35.5596, 35.5596) * CHOOSE(CONTROL!$C$21, $C$9, 100%, $E$9)</f>
        <v>35.559600000000003</v>
      </c>
      <c r="L953" s="10">
        <f>CHOOSE(CONTROL!$C$42, 36.3799, 36.3799) * CHOOSE(CONTROL!$C$21, $C$9, 100%, $E$9)</f>
        <v>36.379899999999999</v>
      </c>
      <c r="M953" s="10">
        <f>CHOOSE(CONTROL!$C$42, 35.2207, 35.2207) * CHOOSE(CONTROL!$C$21, $C$9, 100%, $E$9)</f>
        <v>35.220700000000001</v>
      </c>
      <c r="N953" s="10">
        <f>CHOOSE(CONTROL!$C$42, 35.2387, 35.2387) * CHOOSE(CONTROL!$C$21, $C$9, 100%, $E$9)</f>
        <v>35.238700000000001</v>
      </c>
      <c r="O953" s="10">
        <f>CHOOSE(CONTROL!$C$42, 35.4455, 35.4455) * CHOOSE(CONTROL!$C$21, $C$9, 100%, $E$9)</f>
        <v>35.445500000000003</v>
      </c>
      <c r="P953" s="10">
        <f>CHOOSE(CONTROL!$C$42, 35.2185, 35.2185) * CHOOSE(CONTROL!$C$21, $C$9, 100%, $E$9)</f>
        <v>35.218499999999999</v>
      </c>
      <c r="Q953" s="10">
        <f>CHOOSE(CONTROL!$C$42, 36.0408, 36.0408) * CHOOSE(CONTROL!$C$21, $C$9, 100%, $E$9)</f>
        <v>36.040799999999997</v>
      </c>
      <c r="R953" s="10">
        <f>CHOOSE(CONTROL!$C$42, 36.7179, 36.7179) * CHOOSE(CONTROL!$C$21, $C$9, 100%, $E$9)</f>
        <v>36.7179</v>
      </c>
      <c r="S953" s="10">
        <f>CHOOSE(CONTROL!$C$42, 34.5539, 34.5539) * CHOOSE(CONTROL!$C$21, $C$9, 100%, $E$9)</f>
        <v>34.553899999999999</v>
      </c>
      <c r="T953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953" s="58">
        <f>(1000*CHOOSE(CONTROL!$C$42, 695, 695)*CHOOSE(CONTROL!$C$42, 0.5599, 0.5599)*CHOOSE(CONTROL!$C$42, 31, 31))/1000000</f>
        <v>12.063045499999998</v>
      </c>
      <c r="V953" s="58">
        <f>(1000*CHOOSE(CONTROL!$C$42, 500, 500)*CHOOSE(CONTROL!$C$42, 0.275, 0.275)*CHOOSE(CONTROL!$C$42, 31, 31))/1000000</f>
        <v>4.2625000000000002</v>
      </c>
      <c r="W953" s="58">
        <f>(1000*CHOOSE(CONTROL!$C$42, 0.1146, 0.1146)*CHOOSE(CONTROL!$C$42, 121.5, 121.5)*CHOOSE(CONTROL!$C$42, 31, 31))/1000000</f>
        <v>0.43164089999999994</v>
      </c>
      <c r="X953" s="58">
        <f>(31*0.1790888*245000/1000000)+(31*0.2374*100000/1000000)</f>
        <v>2.0961194359999999</v>
      </c>
      <c r="Y953" s="58"/>
      <c r="Z953" s="10"/>
      <c r="AA953" s="57"/>
      <c r="AB953" s="51">
        <f>(B953*194.205+C953*267.466+D953*133.845+E953*53.484+F953*40+G953*185+H953*0+I953*100+J953*300)/(194.205+267.466+133.845+53.484+0+40+185+100+300)</f>
        <v>35.610502620800631</v>
      </c>
      <c r="AC953" s="27">
        <f>(M953*'RAP TEMPLATE-GAS AVAILABILITY'!O952+N953*'RAP TEMPLATE-GAS AVAILABILITY'!P952+O953*'RAP TEMPLATE-GAS AVAILABILITY'!Q952+P953*'RAP TEMPLATE-GAS AVAILABILITY'!R952)/('RAP TEMPLATE-GAS AVAILABILITY'!O952+'RAP TEMPLATE-GAS AVAILABILITY'!P952+'RAP TEMPLATE-GAS AVAILABILITY'!Q952+'RAP TEMPLATE-GAS AVAILABILITY'!R952)</f>
        <v>35.323307194244599</v>
      </c>
    </row>
    <row r="954" spans="1:29" ht="15.75" x14ac:dyDescent="0.25">
      <c r="A954" s="13">
        <v>70310</v>
      </c>
      <c r="B954" s="10">
        <f>CHOOSE(CONTROL!$C$42, 36.5959, 36.5959) * CHOOSE(CONTROL!$C$21, $C$9, 100%, $E$9)</f>
        <v>36.5959</v>
      </c>
      <c r="C954" s="10">
        <f>CHOOSE(CONTROL!$C$42, 36.6039, 36.6039) * CHOOSE(CONTROL!$C$21, $C$9, 100%, $E$9)</f>
        <v>36.603900000000003</v>
      </c>
      <c r="D954" s="10">
        <f>CHOOSE(CONTROL!$C$42, 36.7824, 36.7824) * CHOOSE(CONTROL!$C$21, $C$9, 100%, $E$9)</f>
        <v>36.782400000000003</v>
      </c>
      <c r="E954" s="10">
        <f>CHOOSE(CONTROL!$C$42, 36.8135, 36.8135) * CHOOSE(CONTROL!$C$21, $C$9, 100%, $E$9)</f>
        <v>36.813499999999998</v>
      </c>
      <c r="F954" s="10">
        <f>CHOOSE(CONTROL!$C$42, 36.5824, 36.5824)*CHOOSE(CONTROL!$C$21, $C$9, 100%, $E$9)</f>
        <v>36.5824</v>
      </c>
      <c r="G954" s="10">
        <f>CHOOSE(CONTROL!$C$42, 36.6006, 36.6006)*CHOOSE(CONTROL!$C$21, $C$9, 100%, $E$9)</f>
        <v>36.6006</v>
      </c>
      <c r="H954" s="10">
        <f>CHOOSE(CONTROL!$C$42, 36.8022, 36.8022) * CHOOSE(CONTROL!$C$21, $C$9, 100%, $E$9)</f>
        <v>36.802199999999999</v>
      </c>
      <c r="I954" s="10">
        <f>CHOOSE(CONTROL!$C$42, 36.5728, 36.5728)* CHOOSE(CONTROL!$C$21, $C$9, 100%, $E$9)</f>
        <v>36.572800000000001</v>
      </c>
      <c r="J954" s="10">
        <f>CHOOSE(CONTROL!$C$42, 36.5754, 36.5754)* CHOOSE(CONTROL!$C$21, $C$9, 100%, $E$9)</f>
        <v>36.575400000000002</v>
      </c>
      <c r="K954" s="54">
        <f>CHOOSE(CONTROL!$C$42, 36.5689, 36.5689) * CHOOSE(CONTROL!$C$21, $C$9, 100%, $E$9)</f>
        <v>36.568899999999999</v>
      </c>
      <c r="L954" s="10">
        <f>CHOOSE(CONTROL!$C$42, 37.3892, 37.3892) * CHOOSE(CONTROL!$C$21, $C$9, 100%, $E$9)</f>
        <v>37.389200000000002</v>
      </c>
      <c r="M954" s="10">
        <f>CHOOSE(CONTROL!$C$42, 36.2201, 36.2201) * CHOOSE(CONTROL!$C$21, $C$9, 100%, $E$9)</f>
        <v>36.220100000000002</v>
      </c>
      <c r="N954" s="10">
        <f>CHOOSE(CONTROL!$C$42, 36.2381, 36.2381) * CHOOSE(CONTROL!$C$21, $C$9, 100%, $E$9)</f>
        <v>36.238100000000003</v>
      </c>
      <c r="O954" s="10">
        <f>CHOOSE(CONTROL!$C$42, 36.4446, 36.4446) * CHOOSE(CONTROL!$C$21, $C$9, 100%, $E$9)</f>
        <v>36.444600000000001</v>
      </c>
      <c r="P954" s="10">
        <f>CHOOSE(CONTROL!$C$42, 36.2176, 36.2176) * CHOOSE(CONTROL!$C$21, $C$9, 100%, $E$9)</f>
        <v>36.217599999999997</v>
      </c>
      <c r="Q954" s="10">
        <f>CHOOSE(CONTROL!$C$42, 37.0399, 37.0399) * CHOOSE(CONTROL!$C$21, $C$9, 100%, $E$9)</f>
        <v>37.039900000000003</v>
      </c>
      <c r="R954" s="10">
        <f>CHOOSE(CONTROL!$C$42, 37.7195, 37.7195) * CHOOSE(CONTROL!$C$21, $C$9, 100%, $E$9)</f>
        <v>37.719499999999996</v>
      </c>
      <c r="S954" s="10">
        <f>CHOOSE(CONTROL!$C$42, 35.5341, 35.5341) * CHOOSE(CONTROL!$C$21, $C$9, 100%, $E$9)</f>
        <v>35.534100000000002</v>
      </c>
      <c r="T954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54" s="58">
        <f>(1000*CHOOSE(CONTROL!$C$42, 695, 695)*CHOOSE(CONTROL!$C$42, 0.5599, 0.5599)*CHOOSE(CONTROL!$C$42, 30, 30))/1000000</f>
        <v>11.673914999999997</v>
      </c>
      <c r="V954" s="58">
        <f>(1000*CHOOSE(CONTROL!$C$42, 500, 500)*CHOOSE(CONTROL!$C$42, 0.275, 0.275)*CHOOSE(CONTROL!$C$42, 30, 30))/1000000</f>
        <v>4.125</v>
      </c>
      <c r="W954" s="58">
        <f>(1000*CHOOSE(CONTROL!$C$42, 0.1146, 0.1146)*CHOOSE(CONTROL!$C$42, 121.5, 121.5)*CHOOSE(CONTROL!$C$42, 30, 30))/1000000</f>
        <v>0.417717</v>
      </c>
      <c r="X954" s="58">
        <f>(30*0.1790888*245000/1000000)+(30*0.2374*100000/1000000)</f>
        <v>2.0285026799999999</v>
      </c>
      <c r="Y954" s="58"/>
      <c r="Z954" s="10"/>
      <c r="AA954" s="57"/>
      <c r="AB954" s="51">
        <f>(B954*194.205+C954*267.466+D954*133.845+E954*53.484+F954*40+G954*185+H954*0+I954*100+J954*300)/(194.205+267.466+133.845+53.484+0+40+185+100+300)</f>
        <v>36.619926247174256</v>
      </c>
      <c r="AC954" s="27">
        <f>(M954*'RAP TEMPLATE-GAS AVAILABILITY'!O953+N954*'RAP TEMPLATE-GAS AVAILABILITY'!P953+O954*'RAP TEMPLATE-GAS AVAILABILITY'!Q953+P954*'RAP TEMPLATE-GAS AVAILABILITY'!R953)/('RAP TEMPLATE-GAS AVAILABILITY'!O953+'RAP TEMPLATE-GAS AVAILABILITY'!P953+'RAP TEMPLATE-GAS AVAILABILITY'!Q953+'RAP TEMPLATE-GAS AVAILABILITY'!R953)</f>
        <v>36.322528057553953</v>
      </c>
    </row>
    <row r="955" spans="1:29" ht="15.75" x14ac:dyDescent="0.25">
      <c r="A955" s="13">
        <v>70341</v>
      </c>
      <c r="B955" s="10">
        <f>CHOOSE(CONTROL!$C$42, 35.894, 35.894) * CHOOSE(CONTROL!$C$21, $C$9, 100%, $E$9)</f>
        <v>35.893999999999998</v>
      </c>
      <c r="C955" s="10">
        <f>CHOOSE(CONTROL!$C$42, 35.9019, 35.9019) * CHOOSE(CONTROL!$C$21, $C$9, 100%, $E$9)</f>
        <v>35.901899999999998</v>
      </c>
      <c r="D955" s="10">
        <f>CHOOSE(CONTROL!$C$42, 36.0804, 36.0804) * CHOOSE(CONTROL!$C$21, $C$9, 100%, $E$9)</f>
        <v>36.080399999999997</v>
      </c>
      <c r="E955" s="10">
        <f>CHOOSE(CONTROL!$C$42, 36.1115, 36.1115) * CHOOSE(CONTROL!$C$21, $C$9, 100%, $E$9)</f>
        <v>36.111499999999999</v>
      </c>
      <c r="F955" s="10">
        <f>CHOOSE(CONTROL!$C$42, 35.8807, 35.8807)*CHOOSE(CONTROL!$C$21, $C$9, 100%, $E$9)</f>
        <v>35.880699999999997</v>
      </c>
      <c r="G955" s="10">
        <f>CHOOSE(CONTROL!$C$42, 35.899, 35.899)*CHOOSE(CONTROL!$C$21, $C$9, 100%, $E$9)</f>
        <v>35.899000000000001</v>
      </c>
      <c r="H955" s="10">
        <f>CHOOSE(CONTROL!$C$42, 36.1002, 36.1002) * CHOOSE(CONTROL!$C$21, $C$9, 100%, $E$9)</f>
        <v>36.100200000000001</v>
      </c>
      <c r="I955" s="10">
        <f>CHOOSE(CONTROL!$C$42, 35.8708, 35.8708)* CHOOSE(CONTROL!$C$21, $C$9, 100%, $E$9)</f>
        <v>35.870800000000003</v>
      </c>
      <c r="J955" s="10">
        <f>CHOOSE(CONTROL!$C$42, 35.8737, 35.8737)* CHOOSE(CONTROL!$C$21, $C$9, 100%, $E$9)</f>
        <v>35.873699999999999</v>
      </c>
      <c r="K955" s="54">
        <f>CHOOSE(CONTROL!$C$42, 35.8669, 35.8669) * CHOOSE(CONTROL!$C$21, $C$9, 100%, $E$9)</f>
        <v>35.866900000000001</v>
      </c>
      <c r="L955" s="10">
        <f>CHOOSE(CONTROL!$C$42, 36.6872, 36.6872) * CHOOSE(CONTROL!$C$21, $C$9, 100%, $E$9)</f>
        <v>36.687199999999997</v>
      </c>
      <c r="M955" s="10">
        <f>CHOOSE(CONTROL!$C$42, 35.5255, 35.5255) * CHOOSE(CONTROL!$C$21, $C$9, 100%, $E$9)</f>
        <v>35.525500000000001</v>
      </c>
      <c r="N955" s="10">
        <f>CHOOSE(CONTROL!$C$42, 35.5436, 35.5436) * CHOOSE(CONTROL!$C$21, $C$9, 100%, $E$9)</f>
        <v>35.543599999999998</v>
      </c>
      <c r="O955" s="10">
        <f>CHOOSE(CONTROL!$C$42, 35.7497, 35.7497) * CHOOSE(CONTROL!$C$21, $C$9, 100%, $E$9)</f>
        <v>35.749699999999997</v>
      </c>
      <c r="P955" s="10">
        <f>CHOOSE(CONTROL!$C$42, 35.5227, 35.5227) * CHOOSE(CONTROL!$C$21, $C$9, 100%, $E$9)</f>
        <v>35.5227</v>
      </c>
      <c r="Q955" s="10">
        <f>CHOOSE(CONTROL!$C$42, 36.345, 36.345) * CHOOSE(CONTROL!$C$21, $C$9, 100%, $E$9)</f>
        <v>36.344999999999999</v>
      </c>
      <c r="R955" s="10">
        <f>CHOOSE(CONTROL!$C$42, 37.0229, 37.0229) * CHOOSE(CONTROL!$C$21, $C$9, 100%, $E$9)</f>
        <v>37.0229</v>
      </c>
      <c r="S955" s="10">
        <f>CHOOSE(CONTROL!$C$42, 34.8524, 34.8524) * CHOOSE(CONTROL!$C$21, $C$9, 100%, $E$9)</f>
        <v>34.852400000000003</v>
      </c>
      <c r="T955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55" s="58">
        <f>(1000*CHOOSE(CONTROL!$C$42, 695, 695)*CHOOSE(CONTROL!$C$42, 0.5599, 0.5599)*CHOOSE(CONTROL!$C$42, 31, 31))/1000000</f>
        <v>12.063045499999998</v>
      </c>
      <c r="V955" s="58">
        <f>(1000*CHOOSE(CONTROL!$C$42, 500, 500)*CHOOSE(CONTROL!$C$42, 0.275, 0.275)*CHOOSE(CONTROL!$C$42, 31, 31))/1000000</f>
        <v>4.2625000000000002</v>
      </c>
      <c r="W955" s="58">
        <f>(1000*CHOOSE(CONTROL!$C$42, 0.1146, 0.1146)*CHOOSE(CONTROL!$C$42, 121.5, 121.5)*CHOOSE(CONTROL!$C$42, 31, 31))/1000000</f>
        <v>0.43164089999999994</v>
      </c>
      <c r="X955" s="58">
        <f>(31*0.1790888*245000/1000000)+(31*0.2374*100000/1000000)</f>
        <v>2.0961194359999999</v>
      </c>
      <c r="Y955" s="58"/>
      <c r="Z955" s="10"/>
      <c r="AA955" s="57"/>
      <c r="AB955" s="51">
        <f>(B955*194.205+C955*267.466+D955*133.845+E955*53.484+F955*40+G955*185+H955*0+I955*100+J955*300)/(194.205+267.466+133.845+53.484+0+40+185+100+300)</f>
        <v>35.918079638461542</v>
      </c>
      <c r="AC955" s="27">
        <f>(M955*'RAP TEMPLATE-GAS AVAILABILITY'!O954+N955*'RAP TEMPLATE-GAS AVAILABILITY'!P954+O955*'RAP TEMPLATE-GAS AVAILABILITY'!Q954+P955*'RAP TEMPLATE-GAS AVAILABILITY'!R954)/('RAP TEMPLATE-GAS AVAILABILITY'!O954+'RAP TEMPLATE-GAS AVAILABILITY'!P954+'RAP TEMPLATE-GAS AVAILABILITY'!Q954+'RAP TEMPLATE-GAS AVAILABILITY'!R954)</f>
        <v>35.627754676258995</v>
      </c>
    </row>
    <row r="956" spans="1:29" ht="15.75" x14ac:dyDescent="0.25">
      <c r="A956" s="13">
        <v>70372</v>
      </c>
      <c r="B956" s="10">
        <f>CHOOSE(CONTROL!$C$42, 34.1212, 34.1212) * CHOOSE(CONTROL!$C$21, $C$9, 100%, $E$9)</f>
        <v>34.121200000000002</v>
      </c>
      <c r="C956" s="10">
        <f>CHOOSE(CONTROL!$C$42, 34.1292, 34.1292) * CHOOSE(CONTROL!$C$21, $C$9, 100%, $E$9)</f>
        <v>34.129199999999997</v>
      </c>
      <c r="D956" s="10">
        <f>CHOOSE(CONTROL!$C$42, 34.3077, 34.3077) * CHOOSE(CONTROL!$C$21, $C$9, 100%, $E$9)</f>
        <v>34.307699999999997</v>
      </c>
      <c r="E956" s="10">
        <f>CHOOSE(CONTROL!$C$42, 34.3388, 34.3388) * CHOOSE(CONTROL!$C$21, $C$9, 100%, $E$9)</f>
        <v>34.338799999999999</v>
      </c>
      <c r="F956" s="10">
        <f>CHOOSE(CONTROL!$C$42, 34.1079, 34.1079)*CHOOSE(CONTROL!$C$21, $C$9, 100%, $E$9)</f>
        <v>34.107900000000001</v>
      </c>
      <c r="G956" s="10">
        <f>CHOOSE(CONTROL!$C$42, 34.1262, 34.1262)*CHOOSE(CONTROL!$C$21, $C$9, 100%, $E$9)</f>
        <v>34.126199999999997</v>
      </c>
      <c r="H956" s="10">
        <f>CHOOSE(CONTROL!$C$42, 34.3275, 34.3275) * CHOOSE(CONTROL!$C$21, $C$9, 100%, $E$9)</f>
        <v>34.327500000000001</v>
      </c>
      <c r="I956" s="10">
        <f>CHOOSE(CONTROL!$C$42, 34.0981, 34.0981)* CHOOSE(CONTROL!$C$21, $C$9, 100%, $E$9)</f>
        <v>34.098100000000002</v>
      </c>
      <c r="J956" s="10">
        <f>CHOOSE(CONTROL!$C$42, 34.1009, 34.1009)* CHOOSE(CONTROL!$C$21, $C$9, 100%, $E$9)</f>
        <v>34.100900000000003</v>
      </c>
      <c r="K956" s="54">
        <f>CHOOSE(CONTROL!$C$42, 34.0942, 34.0942) * CHOOSE(CONTROL!$C$21, $C$9, 100%, $E$9)</f>
        <v>34.094200000000001</v>
      </c>
      <c r="L956" s="10">
        <f>CHOOSE(CONTROL!$C$42, 34.9145, 34.9145) * CHOOSE(CONTROL!$C$21, $C$9, 100%, $E$9)</f>
        <v>34.914499999999997</v>
      </c>
      <c r="M956" s="10">
        <f>CHOOSE(CONTROL!$C$42, 33.7706, 33.7706) * CHOOSE(CONTROL!$C$21, $C$9, 100%, $E$9)</f>
        <v>33.770600000000002</v>
      </c>
      <c r="N956" s="10">
        <f>CHOOSE(CONTROL!$C$42, 33.7887, 33.7887) * CHOOSE(CONTROL!$C$21, $C$9, 100%, $E$9)</f>
        <v>33.788699999999999</v>
      </c>
      <c r="O956" s="10">
        <f>CHOOSE(CONTROL!$C$42, 33.9949, 33.9949) * CHOOSE(CONTROL!$C$21, $C$9, 100%, $E$9)</f>
        <v>33.994900000000001</v>
      </c>
      <c r="P956" s="10">
        <f>CHOOSE(CONTROL!$C$42, 33.7679, 33.7679) * CHOOSE(CONTROL!$C$21, $C$9, 100%, $E$9)</f>
        <v>33.767899999999997</v>
      </c>
      <c r="Q956" s="10">
        <f>CHOOSE(CONTROL!$C$42, 34.5902, 34.5902) * CHOOSE(CONTROL!$C$21, $C$9, 100%, $E$9)</f>
        <v>34.590200000000003</v>
      </c>
      <c r="R956" s="10">
        <f>CHOOSE(CONTROL!$C$42, 35.2636, 35.2636) * CHOOSE(CONTROL!$C$21, $C$9, 100%, $E$9)</f>
        <v>35.263599999999997</v>
      </c>
      <c r="S956" s="10">
        <f>CHOOSE(CONTROL!$C$42, 33.1309, 33.1309) * CHOOSE(CONTROL!$C$21, $C$9, 100%, $E$9)</f>
        <v>33.130899999999997</v>
      </c>
      <c r="T956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56" s="58">
        <f>(1000*CHOOSE(CONTROL!$C$42, 695, 695)*CHOOSE(CONTROL!$C$42, 0.5599, 0.5599)*CHOOSE(CONTROL!$C$42, 31, 31))/1000000</f>
        <v>12.063045499999998</v>
      </c>
      <c r="V956" s="58">
        <f>(1000*CHOOSE(CONTROL!$C$42, 500, 500)*CHOOSE(CONTROL!$C$42, 0.275, 0.275)*CHOOSE(CONTROL!$C$42, 31, 31))/1000000</f>
        <v>4.2625000000000002</v>
      </c>
      <c r="W956" s="58">
        <f>(1000*CHOOSE(CONTROL!$C$42, 0.1146, 0.1146)*CHOOSE(CONTROL!$C$42, 121.5, 121.5)*CHOOSE(CONTROL!$C$42, 31, 31))/1000000</f>
        <v>0.43164089999999994</v>
      </c>
      <c r="X956" s="58">
        <f>(31*0.1790888*245000/1000000)+(31*0.2374*100000/1000000)</f>
        <v>2.0961194359999999</v>
      </c>
      <c r="Y956" s="58"/>
      <c r="Z956" s="10"/>
      <c r="AA956" s="57"/>
      <c r="AB956" s="51">
        <f>(B956*194.205+C956*267.466+D956*133.845+E956*53.484+F956*40+G956*185+H956*0+I956*100+J956*300)/(194.205+267.466+133.845+53.484+0+40+185+100+300)</f>
        <v>34.145323185949763</v>
      </c>
      <c r="AC956" s="27">
        <f>(M956*'RAP TEMPLATE-GAS AVAILABILITY'!O955+N956*'RAP TEMPLATE-GAS AVAILABILITY'!P955+O956*'RAP TEMPLATE-GAS AVAILABILITY'!Q955+P956*'RAP TEMPLATE-GAS AVAILABILITY'!R955)/('RAP TEMPLATE-GAS AVAILABILITY'!O955+'RAP TEMPLATE-GAS AVAILABILITY'!P955+'RAP TEMPLATE-GAS AVAILABILITY'!Q955+'RAP TEMPLATE-GAS AVAILABILITY'!R955)</f>
        <v>33.872914388489214</v>
      </c>
    </row>
    <row r="957" spans="1:29" ht="15.75" x14ac:dyDescent="0.25">
      <c r="A957" s="13">
        <v>70402</v>
      </c>
      <c r="B957" s="10">
        <f>CHOOSE(CONTROL!$C$42, 31.9553, 31.9553) * CHOOSE(CONTROL!$C$21, $C$9, 100%, $E$9)</f>
        <v>31.955300000000001</v>
      </c>
      <c r="C957" s="10">
        <f>CHOOSE(CONTROL!$C$42, 31.9632, 31.9632) * CHOOSE(CONTROL!$C$21, $C$9, 100%, $E$9)</f>
        <v>31.963200000000001</v>
      </c>
      <c r="D957" s="10">
        <f>CHOOSE(CONTROL!$C$42, 32.1418, 32.1418) * CHOOSE(CONTROL!$C$21, $C$9, 100%, $E$9)</f>
        <v>32.141800000000003</v>
      </c>
      <c r="E957" s="10">
        <f>CHOOSE(CONTROL!$C$42, 32.1729, 32.1729) * CHOOSE(CONTROL!$C$21, $C$9, 100%, $E$9)</f>
        <v>32.172899999999998</v>
      </c>
      <c r="F957" s="10">
        <f>CHOOSE(CONTROL!$C$42, 31.9417, 31.9417)*CHOOSE(CONTROL!$C$21, $C$9, 100%, $E$9)</f>
        <v>31.941700000000001</v>
      </c>
      <c r="G957" s="10">
        <f>CHOOSE(CONTROL!$C$42, 31.9599, 31.9599)*CHOOSE(CONTROL!$C$21, $C$9, 100%, $E$9)</f>
        <v>31.959900000000001</v>
      </c>
      <c r="H957" s="10">
        <f>CHOOSE(CONTROL!$C$42, 32.1615, 32.1615) * CHOOSE(CONTROL!$C$21, $C$9, 100%, $E$9)</f>
        <v>32.161499999999997</v>
      </c>
      <c r="I957" s="10">
        <f>CHOOSE(CONTROL!$C$42, 31.9322, 31.9322)* CHOOSE(CONTROL!$C$21, $C$9, 100%, $E$9)</f>
        <v>31.932200000000002</v>
      </c>
      <c r="J957" s="10">
        <f>CHOOSE(CONTROL!$C$42, 31.9347, 31.9347)* CHOOSE(CONTROL!$C$21, $C$9, 100%, $E$9)</f>
        <v>31.934699999999999</v>
      </c>
      <c r="K957" s="54">
        <f>CHOOSE(CONTROL!$C$42, 31.9283, 31.9283) * CHOOSE(CONTROL!$C$21, $C$9, 100%, $E$9)</f>
        <v>31.9283</v>
      </c>
      <c r="L957" s="10">
        <f>CHOOSE(CONTROL!$C$42, 32.7485, 32.7485) * CHOOSE(CONTROL!$C$21, $C$9, 100%, $E$9)</f>
        <v>32.7485</v>
      </c>
      <c r="M957" s="10">
        <f>CHOOSE(CONTROL!$C$42, 31.6262, 31.6262) * CHOOSE(CONTROL!$C$21, $C$9, 100%, $E$9)</f>
        <v>31.626200000000001</v>
      </c>
      <c r="N957" s="10">
        <f>CHOOSE(CONTROL!$C$42, 31.6443, 31.6443) * CHOOSE(CONTROL!$C$21, $C$9, 100%, $E$9)</f>
        <v>31.644300000000001</v>
      </c>
      <c r="O957" s="10">
        <f>CHOOSE(CONTROL!$C$42, 31.8508, 31.8508) * CHOOSE(CONTROL!$C$21, $C$9, 100%, $E$9)</f>
        <v>31.8508</v>
      </c>
      <c r="P957" s="10">
        <f>CHOOSE(CONTROL!$C$42, 31.6238, 31.6238) * CHOOSE(CONTROL!$C$21, $C$9, 100%, $E$9)</f>
        <v>31.623799999999999</v>
      </c>
      <c r="Q957" s="10">
        <f>CHOOSE(CONTROL!$C$42, 32.4461, 32.4461) * CHOOSE(CONTROL!$C$21, $C$9, 100%, $E$9)</f>
        <v>32.446100000000001</v>
      </c>
      <c r="R957" s="10">
        <f>CHOOSE(CONTROL!$C$42, 33.1142, 33.1142) * CHOOSE(CONTROL!$C$21, $C$9, 100%, $E$9)</f>
        <v>33.114199999999997</v>
      </c>
      <c r="S957" s="10">
        <f>CHOOSE(CONTROL!$C$42, 31.0276, 31.0276) * CHOOSE(CONTROL!$C$21, $C$9, 100%, $E$9)</f>
        <v>31.0276</v>
      </c>
      <c r="T957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57" s="58">
        <f>(1000*CHOOSE(CONTROL!$C$42, 695, 695)*CHOOSE(CONTROL!$C$42, 0.5599, 0.5599)*CHOOSE(CONTROL!$C$42, 30, 30))/1000000</f>
        <v>11.673914999999997</v>
      </c>
      <c r="V957" s="58">
        <f>(1000*CHOOSE(CONTROL!$C$42, 500, 500)*CHOOSE(CONTROL!$C$42, 0.275, 0.275)*CHOOSE(CONTROL!$C$42, 30, 30))/1000000</f>
        <v>4.125</v>
      </c>
      <c r="W957" s="58">
        <f>(1000*CHOOSE(CONTROL!$C$42, 0.1146, 0.1146)*CHOOSE(CONTROL!$C$42, 121.5, 121.5)*CHOOSE(CONTROL!$C$42, 30, 30))/1000000</f>
        <v>0.417717</v>
      </c>
      <c r="X957" s="58">
        <f>(30*0.1790888*245000/1000000)+(30*0.2374*100000/1000000)</f>
        <v>2.0285026799999999</v>
      </c>
      <c r="Y957" s="58"/>
      <c r="Z957" s="10"/>
      <c r="AA957" s="57"/>
      <c r="AB957" s="51">
        <f>(B957*194.205+C957*267.466+D957*133.845+E957*53.484+F957*40+G957*185+H957*0+I957*100+J957*300)/(194.205+267.466+133.845+53.484+0+40+185+100+300)</f>
        <v>31.97926404419152</v>
      </c>
      <c r="AC957" s="27">
        <f>(M957*'RAP TEMPLATE-GAS AVAILABILITY'!O956+N957*'RAP TEMPLATE-GAS AVAILABILITY'!P956+O957*'RAP TEMPLATE-GAS AVAILABILITY'!Q956+P957*'RAP TEMPLATE-GAS AVAILABILITY'!R956)/('RAP TEMPLATE-GAS AVAILABILITY'!O956+'RAP TEMPLATE-GAS AVAILABILITY'!P956+'RAP TEMPLATE-GAS AVAILABILITY'!Q956+'RAP TEMPLATE-GAS AVAILABILITY'!R956)</f>
        <v>31.72869352517986</v>
      </c>
    </row>
    <row r="958" spans="1:29" ht="15.75" x14ac:dyDescent="0.25">
      <c r="A958" s="13">
        <v>70433</v>
      </c>
      <c r="B958" s="10">
        <f>CHOOSE(CONTROL!$C$42, 31.3044, 31.3044) * CHOOSE(CONTROL!$C$21, $C$9, 100%, $E$9)</f>
        <v>31.304400000000001</v>
      </c>
      <c r="C958" s="10">
        <f>CHOOSE(CONTROL!$C$42, 31.3097, 31.3097) * CHOOSE(CONTROL!$C$21, $C$9, 100%, $E$9)</f>
        <v>31.309699999999999</v>
      </c>
      <c r="D958" s="10">
        <f>CHOOSE(CONTROL!$C$42, 31.4932, 31.4932) * CHOOSE(CONTROL!$C$21, $C$9, 100%, $E$9)</f>
        <v>31.493200000000002</v>
      </c>
      <c r="E958" s="10">
        <f>CHOOSE(CONTROL!$C$42, 31.522, 31.522) * CHOOSE(CONTROL!$C$21, $C$9, 100%, $E$9)</f>
        <v>31.521999999999998</v>
      </c>
      <c r="F958" s="10">
        <f>CHOOSE(CONTROL!$C$42, 31.2928, 31.2928)*CHOOSE(CONTROL!$C$21, $C$9, 100%, $E$9)</f>
        <v>31.2928</v>
      </c>
      <c r="G958" s="10">
        <f>CHOOSE(CONTROL!$C$42, 31.3107, 31.3107)*CHOOSE(CONTROL!$C$21, $C$9, 100%, $E$9)</f>
        <v>31.310700000000001</v>
      </c>
      <c r="H958" s="10">
        <f>CHOOSE(CONTROL!$C$42, 31.5124, 31.5124) * CHOOSE(CONTROL!$C$21, $C$9, 100%, $E$9)</f>
        <v>31.5124</v>
      </c>
      <c r="I958" s="10">
        <f>CHOOSE(CONTROL!$C$42, 31.2831, 31.2831)* CHOOSE(CONTROL!$C$21, $C$9, 100%, $E$9)</f>
        <v>31.283100000000001</v>
      </c>
      <c r="J958" s="10">
        <f>CHOOSE(CONTROL!$C$42, 31.2858, 31.2858)* CHOOSE(CONTROL!$C$21, $C$9, 100%, $E$9)</f>
        <v>31.285799999999998</v>
      </c>
      <c r="K958" s="54">
        <f>CHOOSE(CONTROL!$C$42, 31.2792, 31.2792) * CHOOSE(CONTROL!$C$21, $C$9, 100%, $E$9)</f>
        <v>31.279199999999999</v>
      </c>
      <c r="L958" s="10">
        <f>CHOOSE(CONTROL!$C$42, 32.0994, 32.0994) * CHOOSE(CONTROL!$C$21, $C$9, 100%, $E$9)</f>
        <v>32.099400000000003</v>
      </c>
      <c r="M958" s="10">
        <f>CHOOSE(CONTROL!$C$42, 30.9839, 30.9839) * CHOOSE(CONTROL!$C$21, $C$9, 100%, $E$9)</f>
        <v>30.983899999999998</v>
      </c>
      <c r="N958" s="10">
        <f>CHOOSE(CONTROL!$C$42, 31.0016, 31.0016) * CHOOSE(CONTROL!$C$21, $C$9, 100%, $E$9)</f>
        <v>31.0016</v>
      </c>
      <c r="O958" s="10">
        <f>CHOOSE(CONTROL!$C$42, 31.2082, 31.2082) * CHOOSE(CONTROL!$C$21, $C$9, 100%, $E$9)</f>
        <v>31.208200000000001</v>
      </c>
      <c r="P958" s="10">
        <f>CHOOSE(CONTROL!$C$42, 30.9812, 30.9812) * CHOOSE(CONTROL!$C$21, $C$9, 100%, $E$9)</f>
        <v>30.981200000000001</v>
      </c>
      <c r="Q958" s="10">
        <f>CHOOSE(CONTROL!$C$42, 31.8035, 31.8035) * CHOOSE(CONTROL!$C$21, $C$9, 100%, $E$9)</f>
        <v>31.8035</v>
      </c>
      <c r="R958" s="10">
        <f>CHOOSE(CONTROL!$C$42, 32.47, 32.47) * CHOOSE(CONTROL!$C$21, $C$9, 100%, $E$9)</f>
        <v>32.47</v>
      </c>
      <c r="S958" s="10">
        <f>CHOOSE(CONTROL!$C$42, 30.3972, 30.3972) * CHOOSE(CONTROL!$C$21, $C$9, 100%, $E$9)</f>
        <v>30.397200000000002</v>
      </c>
      <c r="T958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58" s="58">
        <f>(1000*CHOOSE(CONTROL!$C$42, 695, 695)*CHOOSE(CONTROL!$C$42, 0.5599, 0.5599)*CHOOSE(CONTROL!$C$42, 31, 31))/1000000</f>
        <v>12.063045499999998</v>
      </c>
      <c r="V958" s="58">
        <f>(1000*CHOOSE(CONTROL!$C$42, 500, 500)*CHOOSE(CONTROL!$C$42, 0.275, 0.275)*CHOOSE(CONTROL!$C$42, 31, 31))/1000000</f>
        <v>4.2625000000000002</v>
      </c>
      <c r="W958" s="58">
        <f>(1000*CHOOSE(CONTROL!$C$42, 0.1146, 0.1146)*CHOOSE(CONTROL!$C$42, 121.5, 121.5)*CHOOSE(CONTROL!$C$42, 31, 31))/1000000</f>
        <v>0.43164089999999994</v>
      </c>
      <c r="X958" s="58">
        <f>(31*0.1790888*245000/1000000)+(31*0.2374*100000/1000000)</f>
        <v>2.0961194359999999</v>
      </c>
      <c r="Y958" s="58"/>
      <c r="Z958" s="10"/>
      <c r="AA958" s="57"/>
      <c r="AB958" s="51">
        <f>(B958*131.881+C958*277.167+D958*79.08+E958*125.872+F958*40+G958*185+H958*0+I958*100+J958*300)/(131.881+277.167+79.08+125.872+0+40+185+100+300)</f>
        <v>31.334085662873289</v>
      </c>
      <c r="AC958" s="27">
        <f>(M958*'RAP TEMPLATE-GAS AVAILABILITY'!O957+N958*'RAP TEMPLATE-GAS AVAILABILITY'!P957+O958*'RAP TEMPLATE-GAS AVAILABILITY'!Q957+P958*'RAP TEMPLATE-GAS AVAILABILITY'!R957)/('RAP TEMPLATE-GAS AVAILABILITY'!O957+'RAP TEMPLATE-GAS AVAILABILITY'!P957+'RAP TEMPLATE-GAS AVAILABILITY'!Q957+'RAP TEMPLATE-GAS AVAILABILITY'!R957)</f>
        <v>31.086191366906473</v>
      </c>
    </row>
    <row r="959" spans="1:29" ht="15.75" x14ac:dyDescent="0.25">
      <c r="A959" s="13">
        <v>70463</v>
      </c>
      <c r="B959" s="10">
        <f>CHOOSE(CONTROL!$C$42, 32.1287, 32.1287) * CHOOSE(CONTROL!$C$21, $C$9, 100%, $E$9)</f>
        <v>32.128700000000002</v>
      </c>
      <c r="C959" s="10">
        <f>CHOOSE(CONTROL!$C$42, 32.1336, 32.1336) * CHOOSE(CONTROL!$C$21, $C$9, 100%, $E$9)</f>
        <v>32.133600000000001</v>
      </c>
      <c r="D959" s="10">
        <f>CHOOSE(CONTROL!$C$42, 32.1632, 32.1632) * CHOOSE(CONTROL!$C$21, $C$9, 100%, $E$9)</f>
        <v>32.163200000000003</v>
      </c>
      <c r="E959" s="10">
        <f>CHOOSE(CONTROL!$C$42, 32.197, 32.197) * CHOOSE(CONTROL!$C$21, $C$9, 100%, $E$9)</f>
        <v>32.197000000000003</v>
      </c>
      <c r="F959" s="10">
        <f>CHOOSE(CONTROL!$C$42, 32.1144, 32.1144)*CHOOSE(CONTROL!$C$21, $C$9, 100%, $E$9)</f>
        <v>32.114400000000003</v>
      </c>
      <c r="G959" s="10">
        <f>CHOOSE(CONTROL!$C$42, 32.1324, 32.1324)*CHOOSE(CONTROL!$C$21, $C$9, 100%, $E$9)</f>
        <v>32.132399999999997</v>
      </c>
      <c r="H959" s="10">
        <f>CHOOSE(CONTROL!$C$42, 32.1862, 32.1862) * CHOOSE(CONTROL!$C$21, $C$9, 100%, $E$9)</f>
        <v>32.186199999999999</v>
      </c>
      <c r="I959" s="10">
        <f>CHOOSE(CONTROL!$C$42, 32.0948, 32.0948)* CHOOSE(CONTROL!$C$21, $C$9, 100%, $E$9)</f>
        <v>32.094799999999999</v>
      </c>
      <c r="J959" s="10">
        <f>CHOOSE(CONTROL!$C$42, 32.1074, 32.1074)* CHOOSE(CONTROL!$C$21, $C$9, 100%, $E$9)</f>
        <v>32.107399999999998</v>
      </c>
      <c r="K959" s="54">
        <f>CHOOSE(CONTROL!$C$42, 32.0909, 32.0909) * CHOOSE(CONTROL!$C$21, $C$9, 100%, $E$9)</f>
        <v>32.090899999999998</v>
      </c>
      <c r="L959" s="10">
        <f>CHOOSE(CONTROL!$C$42, 32.7732, 32.7732) * CHOOSE(CONTROL!$C$21, $C$9, 100%, $E$9)</f>
        <v>32.773200000000003</v>
      </c>
      <c r="M959" s="10">
        <f>CHOOSE(CONTROL!$C$42, 31.7972, 31.7972) * CHOOSE(CONTROL!$C$21, $C$9, 100%, $E$9)</f>
        <v>31.7972</v>
      </c>
      <c r="N959" s="10">
        <f>CHOOSE(CONTROL!$C$42, 31.8151, 31.8151) * CHOOSE(CONTROL!$C$21, $C$9, 100%, $E$9)</f>
        <v>31.815100000000001</v>
      </c>
      <c r="O959" s="10">
        <f>CHOOSE(CONTROL!$C$42, 31.8752, 31.8752) * CHOOSE(CONTROL!$C$21, $C$9, 100%, $E$9)</f>
        <v>31.8752</v>
      </c>
      <c r="P959" s="10">
        <f>CHOOSE(CONTROL!$C$42, 31.7848, 31.7848) * CHOOSE(CONTROL!$C$21, $C$9, 100%, $E$9)</f>
        <v>31.784800000000001</v>
      </c>
      <c r="Q959" s="10">
        <f>CHOOSE(CONTROL!$C$42, 32.4705, 32.4705) * CHOOSE(CONTROL!$C$21, $C$9, 100%, $E$9)</f>
        <v>32.470500000000001</v>
      </c>
      <c r="R959" s="10">
        <f>CHOOSE(CONTROL!$C$42, 33.1387, 33.1387) * CHOOSE(CONTROL!$C$21, $C$9, 100%, $E$9)</f>
        <v>33.1387</v>
      </c>
      <c r="S959" s="10">
        <f>CHOOSE(CONTROL!$C$42, 31.198, 31.198) * CHOOSE(CONTROL!$C$21, $C$9, 100%, $E$9)</f>
        <v>31.198</v>
      </c>
      <c r="T959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59" s="58">
        <f>(1000*CHOOSE(CONTROL!$C$42, 695, 695)*CHOOSE(CONTROL!$C$42, 0.5599, 0.5599)*CHOOSE(CONTROL!$C$42, 30, 30))/1000000</f>
        <v>11.673914999999997</v>
      </c>
      <c r="V959" s="58">
        <f>(1000*CHOOSE(CONTROL!$C$42, 500, 500)*CHOOSE(CONTROL!$C$42, 0.275, 0.275)*CHOOSE(CONTROL!$C$42, 30, 30))/1000000</f>
        <v>4.125</v>
      </c>
      <c r="W959" s="58">
        <f>(1000*CHOOSE(CONTROL!$C$42, 0.1146, 0.1146)*CHOOSE(CONTROL!$C$42, 121.5, 121.5)*CHOOSE(CONTROL!$C$42, 30, 30))/1000000</f>
        <v>0.417717</v>
      </c>
      <c r="X959" s="58">
        <f>(30*0.1790888*100000/1000000)+(30*0.2374*100000/1000000)</f>
        <v>1.2494664</v>
      </c>
      <c r="Y959" s="58"/>
      <c r="Z959" s="10"/>
      <c r="AA959" s="57"/>
      <c r="AB959" s="51">
        <f>(B959*122.58+C959*297.941+D959*89.177+E959*40.302+F959*40+G959*160+H959*0+I959*100+J959*300)/(122.58+297.941+89.177+40.302+0+40+160+100+300)</f>
        <v>32.126551429565218</v>
      </c>
      <c r="AC959" s="27">
        <f>(M959*'RAP TEMPLATE-GAS AVAILABILITY'!O958+N959*'RAP TEMPLATE-GAS AVAILABILITY'!P958+O959*'RAP TEMPLATE-GAS AVAILABILITY'!Q958+P959*'RAP TEMPLATE-GAS AVAILABILITY'!R958)/('RAP TEMPLATE-GAS AVAILABILITY'!O958+'RAP TEMPLATE-GAS AVAILABILITY'!P958+'RAP TEMPLATE-GAS AVAILABILITY'!Q958+'RAP TEMPLATE-GAS AVAILABILITY'!R958)</f>
        <v>31.831798561151082</v>
      </c>
    </row>
    <row r="960" spans="1:29" ht="15.75" x14ac:dyDescent="0.25">
      <c r="A960" s="13">
        <v>70494</v>
      </c>
      <c r="B960" s="10">
        <f>CHOOSE(CONTROL!$C$42, 34.319, 34.319) * CHOOSE(CONTROL!$C$21, $C$9, 100%, $E$9)</f>
        <v>34.319000000000003</v>
      </c>
      <c r="C960" s="10">
        <f>CHOOSE(CONTROL!$C$42, 34.3239, 34.3239) * CHOOSE(CONTROL!$C$21, $C$9, 100%, $E$9)</f>
        <v>34.323900000000002</v>
      </c>
      <c r="D960" s="10">
        <f>CHOOSE(CONTROL!$C$42, 34.3535, 34.3535) * CHOOSE(CONTROL!$C$21, $C$9, 100%, $E$9)</f>
        <v>34.353499999999997</v>
      </c>
      <c r="E960" s="10">
        <f>CHOOSE(CONTROL!$C$42, 34.3873, 34.3873) * CHOOSE(CONTROL!$C$21, $C$9, 100%, $E$9)</f>
        <v>34.387300000000003</v>
      </c>
      <c r="F960" s="10">
        <f>CHOOSE(CONTROL!$C$42, 34.3063, 34.3063)*CHOOSE(CONTROL!$C$21, $C$9, 100%, $E$9)</f>
        <v>34.3063</v>
      </c>
      <c r="G960" s="10">
        <f>CHOOSE(CONTROL!$C$42, 34.3247, 34.3247)*CHOOSE(CONTROL!$C$21, $C$9, 100%, $E$9)</f>
        <v>34.3247</v>
      </c>
      <c r="H960" s="10">
        <f>CHOOSE(CONTROL!$C$42, 34.3765, 34.3765) * CHOOSE(CONTROL!$C$21, $C$9, 100%, $E$9)</f>
        <v>34.3765</v>
      </c>
      <c r="I960" s="10">
        <f>CHOOSE(CONTROL!$C$42, 34.2851, 34.2851)* CHOOSE(CONTROL!$C$21, $C$9, 100%, $E$9)</f>
        <v>34.2851</v>
      </c>
      <c r="J960" s="10">
        <f>CHOOSE(CONTROL!$C$42, 34.2993, 34.2993)* CHOOSE(CONTROL!$C$21, $C$9, 100%, $E$9)</f>
        <v>34.299300000000002</v>
      </c>
      <c r="K960" s="54">
        <f>CHOOSE(CONTROL!$C$42, 34.2812, 34.2812) * CHOOSE(CONTROL!$C$21, $C$9, 100%, $E$9)</f>
        <v>34.281199999999998</v>
      </c>
      <c r="L960" s="10">
        <f>CHOOSE(CONTROL!$C$42, 34.9635, 34.9635) * CHOOSE(CONTROL!$C$21, $C$9, 100%, $E$9)</f>
        <v>34.963500000000003</v>
      </c>
      <c r="M960" s="10">
        <f>CHOOSE(CONTROL!$C$42, 33.967, 33.967) * CHOOSE(CONTROL!$C$21, $C$9, 100%, $E$9)</f>
        <v>33.966999999999999</v>
      </c>
      <c r="N960" s="10">
        <f>CHOOSE(CONTROL!$C$42, 33.9852, 33.9852) * CHOOSE(CONTROL!$C$21, $C$9, 100%, $E$9)</f>
        <v>33.985199999999999</v>
      </c>
      <c r="O960" s="10">
        <f>CHOOSE(CONTROL!$C$42, 34.0434, 34.0434) * CHOOSE(CONTROL!$C$21, $C$9, 100%, $E$9)</f>
        <v>34.043399999999998</v>
      </c>
      <c r="P960" s="10">
        <f>CHOOSE(CONTROL!$C$42, 33.953, 33.953) * CHOOSE(CONTROL!$C$21, $C$9, 100%, $E$9)</f>
        <v>33.953000000000003</v>
      </c>
      <c r="Q960" s="10">
        <f>CHOOSE(CONTROL!$C$42, 34.6387, 34.6387) * CHOOSE(CONTROL!$C$21, $C$9, 100%, $E$9)</f>
        <v>34.6387</v>
      </c>
      <c r="R960" s="10">
        <f>CHOOSE(CONTROL!$C$42, 35.3123, 35.3123) * CHOOSE(CONTROL!$C$21, $C$9, 100%, $E$9)</f>
        <v>35.3123</v>
      </c>
      <c r="S960" s="10">
        <f>CHOOSE(CONTROL!$C$42, 33.325, 33.325) * CHOOSE(CONTROL!$C$21, $C$9, 100%, $E$9)</f>
        <v>33.325000000000003</v>
      </c>
      <c r="T960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60" s="58">
        <f>(1000*CHOOSE(CONTROL!$C$42, 695, 695)*CHOOSE(CONTROL!$C$42, 0.5599, 0.5599)*CHOOSE(CONTROL!$C$42, 31, 31))/1000000</f>
        <v>12.063045499999998</v>
      </c>
      <c r="V960" s="58">
        <f>(1000*CHOOSE(CONTROL!$C$42, 500, 500)*CHOOSE(CONTROL!$C$42, 0.275, 0.275)*CHOOSE(CONTROL!$C$42, 31, 31))/1000000</f>
        <v>4.2625000000000002</v>
      </c>
      <c r="W960" s="58">
        <f>(1000*CHOOSE(CONTROL!$C$42, 0.1146, 0.1146)*CHOOSE(CONTROL!$C$42, 121.5, 121.5)*CHOOSE(CONTROL!$C$42, 31, 31))/1000000</f>
        <v>0.43164089999999994</v>
      </c>
      <c r="X960" s="58">
        <f>(31*0.1790888*100000/1000000)+(31*0.2374*100000/1000000)</f>
        <v>1.2911152800000001</v>
      </c>
      <c r="Y960" s="58"/>
      <c r="Z960" s="10"/>
      <c r="AA960" s="57"/>
      <c r="AB960" s="51">
        <f>(B960*122.58+C960*297.941+D960*89.177+E960*40.302+F960*40+G960*160+H960*0+I960*100+J960*300)/(122.58+297.941+89.177+40.302+0+40+160+100+300)</f>
        <v>34.317602733913041</v>
      </c>
      <c r="AC960" s="27">
        <f>(M960*'RAP TEMPLATE-GAS AVAILABILITY'!O959+N960*'RAP TEMPLATE-GAS AVAILABILITY'!P959+O960*'RAP TEMPLATE-GAS AVAILABILITY'!Q959+P960*'RAP TEMPLATE-GAS AVAILABILITY'!R959)/('RAP TEMPLATE-GAS AVAILABILITY'!O959+'RAP TEMPLATE-GAS AVAILABILITY'!P959+'RAP TEMPLATE-GAS AVAILABILITY'!Q959+'RAP TEMPLATE-GAS AVAILABILITY'!R959)</f>
        <v>34.000660431654673</v>
      </c>
    </row>
    <row r="961" spans="1:29" ht="15.75" x14ac:dyDescent="0.25">
      <c r="A961" s="13">
        <v>70525</v>
      </c>
      <c r="B961" s="10">
        <f>CHOOSE(CONTROL!$C$42, 36.6351, 36.6351) * CHOOSE(CONTROL!$C$21, $C$9, 100%, $E$9)</f>
        <v>36.635100000000001</v>
      </c>
      <c r="C961" s="10">
        <f>CHOOSE(CONTROL!$C$42, 36.6401, 36.6401) * CHOOSE(CONTROL!$C$21, $C$9, 100%, $E$9)</f>
        <v>36.640099999999997</v>
      </c>
      <c r="D961" s="10">
        <f>CHOOSE(CONTROL!$C$42, 36.6903, 36.6903) * CHOOSE(CONTROL!$C$21, $C$9, 100%, $E$9)</f>
        <v>36.690300000000001</v>
      </c>
      <c r="E961" s="10">
        <f>CHOOSE(CONTROL!$C$42, 36.724, 36.724) * CHOOSE(CONTROL!$C$21, $C$9, 100%, $E$9)</f>
        <v>36.723999999999997</v>
      </c>
      <c r="F961" s="10">
        <f>CHOOSE(CONTROL!$C$42, 36.6005, 36.6005)*CHOOSE(CONTROL!$C$21, $C$9, 100%, $E$9)</f>
        <v>36.600499999999997</v>
      </c>
      <c r="G961" s="10">
        <f>CHOOSE(CONTROL!$C$42, 36.618, 36.618)*CHOOSE(CONTROL!$C$21, $C$9, 100%, $E$9)</f>
        <v>36.618000000000002</v>
      </c>
      <c r="H961" s="10">
        <f>CHOOSE(CONTROL!$C$42, 36.7132, 36.7132) * CHOOSE(CONTROL!$C$21, $C$9, 100%, $E$9)</f>
        <v>36.713200000000001</v>
      </c>
      <c r="I961" s="10">
        <f>CHOOSE(CONTROL!$C$42, 36.609, 36.609)* CHOOSE(CONTROL!$C$21, $C$9, 100%, $E$9)</f>
        <v>36.609000000000002</v>
      </c>
      <c r="J961" s="10">
        <f>CHOOSE(CONTROL!$C$42, 36.5935, 36.5935)* CHOOSE(CONTROL!$C$21, $C$9, 100%, $E$9)</f>
        <v>36.593499999999999</v>
      </c>
      <c r="K961" s="54">
        <f>CHOOSE(CONTROL!$C$42, 36.6051, 36.6051) * CHOOSE(CONTROL!$C$21, $C$9, 100%, $E$9)</f>
        <v>36.6051</v>
      </c>
      <c r="L961" s="10">
        <f>CHOOSE(CONTROL!$C$42, 37.3002, 37.3002) * CHOOSE(CONTROL!$C$21, $C$9, 100%, $E$9)</f>
        <v>37.300199999999997</v>
      </c>
      <c r="M961" s="10">
        <f>CHOOSE(CONTROL!$C$42, 36.238, 36.238) * CHOOSE(CONTROL!$C$21, $C$9, 100%, $E$9)</f>
        <v>36.238</v>
      </c>
      <c r="N961" s="10">
        <f>CHOOSE(CONTROL!$C$42, 36.2554, 36.2554) * CHOOSE(CONTROL!$C$21, $C$9, 100%, $E$9)</f>
        <v>36.255400000000002</v>
      </c>
      <c r="O961" s="10">
        <f>CHOOSE(CONTROL!$C$42, 36.3566, 36.3566) * CHOOSE(CONTROL!$C$21, $C$9, 100%, $E$9)</f>
        <v>36.3566</v>
      </c>
      <c r="P961" s="10">
        <f>CHOOSE(CONTROL!$C$42, 36.2534, 36.2534) * CHOOSE(CONTROL!$C$21, $C$9, 100%, $E$9)</f>
        <v>36.253399999999999</v>
      </c>
      <c r="Q961" s="10">
        <f>CHOOSE(CONTROL!$C$42, 36.9519, 36.9519) * CHOOSE(CONTROL!$C$21, $C$9, 100%, $E$9)</f>
        <v>36.951900000000002</v>
      </c>
      <c r="R961" s="10">
        <f>CHOOSE(CONTROL!$C$42, 37.6312, 37.6312) * CHOOSE(CONTROL!$C$21, $C$9, 100%, $E$9)</f>
        <v>37.6312</v>
      </c>
      <c r="S961" s="10">
        <f>CHOOSE(CONTROL!$C$42, 35.5742, 35.5742) * CHOOSE(CONTROL!$C$21, $C$9, 100%, $E$9)</f>
        <v>35.574199999999998</v>
      </c>
      <c r="T961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61" s="58">
        <f>(1000*CHOOSE(CONTROL!$C$42, 695, 695)*CHOOSE(CONTROL!$C$42, 0.5599, 0.5599)*CHOOSE(CONTROL!$C$42, 31, 31))/1000000</f>
        <v>12.063045499999998</v>
      </c>
      <c r="V961" s="58">
        <f>(1000*CHOOSE(CONTROL!$C$42, 500, 500)*CHOOSE(CONTROL!$C$42, 0.275, 0.275)*CHOOSE(CONTROL!$C$42, 31, 31))/1000000</f>
        <v>4.2625000000000002</v>
      </c>
      <c r="W961" s="58">
        <f>(1000*CHOOSE(CONTROL!$C$42, 0.1146, 0.1146)*CHOOSE(CONTROL!$C$42, 121.5, 121.5)*CHOOSE(CONTROL!$C$42, 31, 31))/1000000</f>
        <v>0.43164089999999994</v>
      </c>
      <c r="X961" s="58">
        <f>(31*0.1790888*100000/1000000)+(31*0.2374*100000/1000000)</f>
        <v>1.2911152800000001</v>
      </c>
      <c r="Y961" s="58"/>
      <c r="Z961" s="10"/>
      <c r="AA961" s="57"/>
      <c r="AB961" s="51">
        <f>(B961*122.58+C961*297.941+D961*89.177+E961*40.302+F961*40+G961*160+H961*0+I961*100+J961*300)/(122.58+297.941+89.177+40.302+0+40+160+100+300)</f>
        <v>36.627087063652176</v>
      </c>
      <c r="AC961" s="27">
        <f>(M961*'RAP TEMPLATE-GAS AVAILABILITY'!O960+N961*'RAP TEMPLATE-GAS AVAILABILITY'!P960+O961*'RAP TEMPLATE-GAS AVAILABILITY'!Q960+P961*'RAP TEMPLATE-GAS AVAILABILITY'!R960)/('RAP TEMPLATE-GAS AVAILABILITY'!O960+'RAP TEMPLATE-GAS AVAILABILITY'!P960+'RAP TEMPLATE-GAS AVAILABILITY'!Q960+'RAP TEMPLATE-GAS AVAILABILITY'!R960)</f>
        <v>36.294971223021584</v>
      </c>
    </row>
    <row r="962" spans="1:29" ht="15.75" x14ac:dyDescent="0.25">
      <c r="A962" s="13">
        <v>70553</v>
      </c>
      <c r="B962" s="10">
        <f>CHOOSE(CONTROL!$C$42, 37.2872, 37.2872) * CHOOSE(CONTROL!$C$21, $C$9, 100%, $E$9)</f>
        <v>37.287199999999999</v>
      </c>
      <c r="C962" s="10">
        <f>CHOOSE(CONTROL!$C$42, 37.2922, 37.2922) * CHOOSE(CONTROL!$C$21, $C$9, 100%, $E$9)</f>
        <v>37.292200000000001</v>
      </c>
      <c r="D962" s="10">
        <f>CHOOSE(CONTROL!$C$42, 37.4093, 37.4093) * CHOOSE(CONTROL!$C$21, $C$9, 100%, $E$9)</f>
        <v>37.409300000000002</v>
      </c>
      <c r="E962" s="10">
        <f>CHOOSE(CONTROL!$C$42, 37.4431, 37.4431) * CHOOSE(CONTROL!$C$21, $C$9, 100%, $E$9)</f>
        <v>37.443100000000001</v>
      </c>
      <c r="F962" s="10">
        <f>CHOOSE(CONTROL!$C$42, 37.3648, 37.3648)*CHOOSE(CONTROL!$C$21, $C$9, 100%, $E$9)</f>
        <v>37.364800000000002</v>
      </c>
      <c r="G962" s="10">
        <f>CHOOSE(CONTROL!$C$42, 37.3867, 37.3867)*CHOOSE(CONTROL!$C$21, $C$9, 100%, $E$9)</f>
        <v>37.386699999999998</v>
      </c>
      <c r="H962" s="10">
        <f>CHOOSE(CONTROL!$C$42, 37.4323, 37.4323) * CHOOSE(CONTROL!$C$21, $C$9, 100%, $E$9)</f>
        <v>37.432299999999998</v>
      </c>
      <c r="I962" s="10">
        <f>CHOOSE(CONTROL!$C$42, 37.3229, 37.3229)* CHOOSE(CONTROL!$C$21, $C$9, 100%, $E$9)</f>
        <v>37.322899999999997</v>
      </c>
      <c r="J962" s="10">
        <f>CHOOSE(CONTROL!$C$42, 37.3578, 37.3578)* CHOOSE(CONTROL!$C$21, $C$9, 100%, $E$9)</f>
        <v>37.357799999999997</v>
      </c>
      <c r="K962" s="54">
        <f>CHOOSE(CONTROL!$C$42, 37.319, 37.319) * CHOOSE(CONTROL!$C$21, $C$9, 100%, $E$9)</f>
        <v>37.319000000000003</v>
      </c>
      <c r="L962" s="10">
        <f>CHOOSE(CONTROL!$C$42, 38.0193, 38.0193) * CHOOSE(CONTROL!$C$21, $C$9, 100%, $E$9)</f>
        <v>38.019300000000001</v>
      </c>
      <c r="M962" s="10">
        <f>CHOOSE(CONTROL!$C$42, 36.9946, 36.9946) * CHOOSE(CONTROL!$C$21, $C$9, 100%, $E$9)</f>
        <v>36.994599999999998</v>
      </c>
      <c r="N962" s="10">
        <f>CHOOSE(CONTROL!$C$42, 37.0163, 37.0163) * CHOOSE(CONTROL!$C$21, $C$9, 100%, $E$9)</f>
        <v>37.016300000000001</v>
      </c>
      <c r="O962" s="10">
        <f>CHOOSE(CONTROL!$C$42, 37.0683, 37.0683) * CHOOSE(CONTROL!$C$21, $C$9, 100%, $E$9)</f>
        <v>37.068300000000001</v>
      </c>
      <c r="P962" s="10">
        <f>CHOOSE(CONTROL!$C$42, 36.9601, 36.9601) * CHOOSE(CONTROL!$C$21, $C$9, 100%, $E$9)</f>
        <v>36.960099999999997</v>
      </c>
      <c r="Q962" s="10">
        <f>CHOOSE(CONTROL!$C$42, 37.6636, 37.6636) * CHOOSE(CONTROL!$C$21, $C$9, 100%, $E$9)</f>
        <v>37.663600000000002</v>
      </c>
      <c r="R962" s="10">
        <f>CHOOSE(CONTROL!$C$42, 38.3448, 38.3448) * CHOOSE(CONTROL!$C$21, $C$9, 100%, $E$9)</f>
        <v>38.344799999999999</v>
      </c>
      <c r="S962" s="10">
        <f>CHOOSE(CONTROL!$C$42, 36.2075, 36.2075) * CHOOSE(CONTROL!$C$21, $C$9, 100%, $E$9)</f>
        <v>36.207500000000003</v>
      </c>
      <c r="T962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962" s="58">
        <f>(1000*CHOOSE(CONTROL!$C$42, 695, 695)*CHOOSE(CONTROL!$C$42, 0.5599, 0.5599)*CHOOSE(CONTROL!$C$42, 28, 28))/1000000</f>
        <v>10.895653999999999</v>
      </c>
      <c r="V962" s="58">
        <f>(1000*CHOOSE(CONTROL!$C$42, 500, 500)*CHOOSE(CONTROL!$C$42, 0.275, 0.275)*CHOOSE(CONTROL!$C$42, 28, 28))/1000000</f>
        <v>3.85</v>
      </c>
      <c r="W962" s="58">
        <f>(1000*CHOOSE(CONTROL!$C$42, 0.1146, 0.1146)*CHOOSE(CONTROL!$C$42, 121.5, 121.5)*CHOOSE(CONTROL!$C$42, 28, 28))/1000000</f>
        <v>0.38986920000000003</v>
      </c>
      <c r="X962" s="58">
        <f>(28*0.1790888*100000/1000000)+(28*0.2374*100000/1000000)</f>
        <v>1.16616864</v>
      </c>
      <c r="Y962" s="58"/>
      <c r="Z962" s="10"/>
      <c r="AA962" s="57"/>
      <c r="AB962" s="51">
        <f>(B962*122.58+C962*297.941+D962*89.177+E962*40.302+F962*40+G962*160+H962*0+I962*100+J962*300)/(122.58+297.941+89.177+40.302+0+40+160+100+300)</f>
        <v>37.341491563913046</v>
      </c>
      <c r="AC962" s="27">
        <f>(M962*'RAP TEMPLATE-GAS AVAILABILITY'!O961+N962*'RAP TEMPLATE-GAS AVAILABILITY'!P961+O962*'RAP TEMPLATE-GAS AVAILABILITY'!Q961+P962*'RAP TEMPLATE-GAS AVAILABILITY'!R961)/('RAP TEMPLATE-GAS AVAILABILITY'!O961+'RAP TEMPLATE-GAS AVAILABILITY'!P961+'RAP TEMPLATE-GAS AVAILABILITY'!Q961+'RAP TEMPLATE-GAS AVAILABILITY'!R961)</f>
        <v>37.024288489208629</v>
      </c>
    </row>
    <row r="963" spans="1:29" ht="15.75" x14ac:dyDescent="0.25">
      <c r="A963" s="13">
        <v>70584</v>
      </c>
      <c r="B963" s="10">
        <f>CHOOSE(CONTROL!$C$42, 36.2287, 36.2287) * CHOOSE(CONTROL!$C$21, $C$9, 100%, $E$9)</f>
        <v>36.228700000000003</v>
      </c>
      <c r="C963" s="10">
        <f>CHOOSE(CONTROL!$C$42, 36.2336, 36.2336) * CHOOSE(CONTROL!$C$21, $C$9, 100%, $E$9)</f>
        <v>36.233600000000003</v>
      </c>
      <c r="D963" s="10">
        <f>CHOOSE(CONTROL!$C$42, 36.325, 36.325) * CHOOSE(CONTROL!$C$21, $C$9, 100%, $E$9)</f>
        <v>36.325000000000003</v>
      </c>
      <c r="E963" s="10">
        <f>CHOOSE(CONTROL!$C$42, 36.3588, 36.3588) * CHOOSE(CONTROL!$C$21, $C$9, 100%, $E$9)</f>
        <v>36.358800000000002</v>
      </c>
      <c r="F963" s="10">
        <f>CHOOSE(CONTROL!$C$42, 36.2585, 36.2585)*CHOOSE(CONTROL!$C$21, $C$9, 100%, $E$9)</f>
        <v>36.258499999999998</v>
      </c>
      <c r="G963" s="10">
        <f>CHOOSE(CONTROL!$C$42, 36.278, 36.278)*CHOOSE(CONTROL!$C$21, $C$9, 100%, $E$9)</f>
        <v>36.277999999999999</v>
      </c>
      <c r="H963" s="10">
        <f>CHOOSE(CONTROL!$C$42, 36.348, 36.348) * CHOOSE(CONTROL!$C$21, $C$9, 100%, $E$9)</f>
        <v>36.347999999999999</v>
      </c>
      <c r="I963" s="10">
        <f>CHOOSE(CONTROL!$C$42, 36.2515, 36.2515)* CHOOSE(CONTROL!$C$21, $C$9, 100%, $E$9)</f>
        <v>36.2515</v>
      </c>
      <c r="J963" s="10">
        <f>CHOOSE(CONTROL!$C$42, 36.2515, 36.2515)* CHOOSE(CONTROL!$C$21, $C$9, 100%, $E$9)</f>
        <v>36.2515</v>
      </c>
      <c r="K963" s="54">
        <f>CHOOSE(CONTROL!$C$42, 36.2476, 36.2476) * CHOOSE(CONTROL!$C$21, $C$9, 100%, $E$9)</f>
        <v>36.247599999999998</v>
      </c>
      <c r="L963" s="10">
        <f>CHOOSE(CONTROL!$C$42, 36.935, 36.935) * CHOOSE(CONTROL!$C$21, $C$9, 100%, $E$9)</f>
        <v>36.935000000000002</v>
      </c>
      <c r="M963" s="10">
        <f>CHOOSE(CONTROL!$C$42, 35.8995, 35.8995) * CHOOSE(CONTROL!$C$21, $C$9, 100%, $E$9)</f>
        <v>35.899500000000003</v>
      </c>
      <c r="N963" s="10">
        <f>CHOOSE(CONTROL!$C$42, 35.9188, 35.9188) * CHOOSE(CONTROL!$C$21, $C$9, 100%, $E$9)</f>
        <v>35.918799999999997</v>
      </c>
      <c r="O963" s="10">
        <f>CHOOSE(CONTROL!$C$42, 35.995, 35.995) * CHOOSE(CONTROL!$C$21, $C$9, 100%, $E$9)</f>
        <v>35.994999999999997</v>
      </c>
      <c r="P963" s="10">
        <f>CHOOSE(CONTROL!$C$42, 35.8995, 35.8995) * CHOOSE(CONTROL!$C$21, $C$9, 100%, $E$9)</f>
        <v>35.899500000000003</v>
      </c>
      <c r="Q963" s="10">
        <f>CHOOSE(CONTROL!$C$42, 36.5903, 36.5903) * CHOOSE(CONTROL!$C$21, $C$9, 100%, $E$9)</f>
        <v>36.590299999999999</v>
      </c>
      <c r="R963" s="10">
        <f>CHOOSE(CONTROL!$C$42, 37.2688, 37.2688) * CHOOSE(CONTROL!$C$21, $C$9, 100%, $E$9)</f>
        <v>37.268799999999999</v>
      </c>
      <c r="S963" s="10">
        <f>CHOOSE(CONTROL!$C$42, 35.1795, 35.1795) * CHOOSE(CONTROL!$C$21, $C$9, 100%, $E$9)</f>
        <v>35.179499999999997</v>
      </c>
      <c r="T963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63" s="58">
        <f>(1000*CHOOSE(CONTROL!$C$42, 695, 695)*CHOOSE(CONTROL!$C$42, 0.5599, 0.5599)*CHOOSE(CONTROL!$C$42, 31, 31))/1000000</f>
        <v>12.063045499999998</v>
      </c>
      <c r="V963" s="58">
        <f>(1000*CHOOSE(CONTROL!$C$42, 500, 500)*CHOOSE(CONTROL!$C$42, 0.275, 0.275)*CHOOSE(CONTROL!$C$42, 31, 31))/1000000</f>
        <v>4.2625000000000002</v>
      </c>
      <c r="W963" s="58">
        <f>(1000*CHOOSE(CONTROL!$C$42, 0.1146, 0.1146)*CHOOSE(CONTROL!$C$42, 121.5, 121.5)*CHOOSE(CONTROL!$C$42, 31, 31))/1000000</f>
        <v>0.43164089999999994</v>
      </c>
      <c r="X963" s="58">
        <f>(31*0.1790888*100000/1000000)+(31*0.2374*100000/1000000)</f>
        <v>1.2911152800000001</v>
      </c>
      <c r="Y963" s="58"/>
      <c r="Z963" s="10"/>
      <c r="AA963" s="57"/>
      <c r="AB963" s="51">
        <f>(B963*122.58+C963*297.941+D963*89.177+E963*40.302+F963*40+G963*160+H963*0+I963*100+J963*300)/(122.58+297.941+89.177+40.302+0+40+160+100+300)</f>
        <v>36.257822561913045</v>
      </c>
      <c r="AC963" s="27">
        <f>(M963*'RAP TEMPLATE-GAS AVAILABILITY'!O962+N963*'RAP TEMPLATE-GAS AVAILABILITY'!P962+O963*'RAP TEMPLATE-GAS AVAILABILITY'!Q962+P963*'RAP TEMPLATE-GAS AVAILABILITY'!R962)/('RAP TEMPLATE-GAS AVAILABILITY'!O962+'RAP TEMPLATE-GAS AVAILABILITY'!P962+'RAP TEMPLATE-GAS AVAILABILITY'!Q962+'RAP TEMPLATE-GAS AVAILABILITY'!R962)</f>
        <v>35.943894964028779</v>
      </c>
    </row>
    <row r="964" spans="1:29" ht="15.75" x14ac:dyDescent="0.25">
      <c r="A964" s="13">
        <v>70614</v>
      </c>
      <c r="B964" s="10">
        <f>CHOOSE(CONTROL!$C$42, 36.121, 36.121) * CHOOSE(CONTROL!$C$21, $C$9, 100%, $E$9)</f>
        <v>36.121000000000002</v>
      </c>
      <c r="C964" s="10">
        <f>CHOOSE(CONTROL!$C$42, 36.1254, 36.1254) * CHOOSE(CONTROL!$C$21, $C$9, 100%, $E$9)</f>
        <v>36.125399999999999</v>
      </c>
      <c r="D964" s="10">
        <f>CHOOSE(CONTROL!$C$42, 36.307, 36.307) * CHOOSE(CONTROL!$C$21, $C$9, 100%, $E$9)</f>
        <v>36.307000000000002</v>
      </c>
      <c r="E964" s="10">
        <f>CHOOSE(CONTROL!$C$42, 36.3388, 36.3388) * CHOOSE(CONTROL!$C$21, $C$9, 100%, $E$9)</f>
        <v>36.338799999999999</v>
      </c>
      <c r="F964" s="10">
        <f>CHOOSE(CONTROL!$C$42, 36.1093, 36.1093)*CHOOSE(CONTROL!$C$21, $C$9, 100%, $E$9)</f>
        <v>36.109299999999998</v>
      </c>
      <c r="G964" s="10">
        <f>CHOOSE(CONTROL!$C$42, 36.1273, 36.1273)*CHOOSE(CONTROL!$C$21, $C$9, 100%, $E$9)</f>
        <v>36.127299999999998</v>
      </c>
      <c r="H964" s="10">
        <f>CHOOSE(CONTROL!$C$42, 36.3286, 36.3286) * CHOOSE(CONTROL!$C$21, $C$9, 100%, $E$9)</f>
        <v>36.328600000000002</v>
      </c>
      <c r="I964" s="10">
        <f>CHOOSE(CONTROL!$C$42, 36.0993, 36.0993)* CHOOSE(CONTROL!$C$21, $C$9, 100%, $E$9)</f>
        <v>36.099299999999999</v>
      </c>
      <c r="J964" s="10">
        <f>CHOOSE(CONTROL!$C$42, 36.1023, 36.1023)* CHOOSE(CONTROL!$C$21, $C$9, 100%, $E$9)</f>
        <v>36.1023</v>
      </c>
      <c r="K964" s="54">
        <f>CHOOSE(CONTROL!$C$42, 36.0954, 36.0954) * CHOOSE(CONTROL!$C$21, $C$9, 100%, $E$9)</f>
        <v>36.095399999999998</v>
      </c>
      <c r="L964" s="10">
        <f>CHOOSE(CONTROL!$C$42, 36.9156, 36.9156) * CHOOSE(CONTROL!$C$21, $C$9, 100%, $E$9)</f>
        <v>36.915599999999998</v>
      </c>
      <c r="M964" s="10">
        <f>CHOOSE(CONTROL!$C$42, 35.7518, 35.7518) * CHOOSE(CONTROL!$C$21, $C$9, 100%, $E$9)</f>
        <v>35.751800000000003</v>
      </c>
      <c r="N964" s="10">
        <f>CHOOSE(CONTROL!$C$42, 35.7696, 35.7696) * CHOOSE(CONTROL!$C$21, $C$9, 100%, $E$9)</f>
        <v>35.769599999999997</v>
      </c>
      <c r="O964" s="10">
        <f>CHOOSE(CONTROL!$C$42, 35.9758, 35.9758) * CHOOSE(CONTROL!$C$21, $C$9, 100%, $E$9)</f>
        <v>35.9758</v>
      </c>
      <c r="P964" s="10">
        <f>CHOOSE(CONTROL!$C$42, 35.7488, 35.7488) * CHOOSE(CONTROL!$C$21, $C$9, 100%, $E$9)</f>
        <v>35.748800000000003</v>
      </c>
      <c r="Q964" s="10">
        <f>CHOOSE(CONTROL!$C$42, 36.5711, 36.5711) * CHOOSE(CONTROL!$C$21, $C$9, 100%, $E$9)</f>
        <v>36.571100000000001</v>
      </c>
      <c r="R964" s="10">
        <f>CHOOSE(CONTROL!$C$42, 37.2495, 37.2495) * CHOOSE(CONTROL!$C$21, $C$9, 100%, $E$9)</f>
        <v>37.249499999999998</v>
      </c>
      <c r="S964" s="10">
        <f>CHOOSE(CONTROL!$C$42, 35.0742, 35.0742) * CHOOSE(CONTROL!$C$21, $C$9, 100%, $E$9)</f>
        <v>35.074199999999998</v>
      </c>
      <c r="T964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964" s="58">
        <f>(1000*CHOOSE(CONTROL!$C$42, 695, 695)*CHOOSE(CONTROL!$C$42, 0.5599, 0.5599)*CHOOSE(CONTROL!$C$42, 30, 30))/1000000</f>
        <v>11.673914999999997</v>
      </c>
      <c r="V964" s="58">
        <f>(1000*CHOOSE(CONTROL!$C$42, 500, 500)*CHOOSE(CONTROL!$C$42, 0.275, 0.275)*CHOOSE(CONTROL!$C$42, 30, 30))/1000000</f>
        <v>4.125</v>
      </c>
      <c r="W964" s="58">
        <f>(1000*CHOOSE(CONTROL!$C$42, 0.1146, 0.1146)*CHOOSE(CONTROL!$C$42, 121.5, 121.5)*CHOOSE(CONTROL!$C$42, 30, 30))/1000000</f>
        <v>0.417717</v>
      </c>
      <c r="X964" s="58">
        <f>(30*0.1790888*245000/1000000)+(30*0.2374*100000/1000000)</f>
        <v>2.0285026799999999</v>
      </c>
      <c r="Y964" s="58"/>
      <c r="Z964" s="10"/>
      <c r="AA964" s="57"/>
      <c r="AB964" s="51">
        <f>(B964*141.293+C964*267.993+D964*115.016+E964*89.698+F964*40+G964*185+H964*0+I964*100+J964*300)/(141.293+267.993+115.016+89.698+0+40+185+100+300)</f>
        <v>36.149269466989509</v>
      </c>
      <c r="AC964" s="27">
        <f>(M964*'RAP TEMPLATE-GAS AVAILABILITY'!O963+N964*'RAP TEMPLATE-GAS AVAILABILITY'!P963+O964*'RAP TEMPLATE-GAS AVAILABILITY'!Q963+P964*'RAP TEMPLATE-GAS AVAILABILITY'!R963)/('RAP TEMPLATE-GAS AVAILABILITY'!O963+'RAP TEMPLATE-GAS AVAILABILITY'!P963+'RAP TEMPLATE-GAS AVAILABILITY'!Q963+'RAP TEMPLATE-GAS AVAILABILITY'!R963)</f>
        <v>35.853917985611517</v>
      </c>
    </row>
    <row r="965" spans="1:29" ht="15.75" x14ac:dyDescent="0.25">
      <c r="A965" s="13">
        <v>70645</v>
      </c>
      <c r="B965" s="10">
        <f>CHOOSE(CONTROL!$C$42, 36.4416, 36.4416) * CHOOSE(CONTROL!$C$21, $C$9, 100%, $E$9)</f>
        <v>36.441600000000001</v>
      </c>
      <c r="C965" s="10">
        <f>CHOOSE(CONTROL!$C$42, 36.4495, 36.4495) * CHOOSE(CONTROL!$C$21, $C$9, 100%, $E$9)</f>
        <v>36.4495</v>
      </c>
      <c r="D965" s="10">
        <f>CHOOSE(CONTROL!$C$42, 36.628, 36.628) * CHOOSE(CONTROL!$C$21, $C$9, 100%, $E$9)</f>
        <v>36.628</v>
      </c>
      <c r="E965" s="10">
        <f>CHOOSE(CONTROL!$C$42, 36.6591, 36.6591) * CHOOSE(CONTROL!$C$21, $C$9, 100%, $E$9)</f>
        <v>36.659100000000002</v>
      </c>
      <c r="F965" s="10">
        <f>CHOOSE(CONTROL!$C$42, 36.4277, 36.4277)*CHOOSE(CONTROL!$C$21, $C$9, 100%, $E$9)</f>
        <v>36.427700000000002</v>
      </c>
      <c r="G965" s="10">
        <f>CHOOSE(CONTROL!$C$42, 36.4459, 36.4459)*CHOOSE(CONTROL!$C$21, $C$9, 100%, $E$9)</f>
        <v>36.445900000000002</v>
      </c>
      <c r="H965" s="10">
        <f>CHOOSE(CONTROL!$C$42, 36.6478, 36.6478) * CHOOSE(CONTROL!$C$21, $C$9, 100%, $E$9)</f>
        <v>36.647799999999997</v>
      </c>
      <c r="I965" s="10">
        <f>CHOOSE(CONTROL!$C$42, 36.4184, 36.4184)* CHOOSE(CONTROL!$C$21, $C$9, 100%, $E$9)</f>
        <v>36.418399999999998</v>
      </c>
      <c r="J965" s="10">
        <f>CHOOSE(CONTROL!$C$42, 36.4207, 36.4207)* CHOOSE(CONTROL!$C$21, $C$9, 100%, $E$9)</f>
        <v>36.420699999999997</v>
      </c>
      <c r="K965" s="54">
        <f>CHOOSE(CONTROL!$C$42, 36.4145, 36.4145) * CHOOSE(CONTROL!$C$21, $C$9, 100%, $E$9)</f>
        <v>36.414499999999997</v>
      </c>
      <c r="L965" s="10">
        <f>CHOOSE(CONTROL!$C$42, 37.2348, 37.2348) * CHOOSE(CONTROL!$C$21, $C$9, 100%, $E$9)</f>
        <v>37.2348</v>
      </c>
      <c r="M965" s="10">
        <f>CHOOSE(CONTROL!$C$42, 36.067, 36.067) * CHOOSE(CONTROL!$C$21, $C$9, 100%, $E$9)</f>
        <v>36.067</v>
      </c>
      <c r="N965" s="10">
        <f>CHOOSE(CONTROL!$C$42, 36.085, 36.085) * CHOOSE(CONTROL!$C$21, $C$9, 100%, $E$9)</f>
        <v>36.085000000000001</v>
      </c>
      <c r="O965" s="10">
        <f>CHOOSE(CONTROL!$C$42, 36.2918, 36.2918) * CHOOSE(CONTROL!$C$21, $C$9, 100%, $E$9)</f>
        <v>36.291800000000002</v>
      </c>
      <c r="P965" s="10">
        <f>CHOOSE(CONTROL!$C$42, 36.0648, 36.0648) * CHOOSE(CONTROL!$C$21, $C$9, 100%, $E$9)</f>
        <v>36.064799999999998</v>
      </c>
      <c r="Q965" s="10">
        <f>CHOOSE(CONTROL!$C$42, 36.8871, 36.8871) * CHOOSE(CONTROL!$C$21, $C$9, 100%, $E$9)</f>
        <v>36.887099999999997</v>
      </c>
      <c r="R965" s="10">
        <f>CHOOSE(CONTROL!$C$42, 37.5663, 37.5663) * CHOOSE(CONTROL!$C$21, $C$9, 100%, $E$9)</f>
        <v>37.566299999999998</v>
      </c>
      <c r="S965" s="10">
        <f>CHOOSE(CONTROL!$C$42, 35.3841, 35.3841) * CHOOSE(CONTROL!$C$21, $C$9, 100%, $E$9)</f>
        <v>35.384099999999997</v>
      </c>
      <c r="T965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965" s="58">
        <f>(1000*CHOOSE(CONTROL!$C$42, 695, 695)*CHOOSE(CONTROL!$C$42, 0.5599, 0.5599)*CHOOSE(CONTROL!$C$42, 31, 31))/1000000</f>
        <v>12.063045499999998</v>
      </c>
      <c r="V965" s="58">
        <f>(1000*CHOOSE(CONTROL!$C$42, 500, 500)*CHOOSE(CONTROL!$C$42, 0.275, 0.275)*CHOOSE(CONTROL!$C$42, 31, 31))/1000000</f>
        <v>4.2625000000000002</v>
      </c>
      <c r="W965" s="58">
        <f>(1000*CHOOSE(CONTROL!$C$42, 0.1146, 0.1146)*CHOOSE(CONTROL!$C$42, 121.5, 121.5)*CHOOSE(CONTROL!$C$42, 31, 31))/1000000</f>
        <v>0.43164089999999994</v>
      </c>
      <c r="X965" s="58">
        <f>(31*0.1790888*245000/1000000)+(31*0.2374*100000/1000000)</f>
        <v>2.0961194359999999</v>
      </c>
      <c r="Y965" s="58"/>
      <c r="Z965" s="10"/>
      <c r="AA965" s="57"/>
      <c r="AB965" s="51">
        <f>(B965*194.205+C965*267.466+D965*133.845+E965*53.484+F965*40+G965*185+H965*0+I965*100+J965*300)/(194.205+267.466+133.845+53.484+0+40+185+100+300)</f>
        <v>36.465417864521193</v>
      </c>
      <c r="AC965" s="27">
        <f>(M965*'RAP TEMPLATE-GAS AVAILABILITY'!O964+N965*'RAP TEMPLATE-GAS AVAILABILITY'!P964+O965*'RAP TEMPLATE-GAS AVAILABILITY'!Q964+P965*'RAP TEMPLATE-GAS AVAILABILITY'!R964)/('RAP TEMPLATE-GAS AVAILABILITY'!O964+'RAP TEMPLATE-GAS AVAILABILITY'!P964+'RAP TEMPLATE-GAS AVAILABILITY'!Q964+'RAP TEMPLATE-GAS AVAILABILITY'!R964)</f>
        <v>36.169607194244605</v>
      </c>
    </row>
    <row r="966" spans="1:29" ht="15.75" x14ac:dyDescent="0.25">
      <c r="A966" s="13">
        <v>70675</v>
      </c>
      <c r="B966" s="10">
        <f>CHOOSE(CONTROL!$C$42, 37.4751, 37.4751) * CHOOSE(CONTROL!$C$21, $C$9, 100%, $E$9)</f>
        <v>37.475099999999998</v>
      </c>
      <c r="C966" s="10">
        <f>CHOOSE(CONTROL!$C$42, 37.483, 37.483) * CHOOSE(CONTROL!$C$21, $C$9, 100%, $E$9)</f>
        <v>37.482999999999997</v>
      </c>
      <c r="D966" s="10">
        <f>CHOOSE(CONTROL!$C$42, 37.6616, 37.6616) * CHOOSE(CONTROL!$C$21, $C$9, 100%, $E$9)</f>
        <v>37.6616</v>
      </c>
      <c r="E966" s="10">
        <f>CHOOSE(CONTROL!$C$42, 37.6927, 37.6927) * CHOOSE(CONTROL!$C$21, $C$9, 100%, $E$9)</f>
        <v>37.692700000000002</v>
      </c>
      <c r="F966" s="10">
        <f>CHOOSE(CONTROL!$C$42, 37.4615, 37.4615)*CHOOSE(CONTROL!$C$21, $C$9, 100%, $E$9)</f>
        <v>37.461500000000001</v>
      </c>
      <c r="G966" s="10">
        <f>CHOOSE(CONTROL!$C$42, 37.4798, 37.4798)*CHOOSE(CONTROL!$C$21, $C$9, 100%, $E$9)</f>
        <v>37.479799999999997</v>
      </c>
      <c r="H966" s="10">
        <f>CHOOSE(CONTROL!$C$42, 37.6813, 37.6813) * CHOOSE(CONTROL!$C$21, $C$9, 100%, $E$9)</f>
        <v>37.6813</v>
      </c>
      <c r="I966" s="10">
        <f>CHOOSE(CONTROL!$C$42, 37.452, 37.452)* CHOOSE(CONTROL!$C$21, $C$9, 100%, $E$9)</f>
        <v>37.451999999999998</v>
      </c>
      <c r="J966" s="10">
        <f>CHOOSE(CONTROL!$C$42, 37.4545, 37.4545)* CHOOSE(CONTROL!$C$21, $C$9, 100%, $E$9)</f>
        <v>37.454500000000003</v>
      </c>
      <c r="K966" s="54">
        <f>CHOOSE(CONTROL!$C$42, 37.4481, 37.4481) * CHOOSE(CONTROL!$C$21, $C$9, 100%, $E$9)</f>
        <v>37.448099999999997</v>
      </c>
      <c r="L966" s="10">
        <f>CHOOSE(CONTROL!$C$42, 38.2683, 38.2683) * CHOOSE(CONTROL!$C$21, $C$9, 100%, $E$9)</f>
        <v>38.268300000000004</v>
      </c>
      <c r="M966" s="10">
        <f>CHOOSE(CONTROL!$C$42, 37.0904, 37.0904) * CHOOSE(CONTROL!$C$21, $C$9, 100%, $E$9)</f>
        <v>37.090400000000002</v>
      </c>
      <c r="N966" s="10">
        <f>CHOOSE(CONTROL!$C$42, 37.1084, 37.1084) * CHOOSE(CONTROL!$C$21, $C$9, 100%, $E$9)</f>
        <v>37.108400000000003</v>
      </c>
      <c r="O966" s="10">
        <f>CHOOSE(CONTROL!$C$42, 37.3149, 37.3149) * CHOOSE(CONTROL!$C$21, $C$9, 100%, $E$9)</f>
        <v>37.314900000000002</v>
      </c>
      <c r="P966" s="10">
        <f>CHOOSE(CONTROL!$C$42, 37.0879, 37.0879) * CHOOSE(CONTROL!$C$21, $C$9, 100%, $E$9)</f>
        <v>37.087899999999998</v>
      </c>
      <c r="Q966" s="10">
        <f>CHOOSE(CONTROL!$C$42, 37.9102, 37.9102) * CHOOSE(CONTROL!$C$21, $C$9, 100%, $E$9)</f>
        <v>37.910200000000003</v>
      </c>
      <c r="R966" s="10">
        <f>CHOOSE(CONTROL!$C$42, 38.592, 38.592) * CHOOSE(CONTROL!$C$21, $C$9, 100%, $E$9)</f>
        <v>38.591999999999999</v>
      </c>
      <c r="S966" s="10">
        <f>CHOOSE(CONTROL!$C$42, 36.3878, 36.3878) * CHOOSE(CONTROL!$C$21, $C$9, 100%, $E$9)</f>
        <v>36.387799999999999</v>
      </c>
      <c r="T966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66" s="58">
        <f>(1000*CHOOSE(CONTROL!$C$42, 695, 695)*CHOOSE(CONTROL!$C$42, 0.5599, 0.5599)*CHOOSE(CONTROL!$C$42, 30, 30))/1000000</f>
        <v>11.673914999999997</v>
      </c>
      <c r="V966" s="58">
        <f>(1000*CHOOSE(CONTROL!$C$42, 500, 500)*CHOOSE(CONTROL!$C$42, 0.275, 0.275)*CHOOSE(CONTROL!$C$42, 30, 30))/1000000</f>
        <v>4.125</v>
      </c>
      <c r="W966" s="58">
        <f>(1000*CHOOSE(CONTROL!$C$42, 0.1146, 0.1146)*CHOOSE(CONTROL!$C$42, 121.5, 121.5)*CHOOSE(CONTROL!$C$42, 30, 30))/1000000</f>
        <v>0.417717</v>
      </c>
      <c r="X966" s="58">
        <f>(30*0.1790888*245000/1000000)+(30*0.2374*100000/1000000)</f>
        <v>2.0285026799999999</v>
      </c>
      <c r="Y966" s="58"/>
      <c r="Z966" s="10"/>
      <c r="AA966" s="57"/>
      <c r="AB966" s="51">
        <f>(B966*194.205+C966*267.466+D966*133.845+E966*53.484+F966*40+G966*185+H966*0+I966*100+J966*300)/(194.205+267.466+133.845+53.484+0+40+185+100+300)</f>
        <v>37.499078565384615</v>
      </c>
      <c r="AC966" s="27">
        <f>(M966*'RAP TEMPLATE-GAS AVAILABILITY'!O965+N966*'RAP TEMPLATE-GAS AVAILABILITY'!P965+O966*'RAP TEMPLATE-GAS AVAILABILITY'!Q965+P966*'RAP TEMPLATE-GAS AVAILABILITY'!R965)/('RAP TEMPLATE-GAS AVAILABILITY'!O965+'RAP TEMPLATE-GAS AVAILABILITY'!P965+'RAP TEMPLATE-GAS AVAILABILITY'!Q965+'RAP TEMPLATE-GAS AVAILABILITY'!R965)</f>
        <v>37.19282805755396</v>
      </c>
    </row>
    <row r="967" spans="1:29" ht="15.75" x14ac:dyDescent="0.25">
      <c r="A967" s="13">
        <v>70706</v>
      </c>
      <c r="B967" s="10">
        <f>CHOOSE(CONTROL!$C$42, 36.7563, 36.7563) * CHOOSE(CONTROL!$C$21, $C$9, 100%, $E$9)</f>
        <v>36.756300000000003</v>
      </c>
      <c r="C967" s="10">
        <f>CHOOSE(CONTROL!$C$42, 36.7642, 36.7642) * CHOOSE(CONTROL!$C$21, $C$9, 100%, $E$9)</f>
        <v>36.764200000000002</v>
      </c>
      <c r="D967" s="10">
        <f>CHOOSE(CONTROL!$C$42, 36.9427, 36.9427) * CHOOSE(CONTROL!$C$21, $C$9, 100%, $E$9)</f>
        <v>36.942700000000002</v>
      </c>
      <c r="E967" s="10">
        <f>CHOOSE(CONTROL!$C$42, 36.9739, 36.9739) * CHOOSE(CONTROL!$C$21, $C$9, 100%, $E$9)</f>
        <v>36.9739</v>
      </c>
      <c r="F967" s="10">
        <f>CHOOSE(CONTROL!$C$42, 36.743, 36.743)*CHOOSE(CONTROL!$C$21, $C$9, 100%, $E$9)</f>
        <v>36.743000000000002</v>
      </c>
      <c r="G967" s="10">
        <f>CHOOSE(CONTROL!$C$42, 36.7613, 36.7613)*CHOOSE(CONTROL!$C$21, $C$9, 100%, $E$9)</f>
        <v>36.761299999999999</v>
      </c>
      <c r="H967" s="10">
        <f>CHOOSE(CONTROL!$C$42, 36.9625, 36.9625) * CHOOSE(CONTROL!$C$21, $C$9, 100%, $E$9)</f>
        <v>36.962499999999999</v>
      </c>
      <c r="I967" s="10">
        <f>CHOOSE(CONTROL!$C$42, 36.7331, 36.7331)* CHOOSE(CONTROL!$C$21, $C$9, 100%, $E$9)</f>
        <v>36.7331</v>
      </c>
      <c r="J967" s="10">
        <f>CHOOSE(CONTROL!$C$42, 36.736, 36.736)* CHOOSE(CONTROL!$C$21, $C$9, 100%, $E$9)</f>
        <v>36.735999999999997</v>
      </c>
      <c r="K967" s="54">
        <f>CHOOSE(CONTROL!$C$42, 36.7292, 36.7292) * CHOOSE(CONTROL!$C$21, $C$9, 100%, $E$9)</f>
        <v>36.729199999999999</v>
      </c>
      <c r="L967" s="10">
        <f>CHOOSE(CONTROL!$C$42, 37.5495, 37.5495) * CHOOSE(CONTROL!$C$21, $C$9, 100%, $E$9)</f>
        <v>37.549500000000002</v>
      </c>
      <c r="M967" s="10">
        <f>CHOOSE(CONTROL!$C$42, 36.3791, 36.3791) * CHOOSE(CONTROL!$C$21, $C$9, 100%, $E$9)</f>
        <v>36.379100000000001</v>
      </c>
      <c r="N967" s="10">
        <f>CHOOSE(CONTROL!$C$42, 36.3972, 36.3972) * CHOOSE(CONTROL!$C$21, $C$9, 100%, $E$9)</f>
        <v>36.397199999999998</v>
      </c>
      <c r="O967" s="10">
        <f>CHOOSE(CONTROL!$C$42, 36.6033, 36.6033) * CHOOSE(CONTROL!$C$21, $C$9, 100%, $E$9)</f>
        <v>36.603299999999997</v>
      </c>
      <c r="P967" s="10">
        <f>CHOOSE(CONTROL!$C$42, 36.3763, 36.3763) * CHOOSE(CONTROL!$C$21, $C$9, 100%, $E$9)</f>
        <v>36.376300000000001</v>
      </c>
      <c r="Q967" s="10">
        <f>CHOOSE(CONTROL!$C$42, 37.1986, 37.1986) * CHOOSE(CONTROL!$C$21, $C$9, 100%, $E$9)</f>
        <v>37.198599999999999</v>
      </c>
      <c r="R967" s="10">
        <f>CHOOSE(CONTROL!$C$42, 37.8786, 37.8786) * CHOOSE(CONTROL!$C$21, $C$9, 100%, $E$9)</f>
        <v>37.878599999999999</v>
      </c>
      <c r="S967" s="10">
        <f>CHOOSE(CONTROL!$C$42, 35.6898, 35.6898) * CHOOSE(CONTROL!$C$21, $C$9, 100%, $E$9)</f>
        <v>35.689799999999998</v>
      </c>
      <c r="T967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67" s="58">
        <f>(1000*CHOOSE(CONTROL!$C$42, 695, 695)*CHOOSE(CONTROL!$C$42, 0.5599, 0.5599)*CHOOSE(CONTROL!$C$42, 31, 31))/1000000</f>
        <v>12.063045499999998</v>
      </c>
      <c r="V967" s="58">
        <f>(1000*CHOOSE(CONTROL!$C$42, 500, 500)*CHOOSE(CONTROL!$C$42, 0.275, 0.275)*CHOOSE(CONTROL!$C$42, 31, 31))/1000000</f>
        <v>4.2625000000000002</v>
      </c>
      <c r="W967" s="58">
        <f>(1000*CHOOSE(CONTROL!$C$42, 0.1146, 0.1146)*CHOOSE(CONTROL!$C$42, 121.5, 121.5)*CHOOSE(CONTROL!$C$42, 31, 31))/1000000</f>
        <v>0.43164089999999994</v>
      </c>
      <c r="X967" s="58">
        <f>(31*0.1790888*245000/1000000)+(31*0.2374*100000/1000000)</f>
        <v>2.0961194359999999</v>
      </c>
      <c r="Y967" s="58"/>
      <c r="Z967" s="10"/>
      <c r="AA967" s="57"/>
      <c r="AB967" s="51">
        <f>(B967*194.205+C967*267.466+D967*133.845+E967*53.484+F967*40+G967*185+H967*0+I967*100+J967*300)/(194.205+267.466+133.845+53.484+0+40+185+100+300)</f>
        <v>36.780383836577712</v>
      </c>
      <c r="AC967" s="27">
        <f>(M967*'RAP TEMPLATE-GAS AVAILABILITY'!O966+N967*'RAP TEMPLATE-GAS AVAILABILITY'!P966+O967*'RAP TEMPLATE-GAS AVAILABILITY'!Q966+P967*'RAP TEMPLATE-GAS AVAILABILITY'!R966)/('RAP TEMPLATE-GAS AVAILABILITY'!O966+'RAP TEMPLATE-GAS AVAILABILITY'!P966+'RAP TEMPLATE-GAS AVAILABILITY'!Q966+'RAP TEMPLATE-GAS AVAILABILITY'!R966)</f>
        <v>36.481354676258995</v>
      </c>
    </row>
    <row r="968" spans="1:29" ht="15.75" x14ac:dyDescent="0.25">
      <c r="A968" s="13">
        <v>70737</v>
      </c>
      <c r="B968" s="10">
        <f>CHOOSE(CONTROL!$C$42, 34.941, 34.941) * CHOOSE(CONTROL!$C$21, $C$9, 100%, $E$9)</f>
        <v>34.941000000000003</v>
      </c>
      <c r="C968" s="10">
        <f>CHOOSE(CONTROL!$C$42, 34.9489, 34.9489) * CHOOSE(CONTROL!$C$21, $C$9, 100%, $E$9)</f>
        <v>34.948900000000002</v>
      </c>
      <c r="D968" s="10">
        <f>CHOOSE(CONTROL!$C$42, 35.1274, 35.1274) * CHOOSE(CONTROL!$C$21, $C$9, 100%, $E$9)</f>
        <v>35.127400000000002</v>
      </c>
      <c r="E968" s="10">
        <f>CHOOSE(CONTROL!$C$42, 35.1585, 35.1585) * CHOOSE(CONTROL!$C$21, $C$9, 100%, $E$9)</f>
        <v>35.158499999999997</v>
      </c>
      <c r="F968" s="10">
        <f>CHOOSE(CONTROL!$C$42, 34.9276, 34.9276)*CHOOSE(CONTROL!$C$21, $C$9, 100%, $E$9)</f>
        <v>34.927599999999998</v>
      </c>
      <c r="G968" s="10">
        <f>CHOOSE(CONTROL!$C$42, 34.9459, 34.9459)*CHOOSE(CONTROL!$C$21, $C$9, 100%, $E$9)</f>
        <v>34.945900000000002</v>
      </c>
      <c r="H968" s="10">
        <f>CHOOSE(CONTROL!$C$42, 35.1472, 35.1472) * CHOOSE(CONTROL!$C$21, $C$9, 100%, $E$9)</f>
        <v>35.147199999999998</v>
      </c>
      <c r="I968" s="10">
        <f>CHOOSE(CONTROL!$C$42, 34.9178, 34.9178)* CHOOSE(CONTROL!$C$21, $C$9, 100%, $E$9)</f>
        <v>34.9178</v>
      </c>
      <c r="J968" s="10">
        <f>CHOOSE(CONTROL!$C$42, 34.9206, 34.9206)* CHOOSE(CONTROL!$C$21, $C$9, 100%, $E$9)</f>
        <v>34.9206</v>
      </c>
      <c r="K968" s="54">
        <f>CHOOSE(CONTROL!$C$42, 34.9139, 34.9139) * CHOOSE(CONTROL!$C$21, $C$9, 100%, $E$9)</f>
        <v>34.913899999999998</v>
      </c>
      <c r="L968" s="10">
        <f>CHOOSE(CONTROL!$C$42, 35.7342, 35.7342) * CHOOSE(CONTROL!$C$21, $C$9, 100%, $E$9)</f>
        <v>35.734200000000001</v>
      </c>
      <c r="M968" s="10">
        <f>CHOOSE(CONTROL!$C$42, 34.582, 34.582) * CHOOSE(CONTROL!$C$21, $C$9, 100%, $E$9)</f>
        <v>34.582000000000001</v>
      </c>
      <c r="N968" s="10">
        <f>CHOOSE(CONTROL!$C$42, 34.6001, 34.6001) * CHOOSE(CONTROL!$C$21, $C$9, 100%, $E$9)</f>
        <v>34.600099999999998</v>
      </c>
      <c r="O968" s="10">
        <f>CHOOSE(CONTROL!$C$42, 34.8063, 34.8063) * CHOOSE(CONTROL!$C$21, $C$9, 100%, $E$9)</f>
        <v>34.8063</v>
      </c>
      <c r="P968" s="10">
        <f>CHOOSE(CONTROL!$C$42, 34.5793, 34.5793) * CHOOSE(CONTROL!$C$21, $C$9, 100%, $E$9)</f>
        <v>34.579300000000003</v>
      </c>
      <c r="Q968" s="10">
        <f>CHOOSE(CONTROL!$C$42, 35.4016, 35.4016) * CHOOSE(CONTROL!$C$21, $C$9, 100%, $E$9)</f>
        <v>35.401600000000002</v>
      </c>
      <c r="R968" s="10">
        <f>CHOOSE(CONTROL!$C$42, 36.0771, 36.0771) * CHOOSE(CONTROL!$C$21, $C$9, 100%, $E$9)</f>
        <v>36.077100000000002</v>
      </c>
      <c r="S968" s="10">
        <f>CHOOSE(CONTROL!$C$42, 33.9269, 33.9269) * CHOOSE(CONTROL!$C$21, $C$9, 100%, $E$9)</f>
        <v>33.926900000000003</v>
      </c>
      <c r="T968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68" s="58">
        <f>(1000*CHOOSE(CONTROL!$C$42, 695, 695)*CHOOSE(CONTROL!$C$42, 0.5599, 0.5599)*CHOOSE(CONTROL!$C$42, 31, 31))/1000000</f>
        <v>12.063045499999998</v>
      </c>
      <c r="V968" s="58">
        <f>(1000*CHOOSE(CONTROL!$C$42, 500, 500)*CHOOSE(CONTROL!$C$42, 0.275, 0.275)*CHOOSE(CONTROL!$C$42, 31, 31))/1000000</f>
        <v>4.2625000000000002</v>
      </c>
      <c r="W968" s="58">
        <f>(1000*CHOOSE(CONTROL!$C$42, 0.1146, 0.1146)*CHOOSE(CONTROL!$C$42, 121.5, 121.5)*CHOOSE(CONTROL!$C$42, 31, 31))/1000000</f>
        <v>0.43164089999999994</v>
      </c>
      <c r="X968" s="58">
        <f>(31*0.1790888*245000/1000000)+(31*0.2374*100000/1000000)</f>
        <v>2.0961194359999999</v>
      </c>
      <c r="Y968" s="58"/>
      <c r="Z968" s="10"/>
      <c r="AA968" s="57"/>
      <c r="AB968" s="51">
        <f>(B968*194.205+C968*267.466+D968*133.845+E968*53.484+F968*40+G968*185+H968*0+I968*100+J968*300)/(194.205+267.466+133.845+53.484+0+40+185+100+300)</f>
        <v>34.965038429670336</v>
      </c>
      <c r="AC968" s="27">
        <f>(M968*'RAP TEMPLATE-GAS AVAILABILITY'!O967+N968*'RAP TEMPLATE-GAS AVAILABILITY'!P967+O968*'RAP TEMPLATE-GAS AVAILABILITY'!Q967+P968*'RAP TEMPLATE-GAS AVAILABILITY'!R967)/('RAP TEMPLATE-GAS AVAILABILITY'!O967+'RAP TEMPLATE-GAS AVAILABILITY'!P967+'RAP TEMPLATE-GAS AVAILABILITY'!Q967+'RAP TEMPLATE-GAS AVAILABILITY'!R967)</f>
        <v>34.684314388489206</v>
      </c>
    </row>
    <row r="969" spans="1:29" ht="15.75" x14ac:dyDescent="0.25">
      <c r="A969" s="13">
        <v>70767</v>
      </c>
      <c r="B969" s="10">
        <f>CHOOSE(CONTROL!$C$42, 32.723, 32.723) * CHOOSE(CONTROL!$C$21, $C$9, 100%, $E$9)</f>
        <v>32.722999999999999</v>
      </c>
      <c r="C969" s="10">
        <f>CHOOSE(CONTROL!$C$42, 32.7309, 32.7309) * CHOOSE(CONTROL!$C$21, $C$9, 100%, $E$9)</f>
        <v>32.730899999999998</v>
      </c>
      <c r="D969" s="10">
        <f>CHOOSE(CONTROL!$C$42, 32.9094, 32.9094) * CHOOSE(CONTROL!$C$21, $C$9, 100%, $E$9)</f>
        <v>32.909399999999998</v>
      </c>
      <c r="E969" s="10">
        <f>CHOOSE(CONTROL!$C$42, 32.9406, 32.9406) * CHOOSE(CONTROL!$C$21, $C$9, 100%, $E$9)</f>
        <v>32.940600000000003</v>
      </c>
      <c r="F969" s="10">
        <f>CHOOSE(CONTROL!$C$42, 32.7093, 32.7093)*CHOOSE(CONTROL!$C$21, $C$9, 100%, $E$9)</f>
        <v>32.709299999999999</v>
      </c>
      <c r="G969" s="10">
        <f>CHOOSE(CONTROL!$C$42, 32.7276, 32.7276)*CHOOSE(CONTROL!$C$21, $C$9, 100%, $E$9)</f>
        <v>32.727600000000002</v>
      </c>
      <c r="H969" s="10">
        <f>CHOOSE(CONTROL!$C$42, 32.9292, 32.9292) * CHOOSE(CONTROL!$C$21, $C$9, 100%, $E$9)</f>
        <v>32.929200000000002</v>
      </c>
      <c r="I969" s="10">
        <f>CHOOSE(CONTROL!$C$42, 32.6998, 32.6998)* CHOOSE(CONTROL!$C$21, $C$9, 100%, $E$9)</f>
        <v>32.699800000000003</v>
      </c>
      <c r="J969" s="10">
        <f>CHOOSE(CONTROL!$C$42, 32.7023, 32.7023)* CHOOSE(CONTROL!$C$21, $C$9, 100%, $E$9)</f>
        <v>32.702300000000001</v>
      </c>
      <c r="K969" s="54">
        <f>CHOOSE(CONTROL!$C$42, 32.696, 32.696) * CHOOSE(CONTROL!$C$21, $C$9, 100%, $E$9)</f>
        <v>32.695999999999998</v>
      </c>
      <c r="L969" s="10">
        <f>CHOOSE(CONTROL!$C$42, 33.5162, 33.5162) * CHOOSE(CONTROL!$C$21, $C$9, 100%, $E$9)</f>
        <v>33.516199999999998</v>
      </c>
      <c r="M969" s="10">
        <f>CHOOSE(CONTROL!$C$42, 32.3861, 32.3861) * CHOOSE(CONTROL!$C$21, $C$9, 100%, $E$9)</f>
        <v>32.386099999999999</v>
      </c>
      <c r="N969" s="10">
        <f>CHOOSE(CONTROL!$C$42, 32.4042, 32.4042) * CHOOSE(CONTROL!$C$21, $C$9, 100%, $E$9)</f>
        <v>32.404200000000003</v>
      </c>
      <c r="O969" s="10">
        <f>CHOOSE(CONTROL!$C$42, 32.6107, 32.6107) * CHOOSE(CONTROL!$C$21, $C$9, 100%, $E$9)</f>
        <v>32.610700000000001</v>
      </c>
      <c r="P969" s="10">
        <f>CHOOSE(CONTROL!$C$42, 32.3837, 32.3837) * CHOOSE(CONTROL!$C$21, $C$9, 100%, $E$9)</f>
        <v>32.383699999999997</v>
      </c>
      <c r="Q969" s="10">
        <f>CHOOSE(CONTROL!$C$42, 33.206, 33.206) * CHOOSE(CONTROL!$C$21, $C$9, 100%, $E$9)</f>
        <v>33.206000000000003</v>
      </c>
      <c r="R969" s="10">
        <f>CHOOSE(CONTROL!$C$42, 33.876, 33.876) * CHOOSE(CONTROL!$C$21, $C$9, 100%, $E$9)</f>
        <v>33.875999999999998</v>
      </c>
      <c r="S969" s="10">
        <f>CHOOSE(CONTROL!$C$42, 31.773, 31.773) * CHOOSE(CONTROL!$C$21, $C$9, 100%, $E$9)</f>
        <v>31.773</v>
      </c>
      <c r="T969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69" s="58">
        <f>(1000*CHOOSE(CONTROL!$C$42, 695, 695)*CHOOSE(CONTROL!$C$42, 0.5599, 0.5599)*CHOOSE(CONTROL!$C$42, 30, 30))/1000000</f>
        <v>11.673914999999997</v>
      </c>
      <c r="V969" s="58">
        <f>(1000*CHOOSE(CONTROL!$C$42, 500, 500)*CHOOSE(CONTROL!$C$42, 0.275, 0.275)*CHOOSE(CONTROL!$C$42, 30, 30))/1000000</f>
        <v>4.125</v>
      </c>
      <c r="W969" s="58">
        <f>(1000*CHOOSE(CONTROL!$C$42, 0.1146, 0.1146)*CHOOSE(CONTROL!$C$42, 121.5, 121.5)*CHOOSE(CONTROL!$C$42, 30, 30))/1000000</f>
        <v>0.417717</v>
      </c>
      <c r="X969" s="58">
        <f>(30*0.1790888*245000/1000000)+(30*0.2374*100000/1000000)</f>
        <v>2.0285026799999999</v>
      </c>
      <c r="Y969" s="58"/>
      <c r="Z969" s="10"/>
      <c r="AA969" s="57"/>
      <c r="AB969" s="51">
        <f>(B969*194.205+C969*267.466+D969*133.845+E969*53.484+F969*40+G969*185+H969*0+I969*100+J969*300)/(194.205+267.466+133.845+53.484+0+40+185+100+300)</f>
        <v>32.746919001412877</v>
      </c>
      <c r="AC969" s="27">
        <f>(M969*'RAP TEMPLATE-GAS AVAILABILITY'!O968+N969*'RAP TEMPLATE-GAS AVAILABILITY'!P968+O969*'RAP TEMPLATE-GAS AVAILABILITY'!Q968+P969*'RAP TEMPLATE-GAS AVAILABILITY'!R968)/('RAP TEMPLATE-GAS AVAILABILITY'!O968+'RAP TEMPLATE-GAS AVAILABILITY'!P968+'RAP TEMPLATE-GAS AVAILABILITY'!Q968+'RAP TEMPLATE-GAS AVAILABILITY'!R968)</f>
        <v>32.488593525179851</v>
      </c>
    </row>
    <row r="970" spans="1:29" ht="15.75" x14ac:dyDescent="0.25">
      <c r="A970" s="13">
        <v>70798</v>
      </c>
      <c r="B970" s="10">
        <f>CHOOSE(CONTROL!$C$42, 32.0565, 32.0565) * CHOOSE(CONTROL!$C$21, $C$9, 100%, $E$9)</f>
        <v>32.0565</v>
      </c>
      <c r="C970" s="10">
        <f>CHOOSE(CONTROL!$C$42, 32.0617, 32.0617) * CHOOSE(CONTROL!$C$21, $C$9, 100%, $E$9)</f>
        <v>32.061700000000002</v>
      </c>
      <c r="D970" s="10">
        <f>CHOOSE(CONTROL!$C$42, 32.2452, 32.2452) * CHOOSE(CONTROL!$C$21, $C$9, 100%, $E$9)</f>
        <v>32.245199999999997</v>
      </c>
      <c r="E970" s="10">
        <f>CHOOSE(CONTROL!$C$42, 32.274, 32.274) * CHOOSE(CONTROL!$C$21, $C$9, 100%, $E$9)</f>
        <v>32.274000000000001</v>
      </c>
      <c r="F970" s="10">
        <f>CHOOSE(CONTROL!$C$42, 32.0449, 32.0449)*CHOOSE(CONTROL!$C$21, $C$9, 100%, $E$9)</f>
        <v>32.044899999999998</v>
      </c>
      <c r="G970" s="10">
        <f>CHOOSE(CONTROL!$C$42, 32.0627, 32.0627)*CHOOSE(CONTROL!$C$21, $C$9, 100%, $E$9)</f>
        <v>32.0627</v>
      </c>
      <c r="H970" s="10">
        <f>CHOOSE(CONTROL!$C$42, 32.2645, 32.2645) * CHOOSE(CONTROL!$C$21, $C$9, 100%, $E$9)</f>
        <v>32.264499999999998</v>
      </c>
      <c r="I970" s="10">
        <f>CHOOSE(CONTROL!$C$42, 32.0352, 32.0352)* CHOOSE(CONTROL!$C$21, $C$9, 100%, $E$9)</f>
        <v>32.035200000000003</v>
      </c>
      <c r="J970" s="10">
        <f>CHOOSE(CONTROL!$C$42, 32.0379, 32.0379)* CHOOSE(CONTROL!$C$21, $C$9, 100%, $E$9)</f>
        <v>32.0379</v>
      </c>
      <c r="K970" s="54">
        <f>CHOOSE(CONTROL!$C$42, 32.0313, 32.0313) * CHOOSE(CONTROL!$C$21, $C$9, 100%, $E$9)</f>
        <v>32.031300000000002</v>
      </c>
      <c r="L970" s="10">
        <f>CHOOSE(CONTROL!$C$42, 32.8515, 32.8515) * CHOOSE(CONTROL!$C$21, $C$9, 100%, $E$9)</f>
        <v>32.851500000000001</v>
      </c>
      <c r="M970" s="10">
        <f>CHOOSE(CONTROL!$C$42, 31.7284, 31.7284) * CHOOSE(CONTROL!$C$21, $C$9, 100%, $E$9)</f>
        <v>31.728400000000001</v>
      </c>
      <c r="N970" s="10">
        <f>CHOOSE(CONTROL!$C$42, 31.7461, 31.7461) * CHOOSE(CONTROL!$C$21, $C$9, 100%, $E$9)</f>
        <v>31.746099999999998</v>
      </c>
      <c r="O970" s="10">
        <f>CHOOSE(CONTROL!$C$42, 31.9527, 31.9527) * CHOOSE(CONTROL!$C$21, $C$9, 100%, $E$9)</f>
        <v>31.9527</v>
      </c>
      <c r="P970" s="10">
        <f>CHOOSE(CONTROL!$C$42, 31.7257, 31.7257) * CHOOSE(CONTROL!$C$21, $C$9, 100%, $E$9)</f>
        <v>31.7257</v>
      </c>
      <c r="Q970" s="10">
        <f>CHOOSE(CONTROL!$C$42, 32.548, 32.548) * CHOOSE(CONTROL!$C$21, $C$9, 100%, $E$9)</f>
        <v>32.548000000000002</v>
      </c>
      <c r="R970" s="10">
        <f>CHOOSE(CONTROL!$C$42, 33.2164, 33.2164) * CHOOSE(CONTROL!$C$21, $C$9, 100%, $E$9)</f>
        <v>33.2164</v>
      </c>
      <c r="S970" s="10">
        <f>CHOOSE(CONTROL!$C$42, 31.1276, 31.1276) * CHOOSE(CONTROL!$C$21, $C$9, 100%, $E$9)</f>
        <v>31.127600000000001</v>
      </c>
      <c r="T970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70" s="58">
        <f>(1000*CHOOSE(CONTROL!$C$42, 695, 695)*CHOOSE(CONTROL!$C$42, 0.5599, 0.5599)*CHOOSE(CONTROL!$C$42, 31, 31))/1000000</f>
        <v>12.063045499999998</v>
      </c>
      <c r="V970" s="58">
        <f>(1000*CHOOSE(CONTROL!$C$42, 500, 500)*CHOOSE(CONTROL!$C$42, 0.275, 0.275)*CHOOSE(CONTROL!$C$42, 31, 31))/1000000</f>
        <v>4.2625000000000002</v>
      </c>
      <c r="W970" s="58">
        <f>(1000*CHOOSE(CONTROL!$C$42, 0.1146, 0.1146)*CHOOSE(CONTROL!$C$42, 121.5, 121.5)*CHOOSE(CONTROL!$C$42, 31, 31))/1000000</f>
        <v>0.43164089999999994</v>
      </c>
      <c r="X970" s="58">
        <f>(31*0.1790888*245000/1000000)+(31*0.2374*100000/1000000)</f>
        <v>2.0961194359999999</v>
      </c>
      <c r="Y970" s="58"/>
      <c r="Z970" s="10"/>
      <c r="AA970" s="57"/>
      <c r="AB970" s="51">
        <f>(B970*131.881+C970*277.167+D970*79.08+E970*125.872+F970*40+G970*185+H970*0+I970*100+J970*300)/(131.881+277.167+79.08+125.872+0+40+185+100+300)</f>
        <v>32.086131819531879</v>
      </c>
      <c r="AC970" s="27">
        <f>(M970*'RAP TEMPLATE-GAS AVAILABILITY'!O969+N970*'RAP TEMPLATE-GAS AVAILABILITY'!P969+O970*'RAP TEMPLATE-GAS AVAILABILITY'!Q969+P970*'RAP TEMPLATE-GAS AVAILABILITY'!R969)/('RAP TEMPLATE-GAS AVAILABILITY'!O969+'RAP TEMPLATE-GAS AVAILABILITY'!P969+'RAP TEMPLATE-GAS AVAILABILITY'!Q969+'RAP TEMPLATE-GAS AVAILABILITY'!R969)</f>
        <v>31.830691366906475</v>
      </c>
    </row>
    <row r="971" spans="1:29" ht="15.75" x14ac:dyDescent="0.25">
      <c r="A971" s="13">
        <v>70828</v>
      </c>
      <c r="B971" s="10">
        <f>CHOOSE(CONTROL!$C$42, 32.9005, 32.9005) * CHOOSE(CONTROL!$C$21, $C$9, 100%, $E$9)</f>
        <v>32.900500000000001</v>
      </c>
      <c r="C971" s="10">
        <f>CHOOSE(CONTROL!$C$42, 32.9055, 32.9055) * CHOOSE(CONTROL!$C$21, $C$9, 100%, $E$9)</f>
        <v>32.905500000000004</v>
      </c>
      <c r="D971" s="10">
        <f>CHOOSE(CONTROL!$C$42, 32.9351, 32.9351) * CHOOSE(CONTROL!$C$21, $C$9, 100%, $E$9)</f>
        <v>32.935099999999998</v>
      </c>
      <c r="E971" s="10">
        <f>CHOOSE(CONTROL!$C$42, 32.9689, 32.9689) * CHOOSE(CONTROL!$C$21, $C$9, 100%, $E$9)</f>
        <v>32.968899999999998</v>
      </c>
      <c r="F971" s="10">
        <f>CHOOSE(CONTROL!$C$42, 32.8863, 32.8863)*CHOOSE(CONTROL!$C$21, $C$9, 100%, $E$9)</f>
        <v>32.886299999999999</v>
      </c>
      <c r="G971" s="10">
        <f>CHOOSE(CONTROL!$C$42, 32.9043, 32.9043)*CHOOSE(CONTROL!$C$21, $C$9, 100%, $E$9)</f>
        <v>32.904299999999999</v>
      </c>
      <c r="H971" s="10">
        <f>CHOOSE(CONTROL!$C$42, 32.9581, 32.9581) * CHOOSE(CONTROL!$C$21, $C$9, 100%, $E$9)</f>
        <v>32.958100000000002</v>
      </c>
      <c r="I971" s="10">
        <f>CHOOSE(CONTROL!$C$42, 32.8667, 32.8667)* CHOOSE(CONTROL!$C$21, $C$9, 100%, $E$9)</f>
        <v>32.866700000000002</v>
      </c>
      <c r="J971" s="10">
        <f>CHOOSE(CONTROL!$C$42, 32.8793, 32.8793)* CHOOSE(CONTROL!$C$21, $C$9, 100%, $E$9)</f>
        <v>32.879300000000001</v>
      </c>
      <c r="K971" s="54">
        <f>CHOOSE(CONTROL!$C$42, 32.8628, 32.8628) * CHOOSE(CONTROL!$C$21, $C$9, 100%, $E$9)</f>
        <v>32.8628</v>
      </c>
      <c r="L971" s="10">
        <f>CHOOSE(CONTROL!$C$42, 33.5451, 33.5451) * CHOOSE(CONTROL!$C$21, $C$9, 100%, $E$9)</f>
        <v>33.545099999999998</v>
      </c>
      <c r="M971" s="10">
        <f>CHOOSE(CONTROL!$C$42, 32.5613, 32.5613) * CHOOSE(CONTROL!$C$21, $C$9, 100%, $E$9)</f>
        <v>32.561300000000003</v>
      </c>
      <c r="N971" s="10">
        <f>CHOOSE(CONTROL!$C$42, 32.5792, 32.5792) * CHOOSE(CONTROL!$C$21, $C$9, 100%, $E$9)</f>
        <v>32.5792</v>
      </c>
      <c r="O971" s="10">
        <f>CHOOSE(CONTROL!$C$42, 32.6393, 32.6393) * CHOOSE(CONTROL!$C$21, $C$9, 100%, $E$9)</f>
        <v>32.639299999999999</v>
      </c>
      <c r="P971" s="10">
        <f>CHOOSE(CONTROL!$C$42, 32.5489, 32.5489) * CHOOSE(CONTROL!$C$21, $C$9, 100%, $E$9)</f>
        <v>32.548900000000003</v>
      </c>
      <c r="Q971" s="10">
        <f>CHOOSE(CONTROL!$C$42, 33.2346, 33.2346) * CHOOSE(CONTROL!$C$21, $C$9, 100%, $E$9)</f>
        <v>33.2346</v>
      </c>
      <c r="R971" s="10">
        <f>CHOOSE(CONTROL!$C$42, 33.9047, 33.9047) * CHOOSE(CONTROL!$C$21, $C$9, 100%, $E$9)</f>
        <v>33.904699999999998</v>
      </c>
      <c r="S971" s="10">
        <f>CHOOSE(CONTROL!$C$42, 31.9476, 31.9476) * CHOOSE(CONTROL!$C$21, $C$9, 100%, $E$9)</f>
        <v>31.947600000000001</v>
      </c>
      <c r="T971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71" s="58">
        <f>(1000*CHOOSE(CONTROL!$C$42, 695, 695)*CHOOSE(CONTROL!$C$42, 0.5599, 0.5599)*CHOOSE(CONTROL!$C$42, 30, 30))/1000000</f>
        <v>11.673914999999997</v>
      </c>
      <c r="V971" s="58">
        <f>(1000*CHOOSE(CONTROL!$C$42, 500, 500)*CHOOSE(CONTROL!$C$42, 0.275, 0.275)*CHOOSE(CONTROL!$C$42, 30, 30))/1000000</f>
        <v>4.125</v>
      </c>
      <c r="W971" s="58">
        <f>(1000*CHOOSE(CONTROL!$C$42, 0.1146, 0.1146)*CHOOSE(CONTROL!$C$42, 121.5, 121.5)*CHOOSE(CONTROL!$C$42, 30, 30))/1000000</f>
        <v>0.417717</v>
      </c>
      <c r="X971" s="58">
        <f>(30*0.1790888*100000/1000000)+(30*0.2374*100000/1000000)</f>
        <v>1.2494664</v>
      </c>
      <c r="Y971" s="58"/>
      <c r="Z971" s="10"/>
      <c r="AA971" s="57"/>
      <c r="AB971" s="51">
        <f>(B971*122.58+C971*297.941+D971*89.177+E971*40.302+F971*40+G971*160+H971*0+I971*100+J971*300)/(122.58+297.941+89.177+40.302+0+40+160+100+300)</f>
        <v>32.898440770434782</v>
      </c>
      <c r="AC971" s="27">
        <f>(M971*'RAP TEMPLATE-GAS AVAILABILITY'!O970+N971*'RAP TEMPLATE-GAS AVAILABILITY'!P970+O971*'RAP TEMPLATE-GAS AVAILABILITY'!Q970+P971*'RAP TEMPLATE-GAS AVAILABILITY'!R970)/('RAP TEMPLATE-GAS AVAILABILITY'!O970+'RAP TEMPLATE-GAS AVAILABILITY'!P970+'RAP TEMPLATE-GAS AVAILABILITY'!Q970+'RAP TEMPLATE-GAS AVAILABILITY'!R970)</f>
        <v>32.595898561151081</v>
      </c>
    </row>
    <row r="972" spans="1:29" ht="15.75" x14ac:dyDescent="0.25">
      <c r="A972" s="13">
        <v>70859</v>
      </c>
      <c r="B972" s="10">
        <f>CHOOSE(CONTROL!$C$42, 35.1435, 35.1435) * CHOOSE(CONTROL!$C$21, $C$9, 100%, $E$9)</f>
        <v>35.143500000000003</v>
      </c>
      <c r="C972" s="10">
        <f>CHOOSE(CONTROL!$C$42, 35.1484, 35.1484) * CHOOSE(CONTROL!$C$21, $C$9, 100%, $E$9)</f>
        <v>35.148400000000002</v>
      </c>
      <c r="D972" s="10">
        <f>CHOOSE(CONTROL!$C$42, 35.1781, 35.1781) * CHOOSE(CONTROL!$C$21, $C$9, 100%, $E$9)</f>
        <v>35.178100000000001</v>
      </c>
      <c r="E972" s="10">
        <f>CHOOSE(CONTROL!$C$42, 35.2118, 35.2118) * CHOOSE(CONTROL!$C$21, $C$9, 100%, $E$9)</f>
        <v>35.211799999999997</v>
      </c>
      <c r="F972" s="10">
        <f>CHOOSE(CONTROL!$C$42, 35.1308, 35.1308)*CHOOSE(CONTROL!$C$21, $C$9, 100%, $E$9)</f>
        <v>35.130800000000001</v>
      </c>
      <c r="G972" s="10">
        <f>CHOOSE(CONTROL!$C$42, 35.1492, 35.1492)*CHOOSE(CONTROL!$C$21, $C$9, 100%, $E$9)</f>
        <v>35.1492</v>
      </c>
      <c r="H972" s="10">
        <f>CHOOSE(CONTROL!$C$42, 35.201, 35.201) * CHOOSE(CONTROL!$C$21, $C$9, 100%, $E$9)</f>
        <v>35.201000000000001</v>
      </c>
      <c r="I972" s="10">
        <f>CHOOSE(CONTROL!$C$42, 35.1097, 35.1097)* CHOOSE(CONTROL!$C$21, $C$9, 100%, $E$9)</f>
        <v>35.109699999999997</v>
      </c>
      <c r="J972" s="10">
        <f>CHOOSE(CONTROL!$C$42, 35.1238, 35.1238)* CHOOSE(CONTROL!$C$21, $C$9, 100%, $E$9)</f>
        <v>35.123800000000003</v>
      </c>
      <c r="K972" s="54">
        <f>CHOOSE(CONTROL!$C$42, 35.1058, 35.1058) * CHOOSE(CONTROL!$C$21, $C$9, 100%, $E$9)</f>
        <v>35.105800000000002</v>
      </c>
      <c r="L972" s="10">
        <f>CHOOSE(CONTROL!$C$42, 35.788, 35.788) * CHOOSE(CONTROL!$C$21, $C$9, 100%, $E$9)</f>
        <v>35.787999999999997</v>
      </c>
      <c r="M972" s="10">
        <f>CHOOSE(CONTROL!$C$42, 34.7832, 34.7832) * CHOOSE(CONTROL!$C$21, $C$9, 100%, $E$9)</f>
        <v>34.783200000000001</v>
      </c>
      <c r="N972" s="10">
        <f>CHOOSE(CONTROL!$C$42, 34.8014, 34.8014) * CHOOSE(CONTROL!$C$21, $C$9, 100%, $E$9)</f>
        <v>34.801400000000001</v>
      </c>
      <c r="O972" s="10">
        <f>CHOOSE(CONTROL!$C$42, 34.8596, 34.8596) * CHOOSE(CONTROL!$C$21, $C$9, 100%, $E$9)</f>
        <v>34.8596</v>
      </c>
      <c r="P972" s="10">
        <f>CHOOSE(CONTROL!$C$42, 34.7692, 34.7692) * CHOOSE(CONTROL!$C$21, $C$9, 100%, $E$9)</f>
        <v>34.769199999999998</v>
      </c>
      <c r="Q972" s="10">
        <f>CHOOSE(CONTROL!$C$42, 35.4549, 35.4549) * CHOOSE(CONTROL!$C$21, $C$9, 100%, $E$9)</f>
        <v>35.454900000000002</v>
      </c>
      <c r="R972" s="10">
        <f>CHOOSE(CONTROL!$C$42, 36.1305, 36.1305) * CHOOSE(CONTROL!$C$21, $C$9, 100%, $E$9)</f>
        <v>36.130499999999998</v>
      </c>
      <c r="S972" s="10">
        <f>CHOOSE(CONTROL!$C$42, 34.1257, 34.1257) * CHOOSE(CONTROL!$C$21, $C$9, 100%, $E$9)</f>
        <v>34.125700000000002</v>
      </c>
      <c r="T972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72" s="58">
        <f>(1000*CHOOSE(CONTROL!$C$42, 695, 695)*CHOOSE(CONTROL!$C$42, 0.5599, 0.5599)*CHOOSE(CONTROL!$C$42, 31, 31))/1000000</f>
        <v>12.063045499999998</v>
      </c>
      <c r="V972" s="58">
        <f>(1000*CHOOSE(CONTROL!$C$42, 500, 500)*CHOOSE(CONTROL!$C$42, 0.275, 0.275)*CHOOSE(CONTROL!$C$42, 31, 31))/1000000</f>
        <v>4.2625000000000002</v>
      </c>
      <c r="W972" s="58">
        <f>(1000*CHOOSE(CONTROL!$C$42, 0.1146, 0.1146)*CHOOSE(CONTROL!$C$42, 121.5, 121.5)*CHOOSE(CONTROL!$C$42, 31, 31))/1000000</f>
        <v>0.43164089999999994</v>
      </c>
      <c r="X972" s="58">
        <f>(31*0.1790888*100000/1000000)+(31*0.2374*100000/1000000)</f>
        <v>1.2911152800000001</v>
      </c>
      <c r="Y972" s="58"/>
      <c r="Z972" s="10"/>
      <c r="AA972" s="57"/>
      <c r="AB972" s="51">
        <f>(B972*122.58+C972*297.941+D972*89.177+E972*40.302+F972*40+G972*160+H972*0+I972*100+J972*300)/(122.58+297.941+89.177+40.302+0+40+160+100+300)</f>
        <v>35.142119184086958</v>
      </c>
      <c r="AC972" s="27">
        <f>(M972*'RAP TEMPLATE-GAS AVAILABILITY'!O971+N972*'RAP TEMPLATE-GAS AVAILABILITY'!P971+O972*'RAP TEMPLATE-GAS AVAILABILITY'!Q971+P972*'RAP TEMPLATE-GAS AVAILABILITY'!R971)/('RAP TEMPLATE-GAS AVAILABILITY'!O971+'RAP TEMPLATE-GAS AVAILABILITY'!P971+'RAP TEMPLATE-GAS AVAILABILITY'!Q971+'RAP TEMPLATE-GAS AVAILABILITY'!R971)</f>
        <v>34.816860431654675</v>
      </c>
    </row>
    <row r="973" spans="1:29" ht="15.75" x14ac:dyDescent="0.25">
      <c r="A973" s="13">
        <v>70890</v>
      </c>
      <c r="B973" s="10">
        <f>CHOOSE(CONTROL!$C$42, 37.5153, 37.5153) * CHOOSE(CONTROL!$C$21, $C$9, 100%, $E$9)</f>
        <v>37.515300000000003</v>
      </c>
      <c r="C973" s="10">
        <f>CHOOSE(CONTROL!$C$42, 37.5202, 37.5202) * CHOOSE(CONTROL!$C$21, $C$9, 100%, $E$9)</f>
        <v>37.520200000000003</v>
      </c>
      <c r="D973" s="10">
        <f>CHOOSE(CONTROL!$C$42, 37.5704, 37.5704) * CHOOSE(CONTROL!$C$21, $C$9, 100%, $E$9)</f>
        <v>37.570399999999999</v>
      </c>
      <c r="E973" s="10">
        <f>CHOOSE(CONTROL!$C$42, 37.6042, 37.6042) * CHOOSE(CONTROL!$C$21, $C$9, 100%, $E$9)</f>
        <v>37.604199999999999</v>
      </c>
      <c r="F973" s="10">
        <f>CHOOSE(CONTROL!$C$42, 37.4806, 37.4806)*CHOOSE(CONTROL!$C$21, $C$9, 100%, $E$9)</f>
        <v>37.480600000000003</v>
      </c>
      <c r="G973" s="10">
        <f>CHOOSE(CONTROL!$C$42, 37.4982, 37.4982)*CHOOSE(CONTROL!$C$21, $C$9, 100%, $E$9)</f>
        <v>37.498199999999997</v>
      </c>
      <c r="H973" s="10">
        <f>CHOOSE(CONTROL!$C$42, 37.5934, 37.5934) * CHOOSE(CONTROL!$C$21, $C$9, 100%, $E$9)</f>
        <v>37.593400000000003</v>
      </c>
      <c r="I973" s="10">
        <f>CHOOSE(CONTROL!$C$42, 37.4892, 37.4892)* CHOOSE(CONTROL!$C$21, $C$9, 100%, $E$9)</f>
        <v>37.489199999999997</v>
      </c>
      <c r="J973" s="10">
        <f>CHOOSE(CONTROL!$C$42, 37.4736, 37.4736)* CHOOSE(CONTROL!$C$21, $C$9, 100%, $E$9)</f>
        <v>37.473599999999998</v>
      </c>
      <c r="K973" s="54">
        <f>CHOOSE(CONTROL!$C$42, 37.4853, 37.4853) * CHOOSE(CONTROL!$C$21, $C$9, 100%, $E$9)</f>
        <v>37.485300000000002</v>
      </c>
      <c r="L973" s="10">
        <f>CHOOSE(CONTROL!$C$42, 38.1804, 38.1804) * CHOOSE(CONTROL!$C$21, $C$9, 100%, $E$9)</f>
        <v>38.180399999999999</v>
      </c>
      <c r="M973" s="10">
        <f>CHOOSE(CONTROL!$C$42, 37.1093, 37.1093) * CHOOSE(CONTROL!$C$21, $C$9, 100%, $E$9)</f>
        <v>37.109299999999998</v>
      </c>
      <c r="N973" s="10">
        <f>CHOOSE(CONTROL!$C$42, 37.1267, 37.1267) * CHOOSE(CONTROL!$C$21, $C$9, 100%, $E$9)</f>
        <v>37.1267</v>
      </c>
      <c r="O973" s="10">
        <f>CHOOSE(CONTROL!$C$42, 37.2279, 37.2279) * CHOOSE(CONTROL!$C$21, $C$9, 100%, $E$9)</f>
        <v>37.227899999999998</v>
      </c>
      <c r="P973" s="10">
        <f>CHOOSE(CONTROL!$C$42, 37.1247, 37.1247) * CHOOSE(CONTROL!$C$21, $C$9, 100%, $E$9)</f>
        <v>37.124699999999997</v>
      </c>
      <c r="Q973" s="10">
        <f>CHOOSE(CONTROL!$C$42, 37.8232, 37.8232) * CHOOSE(CONTROL!$C$21, $C$9, 100%, $E$9)</f>
        <v>37.8232</v>
      </c>
      <c r="R973" s="10">
        <f>CHOOSE(CONTROL!$C$42, 38.5047, 38.5047) * CHOOSE(CONTROL!$C$21, $C$9, 100%, $E$9)</f>
        <v>38.5047</v>
      </c>
      <c r="S973" s="10">
        <f>CHOOSE(CONTROL!$C$42, 36.4289, 36.4289) * CHOOSE(CONTROL!$C$21, $C$9, 100%, $E$9)</f>
        <v>36.428899999999999</v>
      </c>
      <c r="T973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73" s="58">
        <f>(1000*CHOOSE(CONTROL!$C$42, 695, 695)*CHOOSE(CONTROL!$C$42, 0.5599, 0.5599)*CHOOSE(CONTROL!$C$42, 31, 31))/1000000</f>
        <v>12.063045499999998</v>
      </c>
      <c r="V973" s="58">
        <f>(1000*CHOOSE(CONTROL!$C$42, 500, 500)*CHOOSE(CONTROL!$C$42, 0.275, 0.275)*CHOOSE(CONTROL!$C$42, 31, 31))/1000000</f>
        <v>4.2625000000000002</v>
      </c>
      <c r="W973" s="58">
        <f>(1000*CHOOSE(CONTROL!$C$42, 0.1146, 0.1146)*CHOOSE(CONTROL!$C$42, 121.5, 121.5)*CHOOSE(CONTROL!$C$42, 31, 31))/1000000</f>
        <v>0.43164089999999994</v>
      </c>
      <c r="X973" s="58">
        <f>(31*0.1790888*100000/1000000)+(31*0.2374*100000/1000000)</f>
        <v>1.2911152800000001</v>
      </c>
      <c r="Y973" s="58"/>
      <c r="Z973" s="10"/>
      <c r="AA973" s="57"/>
      <c r="AB973" s="51">
        <f>(B973*122.58+C973*297.941+D973*89.177+E973*40.302+F973*40+G973*160+H973*0+I973*100+J973*300)/(122.58+297.941+89.177+40.302+0+40+160+100+300)</f>
        <v>37.507223835999994</v>
      </c>
      <c r="AC973" s="27">
        <f>(M973*'RAP TEMPLATE-GAS AVAILABILITY'!O972+N973*'RAP TEMPLATE-GAS AVAILABILITY'!P972+O973*'RAP TEMPLATE-GAS AVAILABILITY'!Q972+P973*'RAP TEMPLATE-GAS AVAILABILITY'!R972)/('RAP TEMPLATE-GAS AVAILABILITY'!O972+'RAP TEMPLATE-GAS AVAILABILITY'!P972+'RAP TEMPLATE-GAS AVAILABILITY'!Q972+'RAP TEMPLATE-GAS AVAILABILITY'!R972)</f>
        <v>37.166271223021582</v>
      </c>
    </row>
    <row r="974" spans="1:29" ht="15.75" x14ac:dyDescent="0.25">
      <c r="A974" s="13">
        <v>70918</v>
      </c>
      <c r="B974" s="10">
        <f>CHOOSE(CONTROL!$C$42, 38.183, 38.183) * CHOOSE(CONTROL!$C$21, $C$9, 100%, $E$9)</f>
        <v>38.183</v>
      </c>
      <c r="C974" s="10">
        <f>CHOOSE(CONTROL!$C$42, 38.188, 38.188) * CHOOSE(CONTROL!$C$21, $C$9, 100%, $E$9)</f>
        <v>38.188000000000002</v>
      </c>
      <c r="D974" s="10">
        <f>CHOOSE(CONTROL!$C$42, 38.3051, 38.3051) * CHOOSE(CONTROL!$C$21, $C$9, 100%, $E$9)</f>
        <v>38.305100000000003</v>
      </c>
      <c r="E974" s="10">
        <f>CHOOSE(CONTROL!$C$42, 38.3389, 38.3389) * CHOOSE(CONTROL!$C$21, $C$9, 100%, $E$9)</f>
        <v>38.338900000000002</v>
      </c>
      <c r="F974" s="10">
        <f>CHOOSE(CONTROL!$C$42, 38.2606, 38.2606)*CHOOSE(CONTROL!$C$21, $C$9, 100%, $E$9)</f>
        <v>38.260599999999997</v>
      </c>
      <c r="G974" s="10">
        <f>CHOOSE(CONTROL!$C$42, 38.2825, 38.2825)*CHOOSE(CONTROL!$C$21, $C$9, 100%, $E$9)</f>
        <v>38.282499999999999</v>
      </c>
      <c r="H974" s="10">
        <f>CHOOSE(CONTROL!$C$42, 38.3281, 38.3281) * CHOOSE(CONTROL!$C$21, $C$9, 100%, $E$9)</f>
        <v>38.328099999999999</v>
      </c>
      <c r="I974" s="10">
        <f>CHOOSE(CONTROL!$C$42, 38.2187, 38.2187)* CHOOSE(CONTROL!$C$21, $C$9, 100%, $E$9)</f>
        <v>38.218699999999998</v>
      </c>
      <c r="J974" s="10">
        <f>CHOOSE(CONTROL!$C$42, 38.2536, 38.2536)* CHOOSE(CONTROL!$C$21, $C$9, 100%, $E$9)</f>
        <v>38.253599999999999</v>
      </c>
      <c r="K974" s="54">
        <f>CHOOSE(CONTROL!$C$42, 38.2148, 38.2148) * CHOOSE(CONTROL!$C$21, $C$9, 100%, $E$9)</f>
        <v>38.214799999999997</v>
      </c>
      <c r="L974" s="10">
        <f>CHOOSE(CONTROL!$C$42, 38.9151, 38.9151) * CHOOSE(CONTROL!$C$21, $C$9, 100%, $E$9)</f>
        <v>38.915100000000002</v>
      </c>
      <c r="M974" s="10">
        <f>CHOOSE(CONTROL!$C$42, 37.8814, 37.8814) * CHOOSE(CONTROL!$C$21, $C$9, 100%, $E$9)</f>
        <v>37.881399999999999</v>
      </c>
      <c r="N974" s="10">
        <f>CHOOSE(CONTROL!$C$42, 37.9031, 37.9031) * CHOOSE(CONTROL!$C$21, $C$9, 100%, $E$9)</f>
        <v>37.903100000000002</v>
      </c>
      <c r="O974" s="10">
        <f>CHOOSE(CONTROL!$C$42, 37.9551, 37.9551) * CHOOSE(CONTROL!$C$21, $C$9, 100%, $E$9)</f>
        <v>37.955100000000002</v>
      </c>
      <c r="P974" s="10">
        <f>CHOOSE(CONTROL!$C$42, 37.8469, 37.8469) * CHOOSE(CONTROL!$C$21, $C$9, 100%, $E$9)</f>
        <v>37.846899999999998</v>
      </c>
      <c r="Q974" s="10">
        <f>CHOOSE(CONTROL!$C$42, 38.5504, 38.5504) * CHOOSE(CONTROL!$C$21, $C$9, 100%, $E$9)</f>
        <v>38.550400000000003</v>
      </c>
      <c r="R974" s="10">
        <f>CHOOSE(CONTROL!$C$42, 39.2338, 39.2338) * CHOOSE(CONTROL!$C$21, $C$9, 100%, $E$9)</f>
        <v>39.233800000000002</v>
      </c>
      <c r="S974" s="10">
        <f>CHOOSE(CONTROL!$C$42, 37.0774, 37.0774) * CHOOSE(CONTROL!$C$21, $C$9, 100%, $E$9)</f>
        <v>37.077399999999997</v>
      </c>
      <c r="T974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974" s="58">
        <f>(1000*CHOOSE(CONTROL!$C$42, 695, 695)*CHOOSE(CONTROL!$C$42, 0.5599, 0.5599)*CHOOSE(CONTROL!$C$42, 28, 28))/1000000</f>
        <v>10.895653999999999</v>
      </c>
      <c r="V974" s="58">
        <f>(1000*CHOOSE(CONTROL!$C$42, 500, 500)*CHOOSE(CONTROL!$C$42, 0.275, 0.275)*CHOOSE(CONTROL!$C$42, 28, 28))/1000000</f>
        <v>3.85</v>
      </c>
      <c r="W974" s="58">
        <f>(1000*CHOOSE(CONTROL!$C$42, 0.1146, 0.1146)*CHOOSE(CONTROL!$C$42, 121.5, 121.5)*CHOOSE(CONTROL!$C$42, 28, 28))/1000000</f>
        <v>0.38986920000000003</v>
      </c>
      <c r="X974" s="58">
        <f>(28*0.1790888*100000/1000000)+(28*0.2374*100000/1000000)</f>
        <v>1.16616864</v>
      </c>
      <c r="Y974" s="58"/>
      <c r="Z974" s="10"/>
      <c r="AA974" s="57"/>
      <c r="AB974" s="51">
        <f>(B974*122.58+C974*297.941+D974*89.177+E974*40.302+F974*40+G974*160+H974*0+I974*100+J974*300)/(122.58+297.941+89.177+40.302+0+40+160+100+300)</f>
        <v>38.23729156391304</v>
      </c>
      <c r="AC974" s="27">
        <f>(M974*'RAP TEMPLATE-GAS AVAILABILITY'!O973+N974*'RAP TEMPLATE-GAS AVAILABILITY'!P973+O974*'RAP TEMPLATE-GAS AVAILABILITY'!Q973+P974*'RAP TEMPLATE-GAS AVAILABILITY'!R973)/('RAP TEMPLATE-GAS AVAILABILITY'!O973+'RAP TEMPLATE-GAS AVAILABILITY'!P973+'RAP TEMPLATE-GAS AVAILABILITY'!Q973+'RAP TEMPLATE-GAS AVAILABILITY'!R973)</f>
        <v>37.91108848920863</v>
      </c>
    </row>
    <row r="975" spans="1:29" ht="15.75" x14ac:dyDescent="0.25">
      <c r="A975" s="13">
        <v>70949</v>
      </c>
      <c r="B975" s="10">
        <f>CHOOSE(CONTROL!$C$42, 37.0991, 37.0991) * CHOOSE(CONTROL!$C$21, $C$9, 100%, $E$9)</f>
        <v>37.0991</v>
      </c>
      <c r="C975" s="10">
        <f>CHOOSE(CONTROL!$C$42, 37.104, 37.104) * CHOOSE(CONTROL!$C$21, $C$9, 100%, $E$9)</f>
        <v>37.103999999999999</v>
      </c>
      <c r="D975" s="10">
        <f>CHOOSE(CONTROL!$C$42, 37.1954, 37.1954) * CHOOSE(CONTROL!$C$21, $C$9, 100%, $E$9)</f>
        <v>37.195399999999999</v>
      </c>
      <c r="E975" s="10">
        <f>CHOOSE(CONTROL!$C$42, 37.2292, 37.2292) * CHOOSE(CONTROL!$C$21, $C$9, 100%, $E$9)</f>
        <v>37.229199999999999</v>
      </c>
      <c r="F975" s="10">
        <f>CHOOSE(CONTROL!$C$42, 37.1289, 37.1289)*CHOOSE(CONTROL!$C$21, $C$9, 100%, $E$9)</f>
        <v>37.128900000000002</v>
      </c>
      <c r="G975" s="10">
        <f>CHOOSE(CONTROL!$C$42, 37.1484, 37.1484)*CHOOSE(CONTROL!$C$21, $C$9, 100%, $E$9)</f>
        <v>37.148400000000002</v>
      </c>
      <c r="H975" s="10">
        <f>CHOOSE(CONTROL!$C$42, 37.2184, 37.2184) * CHOOSE(CONTROL!$C$21, $C$9, 100%, $E$9)</f>
        <v>37.218400000000003</v>
      </c>
      <c r="I975" s="10">
        <f>CHOOSE(CONTROL!$C$42, 37.1219, 37.1219)* CHOOSE(CONTROL!$C$21, $C$9, 100%, $E$9)</f>
        <v>37.121899999999997</v>
      </c>
      <c r="J975" s="10">
        <f>CHOOSE(CONTROL!$C$42, 37.1219, 37.1219)* CHOOSE(CONTROL!$C$21, $C$9, 100%, $E$9)</f>
        <v>37.121899999999997</v>
      </c>
      <c r="K975" s="54">
        <f>CHOOSE(CONTROL!$C$42, 37.118, 37.118) * CHOOSE(CONTROL!$C$21, $C$9, 100%, $E$9)</f>
        <v>37.118000000000002</v>
      </c>
      <c r="L975" s="10">
        <f>CHOOSE(CONTROL!$C$42, 37.8054, 37.8054) * CHOOSE(CONTROL!$C$21, $C$9, 100%, $E$9)</f>
        <v>37.805399999999999</v>
      </c>
      <c r="M975" s="10">
        <f>CHOOSE(CONTROL!$C$42, 36.7611, 36.7611) * CHOOSE(CONTROL!$C$21, $C$9, 100%, $E$9)</f>
        <v>36.761099999999999</v>
      </c>
      <c r="N975" s="10">
        <f>CHOOSE(CONTROL!$C$42, 36.7804, 36.7804) * CHOOSE(CONTROL!$C$21, $C$9, 100%, $E$9)</f>
        <v>36.7804</v>
      </c>
      <c r="O975" s="10">
        <f>CHOOSE(CONTROL!$C$42, 36.8566, 36.8566) * CHOOSE(CONTROL!$C$21, $C$9, 100%, $E$9)</f>
        <v>36.8566</v>
      </c>
      <c r="P975" s="10">
        <f>CHOOSE(CONTROL!$C$42, 36.7611, 36.7611) * CHOOSE(CONTROL!$C$21, $C$9, 100%, $E$9)</f>
        <v>36.761099999999999</v>
      </c>
      <c r="Q975" s="10">
        <f>CHOOSE(CONTROL!$C$42, 37.4519, 37.4519) * CHOOSE(CONTROL!$C$21, $C$9, 100%, $E$9)</f>
        <v>37.451900000000002</v>
      </c>
      <c r="R975" s="10">
        <f>CHOOSE(CONTROL!$C$42, 38.1326, 38.1326) * CHOOSE(CONTROL!$C$21, $C$9, 100%, $E$9)</f>
        <v>38.132599999999996</v>
      </c>
      <c r="S975" s="10">
        <f>CHOOSE(CONTROL!$C$42, 36.0248, 36.0248) * CHOOSE(CONTROL!$C$21, $C$9, 100%, $E$9)</f>
        <v>36.024799999999999</v>
      </c>
      <c r="T975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75" s="58">
        <f>(1000*CHOOSE(CONTROL!$C$42, 695, 695)*CHOOSE(CONTROL!$C$42, 0.5599, 0.5599)*CHOOSE(CONTROL!$C$42, 31, 31))/1000000</f>
        <v>12.063045499999998</v>
      </c>
      <c r="V975" s="58">
        <f>(1000*CHOOSE(CONTROL!$C$42, 500, 500)*CHOOSE(CONTROL!$C$42, 0.275, 0.275)*CHOOSE(CONTROL!$C$42, 31, 31))/1000000</f>
        <v>4.2625000000000002</v>
      </c>
      <c r="W975" s="58">
        <f>(1000*CHOOSE(CONTROL!$C$42, 0.1146, 0.1146)*CHOOSE(CONTROL!$C$42, 121.5, 121.5)*CHOOSE(CONTROL!$C$42, 31, 31))/1000000</f>
        <v>0.43164089999999994</v>
      </c>
      <c r="X975" s="58">
        <f>(31*0.1790888*100000/1000000)+(31*0.2374*100000/1000000)</f>
        <v>1.2911152800000001</v>
      </c>
      <c r="Y975" s="58"/>
      <c r="Z975" s="10"/>
      <c r="AA975" s="57"/>
      <c r="AB975" s="51">
        <f>(B975*122.58+C975*297.941+D975*89.177+E975*40.302+F975*40+G975*160+H975*0+I975*100+J975*300)/(122.58+297.941+89.177+40.302+0+40+160+100+300)</f>
        <v>37.128222561913049</v>
      </c>
      <c r="AC975" s="27">
        <f>(M975*'RAP TEMPLATE-GAS AVAILABILITY'!O974+N975*'RAP TEMPLATE-GAS AVAILABILITY'!P974+O975*'RAP TEMPLATE-GAS AVAILABILITY'!Q974+P975*'RAP TEMPLATE-GAS AVAILABILITY'!R974)/('RAP TEMPLATE-GAS AVAILABILITY'!O974+'RAP TEMPLATE-GAS AVAILABILITY'!P974+'RAP TEMPLATE-GAS AVAILABILITY'!Q974+'RAP TEMPLATE-GAS AVAILABILITY'!R974)</f>
        <v>36.805494964028782</v>
      </c>
    </row>
    <row r="976" spans="1:29" ht="15.75" x14ac:dyDescent="0.25">
      <c r="A976" s="13">
        <v>70979</v>
      </c>
      <c r="B976" s="10">
        <f>CHOOSE(CONTROL!$C$42, 36.9888, 36.9888) * CHOOSE(CONTROL!$C$21, $C$9, 100%, $E$9)</f>
        <v>36.988799999999998</v>
      </c>
      <c r="C976" s="10">
        <f>CHOOSE(CONTROL!$C$42, 36.9932, 36.9932) * CHOOSE(CONTROL!$C$21, $C$9, 100%, $E$9)</f>
        <v>36.993200000000002</v>
      </c>
      <c r="D976" s="10">
        <f>CHOOSE(CONTROL!$C$42, 37.1748, 37.1748) * CHOOSE(CONTROL!$C$21, $C$9, 100%, $E$9)</f>
        <v>37.174799999999998</v>
      </c>
      <c r="E976" s="10">
        <f>CHOOSE(CONTROL!$C$42, 37.2066, 37.2066) * CHOOSE(CONTROL!$C$21, $C$9, 100%, $E$9)</f>
        <v>37.206600000000002</v>
      </c>
      <c r="F976" s="10">
        <f>CHOOSE(CONTROL!$C$42, 36.9771, 36.9771)*CHOOSE(CONTROL!$C$21, $C$9, 100%, $E$9)</f>
        <v>36.9771</v>
      </c>
      <c r="G976" s="10">
        <f>CHOOSE(CONTROL!$C$42, 36.9951, 36.9951)*CHOOSE(CONTROL!$C$21, $C$9, 100%, $E$9)</f>
        <v>36.995100000000001</v>
      </c>
      <c r="H976" s="10">
        <f>CHOOSE(CONTROL!$C$42, 37.1964, 37.1964) * CHOOSE(CONTROL!$C$21, $C$9, 100%, $E$9)</f>
        <v>37.196399999999997</v>
      </c>
      <c r="I976" s="10">
        <f>CHOOSE(CONTROL!$C$42, 36.9671, 36.9671)* CHOOSE(CONTROL!$C$21, $C$9, 100%, $E$9)</f>
        <v>36.967100000000002</v>
      </c>
      <c r="J976" s="10">
        <f>CHOOSE(CONTROL!$C$42, 36.9701, 36.9701)* CHOOSE(CONTROL!$C$21, $C$9, 100%, $E$9)</f>
        <v>36.970100000000002</v>
      </c>
      <c r="K976" s="54">
        <f>CHOOSE(CONTROL!$C$42, 36.9632, 36.9632) * CHOOSE(CONTROL!$C$21, $C$9, 100%, $E$9)</f>
        <v>36.963200000000001</v>
      </c>
      <c r="L976" s="10">
        <f>CHOOSE(CONTROL!$C$42, 37.7834, 37.7834) * CHOOSE(CONTROL!$C$21, $C$9, 100%, $E$9)</f>
        <v>37.7834</v>
      </c>
      <c r="M976" s="10">
        <f>CHOOSE(CONTROL!$C$42, 36.6109, 36.6109) * CHOOSE(CONTROL!$C$21, $C$9, 100%, $E$9)</f>
        <v>36.610900000000001</v>
      </c>
      <c r="N976" s="10">
        <f>CHOOSE(CONTROL!$C$42, 36.6287, 36.6287) * CHOOSE(CONTROL!$C$21, $C$9, 100%, $E$9)</f>
        <v>36.628700000000002</v>
      </c>
      <c r="O976" s="10">
        <f>CHOOSE(CONTROL!$C$42, 36.8349, 36.8349) * CHOOSE(CONTROL!$C$21, $C$9, 100%, $E$9)</f>
        <v>36.834899999999998</v>
      </c>
      <c r="P976" s="10">
        <f>CHOOSE(CONTROL!$C$42, 36.6079, 36.6079) * CHOOSE(CONTROL!$C$21, $C$9, 100%, $E$9)</f>
        <v>36.607900000000001</v>
      </c>
      <c r="Q976" s="10">
        <f>CHOOSE(CONTROL!$C$42, 37.4302, 37.4302) * CHOOSE(CONTROL!$C$21, $C$9, 100%, $E$9)</f>
        <v>37.430199999999999</v>
      </c>
      <c r="R976" s="10">
        <f>CHOOSE(CONTROL!$C$42, 38.1107, 38.1107) * CHOOSE(CONTROL!$C$21, $C$9, 100%, $E$9)</f>
        <v>38.110700000000001</v>
      </c>
      <c r="S976" s="10">
        <f>CHOOSE(CONTROL!$C$42, 35.9169, 35.9169) * CHOOSE(CONTROL!$C$21, $C$9, 100%, $E$9)</f>
        <v>35.916899999999998</v>
      </c>
      <c r="T976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976" s="58">
        <f>(1000*CHOOSE(CONTROL!$C$42, 695, 695)*CHOOSE(CONTROL!$C$42, 0.5599, 0.5599)*CHOOSE(CONTROL!$C$42, 30, 30))/1000000</f>
        <v>11.673914999999997</v>
      </c>
      <c r="V976" s="58">
        <f>(1000*CHOOSE(CONTROL!$C$42, 500, 500)*CHOOSE(CONTROL!$C$42, 0.275, 0.275)*CHOOSE(CONTROL!$C$42, 30, 30))/1000000</f>
        <v>4.125</v>
      </c>
      <c r="W976" s="58">
        <f>(1000*CHOOSE(CONTROL!$C$42, 0.1146, 0.1146)*CHOOSE(CONTROL!$C$42, 121.5, 121.5)*CHOOSE(CONTROL!$C$42, 30, 30))/1000000</f>
        <v>0.417717</v>
      </c>
      <c r="X976" s="58">
        <f>(30*0.1790888*245000/1000000)+(30*0.2374*100000/1000000)</f>
        <v>2.0285026799999999</v>
      </c>
      <c r="Y976" s="58"/>
      <c r="Z976" s="10"/>
      <c r="AA976" s="57"/>
      <c r="AB976" s="51">
        <f>(B976*141.293+C976*267.993+D976*115.016+E976*89.698+F976*40+G976*185+H976*0+I976*100+J976*300)/(141.293+267.993+115.016+89.698+0+40+185+100+300)</f>
        <v>37.017069466989504</v>
      </c>
      <c r="AC976" s="27">
        <f>(M976*'RAP TEMPLATE-GAS AVAILABILITY'!O975+N976*'RAP TEMPLATE-GAS AVAILABILITY'!P975+O976*'RAP TEMPLATE-GAS AVAILABILITY'!Q975+P976*'RAP TEMPLATE-GAS AVAILABILITY'!R975)/('RAP TEMPLATE-GAS AVAILABILITY'!O975+'RAP TEMPLATE-GAS AVAILABILITY'!P975+'RAP TEMPLATE-GAS AVAILABILITY'!Q975+'RAP TEMPLATE-GAS AVAILABILITY'!R975)</f>
        <v>36.713017985611515</v>
      </c>
    </row>
    <row r="977" spans="1:29" ht="15.75" x14ac:dyDescent="0.25">
      <c r="A977" s="13">
        <v>71010</v>
      </c>
      <c r="B977" s="10">
        <f>CHOOSE(CONTROL!$C$42, 37.317, 37.317) * CHOOSE(CONTROL!$C$21, $C$9, 100%, $E$9)</f>
        <v>37.317</v>
      </c>
      <c r="C977" s="10">
        <f>CHOOSE(CONTROL!$C$42, 37.3249, 37.3249) * CHOOSE(CONTROL!$C$21, $C$9, 100%, $E$9)</f>
        <v>37.3249</v>
      </c>
      <c r="D977" s="10">
        <f>CHOOSE(CONTROL!$C$42, 37.5035, 37.5035) * CHOOSE(CONTROL!$C$21, $C$9, 100%, $E$9)</f>
        <v>37.503500000000003</v>
      </c>
      <c r="E977" s="10">
        <f>CHOOSE(CONTROL!$C$42, 37.5346, 37.5346) * CHOOSE(CONTROL!$C$21, $C$9, 100%, $E$9)</f>
        <v>37.534599999999998</v>
      </c>
      <c r="F977" s="10">
        <f>CHOOSE(CONTROL!$C$42, 37.3032, 37.3032)*CHOOSE(CONTROL!$C$21, $C$9, 100%, $E$9)</f>
        <v>37.303199999999997</v>
      </c>
      <c r="G977" s="10">
        <f>CHOOSE(CONTROL!$C$42, 37.3214, 37.3214)*CHOOSE(CONTROL!$C$21, $C$9, 100%, $E$9)</f>
        <v>37.321399999999997</v>
      </c>
      <c r="H977" s="10">
        <f>CHOOSE(CONTROL!$C$42, 37.5232, 37.5232) * CHOOSE(CONTROL!$C$21, $C$9, 100%, $E$9)</f>
        <v>37.523200000000003</v>
      </c>
      <c r="I977" s="10">
        <f>CHOOSE(CONTROL!$C$42, 37.2939, 37.2939)* CHOOSE(CONTROL!$C$21, $C$9, 100%, $E$9)</f>
        <v>37.293900000000001</v>
      </c>
      <c r="J977" s="10">
        <f>CHOOSE(CONTROL!$C$42, 37.2962, 37.2962)* CHOOSE(CONTROL!$C$21, $C$9, 100%, $E$9)</f>
        <v>37.296199999999999</v>
      </c>
      <c r="K977" s="54">
        <f>CHOOSE(CONTROL!$C$42, 37.29, 37.29) * CHOOSE(CONTROL!$C$21, $C$9, 100%, $E$9)</f>
        <v>37.29</v>
      </c>
      <c r="L977" s="10">
        <f>CHOOSE(CONTROL!$C$42, 38.1102, 38.1102) * CHOOSE(CONTROL!$C$21, $C$9, 100%, $E$9)</f>
        <v>38.110199999999999</v>
      </c>
      <c r="M977" s="10">
        <f>CHOOSE(CONTROL!$C$42, 36.9336, 36.9336) * CHOOSE(CONTROL!$C$21, $C$9, 100%, $E$9)</f>
        <v>36.933599999999998</v>
      </c>
      <c r="N977" s="10">
        <f>CHOOSE(CONTROL!$C$42, 36.9516, 36.9516) * CHOOSE(CONTROL!$C$21, $C$9, 100%, $E$9)</f>
        <v>36.951599999999999</v>
      </c>
      <c r="O977" s="10">
        <f>CHOOSE(CONTROL!$C$42, 37.1584, 37.1584) * CHOOSE(CONTROL!$C$21, $C$9, 100%, $E$9)</f>
        <v>37.1584</v>
      </c>
      <c r="P977" s="10">
        <f>CHOOSE(CONTROL!$C$42, 36.9314, 36.9314) * CHOOSE(CONTROL!$C$21, $C$9, 100%, $E$9)</f>
        <v>36.931399999999996</v>
      </c>
      <c r="Q977" s="10">
        <f>CHOOSE(CONTROL!$C$42, 37.7537, 37.7537) * CHOOSE(CONTROL!$C$21, $C$9, 100%, $E$9)</f>
        <v>37.753700000000002</v>
      </c>
      <c r="R977" s="10">
        <f>CHOOSE(CONTROL!$C$42, 38.4351, 38.4351) * CHOOSE(CONTROL!$C$21, $C$9, 100%, $E$9)</f>
        <v>38.435099999999998</v>
      </c>
      <c r="S977" s="10">
        <f>CHOOSE(CONTROL!$C$42, 36.2343, 36.2343) * CHOOSE(CONTROL!$C$21, $C$9, 100%, $E$9)</f>
        <v>36.234299999999998</v>
      </c>
      <c r="T977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977" s="58">
        <f>(1000*CHOOSE(CONTROL!$C$42, 695, 695)*CHOOSE(CONTROL!$C$42, 0.5599, 0.5599)*CHOOSE(CONTROL!$C$42, 31, 31))/1000000</f>
        <v>12.063045499999998</v>
      </c>
      <c r="V977" s="58">
        <f>(1000*CHOOSE(CONTROL!$C$42, 500, 500)*CHOOSE(CONTROL!$C$42, 0.275, 0.275)*CHOOSE(CONTROL!$C$42, 31, 31))/1000000</f>
        <v>4.2625000000000002</v>
      </c>
      <c r="W977" s="58">
        <f>(1000*CHOOSE(CONTROL!$C$42, 0.1146, 0.1146)*CHOOSE(CONTROL!$C$42, 121.5, 121.5)*CHOOSE(CONTROL!$C$42, 31, 31))/1000000</f>
        <v>0.43164089999999994</v>
      </c>
      <c r="X977" s="58">
        <f>(31*0.1790888*245000/1000000)+(31*0.2374*100000/1000000)</f>
        <v>2.0961194359999999</v>
      </c>
      <c r="Y977" s="58"/>
      <c r="Z977" s="10"/>
      <c r="AA977" s="57"/>
      <c r="AB977" s="51">
        <f>(B977*194.205+C977*267.466+D977*133.845+E977*53.484+F977*40+G977*185+H977*0+I977*100+J977*300)/(194.205+267.466+133.845+53.484+0+40+185+100+300)</f>
        <v>37.340881626609104</v>
      </c>
      <c r="AC977" s="27">
        <f>(M977*'RAP TEMPLATE-GAS AVAILABILITY'!O976+N977*'RAP TEMPLATE-GAS AVAILABILITY'!P976+O977*'RAP TEMPLATE-GAS AVAILABILITY'!Q976+P977*'RAP TEMPLATE-GAS AVAILABILITY'!R976)/('RAP TEMPLATE-GAS AVAILABILITY'!O976+'RAP TEMPLATE-GAS AVAILABILITY'!P976+'RAP TEMPLATE-GAS AVAILABILITY'!Q976+'RAP TEMPLATE-GAS AVAILABILITY'!R976)</f>
        <v>37.036207194244604</v>
      </c>
    </row>
    <row r="978" spans="1:29" ht="15.75" x14ac:dyDescent="0.25">
      <c r="A978" s="13">
        <v>71040</v>
      </c>
      <c r="B978" s="10">
        <f>CHOOSE(CONTROL!$C$42, 38.3754, 38.3754) * CHOOSE(CONTROL!$C$21, $C$9, 100%, $E$9)</f>
        <v>38.375399999999999</v>
      </c>
      <c r="C978" s="10">
        <f>CHOOSE(CONTROL!$C$42, 38.3833, 38.3833) * CHOOSE(CONTROL!$C$21, $C$9, 100%, $E$9)</f>
        <v>38.383299999999998</v>
      </c>
      <c r="D978" s="10">
        <f>CHOOSE(CONTROL!$C$42, 38.5619, 38.5619) * CHOOSE(CONTROL!$C$21, $C$9, 100%, $E$9)</f>
        <v>38.561900000000001</v>
      </c>
      <c r="E978" s="10">
        <f>CHOOSE(CONTROL!$C$42, 38.593, 38.593) * CHOOSE(CONTROL!$C$21, $C$9, 100%, $E$9)</f>
        <v>38.593000000000004</v>
      </c>
      <c r="F978" s="10">
        <f>CHOOSE(CONTROL!$C$42, 38.3618, 38.3618)*CHOOSE(CONTROL!$C$21, $C$9, 100%, $E$9)</f>
        <v>38.361800000000002</v>
      </c>
      <c r="G978" s="10">
        <f>CHOOSE(CONTROL!$C$42, 38.3801, 38.3801)*CHOOSE(CONTROL!$C$21, $C$9, 100%, $E$9)</f>
        <v>38.380099999999999</v>
      </c>
      <c r="H978" s="10">
        <f>CHOOSE(CONTROL!$C$42, 38.5816, 38.5816) * CHOOSE(CONTROL!$C$21, $C$9, 100%, $E$9)</f>
        <v>38.581600000000002</v>
      </c>
      <c r="I978" s="10">
        <f>CHOOSE(CONTROL!$C$42, 38.3523, 38.3523)* CHOOSE(CONTROL!$C$21, $C$9, 100%, $E$9)</f>
        <v>38.3523</v>
      </c>
      <c r="J978" s="10">
        <f>CHOOSE(CONTROL!$C$42, 38.3548, 38.3548)* CHOOSE(CONTROL!$C$21, $C$9, 100%, $E$9)</f>
        <v>38.354799999999997</v>
      </c>
      <c r="K978" s="54">
        <f>CHOOSE(CONTROL!$C$42, 38.3484, 38.3484) * CHOOSE(CONTROL!$C$21, $C$9, 100%, $E$9)</f>
        <v>38.348399999999998</v>
      </c>
      <c r="L978" s="10">
        <f>CHOOSE(CONTROL!$C$42, 39.1686, 39.1686) * CHOOSE(CONTROL!$C$21, $C$9, 100%, $E$9)</f>
        <v>39.168599999999998</v>
      </c>
      <c r="M978" s="10">
        <f>CHOOSE(CONTROL!$C$42, 37.9816, 37.9816) * CHOOSE(CONTROL!$C$21, $C$9, 100%, $E$9)</f>
        <v>37.9816</v>
      </c>
      <c r="N978" s="10">
        <f>CHOOSE(CONTROL!$C$42, 37.9997, 37.9997) * CHOOSE(CONTROL!$C$21, $C$9, 100%, $E$9)</f>
        <v>37.999699999999997</v>
      </c>
      <c r="O978" s="10">
        <f>CHOOSE(CONTROL!$C$42, 38.2061, 38.2061) * CHOOSE(CONTROL!$C$21, $C$9, 100%, $E$9)</f>
        <v>38.206099999999999</v>
      </c>
      <c r="P978" s="10">
        <f>CHOOSE(CONTROL!$C$42, 37.9791, 37.9791) * CHOOSE(CONTROL!$C$21, $C$9, 100%, $E$9)</f>
        <v>37.979100000000003</v>
      </c>
      <c r="Q978" s="10">
        <f>CHOOSE(CONTROL!$C$42, 38.8014, 38.8014) * CHOOSE(CONTROL!$C$21, $C$9, 100%, $E$9)</f>
        <v>38.801400000000001</v>
      </c>
      <c r="R978" s="10">
        <f>CHOOSE(CONTROL!$C$42, 39.4854, 39.4854) * CHOOSE(CONTROL!$C$21, $C$9, 100%, $E$9)</f>
        <v>39.485399999999998</v>
      </c>
      <c r="S978" s="10">
        <f>CHOOSE(CONTROL!$C$42, 37.2621, 37.2621) * CHOOSE(CONTROL!$C$21, $C$9, 100%, $E$9)</f>
        <v>37.262099999999997</v>
      </c>
      <c r="T978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78" s="58">
        <f>(1000*CHOOSE(CONTROL!$C$42, 695, 695)*CHOOSE(CONTROL!$C$42, 0.5599, 0.5599)*CHOOSE(CONTROL!$C$42, 30, 30))/1000000</f>
        <v>11.673914999999997</v>
      </c>
      <c r="V978" s="58">
        <f>(1000*CHOOSE(CONTROL!$C$42, 500, 500)*CHOOSE(CONTROL!$C$42, 0.275, 0.275)*CHOOSE(CONTROL!$C$42, 30, 30))/1000000</f>
        <v>4.125</v>
      </c>
      <c r="W978" s="58">
        <f>(1000*CHOOSE(CONTROL!$C$42, 0.1146, 0.1146)*CHOOSE(CONTROL!$C$42, 121.5, 121.5)*CHOOSE(CONTROL!$C$42, 30, 30))/1000000</f>
        <v>0.417717</v>
      </c>
      <c r="X978" s="58">
        <f>(30*0.1790888*245000/1000000)+(30*0.2374*100000/1000000)</f>
        <v>2.0285026799999999</v>
      </c>
      <c r="Y978" s="58"/>
      <c r="Z978" s="10"/>
      <c r="AA978" s="57"/>
      <c r="AB978" s="51">
        <f>(B978*194.205+C978*267.466+D978*133.845+E978*53.484+F978*40+G978*185+H978*0+I978*100+J978*300)/(194.205+267.466+133.845+53.484+0+40+185+100+300)</f>
        <v>38.399378565384616</v>
      </c>
      <c r="AC978" s="27">
        <f>(M978*'RAP TEMPLATE-GAS AVAILABILITY'!O977+N978*'RAP TEMPLATE-GAS AVAILABILITY'!P977+O978*'RAP TEMPLATE-GAS AVAILABILITY'!Q977+P978*'RAP TEMPLATE-GAS AVAILABILITY'!R977)/('RAP TEMPLATE-GAS AVAILABILITY'!O977+'RAP TEMPLATE-GAS AVAILABILITY'!P977+'RAP TEMPLATE-GAS AVAILABILITY'!Q977+'RAP TEMPLATE-GAS AVAILABILITY'!R977)</f>
        <v>38.084033812949642</v>
      </c>
    </row>
    <row r="979" spans="1:29" ht="15.75" x14ac:dyDescent="0.25">
      <c r="A979" s="13">
        <v>71071</v>
      </c>
      <c r="B979" s="10">
        <f>CHOOSE(CONTROL!$C$42, 37.6393, 37.6393) * CHOOSE(CONTROL!$C$21, $C$9, 100%, $E$9)</f>
        <v>37.639299999999999</v>
      </c>
      <c r="C979" s="10">
        <f>CHOOSE(CONTROL!$C$42, 37.6472, 37.6472) * CHOOSE(CONTROL!$C$21, $C$9, 100%, $E$9)</f>
        <v>37.647199999999998</v>
      </c>
      <c r="D979" s="10">
        <f>CHOOSE(CONTROL!$C$42, 37.8257, 37.8257) * CHOOSE(CONTROL!$C$21, $C$9, 100%, $E$9)</f>
        <v>37.825699999999998</v>
      </c>
      <c r="E979" s="10">
        <f>CHOOSE(CONTROL!$C$42, 37.8569, 37.8569) * CHOOSE(CONTROL!$C$21, $C$9, 100%, $E$9)</f>
        <v>37.856900000000003</v>
      </c>
      <c r="F979" s="10">
        <f>CHOOSE(CONTROL!$C$42, 37.626, 37.626)*CHOOSE(CONTROL!$C$21, $C$9, 100%, $E$9)</f>
        <v>37.625999999999998</v>
      </c>
      <c r="G979" s="10">
        <f>CHOOSE(CONTROL!$C$42, 37.6443, 37.6443)*CHOOSE(CONTROL!$C$21, $C$9, 100%, $E$9)</f>
        <v>37.644300000000001</v>
      </c>
      <c r="H979" s="10">
        <f>CHOOSE(CONTROL!$C$42, 37.8455, 37.8455) * CHOOSE(CONTROL!$C$21, $C$9, 100%, $E$9)</f>
        <v>37.845500000000001</v>
      </c>
      <c r="I979" s="10">
        <f>CHOOSE(CONTROL!$C$42, 37.6162, 37.6162)* CHOOSE(CONTROL!$C$21, $C$9, 100%, $E$9)</f>
        <v>37.616199999999999</v>
      </c>
      <c r="J979" s="10">
        <f>CHOOSE(CONTROL!$C$42, 37.619, 37.619)* CHOOSE(CONTROL!$C$21, $C$9, 100%, $E$9)</f>
        <v>37.619</v>
      </c>
      <c r="K979" s="54">
        <f>CHOOSE(CONTROL!$C$42, 37.6123, 37.6123) * CHOOSE(CONTROL!$C$21, $C$9, 100%, $E$9)</f>
        <v>37.612299999999998</v>
      </c>
      <c r="L979" s="10">
        <f>CHOOSE(CONTROL!$C$42, 38.4325, 38.4325) * CHOOSE(CONTROL!$C$21, $C$9, 100%, $E$9)</f>
        <v>38.432499999999997</v>
      </c>
      <c r="M979" s="10">
        <f>CHOOSE(CONTROL!$C$42, 37.2532, 37.2532) * CHOOSE(CONTROL!$C$21, $C$9, 100%, $E$9)</f>
        <v>37.2532</v>
      </c>
      <c r="N979" s="10">
        <f>CHOOSE(CONTROL!$C$42, 37.2713, 37.2713) * CHOOSE(CONTROL!$C$21, $C$9, 100%, $E$9)</f>
        <v>37.271299999999997</v>
      </c>
      <c r="O979" s="10">
        <f>CHOOSE(CONTROL!$C$42, 37.4774, 37.4774) * CHOOSE(CONTROL!$C$21, $C$9, 100%, $E$9)</f>
        <v>37.477400000000003</v>
      </c>
      <c r="P979" s="10">
        <f>CHOOSE(CONTROL!$C$42, 37.2504, 37.2504) * CHOOSE(CONTROL!$C$21, $C$9, 100%, $E$9)</f>
        <v>37.250399999999999</v>
      </c>
      <c r="Q979" s="10">
        <f>CHOOSE(CONTROL!$C$42, 38.0727, 38.0727) * CHOOSE(CONTROL!$C$21, $C$9, 100%, $E$9)</f>
        <v>38.072699999999998</v>
      </c>
      <c r="R979" s="10">
        <f>CHOOSE(CONTROL!$C$42, 38.7549, 38.7549) * CHOOSE(CONTROL!$C$21, $C$9, 100%, $E$9)</f>
        <v>38.754899999999999</v>
      </c>
      <c r="S979" s="10">
        <f>CHOOSE(CONTROL!$C$42, 36.5473, 36.5473) * CHOOSE(CONTROL!$C$21, $C$9, 100%, $E$9)</f>
        <v>36.5473</v>
      </c>
      <c r="T979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79" s="58">
        <f>(1000*CHOOSE(CONTROL!$C$42, 695, 695)*CHOOSE(CONTROL!$C$42, 0.5599, 0.5599)*CHOOSE(CONTROL!$C$42, 31, 31))/1000000</f>
        <v>12.063045499999998</v>
      </c>
      <c r="V979" s="58">
        <f>(1000*CHOOSE(CONTROL!$C$42, 500, 500)*CHOOSE(CONTROL!$C$42, 0.275, 0.275)*CHOOSE(CONTROL!$C$42, 31, 31))/1000000</f>
        <v>4.2625000000000002</v>
      </c>
      <c r="W979" s="58">
        <f>(1000*CHOOSE(CONTROL!$C$42, 0.1146, 0.1146)*CHOOSE(CONTROL!$C$42, 121.5, 121.5)*CHOOSE(CONTROL!$C$42, 31, 31))/1000000</f>
        <v>0.43164089999999994</v>
      </c>
      <c r="X979" s="58">
        <f>(31*0.1790888*245000/1000000)+(31*0.2374*100000/1000000)</f>
        <v>2.0961194359999999</v>
      </c>
      <c r="Y979" s="58"/>
      <c r="Z979" s="10"/>
      <c r="AA979" s="57"/>
      <c r="AB979" s="51">
        <f>(B979*194.205+C979*267.466+D979*133.845+E979*53.484+F979*40+G979*185+H979*0+I979*100+J979*300)/(194.205+267.466+133.845+53.484+0+40+185+100+300)</f>
        <v>37.663391685871275</v>
      </c>
      <c r="AC979" s="27">
        <f>(M979*'RAP TEMPLATE-GAS AVAILABILITY'!O978+N979*'RAP TEMPLATE-GAS AVAILABILITY'!P978+O979*'RAP TEMPLATE-GAS AVAILABILITY'!Q978+P979*'RAP TEMPLATE-GAS AVAILABILITY'!R978)/('RAP TEMPLATE-GAS AVAILABILITY'!O978+'RAP TEMPLATE-GAS AVAILABILITY'!P978+'RAP TEMPLATE-GAS AVAILABILITY'!Q978+'RAP TEMPLATE-GAS AVAILABILITY'!R978)</f>
        <v>37.355454676258994</v>
      </c>
    </row>
    <row r="980" spans="1:29" ht="15.75" x14ac:dyDescent="0.25">
      <c r="A980" s="13">
        <v>71102</v>
      </c>
      <c r="B980" s="10">
        <f>CHOOSE(CONTROL!$C$42, 35.7804, 35.7804) * CHOOSE(CONTROL!$C$21, $C$9, 100%, $E$9)</f>
        <v>35.7804</v>
      </c>
      <c r="C980" s="10">
        <f>CHOOSE(CONTROL!$C$42, 35.7883, 35.7883) * CHOOSE(CONTROL!$C$21, $C$9, 100%, $E$9)</f>
        <v>35.7883</v>
      </c>
      <c r="D980" s="10">
        <f>CHOOSE(CONTROL!$C$42, 35.9668, 35.9668) * CHOOSE(CONTROL!$C$21, $C$9, 100%, $E$9)</f>
        <v>35.966799999999999</v>
      </c>
      <c r="E980" s="10">
        <f>CHOOSE(CONTROL!$C$42, 35.9979, 35.9979) * CHOOSE(CONTROL!$C$21, $C$9, 100%, $E$9)</f>
        <v>35.997900000000001</v>
      </c>
      <c r="F980" s="10">
        <f>CHOOSE(CONTROL!$C$42, 35.767, 35.767)*CHOOSE(CONTROL!$C$21, $C$9, 100%, $E$9)</f>
        <v>35.767000000000003</v>
      </c>
      <c r="G980" s="10">
        <f>CHOOSE(CONTROL!$C$42, 35.7853, 35.7853)*CHOOSE(CONTROL!$C$21, $C$9, 100%, $E$9)</f>
        <v>35.785299999999999</v>
      </c>
      <c r="H980" s="10">
        <f>CHOOSE(CONTROL!$C$42, 35.9866, 35.9866) * CHOOSE(CONTROL!$C$21, $C$9, 100%, $E$9)</f>
        <v>35.986600000000003</v>
      </c>
      <c r="I980" s="10">
        <f>CHOOSE(CONTROL!$C$42, 35.7572, 35.7572)* CHOOSE(CONTROL!$C$21, $C$9, 100%, $E$9)</f>
        <v>35.757199999999997</v>
      </c>
      <c r="J980" s="10">
        <f>CHOOSE(CONTROL!$C$42, 35.76, 35.76)* CHOOSE(CONTROL!$C$21, $C$9, 100%, $E$9)</f>
        <v>35.76</v>
      </c>
      <c r="K980" s="54">
        <f>CHOOSE(CONTROL!$C$42, 35.7533, 35.7533) * CHOOSE(CONTROL!$C$21, $C$9, 100%, $E$9)</f>
        <v>35.753300000000003</v>
      </c>
      <c r="L980" s="10">
        <f>CHOOSE(CONTROL!$C$42, 36.5736, 36.5736) * CHOOSE(CONTROL!$C$21, $C$9, 100%, $E$9)</f>
        <v>36.573599999999999</v>
      </c>
      <c r="M980" s="10">
        <f>CHOOSE(CONTROL!$C$42, 35.413, 35.413) * CHOOSE(CONTROL!$C$21, $C$9, 100%, $E$9)</f>
        <v>35.412999999999997</v>
      </c>
      <c r="N980" s="10">
        <f>CHOOSE(CONTROL!$C$42, 35.4311, 35.4311) * CHOOSE(CONTROL!$C$21, $C$9, 100%, $E$9)</f>
        <v>35.431100000000001</v>
      </c>
      <c r="O980" s="10">
        <f>CHOOSE(CONTROL!$C$42, 35.6372, 35.6372) * CHOOSE(CONTROL!$C$21, $C$9, 100%, $E$9)</f>
        <v>35.6372</v>
      </c>
      <c r="P980" s="10">
        <f>CHOOSE(CONTROL!$C$42, 35.4102, 35.4102) * CHOOSE(CONTROL!$C$21, $C$9, 100%, $E$9)</f>
        <v>35.410200000000003</v>
      </c>
      <c r="Q980" s="10">
        <f>CHOOSE(CONTROL!$C$42, 36.2325, 36.2325) * CHOOSE(CONTROL!$C$21, $C$9, 100%, $E$9)</f>
        <v>36.232500000000002</v>
      </c>
      <c r="R980" s="10">
        <f>CHOOSE(CONTROL!$C$42, 36.9101, 36.9101) * CHOOSE(CONTROL!$C$21, $C$9, 100%, $E$9)</f>
        <v>36.9101</v>
      </c>
      <c r="S980" s="10">
        <f>CHOOSE(CONTROL!$C$42, 34.7421, 34.7421) * CHOOSE(CONTROL!$C$21, $C$9, 100%, $E$9)</f>
        <v>34.742100000000001</v>
      </c>
      <c r="T980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80" s="58">
        <f>(1000*CHOOSE(CONTROL!$C$42, 695, 695)*CHOOSE(CONTROL!$C$42, 0.5599, 0.5599)*CHOOSE(CONTROL!$C$42, 31, 31))/1000000</f>
        <v>12.063045499999998</v>
      </c>
      <c r="V980" s="58">
        <f>(1000*CHOOSE(CONTROL!$C$42, 500, 500)*CHOOSE(CONTROL!$C$42, 0.275, 0.275)*CHOOSE(CONTROL!$C$42, 31, 31))/1000000</f>
        <v>4.2625000000000002</v>
      </c>
      <c r="W980" s="58">
        <f>(1000*CHOOSE(CONTROL!$C$42, 0.1146, 0.1146)*CHOOSE(CONTROL!$C$42, 121.5, 121.5)*CHOOSE(CONTROL!$C$42, 31, 31))/1000000</f>
        <v>0.43164089999999994</v>
      </c>
      <c r="X980" s="58">
        <f>(31*0.1790888*245000/1000000)+(31*0.2374*100000/1000000)</f>
        <v>2.0961194359999999</v>
      </c>
      <c r="Y980" s="58"/>
      <c r="Z980" s="10"/>
      <c r="AA980" s="57"/>
      <c r="AB980" s="51">
        <f>(B980*194.205+C980*267.466+D980*133.845+E980*53.484+F980*40+G980*185+H980*0+I980*100+J980*300)/(194.205+267.466+133.845+53.484+0+40+185+100+300)</f>
        <v>35.804438429670334</v>
      </c>
      <c r="AC980" s="27">
        <f>(M980*'RAP TEMPLATE-GAS AVAILABILITY'!O979+N980*'RAP TEMPLATE-GAS AVAILABILITY'!P979+O980*'RAP TEMPLATE-GAS AVAILABILITY'!Q979+P980*'RAP TEMPLATE-GAS AVAILABILITY'!R979)/('RAP TEMPLATE-GAS AVAILABILITY'!O979+'RAP TEMPLATE-GAS AVAILABILITY'!P979+'RAP TEMPLATE-GAS AVAILABILITY'!Q979+'RAP TEMPLATE-GAS AVAILABILITY'!R979)</f>
        <v>35.515254676258998</v>
      </c>
    </row>
    <row r="981" spans="1:29" ht="15.75" x14ac:dyDescent="0.25">
      <c r="A981" s="13">
        <v>71132</v>
      </c>
      <c r="B981" s="10">
        <f>CHOOSE(CONTROL!$C$42, 33.5091, 33.5091) * CHOOSE(CONTROL!$C$21, $C$9, 100%, $E$9)</f>
        <v>33.509099999999997</v>
      </c>
      <c r="C981" s="10">
        <f>CHOOSE(CONTROL!$C$42, 33.517, 33.517) * CHOOSE(CONTROL!$C$21, $C$9, 100%, $E$9)</f>
        <v>33.517000000000003</v>
      </c>
      <c r="D981" s="10">
        <f>CHOOSE(CONTROL!$C$42, 33.6955, 33.6955) * CHOOSE(CONTROL!$C$21, $C$9, 100%, $E$9)</f>
        <v>33.695500000000003</v>
      </c>
      <c r="E981" s="10">
        <f>CHOOSE(CONTROL!$C$42, 33.7267, 33.7267) * CHOOSE(CONTROL!$C$21, $C$9, 100%, $E$9)</f>
        <v>33.726700000000001</v>
      </c>
      <c r="F981" s="10">
        <f>CHOOSE(CONTROL!$C$42, 33.4955, 33.4955)*CHOOSE(CONTROL!$C$21, $C$9, 100%, $E$9)</f>
        <v>33.4955</v>
      </c>
      <c r="G981" s="10">
        <f>CHOOSE(CONTROL!$C$42, 33.5137, 33.5137)*CHOOSE(CONTROL!$C$21, $C$9, 100%, $E$9)</f>
        <v>33.5137</v>
      </c>
      <c r="H981" s="10">
        <f>CHOOSE(CONTROL!$C$42, 33.7153, 33.7153) * CHOOSE(CONTROL!$C$21, $C$9, 100%, $E$9)</f>
        <v>33.715299999999999</v>
      </c>
      <c r="I981" s="10">
        <f>CHOOSE(CONTROL!$C$42, 33.486, 33.486)* CHOOSE(CONTROL!$C$21, $C$9, 100%, $E$9)</f>
        <v>33.485999999999997</v>
      </c>
      <c r="J981" s="10">
        <f>CHOOSE(CONTROL!$C$42, 33.4885, 33.4885)* CHOOSE(CONTROL!$C$21, $C$9, 100%, $E$9)</f>
        <v>33.488500000000002</v>
      </c>
      <c r="K981" s="54">
        <f>CHOOSE(CONTROL!$C$42, 33.4821, 33.4821) * CHOOSE(CONTROL!$C$21, $C$9, 100%, $E$9)</f>
        <v>33.482100000000003</v>
      </c>
      <c r="L981" s="10">
        <f>CHOOSE(CONTROL!$C$42, 34.3023, 34.3023) * CHOOSE(CONTROL!$C$21, $C$9, 100%, $E$9)</f>
        <v>34.302300000000002</v>
      </c>
      <c r="M981" s="10">
        <f>CHOOSE(CONTROL!$C$42, 33.1643, 33.1643) * CHOOSE(CONTROL!$C$21, $C$9, 100%, $E$9)</f>
        <v>33.164299999999997</v>
      </c>
      <c r="N981" s="10">
        <f>CHOOSE(CONTROL!$C$42, 33.1824, 33.1824) * CHOOSE(CONTROL!$C$21, $C$9, 100%, $E$9)</f>
        <v>33.182400000000001</v>
      </c>
      <c r="O981" s="10">
        <f>CHOOSE(CONTROL!$C$42, 33.3889, 33.3889) * CHOOSE(CONTROL!$C$21, $C$9, 100%, $E$9)</f>
        <v>33.3889</v>
      </c>
      <c r="P981" s="10">
        <f>CHOOSE(CONTROL!$C$42, 33.1619, 33.1619) * CHOOSE(CONTROL!$C$21, $C$9, 100%, $E$9)</f>
        <v>33.161900000000003</v>
      </c>
      <c r="Q981" s="10">
        <f>CHOOSE(CONTROL!$C$42, 33.9842, 33.9842) * CHOOSE(CONTROL!$C$21, $C$9, 100%, $E$9)</f>
        <v>33.984200000000001</v>
      </c>
      <c r="R981" s="10">
        <f>CHOOSE(CONTROL!$C$42, 34.6562, 34.6562) * CHOOSE(CONTROL!$C$21, $C$9, 100%, $E$9)</f>
        <v>34.656199999999998</v>
      </c>
      <c r="S981" s="10">
        <f>CHOOSE(CONTROL!$C$42, 32.5364, 32.5364) * CHOOSE(CONTROL!$C$21, $C$9, 100%, $E$9)</f>
        <v>32.5364</v>
      </c>
      <c r="T981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81" s="58">
        <f>(1000*CHOOSE(CONTROL!$C$42, 695, 695)*CHOOSE(CONTROL!$C$42, 0.5599, 0.5599)*CHOOSE(CONTROL!$C$42, 30, 30))/1000000</f>
        <v>11.673914999999997</v>
      </c>
      <c r="V981" s="58">
        <f>(1000*CHOOSE(CONTROL!$C$42, 500, 500)*CHOOSE(CONTROL!$C$42, 0.275, 0.275)*CHOOSE(CONTROL!$C$42, 30, 30))/1000000</f>
        <v>4.125</v>
      </c>
      <c r="W981" s="58">
        <f>(1000*CHOOSE(CONTROL!$C$42, 0.1146, 0.1146)*CHOOSE(CONTROL!$C$42, 121.5, 121.5)*CHOOSE(CONTROL!$C$42, 30, 30))/1000000</f>
        <v>0.417717</v>
      </c>
      <c r="X981" s="58">
        <f>(30*0.1790888*245000/1000000)+(30*0.2374*100000/1000000)</f>
        <v>2.0285026799999999</v>
      </c>
      <c r="Y981" s="58"/>
      <c r="Z981" s="10"/>
      <c r="AA981" s="57"/>
      <c r="AB981" s="51">
        <f>(B981*194.205+C981*267.466+D981*133.845+E981*53.484+F981*40+G981*185+H981*0+I981*100+J981*300)/(194.205+267.466+133.845+53.484+0+40+185+100+300)</f>
        <v>33.533053538304557</v>
      </c>
      <c r="AC981" s="27">
        <f>(M981*'RAP TEMPLATE-GAS AVAILABILITY'!O980+N981*'RAP TEMPLATE-GAS AVAILABILITY'!P980+O981*'RAP TEMPLATE-GAS AVAILABILITY'!Q980+P981*'RAP TEMPLATE-GAS AVAILABILITY'!R980)/('RAP TEMPLATE-GAS AVAILABILITY'!O980+'RAP TEMPLATE-GAS AVAILABILITY'!P980+'RAP TEMPLATE-GAS AVAILABILITY'!Q980+'RAP TEMPLATE-GAS AVAILABILITY'!R980)</f>
        <v>33.266793525179864</v>
      </c>
    </row>
    <row r="982" spans="1:29" ht="15.75" x14ac:dyDescent="0.25">
      <c r="A982" s="13">
        <v>71163</v>
      </c>
      <c r="B982" s="10">
        <f>CHOOSE(CONTROL!$C$42, 32.8267, 32.8267) * CHOOSE(CONTROL!$C$21, $C$9, 100%, $E$9)</f>
        <v>32.826700000000002</v>
      </c>
      <c r="C982" s="10">
        <f>CHOOSE(CONTROL!$C$42, 32.8319, 32.8319) * CHOOSE(CONTROL!$C$21, $C$9, 100%, $E$9)</f>
        <v>32.831899999999997</v>
      </c>
      <c r="D982" s="10">
        <f>CHOOSE(CONTROL!$C$42, 33.0154, 33.0154) * CHOOSE(CONTROL!$C$21, $C$9, 100%, $E$9)</f>
        <v>33.0154</v>
      </c>
      <c r="E982" s="10">
        <f>CHOOSE(CONTROL!$C$42, 33.0442, 33.0442) * CHOOSE(CONTROL!$C$21, $C$9, 100%, $E$9)</f>
        <v>33.044199999999996</v>
      </c>
      <c r="F982" s="10">
        <f>CHOOSE(CONTROL!$C$42, 32.815, 32.815)*CHOOSE(CONTROL!$C$21, $C$9, 100%, $E$9)</f>
        <v>32.814999999999998</v>
      </c>
      <c r="G982" s="10">
        <f>CHOOSE(CONTROL!$C$42, 32.8329, 32.8329)*CHOOSE(CONTROL!$C$21, $C$9, 100%, $E$9)</f>
        <v>32.832900000000002</v>
      </c>
      <c r="H982" s="10">
        <f>CHOOSE(CONTROL!$C$42, 33.0347, 33.0347) * CHOOSE(CONTROL!$C$21, $C$9, 100%, $E$9)</f>
        <v>33.034700000000001</v>
      </c>
      <c r="I982" s="10">
        <f>CHOOSE(CONTROL!$C$42, 32.8053, 32.8053)* CHOOSE(CONTROL!$C$21, $C$9, 100%, $E$9)</f>
        <v>32.805300000000003</v>
      </c>
      <c r="J982" s="10">
        <f>CHOOSE(CONTROL!$C$42, 32.808, 32.808)* CHOOSE(CONTROL!$C$21, $C$9, 100%, $E$9)</f>
        <v>32.808</v>
      </c>
      <c r="K982" s="54">
        <f>CHOOSE(CONTROL!$C$42, 32.8014, 32.8014) * CHOOSE(CONTROL!$C$21, $C$9, 100%, $E$9)</f>
        <v>32.801400000000001</v>
      </c>
      <c r="L982" s="10">
        <f>CHOOSE(CONTROL!$C$42, 33.6217, 33.6217) * CHOOSE(CONTROL!$C$21, $C$9, 100%, $E$9)</f>
        <v>33.621699999999997</v>
      </c>
      <c r="M982" s="10">
        <f>CHOOSE(CONTROL!$C$42, 32.4907, 32.4907) * CHOOSE(CONTROL!$C$21, $C$9, 100%, $E$9)</f>
        <v>32.490699999999997</v>
      </c>
      <c r="N982" s="10">
        <f>CHOOSE(CONTROL!$C$42, 32.5085, 32.5085) * CHOOSE(CONTROL!$C$21, $C$9, 100%, $E$9)</f>
        <v>32.508499999999998</v>
      </c>
      <c r="O982" s="10">
        <f>CHOOSE(CONTROL!$C$42, 32.7151, 32.7151) * CHOOSE(CONTROL!$C$21, $C$9, 100%, $E$9)</f>
        <v>32.7151</v>
      </c>
      <c r="P982" s="10">
        <f>CHOOSE(CONTROL!$C$42, 32.4881, 32.4881) * CHOOSE(CONTROL!$C$21, $C$9, 100%, $E$9)</f>
        <v>32.488100000000003</v>
      </c>
      <c r="Q982" s="10">
        <f>CHOOSE(CONTROL!$C$42, 33.3104, 33.3104) * CHOOSE(CONTROL!$C$21, $C$9, 100%, $E$9)</f>
        <v>33.310400000000001</v>
      </c>
      <c r="R982" s="10">
        <f>CHOOSE(CONTROL!$C$42, 33.9807, 33.9807) * CHOOSE(CONTROL!$C$21, $C$9, 100%, $E$9)</f>
        <v>33.980699999999999</v>
      </c>
      <c r="S982" s="10">
        <f>CHOOSE(CONTROL!$C$42, 31.8755, 31.8755) * CHOOSE(CONTROL!$C$21, $C$9, 100%, $E$9)</f>
        <v>31.875499999999999</v>
      </c>
      <c r="T982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82" s="58">
        <f>(1000*CHOOSE(CONTROL!$C$42, 695, 695)*CHOOSE(CONTROL!$C$42, 0.5599, 0.5599)*CHOOSE(CONTROL!$C$42, 31, 31))/1000000</f>
        <v>12.063045499999998</v>
      </c>
      <c r="V982" s="58">
        <f>(1000*CHOOSE(CONTROL!$C$42, 500, 500)*CHOOSE(CONTROL!$C$42, 0.275, 0.275)*CHOOSE(CONTROL!$C$42, 31, 31))/1000000</f>
        <v>4.2625000000000002</v>
      </c>
      <c r="W982" s="58">
        <f>(1000*CHOOSE(CONTROL!$C$42, 0.1146, 0.1146)*CHOOSE(CONTROL!$C$42, 121.5, 121.5)*CHOOSE(CONTROL!$C$42, 31, 31))/1000000</f>
        <v>0.43164089999999994</v>
      </c>
      <c r="X982" s="58">
        <f>(31*0.1790888*245000/1000000)+(31*0.2374*100000/1000000)</f>
        <v>2.0961194359999999</v>
      </c>
      <c r="Y982" s="58"/>
      <c r="Z982" s="10"/>
      <c r="AA982" s="57"/>
      <c r="AB982" s="51">
        <f>(B982*131.881+C982*277.167+D982*79.08+E982*125.872+F982*40+G982*185+H982*0+I982*100+J982*300)/(131.881+277.167+79.08+125.872+0+40+185+100+300)</f>
        <v>32.856296307021786</v>
      </c>
      <c r="AC982" s="27">
        <f>(M982*'RAP TEMPLATE-GAS AVAILABILITY'!O981+N982*'RAP TEMPLATE-GAS AVAILABILITY'!P981+O982*'RAP TEMPLATE-GAS AVAILABILITY'!Q981+P982*'RAP TEMPLATE-GAS AVAILABILITY'!R981)/('RAP TEMPLATE-GAS AVAILABILITY'!O981+'RAP TEMPLATE-GAS AVAILABILITY'!P981+'RAP TEMPLATE-GAS AVAILABILITY'!Q981+'RAP TEMPLATE-GAS AVAILABILITY'!R981)</f>
        <v>32.593056834532369</v>
      </c>
    </row>
    <row r="983" spans="1:29" ht="15.75" x14ac:dyDescent="0.25">
      <c r="A983" s="13">
        <v>71193</v>
      </c>
      <c r="B983" s="10">
        <f>CHOOSE(CONTROL!$C$42, 33.691, 33.691) * CHOOSE(CONTROL!$C$21, $C$9, 100%, $E$9)</f>
        <v>33.691000000000003</v>
      </c>
      <c r="C983" s="10">
        <f>CHOOSE(CONTROL!$C$42, 33.6959, 33.6959) * CHOOSE(CONTROL!$C$21, $C$9, 100%, $E$9)</f>
        <v>33.695900000000002</v>
      </c>
      <c r="D983" s="10">
        <f>CHOOSE(CONTROL!$C$42, 33.7256, 33.7256) * CHOOSE(CONTROL!$C$21, $C$9, 100%, $E$9)</f>
        <v>33.7256</v>
      </c>
      <c r="E983" s="10">
        <f>CHOOSE(CONTROL!$C$42, 33.7593, 33.7593) * CHOOSE(CONTROL!$C$21, $C$9, 100%, $E$9)</f>
        <v>33.759300000000003</v>
      </c>
      <c r="F983" s="10">
        <f>CHOOSE(CONTROL!$C$42, 33.6767, 33.6767)*CHOOSE(CONTROL!$C$21, $C$9, 100%, $E$9)</f>
        <v>33.676699999999997</v>
      </c>
      <c r="G983" s="10">
        <f>CHOOSE(CONTROL!$C$42, 33.6948, 33.6948)*CHOOSE(CONTROL!$C$21, $C$9, 100%, $E$9)</f>
        <v>33.694800000000001</v>
      </c>
      <c r="H983" s="10">
        <f>CHOOSE(CONTROL!$C$42, 33.7485, 33.7485) * CHOOSE(CONTROL!$C$21, $C$9, 100%, $E$9)</f>
        <v>33.7485</v>
      </c>
      <c r="I983" s="10">
        <f>CHOOSE(CONTROL!$C$42, 33.6572, 33.6572)* CHOOSE(CONTROL!$C$21, $C$9, 100%, $E$9)</f>
        <v>33.657200000000003</v>
      </c>
      <c r="J983" s="10">
        <f>CHOOSE(CONTROL!$C$42, 33.6697, 33.6697)* CHOOSE(CONTROL!$C$21, $C$9, 100%, $E$9)</f>
        <v>33.669699999999999</v>
      </c>
      <c r="K983" s="54">
        <f>CHOOSE(CONTROL!$C$42, 33.6533, 33.6533) * CHOOSE(CONTROL!$C$21, $C$9, 100%, $E$9)</f>
        <v>33.653300000000002</v>
      </c>
      <c r="L983" s="10">
        <f>CHOOSE(CONTROL!$C$42, 34.3355, 34.3355) * CHOOSE(CONTROL!$C$21, $C$9, 100%, $E$9)</f>
        <v>34.335500000000003</v>
      </c>
      <c r="M983" s="10">
        <f>CHOOSE(CONTROL!$C$42, 33.3438, 33.3438) * CHOOSE(CONTROL!$C$21, $C$9, 100%, $E$9)</f>
        <v>33.343800000000002</v>
      </c>
      <c r="N983" s="10">
        <f>CHOOSE(CONTROL!$C$42, 33.3616, 33.3616) * CHOOSE(CONTROL!$C$21, $C$9, 100%, $E$9)</f>
        <v>33.361600000000003</v>
      </c>
      <c r="O983" s="10">
        <f>CHOOSE(CONTROL!$C$42, 33.4218, 33.4218) * CHOOSE(CONTROL!$C$21, $C$9, 100%, $E$9)</f>
        <v>33.421799999999998</v>
      </c>
      <c r="P983" s="10">
        <f>CHOOSE(CONTROL!$C$42, 33.3314, 33.3314) * CHOOSE(CONTROL!$C$21, $C$9, 100%, $E$9)</f>
        <v>33.331400000000002</v>
      </c>
      <c r="Q983" s="10">
        <f>CHOOSE(CONTROL!$C$42, 34.0171, 34.0171) * CHOOSE(CONTROL!$C$21, $C$9, 100%, $E$9)</f>
        <v>34.017099999999999</v>
      </c>
      <c r="R983" s="10">
        <f>CHOOSE(CONTROL!$C$42, 34.6891, 34.6891) * CHOOSE(CONTROL!$C$21, $C$9, 100%, $E$9)</f>
        <v>34.689100000000003</v>
      </c>
      <c r="S983" s="10">
        <f>CHOOSE(CONTROL!$C$42, 32.7152, 32.7152) * CHOOSE(CONTROL!$C$21, $C$9, 100%, $E$9)</f>
        <v>32.715200000000003</v>
      </c>
      <c r="T983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83" s="58">
        <f>(1000*CHOOSE(CONTROL!$C$42, 695, 695)*CHOOSE(CONTROL!$C$42, 0.5599, 0.5599)*CHOOSE(CONTROL!$C$42, 30, 30))/1000000</f>
        <v>11.673914999999997</v>
      </c>
      <c r="V983" s="58">
        <f>(1000*CHOOSE(CONTROL!$C$42, 500, 500)*CHOOSE(CONTROL!$C$42, 0.275, 0.275)*CHOOSE(CONTROL!$C$42, 30, 30))/1000000</f>
        <v>4.125</v>
      </c>
      <c r="W983" s="58">
        <f>(1000*CHOOSE(CONTROL!$C$42, 0.1146, 0.1146)*CHOOSE(CONTROL!$C$42, 121.5, 121.5)*CHOOSE(CONTROL!$C$42, 30, 30))/1000000</f>
        <v>0.417717</v>
      </c>
      <c r="X983" s="58">
        <f>(30*0.1790888*100000/1000000)+(30*0.2374*100000/1000000)</f>
        <v>1.2494664</v>
      </c>
      <c r="Y983" s="58"/>
      <c r="Z983" s="10"/>
      <c r="AA983" s="57"/>
      <c r="AB983" s="51">
        <f>(B983*122.58+C983*297.941+D983*89.177+E983*40.302+F983*40+G983*160+H983*0+I983*100+J983*300)/(122.58+297.941+89.177+40.302+0+40+160+100+300)</f>
        <v>33.688881792782603</v>
      </c>
      <c r="AC983" s="27">
        <f>(M983*'RAP TEMPLATE-GAS AVAILABILITY'!O982+N983*'RAP TEMPLATE-GAS AVAILABILITY'!P982+O983*'RAP TEMPLATE-GAS AVAILABILITY'!Q982+P983*'RAP TEMPLATE-GAS AVAILABILITY'!R982)/('RAP TEMPLATE-GAS AVAILABILITY'!O982+'RAP TEMPLATE-GAS AVAILABILITY'!P982+'RAP TEMPLATE-GAS AVAILABILITY'!Q982+'RAP TEMPLATE-GAS AVAILABILITY'!R982)</f>
        <v>33.378392805755396</v>
      </c>
    </row>
    <row r="984" spans="1:29" ht="15.75" x14ac:dyDescent="0.25">
      <c r="A984" s="13">
        <v>71224</v>
      </c>
      <c r="B984" s="10">
        <f>CHOOSE(CONTROL!$C$42, 35.9878, 35.9878) * CHOOSE(CONTROL!$C$21, $C$9, 100%, $E$9)</f>
        <v>35.9878</v>
      </c>
      <c r="C984" s="10">
        <f>CHOOSE(CONTROL!$C$42, 35.9928, 35.9928) * CHOOSE(CONTROL!$C$21, $C$9, 100%, $E$9)</f>
        <v>35.992800000000003</v>
      </c>
      <c r="D984" s="10">
        <f>CHOOSE(CONTROL!$C$42, 36.0224, 36.0224) * CHOOSE(CONTROL!$C$21, $C$9, 100%, $E$9)</f>
        <v>36.022399999999998</v>
      </c>
      <c r="E984" s="10">
        <f>CHOOSE(CONTROL!$C$42, 36.0562, 36.0562) * CHOOSE(CONTROL!$C$21, $C$9, 100%, $E$9)</f>
        <v>36.056199999999997</v>
      </c>
      <c r="F984" s="10">
        <f>CHOOSE(CONTROL!$C$42, 35.9751, 35.9751)*CHOOSE(CONTROL!$C$21, $C$9, 100%, $E$9)</f>
        <v>35.975099999999998</v>
      </c>
      <c r="G984" s="10">
        <f>CHOOSE(CONTROL!$C$42, 35.9936, 35.9936)*CHOOSE(CONTROL!$C$21, $C$9, 100%, $E$9)</f>
        <v>35.993600000000001</v>
      </c>
      <c r="H984" s="10">
        <f>CHOOSE(CONTROL!$C$42, 36.0454, 36.0454) * CHOOSE(CONTROL!$C$21, $C$9, 100%, $E$9)</f>
        <v>36.045400000000001</v>
      </c>
      <c r="I984" s="10">
        <f>CHOOSE(CONTROL!$C$42, 35.954, 35.954)* CHOOSE(CONTROL!$C$21, $C$9, 100%, $E$9)</f>
        <v>35.954000000000001</v>
      </c>
      <c r="J984" s="10">
        <f>CHOOSE(CONTROL!$C$42, 35.9681, 35.9681)* CHOOSE(CONTROL!$C$21, $C$9, 100%, $E$9)</f>
        <v>35.9681</v>
      </c>
      <c r="K984" s="54">
        <f>CHOOSE(CONTROL!$C$42, 35.9501, 35.9501) * CHOOSE(CONTROL!$C$21, $C$9, 100%, $E$9)</f>
        <v>35.950099999999999</v>
      </c>
      <c r="L984" s="10">
        <f>CHOOSE(CONTROL!$C$42, 36.6324, 36.6324) * CHOOSE(CONTROL!$C$21, $C$9, 100%, $E$9)</f>
        <v>36.632399999999997</v>
      </c>
      <c r="M984" s="10">
        <f>CHOOSE(CONTROL!$C$42, 35.619, 35.619) * CHOOSE(CONTROL!$C$21, $C$9, 100%, $E$9)</f>
        <v>35.619</v>
      </c>
      <c r="N984" s="10">
        <f>CHOOSE(CONTROL!$C$42, 35.6372, 35.6372) * CHOOSE(CONTROL!$C$21, $C$9, 100%, $E$9)</f>
        <v>35.6372</v>
      </c>
      <c r="O984" s="10">
        <f>CHOOSE(CONTROL!$C$42, 35.6954, 35.6954) * CHOOSE(CONTROL!$C$21, $C$9, 100%, $E$9)</f>
        <v>35.695399999999999</v>
      </c>
      <c r="P984" s="10">
        <f>CHOOSE(CONTROL!$C$42, 35.605, 35.605) * CHOOSE(CONTROL!$C$21, $C$9, 100%, $E$9)</f>
        <v>35.604999999999997</v>
      </c>
      <c r="Q984" s="10">
        <f>CHOOSE(CONTROL!$C$42, 36.2907, 36.2907) * CHOOSE(CONTROL!$C$21, $C$9, 100%, $E$9)</f>
        <v>36.290700000000001</v>
      </c>
      <c r="R984" s="10">
        <f>CHOOSE(CONTROL!$C$42, 36.9685, 36.9685) * CHOOSE(CONTROL!$C$21, $C$9, 100%, $E$9)</f>
        <v>36.968499999999999</v>
      </c>
      <c r="S984" s="10">
        <f>CHOOSE(CONTROL!$C$42, 34.9456, 34.9456) * CHOOSE(CONTROL!$C$21, $C$9, 100%, $E$9)</f>
        <v>34.945599999999999</v>
      </c>
      <c r="T984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84" s="58">
        <f>(1000*CHOOSE(CONTROL!$C$42, 695, 695)*CHOOSE(CONTROL!$C$42, 0.5599, 0.5599)*CHOOSE(CONTROL!$C$42, 31, 31))/1000000</f>
        <v>12.063045499999998</v>
      </c>
      <c r="V984" s="58">
        <f>(1000*CHOOSE(CONTROL!$C$42, 500, 500)*CHOOSE(CONTROL!$C$42, 0.275, 0.275)*CHOOSE(CONTROL!$C$42, 31, 31))/1000000</f>
        <v>4.2625000000000002</v>
      </c>
      <c r="W984" s="58">
        <f>(1000*CHOOSE(CONTROL!$C$42, 0.1146, 0.1146)*CHOOSE(CONTROL!$C$42, 121.5, 121.5)*CHOOSE(CONTROL!$C$42, 31, 31))/1000000</f>
        <v>0.43164089999999994</v>
      </c>
      <c r="X984" s="58">
        <f>(31*0.1790888*100000/1000000)+(31*0.2374*100000/1000000)</f>
        <v>1.2911152800000001</v>
      </c>
      <c r="Y984" s="58"/>
      <c r="Z984" s="10"/>
      <c r="AA984" s="57"/>
      <c r="AB984" s="51">
        <f>(B984*122.58+C984*297.941+D984*89.177+E984*40.302+F984*40+G984*160+H984*0+I984*100+J984*300)/(122.58+297.941+89.177+40.302+0+40+160+100+300)</f>
        <v>35.986462509565214</v>
      </c>
      <c r="AC984" s="27">
        <f>(M984*'RAP TEMPLATE-GAS AVAILABILITY'!O983+N984*'RAP TEMPLATE-GAS AVAILABILITY'!P983+O984*'RAP TEMPLATE-GAS AVAILABILITY'!Q983+P984*'RAP TEMPLATE-GAS AVAILABILITY'!R983)/('RAP TEMPLATE-GAS AVAILABILITY'!O983+'RAP TEMPLATE-GAS AVAILABILITY'!P983+'RAP TEMPLATE-GAS AVAILABILITY'!Q983+'RAP TEMPLATE-GAS AVAILABILITY'!R983)</f>
        <v>35.652660431654674</v>
      </c>
    </row>
    <row r="985" spans="1:29" ht="15.75" x14ac:dyDescent="0.25">
      <c r="A985" s="13">
        <v>71255</v>
      </c>
      <c r="B985" s="10">
        <f>CHOOSE(CONTROL!$C$42, 38.4166, 38.4166) * CHOOSE(CONTROL!$C$21, $C$9, 100%, $E$9)</f>
        <v>38.416600000000003</v>
      </c>
      <c r="C985" s="10">
        <f>CHOOSE(CONTROL!$C$42, 38.4216, 38.4216) * CHOOSE(CONTROL!$C$21, $C$9, 100%, $E$9)</f>
        <v>38.421599999999998</v>
      </c>
      <c r="D985" s="10">
        <f>CHOOSE(CONTROL!$C$42, 38.4718, 38.4718) * CHOOSE(CONTROL!$C$21, $C$9, 100%, $E$9)</f>
        <v>38.471800000000002</v>
      </c>
      <c r="E985" s="10">
        <f>CHOOSE(CONTROL!$C$42, 38.5055, 38.5055) * CHOOSE(CONTROL!$C$21, $C$9, 100%, $E$9)</f>
        <v>38.505499999999998</v>
      </c>
      <c r="F985" s="10">
        <f>CHOOSE(CONTROL!$C$42, 38.382, 38.382)*CHOOSE(CONTROL!$C$21, $C$9, 100%, $E$9)</f>
        <v>38.381999999999998</v>
      </c>
      <c r="G985" s="10">
        <f>CHOOSE(CONTROL!$C$42, 38.3995, 38.3995)*CHOOSE(CONTROL!$C$21, $C$9, 100%, $E$9)</f>
        <v>38.399500000000003</v>
      </c>
      <c r="H985" s="10">
        <f>CHOOSE(CONTROL!$C$42, 38.4947, 38.4947) * CHOOSE(CONTROL!$C$21, $C$9, 100%, $E$9)</f>
        <v>38.494700000000002</v>
      </c>
      <c r="I985" s="10">
        <f>CHOOSE(CONTROL!$C$42, 38.3905, 38.3905)* CHOOSE(CONTROL!$C$21, $C$9, 100%, $E$9)</f>
        <v>38.390500000000003</v>
      </c>
      <c r="J985" s="10">
        <f>CHOOSE(CONTROL!$C$42, 38.375, 38.375)* CHOOSE(CONTROL!$C$21, $C$9, 100%, $E$9)</f>
        <v>38.375</v>
      </c>
      <c r="K985" s="54">
        <f>CHOOSE(CONTROL!$C$42, 38.3866, 38.3866) * CHOOSE(CONTROL!$C$21, $C$9, 100%, $E$9)</f>
        <v>38.386600000000001</v>
      </c>
      <c r="L985" s="10">
        <f>CHOOSE(CONTROL!$C$42, 39.0817, 39.0817) * CHOOSE(CONTROL!$C$21, $C$9, 100%, $E$9)</f>
        <v>39.081699999999998</v>
      </c>
      <c r="M985" s="10">
        <f>CHOOSE(CONTROL!$C$42, 38.0015, 38.0015) * CHOOSE(CONTROL!$C$21, $C$9, 100%, $E$9)</f>
        <v>38.0015</v>
      </c>
      <c r="N985" s="10">
        <f>CHOOSE(CONTROL!$C$42, 38.0189, 38.0189) * CHOOSE(CONTROL!$C$21, $C$9, 100%, $E$9)</f>
        <v>38.018900000000002</v>
      </c>
      <c r="O985" s="10">
        <f>CHOOSE(CONTROL!$C$42, 38.1201, 38.1201) * CHOOSE(CONTROL!$C$21, $C$9, 100%, $E$9)</f>
        <v>38.120100000000001</v>
      </c>
      <c r="P985" s="10">
        <f>CHOOSE(CONTROL!$C$42, 38.0169, 38.0169) * CHOOSE(CONTROL!$C$21, $C$9, 100%, $E$9)</f>
        <v>38.0169</v>
      </c>
      <c r="Q985" s="10">
        <f>CHOOSE(CONTROL!$C$42, 38.7154, 38.7154) * CHOOSE(CONTROL!$C$21, $C$9, 100%, $E$9)</f>
        <v>38.715400000000002</v>
      </c>
      <c r="R985" s="10">
        <f>CHOOSE(CONTROL!$C$42, 39.3992, 39.3992) * CHOOSE(CONTROL!$C$21, $C$9, 100%, $E$9)</f>
        <v>39.3992</v>
      </c>
      <c r="S985" s="10">
        <f>CHOOSE(CONTROL!$C$42, 37.3042, 37.3042) * CHOOSE(CONTROL!$C$21, $C$9, 100%, $E$9)</f>
        <v>37.304200000000002</v>
      </c>
      <c r="T985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85" s="58">
        <f>(1000*CHOOSE(CONTROL!$C$42, 695, 695)*CHOOSE(CONTROL!$C$42, 0.5599, 0.5599)*CHOOSE(CONTROL!$C$42, 31, 31))/1000000</f>
        <v>12.063045499999998</v>
      </c>
      <c r="V985" s="58">
        <f>(1000*CHOOSE(CONTROL!$C$42, 500, 500)*CHOOSE(CONTROL!$C$42, 0.275, 0.275)*CHOOSE(CONTROL!$C$42, 31, 31))/1000000</f>
        <v>4.2625000000000002</v>
      </c>
      <c r="W985" s="58">
        <f>(1000*CHOOSE(CONTROL!$C$42, 0.1146, 0.1146)*CHOOSE(CONTROL!$C$42, 121.5, 121.5)*CHOOSE(CONTROL!$C$42, 31, 31))/1000000</f>
        <v>0.43164089999999994</v>
      </c>
      <c r="X985" s="58">
        <f>(31*0.1790888*100000/1000000)+(31*0.2374*100000/1000000)</f>
        <v>1.2911152800000001</v>
      </c>
      <c r="Y985" s="58"/>
      <c r="Z985" s="10"/>
      <c r="AA985" s="57"/>
      <c r="AB985" s="51">
        <f>(B985*122.58+C985*297.941+D985*89.177+E985*40.302+F985*40+G985*160+H985*0+I985*100+J985*300)/(122.58+297.941+89.177+40.302+0+40+160+100+300)</f>
        <v>38.40858706365217</v>
      </c>
      <c r="AC985" s="27">
        <f>(M985*'RAP TEMPLATE-GAS AVAILABILITY'!O984+N985*'RAP TEMPLATE-GAS AVAILABILITY'!P984+O985*'RAP TEMPLATE-GAS AVAILABILITY'!Q984+P985*'RAP TEMPLATE-GAS AVAILABILITY'!R984)/('RAP TEMPLATE-GAS AVAILABILITY'!O984+'RAP TEMPLATE-GAS AVAILABILITY'!P984+'RAP TEMPLATE-GAS AVAILABILITY'!Q984+'RAP TEMPLATE-GAS AVAILABILITY'!R984)</f>
        <v>38.058471223021584</v>
      </c>
    </row>
    <row r="986" spans="1:29" ht="15.75" x14ac:dyDescent="0.25">
      <c r="A986" s="13">
        <v>71283</v>
      </c>
      <c r="B986" s="10">
        <f>CHOOSE(CONTROL!$C$42, 39.1004, 39.1004) * CHOOSE(CONTROL!$C$21, $C$9, 100%, $E$9)</f>
        <v>39.1004</v>
      </c>
      <c r="C986" s="10">
        <f>CHOOSE(CONTROL!$C$42, 39.1054, 39.1054) * CHOOSE(CONTROL!$C$21, $C$9, 100%, $E$9)</f>
        <v>39.105400000000003</v>
      </c>
      <c r="D986" s="10">
        <f>CHOOSE(CONTROL!$C$42, 39.2225, 39.2225) * CHOOSE(CONTROL!$C$21, $C$9, 100%, $E$9)</f>
        <v>39.222499999999997</v>
      </c>
      <c r="E986" s="10">
        <f>CHOOSE(CONTROL!$C$42, 39.2563, 39.2563) * CHOOSE(CONTROL!$C$21, $C$9, 100%, $E$9)</f>
        <v>39.256300000000003</v>
      </c>
      <c r="F986" s="10">
        <f>CHOOSE(CONTROL!$C$42, 39.178, 39.178)*CHOOSE(CONTROL!$C$21, $C$9, 100%, $E$9)</f>
        <v>39.177999999999997</v>
      </c>
      <c r="G986" s="10">
        <f>CHOOSE(CONTROL!$C$42, 39.1999, 39.1999)*CHOOSE(CONTROL!$C$21, $C$9, 100%, $E$9)</f>
        <v>39.1999</v>
      </c>
      <c r="H986" s="10">
        <f>CHOOSE(CONTROL!$C$42, 39.2455, 39.2455) * CHOOSE(CONTROL!$C$21, $C$9, 100%, $E$9)</f>
        <v>39.2455</v>
      </c>
      <c r="I986" s="10">
        <f>CHOOSE(CONTROL!$C$42, 39.1361, 39.1361)* CHOOSE(CONTROL!$C$21, $C$9, 100%, $E$9)</f>
        <v>39.136099999999999</v>
      </c>
      <c r="J986" s="10">
        <f>CHOOSE(CONTROL!$C$42, 39.171, 39.171)* CHOOSE(CONTROL!$C$21, $C$9, 100%, $E$9)</f>
        <v>39.170999999999999</v>
      </c>
      <c r="K986" s="54">
        <f>CHOOSE(CONTROL!$C$42, 39.1322, 39.1322) * CHOOSE(CONTROL!$C$21, $C$9, 100%, $E$9)</f>
        <v>39.132199999999997</v>
      </c>
      <c r="L986" s="10">
        <f>CHOOSE(CONTROL!$C$42, 39.8325, 39.8325) * CHOOSE(CONTROL!$C$21, $C$9, 100%, $E$9)</f>
        <v>39.832500000000003</v>
      </c>
      <c r="M986" s="10">
        <f>CHOOSE(CONTROL!$C$42, 38.7895, 38.7895) * CHOOSE(CONTROL!$C$21, $C$9, 100%, $E$9)</f>
        <v>38.789499999999997</v>
      </c>
      <c r="N986" s="10">
        <f>CHOOSE(CONTROL!$C$42, 38.8112, 38.8112) * CHOOSE(CONTROL!$C$21, $C$9, 100%, $E$9)</f>
        <v>38.811199999999999</v>
      </c>
      <c r="O986" s="10">
        <f>CHOOSE(CONTROL!$C$42, 38.8633, 38.8633) * CHOOSE(CONTROL!$C$21, $C$9, 100%, $E$9)</f>
        <v>38.863300000000002</v>
      </c>
      <c r="P986" s="10">
        <f>CHOOSE(CONTROL!$C$42, 38.755, 38.755) * CHOOSE(CONTROL!$C$21, $C$9, 100%, $E$9)</f>
        <v>38.755000000000003</v>
      </c>
      <c r="Q986" s="10">
        <f>CHOOSE(CONTROL!$C$42, 39.4586, 39.4586) * CHOOSE(CONTROL!$C$21, $C$9, 100%, $E$9)</f>
        <v>39.458599999999997</v>
      </c>
      <c r="R986" s="10">
        <f>CHOOSE(CONTROL!$C$42, 40.1442, 40.1442) * CHOOSE(CONTROL!$C$21, $C$9, 100%, $E$9)</f>
        <v>40.144199999999998</v>
      </c>
      <c r="S986" s="10">
        <f>CHOOSE(CONTROL!$C$42, 37.9683, 37.9683) * CHOOSE(CONTROL!$C$21, $C$9, 100%, $E$9)</f>
        <v>37.968299999999999</v>
      </c>
      <c r="T986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986" s="58">
        <f>(1000*CHOOSE(CONTROL!$C$42, 695, 695)*CHOOSE(CONTROL!$C$42, 0.5599, 0.5599)*CHOOSE(CONTROL!$C$42, 28, 28))/1000000</f>
        <v>10.895653999999999</v>
      </c>
      <c r="V986" s="58">
        <f>(1000*CHOOSE(CONTROL!$C$42, 500, 500)*CHOOSE(CONTROL!$C$42, 0.275, 0.275)*CHOOSE(CONTROL!$C$42, 28, 28))/1000000</f>
        <v>3.85</v>
      </c>
      <c r="W986" s="58">
        <f>(1000*CHOOSE(CONTROL!$C$42, 0.1146, 0.1146)*CHOOSE(CONTROL!$C$42, 121.5, 121.5)*CHOOSE(CONTROL!$C$42, 28, 28))/1000000</f>
        <v>0.38986920000000003</v>
      </c>
      <c r="X986" s="58">
        <f>(28*0.1790888*100000/1000000)+(28*0.2374*100000/1000000)</f>
        <v>1.16616864</v>
      </c>
      <c r="Y986" s="58"/>
      <c r="Z986" s="10"/>
      <c r="AA986" s="57"/>
      <c r="AB986" s="51">
        <f>(B986*122.58+C986*297.941+D986*89.177+E986*40.302+F986*40+G986*160+H986*0+I986*100+J986*300)/(122.58+297.941+89.177+40.302+0+40+160+100+300)</f>
        <v>39.154691563913033</v>
      </c>
      <c r="AC986" s="27">
        <f>(M986*'RAP TEMPLATE-GAS AVAILABILITY'!O985+N986*'RAP TEMPLATE-GAS AVAILABILITY'!P985+O986*'RAP TEMPLATE-GAS AVAILABILITY'!Q985+P986*'RAP TEMPLATE-GAS AVAILABILITY'!R985)/('RAP TEMPLATE-GAS AVAILABILITY'!O985+'RAP TEMPLATE-GAS AVAILABILITY'!P985+'RAP TEMPLATE-GAS AVAILABILITY'!Q985+'RAP TEMPLATE-GAS AVAILABILITY'!R985)</f>
        <v>38.819233812949641</v>
      </c>
    </row>
    <row r="987" spans="1:29" ht="15.75" x14ac:dyDescent="0.25">
      <c r="A987" s="13">
        <v>71314</v>
      </c>
      <c r="B987" s="10">
        <f>CHOOSE(CONTROL!$C$42, 37.9904, 37.9904) * CHOOSE(CONTROL!$C$21, $C$9, 100%, $E$9)</f>
        <v>37.990400000000001</v>
      </c>
      <c r="C987" s="10">
        <f>CHOOSE(CONTROL!$C$42, 37.9954, 37.9954) * CHOOSE(CONTROL!$C$21, $C$9, 100%, $E$9)</f>
        <v>37.995399999999997</v>
      </c>
      <c r="D987" s="10">
        <f>CHOOSE(CONTROL!$C$42, 38.0868, 38.0868) * CHOOSE(CONTROL!$C$21, $C$9, 100%, $E$9)</f>
        <v>38.086799999999997</v>
      </c>
      <c r="E987" s="10">
        <f>CHOOSE(CONTROL!$C$42, 38.1205, 38.1205) * CHOOSE(CONTROL!$C$21, $C$9, 100%, $E$9)</f>
        <v>38.1205</v>
      </c>
      <c r="F987" s="10">
        <f>CHOOSE(CONTROL!$C$42, 38.0203, 38.0203)*CHOOSE(CONTROL!$C$21, $C$9, 100%, $E$9)</f>
        <v>38.020299999999999</v>
      </c>
      <c r="G987" s="10">
        <f>CHOOSE(CONTROL!$C$42, 38.0398, 38.0398)*CHOOSE(CONTROL!$C$21, $C$9, 100%, $E$9)</f>
        <v>38.0398</v>
      </c>
      <c r="H987" s="10">
        <f>CHOOSE(CONTROL!$C$42, 38.1097, 38.1097) * CHOOSE(CONTROL!$C$21, $C$9, 100%, $E$9)</f>
        <v>38.109699999999997</v>
      </c>
      <c r="I987" s="10">
        <f>CHOOSE(CONTROL!$C$42, 38.0132, 38.0132)* CHOOSE(CONTROL!$C$21, $C$9, 100%, $E$9)</f>
        <v>38.013199999999998</v>
      </c>
      <c r="J987" s="10">
        <f>CHOOSE(CONTROL!$C$42, 38.0133, 38.0133)* CHOOSE(CONTROL!$C$21, $C$9, 100%, $E$9)</f>
        <v>38.013300000000001</v>
      </c>
      <c r="K987" s="54">
        <f>CHOOSE(CONTROL!$C$42, 38.0093, 38.0093) * CHOOSE(CONTROL!$C$21, $C$9, 100%, $E$9)</f>
        <v>38.009300000000003</v>
      </c>
      <c r="L987" s="10">
        <f>CHOOSE(CONTROL!$C$42, 38.6967, 38.6967) * CHOOSE(CONTROL!$C$21, $C$9, 100%, $E$9)</f>
        <v>38.6967</v>
      </c>
      <c r="M987" s="10">
        <f>CHOOSE(CONTROL!$C$42, 37.6435, 37.6435) * CHOOSE(CONTROL!$C$21, $C$9, 100%, $E$9)</f>
        <v>37.643500000000003</v>
      </c>
      <c r="N987" s="10">
        <f>CHOOSE(CONTROL!$C$42, 37.6628, 37.6628) * CHOOSE(CONTROL!$C$21, $C$9, 100%, $E$9)</f>
        <v>37.662799999999997</v>
      </c>
      <c r="O987" s="10">
        <f>CHOOSE(CONTROL!$C$42, 37.739, 37.739) * CHOOSE(CONTROL!$C$21, $C$9, 100%, $E$9)</f>
        <v>37.738999999999997</v>
      </c>
      <c r="P987" s="10">
        <f>CHOOSE(CONTROL!$C$42, 37.6435, 37.6435) * CHOOSE(CONTROL!$C$21, $C$9, 100%, $E$9)</f>
        <v>37.643500000000003</v>
      </c>
      <c r="Q987" s="10">
        <f>CHOOSE(CONTROL!$C$42, 38.3343, 38.3343) * CHOOSE(CONTROL!$C$21, $C$9, 100%, $E$9)</f>
        <v>38.334299999999999</v>
      </c>
      <c r="R987" s="10">
        <f>CHOOSE(CONTROL!$C$42, 39.0171, 39.0171) * CHOOSE(CONTROL!$C$21, $C$9, 100%, $E$9)</f>
        <v>39.017099999999999</v>
      </c>
      <c r="S987" s="10">
        <f>CHOOSE(CONTROL!$C$42, 36.8904, 36.8904) * CHOOSE(CONTROL!$C$21, $C$9, 100%, $E$9)</f>
        <v>36.8904</v>
      </c>
      <c r="T987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87" s="58">
        <f>(1000*CHOOSE(CONTROL!$C$42, 695, 695)*CHOOSE(CONTROL!$C$42, 0.5599, 0.5599)*CHOOSE(CONTROL!$C$42, 31, 31))/1000000</f>
        <v>12.063045499999998</v>
      </c>
      <c r="V987" s="58">
        <f>(1000*CHOOSE(CONTROL!$C$42, 500, 500)*CHOOSE(CONTROL!$C$42, 0.275, 0.275)*CHOOSE(CONTROL!$C$42, 31, 31))/1000000</f>
        <v>4.2625000000000002</v>
      </c>
      <c r="W987" s="58">
        <f>(1000*CHOOSE(CONTROL!$C$42, 0.1146, 0.1146)*CHOOSE(CONTROL!$C$42, 121.5, 121.5)*CHOOSE(CONTROL!$C$42, 31, 31))/1000000</f>
        <v>0.43164089999999994</v>
      </c>
      <c r="X987" s="58">
        <f>(31*0.1790888*100000/1000000)+(31*0.2374*100000/1000000)</f>
        <v>1.2911152800000001</v>
      </c>
      <c r="Y987" s="58"/>
      <c r="Z987" s="10"/>
      <c r="AA987" s="57"/>
      <c r="AB987" s="51">
        <f>(B987*122.58+C987*297.941+D987*89.177+E987*40.302+F987*40+G987*160+H987*0+I987*100+J987*300)/(122.58+297.941+89.177+40.302+0+40+160+100+300)</f>
        <v>38.019599702608687</v>
      </c>
      <c r="AC987" s="27">
        <f>(M987*'RAP TEMPLATE-GAS AVAILABILITY'!O986+N987*'RAP TEMPLATE-GAS AVAILABILITY'!P986+O987*'RAP TEMPLATE-GAS AVAILABILITY'!Q986+P987*'RAP TEMPLATE-GAS AVAILABILITY'!R986)/('RAP TEMPLATE-GAS AVAILABILITY'!O986+'RAP TEMPLATE-GAS AVAILABILITY'!P986+'RAP TEMPLATE-GAS AVAILABILITY'!Q986+'RAP TEMPLATE-GAS AVAILABILITY'!R986)</f>
        <v>37.687894964028779</v>
      </c>
    </row>
    <row r="988" spans="1:29" ht="15.75" x14ac:dyDescent="0.25">
      <c r="A988" s="13">
        <v>71344</v>
      </c>
      <c r="B988" s="10">
        <f>CHOOSE(CONTROL!$C$42, 37.8775, 37.8775) * CHOOSE(CONTROL!$C$21, $C$9, 100%, $E$9)</f>
        <v>37.877499999999998</v>
      </c>
      <c r="C988" s="10">
        <f>CHOOSE(CONTROL!$C$42, 37.8818, 37.8818) * CHOOSE(CONTROL!$C$21, $C$9, 100%, $E$9)</f>
        <v>37.881799999999998</v>
      </c>
      <c r="D988" s="10">
        <f>CHOOSE(CONTROL!$C$42, 38.0635, 38.0635) * CHOOSE(CONTROL!$C$21, $C$9, 100%, $E$9)</f>
        <v>38.063499999999998</v>
      </c>
      <c r="E988" s="10">
        <f>CHOOSE(CONTROL!$C$42, 38.0953, 38.0953) * CHOOSE(CONTROL!$C$21, $C$9, 100%, $E$9)</f>
        <v>38.095300000000002</v>
      </c>
      <c r="F988" s="10">
        <f>CHOOSE(CONTROL!$C$42, 37.8658, 37.8658)*CHOOSE(CONTROL!$C$21, $C$9, 100%, $E$9)</f>
        <v>37.8658</v>
      </c>
      <c r="G988" s="10">
        <f>CHOOSE(CONTROL!$C$42, 37.8838, 37.8838)*CHOOSE(CONTROL!$C$21, $C$9, 100%, $E$9)</f>
        <v>37.883800000000001</v>
      </c>
      <c r="H988" s="10">
        <f>CHOOSE(CONTROL!$C$42, 38.0851, 38.0851) * CHOOSE(CONTROL!$C$21, $C$9, 100%, $E$9)</f>
        <v>38.085099999999997</v>
      </c>
      <c r="I988" s="10">
        <f>CHOOSE(CONTROL!$C$42, 37.8557, 37.8557)* CHOOSE(CONTROL!$C$21, $C$9, 100%, $E$9)</f>
        <v>37.855699999999999</v>
      </c>
      <c r="J988" s="10">
        <f>CHOOSE(CONTROL!$C$42, 37.8588, 37.8588)* CHOOSE(CONTROL!$C$21, $C$9, 100%, $E$9)</f>
        <v>37.858800000000002</v>
      </c>
      <c r="K988" s="54">
        <f>CHOOSE(CONTROL!$C$42, 37.8518, 37.8518) * CHOOSE(CONTROL!$C$21, $C$9, 100%, $E$9)</f>
        <v>37.851799999999997</v>
      </c>
      <c r="L988" s="10">
        <f>CHOOSE(CONTROL!$C$42, 38.6721, 38.6721) * CHOOSE(CONTROL!$C$21, $C$9, 100%, $E$9)</f>
        <v>38.6721</v>
      </c>
      <c r="M988" s="10">
        <f>CHOOSE(CONTROL!$C$42, 37.4905, 37.4905) * CHOOSE(CONTROL!$C$21, $C$9, 100%, $E$9)</f>
        <v>37.490499999999997</v>
      </c>
      <c r="N988" s="10">
        <f>CHOOSE(CONTROL!$C$42, 37.5083, 37.5083) * CHOOSE(CONTROL!$C$21, $C$9, 100%, $E$9)</f>
        <v>37.508299999999998</v>
      </c>
      <c r="O988" s="10">
        <f>CHOOSE(CONTROL!$C$42, 37.7145, 37.7145) * CHOOSE(CONTROL!$C$21, $C$9, 100%, $E$9)</f>
        <v>37.714500000000001</v>
      </c>
      <c r="P988" s="10">
        <f>CHOOSE(CONTROL!$C$42, 37.4876, 37.4876) * CHOOSE(CONTROL!$C$21, $C$9, 100%, $E$9)</f>
        <v>37.4876</v>
      </c>
      <c r="Q988" s="10">
        <f>CHOOSE(CONTROL!$C$42, 38.3098, 38.3098) * CHOOSE(CONTROL!$C$21, $C$9, 100%, $E$9)</f>
        <v>38.309800000000003</v>
      </c>
      <c r="R988" s="10">
        <f>CHOOSE(CONTROL!$C$42, 38.9926, 38.9926) * CHOOSE(CONTROL!$C$21, $C$9, 100%, $E$9)</f>
        <v>38.992600000000003</v>
      </c>
      <c r="S988" s="10">
        <f>CHOOSE(CONTROL!$C$42, 36.7799, 36.7799) * CHOOSE(CONTROL!$C$21, $C$9, 100%, $E$9)</f>
        <v>36.779899999999998</v>
      </c>
      <c r="T988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988" s="58">
        <f>(1000*CHOOSE(CONTROL!$C$42, 695, 695)*CHOOSE(CONTROL!$C$42, 0.5599, 0.5599)*CHOOSE(CONTROL!$C$42, 30, 30))/1000000</f>
        <v>11.673914999999997</v>
      </c>
      <c r="V988" s="58">
        <f>(1000*CHOOSE(CONTROL!$C$42, 500, 500)*CHOOSE(CONTROL!$C$42, 0.275, 0.275)*CHOOSE(CONTROL!$C$42, 30, 30))/1000000</f>
        <v>4.125</v>
      </c>
      <c r="W988" s="58">
        <f>(1000*CHOOSE(CONTROL!$C$42, 0.1146, 0.1146)*CHOOSE(CONTROL!$C$42, 121.5, 121.5)*CHOOSE(CONTROL!$C$42, 30, 30))/1000000</f>
        <v>0.417717</v>
      </c>
      <c r="X988" s="58">
        <f>(30*0.1790888*245000/1000000)+(30*0.2374*100000/1000000)</f>
        <v>2.0285026799999999</v>
      </c>
      <c r="Y988" s="58"/>
      <c r="Z988" s="10"/>
      <c r="AA988" s="57"/>
      <c r="AB988" s="51">
        <f>(B988*141.293+C988*267.993+D988*115.016+E988*89.698+F988*40+G988*185+H988*0+I988*100+J988*300)/(141.293+267.993+115.016+89.698+0+40+185+100+300)</f>
        <v>37.905739766182407</v>
      </c>
      <c r="AC988" s="27">
        <f>(M988*'RAP TEMPLATE-GAS AVAILABILITY'!O987+N988*'RAP TEMPLATE-GAS AVAILABILITY'!P987+O988*'RAP TEMPLATE-GAS AVAILABILITY'!Q987+P988*'RAP TEMPLATE-GAS AVAILABILITY'!R987)/('RAP TEMPLATE-GAS AVAILABILITY'!O987+'RAP TEMPLATE-GAS AVAILABILITY'!P987+'RAP TEMPLATE-GAS AVAILABILITY'!Q987+'RAP TEMPLATE-GAS AVAILABILITY'!R987)</f>
        <v>37.592632374100724</v>
      </c>
    </row>
    <row r="989" spans="1:29" ht="15.75" x14ac:dyDescent="0.25">
      <c r="A989" s="13">
        <v>71375</v>
      </c>
      <c r="B989" s="10">
        <f>CHOOSE(CONTROL!$C$42, 38.2135, 38.2135) * CHOOSE(CONTROL!$C$21, $C$9, 100%, $E$9)</f>
        <v>38.213500000000003</v>
      </c>
      <c r="C989" s="10">
        <f>CHOOSE(CONTROL!$C$42, 38.2214, 38.2214) * CHOOSE(CONTROL!$C$21, $C$9, 100%, $E$9)</f>
        <v>38.221400000000003</v>
      </c>
      <c r="D989" s="10">
        <f>CHOOSE(CONTROL!$C$42, 38.4, 38.4) * CHOOSE(CONTROL!$C$21, $C$9, 100%, $E$9)</f>
        <v>38.4</v>
      </c>
      <c r="E989" s="10">
        <f>CHOOSE(CONTROL!$C$42, 38.4311, 38.4311) * CHOOSE(CONTROL!$C$21, $C$9, 100%, $E$9)</f>
        <v>38.431100000000001</v>
      </c>
      <c r="F989" s="10">
        <f>CHOOSE(CONTROL!$C$42, 38.1997, 38.1997)*CHOOSE(CONTROL!$C$21, $C$9, 100%, $E$9)</f>
        <v>38.1997</v>
      </c>
      <c r="G989" s="10">
        <f>CHOOSE(CONTROL!$C$42, 38.2179, 38.2179)*CHOOSE(CONTROL!$C$21, $C$9, 100%, $E$9)</f>
        <v>38.2179</v>
      </c>
      <c r="H989" s="10">
        <f>CHOOSE(CONTROL!$C$42, 38.4197, 38.4197) * CHOOSE(CONTROL!$C$21, $C$9, 100%, $E$9)</f>
        <v>38.419699999999999</v>
      </c>
      <c r="I989" s="10">
        <f>CHOOSE(CONTROL!$C$42, 38.1904, 38.1904)* CHOOSE(CONTROL!$C$21, $C$9, 100%, $E$9)</f>
        <v>38.190399999999997</v>
      </c>
      <c r="J989" s="10">
        <f>CHOOSE(CONTROL!$C$42, 38.1927, 38.1927)* CHOOSE(CONTROL!$C$21, $C$9, 100%, $E$9)</f>
        <v>38.192700000000002</v>
      </c>
      <c r="K989" s="54">
        <f>CHOOSE(CONTROL!$C$42, 38.1865, 38.1865) * CHOOSE(CONTROL!$C$21, $C$9, 100%, $E$9)</f>
        <v>38.186500000000002</v>
      </c>
      <c r="L989" s="10">
        <f>CHOOSE(CONTROL!$C$42, 39.0067, 39.0067) * CHOOSE(CONTROL!$C$21, $C$9, 100%, $E$9)</f>
        <v>39.006700000000002</v>
      </c>
      <c r="M989" s="10">
        <f>CHOOSE(CONTROL!$C$42, 37.8211, 37.8211) * CHOOSE(CONTROL!$C$21, $C$9, 100%, $E$9)</f>
        <v>37.821100000000001</v>
      </c>
      <c r="N989" s="10">
        <f>CHOOSE(CONTROL!$C$42, 37.8391, 37.8391) * CHOOSE(CONTROL!$C$21, $C$9, 100%, $E$9)</f>
        <v>37.839100000000002</v>
      </c>
      <c r="O989" s="10">
        <f>CHOOSE(CONTROL!$C$42, 38.0458, 38.0458) * CHOOSE(CONTROL!$C$21, $C$9, 100%, $E$9)</f>
        <v>38.0458</v>
      </c>
      <c r="P989" s="10">
        <f>CHOOSE(CONTROL!$C$42, 37.8188, 37.8188) * CHOOSE(CONTROL!$C$21, $C$9, 100%, $E$9)</f>
        <v>37.818800000000003</v>
      </c>
      <c r="Q989" s="10">
        <f>CHOOSE(CONTROL!$C$42, 38.6411, 38.6411) * CHOOSE(CONTROL!$C$21, $C$9, 100%, $E$9)</f>
        <v>38.641100000000002</v>
      </c>
      <c r="R989" s="10">
        <f>CHOOSE(CONTROL!$C$42, 39.3247, 39.3247) * CHOOSE(CONTROL!$C$21, $C$9, 100%, $E$9)</f>
        <v>39.3247</v>
      </c>
      <c r="S989" s="10">
        <f>CHOOSE(CONTROL!$C$42, 37.1049, 37.1049) * CHOOSE(CONTROL!$C$21, $C$9, 100%, $E$9)</f>
        <v>37.104900000000001</v>
      </c>
      <c r="T989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989" s="58">
        <f>(1000*CHOOSE(CONTROL!$C$42, 695, 695)*CHOOSE(CONTROL!$C$42, 0.5599, 0.5599)*CHOOSE(CONTROL!$C$42, 31, 31))/1000000</f>
        <v>12.063045499999998</v>
      </c>
      <c r="V989" s="58">
        <f>(1000*CHOOSE(CONTROL!$C$42, 500, 500)*CHOOSE(CONTROL!$C$42, 0.275, 0.275)*CHOOSE(CONTROL!$C$42, 31, 31))/1000000</f>
        <v>4.2625000000000002</v>
      </c>
      <c r="W989" s="58">
        <f>(1000*CHOOSE(CONTROL!$C$42, 0.1146, 0.1146)*CHOOSE(CONTROL!$C$42, 121.5, 121.5)*CHOOSE(CONTROL!$C$42, 31, 31))/1000000</f>
        <v>0.43164089999999994</v>
      </c>
      <c r="X989" s="58">
        <f>(31*0.1790888*245000/1000000)+(31*0.2374*100000/1000000)</f>
        <v>2.0961194359999999</v>
      </c>
      <c r="Y989" s="58"/>
      <c r="Z989" s="10"/>
      <c r="AA989" s="57"/>
      <c r="AB989" s="51">
        <f>(B989*194.205+C989*267.466+D989*133.845+E989*53.484+F989*40+G989*185+H989*0+I989*100+J989*300)/(194.205+267.466+133.845+53.484+0+40+185+100+300)</f>
        <v>38.237381626609114</v>
      </c>
      <c r="AC989" s="27">
        <f>(M989*'RAP TEMPLATE-GAS AVAILABILITY'!O988+N989*'RAP TEMPLATE-GAS AVAILABILITY'!P988+O989*'RAP TEMPLATE-GAS AVAILABILITY'!Q988+P989*'RAP TEMPLATE-GAS AVAILABILITY'!R988)/('RAP TEMPLATE-GAS AVAILABILITY'!O988+'RAP TEMPLATE-GAS AVAILABILITY'!P988+'RAP TEMPLATE-GAS AVAILABILITY'!Q988+'RAP TEMPLATE-GAS AVAILABILITY'!R988)</f>
        <v>37.923647482014388</v>
      </c>
    </row>
    <row r="990" spans="1:29" ht="15.75" x14ac:dyDescent="0.25">
      <c r="A990" s="13">
        <v>71405</v>
      </c>
      <c r="B990" s="10">
        <f>CHOOSE(CONTROL!$C$42, 39.2973, 39.2973) * CHOOSE(CONTROL!$C$21, $C$9, 100%, $E$9)</f>
        <v>39.2973</v>
      </c>
      <c r="C990" s="10">
        <f>CHOOSE(CONTROL!$C$42, 39.3053, 39.3053) * CHOOSE(CONTROL!$C$21, $C$9, 100%, $E$9)</f>
        <v>39.305300000000003</v>
      </c>
      <c r="D990" s="10">
        <f>CHOOSE(CONTROL!$C$42, 39.4838, 39.4838) * CHOOSE(CONTROL!$C$21, $C$9, 100%, $E$9)</f>
        <v>39.483800000000002</v>
      </c>
      <c r="E990" s="10">
        <f>CHOOSE(CONTROL!$C$42, 39.5149, 39.5149) * CHOOSE(CONTROL!$C$21, $C$9, 100%, $E$9)</f>
        <v>39.514899999999997</v>
      </c>
      <c r="F990" s="10">
        <f>CHOOSE(CONTROL!$C$42, 39.2838, 39.2838)*CHOOSE(CONTROL!$C$21, $C$9, 100%, $E$9)</f>
        <v>39.283799999999999</v>
      </c>
      <c r="G990" s="10">
        <f>CHOOSE(CONTROL!$C$42, 39.302, 39.302)*CHOOSE(CONTROL!$C$21, $C$9, 100%, $E$9)</f>
        <v>39.302</v>
      </c>
      <c r="H990" s="10">
        <f>CHOOSE(CONTROL!$C$42, 39.5036, 39.5036) * CHOOSE(CONTROL!$C$21, $C$9, 100%, $E$9)</f>
        <v>39.503599999999999</v>
      </c>
      <c r="I990" s="10">
        <f>CHOOSE(CONTROL!$C$42, 39.2742, 39.2742)* CHOOSE(CONTROL!$C$21, $C$9, 100%, $E$9)</f>
        <v>39.2742</v>
      </c>
      <c r="J990" s="10">
        <f>CHOOSE(CONTROL!$C$42, 39.2768, 39.2768)* CHOOSE(CONTROL!$C$21, $C$9, 100%, $E$9)</f>
        <v>39.276800000000001</v>
      </c>
      <c r="K990" s="54">
        <f>CHOOSE(CONTROL!$C$42, 39.2703, 39.2703) * CHOOSE(CONTROL!$C$21, $C$9, 100%, $E$9)</f>
        <v>39.270299999999999</v>
      </c>
      <c r="L990" s="10">
        <f>CHOOSE(CONTROL!$C$42, 40.0906, 40.0906) * CHOOSE(CONTROL!$C$21, $C$9, 100%, $E$9)</f>
        <v>40.090600000000002</v>
      </c>
      <c r="M990" s="10">
        <f>CHOOSE(CONTROL!$C$42, 38.8942, 38.8942) * CHOOSE(CONTROL!$C$21, $C$9, 100%, $E$9)</f>
        <v>38.894199999999998</v>
      </c>
      <c r="N990" s="10">
        <f>CHOOSE(CONTROL!$C$42, 38.9123, 38.9123) * CHOOSE(CONTROL!$C$21, $C$9, 100%, $E$9)</f>
        <v>38.912300000000002</v>
      </c>
      <c r="O990" s="10">
        <f>CHOOSE(CONTROL!$C$42, 39.1187, 39.1187) * CHOOSE(CONTROL!$C$21, $C$9, 100%, $E$9)</f>
        <v>39.118699999999997</v>
      </c>
      <c r="P990" s="10">
        <f>CHOOSE(CONTROL!$C$42, 38.8917, 38.8917) * CHOOSE(CONTROL!$C$21, $C$9, 100%, $E$9)</f>
        <v>38.8917</v>
      </c>
      <c r="Q990" s="10">
        <f>CHOOSE(CONTROL!$C$42, 39.714, 39.714) * CHOOSE(CONTROL!$C$21, $C$9, 100%, $E$9)</f>
        <v>39.713999999999999</v>
      </c>
      <c r="R990" s="10">
        <f>CHOOSE(CONTROL!$C$42, 40.4003, 40.4003) * CHOOSE(CONTROL!$C$21, $C$9, 100%, $E$9)</f>
        <v>40.400300000000001</v>
      </c>
      <c r="S990" s="10">
        <f>CHOOSE(CONTROL!$C$42, 38.1574, 38.1574) * CHOOSE(CONTROL!$C$21, $C$9, 100%, $E$9)</f>
        <v>38.157400000000003</v>
      </c>
      <c r="T990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90" s="58">
        <f>(1000*CHOOSE(CONTROL!$C$42, 695, 695)*CHOOSE(CONTROL!$C$42, 0.5599, 0.5599)*CHOOSE(CONTROL!$C$42, 30, 30))/1000000</f>
        <v>11.673914999999997</v>
      </c>
      <c r="V990" s="58">
        <f>(1000*CHOOSE(CONTROL!$C$42, 500, 500)*CHOOSE(CONTROL!$C$42, 0.275, 0.275)*CHOOSE(CONTROL!$C$42, 30, 30))/1000000</f>
        <v>4.125</v>
      </c>
      <c r="W990" s="58">
        <f>(1000*CHOOSE(CONTROL!$C$42, 0.1146, 0.1146)*CHOOSE(CONTROL!$C$42, 121.5, 121.5)*CHOOSE(CONTROL!$C$42, 30, 30))/1000000</f>
        <v>0.417717</v>
      </c>
      <c r="X990" s="58">
        <f>(30*0.1790888*245000/1000000)+(30*0.2374*100000/1000000)</f>
        <v>2.0285026799999999</v>
      </c>
      <c r="Y990" s="58"/>
      <c r="Z990" s="10"/>
      <c r="AA990" s="57"/>
      <c r="AB990" s="51">
        <f>(B990*194.205+C990*267.466+D990*133.845+E990*53.484+F990*40+G990*185+H990*0+I990*100+J990*300)/(194.205+267.466+133.845+53.484+0+40+185+100+300)</f>
        <v>39.321326247174255</v>
      </c>
      <c r="AC990" s="27">
        <f>(M990*'RAP TEMPLATE-GAS AVAILABILITY'!O989+N990*'RAP TEMPLATE-GAS AVAILABILITY'!P989+O990*'RAP TEMPLATE-GAS AVAILABILITY'!Q989+P990*'RAP TEMPLATE-GAS AVAILABILITY'!R989)/('RAP TEMPLATE-GAS AVAILABILITY'!O989+'RAP TEMPLATE-GAS AVAILABILITY'!P989+'RAP TEMPLATE-GAS AVAILABILITY'!Q989+'RAP TEMPLATE-GAS AVAILABILITY'!R989)</f>
        <v>38.996633812949639</v>
      </c>
    </row>
    <row r="991" spans="1:29" ht="15.75" x14ac:dyDescent="0.25">
      <c r="A991" s="13">
        <v>71436</v>
      </c>
      <c r="B991" s="10">
        <f>CHOOSE(CONTROL!$C$42, 38.5435, 38.5435) * CHOOSE(CONTROL!$C$21, $C$9, 100%, $E$9)</f>
        <v>38.543500000000002</v>
      </c>
      <c r="C991" s="10">
        <f>CHOOSE(CONTROL!$C$42, 38.5515, 38.5515) * CHOOSE(CONTROL!$C$21, $C$9, 100%, $E$9)</f>
        <v>38.551499999999997</v>
      </c>
      <c r="D991" s="10">
        <f>CHOOSE(CONTROL!$C$42, 38.73, 38.73) * CHOOSE(CONTROL!$C$21, $C$9, 100%, $E$9)</f>
        <v>38.729999999999997</v>
      </c>
      <c r="E991" s="10">
        <f>CHOOSE(CONTROL!$C$42, 38.7611, 38.7611) * CHOOSE(CONTROL!$C$21, $C$9, 100%, $E$9)</f>
        <v>38.761099999999999</v>
      </c>
      <c r="F991" s="10">
        <f>CHOOSE(CONTROL!$C$42, 38.5302, 38.5302)*CHOOSE(CONTROL!$C$21, $C$9, 100%, $E$9)</f>
        <v>38.530200000000001</v>
      </c>
      <c r="G991" s="10">
        <f>CHOOSE(CONTROL!$C$42, 38.5486, 38.5486)*CHOOSE(CONTROL!$C$21, $C$9, 100%, $E$9)</f>
        <v>38.5486</v>
      </c>
      <c r="H991" s="10">
        <f>CHOOSE(CONTROL!$C$42, 38.7498, 38.7498) * CHOOSE(CONTROL!$C$21, $C$9, 100%, $E$9)</f>
        <v>38.7498</v>
      </c>
      <c r="I991" s="10">
        <f>CHOOSE(CONTROL!$C$42, 38.5204, 38.5204)* CHOOSE(CONTROL!$C$21, $C$9, 100%, $E$9)</f>
        <v>38.520400000000002</v>
      </c>
      <c r="J991" s="10">
        <f>CHOOSE(CONTROL!$C$42, 38.5232, 38.5232)* CHOOSE(CONTROL!$C$21, $C$9, 100%, $E$9)</f>
        <v>38.523200000000003</v>
      </c>
      <c r="K991" s="54">
        <f>CHOOSE(CONTROL!$C$42, 38.5165, 38.5165) * CHOOSE(CONTROL!$C$21, $C$9, 100%, $E$9)</f>
        <v>38.516500000000001</v>
      </c>
      <c r="L991" s="10">
        <f>CHOOSE(CONTROL!$C$42, 39.3368, 39.3368) * CHOOSE(CONTROL!$C$21, $C$9, 100%, $E$9)</f>
        <v>39.336799999999997</v>
      </c>
      <c r="M991" s="10">
        <f>CHOOSE(CONTROL!$C$42, 38.1483, 38.1483) * CHOOSE(CONTROL!$C$21, $C$9, 100%, $E$9)</f>
        <v>38.148299999999999</v>
      </c>
      <c r="N991" s="10">
        <f>CHOOSE(CONTROL!$C$42, 38.1664, 38.1664) * CHOOSE(CONTROL!$C$21, $C$9, 100%, $E$9)</f>
        <v>38.166400000000003</v>
      </c>
      <c r="O991" s="10">
        <f>CHOOSE(CONTROL!$C$42, 38.3725, 38.3725) * CHOOSE(CONTROL!$C$21, $C$9, 100%, $E$9)</f>
        <v>38.372500000000002</v>
      </c>
      <c r="P991" s="10">
        <f>CHOOSE(CONTROL!$C$42, 38.1455, 38.1455) * CHOOSE(CONTROL!$C$21, $C$9, 100%, $E$9)</f>
        <v>38.145499999999998</v>
      </c>
      <c r="Q991" s="10">
        <f>CHOOSE(CONTROL!$C$42, 38.9678, 38.9678) * CHOOSE(CONTROL!$C$21, $C$9, 100%, $E$9)</f>
        <v>38.967799999999997</v>
      </c>
      <c r="R991" s="10">
        <f>CHOOSE(CONTROL!$C$42, 39.6523, 39.6523) * CHOOSE(CONTROL!$C$21, $C$9, 100%, $E$9)</f>
        <v>39.652299999999997</v>
      </c>
      <c r="S991" s="10">
        <f>CHOOSE(CONTROL!$C$42, 37.4254, 37.4254) * CHOOSE(CONTROL!$C$21, $C$9, 100%, $E$9)</f>
        <v>37.425400000000003</v>
      </c>
      <c r="T991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91" s="58">
        <f>(1000*CHOOSE(CONTROL!$C$42, 695, 695)*CHOOSE(CONTROL!$C$42, 0.5599, 0.5599)*CHOOSE(CONTROL!$C$42, 31, 31))/1000000</f>
        <v>12.063045499999998</v>
      </c>
      <c r="V991" s="58">
        <f>(1000*CHOOSE(CONTROL!$C$42, 500, 500)*CHOOSE(CONTROL!$C$42, 0.275, 0.275)*CHOOSE(CONTROL!$C$42, 31, 31))/1000000</f>
        <v>4.2625000000000002</v>
      </c>
      <c r="W991" s="58">
        <f>(1000*CHOOSE(CONTROL!$C$42, 0.1146, 0.1146)*CHOOSE(CONTROL!$C$42, 121.5, 121.5)*CHOOSE(CONTROL!$C$42, 31, 31))/1000000</f>
        <v>0.43164089999999994</v>
      </c>
      <c r="X991" s="58">
        <f>(31*0.1790888*245000/1000000)+(31*0.2374*100000/1000000)</f>
        <v>2.0961194359999999</v>
      </c>
      <c r="Y991" s="58"/>
      <c r="Z991" s="10"/>
      <c r="AA991" s="57"/>
      <c r="AB991" s="51">
        <f>(B991*194.205+C991*267.466+D991*133.845+E991*53.484+F991*40+G991*185+H991*0+I991*100+J991*300)/(194.205+267.466+133.845+53.484+0+40+185+100+300)</f>
        <v>38.567637707142858</v>
      </c>
      <c r="AC991" s="27">
        <f>(M991*'RAP TEMPLATE-GAS AVAILABILITY'!O990+N991*'RAP TEMPLATE-GAS AVAILABILITY'!P990+O991*'RAP TEMPLATE-GAS AVAILABILITY'!Q990+P991*'RAP TEMPLATE-GAS AVAILABILITY'!R990)/('RAP TEMPLATE-GAS AVAILABILITY'!O990+'RAP TEMPLATE-GAS AVAILABILITY'!P990+'RAP TEMPLATE-GAS AVAILABILITY'!Q990+'RAP TEMPLATE-GAS AVAILABILITY'!R990)</f>
        <v>38.250554676258993</v>
      </c>
    </row>
    <row r="992" spans="1:29" ht="15.75" x14ac:dyDescent="0.25">
      <c r="A992" s="13">
        <v>71467</v>
      </c>
      <c r="B992" s="10">
        <f>CHOOSE(CONTROL!$C$42, 36.6399, 36.6399) * CHOOSE(CONTROL!$C$21, $C$9, 100%, $E$9)</f>
        <v>36.639899999999997</v>
      </c>
      <c r="C992" s="10">
        <f>CHOOSE(CONTROL!$C$42, 36.6479, 36.6479) * CHOOSE(CONTROL!$C$21, $C$9, 100%, $E$9)</f>
        <v>36.6479</v>
      </c>
      <c r="D992" s="10">
        <f>CHOOSE(CONTROL!$C$42, 36.8264, 36.8264) * CHOOSE(CONTROL!$C$21, $C$9, 100%, $E$9)</f>
        <v>36.8264</v>
      </c>
      <c r="E992" s="10">
        <f>CHOOSE(CONTROL!$C$42, 36.8575, 36.8575) * CHOOSE(CONTROL!$C$21, $C$9, 100%, $E$9)</f>
        <v>36.857500000000002</v>
      </c>
      <c r="F992" s="10">
        <f>CHOOSE(CONTROL!$C$42, 36.6266, 36.6266)*CHOOSE(CONTROL!$C$21, $C$9, 100%, $E$9)</f>
        <v>36.626600000000003</v>
      </c>
      <c r="G992" s="10">
        <f>CHOOSE(CONTROL!$C$42, 36.6449, 36.6449)*CHOOSE(CONTROL!$C$21, $C$9, 100%, $E$9)</f>
        <v>36.6449</v>
      </c>
      <c r="H992" s="10">
        <f>CHOOSE(CONTROL!$C$42, 36.8462, 36.8462) * CHOOSE(CONTROL!$C$21, $C$9, 100%, $E$9)</f>
        <v>36.846200000000003</v>
      </c>
      <c r="I992" s="10">
        <f>CHOOSE(CONTROL!$C$42, 36.6168, 36.6168)* CHOOSE(CONTROL!$C$21, $C$9, 100%, $E$9)</f>
        <v>36.616799999999998</v>
      </c>
      <c r="J992" s="10">
        <f>CHOOSE(CONTROL!$C$42, 36.6196, 36.6196)* CHOOSE(CONTROL!$C$21, $C$9, 100%, $E$9)</f>
        <v>36.619599999999998</v>
      </c>
      <c r="K992" s="54">
        <f>CHOOSE(CONTROL!$C$42, 36.6129, 36.6129) * CHOOSE(CONTROL!$C$21, $C$9, 100%, $E$9)</f>
        <v>36.612900000000003</v>
      </c>
      <c r="L992" s="10">
        <f>CHOOSE(CONTROL!$C$42, 37.4332, 37.4332) * CHOOSE(CONTROL!$C$21, $C$9, 100%, $E$9)</f>
        <v>37.433199999999999</v>
      </c>
      <c r="M992" s="10">
        <f>CHOOSE(CONTROL!$C$42, 36.2639, 36.2639) * CHOOSE(CONTROL!$C$21, $C$9, 100%, $E$9)</f>
        <v>36.2639</v>
      </c>
      <c r="N992" s="10">
        <f>CHOOSE(CONTROL!$C$42, 36.282, 36.282) * CHOOSE(CONTROL!$C$21, $C$9, 100%, $E$9)</f>
        <v>36.281999999999996</v>
      </c>
      <c r="O992" s="10">
        <f>CHOOSE(CONTROL!$C$42, 36.4881, 36.4881) * CHOOSE(CONTROL!$C$21, $C$9, 100%, $E$9)</f>
        <v>36.488100000000003</v>
      </c>
      <c r="P992" s="10">
        <f>CHOOSE(CONTROL!$C$42, 36.2611, 36.2611) * CHOOSE(CONTROL!$C$21, $C$9, 100%, $E$9)</f>
        <v>36.261099999999999</v>
      </c>
      <c r="Q992" s="10">
        <f>CHOOSE(CONTROL!$C$42, 37.0834, 37.0834) * CHOOSE(CONTROL!$C$21, $C$9, 100%, $E$9)</f>
        <v>37.083399999999997</v>
      </c>
      <c r="R992" s="10">
        <f>CHOOSE(CONTROL!$C$42, 37.7632, 37.7632) * CHOOSE(CONTROL!$C$21, $C$9, 100%, $E$9)</f>
        <v>37.763199999999998</v>
      </c>
      <c r="S992" s="10">
        <f>CHOOSE(CONTROL!$C$42, 35.5768, 35.5768) * CHOOSE(CONTROL!$C$21, $C$9, 100%, $E$9)</f>
        <v>35.576799999999999</v>
      </c>
      <c r="T992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92" s="58">
        <f>(1000*CHOOSE(CONTROL!$C$42, 695, 695)*CHOOSE(CONTROL!$C$42, 0.5599, 0.5599)*CHOOSE(CONTROL!$C$42, 31, 31))/1000000</f>
        <v>12.063045499999998</v>
      </c>
      <c r="V992" s="58">
        <f>(1000*CHOOSE(CONTROL!$C$42, 500, 500)*CHOOSE(CONTROL!$C$42, 0.275, 0.275)*CHOOSE(CONTROL!$C$42, 31, 31))/1000000</f>
        <v>4.2625000000000002</v>
      </c>
      <c r="W992" s="58">
        <f>(1000*CHOOSE(CONTROL!$C$42, 0.1146, 0.1146)*CHOOSE(CONTROL!$C$42, 121.5, 121.5)*CHOOSE(CONTROL!$C$42, 31, 31))/1000000</f>
        <v>0.43164089999999994</v>
      </c>
      <c r="X992" s="58">
        <f>(31*0.1790888*245000/1000000)+(31*0.2374*100000/1000000)</f>
        <v>2.0961194359999999</v>
      </c>
      <c r="Y992" s="58"/>
      <c r="Z992" s="10"/>
      <c r="AA992" s="57"/>
      <c r="AB992" s="51">
        <f>(B992*194.205+C992*267.466+D992*133.845+E992*53.484+F992*40+G992*185+H992*0+I992*100+J992*300)/(194.205+267.466+133.845+53.484+0+40+185+100+300)</f>
        <v>36.664023185949759</v>
      </c>
      <c r="AC992" s="27">
        <f>(M992*'RAP TEMPLATE-GAS AVAILABILITY'!O991+N992*'RAP TEMPLATE-GAS AVAILABILITY'!P991+O992*'RAP TEMPLATE-GAS AVAILABILITY'!Q991+P992*'RAP TEMPLATE-GAS AVAILABILITY'!R991)/('RAP TEMPLATE-GAS AVAILABILITY'!O991+'RAP TEMPLATE-GAS AVAILABILITY'!P991+'RAP TEMPLATE-GAS AVAILABILITY'!Q991+'RAP TEMPLATE-GAS AVAILABILITY'!R991)</f>
        <v>36.366154676258994</v>
      </c>
    </row>
    <row r="993" spans="1:29" ht="15.75" x14ac:dyDescent="0.25">
      <c r="A993" s="13">
        <v>71497</v>
      </c>
      <c r="B993" s="10">
        <f>CHOOSE(CONTROL!$C$42, 34.3141, 34.3141) * CHOOSE(CONTROL!$C$21, $C$9, 100%, $E$9)</f>
        <v>34.314100000000003</v>
      </c>
      <c r="C993" s="10">
        <f>CHOOSE(CONTROL!$C$42, 34.322, 34.322) * CHOOSE(CONTROL!$C$21, $C$9, 100%, $E$9)</f>
        <v>34.322000000000003</v>
      </c>
      <c r="D993" s="10">
        <f>CHOOSE(CONTROL!$C$42, 34.5005, 34.5005) * CHOOSE(CONTROL!$C$21, $C$9, 100%, $E$9)</f>
        <v>34.500500000000002</v>
      </c>
      <c r="E993" s="10">
        <f>CHOOSE(CONTROL!$C$42, 34.5317, 34.5317) * CHOOSE(CONTROL!$C$21, $C$9, 100%, $E$9)</f>
        <v>34.531700000000001</v>
      </c>
      <c r="F993" s="10">
        <f>CHOOSE(CONTROL!$C$42, 34.3005, 34.3005)*CHOOSE(CONTROL!$C$21, $C$9, 100%, $E$9)</f>
        <v>34.3005</v>
      </c>
      <c r="G993" s="10">
        <f>CHOOSE(CONTROL!$C$42, 34.3187, 34.3187)*CHOOSE(CONTROL!$C$21, $C$9, 100%, $E$9)</f>
        <v>34.3187</v>
      </c>
      <c r="H993" s="10">
        <f>CHOOSE(CONTROL!$C$42, 34.5203, 34.5203) * CHOOSE(CONTROL!$C$21, $C$9, 100%, $E$9)</f>
        <v>34.520299999999999</v>
      </c>
      <c r="I993" s="10">
        <f>CHOOSE(CONTROL!$C$42, 34.291, 34.291)* CHOOSE(CONTROL!$C$21, $C$9, 100%, $E$9)</f>
        <v>34.290999999999997</v>
      </c>
      <c r="J993" s="10">
        <f>CHOOSE(CONTROL!$C$42, 34.2935, 34.2935)* CHOOSE(CONTROL!$C$21, $C$9, 100%, $E$9)</f>
        <v>34.293500000000002</v>
      </c>
      <c r="K993" s="54">
        <f>CHOOSE(CONTROL!$C$42, 34.2871, 34.2871) * CHOOSE(CONTROL!$C$21, $C$9, 100%, $E$9)</f>
        <v>34.287100000000002</v>
      </c>
      <c r="L993" s="10">
        <f>CHOOSE(CONTROL!$C$42, 35.1073, 35.1073) * CHOOSE(CONTROL!$C$21, $C$9, 100%, $E$9)</f>
        <v>35.107300000000002</v>
      </c>
      <c r="M993" s="10">
        <f>CHOOSE(CONTROL!$C$42, 33.9612, 33.9612) * CHOOSE(CONTROL!$C$21, $C$9, 100%, $E$9)</f>
        <v>33.961199999999998</v>
      </c>
      <c r="N993" s="10">
        <f>CHOOSE(CONTROL!$C$42, 33.9792, 33.9792) * CHOOSE(CONTROL!$C$21, $C$9, 100%, $E$9)</f>
        <v>33.979199999999999</v>
      </c>
      <c r="O993" s="10">
        <f>CHOOSE(CONTROL!$C$42, 34.1858, 34.1858) * CHOOSE(CONTROL!$C$21, $C$9, 100%, $E$9)</f>
        <v>34.1858</v>
      </c>
      <c r="P993" s="10">
        <f>CHOOSE(CONTROL!$C$42, 33.9588, 33.9588) * CHOOSE(CONTROL!$C$21, $C$9, 100%, $E$9)</f>
        <v>33.958799999999997</v>
      </c>
      <c r="Q993" s="10">
        <f>CHOOSE(CONTROL!$C$42, 34.7811, 34.7811) * CHOOSE(CONTROL!$C$21, $C$9, 100%, $E$9)</f>
        <v>34.781100000000002</v>
      </c>
      <c r="R993" s="10">
        <f>CHOOSE(CONTROL!$C$42, 35.455, 35.455) * CHOOSE(CONTROL!$C$21, $C$9, 100%, $E$9)</f>
        <v>35.454999999999998</v>
      </c>
      <c r="S993" s="10">
        <f>CHOOSE(CONTROL!$C$42, 33.3182, 33.3182) * CHOOSE(CONTROL!$C$21, $C$9, 100%, $E$9)</f>
        <v>33.318199999999997</v>
      </c>
      <c r="T993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93" s="58">
        <f>(1000*CHOOSE(CONTROL!$C$42, 695, 695)*CHOOSE(CONTROL!$C$42, 0.5599, 0.5599)*CHOOSE(CONTROL!$C$42, 30, 30))/1000000</f>
        <v>11.673914999999997</v>
      </c>
      <c r="V993" s="58">
        <f>(1000*CHOOSE(CONTROL!$C$42, 500, 500)*CHOOSE(CONTROL!$C$42, 0.275, 0.275)*CHOOSE(CONTROL!$C$42, 30, 30))/1000000</f>
        <v>4.125</v>
      </c>
      <c r="W993" s="58">
        <f>(1000*CHOOSE(CONTROL!$C$42, 0.1146, 0.1146)*CHOOSE(CONTROL!$C$42, 121.5, 121.5)*CHOOSE(CONTROL!$C$42, 30, 30))/1000000</f>
        <v>0.417717</v>
      </c>
      <c r="X993" s="58">
        <f>(30*0.1790888*245000/1000000)+(30*0.2374*100000/1000000)</f>
        <v>2.0285026799999999</v>
      </c>
      <c r="Y993" s="58"/>
      <c r="Z993" s="10"/>
      <c r="AA993" s="57"/>
      <c r="AB993" s="51">
        <f>(B993*194.205+C993*267.466+D993*133.845+E993*53.484+F993*40+G993*185+H993*0+I993*100+J993*300)/(194.205+267.466+133.845+53.484+0+40+185+100+300)</f>
        <v>34.338053538304557</v>
      </c>
      <c r="AC993" s="27">
        <f>(M993*'RAP TEMPLATE-GAS AVAILABILITY'!O992+N993*'RAP TEMPLATE-GAS AVAILABILITY'!P992+O993*'RAP TEMPLATE-GAS AVAILABILITY'!Q992+P993*'RAP TEMPLATE-GAS AVAILABILITY'!R992)/('RAP TEMPLATE-GAS AVAILABILITY'!O992+'RAP TEMPLATE-GAS AVAILABILITY'!P992+'RAP TEMPLATE-GAS AVAILABILITY'!Q992+'RAP TEMPLATE-GAS AVAILABILITY'!R992)</f>
        <v>34.063687769784174</v>
      </c>
    </row>
    <row r="994" spans="1:29" ht="15.75" x14ac:dyDescent="0.25">
      <c r="A994" s="13">
        <v>71528</v>
      </c>
      <c r="B994" s="10">
        <f>CHOOSE(CONTROL!$C$42, 33.6153, 33.6153) * CHOOSE(CONTROL!$C$21, $C$9, 100%, $E$9)</f>
        <v>33.615299999999998</v>
      </c>
      <c r="C994" s="10">
        <f>CHOOSE(CONTROL!$C$42, 33.6206, 33.6206) * CHOOSE(CONTROL!$C$21, $C$9, 100%, $E$9)</f>
        <v>33.620600000000003</v>
      </c>
      <c r="D994" s="10">
        <f>CHOOSE(CONTROL!$C$42, 33.8041, 33.8041) * CHOOSE(CONTROL!$C$21, $C$9, 100%, $E$9)</f>
        <v>33.804099999999998</v>
      </c>
      <c r="E994" s="10">
        <f>CHOOSE(CONTROL!$C$42, 33.8329, 33.8329) * CHOOSE(CONTROL!$C$21, $C$9, 100%, $E$9)</f>
        <v>33.832900000000002</v>
      </c>
      <c r="F994" s="10">
        <f>CHOOSE(CONTROL!$C$42, 33.6037, 33.6037)*CHOOSE(CONTROL!$C$21, $C$9, 100%, $E$9)</f>
        <v>33.603700000000003</v>
      </c>
      <c r="G994" s="10">
        <f>CHOOSE(CONTROL!$C$42, 33.6216, 33.6216)*CHOOSE(CONTROL!$C$21, $C$9, 100%, $E$9)</f>
        <v>33.621600000000001</v>
      </c>
      <c r="H994" s="10">
        <f>CHOOSE(CONTROL!$C$42, 33.8233, 33.8233) * CHOOSE(CONTROL!$C$21, $C$9, 100%, $E$9)</f>
        <v>33.823300000000003</v>
      </c>
      <c r="I994" s="10">
        <f>CHOOSE(CONTROL!$C$42, 33.594, 33.594)* CHOOSE(CONTROL!$C$21, $C$9, 100%, $E$9)</f>
        <v>33.594000000000001</v>
      </c>
      <c r="J994" s="10">
        <f>CHOOSE(CONTROL!$C$42, 33.5967, 33.5967)* CHOOSE(CONTROL!$C$21, $C$9, 100%, $E$9)</f>
        <v>33.596699999999998</v>
      </c>
      <c r="K994" s="54">
        <f>CHOOSE(CONTROL!$C$42, 33.5901, 33.5901) * CHOOSE(CONTROL!$C$21, $C$9, 100%, $E$9)</f>
        <v>33.5901</v>
      </c>
      <c r="L994" s="10">
        <f>CHOOSE(CONTROL!$C$42, 34.4103, 34.4103) * CHOOSE(CONTROL!$C$21, $C$9, 100%, $E$9)</f>
        <v>34.410299999999999</v>
      </c>
      <c r="M994" s="10">
        <f>CHOOSE(CONTROL!$C$42, 33.2714, 33.2714) * CHOOSE(CONTROL!$C$21, $C$9, 100%, $E$9)</f>
        <v>33.2714</v>
      </c>
      <c r="N994" s="10">
        <f>CHOOSE(CONTROL!$C$42, 33.2892, 33.2892) * CHOOSE(CONTROL!$C$21, $C$9, 100%, $E$9)</f>
        <v>33.289200000000001</v>
      </c>
      <c r="O994" s="10">
        <f>CHOOSE(CONTROL!$C$42, 33.4958, 33.4958) * CHOOSE(CONTROL!$C$21, $C$9, 100%, $E$9)</f>
        <v>33.495800000000003</v>
      </c>
      <c r="P994" s="10">
        <f>CHOOSE(CONTROL!$C$42, 33.2688, 33.2688) * CHOOSE(CONTROL!$C$21, $C$9, 100%, $E$9)</f>
        <v>33.268799999999999</v>
      </c>
      <c r="Q994" s="10">
        <f>CHOOSE(CONTROL!$C$42, 34.0911, 34.0911) * CHOOSE(CONTROL!$C$21, $C$9, 100%, $E$9)</f>
        <v>34.091099999999997</v>
      </c>
      <c r="R994" s="10">
        <f>CHOOSE(CONTROL!$C$42, 34.7633, 34.7633) * CHOOSE(CONTROL!$C$21, $C$9, 100%, $E$9)</f>
        <v>34.763300000000001</v>
      </c>
      <c r="S994" s="10">
        <f>CHOOSE(CONTROL!$C$42, 32.6413, 32.6413) * CHOOSE(CONTROL!$C$21, $C$9, 100%, $E$9)</f>
        <v>32.641300000000001</v>
      </c>
      <c r="T994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94" s="58">
        <f>(1000*CHOOSE(CONTROL!$C$42, 695, 695)*CHOOSE(CONTROL!$C$42, 0.5599, 0.5599)*CHOOSE(CONTROL!$C$42, 31, 31))/1000000</f>
        <v>12.063045499999998</v>
      </c>
      <c r="V994" s="58">
        <f>(1000*CHOOSE(CONTROL!$C$42, 500, 500)*CHOOSE(CONTROL!$C$42, 0.275, 0.275)*CHOOSE(CONTROL!$C$42, 31, 31))/1000000</f>
        <v>4.2625000000000002</v>
      </c>
      <c r="W994" s="58">
        <f>(1000*CHOOSE(CONTROL!$C$42, 0.1146, 0.1146)*CHOOSE(CONTROL!$C$42, 121.5, 121.5)*CHOOSE(CONTROL!$C$42, 31, 31))/1000000</f>
        <v>0.43164089999999994</v>
      </c>
      <c r="X994" s="58">
        <f>(31*0.1790888*245000/1000000)+(31*0.2374*100000/1000000)</f>
        <v>2.0961194359999999</v>
      </c>
      <c r="Y994" s="58"/>
      <c r="Z994" s="10"/>
      <c r="AA994" s="57"/>
      <c r="AB994" s="51">
        <f>(B994*131.881+C994*277.167+D994*79.08+E994*125.872+F994*40+G994*185+H994*0+I994*100+J994*300)/(131.881+277.167+79.08+125.872+0+40+185+100+300)</f>
        <v>33.644985662873289</v>
      </c>
      <c r="AC994" s="27">
        <f>(M994*'RAP TEMPLATE-GAS AVAILABILITY'!O993+N994*'RAP TEMPLATE-GAS AVAILABILITY'!P993+O994*'RAP TEMPLATE-GAS AVAILABILITY'!Q993+P994*'RAP TEMPLATE-GAS AVAILABILITY'!R993)/('RAP TEMPLATE-GAS AVAILABILITY'!O993+'RAP TEMPLATE-GAS AVAILABILITY'!P993+'RAP TEMPLATE-GAS AVAILABILITY'!Q993+'RAP TEMPLATE-GAS AVAILABILITY'!R993)</f>
        <v>33.373756834532379</v>
      </c>
    </row>
    <row r="995" spans="1:29" ht="15.75" x14ac:dyDescent="0.25">
      <c r="A995" s="13">
        <v>71558</v>
      </c>
      <c r="B995" s="10">
        <f>CHOOSE(CONTROL!$C$42, 34.5004, 34.5004) * CHOOSE(CONTROL!$C$21, $C$9, 100%, $E$9)</f>
        <v>34.500399999999999</v>
      </c>
      <c r="C995" s="10">
        <f>CHOOSE(CONTROL!$C$42, 34.5054, 34.5054) * CHOOSE(CONTROL!$C$21, $C$9, 100%, $E$9)</f>
        <v>34.505400000000002</v>
      </c>
      <c r="D995" s="10">
        <f>CHOOSE(CONTROL!$C$42, 34.535, 34.535) * CHOOSE(CONTROL!$C$21, $C$9, 100%, $E$9)</f>
        <v>34.534999999999997</v>
      </c>
      <c r="E995" s="10">
        <f>CHOOSE(CONTROL!$C$42, 34.5688, 34.5688) * CHOOSE(CONTROL!$C$21, $C$9, 100%, $E$9)</f>
        <v>34.568800000000003</v>
      </c>
      <c r="F995" s="10">
        <f>CHOOSE(CONTROL!$C$42, 34.4862, 34.4862)*CHOOSE(CONTROL!$C$21, $C$9, 100%, $E$9)</f>
        <v>34.486199999999997</v>
      </c>
      <c r="G995" s="10">
        <f>CHOOSE(CONTROL!$C$42, 34.5042, 34.5042)*CHOOSE(CONTROL!$C$21, $C$9, 100%, $E$9)</f>
        <v>34.504199999999997</v>
      </c>
      <c r="H995" s="10">
        <f>CHOOSE(CONTROL!$C$42, 34.558, 34.558) * CHOOSE(CONTROL!$C$21, $C$9, 100%, $E$9)</f>
        <v>34.558</v>
      </c>
      <c r="I995" s="10">
        <f>CHOOSE(CONTROL!$C$42, 34.4666, 34.4666)* CHOOSE(CONTROL!$C$21, $C$9, 100%, $E$9)</f>
        <v>34.4666</v>
      </c>
      <c r="J995" s="10">
        <f>CHOOSE(CONTROL!$C$42, 34.4792, 34.4792)* CHOOSE(CONTROL!$C$21, $C$9, 100%, $E$9)</f>
        <v>34.479199999999999</v>
      </c>
      <c r="K995" s="54">
        <f>CHOOSE(CONTROL!$C$42, 34.4627, 34.4627) * CHOOSE(CONTROL!$C$21, $C$9, 100%, $E$9)</f>
        <v>34.462699999999998</v>
      </c>
      <c r="L995" s="10">
        <f>CHOOSE(CONTROL!$C$42, 35.145, 35.145) * CHOOSE(CONTROL!$C$21, $C$9, 100%, $E$9)</f>
        <v>35.145000000000003</v>
      </c>
      <c r="M995" s="10">
        <f>CHOOSE(CONTROL!$C$42, 34.1451, 34.1451) * CHOOSE(CONTROL!$C$21, $C$9, 100%, $E$9)</f>
        <v>34.145099999999999</v>
      </c>
      <c r="N995" s="10">
        <f>CHOOSE(CONTROL!$C$42, 34.1629, 34.1629) * CHOOSE(CONTROL!$C$21, $C$9, 100%, $E$9)</f>
        <v>34.1629</v>
      </c>
      <c r="O995" s="10">
        <f>CHOOSE(CONTROL!$C$42, 34.223, 34.223) * CHOOSE(CONTROL!$C$21, $C$9, 100%, $E$9)</f>
        <v>34.222999999999999</v>
      </c>
      <c r="P995" s="10">
        <f>CHOOSE(CONTROL!$C$42, 34.1326, 34.1326) * CHOOSE(CONTROL!$C$21, $C$9, 100%, $E$9)</f>
        <v>34.132599999999996</v>
      </c>
      <c r="Q995" s="10">
        <f>CHOOSE(CONTROL!$C$42, 34.8183, 34.8183) * CHOOSE(CONTROL!$C$21, $C$9, 100%, $E$9)</f>
        <v>34.818300000000001</v>
      </c>
      <c r="R995" s="10">
        <f>CHOOSE(CONTROL!$C$42, 35.4924, 35.4924) * CHOOSE(CONTROL!$C$21, $C$9, 100%, $E$9)</f>
        <v>35.492400000000004</v>
      </c>
      <c r="S995" s="10">
        <f>CHOOSE(CONTROL!$C$42, 33.5012, 33.5012) * CHOOSE(CONTROL!$C$21, $C$9, 100%, $E$9)</f>
        <v>33.501199999999997</v>
      </c>
      <c r="T995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95" s="58">
        <f>(1000*CHOOSE(CONTROL!$C$42, 695, 695)*CHOOSE(CONTROL!$C$42, 0.5599, 0.5599)*CHOOSE(CONTROL!$C$42, 30, 30))/1000000</f>
        <v>11.673914999999997</v>
      </c>
      <c r="V995" s="58">
        <f>(1000*CHOOSE(CONTROL!$C$42, 500, 500)*CHOOSE(CONTROL!$C$42, 0.275, 0.275)*CHOOSE(CONTROL!$C$42, 30, 30))/1000000</f>
        <v>4.125</v>
      </c>
      <c r="W995" s="58">
        <f>(1000*CHOOSE(CONTROL!$C$42, 0.1146, 0.1146)*CHOOSE(CONTROL!$C$42, 121.5, 121.5)*CHOOSE(CONTROL!$C$42, 30, 30))/1000000</f>
        <v>0.417717</v>
      </c>
      <c r="X995" s="58">
        <f>(30*0.1790888*100000/1000000)+(30*0.2374*100000/1000000)</f>
        <v>1.2494664</v>
      </c>
      <c r="Y995" s="58"/>
      <c r="Z995" s="10"/>
      <c r="AA995" s="57"/>
      <c r="AB995" s="51">
        <f>(B995*122.58+C995*297.941+D995*89.177+E995*40.302+F995*40+G995*160+H995*0+I995*100+J995*300)/(122.58+297.941+89.177+40.302+0+40+160+100+300)</f>
        <v>34.498340770434787</v>
      </c>
      <c r="AC995" s="27">
        <f>(M995*'RAP TEMPLATE-GAS AVAILABILITY'!O994+N995*'RAP TEMPLATE-GAS AVAILABILITY'!P994+O995*'RAP TEMPLATE-GAS AVAILABILITY'!Q994+P995*'RAP TEMPLATE-GAS AVAILABILITY'!R994)/('RAP TEMPLATE-GAS AVAILABILITY'!O994+'RAP TEMPLATE-GAS AVAILABILITY'!P994+'RAP TEMPLATE-GAS AVAILABILITY'!Q994+'RAP TEMPLATE-GAS AVAILABILITY'!R994)</f>
        <v>34.179633093525176</v>
      </c>
    </row>
    <row r="996" spans="1:29" ht="15.75" x14ac:dyDescent="0.25">
      <c r="A996" s="13">
        <v>71589</v>
      </c>
      <c r="B996" s="10">
        <f>CHOOSE(CONTROL!$C$42, 36.8524, 36.8524) * CHOOSE(CONTROL!$C$21, $C$9, 100%, $E$9)</f>
        <v>36.852400000000003</v>
      </c>
      <c r="C996" s="10">
        <f>CHOOSE(CONTROL!$C$42, 36.8574, 36.8574) * CHOOSE(CONTROL!$C$21, $C$9, 100%, $E$9)</f>
        <v>36.857399999999998</v>
      </c>
      <c r="D996" s="10">
        <f>CHOOSE(CONTROL!$C$42, 36.887, 36.887) * CHOOSE(CONTROL!$C$21, $C$9, 100%, $E$9)</f>
        <v>36.887</v>
      </c>
      <c r="E996" s="10">
        <f>CHOOSE(CONTROL!$C$42, 36.9208, 36.9208) * CHOOSE(CONTROL!$C$21, $C$9, 100%, $E$9)</f>
        <v>36.9208</v>
      </c>
      <c r="F996" s="10">
        <f>CHOOSE(CONTROL!$C$42, 36.8398, 36.8398)*CHOOSE(CONTROL!$C$21, $C$9, 100%, $E$9)</f>
        <v>36.839799999999997</v>
      </c>
      <c r="G996" s="10">
        <f>CHOOSE(CONTROL!$C$42, 36.8582, 36.8582)*CHOOSE(CONTROL!$C$21, $C$9, 100%, $E$9)</f>
        <v>36.858199999999997</v>
      </c>
      <c r="H996" s="10">
        <f>CHOOSE(CONTROL!$C$42, 36.91, 36.91) * CHOOSE(CONTROL!$C$21, $C$9, 100%, $E$9)</f>
        <v>36.909999999999997</v>
      </c>
      <c r="I996" s="10">
        <f>CHOOSE(CONTROL!$C$42, 36.8186, 36.8186)* CHOOSE(CONTROL!$C$21, $C$9, 100%, $E$9)</f>
        <v>36.818600000000004</v>
      </c>
      <c r="J996" s="10">
        <f>CHOOSE(CONTROL!$C$42, 36.8328, 36.8328)* CHOOSE(CONTROL!$C$21, $C$9, 100%, $E$9)</f>
        <v>36.832799999999999</v>
      </c>
      <c r="K996" s="54">
        <f>CHOOSE(CONTROL!$C$42, 36.8147, 36.8147) * CHOOSE(CONTROL!$C$21, $C$9, 100%, $E$9)</f>
        <v>36.814700000000002</v>
      </c>
      <c r="L996" s="10">
        <f>CHOOSE(CONTROL!$C$42, 37.497, 37.497) * CHOOSE(CONTROL!$C$21, $C$9, 100%, $E$9)</f>
        <v>37.497</v>
      </c>
      <c r="M996" s="10">
        <f>CHOOSE(CONTROL!$C$42, 36.4749, 36.4749) * CHOOSE(CONTROL!$C$21, $C$9, 100%, $E$9)</f>
        <v>36.474899999999998</v>
      </c>
      <c r="N996" s="10">
        <f>CHOOSE(CONTROL!$C$42, 36.4931, 36.4931) * CHOOSE(CONTROL!$C$21, $C$9, 100%, $E$9)</f>
        <v>36.493099999999998</v>
      </c>
      <c r="O996" s="10">
        <f>CHOOSE(CONTROL!$C$42, 36.5513, 36.5513) * CHOOSE(CONTROL!$C$21, $C$9, 100%, $E$9)</f>
        <v>36.551299999999998</v>
      </c>
      <c r="P996" s="10">
        <f>CHOOSE(CONTROL!$C$42, 36.4609, 36.4609) * CHOOSE(CONTROL!$C$21, $C$9, 100%, $E$9)</f>
        <v>36.460900000000002</v>
      </c>
      <c r="Q996" s="10">
        <f>CHOOSE(CONTROL!$C$42, 37.1466, 37.1466) * CHOOSE(CONTROL!$C$21, $C$9, 100%, $E$9)</f>
        <v>37.146599999999999</v>
      </c>
      <c r="R996" s="10">
        <f>CHOOSE(CONTROL!$C$42, 37.8265, 37.8265) * CHOOSE(CONTROL!$C$21, $C$9, 100%, $E$9)</f>
        <v>37.826500000000003</v>
      </c>
      <c r="S996" s="10">
        <f>CHOOSE(CONTROL!$C$42, 35.7853, 35.7853) * CHOOSE(CONTROL!$C$21, $C$9, 100%, $E$9)</f>
        <v>35.785299999999999</v>
      </c>
      <c r="T996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96" s="58">
        <f>(1000*CHOOSE(CONTROL!$C$42, 695, 695)*CHOOSE(CONTROL!$C$42, 0.5599, 0.5599)*CHOOSE(CONTROL!$C$42, 31, 31))/1000000</f>
        <v>12.063045499999998</v>
      </c>
      <c r="V996" s="58">
        <f>(1000*CHOOSE(CONTROL!$C$42, 500, 500)*CHOOSE(CONTROL!$C$42, 0.275, 0.275)*CHOOSE(CONTROL!$C$42, 31, 31))/1000000</f>
        <v>4.2625000000000002</v>
      </c>
      <c r="W996" s="58">
        <f>(1000*CHOOSE(CONTROL!$C$42, 0.1146, 0.1146)*CHOOSE(CONTROL!$C$42, 121.5, 121.5)*CHOOSE(CONTROL!$C$42, 31, 31))/1000000</f>
        <v>0.43164089999999994</v>
      </c>
      <c r="X996" s="58">
        <f>(31*0.1790888*100000/1000000)+(31*0.2374*100000/1000000)</f>
        <v>1.2911152800000001</v>
      </c>
      <c r="Y996" s="58"/>
      <c r="Z996" s="10"/>
      <c r="AA996" s="57"/>
      <c r="AB996" s="51">
        <f>(B996*122.58+C996*297.941+D996*89.177+E996*40.302+F996*40+G996*160+H996*0+I996*100+J996*300)/(122.58+297.941+89.177+40.302+0+40+160+100+300)</f>
        <v>36.851092074782606</v>
      </c>
      <c r="AC996" s="27">
        <f>(M996*'RAP TEMPLATE-GAS AVAILABILITY'!O995+N996*'RAP TEMPLATE-GAS AVAILABILITY'!P995+O996*'RAP TEMPLATE-GAS AVAILABILITY'!Q995+P996*'RAP TEMPLATE-GAS AVAILABILITY'!R995)/('RAP TEMPLATE-GAS AVAILABILITY'!O995+'RAP TEMPLATE-GAS AVAILABILITY'!P995+'RAP TEMPLATE-GAS AVAILABILITY'!Q995+'RAP TEMPLATE-GAS AVAILABILITY'!R995)</f>
        <v>36.508560431654672</v>
      </c>
    </row>
    <row r="997" spans="1:29" ht="15.75" x14ac:dyDescent="0.25">
      <c r="A997" s="13">
        <v>71620</v>
      </c>
      <c r="B997" s="10">
        <f>CHOOSE(CONTROL!$C$42, 39.3396, 39.3396) * CHOOSE(CONTROL!$C$21, $C$9, 100%, $E$9)</f>
        <v>39.339599999999997</v>
      </c>
      <c r="C997" s="10">
        <f>CHOOSE(CONTROL!$C$42, 39.3445, 39.3445) * CHOOSE(CONTROL!$C$21, $C$9, 100%, $E$9)</f>
        <v>39.344499999999996</v>
      </c>
      <c r="D997" s="10">
        <f>CHOOSE(CONTROL!$C$42, 39.3947, 39.3947) * CHOOSE(CONTROL!$C$21, $C$9, 100%, $E$9)</f>
        <v>39.3947</v>
      </c>
      <c r="E997" s="10">
        <f>CHOOSE(CONTROL!$C$42, 39.4285, 39.4285) * CHOOSE(CONTROL!$C$21, $C$9, 100%, $E$9)</f>
        <v>39.4285</v>
      </c>
      <c r="F997" s="10">
        <f>CHOOSE(CONTROL!$C$42, 39.3049, 39.3049)*CHOOSE(CONTROL!$C$21, $C$9, 100%, $E$9)</f>
        <v>39.304900000000004</v>
      </c>
      <c r="G997" s="10">
        <f>CHOOSE(CONTROL!$C$42, 39.3225, 39.3225)*CHOOSE(CONTROL!$C$21, $C$9, 100%, $E$9)</f>
        <v>39.322499999999998</v>
      </c>
      <c r="H997" s="10">
        <f>CHOOSE(CONTROL!$C$42, 39.4177, 39.4177) * CHOOSE(CONTROL!$C$21, $C$9, 100%, $E$9)</f>
        <v>39.417700000000004</v>
      </c>
      <c r="I997" s="10">
        <f>CHOOSE(CONTROL!$C$42, 39.3135, 39.3135)* CHOOSE(CONTROL!$C$21, $C$9, 100%, $E$9)</f>
        <v>39.313499999999998</v>
      </c>
      <c r="J997" s="10">
        <f>CHOOSE(CONTROL!$C$42, 39.2979, 39.2979)* CHOOSE(CONTROL!$C$21, $C$9, 100%, $E$9)</f>
        <v>39.297899999999998</v>
      </c>
      <c r="K997" s="54">
        <f>CHOOSE(CONTROL!$C$42, 39.3096, 39.3096) * CHOOSE(CONTROL!$C$21, $C$9, 100%, $E$9)</f>
        <v>39.309600000000003</v>
      </c>
      <c r="L997" s="10">
        <f>CHOOSE(CONTROL!$C$42, 40.0047, 40.0047) * CHOOSE(CONTROL!$C$21, $C$9, 100%, $E$9)</f>
        <v>40.0047</v>
      </c>
      <c r="M997" s="10">
        <f>CHOOSE(CONTROL!$C$42, 38.9152, 38.9152) * CHOOSE(CONTROL!$C$21, $C$9, 100%, $E$9)</f>
        <v>38.915199999999999</v>
      </c>
      <c r="N997" s="10">
        <f>CHOOSE(CONTROL!$C$42, 38.9326, 38.9326) * CHOOSE(CONTROL!$C$21, $C$9, 100%, $E$9)</f>
        <v>38.932600000000001</v>
      </c>
      <c r="O997" s="10">
        <f>CHOOSE(CONTROL!$C$42, 39.0337, 39.0337) * CHOOSE(CONTROL!$C$21, $C$9, 100%, $E$9)</f>
        <v>39.033700000000003</v>
      </c>
      <c r="P997" s="10">
        <f>CHOOSE(CONTROL!$C$42, 38.9306, 38.9306) * CHOOSE(CONTROL!$C$21, $C$9, 100%, $E$9)</f>
        <v>38.930599999999998</v>
      </c>
      <c r="Q997" s="10">
        <f>CHOOSE(CONTROL!$C$42, 39.629, 39.629) * CHOOSE(CONTROL!$C$21, $C$9, 100%, $E$9)</f>
        <v>39.628999999999998</v>
      </c>
      <c r="R997" s="10">
        <f>CHOOSE(CONTROL!$C$42, 40.3151, 40.3151) * CHOOSE(CONTROL!$C$21, $C$9, 100%, $E$9)</f>
        <v>40.315100000000001</v>
      </c>
      <c r="S997" s="10">
        <f>CHOOSE(CONTROL!$C$42, 38.2005, 38.2005) * CHOOSE(CONTROL!$C$21, $C$9, 100%, $E$9)</f>
        <v>38.200499999999998</v>
      </c>
      <c r="T997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97" s="58">
        <f>(1000*CHOOSE(CONTROL!$C$42, 695, 695)*CHOOSE(CONTROL!$C$42, 0.5599, 0.5599)*CHOOSE(CONTROL!$C$42, 31, 31))/1000000</f>
        <v>12.063045499999998</v>
      </c>
      <c r="V997" s="58">
        <f>(1000*CHOOSE(CONTROL!$C$42, 500, 500)*CHOOSE(CONTROL!$C$42, 0.275, 0.275)*CHOOSE(CONTROL!$C$42, 31, 31))/1000000</f>
        <v>4.2625000000000002</v>
      </c>
      <c r="W997" s="58">
        <f>(1000*CHOOSE(CONTROL!$C$42, 0.1146, 0.1146)*CHOOSE(CONTROL!$C$42, 121.5, 121.5)*CHOOSE(CONTROL!$C$42, 31, 31))/1000000</f>
        <v>0.43164089999999994</v>
      </c>
      <c r="X997" s="58">
        <f>(31*0.1790888*100000/1000000)+(31*0.2374*100000/1000000)</f>
        <v>1.2911152800000001</v>
      </c>
      <c r="Y997" s="58"/>
      <c r="Z997" s="10"/>
      <c r="AA997" s="57"/>
      <c r="AB997" s="51">
        <f>(B997*122.58+C997*297.941+D997*89.177+E997*40.302+F997*40+G997*160+H997*0+I997*100+J997*300)/(122.58+297.941+89.177+40.302+0+40+160+100+300)</f>
        <v>39.331523835999995</v>
      </c>
      <c r="AC997" s="27">
        <f>(M997*'RAP TEMPLATE-GAS AVAILABILITY'!O996+N997*'RAP TEMPLATE-GAS AVAILABILITY'!P996+O997*'RAP TEMPLATE-GAS AVAILABILITY'!Q996+P997*'RAP TEMPLATE-GAS AVAILABILITY'!R996)/('RAP TEMPLATE-GAS AVAILABILITY'!O996+'RAP TEMPLATE-GAS AVAILABILITY'!P996+'RAP TEMPLATE-GAS AVAILABILITY'!Q996+'RAP TEMPLATE-GAS AVAILABILITY'!R996)</f>
        <v>38.972125899280577</v>
      </c>
    </row>
    <row r="998" spans="1:29" ht="15.75" x14ac:dyDescent="0.25">
      <c r="A998" s="13">
        <v>71649</v>
      </c>
      <c r="B998" s="10">
        <f>CHOOSE(CONTROL!$C$42, 40.0398, 40.0398) * CHOOSE(CONTROL!$C$21, $C$9, 100%, $E$9)</f>
        <v>40.0398</v>
      </c>
      <c r="C998" s="10">
        <f>CHOOSE(CONTROL!$C$42, 40.0448, 40.0448) * CHOOSE(CONTROL!$C$21, $C$9, 100%, $E$9)</f>
        <v>40.044800000000002</v>
      </c>
      <c r="D998" s="10">
        <f>CHOOSE(CONTROL!$C$42, 40.1619, 40.1619) * CHOOSE(CONTROL!$C$21, $C$9, 100%, $E$9)</f>
        <v>40.161900000000003</v>
      </c>
      <c r="E998" s="10">
        <f>CHOOSE(CONTROL!$C$42, 40.1957, 40.1957) * CHOOSE(CONTROL!$C$21, $C$9, 100%, $E$9)</f>
        <v>40.195700000000002</v>
      </c>
      <c r="F998" s="10">
        <f>CHOOSE(CONTROL!$C$42, 40.1174, 40.1174)*CHOOSE(CONTROL!$C$21, $C$9, 100%, $E$9)</f>
        <v>40.117400000000004</v>
      </c>
      <c r="G998" s="10">
        <f>CHOOSE(CONTROL!$C$42, 40.1393, 40.1393)*CHOOSE(CONTROL!$C$21, $C$9, 100%, $E$9)</f>
        <v>40.139299999999999</v>
      </c>
      <c r="H998" s="10">
        <f>CHOOSE(CONTROL!$C$42, 40.1849, 40.1849) * CHOOSE(CONTROL!$C$21, $C$9, 100%, $E$9)</f>
        <v>40.184899999999999</v>
      </c>
      <c r="I998" s="10">
        <f>CHOOSE(CONTROL!$C$42, 40.0755, 40.0755)* CHOOSE(CONTROL!$C$21, $C$9, 100%, $E$9)</f>
        <v>40.075499999999998</v>
      </c>
      <c r="J998" s="10">
        <f>CHOOSE(CONTROL!$C$42, 40.1104, 40.1104)* CHOOSE(CONTROL!$C$21, $C$9, 100%, $E$9)</f>
        <v>40.110399999999998</v>
      </c>
      <c r="K998" s="54">
        <f>CHOOSE(CONTROL!$C$42, 40.0716, 40.0716) * CHOOSE(CONTROL!$C$21, $C$9, 100%, $E$9)</f>
        <v>40.071599999999997</v>
      </c>
      <c r="L998" s="10">
        <f>CHOOSE(CONTROL!$C$42, 40.7719, 40.7719) * CHOOSE(CONTROL!$C$21, $C$9, 100%, $E$9)</f>
        <v>40.771900000000002</v>
      </c>
      <c r="M998" s="10">
        <f>CHOOSE(CONTROL!$C$42, 39.7195, 39.7195) * CHOOSE(CONTROL!$C$21, $C$9, 100%, $E$9)</f>
        <v>39.719499999999996</v>
      </c>
      <c r="N998" s="10">
        <f>CHOOSE(CONTROL!$C$42, 39.7412, 39.7412) * CHOOSE(CONTROL!$C$21, $C$9, 100%, $E$9)</f>
        <v>39.741199999999999</v>
      </c>
      <c r="O998" s="10">
        <f>CHOOSE(CONTROL!$C$42, 39.7932, 39.7932) * CHOOSE(CONTROL!$C$21, $C$9, 100%, $E$9)</f>
        <v>39.793199999999999</v>
      </c>
      <c r="P998" s="10">
        <f>CHOOSE(CONTROL!$C$42, 39.6849, 39.6849) * CHOOSE(CONTROL!$C$21, $C$9, 100%, $E$9)</f>
        <v>39.684899999999999</v>
      </c>
      <c r="Q998" s="10">
        <f>CHOOSE(CONTROL!$C$42, 40.3885, 40.3885) * CHOOSE(CONTROL!$C$21, $C$9, 100%, $E$9)</f>
        <v>40.388500000000001</v>
      </c>
      <c r="R998" s="10">
        <f>CHOOSE(CONTROL!$C$42, 41.0765, 41.0765) * CHOOSE(CONTROL!$C$21, $C$9, 100%, $E$9)</f>
        <v>41.076500000000003</v>
      </c>
      <c r="S998" s="10">
        <f>CHOOSE(CONTROL!$C$42, 38.8805, 38.8805) * CHOOSE(CONTROL!$C$21, $C$9, 100%, $E$9)</f>
        <v>38.880499999999998</v>
      </c>
      <c r="T998" s="5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998" s="58">
        <f>(1000*CHOOSE(CONTROL!$C$42, 695, 695)*CHOOSE(CONTROL!$C$42, 0.5599, 0.5599)*CHOOSE(CONTROL!$C$42, 29, 29))/1000000</f>
        <v>11.284784499999999</v>
      </c>
      <c r="V998" s="58">
        <f>(1000*CHOOSE(CONTROL!$C$42, 500, 500)*CHOOSE(CONTROL!$C$42, 0.275, 0.275)*CHOOSE(CONTROL!$C$42, 29, 29))/1000000</f>
        <v>3.9874999999999998</v>
      </c>
      <c r="W998" s="58">
        <f>(1000*CHOOSE(CONTROL!$C$42, 0.1146, 0.1146)*CHOOSE(CONTROL!$C$42, 121.5, 121.5)*CHOOSE(CONTROL!$C$42, 29, 29))/1000000</f>
        <v>0.40379309999999996</v>
      </c>
      <c r="X998" s="58">
        <f>(29*0.1790888*100000/1000000)+(29*0.2374*100000/1000000)</f>
        <v>1.2078175199999999</v>
      </c>
      <c r="Y998" s="58"/>
      <c r="Z998" s="10"/>
      <c r="AA998" s="57"/>
      <c r="AB998" s="51">
        <f>(B998*122.58+C998*297.941+D998*89.177+E998*40.302+F998*40+G998*160+H998*0+I998*100+J998*300)/(122.58+297.941+89.177+40.302+0+40+160+100+300)</f>
        <v>40.094091563913047</v>
      </c>
      <c r="AC998" s="27">
        <f>(M998*'RAP TEMPLATE-GAS AVAILABILITY'!O997+N998*'RAP TEMPLATE-GAS AVAILABILITY'!P997+O998*'RAP TEMPLATE-GAS AVAILABILITY'!Q997+P998*'RAP TEMPLATE-GAS AVAILABILITY'!R997)/('RAP TEMPLATE-GAS AVAILABILITY'!O997+'RAP TEMPLATE-GAS AVAILABILITY'!P997+'RAP TEMPLATE-GAS AVAILABILITY'!Q997+'RAP TEMPLATE-GAS AVAILABILITY'!R997)</f>
        <v>39.749174100719422</v>
      </c>
    </row>
    <row r="999" spans="1:29" ht="15.75" x14ac:dyDescent="0.25">
      <c r="A999" s="13">
        <v>71680</v>
      </c>
      <c r="B999" s="10">
        <f>CHOOSE(CONTROL!$C$42, 38.9032, 38.9032) * CHOOSE(CONTROL!$C$21, $C$9, 100%, $E$9)</f>
        <v>38.903199999999998</v>
      </c>
      <c r="C999" s="10">
        <f>CHOOSE(CONTROL!$C$42, 38.9081, 38.9081) * CHOOSE(CONTROL!$C$21, $C$9, 100%, $E$9)</f>
        <v>38.908099999999997</v>
      </c>
      <c r="D999" s="10">
        <f>CHOOSE(CONTROL!$C$42, 38.9995, 38.9995) * CHOOSE(CONTROL!$C$21, $C$9, 100%, $E$9)</f>
        <v>38.999499999999998</v>
      </c>
      <c r="E999" s="10">
        <f>CHOOSE(CONTROL!$C$42, 39.0333, 39.0333) * CHOOSE(CONTROL!$C$21, $C$9, 100%, $E$9)</f>
        <v>39.033299999999997</v>
      </c>
      <c r="F999" s="10">
        <f>CHOOSE(CONTROL!$C$42, 38.933, 38.933)*CHOOSE(CONTROL!$C$21, $C$9, 100%, $E$9)</f>
        <v>38.933</v>
      </c>
      <c r="G999" s="10">
        <f>CHOOSE(CONTROL!$C$42, 38.9525, 38.9525)*CHOOSE(CONTROL!$C$21, $C$9, 100%, $E$9)</f>
        <v>38.952500000000001</v>
      </c>
      <c r="H999" s="10">
        <f>CHOOSE(CONTROL!$C$42, 39.0225, 39.0225) * CHOOSE(CONTROL!$C$21, $C$9, 100%, $E$9)</f>
        <v>39.022500000000001</v>
      </c>
      <c r="I999" s="10">
        <f>CHOOSE(CONTROL!$C$42, 38.926, 38.926)* CHOOSE(CONTROL!$C$21, $C$9, 100%, $E$9)</f>
        <v>38.926000000000002</v>
      </c>
      <c r="J999" s="10">
        <f>CHOOSE(CONTROL!$C$42, 38.926, 38.926)* CHOOSE(CONTROL!$C$21, $C$9, 100%, $E$9)</f>
        <v>38.926000000000002</v>
      </c>
      <c r="K999" s="54">
        <f>CHOOSE(CONTROL!$C$42, 38.9221, 38.9221) * CHOOSE(CONTROL!$C$21, $C$9, 100%, $E$9)</f>
        <v>38.9221</v>
      </c>
      <c r="L999" s="10">
        <f>CHOOSE(CONTROL!$C$42, 39.6095, 39.6095) * CHOOSE(CONTROL!$C$21, $C$9, 100%, $E$9)</f>
        <v>39.609499999999997</v>
      </c>
      <c r="M999" s="10">
        <f>CHOOSE(CONTROL!$C$42, 38.547, 38.547) * CHOOSE(CONTROL!$C$21, $C$9, 100%, $E$9)</f>
        <v>38.546999999999997</v>
      </c>
      <c r="N999" s="10">
        <f>CHOOSE(CONTROL!$C$42, 38.5663, 38.5663) * CHOOSE(CONTROL!$C$21, $C$9, 100%, $E$9)</f>
        <v>38.566299999999998</v>
      </c>
      <c r="O999" s="10">
        <f>CHOOSE(CONTROL!$C$42, 38.6425, 38.6425) * CHOOSE(CONTROL!$C$21, $C$9, 100%, $E$9)</f>
        <v>38.642499999999998</v>
      </c>
      <c r="P999" s="10">
        <f>CHOOSE(CONTROL!$C$42, 38.547, 38.547) * CHOOSE(CONTROL!$C$21, $C$9, 100%, $E$9)</f>
        <v>38.546999999999997</v>
      </c>
      <c r="Q999" s="10">
        <f>CHOOSE(CONTROL!$C$42, 39.2378, 39.2378) * CHOOSE(CONTROL!$C$21, $C$9, 100%, $E$9)</f>
        <v>39.2378</v>
      </c>
      <c r="R999" s="10">
        <f>CHOOSE(CONTROL!$C$42, 39.9229, 39.9229) * CHOOSE(CONTROL!$C$21, $C$9, 100%, $E$9)</f>
        <v>39.922899999999998</v>
      </c>
      <c r="S999" s="10">
        <f>CHOOSE(CONTROL!$C$42, 37.7767, 37.7767) * CHOOSE(CONTROL!$C$21, $C$9, 100%, $E$9)</f>
        <v>37.776699999999998</v>
      </c>
      <c r="T999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99" s="58">
        <f>(1000*CHOOSE(CONTROL!$C$42, 695, 695)*CHOOSE(CONTROL!$C$42, 0.5599, 0.5599)*CHOOSE(CONTROL!$C$42, 31, 31))/1000000</f>
        <v>12.063045499999998</v>
      </c>
      <c r="V999" s="58">
        <f>(1000*CHOOSE(CONTROL!$C$42, 500, 500)*CHOOSE(CONTROL!$C$42, 0.275, 0.275)*CHOOSE(CONTROL!$C$42, 31, 31))/1000000</f>
        <v>4.2625000000000002</v>
      </c>
      <c r="W999" s="58">
        <f>(1000*CHOOSE(CONTROL!$C$42, 0.1146, 0.1146)*CHOOSE(CONTROL!$C$42, 121.5, 121.5)*CHOOSE(CONTROL!$C$42, 31, 31))/1000000</f>
        <v>0.43164089999999994</v>
      </c>
      <c r="X999" s="58">
        <f>(31*0.1790888*100000/1000000)+(31*0.2374*100000/1000000)</f>
        <v>1.2911152800000001</v>
      </c>
      <c r="Y999" s="58"/>
      <c r="Z999" s="10"/>
      <c r="AA999" s="57"/>
      <c r="AB999" s="51">
        <f>(B999*122.58+C999*297.941+D999*89.177+E999*40.302+F999*40+G999*160+H999*0+I999*100+J999*300)/(122.58+297.941+89.177+40.302+0+40+160+100+300)</f>
        <v>38.932322561913047</v>
      </c>
      <c r="AC999" s="27">
        <f>(M999*'RAP TEMPLATE-GAS AVAILABILITY'!O998+N999*'RAP TEMPLATE-GAS AVAILABILITY'!P998+O999*'RAP TEMPLATE-GAS AVAILABILITY'!Q998+P999*'RAP TEMPLATE-GAS AVAILABILITY'!R998)/('RAP TEMPLATE-GAS AVAILABILITY'!O998+'RAP TEMPLATE-GAS AVAILABILITY'!P998+'RAP TEMPLATE-GAS AVAILABILITY'!Q998+'RAP TEMPLATE-GAS AVAILABILITY'!R998)</f>
        <v>38.591394964028773</v>
      </c>
    </row>
    <row r="1000" spans="1:29" ht="15.75" x14ac:dyDescent="0.25">
      <c r="A1000" s="13">
        <v>71710</v>
      </c>
      <c r="B1000" s="10">
        <f>CHOOSE(CONTROL!$C$42, 38.7875, 38.7875) * CHOOSE(CONTROL!$C$21, $C$9, 100%, $E$9)</f>
        <v>38.787500000000001</v>
      </c>
      <c r="C1000" s="10">
        <f>CHOOSE(CONTROL!$C$42, 38.7918, 38.7918) * CHOOSE(CONTROL!$C$21, $C$9, 100%, $E$9)</f>
        <v>38.791800000000002</v>
      </c>
      <c r="D1000" s="10">
        <f>CHOOSE(CONTROL!$C$42, 38.9735, 38.9735) * CHOOSE(CONTROL!$C$21, $C$9, 100%, $E$9)</f>
        <v>38.973500000000001</v>
      </c>
      <c r="E1000" s="10">
        <f>CHOOSE(CONTROL!$C$42, 39.0053, 39.0053) * CHOOSE(CONTROL!$C$21, $C$9, 100%, $E$9)</f>
        <v>39.005299999999998</v>
      </c>
      <c r="F1000" s="10">
        <f>CHOOSE(CONTROL!$C$42, 38.7758, 38.7758)*CHOOSE(CONTROL!$C$21, $C$9, 100%, $E$9)</f>
        <v>38.775799999999997</v>
      </c>
      <c r="G1000" s="10">
        <f>CHOOSE(CONTROL!$C$42, 38.7938, 38.7938)*CHOOSE(CONTROL!$C$21, $C$9, 100%, $E$9)</f>
        <v>38.793799999999997</v>
      </c>
      <c r="H1000" s="10">
        <f>CHOOSE(CONTROL!$C$42, 38.9951, 38.9951) * CHOOSE(CONTROL!$C$21, $C$9, 100%, $E$9)</f>
        <v>38.995100000000001</v>
      </c>
      <c r="I1000" s="10">
        <f>CHOOSE(CONTROL!$C$42, 38.7657, 38.7657)* CHOOSE(CONTROL!$C$21, $C$9, 100%, $E$9)</f>
        <v>38.765700000000002</v>
      </c>
      <c r="J1000" s="10">
        <f>CHOOSE(CONTROL!$C$42, 38.7688, 38.7688)* CHOOSE(CONTROL!$C$21, $C$9, 100%, $E$9)</f>
        <v>38.768799999999999</v>
      </c>
      <c r="K1000" s="54">
        <f>CHOOSE(CONTROL!$C$42, 38.7618, 38.7618) * CHOOSE(CONTROL!$C$21, $C$9, 100%, $E$9)</f>
        <v>38.761800000000001</v>
      </c>
      <c r="L1000" s="10">
        <f>CHOOSE(CONTROL!$C$42, 39.5821, 39.5821) * CHOOSE(CONTROL!$C$21, $C$9, 100%, $E$9)</f>
        <v>39.582099999999997</v>
      </c>
      <c r="M1000" s="10">
        <f>CHOOSE(CONTROL!$C$42, 38.3914, 38.3914) * CHOOSE(CONTROL!$C$21, $C$9, 100%, $E$9)</f>
        <v>38.391399999999997</v>
      </c>
      <c r="N1000" s="10">
        <f>CHOOSE(CONTROL!$C$42, 38.4092, 38.4092) * CHOOSE(CONTROL!$C$21, $C$9, 100%, $E$9)</f>
        <v>38.409199999999998</v>
      </c>
      <c r="O1000" s="10">
        <f>CHOOSE(CONTROL!$C$42, 38.6154, 38.6154) * CHOOSE(CONTROL!$C$21, $C$9, 100%, $E$9)</f>
        <v>38.615400000000001</v>
      </c>
      <c r="P1000" s="10">
        <f>CHOOSE(CONTROL!$C$42, 38.3884, 38.3884) * CHOOSE(CONTROL!$C$21, $C$9, 100%, $E$9)</f>
        <v>38.388399999999997</v>
      </c>
      <c r="Q1000" s="10">
        <f>CHOOSE(CONTROL!$C$42, 39.2107, 39.2107) * CHOOSE(CONTROL!$C$21, $C$9, 100%, $E$9)</f>
        <v>39.210700000000003</v>
      </c>
      <c r="R1000" s="10">
        <f>CHOOSE(CONTROL!$C$42, 39.8957, 39.8957) * CHOOSE(CONTROL!$C$21, $C$9, 100%, $E$9)</f>
        <v>39.895699999999998</v>
      </c>
      <c r="S1000" s="10">
        <f>CHOOSE(CONTROL!$C$42, 37.6636, 37.6636) * CHOOSE(CONTROL!$C$21, $C$9, 100%, $E$9)</f>
        <v>37.663600000000002</v>
      </c>
      <c r="T1000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000" s="58">
        <f>(1000*CHOOSE(CONTROL!$C$42, 695, 695)*CHOOSE(CONTROL!$C$42, 0.5599, 0.5599)*CHOOSE(CONTROL!$C$42, 30, 30))/1000000</f>
        <v>11.673914999999997</v>
      </c>
      <c r="V1000" s="58">
        <f>(1000*CHOOSE(CONTROL!$C$42, 500, 500)*CHOOSE(CONTROL!$C$42, 0.275, 0.275)*CHOOSE(CONTROL!$C$42, 30, 30))/1000000</f>
        <v>4.125</v>
      </c>
      <c r="W1000" s="58">
        <f>(1000*CHOOSE(CONTROL!$C$42, 0.1146, 0.1146)*CHOOSE(CONTROL!$C$42, 121.5, 121.5)*CHOOSE(CONTROL!$C$42, 30, 30))/1000000</f>
        <v>0.417717</v>
      </c>
      <c r="X1000" s="58">
        <f>(30*0.1790888*245000/1000000)+(30*0.2374*100000/1000000)</f>
        <v>2.0285026799999999</v>
      </c>
      <c r="Y1000" s="58"/>
      <c r="Z1000" s="10"/>
      <c r="AA1000" s="57"/>
      <c r="AB1000" s="51">
        <f>(B1000*141.293+C1000*267.993+D1000*115.016+E1000*89.698+F1000*40+G1000*185+H1000*0+I1000*100+J1000*300)/(141.293+267.993+115.016+89.698+0+40+185+100+300)</f>
        <v>38.815739766182404</v>
      </c>
      <c r="AC1000" s="27">
        <f>(M1000*'RAP TEMPLATE-GAS AVAILABILITY'!O999+N1000*'RAP TEMPLATE-GAS AVAILABILITY'!P999+O1000*'RAP TEMPLATE-GAS AVAILABILITY'!Q999+P1000*'RAP TEMPLATE-GAS AVAILABILITY'!R999)/('RAP TEMPLATE-GAS AVAILABILITY'!O999+'RAP TEMPLATE-GAS AVAILABILITY'!P999+'RAP TEMPLATE-GAS AVAILABILITY'!Q999+'RAP TEMPLATE-GAS AVAILABILITY'!R999)</f>
        <v>38.493517985611511</v>
      </c>
    </row>
    <row r="1001" spans="1:29" ht="15.75" x14ac:dyDescent="0.25">
      <c r="A1001" s="13">
        <v>71741</v>
      </c>
      <c r="B1001" s="10">
        <f>CHOOSE(CONTROL!$C$42, 39.1316, 39.1316) * CHOOSE(CONTROL!$C$21, $C$9, 100%, $E$9)</f>
        <v>39.131599999999999</v>
      </c>
      <c r="C1001" s="10">
        <f>CHOOSE(CONTROL!$C$42, 39.1395, 39.1395) * CHOOSE(CONTROL!$C$21, $C$9, 100%, $E$9)</f>
        <v>39.139499999999998</v>
      </c>
      <c r="D1001" s="10">
        <f>CHOOSE(CONTROL!$C$42, 39.318, 39.318) * CHOOSE(CONTROL!$C$21, $C$9, 100%, $E$9)</f>
        <v>39.317999999999998</v>
      </c>
      <c r="E1001" s="10">
        <f>CHOOSE(CONTROL!$C$42, 39.3491, 39.3491) * CHOOSE(CONTROL!$C$21, $C$9, 100%, $E$9)</f>
        <v>39.3491</v>
      </c>
      <c r="F1001" s="10">
        <f>CHOOSE(CONTROL!$C$42, 39.1177, 39.1177)*CHOOSE(CONTROL!$C$21, $C$9, 100%, $E$9)</f>
        <v>39.117699999999999</v>
      </c>
      <c r="G1001" s="10">
        <f>CHOOSE(CONTROL!$C$42, 39.1359, 39.1359)*CHOOSE(CONTROL!$C$21, $C$9, 100%, $E$9)</f>
        <v>39.135899999999999</v>
      </c>
      <c r="H1001" s="10">
        <f>CHOOSE(CONTROL!$C$42, 39.3378, 39.3378) * CHOOSE(CONTROL!$C$21, $C$9, 100%, $E$9)</f>
        <v>39.337800000000001</v>
      </c>
      <c r="I1001" s="10">
        <f>CHOOSE(CONTROL!$C$42, 39.1084, 39.1084)* CHOOSE(CONTROL!$C$21, $C$9, 100%, $E$9)</f>
        <v>39.108400000000003</v>
      </c>
      <c r="J1001" s="10">
        <f>CHOOSE(CONTROL!$C$42, 39.1107, 39.1107)* CHOOSE(CONTROL!$C$21, $C$9, 100%, $E$9)</f>
        <v>39.110700000000001</v>
      </c>
      <c r="K1001" s="54">
        <f>CHOOSE(CONTROL!$C$42, 39.1045, 39.1045) * CHOOSE(CONTROL!$C$21, $C$9, 100%, $E$9)</f>
        <v>39.104500000000002</v>
      </c>
      <c r="L1001" s="10">
        <f>CHOOSE(CONTROL!$C$42, 39.9248, 39.9248) * CHOOSE(CONTROL!$C$21, $C$9, 100%, $E$9)</f>
        <v>39.924799999999998</v>
      </c>
      <c r="M1001" s="10">
        <f>CHOOSE(CONTROL!$C$42, 38.7299, 38.7299) * CHOOSE(CONTROL!$C$21, $C$9, 100%, $E$9)</f>
        <v>38.729900000000001</v>
      </c>
      <c r="N1001" s="10">
        <f>CHOOSE(CONTROL!$C$42, 38.7479, 38.7479) * CHOOSE(CONTROL!$C$21, $C$9, 100%, $E$9)</f>
        <v>38.747900000000001</v>
      </c>
      <c r="O1001" s="10">
        <f>CHOOSE(CONTROL!$C$42, 38.9546, 38.9546) * CHOOSE(CONTROL!$C$21, $C$9, 100%, $E$9)</f>
        <v>38.954599999999999</v>
      </c>
      <c r="P1001" s="10">
        <f>CHOOSE(CONTROL!$C$42, 38.7276, 38.7276) * CHOOSE(CONTROL!$C$21, $C$9, 100%, $E$9)</f>
        <v>38.727600000000002</v>
      </c>
      <c r="Q1001" s="10">
        <f>CHOOSE(CONTROL!$C$42, 39.5499, 39.5499) * CHOOSE(CONTROL!$C$21, $C$9, 100%, $E$9)</f>
        <v>39.549900000000001</v>
      </c>
      <c r="R1001" s="10">
        <f>CHOOSE(CONTROL!$C$42, 40.2358, 40.2358) * CHOOSE(CONTROL!$C$21, $C$9, 100%, $E$9)</f>
        <v>40.235799999999998</v>
      </c>
      <c r="S1001" s="10">
        <f>CHOOSE(CONTROL!$C$42, 37.9964, 37.9964) * CHOOSE(CONTROL!$C$21, $C$9, 100%, $E$9)</f>
        <v>37.996400000000001</v>
      </c>
      <c r="T1001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001" s="58">
        <f>(1000*CHOOSE(CONTROL!$C$42, 695, 695)*CHOOSE(CONTROL!$C$42, 0.5599, 0.5599)*CHOOSE(CONTROL!$C$42, 31, 31))/1000000</f>
        <v>12.063045499999998</v>
      </c>
      <c r="V1001" s="58">
        <f>(1000*CHOOSE(CONTROL!$C$42, 500, 500)*CHOOSE(CONTROL!$C$42, 0.275, 0.275)*CHOOSE(CONTROL!$C$42, 31, 31))/1000000</f>
        <v>4.2625000000000002</v>
      </c>
      <c r="W1001" s="58">
        <f>(1000*CHOOSE(CONTROL!$C$42, 0.1146, 0.1146)*CHOOSE(CONTROL!$C$42, 121.5, 121.5)*CHOOSE(CONTROL!$C$42, 31, 31))/1000000</f>
        <v>0.43164089999999994</v>
      </c>
      <c r="X1001" s="58">
        <f>(31*0.1790888*245000/1000000)+(31*0.2374*100000/1000000)</f>
        <v>2.0961194359999999</v>
      </c>
      <c r="Y1001" s="58"/>
      <c r="Z1001" s="10"/>
      <c r="AA1001" s="57"/>
      <c r="AB1001" s="51">
        <f>(B1001*194.205+C1001*267.466+D1001*133.845+E1001*53.484+F1001*40+G1001*185+H1001*0+I1001*100+J1001*300)/(194.205+267.466+133.845+53.484+0+40+185+100+300)</f>
        <v>39.155417864521198</v>
      </c>
      <c r="AC1001" s="27">
        <f>(M1001*'RAP TEMPLATE-GAS AVAILABILITY'!O1000+N1001*'RAP TEMPLATE-GAS AVAILABILITY'!P1000+O1001*'RAP TEMPLATE-GAS AVAILABILITY'!Q1000+P1001*'RAP TEMPLATE-GAS AVAILABILITY'!R1000)/('RAP TEMPLATE-GAS AVAILABILITY'!O1000+'RAP TEMPLATE-GAS AVAILABILITY'!P1000+'RAP TEMPLATE-GAS AVAILABILITY'!Q1000+'RAP TEMPLATE-GAS AVAILABILITY'!R1000)</f>
        <v>38.832447482014388</v>
      </c>
    </row>
    <row r="1002" spans="1:29" ht="15.75" x14ac:dyDescent="0.25">
      <c r="A1002" s="13">
        <v>71771</v>
      </c>
      <c r="B1002" s="10">
        <f>CHOOSE(CONTROL!$C$42, 40.2414, 40.2414) * CHOOSE(CONTROL!$C$21, $C$9, 100%, $E$9)</f>
        <v>40.241399999999999</v>
      </c>
      <c r="C1002" s="10">
        <f>CHOOSE(CONTROL!$C$42, 40.2493, 40.2493) * CHOOSE(CONTROL!$C$21, $C$9, 100%, $E$9)</f>
        <v>40.249299999999998</v>
      </c>
      <c r="D1002" s="10">
        <f>CHOOSE(CONTROL!$C$42, 40.4279, 40.4279) * CHOOSE(CONTROL!$C$21, $C$9, 100%, $E$9)</f>
        <v>40.427900000000001</v>
      </c>
      <c r="E1002" s="10">
        <f>CHOOSE(CONTROL!$C$42, 40.459, 40.459) * CHOOSE(CONTROL!$C$21, $C$9, 100%, $E$9)</f>
        <v>40.459000000000003</v>
      </c>
      <c r="F1002" s="10">
        <f>CHOOSE(CONTROL!$C$42, 40.2279, 40.2279)*CHOOSE(CONTROL!$C$21, $C$9, 100%, $E$9)</f>
        <v>40.227899999999998</v>
      </c>
      <c r="G1002" s="10">
        <f>CHOOSE(CONTROL!$C$42, 40.2461, 40.2461)*CHOOSE(CONTROL!$C$21, $C$9, 100%, $E$9)</f>
        <v>40.246099999999998</v>
      </c>
      <c r="H1002" s="10">
        <f>CHOOSE(CONTROL!$C$42, 40.4476, 40.4476) * CHOOSE(CONTROL!$C$21, $C$9, 100%, $E$9)</f>
        <v>40.447600000000001</v>
      </c>
      <c r="I1002" s="10">
        <f>CHOOSE(CONTROL!$C$42, 40.2183, 40.2183)* CHOOSE(CONTROL!$C$21, $C$9, 100%, $E$9)</f>
        <v>40.218299999999999</v>
      </c>
      <c r="J1002" s="10">
        <f>CHOOSE(CONTROL!$C$42, 40.2209, 40.2209)* CHOOSE(CONTROL!$C$21, $C$9, 100%, $E$9)</f>
        <v>40.2209</v>
      </c>
      <c r="K1002" s="54">
        <f>CHOOSE(CONTROL!$C$42, 40.2144, 40.2144) * CHOOSE(CONTROL!$C$21, $C$9, 100%, $E$9)</f>
        <v>40.214399999999998</v>
      </c>
      <c r="L1002" s="10">
        <f>CHOOSE(CONTROL!$C$42, 41.0346, 41.0346) * CHOOSE(CONTROL!$C$21, $C$9, 100%, $E$9)</f>
        <v>41.034599999999998</v>
      </c>
      <c r="M1002" s="10">
        <f>CHOOSE(CONTROL!$C$42, 39.8288, 39.8288) * CHOOSE(CONTROL!$C$21, $C$9, 100%, $E$9)</f>
        <v>39.828800000000001</v>
      </c>
      <c r="N1002" s="10">
        <f>CHOOSE(CONTROL!$C$42, 39.8468, 39.8468) * CHOOSE(CONTROL!$C$21, $C$9, 100%, $E$9)</f>
        <v>39.846800000000002</v>
      </c>
      <c r="O1002" s="10">
        <f>CHOOSE(CONTROL!$C$42, 40.0533, 40.0533) * CHOOSE(CONTROL!$C$21, $C$9, 100%, $E$9)</f>
        <v>40.0533</v>
      </c>
      <c r="P1002" s="10">
        <f>CHOOSE(CONTROL!$C$42, 39.8263, 39.8263) * CHOOSE(CONTROL!$C$21, $C$9, 100%, $E$9)</f>
        <v>39.826300000000003</v>
      </c>
      <c r="Q1002" s="10">
        <f>CHOOSE(CONTROL!$C$42, 40.6486, 40.6486) * CHOOSE(CONTROL!$C$21, $C$9, 100%, $E$9)</f>
        <v>40.648600000000002</v>
      </c>
      <c r="R1002" s="10">
        <f>CHOOSE(CONTROL!$C$42, 41.3372, 41.3372) * CHOOSE(CONTROL!$C$21, $C$9, 100%, $E$9)</f>
        <v>41.337200000000003</v>
      </c>
      <c r="S1002" s="10">
        <f>CHOOSE(CONTROL!$C$42, 39.0742, 39.0742) * CHOOSE(CONTROL!$C$21, $C$9, 100%, $E$9)</f>
        <v>39.074199999999998</v>
      </c>
      <c r="T1002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002" s="58">
        <f>(1000*CHOOSE(CONTROL!$C$42, 695, 695)*CHOOSE(CONTROL!$C$42, 0.5599, 0.5599)*CHOOSE(CONTROL!$C$42, 30, 30))/1000000</f>
        <v>11.673914999999997</v>
      </c>
      <c r="V1002" s="58">
        <f>(1000*CHOOSE(CONTROL!$C$42, 500, 500)*CHOOSE(CONTROL!$C$42, 0.275, 0.275)*CHOOSE(CONTROL!$C$42, 30, 30))/1000000</f>
        <v>4.125</v>
      </c>
      <c r="W1002" s="58">
        <f>(1000*CHOOSE(CONTROL!$C$42, 0.1146, 0.1146)*CHOOSE(CONTROL!$C$42, 121.5, 121.5)*CHOOSE(CONTROL!$C$42, 30, 30))/1000000</f>
        <v>0.417717</v>
      </c>
      <c r="X1002" s="58">
        <f>(30*0.1790888*245000/1000000)+(30*0.2374*100000/1000000)</f>
        <v>2.0285026799999999</v>
      </c>
      <c r="Y1002" s="58"/>
      <c r="Z1002" s="10"/>
      <c r="AA1002" s="57"/>
      <c r="AB1002" s="51">
        <f>(B1002*194.205+C1002*267.466+D1002*133.845+E1002*53.484+F1002*40+G1002*185+H1002*0+I1002*100+J1002*300)/(194.205+267.466+133.845+53.484+0+40+185+100+300)</f>
        <v>40.265405252982731</v>
      </c>
      <c r="AC1002" s="27">
        <f>(M1002*'RAP TEMPLATE-GAS AVAILABILITY'!O1001+N1002*'RAP TEMPLATE-GAS AVAILABILITY'!P1001+O1002*'RAP TEMPLATE-GAS AVAILABILITY'!Q1001+P1002*'RAP TEMPLATE-GAS AVAILABILITY'!R1001)/('RAP TEMPLATE-GAS AVAILABILITY'!O1001+'RAP TEMPLATE-GAS AVAILABILITY'!P1001+'RAP TEMPLATE-GAS AVAILABILITY'!Q1001+'RAP TEMPLATE-GAS AVAILABILITY'!R1001)</f>
        <v>39.931228057553959</v>
      </c>
    </row>
    <row r="1003" spans="1:29" ht="15.75" x14ac:dyDescent="0.25">
      <c r="A1003" s="13">
        <v>71802</v>
      </c>
      <c r="B1003" s="10">
        <f>CHOOSE(CONTROL!$C$42, 39.4695, 39.4695) * CHOOSE(CONTROL!$C$21, $C$9, 100%, $E$9)</f>
        <v>39.469499999999996</v>
      </c>
      <c r="C1003" s="10">
        <f>CHOOSE(CONTROL!$C$42, 39.4774, 39.4774) * CHOOSE(CONTROL!$C$21, $C$9, 100%, $E$9)</f>
        <v>39.477400000000003</v>
      </c>
      <c r="D1003" s="10">
        <f>CHOOSE(CONTROL!$C$42, 39.656, 39.656) * CHOOSE(CONTROL!$C$21, $C$9, 100%, $E$9)</f>
        <v>39.655999999999999</v>
      </c>
      <c r="E1003" s="10">
        <f>CHOOSE(CONTROL!$C$42, 39.6871, 39.6871) * CHOOSE(CONTROL!$C$21, $C$9, 100%, $E$9)</f>
        <v>39.687100000000001</v>
      </c>
      <c r="F1003" s="10">
        <f>CHOOSE(CONTROL!$C$42, 39.4562, 39.4562)*CHOOSE(CONTROL!$C$21, $C$9, 100%, $E$9)</f>
        <v>39.456200000000003</v>
      </c>
      <c r="G1003" s="10">
        <f>CHOOSE(CONTROL!$C$42, 39.4745, 39.4745)*CHOOSE(CONTROL!$C$21, $C$9, 100%, $E$9)</f>
        <v>39.474499999999999</v>
      </c>
      <c r="H1003" s="10">
        <f>CHOOSE(CONTROL!$C$42, 39.6757, 39.6757) * CHOOSE(CONTROL!$C$21, $C$9, 100%, $E$9)</f>
        <v>39.675699999999999</v>
      </c>
      <c r="I1003" s="10">
        <f>CHOOSE(CONTROL!$C$42, 39.4464, 39.4464)* CHOOSE(CONTROL!$C$21, $C$9, 100%, $E$9)</f>
        <v>39.446399999999997</v>
      </c>
      <c r="J1003" s="10">
        <f>CHOOSE(CONTROL!$C$42, 39.4492, 39.4492)* CHOOSE(CONTROL!$C$21, $C$9, 100%, $E$9)</f>
        <v>39.449199999999998</v>
      </c>
      <c r="K1003" s="54">
        <f>CHOOSE(CONTROL!$C$42, 39.4425, 39.4425) * CHOOSE(CONTROL!$C$21, $C$9, 100%, $E$9)</f>
        <v>39.442500000000003</v>
      </c>
      <c r="L1003" s="10">
        <f>CHOOSE(CONTROL!$C$42, 40.2627, 40.2627) * CHOOSE(CONTROL!$C$21, $C$9, 100%, $E$9)</f>
        <v>40.262700000000002</v>
      </c>
      <c r="M1003" s="10">
        <f>CHOOSE(CONTROL!$C$42, 39.0649, 39.0649) * CHOOSE(CONTROL!$C$21, $C$9, 100%, $E$9)</f>
        <v>39.064900000000002</v>
      </c>
      <c r="N1003" s="10">
        <f>CHOOSE(CONTROL!$C$42, 39.0831, 39.0831) * CHOOSE(CONTROL!$C$21, $C$9, 100%, $E$9)</f>
        <v>39.083100000000002</v>
      </c>
      <c r="O1003" s="10">
        <f>CHOOSE(CONTROL!$C$42, 39.2892, 39.2892) * CHOOSE(CONTROL!$C$21, $C$9, 100%, $E$9)</f>
        <v>39.289200000000001</v>
      </c>
      <c r="P1003" s="10">
        <f>CHOOSE(CONTROL!$C$42, 39.0622, 39.0622) * CHOOSE(CONTROL!$C$21, $C$9, 100%, $E$9)</f>
        <v>39.062199999999997</v>
      </c>
      <c r="Q1003" s="10">
        <f>CHOOSE(CONTROL!$C$42, 39.8845, 39.8845) * CHOOSE(CONTROL!$C$21, $C$9, 100%, $E$9)</f>
        <v>39.884500000000003</v>
      </c>
      <c r="R1003" s="10">
        <f>CHOOSE(CONTROL!$C$42, 40.5712, 40.5712) * CHOOSE(CONTROL!$C$21, $C$9, 100%, $E$9)</f>
        <v>40.571199999999997</v>
      </c>
      <c r="S1003" s="10">
        <f>CHOOSE(CONTROL!$C$42, 38.3246, 38.3246) * CHOOSE(CONTROL!$C$21, $C$9, 100%, $E$9)</f>
        <v>38.324599999999997</v>
      </c>
      <c r="T1003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003" s="58">
        <f>(1000*CHOOSE(CONTROL!$C$42, 695, 695)*CHOOSE(CONTROL!$C$42, 0.5599, 0.5599)*CHOOSE(CONTROL!$C$42, 31, 31))/1000000</f>
        <v>12.063045499999998</v>
      </c>
      <c r="V1003" s="58">
        <f>(1000*CHOOSE(CONTROL!$C$42, 500, 500)*CHOOSE(CONTROL!$C$42, 0.275, 0.275)*CHOOSE(CONTROL!$C$42, 31, 31))/1000000</f>
        <v>4.2625000000000002</v>
      </c>
      <c r="W1003" s="58">
        <f>(1000*CHOOSE(CONTROL!$C$42, 0.1146, 0.1146)*CHOOSE(CONTROL!$C$42, 121.5, 121.5)*CHOOSE(CONTROL!$C$42, 31, 31))/1000000</f>
        <v>0.43164089999999994</v>
      </c>
      <c r="X1003" s="58">
        <f>(31*0.1790888*245000/1000000)+(31*0.2374*100000/1000000)</f>
        <v>2.0961194359999999</v>
      </c>
      <c r="Y1003" s="58"/>
      <c r="Z1003" s="10"/>
      <c r="AA1003" s="57"/>
      <c r="AB1003" s="51">
        <f>(B1003*194.205+C1003*267.466+D1003*133.845+E1003*53.484+F1003*40+G1003*185+H1003*0+I1003*100+J1003*300)/(194.205+267.466+133.845+53.484+0+40+185+100+300)</f>
        <v>39.493602191758242</v>
      </c>
      <c r="AC1003" s="27">
        <f>(M1003*'RAP TEMPLATE-GAS AVAILABILITY'!O1002+N1003*'RAP TEMPLATE-GAS AVAILABILITY'!P1002+O1003*'RAP TEMPLATE-GAS AVAILABILITY'!Q1002+P1003*'RAP TEMPLATE-GAS AVAILABILITY'!R1002)/('RAP TEMPLATE-GAS AVAILABILITY'!O1002+'RAP TEMPLATE-GAS AVAILABILITY'!P1002+'RAP TEMPLATE-GAS AVAILABILITY'!Q1002+'RAP TEMPLATE-GAS AVAILABILITY'!R1002)</f>
        <v>39.16722014388489</v>
      </c>
    </row>
    <row r="1004" spans="1:29" ht="15.75" x14ac:dyDescent="0.25">
      <c r="A1004" s="13">
        <v>71833</v>
      </c>
      <c r="B1004" s="10">
        <f>CHOOSE(CONTROL!$C$42, 37.5202, 37.5202) * CHOOSE(CONTROL!$C$21, $C$9, 100%, $E$9)</f>
        <v>37.520200000000003</v>
      </c>
      <c r="C1004" s="10">
        <f>CHOOSE(CONTROL!$C$42, 37.5281, 37.5281) * CHOOSE(CONTROL!$C$21, $C$9, 100%, $E$9)</f>
        <v>37.528100000000002</v>
      </c>
      <c r="D1004" s="10">
        <f>CHOOSE(CONTROL!$C$42, 37.7066, 37.7066) * CHOOSE(CONTROL!$C$21, $C$9, 100%, $E$9)</f>
        <v>37.706600000000002</v>
      </c>
      <c r="E1004" s="10">
        <f>CHOOSE(CONTROL!$C$42, 37.7378, 37.7378) * CHOOSE(CONTROL!$C$21, $C$9, 100%, $E$9)</f>
        <v>37.7378</v>
      </c>
      <c r="F1004" s="10">
        <f>CHOOSE(CONTROL!$C$42, 37.5068, 37.5068)*CHOOSE(CONTROL!$C$21, $C$9, 100%, $E$9)</f>
        <v>37.506799999999998</v>
      </c>
      <c r="G1004" s="10">
        <f>CHOOSE(CONTROL!$C$42, 37.5251, 37.5251)*CHOOSE(CONTROL!$C$21, $C$9, 100%, $E$9)</f>
        <v>37.525100000000002</v>
      </c>
      <c r="H1004" s="10">
        <f>CHOOSE(CONTROL!$C$42, 37.7264, 37.7264) * CHOOSE(CONTROL!$C$21, $C$9, 100%, $E$9)</f>
        <v>37.726399999999998</v>
      </c>
      <c r="I1004" s="10">
        <f>CHOOSE(CONTROL!$C$42, 37.497, 37.497)* CHOOSE(CONTROL!$C$21, $C$9, 100%, $E$9)</f>
        <v>37.497</v>
      </c>
      <c r="J1004" s="10">
        <f>CHOOSE(CONTROL!$C$42, 37.4998, 37.4998)* CHOOSE(CONTROL!$C$21, $C$9, 100%, $E$9)</f>
        <v>37.4998</v>
      </c>
      <c r="K1004" s="54">
        <f>CHOOSE(CONTROL!$C$42, 37.4931, 37.4931) * CHOOSE(CONTROL!$C$21, $C$9, 100%, $E$9)</f>
        <v>37.493099999999998</v>
      </c>
      <c r="L1004" s="10">
        <f>CHOOSE(CONTROL!$C$42, 38.3134, 38.3134) * CHOOSE(CONTROL!$C$21, $C$9, 100%, $E$9)</f>
        <v>38.313400000000001</v>
      </c>
      <c r="M1004" s="10">
        <f>CHOOSE(CONTROL!$C$42, 37.1352, 37.1352) * CHOOSE(CONTROL!$C$21, $C$9, 100%, $E$9)</f>
        <v>37.135199999999998</v>
      </c>
      <c r="N1004" s="10">
        <f>CHOOSE(CONTROL!$C$42, 37.1533, 37.1533) * CHOOSE(CONTROL!$C$21, $C$9, 100%, $E$9)</f>
        <v>37.153300000000002</v>
      </c>
      <c r="O1004" s="10">
        <f>CHOOSE(CONTROL!$C$42, 37.3595, 37.3595) * CHOOSE(CONTROL!$C$21, $C$9, 100%, $E$9)</f>
        <v>37.359499999999997</v>
      </c>
      <c r="P1004" s="10">
        <f>CHOOSE(CONTROL!$C$42, 37.1325, 37.1325) * CHOOSE(CONTROL!$C$21, $C$9, 100%, $E$9)</f>
        <v>37.1325</v>
      </c>
      <c r="Q1004" s="10">
        <f>CHOOSE(CONTROL!$C$42, 37.9548, 37.9548) * CHOOSE(CONTROL!$C$21, $C$9, 100%, $E$9)</f>
        <v>37.954799999999999</v>
      </c>
      <c r="R1004" s="10">
        <f>CHOOSE(CONTROL!$C$42, 38.6367, 38.6367) * CHOOSE(CONTROL!$C$21, $C$9, 100%, $E$9)</f>
        <v>38.636699999999998</v>
      </c>
      <c r="S1004" s="10">
        <f>CHOOSE(CONTROL!$C$42, 36.4316, 36.4316) * CHOOSE(CONTROL!$C$21, $C$9, 100%, $E$9)</f>
        <v>36.431600000000003</v>
      </c>
      <c r="T1004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004" s="58">
        <f>(1000*CHOOSE(CONTROL!$C$42, 695, 695)*CHOOSE(CONTROL!$C$42, 0.5599, 0.5599)*CHOOSE(CONTROL!$C$42, 31, 31))/1000000</f>
        <v>12.063045499999998</v>
      </c>
      <c r="V1004" s="58">
        <f>(1000*CHOOSE(CONTROL!$C$42, 500, 500)*CHOOSE(CONTROL!$C$42, 0.275, 0.275)*CHOOSE(CONTROL!$C$42, 31, 31))/1000000</f>
        <v>4.2625000000000002</v>
      </c>
      <c r="W1004" s="58">
        <f>(1000*CHOOSE(CONTROL!$C$42, 0.1146, 0.1146)*CHOOSE(CONTROL!$C$42, 121.5, 121.5)*CHOOSE(CONTROL!$C$42, 31, 31))/1000000</f>
        <v>0.43164089999999994</v>
      </c>
      <c r="X1004" s="58">
        <f>(31*0.1790888*245000/1000000)+(31*0.2374*100000/1000000)</f>
        <v>2.0961194359999999</v>
      </c>
      <c r="Y1004" s="58"/>
      <c r="Z1004" s="10"/>
      <c r="AA1004" s="57"/>
      <c r="AB1004" s="51">
        <f>(B1004*194.205+C1004*267.466+D1004*133.845+E1004*53.484+F1004*40+G1004*185+H1004*0+I1004*100+J1004*300)/(194.205+267.466+133.845+53.484+0+40+185+100+300)</f>
        <v>37.544242627786495</v>
      </c>
      <c r="AC1004" s="27">
        <f>(M1004*'RAP TEMPLATE-GAS AVAILABILITY'!O1003+N1004*'RAP TEMPLATE-GAS AVAILABILITY'!P1003+O1004*'RAP TEMPLATE-GAS AVAILABILITY'!Q1003+P1004*'RAP TEMPLATE-GAS AVAILABILITY'!R1003)/('RAP TEMPLATE-GAS AVAILABILITY'!O1003+'RAP TEMPLATE-GAS AVAILABILITY'!P1003+'RAP TEMPLATE-GAS AVAILABILITY'!Q1003+'RAP TEMPLATE-GAS AVAILABILITY'!R1003)</f>
        <v>37.23751438848921</v>
      </c>
    </row>
    <row r="1005" spans="1:29" ht="15.75" x14ac:dyDescent="0.25">
      <c r="A1005" s="13">
        <v>71863</v>
      </c>
      <c r="B1005" s="10">
        <f>CHOOSE(CONTROL!$C$42, 35.1384, 35.1384) * CHOOSE(CONTROL!$C$21, $C$9, 100%, $E$9)</f>
        <v>35.138399999999997</v>
      </c>
      <c r="C1005" s="10">
        <f>CHOOSE(CONTROL!$C$42, 35.1464, 35.1464) * CHOOSE(CONTROL!$C$21, $C$9, 100%, $E$9)</f>
        <v>35.1464</v>
      </c>
      <c r="D1005" s="10">
        <f>CHOOSE(CONTROL!$C$42, 35.3249, 35.3249) * CHOOSE(CONTROL!$C$21, $C$9, 100%, $E$9)</f>
        <v>35.3249</v>
      </c>
      <c r="E1005" s="10">
        <f>CHOOSE(CONTROL!$C$42, 35.356, 35.356) * CHOOSE(CONTROL!$C$21, $C$9, 100%, $E$9)</f>
        <v>35.356000000000002</v>
      </c>
      <c r="F1005" s="10">
        <f>CHOOSE(CONTROL!$C$42, 35.1248, 35.1248)*CHOOSE(CONTROL!$C$21, $C$9, 100%, $E$9)</f>
        <v>35.1248</v>
      </c>
      <c r="G1005" s="10">
        <f>CHOOSE(CONTROL!$C$42, 35.143, 35.143)*CHOOSE(CONTROL!$C$21, $C$9, 100%, $E$9)</f>
        <v>35.143000000000001</v>
      </c>
      <c r="H1005" s="10">
        <f>CHOOSE(CONTROL!$C$42, 35.3447, 35.3447) * CHOOSE(CONTROL!$C$21, $C$9, 100%, $E$9)</f>
        <v>35.344700000000003</v>
      </c>
      <c r="I1005" s="10">
        <f>CHOOSE(CONTROL!$C$42, 35.1153, 35.1153)* CHOOSE(CONTROL!$C$21, $C$9, 100%, $E$9)</f>
        <v>35.115299999999998</v>
      </c>
      <c r="J1005" s="10">
        <f>CHOOSE(CONTROL!$C$42, 35.1178, 35.1178)* CHOOSE(CONTROL!$C$21, $C$9, 100%, $E$9)</f>
        <v>35.117800000000003</v>
      </c>
      <c r="K1005" s="54">
        <f>CHOOSE(CONTROL!$C$42, 35.1114, 35.1114) * CHOOSE(CONTROL!$C$21, $C$9, 100%, $E$9)</f>
        <v>35.111400000000003</v>
      </c>
      <c r="L1005" s="10">
        <f>CHOOSE(CONTROL!$C$42, 35.9317, 35.9317) * CHOOSE(CONTROL!$C$21, $C$9, 100%, $E$9)</f>
        <v>35.931699999999999</v>
      </c>
      <c r="M1005" s="10">
        <f>CHOOSE(CONTROL!$C$42, 34.7772, 34.7772) * CHOOSE(CONTROL!$C$21, $C$9, 100%, $E$9)</f>
        <v>34.777200000000001</v>
      </c>
      <c r="N1005" s="10">
        <f>CHOOSE(CONTROL!$C$42, 34.7953, 34.7953) * CHOOSE(CONTROL!$C$21, $C$9, 100%, $E$9)</f>
        <v>34.795299999999997</v>
      </c>
      <c r="O1005" s="10">
        <f>CHOOSE(CONTROL!$C$42, 35.0018, 35.0018) * CHOOSE(CONTROL!$C$21, $C$9, 100%, $E$9)</f>
        <v>35.001800000000003</v>
      </c>
      <c r="P1005" s="10">
        <f>CHOOSE(CONTROL!$C$42, 34.7748, 34.7748) * CHOOSE(CONTROL!$C$21, $C$9, 100%, $E$9)</f>
        <v>34.774799999999999</v>
      </c>
      <c r="Q1005" s="10">
        <f>CHOOSE(CONTROL!$C$42, 35.5971, 35.5971) * CHOOSE(CONTROL!$C$21, $C$9, 100%, $E$9)</f>
        <v>35.597099999999998</v>
      </c>
      <c r="R1005" s="10">
        <f>CHOOSE(CONTROL!$C$42, 36.2731, 36.2731) * CHOOSE(CONTROL!$C$21, $C$9, 100%, $E$9)</f>
        <v>36.273099999999999</v>
      </c>
      <c r="S1005" s="10">
        <f>CHOOSE(CONTROL!$C$42, 34.1187, 34.1187) * CHOOSE(CONTROL!$C$21, $C$9, 100%, $E$9)</f>
        <v>34.118699999999997</v>
      </c>
      <c r="T1005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005" s="58">
        <f>(1000*CHOOSE(CONTROL!$C$42, 695, 695)*CHOOSE(CONTROL!$C$42, 0.5599, 0.5599)*CHOOSE(CONTROL!$C$42, 30, 30))/1000000</f>
        <v>11.673914999999997</v>
      </c>
      <c r="V1005" s="58">
        <f>(1000*CHOOSE(CONTROL!$C$42, 500, 500)*CHOOSE(CONTROL!$C$42, 0.275, 0.275)*CHOOSE(CONTROL!$C$42, 30, 30))/1000000</f>
        <v>4.125</v>
      </c>
      <c r="W1005" s="58">
        <f>(1000*CHOOSE(CONTROL!$C$42, 0.1146, 0.1146)*CHOOSE(CONTROL!$C$42, 121.5, 121.5)*CHOOSE(CONTROL!$C$42, 30, 30))/1000000</f>
        <v>0.417717</v>
      </c>
      <c r="X1005" s="58">
        <f>(30*0.1790888*245000/1000000)+(30*0.2374*100000/1000000)</f>
        <v>2.0285026799999999</v>
      </c>
      <c r="Y1005" s="58"/>
      <c r="Z1005" s="10"/>
      <c r="AA1005" s="57"/>
      <c r="AB1005" s="51">
        <f>(B1005*194.205+C1005*267.466+D1005*133.845+E1005*53.484+F1005*40+G1005*185+H1005*0+I1005*100+J1005*300)/(194.205+267.466+133.845+53.484+0+40+185+100+300)</f>
        <v>35.162385038383043</v>
      </c>
      <c r="AC1005" s="27">
        <f>(M1005*'RAP TEMPLATE-GAS AVAILABILITY'!O1004+N1005*'RAP TEMPLATE-GAS AVAILABILITY'!P1004+O1005*'RAP TEMPLATE-GAS AVAILABILITY'!Q1004+P1005*'RAP TEMPLATE-GAS AVAILABILITY'!R1004)/('RAP TEMPLATE-GAS AVAILABILITY'!O1004+'RAP TEMPLATE-GAS AVAILABILITY'!P1004+'RAP TEMPLATE-GAS AVAILABILITY'!Q1004+'RAP TEMPLATE-GAS AVAILABILITY'!R1004)</f>
        <v>34.879693525179853</v>
      </c>
    </row>
    <row r="1006" spans="1:29" ht="15.75" x14ac:dyDescent="0.25">
      <c r="A1006" s="13">
        <v>71894</v>
      </c>
      <c r="B1006" s="10">
        <f>CHOOSE(CONTROL!$C$42, 34.423, 34.423) * CHOOSE(CONTROL!$C$21, $C$9, 100%, $E$9)</f>
        <v>34.423000000000002</v>
      </c>
      <c r="C1006" s="10">
        <f>CHOOSE(CONTROL!$C$42, 34.4282, 34.4282) * CHOOSE(CONTROL!$C$21, $C$9, 100%, $E$9)</f>
        <v>34.428199999999997</v>
      </c>
      <c r="D1006" s="10">
        <f>CHOOSE(CONTROL!$C$42, 34.6117, 34.6117) * CHOOSE(CONTROL!$C$21, $C$9, 100%, $E$9)</f>
        <v>34.611699999999999</v>
      </c>
      <c r="E1006" s="10">
        <f>CHOOSE(CONTROL!$C$42, 34.6405, 34.6405) * CHOOSE(CONTROL!$C$21, $C$9, 100%, $E$9)</f>
        <v>34.640500000000003</v>
      </c>
      <c r="F1006" s="10">
        <f>CHOOSE(CONTROL!$C$42, 34.4113, 34.4113)*CHOOSE(CONTROL!$C$21, $C$9, 100%, $E$9)</f>
        <v>34.411299999999997</v>
      </c>
      <c r="G1006" s="10">
        <f>CHOOSE(CONTROL!$C$42, 34.4292, 34.4292)*CHOOSE(CONTROL!$C$21, $C$9, 100%, $E$9)</f>
        <v>34.429200000000002</v>
      </c>
      <c r="H1006" s="10">
        <f>CHOOSE(CONTROL!$C$42, 34.6309, 34.6309) * CHOOSE(CONTROL!$C$21, $C$9, 100%, $E$9)</f>
        <v>34.630899999999997</v>
      </c>
      <c r="I1006" s="10">
        <f>CHOOSE(CONTROL!$C$42, 34.4016, 34.4016)* CHOOSE(CONTROL!$C$21, $C$9, 100%, $E$9)</f>
        <v>34.401600000000002</v>
      </c>
      <c r="J1006" s="10">
        <f>CHOOSE(CONTROL!$C$42, 34.4043, 34.4043)* CHOOSE(CONTROL!$C$21, $C$9, 100%, $E$9)</f>
        <v>34.404299999999999</v>
      </c>
      <c r="K1006" s="54">
        <f>CHOOSE(CONTROL!$C$42, 34.3977, 34.3977) * CHOOSE(CONTROL!$C$21, $C$9, 100%, $E$9)</f>
        <v>34.3977</v>
      </c>
      <c r="L1006" s="10">
        <f>CHOOSE(CONTROL!$C$42, 35.2179, 35.2179) * CHOOSE(CONTROL!$C$21, $C$9, 100%, $E$9)</f>
        <v>35.2179</v>
      </c>
      <c r="M1006" s="10">
        <f>CHOOSE(CONTROL!$C$42, 34.0709, 34.0709) * CHOOSE(CONTROL!$C$21, $C$9, 100%, $E$9)</f>
        <v>34.070900000000002</v>
      </c>
      <c r="N1006" s="10">
        <f>CHOOSE(CONTROL!$C$42, 34.0886, 34.0886) * CHOOSE(CONTROL!$C$21, $C$9, 100%, $E$9)</f>
        <v>34.0886</v>
      </c>
      <c r="O1006" s="10">
        <f>CHOOSE(CONTROL!$C$42, 34.2953, 34.2953) * CHOOSE(CONTROL!$C$21, $C$9, 100%, $E$9)</f>
        <v>34.295299999999997</v>
      </c>
      <c r="P1006" s="10">
        <f>CHOOSE(CONTROL!$C$42, 34.0683, 34.0683) * CHOOSE(CONTROL!$C$21, $C$9, 100%, $E$9)</f>
        <v>34.068300000000001</v>
      </c>
      <c r="Q1006" s="10">
        <f>CHOOSE(CONTROL!$C$42, 34.8906, 34.8906) * CHOOSE(CONTROL!$C$21, $C$9, 100%, $E$9)</f>
        <v>34.890599999999999</v>
      </c>
      <c r="R1006" s="10">
        <f>CHOOSE(CONTROL!$C$42, 35.5648, 35.5648) * CHOOSE(CONTROL!$C$21, $C$9, 100%, $E$9)</f>
        <v>35.564799999999998</v>
      </c>
      <c r="S1006" s="10">
        <f>CHOOSE(CONTROL!$C$42, 33.4256, 33.4256) * CHOOSE(CONTROL!$C$21, $C$9, 100%, $E$9)</f>
        <v>33.425600000000003</v>
      </c>
      <c r="T1006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006" s="58">
        <f>(1000*CHOOSE(CONTROL!$C$42, 695, 695)*CHOOSE(CONTROL!$C$42, 0.5599, 0.5599)*CHOOSE(CONTROL!$C$42, 31, 31))/1000000</f>
        <v>12.063045499999998</v>
      </c>
      <c r="V1006" s="58">
        <f>(1000*CHOOSE(CONTROL!$C$42, 500, 500)*CHOOSE(CONTROL!$C$42, 0.275, 0.275)*CHOOSE(CONTROL!$C$42, 31, 31))/1000000</f>
        <v>4.2625000000000002</v>
      </c>
      <c r="W1006" s="58">
        <f>(1000*CHOOSE(CONTROL!$C$42, 0.1146, 0.1146)*CHOOSE(CONTROL!$C$42, 121.5, 121.5)*CHOOSE(CONTROL!$C$42, 31, 31))/1000000</f>
        <v>0.43164089999999994</v>
      </c>
      <c r="X1006" s="58">
        <f>(31*0.1790888*245000/1000000)+(31*0.2374*100000/1000000)</f>
        <v>2.0961194359999999</v>
      </c>
      <c r="Y1006" s="58"/>
      <c r="Z1006" s="10"/>
      <c r="AA1006" s="57"/>
      <c r="AB1006" s="51">
        <f>(B1006*131.881+C1006*277.167+D1006*79.08+E1006*125.872+F1006*40+G1006*185+H1006*0+I1006*100+J1006*300)/(131.881+277.167+79.08+125.872+0+40+185+100+300)</f>
        <v>34.452596307021786</v>
      </c>
      <c r="AC1006" s="27">
        <f>(M1006*'RAP TEMPLATE-GAS AVAILABILITY'!O1005+N1006*'RAP TEMPLATE-GAS AVAILABILITY'!P1005+O1006*'RAP TEMPLATE-GAS AVAILABILITY'!Q1005+P1006*'RAP TEMPLATE-GAS AVAILABILITY'!R1005)/('RAP TEMPLATE-GAS AVAILABILITY'!O1005+'RAP TEMPLATE-GAS AVAILABILITY'!P1005+'RAP TEMPLATE-GAS AVAILABILITY'!Q1005+'RAP TEMPLATE-GAS AVAILABILITY'!R1005)</f>
        <v>34.173251079136691</v>
      </c>
    </row>
    <row r="1007" spans="1:29" ht="15.75" x14ac:dyDescent="0.25">
      <c r="A1007" s="13">
        <v>71924</v>
      </c>
      <c r="B1007" s="10">
        <f>CHOOSE(CONTROL!$C$42, 35.3293, 35.3293) * CHOOSE(CONTROL!$C$21, $C$9, 100%, $E$9)</f>
        <v>35.329300000000003</v>
      </c>
      <c r="C1007" s="10">
        <f>CHOOSE(CONTROL!$C$42, 35.3343, 35.3343) * CHOOSE(CONTROL!$C$21, $C$9, 100%, $E$9)</f>
        <v>35.334299999999999</v>
      </c>
      <c r="D1007" s="10">
        <f>CHOOSE(CONTROL!$C$42, 35.3639, 35.3639) * CHOOSE(CONTROL!$C$21, $C$9, 100%, $E$9)</f>
        <v>35.363900000000001</v>
      </c>
      <c r="E1007" s="10">
        <f>CHOOSE(CONTROL!$C$42, 35.3977, 35.3977) * CHOOSE(CONTROL!$C$21, $C$9, 100%, $E$9)</f>
        <v>35.3977</v>
      </c>
      <c r="F1007" s="10">
        <f>CHOOSE(CONTROL!$C$42, 35.3151, 35.3151)*CHOOSE(CONTROL!$C$21, $C$9, 100%, $E$9)</f>
        <v>35.315100000000001</v>
      </c>
      <c r="G1007" s="10">
        <f>CHOOSE(CONTROL!$C$42, 35.3331, 35.3331)*CHOOSE(CONTROL!$C$21, $C$9, 100%, $E$9)</f>
        <v>35.333100000000002</v>
      </c>
      <c r="H1007" s="10">
        <f>CHOOSE(CONTROL!$C$42, 35.3868, 35.3868) * CHOOSE(CONTROL!$C$21, $C$9, 100%, $E$9)</f>
        <v>35.386800000000001</v>
      </c>
      <c r="I1007" s="10">
        <f>CHOOSE(CONTROL!$C$42, 35.2955, 35.2955)* CHOOSE(CONTROL!$C$21, $C$9, 100%, $E$9)</f>
        <v>35.295499999999997</v>
      </c>
      <c r="J1007" s="10">
        <f>CHOOSE(CONTROL!$C$42, 35.3081, 35.3081)* CHOOSE(CONTROL!$C$21, $C$9, 100%, $E$9)</f>
        <v>35.308100000000003</v>
      </c>
      <c r="K1007" s="54">
        <f>CHOOSE(CONTROL!$C$42, 35.2916, 35.2916) * CHOOSE(CONTROL!$C$21, $C$9, 100%, $E$9)</f>
        <v>35.291600000000003</v>
      </c>
      <c r="L1007" s="10">
        <f>CHOOSE(CONTROL!$C$42, 35.9738, 35.9738) * CHOOSE(CONTROL!$C$21, $C$9, 100%, $E$9)</f>
        <v>35.973799999999997</v>
      </c>
      <c r="M1007" s="10">
        <f>CHOOSE(CONTROL!$C$42, 34.9656, 34.9656) * CHOOSE(CONTROL!$C$21, $C$9, 100%, $E$9)</f>
        <v>34.965600000000002</v>
      </c>
      <c r="N1007" s="10">
        <f>CHOOSE(CONTROL!$C$42, 34.9834, 34.9834) * CHOOSE(CONTROL!$C$21, $C$9, 100%, $E$9)</f>
        <v>34.983400000000003</v>
      </c>
      <c r="O1007" s="10">
        <f>CHOOSE(CONTROL!$C$42, 35.0436, 35.0436) * CHOOSE(CONTROL!$C$21, $C$9, 100%, $E$9)</f>
        <v>35.043599999999998</v>
      </c>
      <c r="P1007" s="10">
        <f>CHOOSE(CONTROL!$C$42, 34.9532, 34.9532) * CHOOSE(CONTROL!$C$21, $C$9, 100%, $E$9)</f>
        <v>34.953200000000002</v>
      </c>
      <c r="Q1007" s="10">
        <f>CHOOSE(CONTROL!$C$42, 35.6389, 35.6389) * CHOOSE(CONTROL!$C$21, $C$9, 100%, $E$9)</f>
        <v>35.6389</v>
      </c>
      <c r="R1007" s="10">
        <f>CHOOSE(CONTROL!$C$42, 36.315, 36.315) * CHOOSE(CONTROL!$C$21, $C$9, 100%, $E$9)</f>
        <v>36.314999999999998</v>
      </c>
      <c r="S1007" s="10">
        <f>CHOOSE(CONTROL!$C$42, 34.3062, 34.3062) * CHOOSE(CONTROL!$C$21, $C$9, 100%, $E$9)</f>
        <v>34.306199999999997</v>
      </c>
      <c r="T1007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007" s="58">
        <f>(1000*CHOOSE(CONTROL!$C$42, 695, 695)*CHOOSE(CONTROL!$C$42, 0.5599, 0.5599)*CHOOSE(CONTROL!$C$42, 30, 30))/1000000</f>
        <v>11.673914999999997</v>
      </c>
      <c r="V1007" s="58">
        <f>(1000*CHOOSE(CONTROL!$C$42, 500, 500)*CHOOSE(CONTROL!$C$42, 0.275, 0.275)*CHOOSE(CONTROL!$C$42, 30, 30))/1000000</f>
        <v>4.125</v>
      </c>
      <c r="W1007" s="58">
        <f>(1000*CHOOSE(CONTROL!$C$42, 0.1146, 0.1146)*CHOOSE(CONTROL!$C$42, 121.5, 121.5)*CHOOSE(CONTROL!$C$42, 30, 30))/1000000</f>
        <v>0.417717</v>
      </c>
      <c r="X1007" s="58">
        <f>(30*0.1790888*100000/1000000)+(30*0.2374*100000/1000000)</f>
        <v>1.2494664</v>
      </c>
      <c r="Y1007" s="58"/>
      <c r="Z1007" s="10"/>
      <c r="AA1007" s="57"/>
      <c r="AB1007" s="51">
        <f>(B1007*122.58+C1007*297.941+D1007*89.177+E1007*40.302+F1007*40+G1007*160+H1007*0+I1007*100+J1007*300)/(122.58+297.941+89.177+40.302+0+40+160+100+300)</f>
        <v>35.327240770434777</v>
      </c>
      <c r="AC1007" s="27">
        <f>(M1007*'RAP TEMPLATE-GAS AVAILABILITY'!O1006+N1007*'RAP TEMPLATE-GAS AVAILABILITY'!P1006+O1007*'RAP TEMPLATE-GAS AVAILABILITY'!Q1006+P1007*'RAP TEMPLATE-GAS AVAILABILITY'!R1006)/('RAP TEMPLATE-GAS AVAILABILITY'!O1006+'RAP TEMPLATE-GAS AVAILABILITY'!P1006+'RAP TEMPLATE-GAS AVAILABILITY'!Q1006+'RAP TEMPLATE-GAS AVAILABILITY'!R1006)</f>
        <v>35.00019280575539</v>
      </c>
    </row>
    <row r="1008" spans="1:29" ht="15.75" x14ac:dyDescent="0.25">
      <c r="A1008" s="13">
        <v>71955</v>
      </c>
      <c r="B1008" s="10">
        <f>CHOOSE(CONTROL!$C$42, 37.7378, 37.7378) * CHOOSE(CONTROL!$C$21, $C$9, 100%, $E$9)</f>
        <v>37.7378</v>
      </c>
      <c r="C1008" s="10">
        <f>CHOOSE(CONTROL!$C$42, 37.7428, 37.7428) * CHOOSE(CONTROL!$C$21, $C$9, 100%, $E$9)</f>
        <v>37.742800000000003</v>
      </c>
      <c r="D1008" s="10">
        <f>CHOOSE(CONTROL!$C$42, 37.7724, 37.7724) * CHOOSE(CONTROL!$C$21, $C$9, 100%, $E$9)</f>
        <v>37.772399999999998</v>
      </c>
      <c r="E1008" s="10">
        <f>CHOOSE(CONTROL!$C$42, 37.8062, 37.8062) * CHOOSE(CONTROL!$C$21, $C$9, 100%, $E$9)</f>
        <v>37.806199999999997</v>
      </c>
      <c r="F1008" s="10">
        <f>CHOOSE(CONTROL!$C$42, 37.7251, 37.7251)*CHOOSE(CONTROL!$C$21, $C$9, 100%, $E$9)</f>
        <v>37.725099999999998</v>
      </c>
      <c r="G1008" s="10">
        <f>CHOOSE(CONTROL!$C$42, 37.7436, 37.7436)*CHOOSE(CONTROL!$C$21, $C$9, 100%, $E$9)</f>
        <v>37.743600000000001</v>
      </c>
      <c r="H1008" s="10">
        <f>CHOOSE(CONTROL!$C$42, 37.7954, 37.7954) * CHOOSE(CONTROL!$C$21, $C$9, 100%, $E$9)</f>
        <v>37.795400000000001</v>
      </c>
      <c r="I1008" s="10">
        <f>CHOOSE(CONTROL!$C$42, 37.704, 37.704)* CHOOSE(CONTROL!$C$21, $C$9, 100%, $E$9)</f>
        <v>37.704000000000001</v>
      </c>
      <c r="J1008" s="10">
        <f>CHOOSE(CONTROL!$C$42, 37.7181, 37.7181)* CHOOSE(CONTROL!$C$21, $C$9, 100%, $E$9)</f>
        <v>37.7181</v>
      </c>
      <c r="K1008" s="54">
        <f>CHOOSE(CONTROL!$C$42, 37.7001, 37.7001) * CHOOSE(CONTROL!$C$21, $C$9, 100%, $E$9)</f>
        <v>37.700099999999999</v>
      </c>
      <c r="L1008" s="10">
        <f>CHOOSE(CONTROL!$C$42, 38.3824, 38.3824) * CHOOSE(CONTROL!$C$21, $C$9, 100%, $E$9)</f>
        <v>38.382399999999997</v>
      </c>
      <c r="M1008" s="10">
        <f>CHOOSE(CONTROL!$C$42, 37.3513, 37.3513) * CHOOSE(CONTROL!$C$21, $C$9, 100%, $E$9)</f>
        <v>37.351300000000002</v>
      </c>
      <c r="N1008" s="10">
        <f>CHOOSE(CONTROL!$C$42, 37.3696, 37.3696) * CHOOSE(CONTROL!$C$21, $C$9, 100%, $E$9)</f>
        <v>37.369599999999998</v>
      </c>
      <c r="O1008" s="10">
        <f>CHOOSE(CONTROL!$C$42, 37.4278, 37.4278) * CHOOSE(CONTROL!$C$21, $C$9, 100%, $E$9)</f>
        <v>37.427799999999998</v>
      </c>
      <c r="P1008" s="10">
        <f>CHOOSE(CONTROL!$C$42, 37.3374, 37.3374) * CHOOSE(CONTROL!$C$21, $C$9, 100%, $E$9)</f>
        <v>37.337400000000002</v>
      </c>
      <c r="Q1008" s="10">
        <f>CHOOSE(CONTROL!$C$42, 38.0231, 38.0231) * CHOOSE(CONTROL!$C$21, $C$9, 100%, $E$9)</f>
        <v>38.023099999999999</v>
      </c>
      <c r="R1008" s="10">
        <f>CHOOSE(CONTROL!$C$42, 38.7051, 38.7051) * CHOOSE(CONTROL!$C$21, $C$9, 100%, $E$9)</f>
        <v>38.705100000000002</v>
      </c>
      <c r="S1008" s="10">
        <f>CHOOSE(CONTROL!$C$42, 36.6451, 36.6451) * CHOOSE(CONTROL!$C$21, $C$9, 100%, $E$9)</f>
        <v>36.645099999999999</v>
      </c>
      <c r="T1008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008" s="58">
        <f>(1000*CHOOSE(CONTROL!$C$42, 695, 695)*CHOOSE(CONTROL!$C$42, 0.5599, 0.5599)*CHOOSE(CONTROL!$C$42, 31, 31))/1000000</f>
        <v>12.063045499999998</v>
      </c>
      <c r="V1008" s="58">
        <f>(1000*CHOOSE(CONTROL!$C$42, 500, 500)*CHOOSE(CONTROL!$C$42, 0.275, 0.275)*CHOOSE(CONTROL!$C$42, 31, 31))/1000000</f>
        <v>4.2625000000000002</v>
      </c>
      <c r="W1008" s="58">
        <f>(1000*CHOOSE(CONTROL!$C$42, 0.1146, 0.1146)*CHOOSE(CONTROL!$C$42, 121.5, 121.5)*CHOOSE(CONTROL!$C$42, 31, 31))/1000000</f>
        <v>0.43164089999999994</v>
      </c>
      <c r="X1008" s="58">
        <f>(31*0.1790888*100000/1000000)+(31*0.2374*100000/1000000)</f>
        <v>1.2911152800000001</v>
      </c>
      <c r="Y1008" s="58"/>
      <c r="Z1008" s="10"/>
      <c r="AA1008" s="57"/>
      <c r="AB1008" s="51">
        <f>(B1008*122.58+C1008*297.941+D1008*89.177+E1008*40.302+F1008*40+G1008*160+H1008*0+I1008*100+J1008*300)/(122.58+297.941+89.177+40.302+0+40+160+100+300)</f>
        <v>37.736462509565222</v>
      </c>
      <c r="AC1008" s="27">
        <f>(M1008*'RAP TEMPLATE-GAS AVAILABILITY'!O1007+N1008*'RAP TEMPLATE-GAS AVAILABILITY'!P1007+O1008*'RAP TEMPLATE-GAS AVAILABILITY'!Q1007+P1008*'RAP TEMPLATE-GAS AVAILABILITY'!R1007)/('RAP TEMPLATE-GAS AVAILABILITY'!O1007+'RAP TEMPLATE-GAS AVAILABILITY'!P1007+'RAP TEMPLATE-GAS AVAILABILITY'!Q1007+'RAP TEMPLATE-GAS AVAILABILITY'!R1007)</f>
        <v>37.385025899280578</v>
      </c>
    </row>
    <row r="1009" spans="1:29" ht="15.75" x14ac:dyDescent="0.25">
      <c r="A1009" s="13">
        <v>71986</v>
      </c>
      <c r="B1009" s="10">
        <f>CHOOSE(CONTROL!$C$42, 40.2847, 40.2847) * CHOOSE(CONTROL!$C$21, $C$9, 100%, $E$9)</f>
        <v>40.284700000000001</v>
      </c>
      <c r="C1009" s="10">
        <f>CHOOSE(CONTROL!$C$42, 40.2897, 40.2897) * CHOOSE(CONTROL!$C$21, $C$9, 100%, $E$9)</f>
        <v>40.289700000000003</v>
      </c>
      <c r="D1009" s="10">
        <f>CHOOSE(CONTROL!$C$42, 40.3399, 40.3399) * CHOOSE(CONTROL!$C$21, $C$9, 100%, $E$9)</f>
        <v>40.3399</v>
      </c>
      <c r="E1009" s="10">
        <f>CHOOSE(CONTROL!$C$42, 40.3737, 40.3737) * CHOOSE(CONTROL!$C$21, $C$9, 100%, $E$9)</f>
        <v>40.373699999999999</v>
      </c>
      <c r="F1009" s="10">
        <f>CHOOSE(CONTROL!$C$42, 40.2501, 40.2501)*CHOOSE(CONTROL!$C$21, $C$9, 100%, $E$9)</f>
        <v>40.250100000000003</v>
      </c>
      <c r="G1009" s="10">
        <f>CHOOSE(CONTROL!$C$42, 40.2677, 40.2677)*CHOOSE(CONTROL!$C$21, $C$9, 100%, $E$9)</f>
        <v>40.267699999999998</v>
      </c>
      <c r="H1009" s="10">
        <f>CHOOSE(CONTROL!$C$42, 40.3629, 40.3629) * CHOOSE(CONTROL!$C$21, $C$9, 100%, $E$9)</f>
        <v>40.362900000000003</v>
      </c>
      <c r="I1009" s="10">
        <f>CHOOSE(CONTROL!$C$42, 40.2586, 40.2586)* CHOOSE(CONTROL!$C$21, $C$9, 100%, $E$9)</f>
        <v>40.258600000000001</v>
      </c>
      <c r="J1009" s="10">
        <f>CHOOSE(CONTROL!$C$42, 40.2431, 40.2431)* CHOOSE(CONTROL!$C$21, $C$9, 100%, $E$9)</f>
        <v>40.243099999999998</v>
      </c>
      <c r="K1009" s="54">
        <f>CHOOSE(CONTROL!$C$42, 40.2547, 40.2547) * CHOOSE(CONTROL!$C$21, $C$9, 100%, $E$9)</f>
        <v>40.2547</v>
      </c>
      <c r="L1009" s="10">
        <f>CHOOSE(CONTROL!$C$42, 40.9499, 40.9499) * CHOOSE(CONTROL!$C$21, $C$9, 100%, $E$9)</f>
        <v>40.9499</v>
      </c>
      <c r="M1009" s="10">
        <f>CHOOSE(CONTROL!$C$42, 39.8508, 39.8508) * CHOOSE(CONTROL!$C$21, $C$9, 100%, $E$9)</f>
        <v>39.8508</v>
      </c>
      <c r="N1009" s="10">
        <f>CHOOSE(CONTROL!$C$42, 39.8682, 39.8682) * CHOOSE(CONTROL!$C$21, $C$9, 100%, $E$9)</f>
        <v>39.868200000000002</v>
      </c>
      <c r="O1009" s="10">
        <f>CHOOSE(CONTROL!$C$42, 39.9694, 39.9694) * CHOOSE(CONTROL!$C$21, $C$9, 100%, $E$9)</f>
        <v>39.9694</v>
      </c>
      <c r="P1009" s="10">
        <f>CHOOSE(CONTROL!$C$42, 39.8662, 39.8662) * CHOOSE(CONTROL!$C$21, $C$9, 100%, $E$9)</f>
        <v>39.866199999999999</v>
      </c>
      <c r="Q1009" s="10">
        <f>CHOOSE(CONTROL!$C$42, 40.5647, 40.5647) * CHOOSE(CONTROL!$C$21, $C$9, 100%, $E$9)</f>
        <v>40.564700000000002</v>
      </c>
      <c r="R1009" s="10">
        <f>CHOOSE(CONTROL!$C$42, 41.2531, 41.2531) * CHOOSE(CONTROL!$C$21, $C$9, 100%, $E$9)</f>
        <v>41.253100000000003</v>
      </c>
      <c r="S1009" s="10">
        <f>CHOOSE(CONTROL!$C$42, 39.1184, 39.1184) * CHOOSE(CONTROL!$C$21, $C$9, 100%, $E$9)</f>
        <v>39.118400000000001</v>
      </c>
      <c r="T1009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009" s="58">
        <f>(1000*CHOOSE(CONTROL!$C$42, 695, 695)*CHOOSE(CONTROL!$C$42, 0.5599, 0.5599)*CHOOSE(CONTROL!$C$42, 31, 31))/1000000</f>
        <v>12.063045499999998</v>
      </c>
      <c r="V1009" s="58">
        <f>(1000*CHOOSE(CONTROL!$C$42, 500, 500)*CHOOSE(CONTROL!$C$42, 0.275, 0.275)*CHOOSE(CONTROL!$C$42, 31, 31))/1000000</f>
        <v>4.2625000000000002</v>
      </c>
      <c r="W1009" s="58">
        <f>(1000*CHOOSE(CONTROL!$C$42, 0.1146, 0.1146)*CHOOSE(CONTROL!$C$42, 121.5, 121.5)*CHOOSE(CONTROL!$C$42, 31, 31))/1000000</f>
        <v>0.43164089999999994</v>
      </c>
      <c r="X1009" s="58">
        <f>(31*0.1790888*100000/1000000)+(31*0.2374*100000/1000000)</f>
        <v>1.2911152800000001</v>
      </c>
      <c r="Y1009" s="58"/>
      <c r="Z1009" s="10"/>
      <c r="AA1009" s="57"/>
      <c r="AB1009" s="51">
        <f>(B1009*122.58+C1009*297.941+D1009*89.177+E1009*40.302+F1009*40+G1009*160+H1009*0+I1009*100+J1009*300)/(122.58+297.941+89.177+40.302+0+40+160+100+300)</f>
        <v>40.276704481217386</v>
      </c>
      <c r="AC1009" s="27">
        <f>(M1009*'RAP TEMPLATE-GAS AVAILABILITY'!O1008+N1009*'RAP TEMPLATE-GAS AVAILABILITY'!P1008+O1009*'RAP TEMPLATE-GAS AVAILABILITY'!Q1008+P1009*'RAP TEMPLATE-GAS AVAILABILITY'!R1008)/('RAP TEMPLATE-GAS AVAILABILITY'!O1008+'RAP TEMPLATE-GAS AVAILABILITY'!P1008+'RAP TEMPLATE-GAS AVAILABILITY'!Q1008+'RAP TEMPLATE-GAS AVAILABILITY'!R1008)</f>
        <v>39.907771223021577</v>
      </c>
    </row>
    <row r="1010" spans="1:29" ht="15.75" x14ac:dyDescent="0.25">
      <c r="A1010" s="13">
        <v>72014</v>
      </c>
      <c r="B1010" s="10">
        <f>CHOOSE(CONTROL!$C$42, 41.0018, 41.0018) * CHOOSE(CONTROL!$C$21, $C$9, 100%, $E$9)</f>
        <v>41.001800000000003</v>
      </c>
      <c r="C1010" s="10">
        <f>CHOOSE(CONTROL!$C$42, 41.0068, 41.0068) * CHOOSE(CONTROL!$C$21, $C$9, 100%, $E$9)</f>
        <v>41.006799999999998</v>
      </c>
      <c r="D1010" s="10">
        <f>CHOOSE(CONTROL!$C$42, 41.1239, 41.1239) * CHOOSE(CONTROL!$C$21, $C$9, 100%, $E$9)</f>
        <v>41.123899999999999</v>
      </c>
      <c r="E1010" s="10">
        <f>CHOOSE(CONTROL!$C$42, 41.1577, 41.1577) * CHOOSE(CONTROL!$C$21, $C$9, 100%, $E$9)</f>
        <v>41.157699999999998</v>
      </c>
      <c r="F1010" s="10">
        <f>CHOOSE(CONTROL!$C$42, 41.0794, 41.0794)*CHOOSE(CONTROL!$C$21, $C$9, 100%, $E$9)</f>
        <v>41.0794</v>
      </c>
      <c r="G1010" s="10">
        <f>CHOOSE(CONTROL!$C$42, 41.1013, 41.1013)*CHOOSE(CONTROL!$C$21, $C$9, 100%, $E$9)</f>
        <v>41.101300000000002</v>
      </c>
      <c r="H1010" s="10">
        <f>CHOOSE(CONTROL!$C$42, 41.1469, 41.1469) * CHOOSE(CONTROL!$C$21, $C$9, 100%, $E$9)</f>
        <v>41.146900000000002</v>
      </c>
      <c r="I1010" s="10">
        <f>CHOOSE(CONTROL!$C$42, 41.0375, 41.0375)* CHOOSE(CONTROL!$C$21, $C$9, 100%, $E$9)</f>
        <v>41.037500000000001</v>
      </c>
      <c r="J1010" s="10">
        <f>CHOOSE(CONTROL!$C$42, 41.0724, 41.0724)* CHOOSE(CONTROL!$C$21, $C$9, 100%, $E$9)</f>
        <v>41.072400000000002</v>
      </c>
      <c r="K1010" s="54">
        <f>CHOOSE(CONTROL!$C$42, 41.0336, 41.0336) * CHOOSE(CONTROL!$C$21, $C$9, 100%, $E$9)</f>
        <v>41.0336</v>
      </c>
      <c r="L1010" s="10">
        <f>CHOOSE(CONTROL!$C$42, 41.7339, 41.7339) * CHOOSE(CONTROL!$C$21, $C$9, 100%, $E$9)</f>
        <v>41.733899999999998</v>
      </c>
      <c r="M1010" s="10">
        <f>CHOOSE(CONTROL!$C$42, 40.6717, 40.6717) * CHOOSE(CONTROL!$C$21, $C$9, 100%, $E$9)</f>
        <v>40.671700000000001</v>
      </c>
      <c r="N1010" s="10">
        <f>CHOOSE(CONTROL!$C$42, 40.6934, 40.6934) * CHOOSE(CONTROL!$C$21, $C$9, 100%, $E$9)</f>
        <v>40.693399999999997</v>
      </c>
      <c r="O1010" s="10">
        <f>CHOOSE(CONTROL!$C$42, 40.7455, 40.7455) * CHOOSE(CONTROL!$C$21, $C$9, 100%, $E$9)</f>
        <v>40.7455</v>
      </c>
      <c r="P1010" s="10">
        <f>CHOOSE(CONTROL!$C$42, 40.6372, 40.6372) * CHOOSE(CONTROL!$C$21, $C$9, 100%, $E$9)</f>
        <v>40.6372</v>
      </c>
      <c r="Q1010" s="10">
        <f>CHOOSE(CONTROL!$C$42, 41.3408, 41.3408) * CHOOSE(CONTROL!$C$21, $C$9, 100%, $E$9)</f>
        <v>41.340800000000002</v>
      </c>
      <c r="R1010" s="10">
        <f>CHOOSE(CONTROL!$C$42, 42.0311, 42.0311) * CHOOSE(CONTROL!$C$21, $C$9, 100%, $E$9)</f>
        <v>42.031100000000002</v>
      </c>
      <c r="S1010" s="10">
        <f>CHOOSE(CONTROL!$C$42, 39.8147, 39.8147) * CHOOSE(CONTROL!$C$21, $C$9, 100%, $E$9)</f>
        <v>39.814700000000002</v>
      </c>
      <c r="T1010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010" s="58">
        <f>(1000*CHOOSE(CONTROL!$C$42, 695, 695)*CHOOSE(CONTROL!$C$42, 0.5599, 0.5599)*CHOOSE(CONTROL!$C$42, 28, 28))/1000000</f>
        <v>10.895653999999999</v>
      </c>
      <c r="V1010" s="58">
        <f>(1000*CHOOSE(CONTROL!$C$42, 500, 500)*CHOOSE(CONTROL!$C$42, 0.275, 0.275)*CHOOSE(CONTROL!$C$42, 28, 28))/1000000</f>
        <v>3.85</v>
      </c>
      <c r="W1010" s="58">
        <f>(1000*CHOOSE(CONTROL!$C$42, 0.1146, 0.1146)*CHOOSE(CONTROL!$C$42, 121.5, 121.5)*CHOOSE(CONTROL!$C$42, 28, 28))/1000000</f>
        <v>0.38986920000000003</v>
      </c>
      <c r="X1010" s="58">
        <f>(28*0.1790888*100000/1000000)+(28*0.2374*100000/1000000)</f>
        <v>1.16616864</v>
      </c>
      <c r="Y1010" s="58"/>
      <c r="Z1010" s="10"/>
      <c r="AA1010" s="57"/>
      <c r="AB1010" s="51">
        <f>(B1010*122.58+C1010*297.941+D1010*89.177+E1010*40.302+F1010*40+G1010*160+H1010*0+I1010*100+J1010*300)/(122.58+297.941+89.177+40.302+0+40+160+100+300)</f>
        <v>41.056091563913043</v>
      </c>
      <c r="AC1010" s="27">
        <f>(M1010*'RAP TEMPLATE-GAS AVAILABILITY'!O1009+N1010*'RAP TEMPLATE-GAS AVAILABILITY'!P1009+O1010*'RAP TEMPLATE-GAS AVAILABILITY'!Q1009+P1010*'RAP TEMPLATE-GAS AVAILABILITY'!R1009)/('RAP TEMPLATE-GAS AVAILABILITY'!O1009+'RAP TEMPLATE-GAS AVAILABILITY'!P1009+'RAP TEMPLATE-GAS AVAILABILITY'!Q1009+'RAP TEMPLATE-GAS AVAILABILITY'!R1009)</f>
        <v>40.701433812949645</v>
      </c>
    </row>
    <row r="1011" spans="1:29" ht="15.75" x14ac:dyDescent="0.25">
      <c r="A1011" s="13">
        <v>72045</v>
      </c>
      <c r="B1011" s="10">
        <f>CHOOSE(CONTROL!$C$42, 39.8378, 39.8378) * CHOOSE(CONTROL!$C$21, $C$9, 100%, $E$9)</f>
        <v>39.837800000000001</v>
      </c>
      <c r="C1011" s="10">
        <f>CHOOSE(CONTROL!$C$42, 39.8428, 39.8428) * CHOOSE(CONTROL!$C$21, $C$9, 100%, $E$9)</f>
        <v>39.842799999999997</v>
      </c>
      <c r="D1011" s="10">
        <f>CHOOSE(CONTROL!$C$42, 39.9342, 39.9342) * CHOOSE(CONTROL!$C$21, $C$9, 100%, $E$9)</f>
        <v>39.934199999999997</v>
      </c>
      <c r="E1011" s="10">
        <f>CHOOSE(CONTROL!$C$42, 39.968, 39.968) * CHOOSE(CONTROL!$C$21, $C$9, 100%, $E$9)</f>
        <v>39.968000000000004</v>
      </c>
      <c r="F1011" s="10">
        <f>CHOOSE(CONTROL!$C$42, 39.8677, 39.8677)*CHOOSE(CONTROL!$C$21, $C$9, 100%, $E$9)</f>
        <v>39.867699999999999</v>
      </c>
      <c r="G1011" s="10">
        <f>CHOOSE(CONTROL!$C$42, 39.8872, 39.8872)*CHOOSE(CONTROL!$C$21, $C$9, 100%, $E$9)</f>
        <v>39.8872</v>
      </c>
      <c r="H1011" s="10">
        <f>CHOOSE(CONTROL!$C$42, 39.9571, 39.9571) * CHOOSE(CONTROL!$C$21, $C$9, 100%, $E$9)</f>
        <v>39.957099999999997</v>
      </c>
      <c r="I1011" s="10">
        <f>CHOOSE(CONTROL!$C$42, 39.8606, 39.8606)* CHOOSE(CONTROL!$C$21, $C$9, 100%, $E$9)</f>
        <v>39.860599999999998</v>
      </c>
      <c r="J1011" s="10">
        <f>CHOOSE(CONTROL!$C$42, 39.8607, 39.8607)* CHOOSE(CONTROL!$C$21, $C$9, 100%, $E$9)</f>
        <v>39.860700000000001</v>
      </c>
      <c r="K1011" s="54">
        <f>CHOOSE(CONTROL!$C$42, 39.8567, 39.8567) * CHOOSE(CONTROL!$C$21, $C$9, 100%, $E$9)</f>
        <v>39.856699999999996</v>
      </c>
      <c r="L1011" s="10">
        <f>CHOOSE(CONTROL!$C$42, 40.5441, 40.5441) * CHOOSE(CONTROL!$C$21, $C$9, 100%, $E$9)</f>
        <v>40.5441</v>
      </c>
      <c r="M1011" s="10">
        <f>CHOOSE(CONTROL!$C$42, 39.4722, 39.4722) * CHOOSE(CONTROL!$C$21, $C$9, 100%, $E$9)</f>
        <v>39.472200000000001</v>
      </c>
      <c r="N1011" s="10">
        <f>CHOOSE(CONTROL!$C$42, 39.4915, 39.4915) * CHOOSE(CONTROL!$C$21, $C$9, 100%, $E$9)</f>
        <v>39.491500000000002</v>
      </c>
      <c r="O1011" s="10">
        <f>CHOOSE(CONTROL!$C$42, 39.5677, 39.5677) * CHOOSE(CONTROL!$C$21, $C$9, 100%, $E$9)</f>
        <v>39.567700000000002</v>
      </c>
      <c r="P1011" s="10">
        <f>CHOOSE(CONTROL!$C$42, 39.4722, 39.4722) * CHOOSE(CONTROL!$C$21, $C$9, 100%, $E$9)</f>
        <v>39.472200000000001</v>
      </c>
      <c r="Q1011" s="10">
        <f>CHOOSE(CONTROL!$C$42, 40.163, 40.163) * CHOOSE(CONTROL!$C$21, $C$9, 100%, $E$9)</f>
        <v>40.162999999999997</v>
      </c>
      <c r="R1011" s="10">
        <f>CHOOSE(CONTROL!$C$42, 40.8504, 40.8504) * CHOOSE(CONTROL!$C$21, $C$9, 100%, $E$9)</f>
        <v>40.8504</v>
      </c>
      <c r="S1011" s="10">
        <f>CHOOSE(CONTROL!$C$42, 38.6844, 38.6844) * CHOOSE(CONTROL!$C$21, $C$9, 100%, $E$9)</f>
        <v>38.684399999999997</v>
      </c>
      <c r="T1011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011" s="58">
        <f>(1000*CHOOSE(CONTROL!$C$42, 695, 695)*CHOOSE(CONTROL!$C$42, 0.5599, 0.5599)*CHOOSE(CONTROL!$C$42, 31, 31))/1000000</f>
        <v>12.063045499999998</v>
      </c>
      <c r="V1011" s="58">
        <f>(1000*CHOOSE(CONTROL!$C$42, 500, 500)*CHOOSE(CONTROL!$C$42, 0.275, 0.275)*CHOOSE(CONTROL!$C$42, 31, 31))/1000000</f>
        <v>4.2625000000000002</v>
      </c>
      <c r="W1011" s="58">
        <f>(1000*CHOOSE(CONTROL!$C$42, 0.1146, 0.1146)*CHOOSE(CONTROL!$C$42, 121.5, 121.5)*CHOOSE(CONTROL!$C$42, 31, 31))/1000000</f>
        <v>0.43164089999999994</v>
      </c>
      <c r="X1011" s="58">
        <f>(31*0.1790888*100000/1000000)+(31*0.2374*100000/1000000)</f>
        <v>1.2911152800000001</v>
      </c>
      <c r="Y1011" s="58"/>
      <c r="Z1011" s="10"/>
      <c r="AA1011" s="57"/>
      <c r="AB1011" s="51">
        <f>(B1011*122.58+C1011*297.941+D1011*89.177+E1011*40.302+F1011*40+G1011*160+H1011*0+I1011*100+J1011*300)/(122.58+297.941+89.177+40.302+0+40+160+100+300)</f>
        <v>39.867003207130438</v>
      </c>
      <c r="AC1011" s="27">
        <f>(M1011*'RAP TEMPLATE-GAS AVAILABILITY'!O1010+N1011*'RAP TEMPLATE-GAS AVAILABILITY'!P1010+O1011*'RAP TEMPLATE-GAS AVAILABILITY'!Q1010+P1011*'RAP TEMPLATE-GAS AVAILABILITY'!R1010)/('RAP TEMPLATE-GAS AVAILABILITY'!O1010+'RAP TEMPLATE-GAS AVAILABILITY'!P1010+'RAP TEMPLATE-GAS AVAILABILITY'!Q1010+'RAP TEMPLATE-GAS AVAILABILITY'!R1010)</f>
        <v>39.516594964028776</v>
      </c>
    </row>
    <row r="1012" spans="1:29" ht="15.75" x14ac:dyDescent="0.25">
      <c r="A1012" s="13">
        <v>72075</v>
      </c>
      <c r="B1012" s="10">
        <f>CHOOSE(CONTROL!$C$42, 39.7193, 39.7193) * CHOOSE(CONTROL!$C$21, $C$9, 100%, $E$9)</f>
        <v>39.719299999999997</v>
      </c>
      <c r="C1012" s="10">
        <f>CHOOSE(CONTROL!$C$42, 39.7237, 39.7237) * CHOOSE(CONTROL!$C$21, $C$9, 100%, $E$9)</f>
        <v>39.723700000000001</v>
      </c>
      <c r="D1012" s="10">
        <f>CHOOSE(CONTROL!$C$42, 39.9054, 39.9054) * CHOOSE(CONTROL!$C$21, $C$9, 100%, $E$9)</f>
        <v>39.9054</v>
      </c>
      <c r="E1012" s="10">
        <f>CHOOSE(CONTROL!$C$42, 39.9372, 39.9372) * CHOOSE(CONTROL!$C$21, $C$9, 100%, $E$9)</f>
        <v>39.937199999999997</v>
      </c>
      <c r="F1012" s="10">
        <f>CHOOSE(CONTROL!$C$42, 39.7077, 39.7077)*CHOOSE(CONTROL!$C$21, $C$9, 100%, $E$9)</f>
        <v>39.707700000000003</v>
      </c>
      <c r="G1012" s="10">
        <f>CHOOSE(CONTROL!$C$42, 39.7256, 39.7256)*CHOOSE(CONTROL!$C$21, $C$9, 100%, $E$9)</f>
        <v>39.7256</v>
      </c>
      <c r="H1012" s="10">
        <f>CHOOSE(CONTROL!$C$42, 39.9269, 39.9269) * CHOOSE(CONTROL!$C$21, $C$9, 100%, $E$9)</f>
        <v>39.926900000000003</v>
      </c>
      <c r="I1012" s="10">
        <f>CHOOSE(CONTROL!$C$42, 39.6976, 39.6976)* CHOOSE(CONTROL!$C$21, $C$9, 100%, $E$9)</f>
        <v>39.697600000000001</v>
      </c>
      <c r="J1012" s="10">
        <f>CHOOSE(CONTROL!$C$42, 39.7007, 39.7007)* CHOOSE(CONTROL!$C$21, $C$9, 100%, $E$9)</f>
        <v>39.700699999999998</v>
      </c>
      <c r="K1012" s="54">
        <f>CHOOSE(CONTROL!$C$42, 39.6937, 39.6937) * CHOOSE(CONTROL!$C$21, $C$9, 100%, $E$9)</f>
        <v>39.6937</v>
      </c>
      <c r="L1012" s="10">
        <f>CHOOSE(CONTROL!$C$42, 40.5139, 40.5139) * CHOOSE(CONTROL!$C$21, $C$9, 100%, $E$9)</f>
        <v>40.5139</v>
      </c>
      <c r="M1012" s="10">
        <f>CHOOSE(CONTROL!$C$42, 39.3138, 39.3138) * CHOOSE(CONTROL!$C$21, $C$9, 100%, $E$9)</f>
        <v>39.313800000000001</v>
      </c>
      <c r="N1012" s="10">
        <f>CHOOSE(CONTROL!$C$42, 39.3316, 39.3316) * CHOOSE(CONTROL!$C$21, $C$9, 100%, $E$9)</f>
        <v>39.331600000000002</v>
      </c>
      <c r="O1012" s="10">
        <f>CHOOSE(CONTROL!$C$42, 39.5378, 39.5378) * CHOOSE(CONTROL!$C$21, $C$9, 100%, $E$9)</f>
        <v>39.537799999999997</v>
      </c>
      <c r="P1012" s="10">
        <f>CHOOSE(CONTROL!$C$42, 39.3108, 39.3108) * CHOOSE(CONTROL!$C$21, $C$9, 100%, $E$9)</f>
        <v>39.3108</v>
      </c>
      <c r="Q1012" s="10">
        <f>CHOOSE(CONTROL!$C$42, 40.1331, 40.1331) * CHOOSE(CONTROL!$C$21, $C$9, 100%, $E$9)</f>
        <v>40.133099999999999</v>
      </c>
      <c r="R1012" s="10">
        <f>CHOOSE(CONTROL!$C$42, 40.8205, 40.8205) * CHOOSE(CONTROL!$C$21, $C$9, 100%, $E$9)</f>
        <v>40.820500000000003</v>
      </c>
      <c r="S1012" s="10">
        <f>CHOOSE(CONTROL!$C$42, 38.5686, 38.5686) * CHOOSE(CONTROL!$C$21, $C$9, 100%, $E$9)</f>
        <v>38.568600000000004</v>
      </c>
      <c r="T1012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012" s="58">
        <f>(1000*CHOOSE(CONTROL!$C$42, 695, 695)*CHOOSE(CONTROL!$C$42, 0.5599, 0.5599)*CHOOSE(CONTROL!$C$42, 30, 30))/1000000</f>
        <v>11.673914999999997</v>
      </c>
      <c r="V1012" s="58">
        <f>(1000*CHOOSE(CONTROL!$C$42, 500, 500)*CHOOSE(CONTROL!$C$42, 0.275, 0.275)*CHOOSE(CONTROL!$C$42, 30, 30))/1000000</f>
        <v>4.125</v>
      </c>
      <c r="W1012" s="58">
        <f>(1000*CHOOSE(CONTROL!$C$42, 0.1146, 0.1146)*CHOOSE(CONTROL!$C$42, 121.5, 121.5)*CHOOSE(CONTROL!$C$42, 30, 30))/1000000</f>
        <v>0.417717</v>
      </c>
      <c r="X1012" s="58">
        <f>(30*0.1790888*245000/1000000)+(30*0.2374*100000/1000000)</f>
        <v>2.0285026799999999</v>
      </c>
      <c r="Y1012" s="58"/>
      <c r="Z1012" s="10"/>
      <c r="AA1012" s="57"/>
      <c r="AB1012" s="51">
        <f>(B1012*141.293+C1012*267.993+D1012*115.016+E1012*89.698+F1012*40+G1012*185+H1012*0+I1012*100+J1012*300)/(141.293+267.993+115.016+89.698+0+40+185+100+300)</f>
        <v>39.747613430992736</v>
      </c>
      <c r="AC1012" s="27">
        <f>(M1012*'RAP TEMPLATE-GAS AVAILABILITY'!O1011+N1012*'RAP TEMPLATE-GAS AVAILABILITY'!P1011+O1012*'RAP TEMPLATE-GAS AVAILABILITY'!Q1011+P1012*'RAP TEMPLATE-GAS AVAILABILITY'!R1011)/('RAP TEMPLATE-GAS AVAILABILITY'!O1011+'RAP TEMPLATE-GAS AVAILABILITY'!P1011+'RAP TEMPLATE-GAS AVAILABILITY'!Q1011+'RAP TEMPLATE-GAS AVAILABILITY'!R1011)</f>
        <v>39.415917985611514</v>
      </c>
    </row>
    <row r="1013" spans="1:29" ht="15.75" x14ac:dyDescent="0.25">
      <c r="A1013" s="13">
        <v>72106</v>
      </c>
      <c r="B1013" s="10">
        <f>CHOOSE(CONTROL!$C$42, 40.0717, 40.0717) * CHOOSE(CONTROL!$C$21, $C$9, 100%, $E$9)</f>
        <v>40.0717</v>
      </c>
      <c r="C1013" s="10">
        <f>CHOOSE(CONTROL!$C$42, 40.0796, 40.0796) * CHOOSE(CONTROL!$C$21, $C$9, 100%, $E$9)</f>
        <v>40.079599999999999</v>
      </c>
      <c r="D1013" s="10">
        <f>CHOOSE(CONTROL!$C$42, 40.2581, 40.2581) * CHOOSE(CONTROL!$C$21, $C$9, 100%, $E$9)</f>
        <v>40.258099999999999</v>
      </c>
      <c r="E1013" s="10">
        <f>CHOOSE(CONTROL!$C$42, 40.2892, 40.2892) * CHOOSE(CONTROL!$C$21, $C$9, 100%, $E$9)</f>
        <v>40.289200000000001</v>
      </c>
      <c r="F1013" s="10">
        <f>CHOOSE(CONTROL!$C$42, 40.0578, 40.0578)*CHOOSE(CONTROL!$C$21, $C$9, 100%, $E$9)</f>
        <v>40.0578</v>
      </c>
      <c r="G1013" s="10">
        <f>CHOOSE(CONTROL!$C$42, 40.076, 40.076)*CHOOSE(CONTROL!$C$21, $C$9, 100%, $E$9)</f>
        <v>40.076000000000001</v>
      </c>
      <c r="H1013" s="10">
        <f>CHOOSE(CONTROL!$C$42, 40.2779, 40.2779) * CHOOSE(CONTROL!$C$21, $C$9, 100%, $E$9)</f>
        <v>40.277900000000002</v>
      </c>
      <c r="I1013" s="10">
        <f>CHOOSE(CONTROL!$C$42, 40.0485, 40.0485)* CHOOSE(CONTROL!$C$21, $C$9, 100%, $E$9)</f>
        <v>40.048499999999997</v>
      </c>
      <c r="J1013" s="10">
        <f>CHOOSE(CONTROL!$C$42, 40.0508, 40.0508)* CHOOSE(CONTROL!$C$21, $C$9, 100%, $E$9)</f>
        <v>40.050800000000002</v>
      </c>
      <c r="K1013" s="54">
        <f>CHOOSE(CONTROL!$C$42, 40.0446, 40.0446) * CHOOSE(CONTROL!$C$21, $C$9, 100%, $E$9)</f>
        <v>40.044600000000003</v>
      </c>
      <c r="L1013" s="10">
        <f>CHOOSE(CONTROL!$C$42, 40.8649, 40.8649) * CHOOSE(CONTROL!$C$21, $C$9, 100%, $E$9)</f>
        <v>40.864899999999999</v>
      </c>
      <c r="M1013" s="10">
        <f>CHOOSE(CONTROL!$C$42, 39.6605, 39.6605) * CHOOSE(CONTROL!$C$21, $C$9, 100%, $E$9)</f>
        <v>39.660499999999999</v>
      </c>
      <c r="N1013" s="10">
        <f>CHOOSE(CONTROL!$C$42, 39.6785, 39.6785) * CHOOSE(CONTROL!$C$21, $C$9, 100%, $E$9)</f>
        <v>39.6785</v>
      </c>
      <c r="O1013" s="10">
        <f>CHOOSE(CONTROL!$C$42, 39.8852, 39.8852) * CHOOSE(CONTROL!$C$21, $C$9, 100%, $E$9)</f>
        <v>39.885199999999998</v>
      </c>
      <c r="P1013" s="10">
        <f>CHOOSE(CONTROL!$C$42, 39.6582, 39.6582) * CHOOSE(CONTROL!$C$21, $C$9, 100%, $E$9)</f>
        <v>39.658200000000001</v>
      </c>
      <c r="Q1013" s="10">
        <f>CHOOSE(CONTROL!$C$42, 40.4805, 40.4805) * CHOOSE(CONTROL!$C$21, $C$9, 100%, $E$9)</f>
        <v>40.480499999999999</v>
      </c>
      <c r="R1013" s="10">
        <f>CHOOSE(CONTROL!$C$42, 41.1687, 41.1687) * CHOOSE(CONTROL!$C$21, $C$9, 100%, $E$9)</f>
        <v>41.168700000000001</v>
      </c>
      <c r="S1013" s="10">
        <f>CHOOSE(CONTROL!$C$42, 38.9093, 38.9093) * CHOOSE(CONTROL!$C$21, $C$9, 100%, $E$9)</f>
        <v>38.909300000000002</v>
      </c>
      <c r="T1013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013" s="58">
        <f>(1000*CHOOSE(CONTROL!$C$42, 695, 695)*CHOOSE(CONTROL!$C$42, 0.5599, 0.5599)*CHOOSE(CONTROL!$C$42, 31, 31))/1000000</f>
        <v>12.063045499999998</v>
      </c>
      <c r="V1013" s="58">
        <f>(1000*CHOOSE(CONTROL!$C$42, 500, 500)*CHOOSE(CONTROL!$C$42, 0.275, 0.275)*CHOOSE(CONTROL!$C$42, 31, 31))/1000000</f>
        <v>4.2625000000000002</v>
      </c>
      <c r="W1013" s="58">
        <f>(1000*CHOOSE(CONTROL!$C$42, 0.1146, 0.1146)*CHOOSE(CONTROL!$C$42, 121.5, 121.5)*CHOOSE(CONTROL!$C$42, 31, 31))/1000000</f>
        <v>0.43164089999999994</v>
      </c>
      <c r="X1013" s="58">
        <f>(31*0.1790888*245000/1000000)+(31*0.2374*100000/1000000)</f>
        <v>2.0961194359999999</v>
      </c>
      <c r="Y1013" s="58"/>
      <c r="Z1013" s="10"/>
      <c r="AA1013" s="57"/>
      <c r="AB1013" s="51">
        <f>(B1013*194.205+C1013*267.466+D1013*133.845+E1013*53.484+F1013*40+G1013*185+H1013*0+I1013*100+J1013*300)/(194.205+267.466+133.845+53.484+0+40+185+100+300)</f>
        <v>40.095517864521199</v>
      </c>
      <c r="AC1013" s="27">
        <f>(M1013*'RAP TEMPLATE-GAS AVAILABILITY'!O1012+N1013*'RAP TEMPLATE-GAS AVAILABILITY'!P1012+O1013*'RAP TEMPLATE-GAS AVAILABILITY'!Q1012+P1013*'RAP TEMPLATE-GAS AVAILABILITY'!R1012)/('RAP TEMPLATE-GAS AVAILABILITY'!O1012+'RAP TEMPLATE-GAS AVAILABILITY'!P1012+'RAP TEMPLATE-GAS AVAILABILITY'!Q1012+'RAP TEMPLATE-GAS AVAILABILITY'!R1012)</f>
        <v>39.763047482014386</v>
      </c>
    </row>
    <row r="1014" spans="1:29" ht="15.75" x14ac:dyDescent="0.25">
      <c r="A1014" s="13">
        <v>72136</v>
      </c>
      <c r="B1014" s="10">
        <f>CHOOSE(CONTROL!$C$42, 41.2082, 41.2082) * CHOOSE(CONTROL!$C$21, $C$9, 100%, $E$9)</f>
        <v>41.208199999999998</v>
      </c>
      <c r="C1014" s="10">
        <f>CHOOSE(CONTROL!$C$42, 41.2161, 41.2161) * CHOOSE(CONTROL!$C$21, $C$9, 100%, $E$9)</f>
        <v>41.216099999999997</v>
      </c>
      <c r="D1014" s="10">
        <f>CHOOSE(CONTROL!$C$42, 41.3946, 41.3946) * CHOOSE(CONTROL!$C$21, $C$9, 100%, $E$9)</f>
        <v>41.394599999999997</v>
      </c>
      <c r="E1014" s="10">
        <f>CHOOSE(CONTROL!$C$42, 41.4258, 41.4258) * CHOOSE(CONTROL!$C$21, $C$9, 100%, $E$9)</f>
        <v>41.425800000000002</v>
      </c>
      <c r="F1014" s="10">
        <f>CHOOSE(CONTROL!$C$42, 41.1946, 41.1946)*CHOOSE(CONTROL!$C$21, $C$9, 100%, $E$9)</f>
        <v>41.194600000000001</v>
      </c>
      <c r="G1014" s="10">
        <f>CHOOSE(CONTROL!$C$42, 41.2129, 41.2129)*CHOOSE(CONTROL!$C$21, $C$9, 100%, $E$9)</f>
        <v>41.212899999999998</v>
      </c>
      <c r="H1014" s="10">
        <f>CHOOSE(CONTROL!$C$42, 41.4144, 41.4144) * CHOOSE(CONTROL!$C$21, $C$9, 100%, $E$9)</f>
        <v>41.414400000000001</v>
      </c>
      <c r="I1014" s="10">
        <f>CHOOSE(CONTROL!$C$42, 41.1851, 41.1851)* CHOOSE(CONTROL!$C$21, $C$9, 100%, $E$9)</f>
        <v>41.185099999999998</v>
      </c>
      <c r="J1014" s="10">
        <f>CHOOSE(CONTROL!$C$42, 41.1876, 41.1876)* CHOOSE(CONTROL!$C$21, $C$9, 100%, $E$9)</f>
        <v>41.187600000000003</v>
      </c>
      <c r="K1014" s="54">
        <f>CHOOSE(CONTROL!$C$42, 41.1812, 41.1812) * CHOOSE(CONTROL!$C$21, $C$9, 100%, $E$9)</f>
        <v>41.181199999999997</v>
      </c>
      <c r="L1014" s="10">
        <f>CHOOSE(CONTROL!$C$42, 42.0014, 42.0014) * CHOOSE(CONTROL!$C$21, $C$9, 100%, $E$9)</f>
        <v>42.001399999999997</v>
      </c>
      <c r="M1014" s="10">
        <f>CHOOSE(CONTROL!$C$42, 40.7858, 40.7858) * CHOOSE(CONTROL!$C$21, $C$9, 100%, $E$9)</f>
        <v>40.785800000000002</v>
      </c>
      <c r="N1014" s="10">
        <f>CHOOSE(CONTROL!$C$42, 40.8038, 40.8038) * CHOOSE(CONTROL!$C$21, $C$9, 100%, $E$9)</f>
        <v>40.803800000000003</v>
      </c>
      <c r="O1014" s="10">
        <f>CHOOSE(CONTROL!$C$42, 41.0103, 41.0103) * CHOOSE(CONTROL!$C$21, $C$9, 100%, $E$9)</f>
        <v>41.010300000000001</v>
      </c>
      <c r="P1014" s="10">
        <f>CHOOSE(CONTROL!$C$42, 40.7833, 40.7833) * CHOOSE(CONTROL!$C$21, $C$9, 100%, $E$9)</f>
        <v>40.783299999999997</v>
      </c>
      <c r="Q1014" s="10">
        <f>CHOOSE(CONTROL!$C$42, 41.6056, 41.6056) * CHOOSE(CONTROL!$C$21, $C$9, 100%, $E$9)</f>
        <v>41.605600000000003</v>
      </c>
      <c r="R1014" s="10">
        <f>CHOOSE(CONTROL!$C$42, 42.2966, 42.2966) * CHOOSE(CONTROL!$C$21, $C$9, 100%, $E$9)</f>
        <v>42.296599999999998</v>
      </c>
      <c r="S1014" s="10">
        <f>CHOOSE(CONTROL!$C$42, 40.013, 40.013) * CHOOSE(CONTROL!$C$21, $C$9, 100%, $E$9)</f>
        <v>40.012999999999998</v>
      </c>
      <c r="T1014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014" s="58">
        <f>(1000*CHOOSE(CONTROL!$C$42, 695, 695)*CHOOSE(CONTROL!$C$42, 0.5599, 0.5599)*CHOOSE(CONTROL!$C$42, 30, 30))/1000000</f>
        <v>11.673914999999997</v>
      </c>
      <c r="V1014" s="58">
        <f>(1000*CHOOSE(CONTROL!$C$42, 500, 500)*CHOOSE(CONTROL!$C$42, 0.275, 0.275)*CHOOSE(CONTROL!$C$42, 30, 30))/1000000</f>
        <v>4.125</v>
      </c>
      <c r="W1014" s="58">
        <f>(1000*CHOOSE(CONTROL!$C$42, 0.1146, 0.1146)*CHOOSE(CONTROL!$C$42, 121.5, 121.5)*CHOOSE(CONTROL!$C$42, 30, 30))/1000000</f>
        <v>0.417717</v>
      </c>
      <c r="X1014" s="58">
        <f>(30*0.1790888*245000/1000000)+(30*0.2374*100000/1000000)</f>
        <v>2.0285026799999999</v>
      </c>
      <c r="Y1014" s="58"/>
      <c r="Z1014" s="10"/>
      <c r="AA1014" s="57"/>
      <c r="AB1014" s="51">
        <f>(B1014*194.205+C1014*267.466+D1014*133.845+E1014*53.484+F1014*40+G1014*185+H1014*0+I1014*100+J1014*300)/(194.205+267.466+133.845+53.484+0+40+185+100+300)</f>
        <v>41.232168059497646</v>
      </c>
      <c r="AC1014" s="27">
        <f>(M1014*'RAP TEMPLATE-GAS AVAILABILITY'!O1013+N1014*'RAP TEMPLATE-GAS AVAILABILITY'!P1013+O1014*'RAP TEMPLATE-GAS AVAILABILITY'!Q1013+P1014*'RAP TEMPLATE-GAS AVAILABILITY'!R1013)/('RAP TEMPLATE-GAS AVAILABILITY'!O1013+'RAP TEMPLATE-GAS AVAILABILITY'!P1013+'RAP TEMPLATE-GAS AVAILABILITY'!Q1013+'RAP TEMPLATE-GAS AVAILABILITY'!R1013)</f>
        <v>40.88822805755396</v>
      </c>
    </row>
    <row r="1015" spans="1:29" ht="15.75" x14ac:dyDescent="0.25">
      <c r="A1015" s="13">
        <v>72167</v>
      </c>
      <c r="B1015" s="10">
        <f>CHOOSE(CONTROL!$C$42, 40.4177, 40.4177) * CHOOSE(CONTROL!$C$21, $C$9, 100%, $E$9)</f>
        <v>40.417700000000004</v>
      </c>
      <c r="C1015" s="10">
        <f>CHOOSE(CONTROL!$C$42, 40.4256, 40.4256) * CHOOSE(CONTROL!$C$21, $C$9, 100%, $E$9)</f>
        <v>40.425600000000003</v>
      </c>
      <c r="D1015" s="10">
        <f>CHOOSE(CONTROL!$C$42, 40.6042, 40.6042) * CHOOSE(CONTROL!$C$21, $C$9, 100%, $E$9)</f>
        <v>40.604199999999999</v>
      </c>
      <c r="E1015" s="10">
        <f>CHOOSE(CONTROL!$C$42, 40.6353, 40.6353) * CHOOSE(CONTROL!$C$21, $C$9, 100%, $E$9)</f>
        <v>40.635300000000001</v>
      </c>
      <c r="F1015" s="10">
        <f>CHOOSE(CONTROL!$C$42, 40.4044, 40.4044)*CHOOSE(CONTROL!$C$21, $C$9, 100%, $E$9)</f>
        <v>40.404400000000003</v>
      </c>
      <c r="G1015" s="10">
        <f>CHOOSE(CONTROL!$C$42, 40.4227, 40.4227)*CHOOSE(CONTROL!$C$21, $C$9, 100%, $E$9)</f>
        <v>40.422699999999999</v>
      </c>
      <c r="H1015" s="10">
        <f>CHOOSE(CONTROL!$C$42, 40.6239, 40.6239) * CHOOSE(CONTROL!$C$21, $C$9, 100%, $E$9)</f>
        <v>40.623899999999999</v>
      </c>
      <c r="I1015" s="10">
        <f>CHOOSE(CONTROL!$C$42, 40.3946, 40.3946)* CHOOSE(CONTROL!$C$21, $C$9, 100%, $E$9)</f>
        <v>40.394599999999997</v>
      </c>
      <c r="J1015" s="10">
        <f>CHOOSE(CONTROL!$C$42, 40.3974, 40.3974)* CHOOSE(CONTROL!$C$21, $C$9, 100%, $E$9)</f>
        <v>40.397399999999998</v>
      </c>
      <c r="K1015" s="54">
        <f>CHOOSE(CONTROL!$C$42, 40.3907, 40.3907) * CHOOSE(CONTROL!$C$21, $C$9, 100%, $E$9)</f>
        <v>40.390700000000002</v>
      </c>
      <c r="L1015" s="10">
        <f>CHOOSE(CONTROL!$C$42, 41.2109, 41.2109) * CHOOSE(CONTROL!$C$21, $C$9, 100%, $E$9)</f>
        <v>41.210900000000002</v>
      </c>
      <c r="M1015" s="10">
        <f>CHOOSE(CONTROL!$C$42, 40.0036, 40.0036) * CHOOSE(CONTROL!$C$21, $C$9, 100%, $E$9)</f>
        <v>40.003599999999999</v>
      </c>
      <c r="N1015" s="10">
        <f>CHOOSE(CONTROL!$C$42, 40.0217, 40.0217) * CHOOSE(CONTROL!$C$21, $C$9, 100%, $E$9)</f>
        <v>40.021700000000003</v>
      </c>
      <c r="O1015" s="10">
        <f>CHOOSE(CONTROL!$C$42, 40.2278, 40.2278) * CHOOSE(CONTROL!$C$21, $C$9, 100%, $E$9)</f>
        <v>40.227800000000002</v>
      </c>
      <c r="P1015" s="10">
        <f>CHOOSE(CONTROL!$C$42, 40.0008, 40.0008) * CHOOSE(CONTROL!$C$21, $C$9, 100%, $E$9)</f>
        <v>40.000799999999998</v>
      </c>
      <c r="Q1015" s="10">
        <f>CHOOSE(CONTROL!$C$42, 40.8231, 40.8231) * CHOOSE(CONTROL!$C$21, $C$9, 100%, $E$9)</f>
        <v>40.823099999999997</v>
      </c>
      <c r="R1015" s="10">
        <f>CHOOSE(CONTROL!$C$42, 41.5122, 41.5122) * CHOOSE(CONTROL!$C$21, $C$9, 100%, $E$9)</f>
        <v>41.5122</v>
      </c>
      <c r="S1015" s="10">
        <f>CHOOSE(CONTROL!$C$42, 39.2454, 39.2454) * CHOOSE(CONTROL!$C$21, $C$9, 100%, $E$9)</f>
        <v>39.245399999999997</v>
      </c>
      <c r="T1015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015" s="58">
        <f>(1000*CHOOSE(CONTROL!$C$42, 695, 695)*CHOOSE(CONTROL!$C$42, 0.5599, 0.5599)*CHOOSE(CONTROL!$C$42, 31, 31))/1000000</f>
        <v>12.063045499999998</v>
      </c>
      <c r="V1015" s="58">
        <f>(1000*CHOOSE(CONTROL!$C$42, 500, 500)*CHOOSE(CONTROL!$C$42, 0.275, 0.275)*CHOOSE(CONTROL!$C$42, 31, 31))/1000000</f>
        <v>4.2625000000000002</v>
      </c>
      <c r="W1015" s="58">
        <f>(1000*CHOOSE(CONTROL!$C$42, 0.1146, 0.1146)*CHOOSE(CONTROL!$C$42, 121.5, 121.5)*CHOOSE(CONTROL!$C$42, 31, 31))/1000000</f>
        <v>0.43164089999999994</v>
      </c>
      <c r="X1015" s="58">
        <f>(31*0.1790888*245000/1000000)+(31*0.2374*100000/1000000)</f>
        <v>2.0961194359999999</v>
      </c>
      <c r="Y1015" s="58"/>
      <c r="Z1015" s="10"/>
      <c r="AA1015" s="57"/>
      <c r="AB1015" s="51">
        <f>(B1015*194.205+C1015*267.466+D1015*133.845+E1015*53.484+F1015*40+G1015*185+H1015*0+I1015*100+J1015*300)/(194.205+267.466+133.845+53.484+0+40+185+100+300)</f>
        <v>40.441802191758242</v>
      </c>
      <c r="AC1015" s="27">
        <f>(M1015*'RAP TEMPLATE-GAS AVAILABILITY'!O1014+N1015*'RAP TEMPLATE-GAS AVAILABILITY'!P1014+O1015*'RAP TEMPLATE-GAS AVAILABILITY'!Q1014+P1015*'RAP TEMPLATE-GAS AVAILABILITY'!R1014)/('RAP TEMPLATE-GAS AVAILABILITY'!O1014+'RAP TEMPLATE-GAS AVAILABILITY'!P1014+'RAP TEMPLATE-GAS AVAILABILITY'!Q1014+'RAP TEMPLATE-GAS AVAILABILITY'!R1014)</f>
        <v>40.105854676259</v>
      </c>
    </row>
    <row r="1016" spans="1:29" ht="15.75" x14ac:dyDescent="0.25">
      <c r="A1016" s="13">
        <v>72198</v>
      </c>
      <c r="B1016" s="10">
        <f>CHOOSE(CONTROL!$C$42, 38.4216, 38.4216) * CHOOSE(CONTROL!$C$21, $C$9, 100%, $E$9)</f>
        <v>38.421599999999998</v>
      </c>
      <c r="C1016" s="10">
        <f>CHOOSE(CONTROL!$C$42, 38.4295, 38.4295) * CHOOSE(CONTROL!$C$21, $C$9, 100%, $E$9)</f>
        <v>38.429499999999997</v>
      </c>
      <c r="D1016" s="10">
        <f>CHOOSE(CONTROL!$C$42, 38.608, 38.608) * CHOOSE(CONTROL!$C$21, $C$9, 100%, $E$9)</f>
        <v>38.607999999999997</v>
      </c>
      <c r="E1016" s="10">
        <f>CHOOSE(CONTROL!$C$42, 38.6391, 38.6391) * CHOOSE(CONTROL!$C$21, $C$9, 100%, $E$9)</f>
        <v>38.639099999999999</v>
      </c>
      <c r="F1016" s="10">
        <f>CHOOSE(CONTROL!$C$42, 38.4082, 38.4082)*CHOOSE(CONTROL!$C$21, $C$9, 100%, $E$9)</f>
        <v>38.408200000000001</v>
      </c>
      <c r="G1016" s="10">
        <f>CHOOSE(CONTROL!$C$42, 38.4265, 38.4265)*CHOOSE(CONTROL!$C$21, $C$9, 100%, $E$9)</f>
        <v>38.426499999999997</v>
      </c>
      <c r="H1016" s="10">
        <f>CHOOSE(CONTROL!$C$42, 38.6278, 38.6278) * CHOOSE(CONTROL!$C$21, $C$9, 100%, $E$9)</f>
        <v>38.627800000000001</v>
      </c>
      <c r="I1016" s="10">
        <f>CHOOSE(CONTROL!$C$42, 38.3984, 38.3984)* CHOOSE(CONTROL!$C$21, $C$9, 100%, $E$9)</f>
        <v>38.398400000000002</v>
      </c>
      <c r="J1016" s="10">
        <f>CHOOSE(CONTROL!$C$42, 38.4012, 38.4012)* CHOOSE(CONTROL!$C$21, $C$9, 100%, $E$9)</f>
        <v>38.401200000000003</v>
      </c>
      <c r="K1016" s="54">
        <f>CHOOSE(CONTROL!$C$42, 38.3945, 38.3945) * CHOOSE(CONTROL!$C$21, $C$9, 100%, $E$9)</f>
        <v>38.394500000000001</v>
      </c>
      <c r="L1016" s="10">
        <f>CHOOSE(CONTROL!$C$42, 39.2148, 39.2148) * CHOOSE(CONTROL!$C$21, $C$9, 100%, $E$9)</f>
        <v>39.214799999999997</v>
      </c>
      <c r="M1016" s="10">
        <f>CHOOSE(CONTROL!$C$42, 38.0275, 38.0275) * CHOOSE(CONTROL!$C$21, $C$9, 100%, $E$9)</f>
        <v>38.027500000000003</v>
      </c>
      <c r="N1016" s="10">
        <f>CHOOSE(CONTROL!$C$42, 38.0456, 38.0456) * CHOOSE(CONTROL!$C$21, $C$9, 100%, $E$9)</f>
        <v>38.0456</v>
      </c>
      <c r="O1016" s="10">
        <f>CHOOSE(CONTROL!$C$42, 38.2518, 38.2518) * CHOOSE(CONTROL!$C$21, $C$9, 100%, $E$9)</f>
        <v>38.251800000000003</v>
      </c>
      <c r="P1016" s="10">
        <f>CHOOSE(CONTROL!$C$42, 38.0248, 38.0248) * CHOOSE(CONTROL!$C$21, $C$9, 100%, $E$9)</f>
        <v>38.024799999999999</v>
      </c>
      <c r="Q1016" s="10">
        <f>CHOOSE(CONTROL!$C$42, 38.8471, 38.8471) * CHOOSE(CONTROL!$C$21, $C$9, 100%, $E$9)</f>
        <v>38.847099999999998</v>
      </c>
      <c r="R1016" s="10">
        <f>CHOOSE(CONTROL!$C$42, 39.5312, 39.5312) * CHOOSE(CONTROL!$C$21, $C$9, 100%, $E$9)</f>
        <v>39.531199999999998</v>
      </c>
      <c r="S1016" s="10">
        <f>CHOOSE(CONTROL!$C$42, 37.3069, 37.3069) * CHOOSE(CONTROL!$C$21, $C$9, 100%, $E$9)</f>
        <v>37.306899999999999</v>
      </c>
      <c r="T1016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016" s="58">
        <f>(1000*CHOOSE(CONTROL!$C$42, 695, 695)*CHOOSE(CONTROL!$C$42, 0.5599, 0.5599)*CHOOSE(CONTROL!$C$42, 31, 31))/1000000</f>
        <v>12.063045499999998</v>
      </c>
      <c r="V1016" s="58">
        <f>(1000*CHOOSE(CONTROL!$C$42, 500, 500)*CHOOSE(CONTROL!$C$42, 0.275, 0.275)*CHOOSE(CONTROL!$C$42, 31, 31))/1000000</f>
        <v>4.2625000000000002</v>
      </c>
      <c r="W1016" s="58">
        <f>(1000*CHOOSE(CONTROL!$C$42, 0.1146, 0.1146)*CHOOSE(CONTROL!$C$42, 121.5, 121.5)*CHOOSE(CONTROL!$C$42, 31, 31))/1000000</f>
        <v>0.43164089999999994</v>
      </c>
      <c r="X1016" s="58">
        <f>(31*0.1790888*245000/1000000)+(31*0.2374*100000/1000000)</f>
        <v>2.0961194359999999</v>
      </c>
      <c r="Y1016" s="58"/>
      <c r="Z1016" s="10"/>
      <c r="AA1016" s="57"/>
      <c r="AB1016" s="51">
        <f>(B1016*194.205+C1016*267.466+D1016*133.845+E1016*53.484+F1016*40+G1016*185+H1016*0+I1016*100+J1016*300)/(194.205+267.466+133.845+53.484+0+40+185+100+300)</f>
        <v>38.445638429670332</v>
      </c>
      <c r="AC1016" s="27">
        <f>(M1016*'RAP TEMPLATE-GAS AVAILABILITY'!O1015+N1016*'RAP TEMPLATE-GAS AVAILABILITY'!P1015+O1016*'RAP TEMPLATE-GAS AVAILABILITY'!Q1015+P1016*'RAP TEMPLATE-GAS AVAILABILITY'!R1015)/('RAP TEMPLATE-GAS AVAILABILITY'!O1015+'RAP TEMPLATE-GAS AVAILABILITY'!P1015+'RAP TEMPLATE-GAS AVAILABILITY'!Q1015+'RAP TEMPLATE-GAS AVAILABILITY'!R1015)</f>
        <v>38.129814388489208</v>
      </c>
    </row>
    <row r="1017" spans="1:29" ht="15.75" x14ac:dyDescent="0.25">
      <c r="A1017" s="13">
        <v>72228</v>
      </c>
      <c r="B1017" s="10">
        <f>CHOOSE(CONTROL!$C$42, 35.9826, 35.9826) * CHOOSE(CONTROL!$C$21, $C$9, 100%, $E$9)</f>
        <v>35.982599999999998</v>
      </c>
      <c r="C1017" s="10">
        <f>CHOOSE(CONTROL!$C$42, 35.9905, 35.9905) * CHOOSE(CONTROL!$C$21, $C$9, 100%, $E$9)</f>
        <v>35.990499999999997</v>
      </c>
      <c r="D1017" s="10">
        <f>CHOOSE(CONTROL!$C$42, 36.169, 36.169) * CHOOSE(CONTROL!$C$21, $C$9, 100%, $E$9)</f>
        <v>36.168999999999997</v>
      </c>
      <c r="E1017" s="10">
        <f>CHOOSE(CONTROL!$C$42, 36.2002, 36.2002) * CHOOSE(CONTROL!$C$21, $C$9, 100%, $E$9)</f>
        <v>36.200200000000002</v>
      </c>
      <c r="F1017" s="10">
        <f>CHOOSE(CONTROL!$C$42, 35.969, 35.969)*CHOOSE(CONTROL!$C$21, $C$9, 100%, $E$9)</f>
        <v>35.969000000000001</v>
      </c>
      <c r="G1017" s="10">
        <f>CHOOSE(CONTROL!$C$42, 35.9872, 35.9872)*CHOOSE(CONTROL!$C$21, $C$9, 100%, $E$9)</f>
        <v>35.987200000000001</v>
      </c>
      <c r="H1017" s="10">
        <f>CHOOSE(CONTROL!$C$42, 36.1888, 36.1888) * CHOOSE(CONTROL!$C$21, $C$9, 100%, $E$9)</f>
        <v>36.188800000000001</v>
      </c>
      <c r="I1017" s="10">
        <f>CHOOSE(CONTROL!$C$42, 35.9595, 35.9595)* CHOOSE(CONTROL!$C$21, $C$9, 100%, $E$9)</f>
        <v>35.959499999999998</v>
      </c>
      <c r="J1017" s="10">
        <f>CHOOSE(CONTROL!$C$42, 35.962, 35.962)* CHOOSE(CONTROL!$C$21, $C$9, 100%, $E$9)</f>
        <v>35.962000000000003</v>
      </c>
      <c r="K1017" s="54">
        <f>CHOOSE(CONTROL!$C$42, 35.9556, 35.9556) * CHOOSE(CONTROL!$C$21, $C$9, 100%, $E$9)</f>
        <v>35.955599999999997</v>
      </c>
      <c r="L1017" s="10">
        <f>CHOOSE(CONTROL!$C$42, 36.7758, 36.7758) * CHOOSE(CONTROL!$C$21, $C$9, 100%, $E$9)</f>
        <v>36.775799999999997</v>
      </c>
      <c r="M1017" s="10">
        <f>CHOOSE(CONTROL!$C$42, 35.6129, 35.6129) * CHOOSE(CONTROL!$C$21, $C$9, 100%, $E$9)</f>
        <v>35.612900000000003</v>
      </c>
      <c r="N1017" s="10">
        <f>CHOOSE(CONTROL!$C$42, 35.6309, 35.6309) * CHOOSE(CONTROL!$C$21, $C$9, 100%, $E$9)</f>
        <v>35.630899999999997</v>
      </c>
      <c r="O1017" s="10">
        <f>CHOOSE(CONTROL!$C$42, 35.8374, 35.8374) * CHOOSE(CONTROL!$C$21, $C$9, 100%, $E$9)</f>
        <v>35.837400000000002</v>
      </c>
      <c r="P1017" s="10">
        <f>CHOOSE(CONTROL!$C$42, 35.6104, 35.6104) * CHOOSE(CONTROL!$C$21, $C$9, 100%, $E$9)</f>
        <v>35.610399999999998</v>
      </c>
      <c r="Q1017" s="10">
        <f>CHOOSE(CONTROL!$C$42, 36.4327, 36.4327) * CHOOSE(CONTROL!$C$21, $C$9, 100%, $E$9)</f>
        <v>36.432699999999997</v>
      </c>
      <c r="R1017" s="10">
        <f>CHOOSE(CONTROL!$C$42, 37.1108, 37.1108) * CHOOSE(CONTROL!$C$21, $C$9, 100%, $E$9)</f>
        <v>37.110799999999998</v>
      </c>
      <c r="S1017" s="10">
        <f>CHOOSE(CONTROL!$C$42, 34.9385, 34.9385) * CHOOSE(CONTROL!$C$21, $C$9, 100%, $E$9)</f>
        <v>34.938499999999998</v>
      </c>
      <c r="T1017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017" s="58">
        <f>(1000*CHOOSE(CONTROL!$C$42, 695, 695)*CHOOSE(CONTROL!$C$42, 0.5599, 0.5599)*CHOOSE(CONTROL!$C$42, 30, 30))/1000000</f>
        <v>11.673914999999997</v>
      </c>
      <c r="V1017" s="58">
        <f>(1000*CHOOSE(CONTROL!$C$42, 500, 500)*CHOOSE(CONTROL!$C$42, 0.275, 0.275)*CHOOSE(CONTROL!$C$42, 30, 30))/1000000</f>
        <v>4.125</v>
      </c>
      <c r="W1017" s="58">
        <f>(1000*CHOOSE(CONTROL!$C$42, 0.1146, 0.1146)*CHOOSE(CONTROL!$C$42, 121.5, 121.5)*CHOOSE(CONTROL!$C$42, 30, 30))/1000000</f>
        <v>0.417717</v>
      </c>
      <c r="X1017" s="58">
        <f>(30*0.1790888*245000/1000000)+(30*0.2374*100000/1000000)</f>
        <v>2.0285026799999999</v>
      </c>
      <c r="Y1017" s="58"/>
      <c r="Z1017" s="10"/>
      <c r="AA1017" s="57"/>
      <c r="AB1017" s="51">
        <f>(B1017*194.205+C1017*267.466+D1017*133.845+E1017*53.484+F1017*40+G1017*185+H1017*0+I1017*100+J1017*300)/(194.205+267.466+133.845+53.484+0+40+185+100+300)</f>
        <v>36.006553538304551</v>
      </c>
      <c r="AC1017" s="27">
        <f>(M1017*'RAP TEMPLATE-GAS AVAILABILITY'!O1016+N1017*'RAP TEMPLATE-GAS AVAILABILITY'!P1016+O1017*'RAP TEMPLATE-GAS AVAILABILITY'!Q1016+P1017*'RAP TEMPLATE-GAS AVAILABILITY'!R1016)/('RAP TEMPLATE-GAS AVAILABILITY'!O1016+'RAP TEMPLATE-GAS AVAILABILITY'!P1016+'RAP TEMPLATE-GAS AVAILABILITY'!Q1016+'RAP TEMPLATE-GAS AVAILABILITY'!R1016)</f>
        <v>35.715328057553968</v>
      </c>
    </row>
    <row r="1018" spans="1:29" ht="15.75" x14ac:dyDescent="0.25">
      <c r="A1018" s="13">
        <v>72259</v>
      </c>
      <c r="B1018" s="10">
        <f>CHOOSE(CONTROL!$C$42, 35.25, 35.25) * CHOOSE(CONTROL!$C$21, $C$9, 100%, $E$9)</f>
        <v>35.25</v>
      </c>
      <c r="C1018" s="10">
        <f>CHOOSE(CONTROL!$C$42, 35.2552, 35.2552) * CHOOSE(CONTROL!$C$21, $C$9, 100%, $E$9)</f>
        <v>35.255200000000002</v>
      </c>
      <c r="D1018" s="10">
        <f>CHOOSE(CONTROL!$C$42, 35.4387, 35.4387) * CHOOSE(CONTROL!$C$21, $C$9, 100%, $E$9)</f>
        <v>35.438699999999997</v>
      </c>
      <c r="E1018" s="10">
        <f>CHOOSE(CONTROL!$C$42, 35.4675, 35.4675) * CHOOSE(CONTROL!$C$21, $C$9, 100%, $E$9)</f>
        <v>35.467500000000001</v>
      </c>
      <c r="F1018" s="10">
        <f>CHOOSE(CONTROL!$C$42, 35.2383, 35.2383)*CHOOSE(CONTROL!$C$21, $C$9, 100%, $E$9)</f>
        <v>35.238300000000002</v>
      </c>
      <c r="G1018" s="10">
        <f>CHOOSE(CONTROL!$C$42, 35.2562, 35.2562)*CHOOSE(CONTROL!$C$21, $C$9, 100%, $E$9)</f>
        <v>35.2562</v>
      </c>
      <c r="H1018" s="10">
        <f>CHOOSE(CONTROL!$C$42, 35.4579, 35.4579) * CHOOSE(CONTROL!$C$21, $C$9, 100%, $E$9)</f>
        <v>35.457900000000002</v>
      </c>
      <c r="I1018" s="10">
        <f>CHOOSE(CONTROL!$C$42, 35.2286, 35.2286)* CHOOSE(CONTROL!$C$21, $C$9, 100%, $E$9)</f>
        <v>35.2286</v>
      </c>
      <c r="J1018" s="10">
        <f>CHOOSE(CONTROL!$C$42, 35.2313, 35.2313)* CHOOSE(CONTROL!$C$21, $C$9, 100%, $E$9)</f>
        <v>35.231299999999997</v>
      </c>
      <c r="K1018" s="54">
        <f>CHOOSE(CONTROL!$C$42, 35.2247, 35.2247) * CHOOSE(CONTROL!$C$21, $C$9, 100%, $E$9)</f>
        <v>35.224699999999999</v>
      </c>
      <c r="L1018" s="10">
        <f>CHOOSE(CONTROL!$C$42, 36.0449, 36.0449) * CHOOSE(CONTROL!$C$21, $C$9, 100%, $E$9)</f>
        <v>36.044899999999998</v>
      </c>
      <c r="M1018" s="10">
        <f>CHOOSE(CONTROL!$C$42, 34.8896, 34.8896) * CHOOSE(CONTROL!$C$21, $C$9, 100%, $E$9)</f>
        <v>34.889600000000002</v>
      </c>
      <c r="N1018" s="10">
        <f>CHOOSE(CONTROL!$C$42, 34.9073, 34.9073) * CHOOSE(CONTROL!$C$21, $C$9, 100%, $E$9)</f>
        <v>34.907299999999999</v>
      </c>
      <c r="O1018" s="10">
        <f>CHOOSE(CONTROL!$C$42, 35.1139, 35.1139) * CHOOSE(CONTROL!$C$21, $C$9, 100%, $E$9)</f>
        <v>35.113900000000001</v>
      </c>
      <c r="P1018" s="10">
        <f>CHOOSE(CONTROL!$C$42, 34.8869, 34.8869) * CHOOSE(CONTROL!$C$21, $C$9, 100%, $E$9)</f>
        <v>34.886899999999997</v>
      </c>
      <c r="Q1018" s="10">
        <f>CHOOSE(CONTROL!$C$42, 35.7092, 35.7092) * CHOOSE(CONTROL!$C$21, $C$9, 100%, $E$9)</f>
        <v>35.709200000000003</v>
      </c>
      <c r="R1018" s="10">
        <f>CHOOSE(CONTROL!$C$42, 36.3855, 36.3855) * CHOOSE(CONTROL!$C$21, $C$9, 100%, $E$9)</f>
        <v>36.3855</v>
      </c>
      <c r="S1018" s="10">
        <f>CHOOSE(CONTROL!$C$42, 34.2287, 34.2287) * CHOOSE(CONTROL!$C$21, $C$9, 100%, $E$9)</f>
        <v>34.228700000000003</v>
      </c>
      <c r="T1018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018" s="58">
        <f>(1000*CHOOSE(CONTROL!$C$42, 695, 695)*CHOOSE(CONTROL!$C$42, 0.5599, 0.5599)*CHOOSE(CONTROL!$C$42, 31, 31))/1000000</f>
        <v>12.063045499999998</v>
      </c>
      <c r="V1018" s="58">
        <f>(1000*CHOOSE(CONTROL!$C$42, 500, 500)*CHOOSE(CONTROL!$C$42, 0.275, 0.275)*CHOOSE(CONTROL!$C$42, 31, 31))/1000000</f>
        <v>4.2625000000000002</v>
      </c>
      <c r="W1018" s="58">
        <f>(1000*CHOOSE(CONTROL!$C$42, 0.1146, 0.1146)*CHOOSE(CONTROL!$C$42, 121.5, 121.5)*CHOOSE(CONTROL!$C$42, 31, 31))/1000000</f>
        <v>0.43164089999999994</v>
      </c>
      <c r="X1018" s="58">
        <f>(31*0.1790888*245000/1000000)+(31*0.2374*100000/1000000)</f>
        <v>2.0961194359999999</v>
      </c>
      <c r="Y1018" s="58"/>
      <c r="Z1018" s="10"/>
      <c r="AA1018" s="57"/>
      <c r="AB1018" s="51">
        <f>(B1018*131.881+C1018*277.167+D1018*79.08+E1018*125.872+F1018*40+G1018*185+H1018*0+I1018*100+J1018*300)/(131.881+277.167+79.08+125.872+0+40+185+100+300)</f>
        <v>35.279596307021791</v>
      </c>
      <c r="AC1018" s="27">
        <f>(M1018*'RAP TEMPLATE-GAS AVAILABILITY'!O1017+N1018*'RAP TEMPLATE-GAS AVAILABILITY'!P1017+O1018*'RAP TEMPLATE-GAS AVAILABILITY'!Q1017+P1018*'RAP TEMPLATE-GAS AVAILABILITY'!R1017)/('RAP TEMPLATE-GAS AVAILABILITY'!O1017+'RAP TEMPLATE-GAS AVAILABILITY'!P1017+'RAP TEMPLATE-GAS AVAILABILITY'!Q1017+'RAP TEMPLATE-GAS AVAILABILITY'!R1017)</f>
        <v>34.991891366906472</v>
      </c>
    </row>
    <row r="1019" spans="1:29" ht="15.75" x14ac:dyDescent="0.25">
      <c r="A1019" s="13">
        <v>72289</v>
      </c>
      <c r="B1019" s="10">
        <f>CHOOSE(CONTROL!$C$42, 36.1781, 36.1781) * CHOOSE(CONTROL!$C$21, $C$9, 100%, $E$9)</f>
        <v>36.178100000000001</v>
      </c>
      <c r="C1019" s="10">
        <f>CHOOSE(CONTROL!$C$42, 36.1831, 36.1831) * CHOOSE(CONTROL!$C$21, $C$9, 100%, $E$9)</f>
        <v>36.183100000000003</v>
      </c>
      <c r="D1019" s="10">
        <f>CHOOSE(CONTROL!$C$42, 36.2127, 36.2127) * CHOOSE(CONTROL!$C$21, $C$9, 100%, $E$9)</f>
        <v>36.212699999999998</v>
      </c>
      <c r="E1019" s="10">
        <f>CHOOSE(CONTROL!$C$42, 36.2465, 36.2465) * CHOOSE(CONTROL!$C$21, $C$9, 100%, $E$9)</f>
        <v>36.246499999999997</v>
      </c>
      <c r="F1019" s="10">
        <f>CHOOSE(CONTROL!$C$42, 36.1639, 36.1639)*CHOOSE(CONTROL!$C$21, $C$9, 100%, $E$9)</f>
        <v>36.163899999999998</v>
      </c>
      <c r="G1019" s="10">
        <f>CHOOSE(CONTROL!$C$42, 36.1819, 36.1819)*CHOOSE(CONTROL!$C$21, $C$9, 100%, $E$9)</f>
        <v>36.181899999999999</v>
      </c>
      <c r="H1019" s="10">
        <f>CHOOSE(CONTROL!$C$42, 36.2356, 36.2356) * CHOOSE(CONTROL!$C$21, $C$9, 100%, $E$9)</f>
        <v>36.235599999999998</v>
      </c>
      <c r="I1019" s="10">
        <f>CHOOSE(CONTROL!$C$42, 36.1443, 36.1443)* CHOOSE(CONTROL!$C$21, $C$9, 100%, $E$9)</f>
        <v>36.144300000000001</v>
      </c>
      <c r="J1019" s="10">
        <f>CHOOSE(CONTROL!$C$42, 36.1569, 36.1569)* CHOOSE(CONTROL!$C$21, $C$9, 100%, $E$9)</f>
        <v>36.1569</v>
      </c>
      <c r="K1019" s="54">
        <f>CHOOSE(CONTROL!$C$42, 36.1404, 36.1404) * CHOOSE(CONTROL!$C$21, $C$9, 100%, $E$9)</f>
        <v>36.1404</v>
      </c>
      <c r="L1019" s="10">
        <f>CHOOSE(CONTROL!$C$42, 36.8226, 36.8226) * CHOOSE(CONTROL!$C$21, $C$9, 100%, $E$9)</f>
        <v>36.822600000000001</v>
      </c>
      <c r="M1019" s="10">
        <f>CHOOSE(CONTROL!$C$42, 35.8058, 35.8058) * CHOOSE(CONTROL!$C$21, $C$9, 100%, $E$9)</f>
        <v>35.805799999999998</v>
      </c>
      <c r="N1019" s="10">
        <f>CHOOSE(CONTROL!$C$42, 35.8237, 35.8237) * CHOOSE(CONTROL!$C$21, $C$9, 100%, $E$9)</f>
        <v>35.823700000000002</v>
      </c>
      <c r="O1019" s="10">
        <f>CHOOSE(CONTROL!$C$42, 35.8838, 35.8838) * CHOOSE(CONTROL!$C$21, $C$9, 100%, $E$9)</f>
        <v>35.883800000000001</v>
      </c>
      <c r="P1019" s="10">
        <f>CHOOSE(CONTROL!$C$42, 35.7934, 35.7934) * CHOOSE(CONTROL!$C$21, $C$9, 100%, $E$9)</f>
        <v>35.793399999999998</v>
      </c>
      <c r="Q1019" s="10">
        <f>CHOOSE(CONTROL!$C$42, 36.4791, 36.4791) * CHOOSE(CONTROL!$C$21, $C$9, 100%, $E$9)</f>
        <v>36.479100000000003</v>
      </c>
      <c r="R1019" s="10">
        <f>CHOOSE(CONTROL!$C$42, 37.1573, 37.1573) * CHOOSE(CONTROL!$C$21, $C$9, 100%, $E$9)</f>
        <v>37.157299999999999</v>
      </c>
      <c r="S1019" s="10">
        <f>CHOOSE(CONTROL!$C$42, 35.1304, 35.1304) * CHOOSE(CONTROL!$C$21, $C$9, 100%, $E$9)</f>
        <v>35.130400000000002</v>
      </c>
      <c r="T1019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019" s="58">
        <f>(1000*CHOOSE(CONTROL!$C$42, 695, 695)*CHOOSE(CONTROL!$C$42, 0.5599, 0.5599)*CHOOSE(CONTROL!$C$42, 30, 30))/1000000</f>
        <v>11.673914999999997</v>
      </c>
      <c r="V1019" s="58">
        <f>(1000*CHOOSE(CONTROL!$C$42, 500, 500)*CHOOSE(CONTROL!$C$42, 0.275, 0.275)*CHOOSE(CONTROL!$C$42, 30, 30))/1000000</f>
        <v>4.125</v>
      </c>
      <c r="W1019" s="58">
        <f>(1000*CHOOSE(CONTROL!$C$42, 0.1146, 0.1146)*CHOOSE(CONTROL!$C$42, 121.5, 121.5)*CHOOSE(CONTROL!$C$42, 30, 30))/1000000</f>
        <v>0.417717</v>
      </c>
      <c r="X1019" s="58">
        <f>(30*0.1790888*100000/1000000)+(30*0.2374*100000/1000000)</f>
        <v>1.2494664</v>
      </c>
      <c r="Y1019" s="58"/>
      <c r="Z1019" s="10"/>
      <c r="AA1019" s="57"/>
      <c r="AB1019" s="51">
        <f>(B1019*122.58+C1019*297.941+D1019*89.177+E1019*40.302+F1019*40+G1019*160+H1019*0+I1019*100+J1019*300)/(122.58+297.941+89.177+40.302+0+40+160+100+300)</f>
        <v>36.176040770434788</v>
      </c>
      <c r="AC1019" s="27">
        <f>(M1019*'RAP TEMPLATE-GAS AVAILABILITY'!O1018+N1019*'RAP TEMPLATE-GAS AVAILABILITY'!P1018+O1019*'RAP TEMPLATE-GAS AVAILABILITY'!Q1018+P1019*'RAP TEMPLATE-GAS AVAILABILITY'!R1018)/('RAP TEMPLATE-GAS AVAILABILITY'!O1018+'RAP TEMPLATE-GAS AVAILABILITY'!P1018+'RAP TEMPLATE-GAS AVAILABILITY'!Q1018+'RAP TEMPLATE-GAS AVAILABILITY'!R1018)</f>
        <v>35.840398561151083</v>
      </c>
    </row>
    <row r="1020" spans="1:29" ht="15.75" x14ac:dyDescent="0.25">
      <c r="A1020" s="13">
        <v>72320</v>
      </c>
      <c r="B1020" s="10">
        <f>CHOOSE(CONTROL!$C$42, 38.6445, 38.6445) * CHOOSE(CONTROL!$C$21, $C$9, 100%, $E$9)</f>
        <v>38.644500000000001</v>
      </c>
      <c r="C1020" s="10">
        <f>CHOOSE(CONTROL!$C$42, 38.6495, 38.6495) * CHOOSE(CONTROL!$C$21, $C$9, 100%, $E$9)</f>
        <v>38.649500000000003</v>
      </c>
      <c r="D1020" s="10">
        <f>CHOOSE(CONTROL!$C$42, 38.6791, 38.6791) * CHOOSE(CONTROL!$C$21, $C$9, 100%, $E$9)</f>
        <v>38.679099999999998</v>
      </c>
      <c r="E1020" s="10">
        <f>CHOOSE(CONTROL!$C$42, 38.7129, 38.7129) * CHOOSE(CONTROL!$C$21, $C$9, 100%, $E$9)</f>
        <v>38.712899999999998</v>
      </c>
      <c r="F1020" s="10">
        <f>CHOOSE(CONTROL!$C$42, 38.6318, 38.6318)*CHOOSE(CONTROL!$C$21, $C$9, 100%, $E$9)</f>
        <v>38.631799999999998</v>
      </c>
      <c r="G1020" s="10">
        <f>CHOOSE(CONTROL!$C$42, 38.6503, 38.6503)*CHOOSE(CONTROL!$C$21, $C$9, 100%, $E$9)</f>
        <v>38.650300000000001</v>
      </c>
      <c r="H1020" s="10">
        <f>CHOOSE(CONTROL!$C$42, 38.7021, 38.7021) * CHOOSE(CONTROL!$C$21, $C$9, 100%, $E$9)</f>
        <v>38.702100000000002</v>
      </c>
      <c r="I1020" s="10">
        <f>CHOOSE(CONTROL!$C$42, 38.6107, 38.6107)* CHOOSE(CONTROL!$C$21, $C$9, 100%, $E$9)</f>
        <v>38.610700000000001</v>
      </c>
      <c r="J1020" s="10">
        <f>CHOOSE(CONTROL!$C$42, 38.6248, 38.6248)* CHOOSE(CONTROL!$C$21, $C$9, 100%, $E$9)</f>
        <v>38.6248</v>
      </c>
      <c r="K1020" s="54">
        <f>CHOOSE(CONTROL!$C$42, 38.6068, 38.6068) * CHOOSE(CONTROL!$C$21, $C$9, 100%, $E$9)</f>
        <v>38.6068</v>
      </c>
      <c r="L1020" s="10">
        <f>CHOOSE(CONTROL!$C$42, 39.2891, 39.2891) * CHOOSE(CONTROL!$C$21, $C$9, 100%, $E$9)</f>
        <v>39.289099999999998</v>
      </c>
      <c r="M1020" s="10">
        <f>CHOOSE(CONTROL!$C$42, 38.2489, 38.2489) * CHOOSE(CONTROL!$C$21, $C$9, 100%, $E$9)</f>
        <v>38.248899999999999</v>
      </c>
      <c r="N1020" s="10">
        <f>CHOOSE(CONTROL!$C$42, 38.2671, 38.2671) * CHOOSE(CONTROL!$C$21, $C$9, 100%, $E$9)</f>
        <v>38.267099999999999</v>
      </c>
      <c r="O1020" s="10">
        <f>CHOOSE(CONTROL!$C$42, 38.3253, 38.3253) * CHOOSE(CONTROL!$C$21, $C$9, 100%, $E$9)</f>
        <v>38.325299999999999</v>
      </c>
      <c r="P1020" s="10">
        <f>CHOOSE(CONTROL!$C$42, 38.2349, 38.2349) * CHOOSE(CONTROL!$C$21, $C$9, 100%, $E$9)</f>
        <v>38.234900000000003</v>
      </c>
      <c r="Q1020" s="10">
        <f>CHOOSE(CONTROL!$C$42, 38.9206, 38.9206) * CHOOSE(CONTROL!$C$21, $C$9, 100%, $E$9)</f>
        <v>38.9206</v>
      </c>
      <c r="R1020" s="10">
        <f>CHOOSE(CONTROL!$C$42, 39.6049, 39.6049) * CHOOSE(CONTROL!$C$21, $C$9, 100%, $E$9)</f>
        <v>39.604900000000001</v>
      </c>
      <c r="S1020" s="10">
        <f>CHOOSE(CONTROL!$C$42, 37.5256, 37.5256) * CHOOSE(CONTROL!$C$21, $C$9, 100%, $E$9)</f>
        <v>37.525599999999997</v>
      </c>
      <c r="T1020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020" s="58">
        <f>(1000*CHOOSE(CONTROL!$C$42, 695, 695)*CHOOSE(CONTROL!$C$42, 0.5599, 0.5599)*CHOOSE(CONTROL!$C$42, 31, 31))/1000000</f>
        <v>12.063045499999998</v>
      </c>
      <c r="V1020" s="58">
        <f>(1000*CHOOSE(CONTROL!$C$42, 500, 500)*CHOOSE(CONTROL!$C$42, 0.275, 0.275)*CHOOSE(CONTROL!$C$42, 31, 31))/1000000</f>
        <v>4.2625000000000002</v>
      </c>
      <c r="W1020" s="58">
        <f>(1000*CHOOSE(CONTROL!$C$42, 0.1146, 0.1146)*CHOOSE(CONTROL!$C$42, 121.5, 121.5)*CHOOSE(CONTROL!$C$42, 31, 31))/1000000</f>
        <v>0.43164089999999994</v>
      </c>
      <c r="X1020" s="58">
        <f>(31*0.1790888*100000/1000000)+(31*0.2374*100000/1000000)</f>
        <v>1.2911152800000001</v>
      </c>
      <c r="Y1020" s="58"/>
      <c r="Z1020" s="10"/>
      <c r="AA1020" s="57"/>
      <c r="AB1020" s="51">
        <f>(B1020*122.58+C1020*297.941+D1020*89.177+E1020*40.302+F1020*40+G1020*160+H1020*0+I1020*100+J1020*300)/(122.58+297.941+89.177+40.302+0+40+160+100+300)</f>
        <v>38.643162509565215</v>
      </c>
      <c r="AC1020" s="27">
        <f>(M1020*'RAP TEMPLATE-GAS AVAILABILITY'!O1019+N1020*'RAP TEMPLATE-GAS AVAILABILITY'!P1019+O1020*'RAP TEMPLATE-GAS AVAILABILITY'!Q1019+P1020*'RAP TEMPLATE-GAS AVAILABILITY'!R1019)/('RAP TEMPLATE-GAS AVAILABILITY'!O1019+'RAP TEMPLATE-GAS AVAILABILITY'!P1019+'RAP TEMPLATE-GAS AVAILABILITY'!Q1019+'RAP TEMPLATE-GAS AVAILABILITY'!R1019)</f>
        <v>38.282560431654673</v>
      </c>
    </row>
    <row r="1021" spans="1:29" ht="15.75" x14ac:dyDescent="0.25">
      <c r="A1021" s="13">
        <v>72351</v>
      </c>
      <c r="B1021" s="10">
        <f>CHOOSE(CONTROL!$C$42, 41.2526, 41.2526) * CHOOSE(CONTROL!$C$21, $C$9, 100%, $E$9)</f>
        <v>41.252600000000001</v>
      </c>
      <c r="C1021" s="10">
        <f>CHOOSE(CONTROL!$C$42, 41.2576, 41.2576) * CHOOSE(CONTROL!$C$21, $C$9, 100%, $E$9)</f>
        <v>41.257599999999996</v>
      </c>
      <c r="D1021" s="10">
        <f>CHOOSE(CONTROL!$C$42, 41.3078, 41.3078) * CHOOSE(CONTROL!$C$21, $C$9, 100%, $E$9)</f>
        <v>41.3078</v>
      </c>
      <c r="E1021" s="10">
        <f>CHOOSE(CONTROL!$C$42, 41.3415, 41.3415) * CHOOSE(CONTROL!$C$21, $C$9, 100%, $E$9)</f>
        <v>41.341500000000003</v>
      </c>
      <c r="F1021" s="10">
        <f>CHOOSE(CONTROL!$C$42, 41.218, 41.218)*CHOOSE(CONTROL!$C$21, $C$9, 100%, $E$9)</f>
        <v>41.218000000000004</v>
      </c>
      <c r="G1021" s="10">
        <f>CHOOSE(CONTROL!$C$42, 41.2355, 41.2355)*CHOOSE(CONTROL!$C$21, $C$9, 100%, $E$9)</f>
        <v>41.235500000000002</v>
      </c>
      <c r="H1021" s="10">
        <f>CHOOSE(CONTROL!$C$42, 41.3307, 41.3307) * CHOOSE(CONTROL!$C$21, $C$9, 100%, $E$9)</f>
        <v>41.3307</v>
      </c>
      <c r="I1021" s="10">
        <f>CHOOSE(CONTROL!$C$42, 41.2265, 41.2265)* CHOOSE(CONTROL!$C$21, $C$9, 100%, $E$9)</f>
        <v>41.226500000000001</v>
      </c>
      <c r="J1021" s="10">
        <f>CHOOSE(CONTROL!$C$42, 41.211, 41.211)* CHOOSE(CONTROL!$C$21, $C$9, 100%, $E$9)</f>
        <v>41.210999999999999</v>
      </c>
      <c r="K1021" s="54">
        <f>CHOOSE(CONTROL!$C$42, 41.2226, 41.2226) * CHOOSE(CONTROL!$C$21, $C$9, 100%, $E$9)</f>
        <v>41.2226</v>
      </c>
      <c r="L1021" s="10">
        <f>CHOOSE(CONTROL!$C$42, 41.9177, 41.9177) * CHOOSE(CONTROL!$C$21, $C$9, 100%, $E$9)</f>
        <v>41.917700000000004</v>
      </c>
      <c r="M1021" s="10">
        <f>CHOOSE(CONTROL!$C$42, 40.8089, 40.8089) * CHOOSE(CONTROL!$C$21, $C$9, 100%, $E$9)</f>
        <v>40.808900000000001</v>
      </c>
      <c r="N1021" s="10">
        <f>CHOOSE(CONTROL!$C$42, 40.8263, 40.8263) * CHOOSE(CONTROL!$C$21, $C$9, 100%, $E$9)</f>
        <v>40.826300000000003</v>
      </c>
      <c r="O1021" s="10">
        <f>CHOOSE(CONTROL!$C$42, 40.9275, 40.9275) * CHOOSE(CONTROL!$C$21, $C$9, 100%, $E$9)</f>
        <v>40.927500000000002</v>
      </c>
      <c r="P1021" s="10">
        <f>CHOOSE(CONTROL!$C$42, 40.8243, 40.8243) * CHOOSE(CONTROL!$C$21, $C$9, 100%, $E$9)</f>
        <v>40.824300000000001</v>
      </c>
      <c r="Q1021" s="10">
        <f>CHOOSE(CONTROL!$C$42, 41.5228, 41.5228) * CHOOSE(CONTROL!$C$21, $C$9, 100%, $E$9)</f>
        <v>41.522799999999997</v>
      </c>
      <c r="R1021" s="10">
        <f>CHOOSE(CONTROL!$C$42, 42.2136, 42.2136) * CHOOSE(CONTROL!$C$21, $C$9, 100%, $E$9)</f>
        <v>42.2136</v>
      </c>
      <c r="S1021" s="10">
        <f>CHOOSE(CONTROL!$C$42, 40.0583, 40.0583) * CHOOSE(CONTROL!$C$21, $C$9, 100%, $E$9)</f>
        <v>40.058300000000003</v>
      </c>
      <c r="T1021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021" s="58">
        <f>(1000*CHOOSE(CONTROL!$C$42, 695, 695)*CHOOSE(CONTROL!$C$42, 0.5599, 0.5599)*CHOOSE(CONTROL!$C$42, 31, 31))/1000000</f>
        <v>12.063045499999998</v>
      </c>
      <c r="V1021" s="58">
        <f>(1000*CHOOSE(CONTROL!$C$42, 500, 500)*CHOOSE(CONTROL!$C$42, 0.275, 0.275)*CHOOSE(CONTROL!$C$42, 31, 31))/1000000</f>
        <v>4.2625000000000002</v>
      </c>
      <c r="W1021" s="58">
        <f>(1000*CHOOSE(CONTROL!$C$42, 0.1146, 0.1146)*CHOOSE(CONTROL!$C$42, 121.5, 121.5)*CHOOSE(CONTROL!$C$42, 31, 31))/1000000</f>
        <v>0.43164089999999994</v>
      </c>
      <c r="X1021" s="58">
        <f>(31*0.1790888*100000/1000000)+(31*0.2374*100000/1000000)</f>
        <v>1.2911152800000001</v>
      </c>
      <c r="Y1021" s="58"/>
      <c r="Z1021" s="10"/>
      <c r="AA1021" s="57"/>
      <c r="AB1021" s="51">
        <f>(B1021*122.58+C1021*297.941+D1021*89.177+E1021*40.302+F1021*40+G1021*160+H1021*0+I1021*100+J1021*300)/(122.58+297.941+89.177+40.302+0+40+160+100+300)</f>
        <v>41.244587063652176</v>
      </c>
      <c r="AC1021" s="27">
        <f>(M1021*'RAP TEMPLATE-GAS AVAILABILITY'!O1020+N1021*'RAP TEMPLATE-GAS AVAILABILITY'!P1020+O1021*'RAP TEMPLATE-GAS AVAILABILITY'!Q1020+P1021*'RAP TEMPLATE-GAS AVAILABILITY'!R1020)/('RAP TEMPLATE-GAS AVAILABILITY'!O1020+'RAP TEMPLATE-GAS AVAILABILITY'!P1020+'RAP TEMPLATE-GAS AVAILABILITY'!Q1020+'RAP TEMPLATE-GAS AVAILABILITY'!R1020)</f>
        <v>40.865871223021585</v>
      </c>
    </row>
    <row r="1022" spans="1:29" ht="15.75" x14ac:dyDescent="0.25">
      <c r="A1022" s="13">
        <v>72379</v>
      </c>
      <c r="B1022" s="10">
        <f>CHOOSE(CONTROL!$C$42, 41.9869, 41.9869) * CHOOSE(CONTROL!$C$21, $C$9, 100%, $E$9)</f>
        <v>41.986899999999999</v>
      </c>
      <c r="C1022" s="10">
        <f>CHOOSE(CONTROL!$C$42, 41.9919, 41.9919) * CHOOSE(CONTROL!$C$21, $C$9, 100%, $E$9)</f>
        <v>41.991900000000001</v>
      </c>
      <c r="D1022" s="10">
        <f>CHOOSE(CONTROL!$C$42, 42.109, 42.109) * CHOOSE(CONTROL!$C$21, $C$9, 100%, $E$9)</f>
        <v>42.109000000000002</v>
      </c>
      <c r="E1022" s="10">
        <f>CHOOSE(CONTROL!$C$42, 42.1428, 42.1428) * CHOOSE(CONTROL!$C$21, $C$9, 100%, $E$9)</f>
        <v>42.142800000000001</v>
      </c>
      <c r="F1022" s="10">
        <f>CHOOSE(CONTROL!$C$42, 42.0645, 42.0645)*CHOOSE(CONTROL!$C$21, $C$9, 100%, $E$9)</f>
        <v>42.064500000000002</v>
      </c>
      <c r="G1022" s="10">
        <f>CHOOSE(CONTROL!$C$42, 42.0864, 42.0864)*CHOOSE(CONTROL!$C$21, $C$9, 100%, $E$9)</f>
        <v>42.086399999999998</v>
      </c>
      <c r="H1022" s="10">
        <f>CHOOSE(CONTROL!$C$42, 42.132, 42.132) * CHOOSE(CONTROL!$C$21, $C$9, 100%, $E$9)</f>
        <v>42.131999999999998</v>
      </c>
      <c r="I1022" s="10">
        <f>CHOOSE(CONTROL!$C$42, 42.0226, 42.0226)* CHOOSE(CONTROL!$C$21, $C$9, 100%, $E$9)</f>
        <v>42.022599999999997</v>
      </c>
      <c r="J1022" s="10">
        <f>CHOOSE(CONTROL!$C$42, 42.0575, 42.0575)* CHOOSE(CONTROL!$C$21, $C$9, 100%, $E$9)</f>
        <v>42.057499999999997</v>
      </c>
      <c r="K1022" s="54">
        <f>CHOOSE(CONTROL!$C$42, 42.0187, 42.0187) * CHOOSE(CONTROL!$C$21, $C$9, 100%, $E$9)</f>
        <v>42.018700000000003</v>
      </c>
      <c r="L1022" s="10">
        <f>CHOOSE(CONTROL!$C$42, 42.719, 42.719) * CHOOSE(CONTROL!$C$21, $C$9, 100%, $E$9)</f>
        <v>42.719000000000001</v>
      </c>
      <c r="M1022" s="10">
        <f>CHOOSE(CONTROL!$C$42, 41.6469, 41.6469) * CHOOSE(CONTROL!$C$21, $C$9, 100%, $E$9)</f>
        <v>41.646900000000002</v>
      </c>
      <c r="N1022" s="10">
        <f>CHOOSE(CONTROL!$C$42, 41.6686, 41.6686) * CHOOSE(CONTROL!$C$21, $C$9, 100%, $E$9)</f>
        <v>41.668599999999998</v>
      </c>
      <c r="O1022" s="10">
        <f>CHOOSE(CONTROL!$C$42, 41.7206, 41.7206) * CHOOSE(CONTROL!$C$21, $C$9, 100%, $E$9)</f>
        <v>41.720599999999997</v>
      </c>
      <c r="P1022" s="10">
        <f>CHOOSE(CONTROL!$C$42, 41.6124, 41.6124) * CHOOSE(CONTROL!$C$21, $C$9, 100%, $E$9)</f>
        <v>41.612400000000001</v>
      </c>
      <c r="Q1022" s="10">
        <f>CHOOSE(CONTROL!$C$42, 42.3159, 42.3159) * CHOOSE(CONTROL!$C$21, $C$9, 100%, $E$9)</f>
        <v>42.315899999999999</v>
      </c>
      <c r="R1022" s="10">
        <f>CHOOSE(CONTROL!$C$42, 43.0087, 43.0087) * CHOOSE(CONTROL!$C$21, $C$9, 100%, $E$9)</f>
        <v>43.008699999999997</v>
      </c>
      <c r="S1022" s="10">
        <f>CHOOSE(CONTROL!$C$42, 40.7714, 40.7714) * CHOOSE(CONTROL!$C$21, $C$9, 100%, $E$9)</f>
        <v>40.7714</v>
      </c>
      <c r="T1022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022" s="58">
        <f>(1000*CHOOSE(CONTROL!$C$42, 695, 695)*CHOOSE(CONTROL!$C$42, 0.5599, 0.5599)*CHOOSE(CONTROL!$C$42, 28, 28))/1000000</f>
        <v>10.895653999999999</v>
      </c>
      <c r="V1022" s="58">
        <f>(1000*CHOOSE(CONTROL!$C$42, 500, 500)*CHOOSE(CONTROL!$C$42, 0.275, 0.275)*CHOOSE(CONTROL!$C$42, 28, 28))/1000000</f>
        <v>3.85</v>
      </c>
      <c r="W1022" s="58">
        <f>(1000*CHOOSE(CONTROL!$C$42, 0.1146, 0.1146)*CHOOSE(CONTROL!$C$42, 121.5, 121.5)*CHOOSE(CONTROL!$C$42, 28, 28))/1000000</f>
        <v>0.38986920000000003</v>
      </c>
      <c r="X1022" s="58">
        <f>(28*0.1790888*100000/1000000)+(28*0.2374*100000/1000000)</f>
        <v>1.16616864</v>
      </c>
      <c r="Y1022" s="58"/>
      <c r="Z1022" s="10"/>
      <c r="AA1022" s="57"/>
      <c r="AB1022" s="51">
        <f>(B1022*122.58+C1022*297.941+D1022*89.177+E1022*40.302+F1022*40+G1022*160+H1022*0+I1022*100+J1022*300)/(122.58+297.941+89.177+40.302+0+40+160+100+300)</f>
        <v>42.041191563913046</v>
      </c>
      <c r="AC1022" s="27">
        <f>(M1022*'RAP TEMPLATE-GAS AVAILABILITY'!O1021+N1022*'RAP TEMPLATE-GAS AVAILABILITY'!P1021+O1022*'RAP TEMPLATE-GAS AVAILABILITY'!Q1021+P1022*'RAP TEMPLATE-GAS AVAILABILITY'!R1021)/('RAP TEMPLATE-GAS AVAILABILITY'!O1021+'RAP TEMPLATE-GAS AVAILABILITY'!P1021+'RAP TEMPLATE-GAS AVAILABILITY'!Q1021+'RAP TEMPLATE-GAS AVAILABILITY'!R1021)</f>
        <v>41.676588489208633</v>
      </c>
    </row>
    <row r="1023" spans="1:29" ht="15.75" x14ac:dyDescent="0.25">
      <c r="A1023" s="13">
        <v>72410</v>
      </c>
      <c r="B1023" s="10">
        <f>CHOOSE(CONTROL!$C$42, 40.795, 40.795) * CHOOSE(CONTROL!$C$21, $C$9, 100%, $E$9)</f>
        <v>40.795000000000002</v>
      </c>
      <c r="C1023" s="10">
        <f>CHOOSE(CONTROL!$C$42, 40.7999, 40.7999) * CHOOSE(CONTROL!$C$21, $C$9, 100%, $E$9)</f>
        <v>40.799900000000001</v>
      </c>
      <c r="D1023" s="10">
        <f>CHOOSE(CONTROL!$C$42, 40.8913, 40.8913) * CHOOSE(CONTROL!$C$21, $C$9, 100%, $E$9)</f>
        <v>40.891300000000001</v>
      </c>
      <c r="E1023" s="10">
        <f>CHOOSE(CONTROL!$C$42, 40.9251, 40.9251) * CHOOSE(CONTROL!$C$21, $C$9, 100%, $E$9)</f>
        <v>40.9251</v>
      </c>
      <c r="F1023" s="10">
        <f>CHOOSE(CONTROL!$C$42, 40.8248, 40.8248)*CHOOSE(CONTROL!$C$21, $C$9, 100%, $E$9)</f>
        <v>40.824800000000003</v>
      </c>
      <c r="G1023" s="10">
        <f>CHOOSE(CONTROL!$C$42, 40.8443, 40.8443)*CHOOSE(CONTROL!$C$21, $C$9, 100%, $E$9)</f>
        <v>40.844299999999997</v>
      </c>
      <c r="H1023" s="10">
        <f>CHOOSE(CONTROL!$C$42, 40.9143, 40.9143) * CHOOSE(CONTROL!$C$21, $C$9, 100%, $E$9)</f>
        <v>40.914299999999997</v>
      </c>
      <c r="I1023" s="10">
        <f>CHOOSE(CONTROL!$C$42, 40.8178, 40.8178)* CHOOSE(CONTROL!$C$21, $C$9, 100%, $E$9)</f>
        <v>40.817799999999998</v>
      </c>
      <c r="J1023" s="10">
        <f>CHOOSE(CONTROL!$C$42, 40.8178, 40.8178)* CHOOSE(CONTROL!$C$21, $C$9, 100%, $E$9)</f>
        <v>40.817799999999998</v>
      </c>
      <c r="K1023" s="54">
        <f>CHOOSE(CONTROL!$C$42, 40.8139, 40.8139) * CHOOSE(CONTROL!$C$21, $C$9, 100%, $E$9)</f>
        <v>40.813899999999997</v>
      </c>
      <c r="L1023" s="10">
        <f>CHOOSE(CONTROL!$C$42, 41.5013, 41.5013) * CHOOSE(CONTROL!$C$21, $C$9, 100%, $E$9)</f>
        <v>41.501300000000001</v>
      </c>
      <c r="M1023" s="10">
        <f>CHOOSE(CONTROL!$C$42, 40.4197, 40.4197) * CHOOSE(CONTROL!$C$21, $C$9, 100%, $E$9)</f>
        <v>40.419699999999999</v>
      </c>
      <c r="N1023" s="10">
        <f>CHOOSE(CONTROL!$C$42, 40.439, 40.439) * CHOOSE(CONTROL!$C$21, $C$9, 100%, $E$9)</f>
        <v>40.439</v>
      </c>
      <c r="O1023" s="10">
        <f>CHOOSE(CONTROL!$C$42, 40.5152, 40.5152) * CHOOSE(CONTROL!$C$21, $C$9, 100%, $E$9)</f>
        <v>40.5152</v>
      </c>
      <c r="P1023" s="10">
        <f>CHOOSE(CONTROL!$C$42, 40.4197, 40.4197) * CHOOSE(CONTROL!$C$21, $C$9, 100%, $E$9)</f>
        <v>40.419699999999999</v>
      </c>
      <c r="Q1023" s="10">
        <f>CHOOSE(CONTROL!$C$42, 41.1105, 41.1105) * CHOOSE(CONTROL!$C$21, $C$9, 100%, $E$9)</f>
        <v>41.110500000000002</v>
      </c>
      <c r="R1023" s="10">
        <f>CHOOSE(CONTROL!$C$42, 41.8003, 41.8003) * CHOOSE(CONTROL!$C$21, $C$9, 100%, $E$9)</f>
        <v>41.8003</v>
      </c>
      <c r="S1023" s="10">
        <f>CHOOSE(CONTROL!$C$42, 39.6138, 39.6138) * CHOOSE(CONTROL!$C$21, $C$9, 100%, $E$9)</f>
        <v>39.613799999999998</v>
      </c>
      <c r="T1023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023" s="58">
        <f>(1000*CHOOSE(CONTROL!$C$42, 695, 695)*CHOOSE(CONTROL!$C$42, 0.5599, 0.5599)*CHOOSE(CONTROL!$C$42, 31, 31))/1000000</f>
        <v>12.063045499999998</v>
      </c>
      <c r="V1023" s="58">
        <f>(1000*CHOOSE(CONTROL!$C$42, 500, 500)*CHOOSE(CONTROL!$C$42, 0.275, 0.275)*CHOOSE(CONTROL!$C$42, 31, 31))/1000000</f>
        <v>4.2625000000000002</v>
      </c>
      <c r="W1023" s="58">
        <f>(1000*CHOOSE(CONTROL!$C$42, 0.1146, 0.1146)*CHOOSE(CONTROL!$C$42, 121.5, 121.5)*CHOOSE(CONTROL!$C$42, 31, 31))/1000000</f>
        <v>0.43164089999999994</v>
      </c>
      <c r="X1023" s="58">
        <f>(31*0.1790888*100000/1000000)+(31*0.2374*100000/1000000)</f>
        <v>1.2911152800000001</v>
      </c>
      <c r="Y1023" s="58"/>
      <c r="Z1023" s="10"/>
      <c r="AA1023" s="57"/>
      <c r="AB1023" s="51">
        <f>(B1023*122.58+C1023*297.941+D1023*89.177+E1023*40.302+F1023*40+G1023*160+H1023*0+I1023*100+J1023*300)/(122.58+297.941+89.177+40.302+0+40+160+100+300)</f>
        <v>40.82412256191305</v>
      </c>
      <c r="AC1023" s="27">
        <f>(M1023*'RAP TEMPLATE-GAS AVAILABILITY'!O1022+N1023*'RAP TEMPLATE-GAS AVAILABILITY'!P1022+O1023*'RAP TEMPLATE-GAS AVAILABILITY'!Q1022+P1023*'RAP TEMPLATE-GAS AVAILABILITY'!R1022)/('RAP TEMPLATE-GAS AVAILABILITY'!O1022+'RAP TEMPLATE-GAS AVAILABILITY'!P1022+'RAP TEMPLATE-GAS AVAILABILITY'!Q1022+'RAP TEMPLATE-GAS AVAILABILITY'!R1022)</f>
        <v>40.464094964028781</v>
      </c>
    </row>
    <row r="1024" spans="1:29" ht="15.75" x14ac:dyDescent="0.25">
      <c r="A1024" s="13">
        <v>72440</v>
      </c>
      <c r="B1024" s="10">
        <f>CHOOSE(CONTROL!$C$42, 40.6736, 40.6736) * CHOOSE(CONTROL!$C$21, $C$9, 100%, $E$9)</f>
        <v>40.6736</v>
      </c>
      <c r="C1024" s="10">
        <f>CHOOSE(CONTROL!$C$42, 40.678, 40.678) * CHOOSE(CONTROL!$C$21, $C$9, 100%, $E$9)</f>
        <v>40.677999999999997</v>
      </c>
      <c r="D1024" s="10">
        <f>CHOOSE(CONTROL!$C$42, 40.8596, 40.8596) * CHOOSE(CONTROL!$C$21, $C$9, 100%, $E$9)</f>
        <v>40.8596</v>
      </c>
      <c r="E1024" s="10">
        <f>CHOOSE(CONTROL!$C$42, 40.8914, 40.8914) * CHOOSE(CONTROL!$C$21, $C$9, 100%, $E$9)</f>
        <v>40.891399999999997</v>
      </c>
      <c r="F1024" s="10">
        <f>CHOOSE(CONTROL!$C$42, 40.6619, 40.6619)*CHOOSE(CONTROL!$C$21, $C$9, 100%, $E$9)</f>
        <v>40.661900000000003</v>
      </c>
      <c r="G1024" s="10">
        <f>CHOOSE(CONTROL!$C$42, 40.6799, 40.6799)*CHOOSE(CONTROL!$C$21, $C$9, 100%, $E$9)</f>
        <v>40.679900000000004</v>
      </c>
      <c r="H1024" s="10">
        <f>CHOOSE(CONTROL!$C$42, 40.8812, 40.8812) * CHOOSE(CONTROL!$C$21, $C$9, 100%, $E$9)</f>
        <v>40.8812</v>
      </c>
      <c r="I1024" s="10">
        <f>CHOOSE(CONTROL!$C$42, 40.6519, 40.6519)* CHOOSE(CONTROL!$C$21, $C$9, 100%, $E$9)</f>
        <v>40.651899999999998</v>
      </c>
      <c r="J1024" s="10">
        <f>CHOOSE(CONTROL!$C$42, 40.6549, 40.6549)* CHOOSE(CONTROL!$C$21, $C$9, 100%, $E$9)</f>
        <v>40.654899999999998</v>
      </c>
      <c r="K1024" s="54">
        <f>CHOOSE(CONTROL!$C$42, 40.648, 40.648) * CHOOSE(CONTROL!$C$21, $C$9, 100%, $E$9)</f>
        <v>40.648000000000003</v>
      </c>
      <c r="L1024" s="10">
        <f>CHOOSE(CONTROL!$C$42, 41.4682, 41.4682) * CHOOSE(CONTROL!$C$21, $C$9, 100%, $E$9)</f>
        <v>41.468200000000003</v>
      </c>
      <c r="M1024" s="10">
        <f>CHOOSE(CONTROL!$C$42, 40.2585, 40.2585) * CHOOSE(CONTROL!$C$21, $C$9, 100%, $E$9)</f>
        <v>40.258499999999998</v>
      </c>
      <c r="N1024" s="10">
        <f>CHOOSE(CONTROL!$C$42, 40.2763, 40.2763) * CHOOSE(CONTROL!$C$21, $C$9, 100%, $E$9)</f>
        <v>40.276299999999999</v>
      </c>
      <c r="O1024" s="10">
        <f>CHOOSE(CONTROL!$C$42, 40.4825, 40.4825) * CHOOSE(CONTROL!$C$21, $C$9, 100%, $E$9)</f>
        <v>40.482500000000002</v>
      </c>
      <c r="P1024" s="10">
        <f>CHOOSE(CONTROL!$C$42, 40.2555, 40.2555) * CHOOSE(CONTROL!$C$21, $C$9, 100%, $E$9)</f>
        <v>40.255499999999998</v>
      </c>
      <c r="Q1024" s="10">
        <f>CHOOSE(CONTROL!$C$42, 41.0778, 41.0778) * CHOOSE(CONTROL!$C$21, $C$9, 100%, $E$9)</f>
        <v>41.077800000000003</v>
      </c>
      <c r="R1024" s="10">
        <f>CHOOSE(CONTROL!$C$42, 41.7675, 41.7675) * CHOOSE(CONTROL!$C$21, $C$9, 100%, $E$9)</f>
        <v>41.767499999999998</v>
      </c>
      <c r="S1024" s="10">
        <f>CHOOSE(CONTROL!$C$42, 39.4952, 39.4952) * CHOOSE(CONTROL!$C$21, $C$9, 100%, $E$9)</f>
        <v>39.495199999999997</v>
      </c>
      <c r="T1024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024" s="58">
        <f>(1000*CHOOSE(CONTROL!$C$42, 695, 695)*CHOOSE(CONTROL!$C$42, 0.5599, 0.5599)*CHOOSE(CONTROL!$C$42, 30, 30))/1000000</f>
        <v>11.673914999999997</v>
      </c>
      <c r="V1024" s="58">
        <f>(1000*CHOOSE(CONTROL!$C$42, 500, 500)*CHOOSE(CONTROL!$C$42, 0.275, 0.275)*CHOOSE(CONTROL!$C$42, 30, 30))/1000000</f>
        <v>4.125</v>
      </c>
      <c r="W1024" s="58">
        <f>(1000*CHOOSE(CONTROL!$C$42, 0.1146, 0.1146)*CHOOSE(CONTROL!$C$42, 121.5, 121.5)*CHOOSE(CONTROL!$C$42, 30, 30))/1000000</f>
        <v>0.417717</v>
      </c>
      <c r="X1024" s="58">
        <f>(30*0.1790888*245000/1000000)+(30*0.2374*100000/1000000)</f>
        <v>2.0285026799999999</v>
      </c>
      <c r="Y1024" s="58"/>
      <c r="Z1024" s="10"/>
      <c r="AA1024" s="57"/>
      <c r="AB1024" s="51">
        <f>(B1024*141.293+C1024*267.993+D1024*115.016+E1024*89.698+F1024*40+G1024*185+H1024*0+I1024*100+J1024*300)/(141.293+267.993+115.016+89.698+0+40+185+100+300)</f>
        <v>40.701869466989507</v>
      </c>
      <c r="AC1024" s="27">
        <f>(M1024*'RAP TEMPLATE-GAS AVAILABILITY'!O1023+N1024*'RAP TEMPLATE-GAS AVAILABILITY'!P1023+O1024*'RAP TEMPLATE-GAS AVAILABILITY'!Q1023+P1024*'RAP TEMPLATE-GAS AVAILABILITY'!R1023)/('RAP TEMPLATE-GAS AVAILABILITY'!O1023+'RAP TEMPLATE-GAS AVAILABILITY'!P1023+'RAP TEMPLATE-GAS AVAILABILITY'!Q1023+'RAP TEMPLATE-GAS AVAILABILITY'!R1023)</f>
        <v>40.360617985611512</v>
      </c>
    </row>
    <row r="1025" spans="1:29" ht="15.75" x14ac:dyDescent="0.25">
      <c r="A1025" s="13">
        <v>72471</v>
      </c>
      <c r="B1025" s="10">
        <f>CHOOSE(CONTROL!$C$42, 41.0343, 41.0343) * CHOOSE(CONTROL!$C$21, $C$9, 100%, $E$9)</f>
        <v>41.034300000000002</v>
      </c>
      <c r="C1025" s="10">
        <f>CHOOSE(CONTROL!$C$42, 41.0423, 41.0423) * CHOOSE(CONTROL!$C$21, $C$9, 100%, $E$9)</f>
        <v>41.042299999999997</v>
      </c>
      <c r="D1025" s="10">
        <f>CHOOSE(CONTROL!$C$42, 41.2208, 41.2208) * CHOOSE(CONTROL!$C$21, $C$9, 100%, $E$9)</f>
        <v>41.220799999999997</v>
      </c>
      <c r="E1025" s="10">
        <f>CHOOSE(CONTROL!$C$42, 41.2519, 41.2519) * CHOOSE(CONTROL!$C$21, $C$9, 100%, $E$9)</f>
        <v>41.251899999999999</v>
      </c>
      <c r="F1025" s="10">
        <f>CHOOSE(CONTROL!$C$42, 41.0205, 41.0205)*CHOOSE(CONTROL!$C$21, $C$9, 100%, $E$9)</f>
        <v>41.020499999999998</v>
      </c>
      <c r="G1025" s="10">
        <f>CHOOSE(CONTROL!$C$42, 41.0387, 41.0387)*CHOOSE(CONTROL!$C$21, $C$9, 100%, $E$9)</f>
        <v>41.038699999999999</v>
      </c>
      <c r="H1025" s="10">
        <f>CHOOSE(CONTROL!$C$42, 41.2406, 41.2406) * CHOOSE(CONTROL!$C$21, $C$9, 100%, $E$9)</f>
        <v>41.240600000000001</v>
      </c>
      <c r="I1025" s="10">
        <f>CHOOSE(CONTROL!$C$42, 41.0112, 41.0112)* CHOOSE(CONTROL!$C$21, $C$9, 100%, $E$9)</f>
        <v>41.011200000000002</v>
      </c>
      <c r="J1025" s="10">
        <f>CHOOSE(CONTROL!$C$42, 41.0135, 41.0135)* CHOOSE(CONTROL!$C$21, $C$9, 100%, $E$9)</f>
        <v>41.013500000000001</v>
      </c>
      <c r="K1025" s="54">
        <f>CHOOSE(CONTROL!$C$42, 41.0073, 41.0073) * CHOOSE(CONTROL!$C$21, $C$9, 100%, $E$9)</f>
        <v>41.007300000000001</v>
      </c>
      <c r="L1025" s="10">
        <f>CHOOSE(CONTROL!$C$42, 41.8276, 41.8276) * CHOOSE(CONTROL!$C$21, $C$9, 100%, $E$9)</f>
        <v>41.827599999999997</v>
      </c>
      <c r="M1025" s="10">
        <f>CHOOSE(CONTROL!$C$42, 40.6135, 40.6135) * CHOOSE(CONTROL!$C$21, $C$9, 100%, $E$9)</f>
        <v>40.613500000000002</v>
      </c>
      <c r="N1025" s="10">
        <f>CHOOSE(CONTROL!$C$42, 40.6314, 40.6314) * CHOOSE(CONTROL!$C$21, $C$9, 100%, $E$9)</f>
        <v>40.631399999999999</v>
      </c>
      <c r="O1025" s="10">
        <f>CHOOSE(CONTROL!$C$42, 40.8382, 40.8382) * CHOOSE(CONTROL!$C$21, $C$9, 100%, $E$9)</f>
        <v>40.838200000000001</v>
      </c>
      <c r="P1025" s="10">
        <f>CHOOSE(CONTROL!$C$42, 40.6112, 40.6112) * CHOOSE(CONTROL!$C$21, $C$9, 100%, $E$9)</f>
        <v>40.611199999999997</v>
      </c>
      <c r="Q1025" s="10">
        <f>CHOOSE(CONTROL!$C$42, 41.4335, 41.4335) * CHOOSE(CONTROL!$C$21, $C$9, 100%, $E$9)</f>
        <v>41.433500000000002</v>
      </c>
      <c r="R1025" s="10">
        <f>CHOOSE(CONTROL!$C$42, 42.1241, 42.1241) * CHOOSE(CONTROL!$C$21, $C$9, 100%, $E$9)</f>
        <v>42.124099999999999</v>
      </c>
      <c r="S1025" s="10">
        <f>CHOOSE(CONTROL!$C$42, 39.8442, 39.8442) * CHOOSE(CONTROL!$C$21, $C$9, 100%, $E$9)</f>
        <v>39.844200000000001</v>
      </c>
      <c r="T1025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025" s="58">
        <f>(1000*CHOOSE(CONTROL!$C$42, 695, 695)*CHOOSE(CONTROL!$C$42, 0.5599, 0.5599)*CHOOSE(CONTROL!$C$42, 31, 31))/1000000</f>
        <v>12.063045499999998</v>
      </c>
      <c r="V1025" s="58">
        <f>(1000*CHOOSE(CONTROL!$C$42, 500, 500)*CHOOSE(CONTROL!$C$42, 0.275, 0.275)*CHOOSE(CONTROL!$C$42, 31, 31))/1000000</f>
        <v>4.2625000000000002</v>
      </c>
      <c r="W1025" s="58">
        <f>(1000*CHOOSE(CONTROL!$C$42, 0.1146, 0.1146)*CHOOSE(CONTROL!$C$42, 121.5, 121.5)*CHOOSE(CONTROL!$C$42, 31, 31))/1000000</f>
        <v>0.43164089999999994</v>
      </c>
      <c r="X1025" s="58">
        <f>(31*0.1790888*245000/1000000)+(31*0.2374*100000/1000000)</f>
        <v>2.0961194359999999</v>
      </c>
      <c r="Y1025" s="58"/>
      <c r="Z1025" s="10"/>
      <c r="AA1025" s="57"/>
      <c r="AB1025" s="51">
        <f>(B1025*194.205+C1025*267.466+D1025*133.845+E1025*53.484+F1025*40+G1025*185+H1025*0+I1025*100+J1025*300)/(194.205+267.466+133.845+53.484+0+40+185+100+300)</f>
        <v>41.058202620800628</v>
      </c>
      <c r="AC1025" s="27">
        <f>(M1025*'RAP TEMPLATE-GAS AVAILABILITY'!O1024+N1025*'RAP TEMPLATE-GAS AVAILABILITY'!P1024+O1025*'RAP TEMPLATE-GAS AVAILABILITY'!Q1024+P1025*'RAP TEMPLATE-GAS AVAILABILITY'!R1024)/('RAP TEMPLATE-GAS AVAILABILITY'!O1024+'RAP TEMPLATE-GAS AVAILABILITY'!P1024+'RAP TEMPLATE-GAS AVAILABILITY'!Q1024+'RAP TEMPLATE-GAS AVAILABILITY'!R1024)</f>
        <v>40.716041726618698</v>
      </c>
    </row>
    <row r="1026" spans="1:29" ht="15.75" x14ac:dyDescent="0.25">
      <c r="A1026" s="13">
        <v>72501</v>
      </c>
      <c r="B1026" s="10">
        <f>CHOOSE(CONTROL!$C$42, 42.1982, 42.1982) * CHOOSE(CONTROL!$C$21, $C$9, 100%, $E$9)</f>
        <v>42.1982</v>
      </c>
      <c r="C1026" s="10">
        <f>CHOOSE(CONTROL!$C$42, 42.2061, 42.2061) * CHOOSE(CONTROL!$C$21, $C$9, 100%, $E$9)</f>
        <v>42.206099999999999</v>
      </c>
      <c r="D1026" s="10">
        <f>CHOOSE(CONTROL!$C$42, 42.3846, 42.3846) * CHOOSE(CONTROL!$C$21, $C$9, 100%, $E$9)</f>
        <v>42.384599999999999</v>
      </c>
      <c r="E1026" s="10">
        <f>CHOOSE(CONTROL!$C$42, 42.4158, 42.4158) * CHOOSE(CONTROL!$C$21, $C$9, 100%, $E$9)</f>
        <v>42.415799999999997</v>
      </c>
      <c r="F1026" s="10">
        <f>CHOOSE(CONTROL!$C$42, 42.1846, 42.1846)*CHOOSE(CONTROL!$C$21, $C$9, 100%, $E$9)</f>
        <v>42.184600000000003</v>
      </c>
      <c r="G1026" s="10">
        <f>CHOOSE(CONTROL!$C$42, 42.2029, 42.2029)*CHOOSE(CONTROL!$C$21, $C$9, 100%, $E$9)</f>
        <v>42.2029</v>
      </c>
      <c r="H1026" s="10">
        <f>CHOOSE(CONTROL!$C$42, 42.4044, 42.4044) * CHOOSE(CONTROL!$C$21, $C$9, 100%, $E$9)</f>
        <v>42.404400000000003</v>
      </c>
      <c r="I1026" s="10">
        <f>CHOOSE(CONTROL!$C$42, 42.1751, 42.1751)* CHOOSE(CONTROL!$C$21, $C$9, 100%, $E$9)</f>
        <v>42.1751</v>
      </c>
      <c r="J1026" s="10">
        <f>CHOOSE(CONTROL!$C$42, 42.1776, 42.1776)* CHOOSE(CONTROL!$C$21, $C$9, 100%, $E$9)</f>
        <v>42.177599999999998</v>
      </c>
      <c r="K1026" s="54">
        <f>CHOOSE(CONTROL!$C$42, 42.1712, 42.1712) * CHOOSE(CONTROL!$C$21, $C$9, 100%, $E$9)</f>
        <v>42.171199999999999</v>
      </c>
      <c r="L1026" s="10">
        <f>CHOOSE(CONTROL!$C$42, 42.9914, 42.9914) * CHOOSE(CONTROL!$C$21, $C$9, 100%, $E$9)</f>
        <v>42.991399999999999</v>
      </c>
      <c r="M1026" s="10">
        <f>CHOOSE(CONTROL!$C$42, 41.7658, 41.7658) * CHOOSE(CONTROL!$C$21, $C$9, 100%, $E$9)</f>
        <v>41.765799999999999</v>
      </c>
      <c r="N1026" s="10">
        <f>CHOOSE(CONTROL!$C$42, 41.7839, 41.7839) * CHOOSE(CONTROL!$C$21, $C$9, 100%, $E$9)</f>
        <v>41.783900000000003</v>
      </c>
      <c r="O1026" s="10">
        <f>CHOOSE(CONTROL!$C$42, 41.9903, 41.9903) * CHOOSE(CONTROL!$C$21, $C$9, 100%, $E$9)</f>
        <v>41.990299999999998</v>
      </c>
      <c r="P1026" s="10">
        <f>CHOOSE(CONTROL!$C$42, 41.7633, 41.7633) * CHOOSE(CONTROL!$C$21, $C$9, 100%, $E$9)</f>
        <v>41.763300000000001</v>
      </c>
      <c r="Q1026" s="10">
        <f>CHOOSE(CONTROL!$C$42, 42.5856, 42.5856) * CHOOSE(CONTROL!$C$21, $C$9, 100%, $E$9)</f>
        <v>42.585599999999999</v>
      </c>
      <c r="R1026" s="10">
        <f>CHOOSE(CONTROL!$C$42, 43.2791, 43.2791) * CHOOSE(CONTROL!$C$21, $C$9, 100%, $E$9)</f>
        <v>43.2791</v>
      </c>
      <c r="S1026" s="10">
        <f>CHOOSE(CONTROL!$C$42, 40.9744, 40.9744) * CHOOSE(CONTROL!$C$21, $C$9, 100%, $E$9)</f>
        <v>40.974400000000003</v>
      </c>
      <c r="T1026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026" s="58">
        <f>(1000*CHOOSE(CONTROL!$C$42, 695, 695)*CHOOSE(CONTROL!$C$42, 0.5599, 0.5599)*CHOOSE(CONTROL!$C$42, 30, 30))/1000000</f>
        <v>11.673914999999997</v>
      </c>
      <c r="V1026" s="58">
        <f>(1000*CHOOSE(CONTROL!$C$42, 500, 500)*CHOOSE(CONTROL!$C$42, 0.275, 0.275)*CHOOSE(CONTROL!$C$42, 30, 30))/1000000</f>
        <v>4.125</v>
      </c>
      <c r="W1026" s="58">
        <f>(1000*CHOOSE(CONTROL!$C$42, 0.1146, 0.1146)*CHOOSE(CONTROL!$C$42, 121.5, 121.5)*CHOOSE(CONTROL!$C$42, 30, 30))/1000000</f>
        <v>0.417717</v>
      </c>
      <c r="X1026" s="58">
        <f>(30*0.1790888*245000/1000000)+(30*0.2374*100000/1000000)</f>
        <v>2.0285026799999999</v>
      </c>
      <c r="Y1026" s="58"/>
      <c r="Z1026" s="10"/>
      <c r="AA1026" s="57"/>
      <c r="AB1026" s="51">
        <f>(B1026*194.205+C1026*267.466+D1026*133.845+E1026*53.484+F1026*40+G1026*185+H1026*0+I1026*100+J1026*300)/(194.205+267.466+133.845+53.484+0+40+185+100+300)</f>
        <v>42.222168059497648</v>
      </c>
      <c r="AC1026" s="27">
        <f>(M1026*'RAP TEMPLATE-GAS AVAILABILITY'!O1025+N1026*'RAP TEMPLATE-GAS AVAILABILITY'!P1025+O1026*'RAP TEMPLATE-GAS AVAILABILITY'!Q1025+P1026*'RAP TEMPLATE-GAS AVAILABILITY'!R1025)/('RAP TEMPLATE-GAS AVAILABILITY'!O1025+'RAP TEMPLATE-GAS AVAILABILITY'!P1025+'RAP TEMPLATE-GAS AVAILABILITY'!Q1025+'RAP TEMPLATE-GAS AVAILABILITY'!R1025)</f>
        <v>41.86823381294964</v>
      </c>
    </row>
    <row r="1027" spans="1:29" ht="15.75" x14ac:dyDescent="0.25">
      <c r="A1027" s="13">
        <v>72532</v>
      </c>
      <c r="B1027" s="10">
        <f>CHOOSE(CONTROL!$C$42, 41.3887, 41.3887) * CHOOSE(CONTROL!$C$21, $C$9, 100%, $E$9)</f>
        <v>41.3887</v>
      </c>
      <c r="C1027" s="10">
        <f>CHOOSE(CONTROL!$C$42, 41.3966, 41.3966) * CHOOSE(CONTROL!$C$21, $C$9, 100%, $E$9)</f>
        <v>41.396599999999999</v>
      </c>
      <c r="D1027" s="10">
        <f>CHOOSE(CONTROL!$C$42, 41.5752, 41.5752) * CHOOSE(CONTROL!$C$21, $C$9, 100%, $E$9)</f>
        <v>41.575200000000002</v>
      </c>
      <c r="E1027" s="10">
        <f>CHOOSE(CONTROL!$C$42, 41.6063, 41.6063) * CHOOSE(CONTROL!$C$21, $C$9, 100%, $E$9)</f>
        <v>41.606299999999997</v>
      </c>
      <c r="F1027" s="10">
        <f>CHOOSE(CONTROL!$C$42, 41.3754, 41.3754)*CHOOSE(CONTROL!$C$21, $C$9, 100%, $E$9)</f>
        <v>41.375399999999999</v>
      </c>
      <c r="G1027" s="10">
        <f>CHOOSE(CONTROL!$C$42, 41.3937, 41.3937)*CHOOSE(CONTROL!$C$21, $C$9, 100%, $E$9)</f>
        <v>41.393700000000003</v>
      </c>
      <c r="H1027" s="10">
        <f>CHOOSE(CONTROL!$C$42, 41.5949, 41.5949) * CHOOSE(CONTROL!$C$21, $C$9, 100%, $E$9)</f>
        <v>41.594900000000003</v>
      </c>
      <c r="I1027" s="10">
        <f>CHOOSE(CONTROL!$C$42, 41.3656, 41.3656)* CHOOSE(CONTROL!$C$21, $C$9, 100%, $E$9)</f>
        <v>41.365600000000001</v>
      </c>
      <c r="J1027" s="10">
        <f>CHOOSE(CONTROL!$C$42, 41.3684, 41.3684)* CHOOSE(CONTROL!$C$21, $C$9, 100%, $E$9)</f>
        <v>41.368400000000001</v>
      </c>
      <c r="K1027" s="54">
        <f>CHOOSE(CONTROL!$C$42, 41.3617, 41.3617) * CHOOSE(CONTROL!$C$21, $C$9, 100%, $E$9)</f>
        <v>41.361699999999999</v>
      </c>
      <c r="L1027" s="10">
        <f>CHOOSE(CONTROL!$C$42, 42.1819, 42.1819) * CHOOSE(CONTROL!$C$21, $C$9, 100%, $E$9)</f>
        <v>42.181899999999999</v>
      </c>
      <c r="M1027" s="10">
        <f>CHOOSE(CONTROL!$C$42, 40.9648, 40.9648) * CHOOSE(CONTROL!$C$21, $C$9, 100%, $E$9)</f>
        <v>40.964799999999997</v>
      </c>
      <c r="N1027" s="10">
        <f>CHOOSE(CONTROL!$C$42, 40.9829, 40.9829) * CHOOSE(CONTROL!$C$21, $C$9, 100%, $E$9)</f>
        <v>40.982900000000001</v>
      </c>
      <c r="O1027" s="10">
        <f>CHOOSE(CONTROL!$C$42, 41.189, 41.189) * CHOOSE(CONTROL!$C$21, $C$9, 100%, $E$9)</f>
        <v>41.189</v>
      </c>
      <c r="P1027" s="10">
        <f>CHOOSE(CONTROL!$C$42, 40.962, 40.962) * CHOOSE(CONTROL!$C$21, $C$9, 100%, $E$9)</f>
        <v>40.962000000000003</v>
      </c>
      <c r="Q1027" s="10">
        <f>CHOOSE(CONTROL!$C$42, 41.7843, 41.7843) * CHOOSE(CONTROL!$C$21, $C$9, 100%, $E$9)</f>
        <v>41.784300000000002</v>
      </c>
      <c r="R1027" s="10">
        <f>CHOOSE(CONTROL!$C$42, 42.4758, 42.4758) * CHOOSE(CONTROL!$C$21, $C$9, 100%, $E$9)</f>
        <v>42.4758</v>
      </c>
      <c r="S1027" s="10">
        <f>CHOOSE(CONTROL!$C$42, 40.1883, 40.1883) * CHOOSE(CONTROL!$C$21, $C$9, 100%, $E$9)</f>
        <v>40.188299999999998</v>
      </c>
      <c r="T1027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027" s="58">
        <f>(1000*CHOOSE(CONTROL!$C$42, 695, 695)*CHOOSE(CONTROL!$C$42, 0.5599, 0.5599)*CHOOSE(CONTROL!$C$42, 31, 31))/1000000</f>
        <v>12.063045499999998</v>
      </c>
      <c r="V1027" s="58">
        <f>(1000*CHOOSE(CONTROL!$C$42, 500, 500)*CHOOSE(CONTROL!$C$42, 0.275, 0.275)*CHOOSE(CONTROL!$C$42, 31, 31))/1000000</f>
        <v>4.2625000000000002</v>
      </c>
      <c r="W1027" s="58">
        <f>(1000*CHOOSE(CONTROL!$C$42, 0.1146, 0.1146)*CHOOSE(CONTROL!$C$42, 121.5, 121.5)*CHOOSE(CONTROL!$C$42, 31, 31))/1000000</f>
        <v>0.43164089999999994</v>
      </c>
      <c r="X1027" s="58">
        <f>(31*0.1790888*245000/1000000)+(31*0.2374*100000/1000000)</f>
        <v>2.0961194359999999</v>
      </c>
      <c r="Y1027" s="58"/>
      <c r="Z1027" s="10"/>
      <c r="AA1027" s="57"/>
      <c r="AB1027" s="51">
        <f>(B1027*194.205+C1027*267.466+D1027*133.845+E1027*53.484+F1027*40+G1027*185+H1027*0+I1027*100+J1027*300)/(194.205+267.466+133.845+53.484+0+40+185+100+300)</f>
        <v>41.412802191758246</v>
      </c>
      <c r="AC1027" s="27">
        <f>(M1027*'RAP TEMPLATE-GAS AVAILABILITY'!O1026+N1027*'RAP TEMPLATE-GAS AVAILABILITY'!P1026+O1027*'RAP TEMPLATE-GAS AVAILABILITY'!Q1026+P1027*'RAP TEMPLATE-GAS AVAILABILITY'!R1026)/('RAP TEMPLATE-GAS AVAILABILITY'!O1026+'RAP TEMPLATE-GAS AVAILABILITY'!P1026+'RAP TEMPLATE-GAS AVAILABILITY'!Q1026+'RAP TEMPLATE-GAS AVAILABILITY'!R1026)</f>
        <v>41.067054676258991</v>
      </c>
    </row>
    <row r="1028" spans="1:29" ht="15.75" x14ac:dyDescent="0.25">
      <c r="A1028" s="13">
        <v>72563</v>
      </c>
      <c r="B1028" s="10">
        <f>CHOOSE(CONTROL!$C$42, 39.3446, 39.3446) * CHOOSE(CONTROL!$C$21, $C$9, 100%, $E$9)</f>
        <v>39.3446</v>
      </c>
      <c r="C1028" s="10">
        <f>CHOOSE(CONTROL!$C$42, 39.3525, 39.3525) * CHOOSE(CONTROL!$C$21, $C$9, 100%, $E$9)</f>
        <v>39.352499999999999</v>
      </c>
      <c r="D1028" s="10">
        <f>CHOOSE(CONTROL!$C$42, 39.531, 39.531) * CHOOSE(CONTROL!$C$21, $C$9, 100%, $E$9)</f>
        <v>39.530999999999999</v>
      </c>
      <c r="E1028" s="10">
        <f>CHOOSE(CONTROL!$C$42, 39.5622, 39.5622) * CHOOSE(CONTROL!$C$21, $C$9, 100%, $E$9)</f>
        <v>39.562199999999997</v>
      </c>
      <c r="F1028" s="10">
        <f>CHOOSE(CONTROL!$C$42, 39.3312, 39.3312)*CHOOSE(CONTROL!$C$21, $C$9, 100%, $E$9)</f>
        <v>39.331200000000003</v>
      </c>
      <c r="G1028" s="10">
        <f>CHOOSE(CONTROL!$C$42, 39.3495, 39.3495)*CHOOSE(CONTROL!$C$21, $C$9, 100%, $E$9)</f>
        <v>39.349499999999999</v>
      </c>
      <c r="H1028" s="10">
        <f>CHOOSE(CONTROL!$C$42, 39.5508, 39.5508) * CHOOSE(CONTROL!$C$21, $C$9, 100%, $E$9)</f>
        <v>39.550800000000002</v>
      </c>
      <c r="I1028" s="10">
        <f>CHOOSE(CONTROL!$C$42, 39.3215, 39.3215)* CHOOSE(CONTROL!$C$21, $C$9, 100%, $E$9)</f>
        <v>39.3215</v>
      </c>
      <c r="J1028" s="10">
        <f>CHOOSE(CONTROL!$C$42, 39.3242, 39.3242)* CHOOSE(CONTROL!$C$21, $C$9, 100%, $E$9)</f>
        <v>39.324199999999998</v>
      </c>
      <c r="K1028" s="54">
        <f>CHOOSE(CONTROL!$C$42, 39.3176, 39.3176) * CHOOSE(CONTROL!$C$21, $C$9, 100%, $E$9)</f>
        <v>39.317599999999999</v>
      </c>
      <c r="L1028" s="10">
        <f>CHOOSE(CONTROL!$C$42, 40.1378, 40.1378) * CHOOSE(CONTROL!$C$21, $C$9, 100%, $E$9)</f>
        <v>40.137799999999999</v>
      </c>
      <c r="M1028" s="10">
        <f>CHOOSE(CONTROL!$C$42, 38.9412, 38.9412) * CHOOSE(CONTROL!$C$21, $C$9, 100%, $E$9)</f>
        <v>38.941200000000002</v>
      </c>
      <c r="N1028" s="10">
        <f>CHOOSE(CONTROL!$C$42, 38.9593, 38.9593) * CHOOSE(CONTROL!$C$21, $C$9, 100%, $E$9)</f>
        <v>38.959299999999999</v>
      </c>
      <c r="O1028" s="10">
        <f>CHOOSE(CONTROL!$C$42, 39.1655, 39.1655) * CHOOSE(CONTROL!$C$21, $C$9, 100%, $E$9)</f>
        <v>39.165500000000002</v>
      </c>
      <c r="P1028" s="10">
        <f>CHOOSE(CONTROL!$C$42, 38.9385, 38.9385) * CHOOSE(CONTROL!$C$21, $C$9, 100%, $E$9)</f>
        <v>38.938499999999998</v>
      </c>
      <c r="Q1028" s="10">
        <f>CHOOSE(CONTROL!$C$42, 39.7608, 39.7608) * CHOOSE(CONTROL!$C$21, $C$9, 100%, $E$9)</f>
        <v>39.760800000000003</v>
      </c>
      <c r="R1028" s="10">
        <f>CHOOSE(CONTROL!$C$42, 40.4472, 40.4472) * CHOOSE(CONTROL!$C$21, $C$9, 100%, $E$9)</f>
        <v>40.447200000000002</v>
      </c>
      <c r="S1028" s="10">
        <f>CHOOSE(CONTROL!$C$42, 38.2033, 38.2033) * CHOOSE(CONTROL!$C$21, $C$9, 100%, $E$9)</f>
        <v>38.203299999999999</v>
      </c>
      <c r="T1028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028" s="58">
        <f>(1000*CHOOSE(CONTROL!$C$42, 695, 695)*CHOOSE(CONTROL!$C$42, 0.5599, 0.5599)*CHOOSE(CONTROL!$C$42, 31, 31))/1000000</f>
        <v>12.063045499999998</v>
      </c>
      <c r="V1028" s="58">
        <f>(1000*CHOOSE(CONTROL!$C$42, 500, 500)*CHOOSE(CONTROL!$C$42, 0.275, 0.275)*CHOOSE(CONTROL!$C$42, 31, 31))/1000000</f>
        <v>4.2625000000000002</v>
      </c>
      <c r="W1028" s="58">
        <f>(1000*CHOOSE(CONTROL!$C$42, 0.1146, 0.1146)*CHOOSE(CONTROL!$C$42, 121.5, 121.5)*CHOOSE(CONTROL!$C$42, 31, 31))/1000000</f>
        <v>0.43164089999999994</v>
      </c>
      <c r="X1028" s="58">
        <f>(31*0.1790888*245000/1000000)+(31*0.2374*100000/1000000)</f>
        <v>2.0961194359999999</v>
      </c>
      <c r="Y1028" s="58"/>
      <c r="Z1028" s="10"/>
      <c r="AA1028" s="57"/>
      <c r="AB1028" s="51">
        <f>(B1028*194.205+C1028*267.466+D1028*133.845+E1028*53.484+F1028*40+G1028*185+H1028*0+I1028*100+J1028*300)/(194.205+267.466+133.845+53.484+0+40+185+100+300)</f>
        <v>39.36865047708006</v>
      </c>
      <c r="AC1028" s="27">
        <f>(M1028*'RAP TEMPLATE-GAS AVAILABILITY'!O1027+N1028*'RAP TEMPLATE-GAS AVAILABILITY'!P1027+O1028*'RAP TEMPLATE-GAS AVAILABILITY'!Q1027+P1028*'RAP TEMPLATE-GAS AVAILABILITY'!R1027)/('RAP TEMPLATE-GAS AVAILABILITY'!O1027+'RAP TEMPLATE-GAS AVAILABILITY'!P1027+'RAP TEMPLATE-GAS AVAILABILITY'!Q1027+'RAP TEMPLATE-GAS AVAILABILITY'!R1027)</f>
        <v>39.043514388489207</v>
      </c>
    </row>
    <row r="1029" spans="1:29" ht="15.75" x14ac:dyDescent="0.25">
      <c r="A1029" s="13">
        <v>72593</v>
      </c>
      <c r="B1029" s="10">
        <f>CHOOSE(CONTROL!$C$42, 36.847, 36.847) * CHOOSE(CONTROL!$C$21, $C$9, 100%, $E$9)</f>
        <v>36.847000000000001</v>
      </c>
      <c r="C1029" s="10">
        <f>CHOOSE(CONTROL!$C$42, 36.855, 36.855) * CHOOSE(CONTROL!$C$21, $C$9, 100%, $E$9)</f>
        <v>36.854999999999997</v>
      </c>
      <c r="D1029" s="10">
        <f>CHOOSE(CONTROL!$C$42, 37.0335, 37.0335) * CHOOSE(CONTROL!$C$21, $C$9, 100%, $E$9)</f>
        <v>37.033499999999997</v>
      </c>
      <c r="E1029" s="10">
        <f>CHOOSE(CONTROL!$C$42, 37.0646, 37.0646) * CHOOSE(CONTROL!$C$21, $C$9, 100%, $E$9)</f>
        <v>37.064599999999999</v>
      </c>
      <c r="F1029" s="10">
        <f>CHOOSE(CONTROL!$C$42, 36.8334, 36.8334)*CHOOSE(CONTROL!$C$21, $C$9, 100%, $E$9)</f>
        <v>36.833399999999997</v>
      </c>
      <c r="G1029" s="10">
        <f>CHOOSE(CONTROL!$C$42, 36.8516, 36.8516)*CHOOSE(CONTROL!$C$21, $C$9, 100%, $E$9)</f>
        <v>36.851599999999998</v>
      </c>
      <c r="H1029" s="10">
        <f>CHOOSE(CONTROL!$C$42, 37.0533, 37.0533) * CHOOSE(CONTROL!$C$21, $C$9, 100%, $E$9)</f>
        <v>37.0533</v>
      </c>
      <c r="I1029" s="10">
        <f>CHOOSE(CONTROL!$C$42, 36.8239, 36.8239)* CHOOSE(CONTROL!$C$21, $C$9, 100%, $E$9)</f>
        <v>36.823900000000002</v>
      </c>
      <c r="J1029" s="10">
        <f>CHOOSE(CONTROL!$C$42, 36.8264, 36.8264)* CHOOSE(CONTROL!$C$21, $C$9, 100%, $E$9)</f>
        <v>36.8264</v>
      </c>
      <c r="K1029" s="54">
        <f>CHOOSE(CONTROL!$C$42, 36.82, 36.82) * CHOOSE(CONTROL!$C$21, $C$9, 100%, $E$9)</f>
        <v>36.82</v>
      </c>
      <c r="L1029" s="10">
        <f>CHOOSE(CONTROL!$C$42, 37.6403, 37.6403) * CHOOSE(CONTROL!$C$21, $C$9, 100%, $E$9)</f>
        <v>37.640300000000003</v>
      </c>
      <c r="M1029" s="10">
        <f>CHOOSE(CONTROL!$C$42, 36.4686, 36.4686) * CHOOSE(CONTROL!$C$21, $C$9, 100%, $E$9)</f>
        <v>36.468600000000002</v>
      </c>
      <c r="N1029" s="10">
        <f>CHOOSE(CONTROL!$C$42, 36.4866, 36.4866) * CHOOSE(CONTROL!$C$21, $C$9, 100%, $E$9)</f>
        <v>36.486600000000003</v>
      </c>
      <c r="O1029" s="10">
        <f>CHOOSE(CONTROL!$C$42, 36.6931, 36.6931) * CHOOSE(CONTROL!$C$21, $C$9, 100%, $E$9)</f>
        <v>36.693100000000001</v>
      </c>
      <c r="P1029" s="10">
        <f>CHOOSE(CONTROL!$C$42, 36.4662, 36.4662) * CHOOSE(CONTROL!$C$21, $C$9, 100%, $E$9)</f>
        <v>36.466200000000001</v>
      </c>
      <c r="Q1029" s="10">
        <f>CHOOSE(CONTROL!$C$42, 37.2884, 37.2884) * CHOOSE(CONTROL!$C$21, $C$9, 100%, $E$9)</f>
        <v>37.288400000000003</v>
      </c>
      <c r="R1029" s="10">
        <f>CHOOSE(CONTROL!$C$42, 37.9687, 37.9687) * CHOOSE(CONTROL!$C$21, $C$9, 100%, $E$9)</f>
        <v>37.968699999999998</v>
      </c>
      <c r="S1029" s="10">
        <f>CHOOSE(CONTROL!$C$42, 35.7779, 35.7779) * CHOOSE(CONTROL!$C$21, $C$9, 100%, $E$9)</f>
        <v>35.777900000000002</v>
      </c>
      <c r="T1029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029" s="58">
        <f>(1000*CHOOSE(CONTROL!$C$42, 695, 695)*CHOOSE(CONTROL!$C$42, 0.5599, 0.5599)*CHOOSE(CONTROL!$C$42, 30, 30))/1000000</f>
        <v>11.673914999999997</v>
      </c>
      <c r="V1029" s="58">
        <f>(1000*CHOOSE(CONTROL!$C$42, 500, 500)*CHOOSE(CONTROL!$C$42, 0.275, 0.275)*CHOOSE(CONTROL!$C$42, 30, 30))/1000000</f>
        <v>4.125</v>
      </c>
      <c r="W1029" s="58">
        <f>(1000*CHOOSE(CONTROL!$C$42, 0.1146, 0.1146)*CHOOSE(CONTROL!$C$42, 121.5, 121.5)*CHOOSE(CONTROL!$C$42, 30, 30))/1000000</f>
        <v>0.417717</v>
      </c>
      <c r="X1029" s="58">
        <f>(30*0.1790888*245000/1000000)+(30*0.2374*100000/1000000)</f>
        <v>2.0285026799999999</v>
      </c>
      <c r="Y1029" s="58"/>
      <c r="Z1029" s="10"/>
      <c r="AA1029" s="57"/>
      <c r="AB1029" s="51">
        <f>(B1029*194.205+C1029*267.466+D1029*133.845+E1029*53.484+F1029*40+G1029*185+H1029*0+I1029*100+J1029*300)/(194.205+267.466+133.845+53.484+0+40+185+100+300)</f>
        <v>36.87098503838304</v>
      </c>
      <c r="AC1029" s="27">
        <f>(M1029*'RAP TEMPLATE-GAS AVAILABILITY'!O1028+N1029*'RAP TEMPLATE-GAS AVAILABILITY'!P1028+O1029*'RAP TEMPLATE-GAS AVAILABILITY'!Q1028+P1029*'RAP TEMPLATE-GAS AVAILABILITY'!R1028)/('RAP TEMPLATE-GAS AVAILABILITY'!O1028+'RAP TEMPLATE-GAS AVAILABILITY'!P1028+'RAP TEMPLATE-GAS AVAILABILITY'!Q1028+'RAP TEMPLATE-GAS AVAILABILITY'!R1028)</f>
        <v>36.571042446043165</v>
      </c>
    </row>
    <row r="1030" spans="1:29" ht="15.75" x14ac:dyDescent="0.25">
      <c r="A1030" s="13">
        <v>72624</v>
      </c>
      <c r="B1030" s="10">
        <f>CHOOSE(CONTROL!$C$42, 36.0969, 36.0969) * CHOOSE(CONTROL!$C$21, $C$9, 100%, $E$9)</f>
        <v>36.096899999999998</v>
      </c>
      <c r="C1030" s="10">
        <f>CHOOSE(CONTROL!$C$42, 36.1021, 36.1021) * CHOOSE(CONTROL!$C$21, $C$9, 100%, $E$9)</f>
        <v>36.1021</v>
      </c>
      <c r="D1030" s="10">
        <f>CHOOSE(CONTROL!$C$42, 36.2856, 36.2856) * CHOOSE(CONTROL!$C$21, $C$9, 100%, $E$9)</f>
        <v>36.285600000000002</v>
      </c>
      <c r="E1030" s="10">
        <f>CHOOSE(CONTROL!$C$42, 36.3144, 36.3144) * CHOOSE(CONTROL!$C$21, $C$9, 100%, $E$9)</f>
        <v>36.314399999999999</v>
      </c>
      <c r="F1030" s="10">
        <f>CHOOSE(CONTROL!$C$42, 36.0852, 36.0852)*CHOOSE(CONTROL!$C$21, $C$9, 100%, $E$9)</f>
        <v>36.0852</v>
      </c>
      <c r="G1030" s="10">
        <f>CHOOSE(CONTROL!$C$42, 36.1031, 36.1031)*CHOOSE(CONTROL!$C$21, $C$9, 100%, $E$9)</f>
        <v>36.103099999999998</v>
      </c>
      <c r="H1030" s="10">
        <f>CHOOSE(CONTROL!$C$42, 36.3048, 36.3048) * CHOOSE(CONTROL!$C$21, $C$9, 100%, $E$9)</f>
        <v>36.3048</v>
      </c>
      <c r="I1030" s="10">
        <f>CHOOSE(CONTROL!$C$42, 36.0755, 36.0755)* CHOOSE(CONTROL!$C$21, $C$9, 100%, $E$9)</f>
        <v>36.075499999999998</v>
      </c>
      <c r="J1030" s="10">
        <f>CHOOSE(CONTROL!$C$42, 36.0782, 36.0782)* CHOOSE(CONTROL!$C$21, $C$9, 100%, $E$9)</f>
        <v>36.078200000000002</v>
      </c>
      <c r="K1030" s="54">
        <f>CHOOSE(CONTROL!$C$42, 36.0716, 36.0716) * CHOOSE(CONTROL!$C$21, $C$9, 100%, $E$9)</f>
        <v>36.071599999999997</v>
      </c>
      <c r="L1030" s="10">
        <f>CHOOSE(CONTROL!$C$42, 36.8918, 36.8918) * CHOOSE(CONTROL!$C$21, $C$9, 100%, $E$9)</f>
        <v>36.891800000000003</v>
      </c>
      <c r="M1030" s="10">
        <f>CHOOSE(CONTROL!$C$42, 35.7279, 35.7279) * CHOOSE(CONTROL!$C$21, $C$9, 100%, $E$9)</f>
        <v>35.727899999999998</v>
      </c>
      <c r="N1030" s="10">
        <f>CHOOSE(CONTROL!$C$42, 35.7456, 35.7456) * CHOOSE(CONTROL!$C$21, $C$9, 100%, $E$9)</f>
        <v>35.745600000000003</v>
      </c>
      <c r="O1030" s="10">
        <f>CHOOSE(CONTROL!$C$42, 35.9523, 35.9523) * CHOOSE(CONTROL!$C$21, $C$9, 100%, $E$9)</f>
        <v>35.952300000000001</v>
      </c>
      <c r="P1030" s="10">
        <f>CHOOSE(CONTROL!$C$42, 35.7253, 35.7253) * CHOOSE(CONTROL!$C$21, $C$9, 100%, $E$9)</f>
        <v>35.725299999999997</v>
      </c>
      <c r="Q1030" s="10">
        <f>CHOOSE(CONTROL!$C$42, 36.5476, 36.5476) * CHOOSE(CONTROL!$C$21, $C$9, 100%, $E$9)</f>
        <v>36.547600000000003</v>
      </c>
      <c r="R1030" s="10">
        <f>CHOOSE(CONTROL!$C$42, 37.2259, 37.2259) * CHOOSE(CONTROL!$C$21, $C$9, 100%, $E$9)</f>
        <v>37.225900000000003</v>
      </c>
      <c r="S1030" s="10">
        <f>CHOOSE(CONTROL!$C$42, 35.0511, 35.0511) * CHOOSE(CONTROL!$C$21, $C$9, 100%, $E$9)</f>
        <v>35.051099999999998</v>
      </c>
      <c r="T1030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030" s="58">
        <f>(1000*CHOOSE(CONTROL!$C$42, 695, 695)*CHOOSE(CONTROL!$C$42, 0.5599, 0.5599)*CHOOSE(CONTROL!$C$42, 31, 31))/1000000</f>
        <v>12.063045499999998</v>
      </c>
      <c r="V1030" s="58">
        <f>(1000*CHOOSE(CONTROL!$C$42, 500, 500)*CHOOSE(CONTROL!$C$42, 0.275, 0.275)*CHOOSE(CONTROL!$C$42, 31, 31))/1000000</f>
        <v>4.2625000000000002</v>
      </c>
      <c r="W1030" s="58">
        <f>(1000*CHOOSE(CONTROL!$C$42, 0.1146, 0.1146)*CHOOSE(CONTROL!$C$42, 121.5, 121.5)*CHOOSE(CONTROL!$C$42, 31, 31))/1000000</f>
        <v>0.43164089999999994</v>
      </c>
      <c r="X1030" s="58">
        <f>(31*0.1790888*245000/1000000)+(31*0.2374*100000/1000000)</f>
        <v>2.0961194359999999</v>
      </c>
      <c r="Y1030" s="58"/>
      <c r="Z1030" s="10"/>
      <c r="AA1030" s="57"/>
      <c r="AB1030" s="51">
        <f>(B1030*131.881+C1030*277.167+D1030*79.08+E1030*125.872+F1030*40+G1030*185+H1030*0+I1030*100+J1030*300)/(131.881+277.167+79.08+125.872+0+40+185+100+300)</f>
        <v>36.126496307021789</v>
      </c>
      <c r="AC1030" s="27">
        <f>(M1030*'RAP TEMPLATE-GAS AVAILABILITY'!O1029+N1030*'RAP TEMPLATE-GAS AVAILABILITY'!P1029+O1030*'RAP TEMPLATE-GAS AVAILABILITY'!Q1029+P1030*'RAP TEMPLATE-GAS AVAILABILITY'!R1029)/('RAP TEMPLATE-GAS AVAILABILITY'!O1029+'RAP TEMPLATE-GAS AVAILABILITY'!P1029+'RAP TEMPLATE-GAS AVAILABILITY'!Q1029+'RAP TEMPLATE-GAS AVAILABILITY'!R1029)</f>
        <v>35.830251079136687</v>
      </c>
    </row>
    <row r="1031" spans="1:29" ht="15.75" x14ac:dyDescent="0.25">
      <c r="A1031" s="13">
        <v>72654</v>
      </c>
      <c r="B1031" s="10">
        <f>CHOOSE(CONTROL!$C$42, 37.0473, 37.0473) * CHOOSE(CONTROL!$C$21, $C$9, 100%, $E$9)</f>
        <v>37.0473</v>
      </c>
      <c r="C1031" s="10">
        <f>CHOOSE(CONTROL!$C$42, 37.0523, 37.0523) * CHOOSE(CONTROL!$C$21, $C$9, 100%, $E$9)</f>
        <v>37.052300000000002</v>
      </c>
      <c r="D1031" s="10">
        <f>CHOOSE(CONTROL!$C$42, 37.0819, 37.0819) * CHOOSE(CONTROL!$C$21, $C$9, 100%, $E$9)</f>
        <v>37.081899999999997</v>
      </c>
      <c r="E1031" s="10">
        <f>CHOOSE(CONTROL!$C$42, 37.1156, 37.1156) * CHOOSE(CONTROL!$C$21, $C$9, 100%, $E$9)</f>
        <v>37.115600000000001</v>
      </c>
      <c r="F1031" s="10">
        <f>CHOOSE(CONTROL!$C$42, 37.0331, 37.0331)*CHOOSE(CONTROL!$C$21, $C$9, 100%, $E$9)</f>
        <v>37.033099999999997</v>
      </c>
      <c r="G1031" s="10">
        <f>CHOOSE(CONTROL!$C$42, 37.0511, 37.0511)*CHOOSE(CONTROL!$C$21, $C$9, 100%, $E$9)</f>
        <v>37.051099999999998</v>
      </c>
      <c r="H1031" s="10">
        <f>CHOOSE(CONTROL!$C$42, 37.1048, 37.1048) * CHOOSE(CONTROL!$C$21, $C$9, 100%, $E$9)</f>
        <v>37.104799999999997</v>
      </c>
      <c r="I1031" s="10">
        <f>CHOOSE(CONTROL!$C$42, 37.0135, 37.0135)* CHOOSE(CONTROL!$C$21, $C$9, 100%, $E$9)</f>
        <v>37.013500000000001</v>
      </c>
      <c r="J1031" s="10">
        <f>CHOOSE(CONTROL!$C$42, 37.0261, 37.0261)* CHOOSE(CONTROL!$C$21, $C$9, 100%, $E$9)</f>
        <v>37.0261</v>
      </c>
      <c r="K1031" s="54">
        <f>CHOOSE(CONTROL!$C$42, 37.0096, 37.0096) * CHOOSE(CONTROL!$C$21, $C$9, 100%, $E$9)</f>
        <v>37.009599999999999</v>
      </c>
      <c r="L1031" s="10">
        <f>CHOOSE(CONTROL!$C$42, 37.6918, 37.6918) * CHOOSE(CONTROL!$C$21, $C$9, 100%, $E$9)</f>
        <v>37.691800000000001</v>
      </c>
      <c r="M1031" s="10">
        <f>CHOOSE(CONTROL!$C$42, 36.6662, 36.6662) * CHOOSE(CONTROL!$C$21, $C$9, 100%, $E$9)</f>
        <v>36.666200000000003</v>
      </c>
      <c r="N1031" s="10">
        <f>CHOOSE(CONTROL!$C$42, 36.6841, 36.6841) * CHOOSE(CONTROL!$C$21, $C$9, 100%, $E$9)</f>
        <v>36.684100000000001</v>
      </c>
      <c r="O1031" s="10">
        <f>CHOOSE(CONTROL!$C$42, 36.7442, 36.7442) * CHOOSE(CONTROL!$C$21, $C$9, 100%, $E$9)</f>
        <v>36.744199999999999</v>
      </c>
      <c r="P1031" s="10">
        <f>CHOOSE(CONTROL!$C$42, 36.6538, 36.6538) * CHOOSE(CONTROL!$C$21, $C$9, 100%, $E$9)</f>
        <v>36.653799999999997</v>
      </c>
      <c r="Q1031" s="10">
        <f>CHOOSE(CONTROL!$C$42, 37.3395, 37.3395) * CHOOSE(CONTROL!$C$21, $C$9, 100%, $E$9)</f>
        <v>37.339500000000001</v>
      </c>
      <c r="R1031" s="10">
        <f>CHOOSE(CONTROL!$C$42, 38.0199, 38.0199) * CHOOSE(CONTROL!$C$21, $C$9, 100%, $E$9)</f>
        <v>38.0199</v>
      </c>
      <c r="S1031" s="10">
        <f>CHOOSE(CONTROL!$C$42, 35.9745, 35.9745) * CHOOSE(CONTROL!$C$21, $C$9, 100%, $E$9)</f>
        <v>35.974499999999999</v>
      </c>
      <c r="T1031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031" s="58">
        <f>(1000*CHOOSE(CONTROL!$C$42, 695, 695)*CHOOSE(CONTROL!$C$42, 0.5599, 0.5599)*CHOOSE(CONTROL!$C$42, 30, 30))/1000000</f>
        <v>11.673914999999997</v>
      </c>
      <c r="V1031" s="58">
        <f>(1000*CHOOSE(CONTROL!$C$42, 500, 500)*CHOOSE(CONTROL!$C$42, 0.275, 0.275)*CHOOSE(CONTROL!$C$42, 30, 30))/1000000</f>
        <v>4.125</v>
      </c>
      <c r="W1031" s="58">
        <f>(1000*CHOOSE(CONTROL!$C$42, 0.1146, 0.1146)*CHOOSE(CONTROL!$C$42, 121.5, 121.5)*CHOOSE(CONTROL!$C$42, 30, 30))/1000000</f>
        <v>0.417717</v>
      </c>
      <c r="X1031" s="58">
        <f>(30*0.1790888*100000/1000000)+(30*0.2374*100000/1000000)</f>
        <v>1.2494664</v>
      </c>
      <c r="Y1031" s="58"/>
      <c r="Z1031" s="10"/>
      <c r="AA1031" s="57"/>
      <c r="AB1031" s="51">
        <f>(B1031*122.58+C1031*297.941+D1031*89.177+E1031*40.302+F1031*40+G1031*160+H1031*0+I1031*100+J1031*300)/(122.58+297.941+89.177+40.302+0+40+160+100+300)</f>
        <v>37.045237265913038</v>
      </c>
      <c r="AC1031" s="27">
        <f>(M1031*'RAP TEMPLATE-GAS AVAILABILITY'!O1030+N1031*'RAP TEMPLATE-GAS AVAILABILITY'!P1030+O1031*'RAP TEMPLATE-GAS AVAILABILITY'!Q1030+P1031*'RAP TEMPLATE-GAS AVAILABILITY'!R1030)/('RAP TEMPLATE-GAS AVAILABILITY'!O1030+'RAP TEMPLATE-GAS AVAILABILITY'!P1030+'RAP TEMPLATE-GAS AVAILABILITY'!Q1030+'RAP TEMPLATE-GAS AVAILABILITY'!R1030)</f>
        <v>36.700798561151082</v>
      </c>
    </row>
    <row r="1032" spans="1:29" ht="15.75" x14ac:dyDescent="0.25">
      <c r="A1032" s="13">
        <v>72685</v>
      </c>
      <c r="B1032" s="10">
        <f>CHOOSE(CONTROL!$C$42, 39.573, 39.573) * CHOOSE(CONTROL!$C$21, $C$9, 100%, $E$9)</f>
        <v>39.573</v>
      </c>
      <c r="C1032" s="10">
        <f>CHOOSE(CONTROL!$C$42, 39.5779, 39.5779) * CHOOSE(CONTROL!$C$21, $C$9, 100%, $E$9)</f>
        <v>39.5779</v>
      </c>
      <c r="D1032" s="10">
        <f>CHOOSE(CONTROL!$C$42, 39.6075, 39.6075) * CHOOSE(CONTROL!$C$21, $C$9, 100%, $E$9)</f>
        <v>39.607500000000002</v>
      </c>
      <c r="E1032" s="10">
        <f>CHOOSE(CONTROL!$C$42, 39.6413, 39.6413) * CHOOSE(CONTROL!$C$21, $C$9, 100%, $E$9)</f>
        <v>39.641300000000001</v>
      </c>
      <c r="F1032" s="10">
        <f>CHOOSE(CONTROL!$C$42, 39.5603, 39.5603)*CHOOSE(CONTROL!$C$21, $C$9, 100%, $E$9)</f>
        <v>39.560299999999998</v>
      </c>
      <c r="G1032" s="10">
        <f>CHOOSE(CONTROL!$C$42, 39.5787, 39.5787)*CHOOSE(CONTROL!$C$21, $C$9, 100%, $E$9)</f>
        <v>39.578699999999998</v>
      </c>
      <c r="H1032" s="10">
        <f>CHOOSE(CONTROL!$C$42, 39.6305, 39.6305) * CHOOSE(CONTROL!$C$21, $C$9, 100%, $E$9)</f>
        <v>39.630499999999998</v>
      </c>
      <c r="I1032" s="10">
        <f>CHOOSE(CONTROL!$C$42, 39.5391, 39.5391)* CHOOSE(CONTROL!$C$21, $C$9, 100%, $E$9)</f>
        <v>39.539099999999998</v>
      </c>
      <c r="J1032" s="10">
        <f>CHOOSE(CONTROL!$C$42, 39.5533, 39.5533)* CHOOSE(CONTROL!$C$21, $C$9, 100%, $E$9)</f>
        <v>39.5533</v>
      </c>
      <c r="K1032" s="54">
        <f>CHOOSE(CONTROL!$C$42, 39.5353, 39.5353) * CHOOSE(CONTROL!$C$21, $C$9, 100%, $E$9)</f>
        <v>39.535299999999999</v>
      </c>
      <c r="L1032" s="10">
        <f>CHOOSE(CONTROL!$C$42, 40.2175, 40.2175) * CHOOSE(CONTROL!$C$21, $C$9, 100%, $E$9)</f>
        <v>40.217500000000001</v>
      </c>
      <c r="M1032" s="10">
        <f>CHOOSE(CONTROL!$C$42, 39.1679, 39.1679) * CHOOSE(CONTROL!$C$21, $C$9, 100%, $E$9)</f>
        <v>39.167900000000003</v>
      </c>
      <c r="N1032" s="10">
        <f>CHOOSE(CONTROL!$C$42, 39.1862, 39.1862) * CHOOSE(CONTROL!$C$21, $C$9, 100%, $E$9)</f>
        <v>39.186199999999999</v>
      </c>
      <c r="O1032" s="10">
        <f>CHOOSE(CONTROL!$C$42, 39.2444, 39.2444) * CHOOSE(CONTROL!$C$21, $C$9, 100%, $E$9)</f>
        <v>39.244399999999999</v>
      </c>
      <c r="P1032" s="10">
        <f>CHOOSE(CONTROL!$C$42, 39.154, 39.154) * CHOOSE(CONTROL!$C$21, $C$9, 100%, $E$9)</f>
        <v>39.154000000000003</v>
      </c>
      <c r="Q1032" s="10">
        <f>CHOOSE(CONTROL!$C$42, 39.8397, 39.8397) * CHOOSE(CONTROL!$C$21, $C$9, 100%, $E$9)</f>
        <v>39.839700000000001</v>
      </c>
      <c r="R1032" s="10">
        <f>CHOOSE(CONTROL!$C$42, 40.5263, 40.5263) * CHOOSE(CONTROL!$C$21, $C$9, 100%, $E$9)</f>
        <v>40.526299999999999</v>
      </c>
      <c r="S1032" s="10">
        <f>CHOOSE(CONTROL!$C$42, 38.4272, 38.4272) * CHOOSE(CONTROL!$C$21, $C$9, 100%, $E$9)</f>
        <v>38.427199999999999</v>
      </c>
      <c r="T1032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032" s="58">
        <f>(1000*CHOOSE(CONTROL!$C$42, 695, 695)*CHOOSE(CONTROL!$C$42, 0.5599, 0.5599)*CHOOSE(CONTROL!$C$42, 31, 31))/1000000</f>
        <v>12.063045499999998</v>
      </c>
      <c r="V1032" s="58">
        <f>(1000*CHOOSE(CONTROL!$C$42, 500, 500)*CHOOSE(CONTROL!$C$42, 0.275, 0.275)*CHOOSE(CONTROL!$C$42, 31, 31))/1000000</f>
        <v>4.2625000000000002</v>
      </c>
      <c r="W1032" s="58">
        <f>(1000*CHOOSE(CONTROL!$C$42, 0.1146, 0.1146)*CHOOSE(CONTROL!$C$42, 121.5, 121.5)*CHOOSE(CONTROL!$C$42, 31, 31))/1000000</f>
        <v>0.43164089999999994</v>
      </c>
      <c r="X1032" s="58">
        <f>(31*0.1790888*100000/1000000)+(31*0.2374*100000/1000000)</f>
        <v>1.2911152800000001</v>
      </c>
      <c r="Y1032" s="58"/>
      <c r="Z1032" s="10"/>
      <c r="AA1032" s="57"/>
      <c r="AB1032" s="51">
        <f>(B1032*122.58+C1032*297.941+D1032*89.177+E1032*40.302+F1032*40+G1032*160+H1032*0+I1032*100+J1032*300)/(122.58+297.941+89.177+40.302+0+40+160+100+300)</f>
        <v>39.571602733913039</v>
      </c>
      <c r="AC1032" s="27">
        <f>(M1032*'RAP TEMPLATE-GAS AVAILABILITY'!O1031+N1032*'RAP TEMPLATE-GAS AVAILABILITY'!P1031+O1032*'RAP TEMPLATE-GAS AVAILABILITY'!Q1031+P1032*'RAP TEMPLATE-GAS AVAILABILITY'!R1031)/('RAP TEMPLATE-GAS AVAILABILITY'!O1031+'RAP TEMPLATE-GAS AVAILABILITY'!P1031+'RAP TEMPLATE-GAS AVAILABILITY'!Q1031+'RAP TEMPLATE-GAS AVAILABILITY'!R1031)</f>
        <v>39.201625899280579</v>
      </c>
    </row>
    <row r="1033" spans="1:29" ht="15.75" x14ac:dyDescent="0.25">
      <c r="A1033" s="13">
        <v>72716</v>
      </c>
      <c r="B1033" s="10">
        <f>CHOOSE(CONTROL!$C$42, 42.2437, 42.2437) * CHOOSE(CONTROL!$C$21, $C$9, 100%, $E$9)</f>
        <v>42.243699999999997</v>
      </c>
      <c r="C1033" s="10">
        <f>CHOOSE(CONTROL!$C$42, 42.2487, 42.2487) * CHOOSE(CONTROL!$C$21, $C$9, 100%, $E$9)</f>
        <v>42.248699999999999</v>
      </c>
      <c r="D1033" s="10">
        <f>CHOOSE(CONTROL!$C$42, 42.2989, 42.2989) * CHOOSE(CONTROL!$C$21, $C$9, 100%, $E$9)</f>
        <v>42.298900000000003</v>
      </c>
      <c r="E1033" s="10">
        <f>CHOOSE(CONTROL!$C$42, 42.3327, 42.3327) * CHOOSE(CONTROL!$C$21, $C$9, 100%, $E$9)</f>
        <v>42.332700000000003</v>
      </c>
      <c r="F1033" s="10">
        <f>CHOOSE(CONTROL!$C$42, 42.2091, 42.2091)*CHOOSE(CONTROL!$C$21, $C$9, 100%, $E$9)</f>
        <v>42.209099999999999</v>
      </c>
      <c r="G1033" s="10">
        <f>CHOOSE(CONTROL!$C$42, 42.2266, 42.2266)*CHOOSE(CONTROL!$C$21, $C$9, 100%, $E$9)</f>
        <v>42.226599999999998</v>
      </c>
      <c r="H1033" s="10">
        <f>CHOOSE(CONTROL!$C$42, 42.3219, 42.3219) * CHOOSE(CONTROL!$C$21, $C$9, 100%, $E$9)</f>
        <v>42.321899999999999</v>
      </c>
      <c r="I1033" s="10">
        <f>CHOOSE(CONTROL!$C$42, 42.2176, 42.2176)* CHOOSE(CONTROL!$C$21, $C$9, 100%, $E$9)</f>
        <v>42.217599999999997</v>
      </c>
      <c r="J1033" s="10">
        <f>CHOOSE(CONTROL!$C$42, 42.2021, 42.2021)* CHOOSE(CONTROL!$C$21, $C$9, 100%, $E$9)</f>
        <v>42.202100000000002</v>
      </c>
      <c r="K1033" s="54">
        <f>CHOOSE(CONTROL!$C$42, 42.2137, 42.2137) * CHOOSE(CONTROL!$C$21, $C$9, 100%, $E$9)</f>
        <v>42.213700000000003</v>
      </c>
      <c r="L1033" s="10">
        <f>CHOOSE(CONTROL!$C$42, 42.9089, 42.9089) * CHOOSE(CONTROL!$C$21, $C$9, 100%, $E$9)</f>
        <v>42.908900000000003</v>
      </c>
      <c r="M1033" s="10">
        <f>CHOOSE(CONTROL!$C$42, 41.79, 41.79) * CHOOSE(CONTROL!$C$21, $C$9, 100%, $E$9)</f>
        <v>41.79</v>
      </c>
      <c r="N1033" s="10">
        <f>CHOOSE(CONTROL!$C$42, 41.8074, 41.8074) * CHOOSE(CONTROL!$C$21, $C$9, 100%, $E$9)</f>
        <v>41.807400000000001</v>
      </c>
      <c r="O1033" s="10">
        <f>CHOOSE(CONTROL!$C$42, 41.9086, 41.9086) * CHOOSE(CONTROL!$C$21, $C$9, 100%, $E$9)</f>
        <v>41.9086</v>
      </c>
      <c r="P1033" s="10">
        <f>CHOOSE(CONTROL!$C$42, 41.8054, 41.8054) * CHOOSE(CONTROL!$C$21, $C$9, 100%, $E$9)</f>
        <v>41.805399999999999</v>
      </c>
      <c r="Q1033" s="10">
        <f>CHOOSE(CONTROL!$C$42, 42.5039, 42.5039) * CHOOSE(CONTROL!$C$21, $C$9, 100%, $E$9)</f>
        <v>42.503900000000002</v>
      </c>
      <c r="R1033" s="10">
        <f>CHOOSE(CONTROL!$C$42, 43.1971, 43.1971) * CHOOSE(CONTROL!$C$21, $C$9, 100%, $E$9)</f>
        <v>43.197099999999999</v>
      </c>
      <c r="S1033" s="10">
        <f>CHOOSE(CONTROL!$C$42, 41.0207, 41.0207) * CHOOSE(CONTROL!$C$21, $C$9, 100%, $E$9)</f>
        <v>41.020699999999998</v>
      </c>
      <c r="T1033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033" s="58">
        <f>(1000*CHOOSE(CONTROL!$C$42, 695, 695)*CHOOSE(CONTROL!$C$42, 0.5599, 0.5599)*CHOOSE(CONTROL!$C$42, 31, 31))/1000000</f>
        <v>12.063045499999998</v>
      </c>
      <c r="V1033" s="58">
        <f>(1000*CHOOSE(CONTROL!$C$42, 500, 500)*CHOOSE(CONTROL!$C$42, 0.275, 0.275)*CHOOSE(CONTROL!$C$42, 31, 31))/1000000</f>
        <v>4.2625000000000002</v>
      </c>
      <c r="W1033" s="58">
        <f>(1000*CHOOSE(CONTROL!$C$42, 0.1146, 0.1146)*CHOOSE(CONTROL!$C$42, 121.5, 121.5)*CHOOSE(CONTROL!$C$42, 31, 31))/1000000</f>
        <v>0.43164089999999994</v>
      </c>
      <c r="X1033" s="58">
        <f>(31*0.1790888*100000/1000000)+(31*0.2374*100000/1000000)</f>
        <v>1.2911152800000001</v>
      </c>
      <c r="Y1033" s="58"/>
      <c r="Z1033" s="10"/>
      <c r="AA1033" s="57"/>
      <c r="AB1033" s="51">
        <f>(B1033*122.58+C1033*297.941+D1033*89.177+E1033*40.302+F1033*40+G1033*160+H1033*0+I1033*100+J1033*300)/(122.58+297.941+89.177+40.302+0+40+160+100+300)</f>
        <v>42.235690568173915</v>
      </c>
      <c r="AC1033" s="27">
        <f>(M1033*'RAP TEMPLATE-GAS AVAILABILITY'!O1032+N1033*'RAP TEMPLATE-GAS AVAILABILITY'!P1032+O1033*'RAP TEMPLATE-GAS AVAILABILITY'!Q1032+P1033*'RAP TEMPLATE-GAS AVAILABILITY'!R1032)/('RAP TEMPLATE-GAS AVAILABILITY'!O1032+'RAP TEMPLATE-GAS AVAILABILITY'!P1032+'RAP TEMPLATE-GAS AVAILABILITY'!Q1032+'RAP TEMPLATE-GAS AVAILABILITY'!R1032)</f>
        <v>41.84697122302159</v>
      </c>
    </row>
    <row r="1034" spans="1:29" ht="15.75" x14ac:dyDescent="0.25">
      <c r="A1034" s="13">
        <v>72744</v>
      </c>
      <c r="B1034" s="10">
        <f>CHOOSE(CONTROL!$C$42, 42.9957, 42.9957) * CHOOSE(CONTROL!$C$21, $C$9, 100%, $E$9)</f>
        <v>42.995699999999999</v>
      </c>
      <c r="C1034" s="10">
        <f>CHOOSE(CONTROL!$C$42, 43.0006, 43.0006) * CHOOSE(CONTROL!$C$21, $C$9, 100%, $E$9)</f>
        <v>43.000599999999999</v>
      </c>
      <c r="D1034" s="10">
        <f>CHOOSE(CONTROL!$C$42, 43.1178, 43.1178) * CHOOSE(CONTROL!$C$21, $C$9, 100%, $E$9)</f>
        <v>43.117800000000003</v>
      </c>
      <c r="E1034" s="10">
        <f>CHOOSE(CONTROL!$C$42, 43.1515, 43.1515) * CHOOSE(CONTROL!$C$21, $C$9, 100%, $E$9)</f>
        <v>43.151499999999999</v>
      </c>
      <c r="F1034" s="10">
        <f>CHOOSE(CONTROL!$C$42, 43.0733, 43.0733)*CHOOSE(CONTROL!$C$21, $C$9, 100%, $E$9)</f>
        <v>43.073300000000003</v>
      </c>
      <c r="G1034" s="10">
        <f>CHOOSE(CONTROL!$C$42, 43.0952, 43.0952)*CHOOSE(CONTROL!$C$21, $C$9, 100%, $E$9)</f>
        <v>43.095199999999998</v>
      </c>
      <c r="H1034" s="10">
        <f>CHOOSE(CONTROL!$C$42, 43.1407, 43.1407) * CHOOSE(CONTROL!$C$21, $C$9, 100%, $E$9)</f>
        <v>43.140700000000002</v>
      </c>
      <c r="I1034" s="10">
        <f>CHOOSE(CONTROL!$C$42, 43.0314, 43.0314)* CHOOSE(CONTROL!$C$21, $C$9, 100%, $E$9)</f>
        <v>43.031399999999998</v>
      </c>
      <c r="J1034" s="10">
        <f>CHOOSE(CONTROL!$C$42, 43.0663, 43.0663)* CHOOSE(CONTROL!$C$21, $C$9, 100%, $E$9)</f>
        <v>43.066299999999998</v>
      </c>
      <c r="K1034" s="54">
        <f>CHOOSE(CONTROL!$C$42, 43.0275, 43.0275) * CHOOSE(CONTROL!$C$21, $C$9, 100%, $E$9)</f>
        <v>43.027500000000003</v>
      </c>
      <c r="L1034" s="10">
        <f>CHOOSE(CONTROL!$C$42, 43.7277, 43.7277) * CHOOSE(CONTROL!$C$21, $C$9, 100%, $E$9)</f>
        <v>43.727699999999999</v>
      </c>
      <c r="M1034" s="10">
        <f>CHOOSE(CONTROL!$C$42, 42.6455, 42.6455) * CHOOSE(CONTROL!$C$21, $C$9, 100%, $E$9)</f>
        <v>42.645499999999998</v>
      </c>
      <c r="N1034" s="10">
        <f>CHOOSE(CONTROL!$C$42, 42.6672, 42.6672) * CHOOSE(CONTROL!$C$21, $C$9, 100%, $E$9)</f>
        <v>42.667200000000001</v>
      </c>
      <c r="O1034" s="10">
        <f>CHOOSE(CONTROL!$C$42, 42.7192, 42.7192) * CHOOSE(CONTROL!$C$21, $C$9, 100%, $E$9)</f>
        <v>42.719200000000001</v>
      </c>
      <c r="P1034" s="10">
        <f>CHOOSE(CONTROL!$C$42, 42.611, 42.611) * CHOOSE(CONTROL!$C$21, $C$9, 100%, $E$9)</f>
        <v>42.610999999999997</v>
      </c>
      <c r="Q1034" s="10">
        <f>CHOOSE(CONTROL!$C$42, 43.3145, 43.3145) * CHOOSE(CONTROL!$C$21, $C$9, 100%, $E$9)</f>
        <v>43.314500000000002</v>
      </c>
      <c r="R1034" s="10">
        <f>CHOOSE(CONTROL!$C$42, 44.0098, 44.0098) * CHOOSE(CONTROL!$C$21, $C$9, 100%, $E$9)</f>
        <v>44.009799999999998</v>
      </c>
      <c r="S1034" s="10">
        <f>CHOOSE(CONTROL!$C$42, 41.751, 41.751) * CHOOSE(CONTROL!$C$21, $C$9, 100%, $E$9)</f>
        <v>41.750999999999998</v>
      </c>
      <c r="T1034" s="58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034" s="58">
        <f>(1000*CHOOSE(CONTROL!$C$42, 695, 695)*CHOOSE(CONTROL!$C$42, 0.5599, 0.5599)*CHOOSE(CONTROL!$C$42, 28, 28))/1000000</f>
        <v>10.895653999999999</v>
      </c>
      <c r="V1034" s="58">
        <f>(1000*CHOOSE(CONTROL!$C$42, 500, 500)*CHOOSE(CONTROL!$C$42, 0.275, 0.275)*CHOOSE(CONTROL!$C$42, 28, 28))/1000000</f>
        <v>3.85</v>
      </c>
      <c r="W1034" s="58">
        <f>(1000*CHOOSE(CONTROL!$C$42, 0.1146, 0.1146)*CHOOSE(CONTROL!$C$42, 121.5, 121.5)*CHOOSE(CONTROL!$C$42, 28, 28))/1000000</f>
        <v>0.38986920000000003</v>
      </c>
      <c r="X1034" s="58">
        <f>(28*0.1790888*100000/1000000)+(28*0.2374*100000/1000000)</f>
        <v>1.16616864</v>
      </c>
      <c r="Y1034" s="58"/>
      <c r="Z1034" s="10"/>
      <c r="AA1034" s="57"/>
      <c r="AB1034" s="51">
        <f>(B1034*122.58+C1034*297.941+D1034*89.177+E1034*40.302+F1034*40+G1034*160+H1034*0+I1034*100+J1034*300)/(122.58+297.941+89.177+40.302+0+40+160+100+300)</f>
        <v>43.049962151478262</v>
      </c>
      <c r="AC1034" s="27">
        <f>(M1034*'RAP TEMPLATE-GAS AVAILABILITY'!O1033+N1034*'RAP TEMPLATE-GAS AVAILABILITY'!P1033+O1034*'RAP TEMPLATE-GAS AVAILABILITY'!Q1033+P1034*'RAP TEMPLATE-GAS AVAILABILITY'!R1033)/('RAP TEMPLATE-GAS AVAILABILITY'!O1033+'RAP TEMPLATE-GAS AVAILABILITY'!P1033+'RAP TEMPLATE-GAS AVAILABILITY'!Q1033+'RAP TEMPLATE-GAS AVAILABILITY'!R1033)</f>
        <v>42.675188489208637</v>
      </c>
    </row>
    <row r="1035" spans="1:29" ht="15.75" x14ac:dyDescent="0.25">
      <c r="A1035" s="13">
        <v>72775</v>
      </c>
      <c r="B1035" s="10">
        <f>CHOOSE(CONTROL!$C$42, 41.7751, 41.7751) * CHOOSE(CONTROL!$C$21, $C$9, 100%, $E$9)</f>
        <v>41.775100000000002</v>
      </c>
      <c r="C1035" s="10">
        <f>CHOOSE(CONTROL!$C$42, 41.78, 41.78) * CHOOSE(CONTROL!$C$21, $C$9, 100%, $E$9)</f>
        <v>41.78</v>
      </c>
      <c r="D1035" s="10">
        <f>CHOOSE(CONTROL!$C$42, 41.8714, 41.8714) * CHOOSE(CONTROL!$C$21, $C$9, 100%, $E$9)</f>
        <v>41.871400000000001</v>
      </c>
      <c r="E1035" s="10">
        <f>CHOOSE(CONTROL!$C$42, 41.9052, 41.9052) * CHOOSE(CONTROL!$C$21, $C$9, 100%, $E$9)</f>
        <v>41.905200000000001</v>
      </c>
      <c r="F1035" s="10">
        <f>CHOOSE(CONTROL!$C$42, 41.8049, 41.8049)*CHOOSE(CONTROL!$C$21, $C$9, 100%, $E$9)</f>
        <v>41.804900000000004</v>
      </c>
      <c r="G1035" s="10">
        <f>CHOOSE(CONTROL!$C$42, 41.8244, 41.8244)*CHOOSE(CONTROL!$C$21, $C$9, 100%, $E$9)</f>
        <v>41.824399999999997</v>
      </c>
      <c r="H1035" s="10">
        <f>CHOOSE(CONTROL!$C$42, 41.8944, 41.8944) * CHOOSE(CONTROL!$C$21, $C$9, 100%, $E$9)</f>
        <v>41.894399999999997</v>
      </c>
      <c r="I1035" s="10">
        <f>CHOOSE(CONTROL!$C$42, 41.7979, 41.7979)* CHOOSE(CONTROL!$C$21, $C$9, 100%, $E$9)</f>
        <v>41.797899999999998</v>
      </c>
      <c r="J1035" s="10">
        <f>CHOOSE(CONTROL!$C$42, 41.7979, 41.7979)* CHOOSE(CONTROL!$C$21, $C$9, 100%, $E$9)</f>
        <v>41.797899999999998</v>
      </c>
      <c r="K1035" s="54">
        <f>CHOOSE(CONTROL!$C$42, 41.794, 41.794) * CHOOSE(CONTROL!$C$21, $C$9, 100%, $E$9)</f>
        <v>41.793999999999997</v>
      </c>
      <c r="L1035" s="10">
        <f>CHOOSE(CONTROL!$C$42, 42.4814, 42.4814) * CHOOSE(CONTROL!$C$21, $C$9, 100%, $E$9)</f>
        <v>42.481400000000001</v>
      </c>
      <c r="M1035" s="10">
        <f>CHOOSE(CONTROL!$C$42, 41.3899, 41.3899) * CHOOSE(CONTROL!$C$21, $C$9, 100%, $E$9)</f>
        <v>41.389899999999997</v>
      </c>
      <c r="N1035" s="10">
        <f>CHOOSE(CONTROL!$C$42, 41.4092, 41.4092) * CHOOSE(CONTROL!$C$21, $C$9, 100%, $E$9)</f>
        <v>41.409199999999998</v>
      </c>
      <c r="O1035" s="10">
        <f>CHOOSE(CONTROL!$C$42, 41.4854, 41.4854) * CHOOSE(CONTROL!$C$21, $C$9, 100%, $E$9)</f>
        <v>41.485399999999998</v>
      </c>
      <c r="P1035" s="10">
        <f>CHOOSE(CONTROL!$C$42, 41.3899, 41.3899) * CHOOSE(CONTROL!$C$21, $C$9, 100%, $E$9)</f>
        <v>41.389899999999997</v>
      </c>
      <c r="Q1035" s="10">
        <f>CHOOSE(CONTROL!$C$42, 42.0807, 42.0807) * CHOOSE(CONTROL!$C$21, $C$9, 100%, $E$9)</f>
        <v>42.0807</v>
      </c>
      <c r="R1035" s="10">
        <f>CHOOSE(CONTROL!$C$42, 42.7729, 42.7729) * CHOOSE(CONTROL!$C$21, $C$9, 100%, $E$9)</f>
        <v>42.7729</v>
      </c>
      <c r="S1035" s="10">
        <f>CHOOSE(CONTROL!$C$42, 40.5656, 40.5656) * CHOOSE(CONTROL!$C$21, $C$9, 100%, $E$9)</f>
        <v>40.565600000000003</v>
      </c>
      <c r="T1035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035" s="58">
        <f>(1000*CHOOSE(CONTROL!$C$42, 695, 695)*CHOOSE(CONTROL!$C$42, 0.5599, 0.5599)*CHOOSE(CONTROL!$C$42, 31, 31))/1000000</f>
        <v>12.063045499999998</v>
      </c>
      <c r="V1035" s="58">
        <f>(1000*CHOOSE(CONTROL!$C$42, 500, 500)*CHOOSE(CONTROL!$C$42, 0.275, 0.275)*CHOOSE(CONTROL!$C$42, 31, 31))/1000000</f>
        <v>4.2625000000000002</v>
      </c>
      <c r="W1035" s="58">
        <f>(1000*CHOOSE(CONTROL!$C$42, 0.1146, 0.1146)*CHOOSE(CONTROL!$C$42, 121.5, 121.5)*CHOOSE(CONTROL!$C$42, 31, 31))/1000000</f>
        <v>0.43164089999999994</v>
      </c>
      <c r="X1035" s="58">
        <f>(31*0.1790888*100000/1000000)+(31*0.2374*100000/1000000)</f>
        <v>1.2911152800000001</v>
      </c>
      <c r="Y1035" s="58"/>
      <c r="Z1035" s="10"/>
      <c r="AA1035" s="57"/>
      <c r="AB1035" s="51">
        <f>(B1035*122.58+C1035*297.941+D1035*89.177+E1035*40.302+F1035*40+G1035*160+H1035*0+I1035*100+J1035*300)/(122.58+297.941+89.177+40.302+0+40+160+100+300)</f>
        <v>41.804222561913043</v>
      </c>
      <c r="AC1035" s="27">
        <f>(M1035*'RAP TEMPLATE-GAS AVAILABILITY'!O1034+N1035*'RAP TEMPLATE-GAS AVAILABILITY'!P1034+O1035*'RAP TEMPLATE-GAS AVAILABILITY'!Q1034+P1035*'RAP TEMPLATE-GAS AVAILABILITY'!R1034)/('RAP TEMPLATE-GAS AVAILABILITY'!O1034+'RAP TEMPLATE-GAS AVAILABILITY'!P1034+'RAP TEMPLATE-GAS AVAILABILITY'!Q1034+'RAP TEMPLATE-GAS AVAILABILITY'!R1034)</f>
        <v>41.434294964028773</v>
      </c>
    </row>
    <row r="1036" spans="1:29" ht="15.75" x14ac:dyDescent="0.25">
      <c r="A1036" s="13">
        <v>72805</v>
      </c>
      <c r="B1036" s="10">
        <f>CHOOSE(CONTROL!$C$42, 41.6508, 41.6508) * CHOOSE(CONTROL!$C$21, $C$9, 100%, $E$9)</f>
        <v>41.650799999999997</v>
      </c>
      <c r="C1036" s="10">
        <f>CHOOSE(CONTROL!$C$42, 41.6552, 41.6552) * CHOOSE(CONTROL!$C$21, $C$9, 100%, $E$9)</f>
        <v>41.655200000000001</v>
      </c>
      <c r="D1036" s="10">
        <f>CHOOSE(CONTROL!$C$42, 41.8368, 41.8368) * CHOOSE(CONTROL!$C$21, $C$9, 100%, $E$9)</f>
        <v>41.836799999999997</v>
      </c>
      <c r="E1036" s="10">
        <f>CHOOSE(CONTROL!$C$42, 41.8686, 41.8686) * CHOOSE(CONTROL!$C$21, $C$9, 100%, $E$9)</f>
        <v>41.868600000000001</v>
      </c>
      <c r="F1036" s="10">
        <f>CHOOSE(CONTROL!$C$42, 41.6391, 41.6391)*CHOOSE(CONTROL!$C$21, $C$9, 100%, $E$9)</f>
        <v>41.639099999999999</v>
      </c>
      <c r="G1036" s="10">
        <f>CHOOSE(CONTROL!$C$42, 41.6571, 41.6571)*CHOOSE(CONTROL!$C$21, $C$9, 100%, $E$9)</f>
        <v>41.6571</v>
      </c>
      <c r="H1036" s="10">
        <f>CHOOSE(CONTROL!$C$42, 41.8584, 41.8584) * CHOOSE(CONTROL!$C$21, $C$9, 100%, $E$9)</f>
        <v>41.858400000000003</v>
      </c>
      <c r="I1036" s="10">
        <f>CHOOSE(CONTROL!$C$42, 41.6291, 41.6291)* CHOOSE(CONTROL!$C$21, $C$9, 100%, $E$9)</f>
        <v>41.629100000000001</v>
      </c>
      <c r="J1036" s="10">
        <f>CHOOSE(CONTROL!$C$42, 41.6321, 41.6321)* CHOOSE(CONTROL!$C$21, $C$9, 100%, $E$9)</f>
        <v>41.632100000000001</v>
      </c>
      <c r="K1036" s="54">
        <f>CHOOSE(CONTROL!$C$42, 41.6252, 41.6252) * CHOOSE(CONTROL!$C$21, $C$9, 100%, $E$9)</f>
        <v>41.6252</v>
      </c>
      <c r="L1036" s="10">
        <f>CHOOSE(CONTROL!$C$42, 42.4454, 42.4454) * CHOOSE(CONTROL!$C$21, $C$9, 100%, $E$9)</f>
        <v>42.445399999999999</v>
      </c>
      <c r="M1036" s="10">
        <f>CHOOSE(CONTROL!$C$42, 41.2258, 41.2258) * CHOOSE(CONTROL!$C$21, $C$9, 100%, $E$9)</f>
        <v>41.2258</v>
      </c>
      <c r="N1036" s="10">
        <f>CHOOSE(CONTROL!$C$42, 41.2436, 41.2436) * CHOOSE(CONTROL!$C$21, $C$9, 100%, $E$9)</f>
        <v>41.243600000000001</v>
      </c>
      <c r="O1036" s="10">
        <f>CHOOSE(CONTROL!$C$42, 41.4498, 41.4498) * CHOOSE(CONTROL!$C$21, $C$9, 100%, $E$9)</f>
        <v>41.449800000000003</v>
      </c>
      <c r="P1036" s="10">
        <f>CHOOSE(CONTROL!$C$42, 41.2228, 41.2228) * CHOOSE(CONTROL!$C$21, $C$9, 100%, $E$9)</f>
        <v>41.222799999999999</v>
      </c>
      <c r="Q1036" s="10">
        <f>CHOOSE(CONTROL!$C$42, 42.0451, 42.0451) * CHOOSE(CONTROL!$C$21, $C$9, 100%, $E$9)</f>
        <v>42.045099999999998</v>
      </c>
      <c r="R1036" s="10">
        <f>CHOOSE(CONTROL!$C$42, 42.7372, 42.7372) * CHOOSE(CONTROL!$C$21, $C$9, 100%, $E$9)</f>
        <v>42.737200000000001</v>
      </c>
      <c r="S1036" s="10">
        <f>CHOOSE(CONTROL!$C$42, 40.4442, 40.4442) * CHOOSE(CONTROL!$C$21, $C$9, 100%, $E$9)</f>
        <v>40.444200000000002</v>
      </c>
      <c r="T1036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036" s="58">
        <f>(1000*CHOOSE(CONTROL!$C$42, 695, 695)*CHOOSE(CONTROL!$C$42, 0.5599, 0.5599)*CHOOSE(CONTROL!$C$42, 30, 30))/1000000</f>
        <v>11.673914999999997</v>
      </c>
      <c r="V1036" s="58">
        <f>(1000*CHOOSE(CONTROL!$C$42, 500, 500)*CHOOSE(CONTROL!$C$42, 0.275, 0.275)*CHOOSE(CONTROL!$C$42, 30, 30))/1000000</f>
        <v>4.125</v>
      </c>
      <c r="W1036" s="58">
        <f>(1000*CHOOSE(CONTROL!$C$42, 0.1146, 0.1146)*CHOOSE(CONTROL!$C$42, 121.5, 121.5)*CHOOSE(CONTROL!$C$42, 30, 30))/1000000</f>
        <v>0.417717</v>
      </c>
      <c r="X1036" s="58">
        <f>(30*0.1790888*245000/1000000)+(30*0.2374*100000/1000000)</f>
        <v>2.0285026799999999</v>
      </c>
      <c r="Y1036" s="58"/>
      <c r="Z1036" s="10"/>
      <c r="AA1036" s="57"/>
      <c r="AB1036" s="51">
        <f>(B1036*141.293+C1036*267.993+D1036*115.016+E1036*89.698+F1036*40+G1036*185+H1036*0+I1036*100+J1036*300)/(141.293+267.993+115.016+89.698+0+40+185+100+300)</f>
        <v>41.67906946698951</v>
      </c>
      <c r="AC1036" s="27">
        <f>(M1036*'RAP TEMPLATE-GAS AVAILABILITY'!O1035+N1036*'RAP TEMPLATE-GAS AVAILABILITY'!P1035+O1036*'RAP TEMPLATE-GAS AVAILABILITY'!Q1035+P1036*'RAP TEMPLATE-GAS AVAILABILITY'!R1035)/('RAP TEMPLATE-GAS AVAILABILITY'!O1035+'RAP TEMPLATE-GAS AVAILABILITY'!P1035+'RAP TEMPLATE-GAS AVAILABILITY'!Q1035+'RAP TEMPLATE-GAS AVAILABILITY'!R1035)</f>
        <v>41.327917985611506</v>
      </c>
    </row>
    <row r="1037" spans="1:29" ht="15.75" x14ac:dyDescent="0.25">
      <c r="A1037" s="13">
        <v>72836</v>
      </c>
      <c r="B1037" s="10">
        <f>CHOOSE(CONTROL!$C$42, 42.0202, 42.0202) * CHOOSE(CONTROL!$C$21, $C$9, 100%, $E$9)</f>
        <v>42.020200000000003</v>
      </c>
      <c r="C1037" s="10">
        <f>CHOOSE(CONTROL!$C$42, 42.0281, 42.0281) * CHOOSE(CONTROL!$C$21, $C$9, 100%, $E$9)</f>
        <v>42.028100000000002</v>
      </c>
      <c r="D1037" s="10">
        <f>CHOOSE(CONTROL!$C$42, 42.2066, 42.2066) * CHOOSE(CONTROL!$C$21, $C$9, 100%, $E$9)</f>
        <v>42.206600000000002</v>
      </c>
      <c r="E1037" s="10">
        <f>CHOOSE(CONTROL!$C$42, 42.2377, 42.2377) * CHOOSE(CONTROL!$C$21, $C$9, 100%, $E$9)</f>
        <v>42.237699999999997</v>
      </c>
      <c r="F1037" s="10">
        <f>CHOOSE(CONTROL!$C$42, 42.0063, 42.0063)*CHOOSE(CONTROL!$C$21, $C$9, 100%, $E$9)</f>
        <v>42.006300000000003</v>
      </c>
      <c r="G1037" s="10">
        <f>CHOOSE(CONTROL!$C$42, 42.0245, 42.0245)*CHOOSE(CONTROL!$C$21, $C$9, 100%, $E$9)</f>
        <v>42.024500000000003</v>
      </c>
      <c r="H1037" s="10">
        <f>CHOOSE(CONTROL!$C$42, 42.2264, 42.2264) * CHOOSE(CONTROL!$C$21, $C$9, 100%, $E$9)</f>
        <v>42.226399999999998</v>
      </c>
      <c r="I1037" s="10">
        <f>CHOOSE(CONTROL!$C$42, 41.997, 41.997)* CHOOSE(CONTROL!$C$21, $C$9, 100%, $E$9)</f>
        <v>41.997</v>
      </c>
      <c r="J1037" s="10">
        <f>CHOOSE(CONTROL!$C$42, 41.9993, 41.9993)* CHOOSE(CONTROL!$C$21, $C$9, 100%, $E$9)</f>
        <v>41.999299999999998</v>
      </c>
      <c r="K1037" s="54">
        <f>CHOOSE(CONTROL!$C$42, 41.9931, 41.9931) * CHOOSE(CONTROL!$C$21, $C$9, 100%, $E$9)</f>
        <v>41.993099999999998</v>
      </c>
      <c r="L1037" s="10">
        <f>CHOOSE(CONTROL!$C$42, 42.8134, 42.8134) * CHOOSE(CONTROL!$C$21, $C$9, 100%, $E$9)</f>
        <v>42.813400000000001</v>
      </c>
      <c r="M1037" s="10">
        <f>CHOOSE(CONTROL!$C$42, 41.5893, 41.5893) * CHOOSE(CONTROL!$C$21, $C$9, 100%, $E$9)</f>
        <v>41.589300000000001</v>
      </c>
      <c r="N1037" s="10">
        <f>CHOOSE(CONTROL!$C$42, 41.6073, 41.6073) * CHOOSE(CONTROL!$C$21, $C$9, 100%, $E$9)</f>
        <v>41.607300000000002</v>
      </c>
      <c r="O1037" s="10">
        <f>CHOOSE(CONTROL!$C$42, 41.8141, 41.8141) * CHOOSE(CONTROL!$C$21, $C$9, 100%, $E$9)</f>
        <v>41.814100000000003</v>
      </c>
      <c r="P1037" s="10">
        <f>CHOOSE(CONTROL!$C$42, 41.5871, 41.5871) * CHOOSE(CONTROL!$C$21, $C$9, 100%, $E$9)</f>
        <v>41.5871</v>
      </c>
      <c r="Q1037" s="10">
        <f>CHOOSE(CONTROL!$C$42, 42.4094, 42.4094) * CHOOSE(CONTROL!$C$21, $C$9, 100%, $E$9)</f>
        <v>42.409399999999998</v>
      </c>
      <c r="R1037" s="10">
        <f>CHOOSE(CONTROL!$C$42, 43.1024, 43.1024) * CHOOSE(CONTROL!$C$21, $C$9, 100%, $E$9)</f>
        <v>43.102400000000003</v>
      </c>
      <c r="S1037" s="10">
        <f>CHOOSE(CONTROL!$C$42, 40.8015, 40.8015) * CHOOSE(CONTROL!$C$21, $C$9, 100%, $E$9)</f>
        <v>40.801499999999997</v>
      </c>
      <c r="T1037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037" s="58">
        <f>(1000*CHOOSE(CONTROL!$C$42, 695, 695)*CHOOSE(CONTROL!$C$42, 0.5599, 0.5599)*CHOOSE(CONTROL!$C$42, 31, 31))/1000000</f>
        <v>12.063045499999998</v>
      </c>
      <c r="V1037" s="58">
        <f>(1000*CHOOSE(CONTROL!$C$42, 500, 500)*CHOOSE(CONTROL!$C$42, 0.275, 0.275)*CHOOSE(CONTROL!$C$42, 31, 31))/1000000</f>
        <v>4.2625000000000002</v>
      </c>
      <c r="W1037" s="58">
        <f>(1000*CHOOSE(CONTROL!$C$42, 0.1146, 0.1146)*CHOOSE(CONTROL!$C$42, 121.5, 121.5)*CHOOSE(CONTROL!$C$42, 31, 31))/1000000</f>
        <v>0.43164089999999994</v>
      </c>
      <c r="X1037" s="58">
        <f>(31*0.1790888*245000/1000000)+(31*0.2374*100000/1000000)</f>
        <v>2.0961194359999999</v>
      </c>
      <c r="Y1037" s="58"/>
      <c r="Z1037" s="10"/>
      <c r="AA1037" s="57"/>
      <c r="AB1037" s="51">
        <f>(B1037*194.205+C1037*267.466+D1037*133.845+E1037*53.484+F1037*40+G1037*185+H1037*0+I1037*100+J1037*300)/(194.205+267.466+133.845+53.484+0+40+185+100+300)</f>
        <v>42.044017864521194</v>
      </c>
      <c r="AC1037" s="27">
        <f>(M1037*'RAP TEMPLATE-GAS AVAILABILITY'!O1036+N1037*'RAP TEMPLATE-GAS AVAILABILITY'!P1036+O1037*'RAP TEMPLATE-GAS AVAILABILITY'!Q1036+P1037*'RAP TEMPLATE-GAS AVAILABILITY'!R1036)/('RAP TEMPLATE-GAS AVAILABILITY'!O1036+'RAP TEMPLATE-GAS AVAILABILITY'!P1036+'RAP TEMPLATE-GAS AVAILABILITY'!Q1036+'RAP TEMPLATE-GAS AVAILABILITY'!R1036)</f>
        <v>41.691907194244607</v>
      </c>
    </row>
    <row r="1038" spans="1:29" ht="15.75" x14ac:dyDescent="0.25">
      <c r="A1038" s="13">
        <v>72866</v>
      </c>
      <c r="B1038" s="10">
        <f>CHOOSE(CONTROL!$C$42, 43.212, 43.212) * CHOOSE(CONTROL!$C$21, $C$9, 100%, $E$9)</f>
        <v>43.212000000000003</v>
      </c>
      <c r="C1038" s="10">
        <f>CHOOSE(CONTROL!$C$42, 43.2199, 43.2199) * CHOOSE(CONTROL!$C$21, $C$9, 100%, $E$9)</f>
        <v>43.219900000000003</v>
      </c>
      <c r="D1038" s="10">
        <f>CHOOSE(CONTROL!$C$42, 43.3984, 43.3984) * CHOOSE(CONTROL!$C$21, $C$9, 100%, $E$9)</f>
        <v>43.398400000000002</v>
      </c>
      <c r="E1038" s="10">
        <f>CHOOSE(CONTROL!$C$42, 43.4296, 43.4296) * CHOOSE(CONTROL!$C$21, $C$9, 100%, $E$9)</f>
        <v>43.429600000000001</v>
      </c>
      <c r="F1038" s="10">
        <f>CHOOSE(CONTROL!$C$42, 43.1984, 43.1984)*CHOOSE(CONTROL!$C$21, $C$9, 100%, $E$9)</f>
        <v>43.198399999999999</v>
      </c>
      <c r="G1038" s="10">
        <f>CHOOSE(CONTROL!$C$42, 43.2166, 43.2166)*CHOOSE(CONTROL!$C$21, $C$9, 100%, $E$9)</f>
        <v>43.2166</v>
      </c>
      <c r="H1038" s="10">
        <f>CHOOSE(CONTROL!$C$42, 43.4182, 43.4182) * CHOOSE(CONTROL!$C$21, $C$9, 100%, $E$9)</f>
        <v>43.418199999999999</v>
      </c>
      <c r="I1038" s="10">
        <f>CHOOSE(CONTROL!$C$42, 43.1888, 43.1888)* CHOOSE(CONTROL!$C$21, $C$9, 100%, $E$9)</f>
        <v>43.188800000000001</v>
      </c>
      <c r="J1038" s="10">
        <f>CHOOSE(CONTROL!$C$42, 43.1914, 43.1914)* CHOOSE(CONTROL!$C$21, $C$9, 100%, $E$9)</f>
        <v>43.191400000000002</v>
      </c>
      <c r="K1038" s="54">
        <f>CHOOSE(CONTROL!$C$42, 43.1849, 43.1849) * CHOOSE(CONTROL!$C$21, $C$9, 100%, $E$9)</f>
        <v>43.184899999999999</v>
      </c>
      <c r="L1038" s="10">
        <f>CHOOSE(CONTROL!$C$42, 44.0052, 44.0052) * CHOOSE(CONTROL!$C$21, $C$9, 100%, $E$9)</f>
        <v>44.005200000000002</v>
      </c>
      <c r="M1038" s="10">
        <f>CHOOSE(CONTROL!$C$42, 42.7693, 42.7693) * CHOOSE(CONTROL!$C$21, $C$9, 100%, $E$9)</f>
        <v>42.769300000000001</v>
      </c>
      <c r="N1038" s="10">
        <f>CHOOSE(CONTROL!$C$42, 42.7874, 42.7874) * CHOOSE(CONTROL!$C$21, $C$9, 100%, $E$9)</f>
        <v>42.787399999999998</v>
      </c>
      <c r="O1038" s="10">
        <f>CHOOSE(CONTROL!$C$42, 42.9938, 42.9938) * CHOOSE(CONTROL!$C$21, $C$9, 100%, $E$9)</f>
        <v>42.9938</v>
      </c>
      <c r="P1038" s="10">
        <f>CHOOSE(CONTROL!$C$42, 42.7668, 42.7668) * CHOOSE(CONTROL!$C$21, $C$9, 100%, $E$9)</f>
        <v>42.766800000000003</v>
      </c>
      <c r="Q1038" s="10">
        <f>CHOOSE(CONTROL!$C$42, 43.5891, 43.5891) * CHOOSE(CONTROL!$C$21, $C$9, 100%, $E$9)</f>
        <v>43.589100000000002</v>
      </c>
      <c r="R1038" s="10">
        <f>CHOOSE(CONTROL!$C$42, 44.2851, 44.2851) * CHOOSE(CONTROL!$C$21, $C$9, 100%, $E$9)</f>
        <v>44.2851</v>
      </c>
      <c r="S1038" s="10">
        <f>CHOOSE(CONTROL!$C$42, 41.9589, 41.9589) * CHOOSE(CONTROL!$C$21, $C$9, 100%, $E$9)</f>
        <v>41.9589</v>
      </c>
      <c r="T1038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038" s="58">
        <f>(1000*CHOOSE(CONTROL!$C$42, 695, 695)*CHOOSE(CONTROL!$C$42, 0.5599, 0.5599)*CHOOSE(CONTROL!$C$42, 30, 30))/1000000</f>
        <v>11.673914999999997</v>
      </c>
      <c r="V1038" s="58">
        <f>(1000*CHOOSE(CONTROL!$C$42, 500, 500)*CHOOSE(CONTROL!$C$42, 0.275, 0.275)*CHOOSE(CONTROL!$C$42, 30, 30))/1000000</f>
        <v>4.125</v>
      </c>
      <c r="W1038" s="58">
        <f>(1000*CHOOSE(CONTROL!$C$42, 0.1146, 0.1146)*CHOOSE(CONTROL!$C$42, 121.5, 121.5)*CHOOSE(CONTROL!$C$42, 30, 30))/1000000</f>
        <v>0.417717</v>
      </c>
      <c r="X1038" s="58">
        <f>(30*0.1790888*245000/1000000)+(30*0.2374*100000/1000000)</f>
        <v>2.0285026799999999</v>
      </c>
      <c r="Y1038" s="58"/>
      <c r="Z1038" s="10"/>
      <c r="AA1038" s="57"/>
      <c r="AB1038" s="51">
        <f>(B1038*194.205+C1038*267.466+D1038*133.845+E1038*53.484+F1038*40+G1038*185+H1038*0+I1038*100+J1038*300)/(194.205+267.466+133.845+53.484+0+40+185+100+300)</f>
        <v>43.23594568901099</v>
      </c>
      <c r="AC1038" s="27">
        <f>(M1038*'RAP TEMPLATE-GAS AVAILABILITY'!O1037+N1038*'RAP TEMPLATE-GAS AVAILABILITY'!P1037+O1038*'RAP TEMPLATE-GAS AVAILABILITY'!Q1037+P1038*'RAP TEMPLATE-GAS AVAILABILITY'!R1037)/('RAP TEMPLATE-GAS AVAILABILITY'!O1037+'RAP TEMPLATE-GAS AVAILABILITY'!P1037+'RAP TEMPLATE-GAS AVAILABILITY'!Q1037+'RAP TEMPLATE-GAS AVAILABILITY'!R1037)</f>
        <v>42.871733812949643</v>
      </c>
    </row>
    <row r="1039" spans="1:29" ht="15.75" x14ac:dyDescent="0.25">
      <c r="A1039" s="13">
        <v>72897</v>
      </c>
      <c r="B1039" s="10">
        <f>CHOOSE(CONTROL!$C$42, 42.3831, 42.3831) * CHOOSE(CONTROL!$C$21, $C$9, 100%, $E$9)</f>
        <v>42.383099999999999</v>
      </c>
      <c r="C1039" s="10">
        <f>CHOOSE(CONTROL!$C$42, 42.391, 42.391) * CHOOSE(CONTROL!$C$21, $C$9, 100%, $E$9)</f>
        <v>42.390999999999998</v>
      </c>
      <c r="D1039" s="10">
        <f>CHOOSE(CONTROL!$C$42, 42.5695, 42.5695) * CHOOSE(CONTROL!$C$21, $C$9, 100%, $E$9)</f>
        <v>42.569499999999998</v>
      </c>
      <c r="E1039" s="10">
        <f>CHOOSE(CONTROL!$C$42, 42.6006, 42.6006) * CHOOSE(CONTROL!$C$21, $C$9, 100%, $E$9)</f>
        <v>42.6006</v>
      </c>
      <c r="F1039" s="10">
        <f>CHOOSE(CONTROL!$C$42, 42.3698, 42.3698)*CHOOSE(CONTROL!$C$21, $C$9, 100%, $E$9)</f>
        <v>42.369799999999998</v>
      </c>
      <c r="G1039" s="10">
        <f>CHOOSE(CONTROL!$C$42, 42.3881, 42.3881)*CHOOSE(CONTROL!$C$21, $C$9, 100%, $E$9)</f>
        <v>42.388100000000001</v>
      </c>
      <c r="H1039" s="10">
        <f>CHOOSE(CONTROL!$C$42, 42.5893, 42.5893) * CHOOSE(CONTROL!$C$21, $C$9, 100%, $E$9)</f>
        <v>42.589300000000001</v>
      </c>
      <c r="I1039" s="10">
        <f>CHOOSE(CONTROL!$C$42, 42.3599, 42.3599)* CHOOSE(CONTROL!$C$21, $C$9, 100%, $E$9)</f>
        <v>42.359900000000003</v>
      </c>
      <c r="J1039" s="10">
        <f>CHOOSE(CONTROL!$C$42, 42.3628, 42.3628)* CHOOSE(CONTROL!$C$21, $C$9, 100%, $E$9)</f>
        <v>42.3628</v>
      </c>
      <c r="K1039" s="54">
        <f>CHOOSE(CONTROL!$C$42, 42.356, 42.356) * CHOOSE(CONTROL!$C$21, $C$9, 100%, $E$9)</f>
        <v>42.356000000000002</v>
      </c>
      <c r="L1039" s="10">
        <f>CHOOSE(CONTROL!$C$42, 43.1763, 43.1763) * CHOOSE(CONTROL!$C$21, $C$9, 100%, $E$9)</f>
        <v>43.176299999999998</v>
      </c>
      <c r="M1039" s="10">
        <f>CHOOSE(CONTROL!$C$42, 41.9491, 41.9491) * CHOOSE(CONTROL!$C$21, $C$9, 100%, $E$9)</f>
        <v>41.949100000000001</v>
      </c>
      <c r="N1039" s="10">
        <f>CHOOSE(CONTROL!$C$42, 41.9672, 41.9672) * CHOOSE(CONTROL!$C$21, $C$9, 100%, $E$9)</f>
        <v>41.967199999999998</v>
      </c>
      <c r="O1039" s="10">
        <f>CHOOSE(CONTROL!$C$42, 42.1733, 42.1733) * CHOOSE(CONTROL!$C$21, $C$9, 100%, $E$9)</f>
        <v>42.173299999999998</v>
      </c>
      <c r="P1039" s="10">
        <f>CHOOSE(CONTROL!$C$42, 41.9463, 41.9463) * CHOOSE(CONTROL!$C$21, $C$9, 100%, $E$9)</f>
        <v>41.946300000000001</v>
      </c>
      <c r="Q1039" s="10">
        <f>CHOOSE(CONTROL!$C$42, 42.7686, 42.7686) * CHOOSE(CONTROL!$C$21, $C$9, 100%, $E$9)</f>
        <v>42.768599999999999</v>
      </c>
      <c r="R1039" s="10">
        <f>CHOOSE(CONTROL!$C$42, 43.4625, 43.4625) * CHOOSE(CONTROL!$C$21, $C$9, 100%, $E$9)</f>
        <v>43.462499999999999</v>
      </c>
      <c r="S1039" s="10">
        <f>CHOOSE(CONTROL!$C$42, 41.1539, 41.1539) * CHOOSE(CONTROL!$C$21, $C$9, 100%, $E$9)</f>
        <v>41.1539</v>
      </c>
      <c r="T1039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039" s="58">
        <f>(1000*CHOOSE(CONTROL!$C$42, 695, 695)*CHOOSE(CONTROL!$C$42, 0.5599, 0.5599)*CHOOSE(CONTROL!$C$42, 31, 31))/1000000</f>
        <v>12.063045499999998</v>
      </c>
      <c r="V1039" s="58">
        <f>(1000*CHOOSE(CONTROL!$C$42, 500, 500)*CHOOSE(CONTROL!$C$42, 0.275, 0.275)*CHOOSE(CONTROL!$C$42, 31, 31))/1000000</f>
        <v>4.2625000000000002</v>
      </c>
      <c r="W1039" s="58">
        <f>(1000*CHOOSE(CONTROL!$C$42, 0.1146, 0.1146)*CHOOSE(CONTROL!$C$42, 121.5, 121.5)*CHOOSE(CONTROL!$C$42, 31, 31))/1000000</f>
        <v>0.43164089999999994</v>
      </c>
      <c r="X1039" s="58">
        <f>(31*0.1790888*245000/1000000)+(31*0.2374*100000/1000000)</f>
        <v>2.0961194359999999</v>
      </c>
      <c r="Y1039" s="58"/>
      <c r="Z1039" s="10"/>
      <c r="AA1039" s="57"/>
      <c r="AB1039" s="51">
        <f>(B1039*194.205+C1039*267.466+D1039*133.845+E1039*53.484+F1039*40+G1039*185+H1039*0+I1039*100+J1039*300)/(194.205+267.466+133.845+53.484+0+40+185+100+300)</f>
        <v>42.407179638461535</v>
      </c>
      <c r="AC1039" s="27">
        <f>(M1039*'RAP TEMPLATE-GAS AVAILABILITY'!O1038+N1039*'RAP TEMPLATE-GAS AVAILABILITY'!P1038+O1039*'RAP TEMPLATE-GAS AVAILABILITY'!Q1038+P1039*'RAP TEMPLATE-GAS AVAILABILITY'!R1038)/('RAP TEMPLATE-GAS AVAILABILITY'!O1038+'RAP TEMPLATE-GAS AVAILABILITY'!P1038+'RAP TEMPLATE-GAS AVAILABILITY'!Q1038+'RAP TEMPLATE-GAS AVAILABILITY'!R1038)</f>
        <v>42.051354676258995</v>
      </c>
    </row>
    <row r="1040" spans="1:29" ht="15.75" x14ac:dyDescent="0.25">
      <c r="A1040" s="13">
        <v>72928</v>
      </c>
      <c r="B1040" s="10">
        <f>CHOOSE(CONTROL!$C$42, 40.2898, 40.2898) * CHOOSE(CONTROL!$C$21, $C$9, 100%, $E$9)</f>
        <v>40.2898</v>
      </c>
      <c r="C1040" s="10">
        <f>CHOOSE(CONTROL!$C$42, 40.2977, 40.2977) * CHOOSE(CONTROL!$C$21, $C$9, 100%, $E$9)</f>
        <v>40.297699999999999</v>
      </c>
      <c r="D1040" s="10">
        <f>CHOOSE(CONTROL!$C$42, 40.4763, 40.4763) * CHOOSE(CONTROL!$C$21, $C$9, 100%, $E$9)</f>
        <v>40.476300000000002</v>
      </c>
      <c r="E1040" s="10">
        <f>CHOOSE(CONTROL!$C$42, 40.5074, 40.5074) * CHOOSE(CONTROL!$C$21, $C$9, 100%, $E$9)</f>
        <v>40.507399999999997</v>
      </c>
      <c r="F1040" s="10">
        <f>CHOOSE(CONTROL!$C$42, 40.2764, 40.2764)*CHOOSE(CONTROL!$C$21, $C$9, 100%, $E$9)</f>
        <v>40.276400000000002</v>
      </c>
      <c r="G1040" s="10">
        <f>CHOOSE(CONTROL!$C$42, 40.2947, 40.2947)*CHOOSE(CONTROL!$C$21, $C$9, 100%, $E$9)</f>
        <v>40.294699999999999</v>
      </c>
      <c r="H1040" s="10">
        <f>CHOOSE(CONTROL!$C$42, 40.496, 40.496) * CHOOSE(CONTROL!$C$21, $C$9, 100%, $E$9)</f>
        <v>40.496000000000002</v>
      </c>
      <c r="I1040" s="10">
        <f>CHOOSE(CONTROL!$C$42, 40.2667, 40.2667)* CHOOSE(CONTROL!$C$21, $C$9, 100%, $E$9)</f>
        <v>40.2667</v>
      </c>
      <c r="J1040" s="10">
        <f>CHOOSE(CONTROL!$C$42, 40.2694, 40.2694)* CHOOSE(CONTROL!$C$21, $C$9, 100%, $E$9)</f>
        <v>40.269399999999997</v>
      </c>
      <c r="K1040" s="54">
        <f>CHOOSE(CONTROL!$C$42, 40.2628, 40.2628) * CHOOSE(CONTROL!$C$21, $C$9, 100%, $E$9)</f>
        <v>40.262799999999999</v>
      </c>
      <c r="L1040" s="10">
        <f>CHOOSE(CONTROL!$C$42, 41.083, 41.083) * CHOOSE(CONTROL!$C$21, $C$9, 100%, $E$9)</f>
        <v>41.082999999999998</v>
      </c>
      <c r="M1040" s="10">
        <f>CHOOSE(CONTROL!$C$42, 39.8769, 39.8769) * CHOOSE(CONTROL!$C$21, $C$9, 100%, $E$9)</f>
        <v>39.876899999999999</v>
      </c>
      <c r="N1040" s="10">
        <f>CHOOSE(CONTROL!$C$42, 39.895, 39.895) * CHOOSE(CONTROL!$C$21, $C$9, 100%, $E$9)</f>
        <v>39.895000000000003</v>
      </c>
      <c r="O1040" s="10">
        <f>CHOOSE(CONTROL!$C$42, 40.1012, 40.1012) * CHOOSE(CONTROL!$C$21, $C$9, 100%, $E$9)</f>
        <v>40.101199999999999</v>
      </c>
      <c r="P1040" s="10">
        <f>CHOOSE(CONTROL!$C$42, 39.8742, 39.8742) * CHOOSE(CONTROL!$C$21, $C$9, 100%, $E$9)</f>
        <v>39.874200000000002</v>
      </c>
      <c r="Q1040" s="10">
        <f>CHOOSE(CONTROL!$C$42, 40.6965, 40.6965) * CHOOSE(CONTROL!$C$21, $C$9, 100%, $E$9)</f>
        <v>40.6965</v>
      </c>
      <c r="R1040" s="10">
        <f>CHOOSE(CONTROL!$C$42, 41.3852, 41.3852) * CHOOSE(CONTROL!$C$21, $C$9, 100%, $E$9)</f>
        <v>41.385199999999998</v>
      </c>
      <c r="S1040" s="10">
        <f>CHOOSE(CONTROL!$C$42, 39.1212, 39.1212) * CHOOSE(CONTROL!$C$21, $C$9, 100%, $E$9)</f>
        <v>39.121200000000002</v>
      </c>
      <c r="T1040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040" s="58">
        <f>(1000*CHOOSE(CONTROL!$C$42, 695, 695)*CHOOSE(CONTROL!$C$42, 0.5599, 0.5599)*CHOOSE(CONTROL!$C$42, 31, 31))/1000000</f>
        <v>12.063045499999998</v>
      </c>
      <c r="V1040" s="58">
        <f>(1000*CHOOSE(CONTROL!$C$42, 500, 500)*CHOOSE(CONTROL!$C$42, 0.275, 0.275)*CHOOSE(CONTROL!$C$42, 31, 31))/1000000</f>
        <v>4.2625000000000002</v>
      </c>
      <c r="W1040" s="58">
        <f>(1000*CHOOSE(CONTROL!$C$42, 0.1146, 0.1146)*CHOOSE(CONTROL!$C$42, 121.5, 121.5)*CHOOSE(CONTROL!$C$42, 31, 31))/1000000</f>
        <v>0.43164089999999994</v>
      </c>
      <c r="X1040" s="58">
        <f>(31*0.1790888*245000/1000000)+(31*0.2374*100000/1000000)</f>
        <v>2.0961194359999999</v>
      </c>
      <c r="Y1040" s="58"/>
      <c r="Z1040" s="10"/>
      <c r="AA1040" s="57"/>
      <c r="AB1040" s="51">
        <f>(B1040*194.205+C1040*267.466+D1040*133.845+E1040*53.484+F1040*40+G1040*185+H1040*0+I1040*100+J1040*300)/(194.205+267.466+133.845+53.484+0+40+185+100+300)</f>
        <v>40.313860982967029</v>
      </c>
      <c r="AC1040" s="27">
        <f>(M1040*'RAP TEMPLATE-GAS AVAILABILITY'!O1039+N1040*'RAP TEMPLATE-GAS AVAILABILITY'!P1039+O1040*'RAP TEMPLATE-GAS AVAILABILITY'!Q1039+P1040*'RAP TEMPLATE-GAS AVAILABILITY'!R1039)/('RAP TEMPLATE-GAS AVAILABILITY'!O1039+'RAP TEMPLATE-GAS AVAILABILITY'!P1039+'RAP TEMPLATE-GAS AVAILABILITY'!Q1039+'RAP TEMPLATE-GAS AVAILABILITY'!R1039)</f>
        <v>39.979214388489204</v>
      </c>
    </row>
    <row r="1041" spans="1:29" ht="15.75" x14ac:dyDescent="0.25">
      <c r="A1041" s="13">
        <v>72958</v>
      </c>
      <c r="B1041" s="10">
        <f>CHOOSE(CONTROL!$C$42, 37.7322, 37.7322) * CHOOSE(CONTROL!$C$21, $C$9, 100%, $E$9)</f>
        <v>37.732199999999999</v>
      </c>
      <c r="C1041" s="10">
        <f>CHOOSE(CONTROL!$C$42, 37.7402, 37.7402) * CHOOSE(CONTROL!$C$21, $C$9, 100%, $E$9)</f>
        <v>37.740200000000002</v>
      </c>
      <c r="D1041" s="10">
        <f>CHOOSE(CONTROL!$C$42, 37.9187, 37.9187) * CHOOSE(CONTROL!$C$21, $C$9, 100%, $E$9)</f>
        <v>37.918700000000001</v>
      </c>
      <c r="E1041" s="10">
        <f>CHOOSE(CONTROL!$C$42, 37.9498, 37.9498) * CHOOSE(CONTROL!$C$21, $C$9, 100%, $E$9)</f>
        <v>37.949800000000003</v>
      </c>
      <c r="F1041" s="10">
        <f>CHOOSE(CONTROL!$C$42, 37.7186, 37.7186)*CHOOSE(CONTROL!$C$21, $C$9, 100%, $E$9)</f>
        <v>37.718600000000002</v>
      </c>
      <c r="G1041" s="10">
        <f>CHOOSE(CONTROL!$C$42, 37.7368, 37.7368)*CHOOSE(CONTROL!$C$21, $C$9, 100%, $E$9)</f>
        <v>37.736800000000002</v>
      </c>
      <c r="H1041" s="10">
        <f>CHOOSE(CONTROL!$C$42, 37.9385, 37.9385) * CHOOSE(CONTROL!$C$21, $C$9, 100%, $E$9)</f>
        <v>37.938499999999998</v>
      </c>
      <c r="I1041" s="10">
        <f>CHOOSE(CONTROL!$C$42, 37.7091, 37.7091)* CHOOSE(CONTROL!$C$21, $C$9, 100%, $E$9)</f>
        <v>37.709099999999999</v>
      </c>
      <c r="J1041" s="10">
        <f>CHOOSE(CONTROL!$C$42, 37.7116, 37.7116)* CHOOSE(CONTROL!$C$21, $C$9, 100%, $E$9)</f>
        <v>37.711599999999997</v>
      </c>
      <c r="K1041" s="54">
        <f>CHOOSE(CONTROL!$C$42, 37.7052, 37.7052) * CHOOSE(CONTROL!$C$21, $C$9, 100%, $E$9)</f>
        <v>37.705199999999998</v>
      </c>
      <c r="L1041" s="10">
        <f>CHOOSE(CONTROL!$C$42, 38.5255, 38.5255) * CHOOSE(CONTROL!$C$21, $C$9, 100%, $E$9)</f>
        <v>38.525500000000001</v>
      </c>
      <c r="M1041" s="10">
        <f>CHOOSE(CONTROL!$C$42, 37.3449, 37.3449) * CHOOSE(CONTROL!$C$21, $C$9, 100%, $E$9)</f>
        <v>37.344900000000003</v>
      </c>
      <c r="N1041" s="10">
        <f>CHOOSE(CONTROL!$C$42, 37.3629, 37.3629) * CHOOSE(CONTROL!$C$21, $C$9, 100%, $E$9)</f>
        <v>37.362900000000003</v>
      </c>
      <c r="O1041" s="10">
        <f>CHOOSE(CONTROL!$C$42, 37.5694, 37.5694) * CHOOSE(CONTROL!$C$21, $C$9, 100%, $E$9)</f>
        <v>37.569400000000002</v>
      </c>
      <c r="P1041" s="10">
        <f>CHOOSE(CONTROL!$C$42, 37.3424, 37.3424) * CHOOSE(CONTROL!$C$21, $C$9, 100%, $E$9)</f>
        <v>37.342399999999998</v>
      </c>
      <c r="Q1041" s="10">
        <f>CHOOSE(CONTROL!$C$42, 38.1647, 38.1647) * CHOOSE(CONTROL!$C$21, $C$9, 100%, $E$9)</f>
        <v>38.164700000000003</v>
      </c>
      <c r="R1041" s="10">
        <f>CHOOSE(CONTROL!$C$42, 38.8471, 38.8471) * CHOOSE(CONTROL!$C$21, $C$9, 100%, $E$9)</f>
        <v>38.847099999999998</v>
      </c>
      <c r="S1041" s="10">
        <f>CHOOSE(CONTROL!$C$42, 36.6375, 36.6375) * CHOOSE(CONTROL!$C$21, $C$9, 100%, $E$9)</f>
        <v>36.637500000000003</v>
      </c>
      <c r="T1041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041" s="58">
        <f>(1000*CHOOSE(CONTROL!$C$42, 695, 695)*CHOOSE(CONTROL!$C$42, 0.5599, 0.5599)*CHOOSE(CONTROL!$C$42, 30, 30))/1000000</f>
        <v>11.673914999999997</v>
      </c>
      <c r="V1041" s="58">
        <f>(1000*CHOOSE(CONTROL!$C$42, 500, 500)*CHOOSE(CONTROL!$C$42, 0.275, 0.275)*CHOOSE(CONTROL!$C$42, 30, 30))/1000000</f>
        <v>4.125</v>
      </c>
      <c r="W1041" s="58">
        <f>(1000*CHOOSE(CONTROL!$C$42, 0.1146, 0.1146)*CHOOSE(CONTROL!$C$42, 121.5, 121.5)*CHOOSE(CONTROL!$C$42, 30, 30))/1000000</f>
        <v>0.417717</v>
      </c>
      <c r="X1041" s="58">
        <f>(30*0.1790888*245000/1000000)+(30*0.2374*100000/1000000)</f>
        <v>2.0285026799999999</v>
      </c>
      <c r="Y1041" s="58"/>
      <c r="Z1041" s="10"/>
      <c r="AA1041" s="57"/>
      <c r="AB1041" s="51">
        <f>(B1041*194.205+C1041*267.466+D1041*133.845+E1041*53.484+F1041*40+G1041*185+H1041*0+I1041*100+J1041*300)/(194.205+267.466+133.845+53.484+0+40+185+100+300)</f>
        <v>37.756185038383045</v>
      </c>
      <c r="AC1041" s="27">
        <f>(M1041*'RAP TEMPLATE-GAS AVAILABILITY'!O1040+N1041*'RAP TEMPLATE-GAS AVAILABILITY'!P1040+O1041*'RAP TEMPLATE-GAS AVAILABILITY'!Q1040+P1041*'RAP TEMPLATE-GAS AVAILABILITY'!R1040)/('RAP TEMPLATE-GAS AVAILABILITY'!O1040+'RAP TEMPLATE-GAS AVAILABILITY'!P1040+'RAP TEMPLATE-GAS AVAILABILITY'!Q1040+'RAP TEMPLATE-GAS AVAILABILITY'!R1040)</f>
        <v>37.447328057553953</v>
      </c>
    </row>
    <row r="1042" spans="1:29" ht="15.75" x14ac:dyDescent="0.25">
      <c r="A1042" s="13">
        <v>72989</v>
      </c>
      <c r="B1042" s="10">
        <f>CHOOSE(CONTROL!$C$42, 36.9641, 36.9641) * CHOOSE(CONTROL!$C$21, $C$9, 100%, $E$9)</f>
        <v>36.964100000000002</v>
      </c>
      <c r="C1042" s="10">
        <f>CHOOSE(CONTROL!$C$42, 36.9693, 36.9693) * CHOOSE(CONTROL!$C$21, $C$9, 100%, $E$9)</f>
        <v>36.969299999999997</v>
      </c>
      <c r="D1042" s="10">
        <f>CHOOSE(CONTROL!$C$42, 37.1528, 37.1528) * CHOOSE(CONTROL!$C$21, $C$9, 100%, $E$9)</f>
        <v>37.152799999999999</v>
      </c>
      <c r="E1042" s="10">
        <f>CHOOSE(CONTROL!$C$42, 37.1816, 37.1816) * CHOOSE(CONTROL!$C$21, $C$9, 100%, $E$9)</f>
        <v>37.181600000000003</v>
      </c>
      <c r="F1042" s="10">
        <f>CHOOSE(CONTROL!$C$42, 36.9524, 36.9524)*CHOOSE(CONTROL!$C$21, $C$9, 100%, $E$9)</f>
        <v>36.952399999999997</v>
      </c>
      <c r="G1042" s="10">
        <f>CHOOSE(CONTROL!$C$42, 36.9703, 36.9703)*CHOOSE(CONTROL!$C$21, $C$9, 100%, $E$9)</f>
        <v>36.970300000000002</v>
      </c>
      <c r="H1042" s="10">
        <f>CHOOSE(CONTROL!$C$42, 37.1721, 37.1721) * CHOOSE(CONTROL!$C$21, $C$9, 100%, $E$9)</f>
        <v>37.1721</v>
      </c>
      <c r="I1042" s="10">
        <f>CHOOSE(CONTROL!$C$42, 36.9427, 36.9427)* CHOOSE(CONTROL!$C$21, $C$9, 100%, $E$9)</f>
        <v>36.942700000000002</v>
      </c>
      <c r="J1042" s="10">
        <f>CHOOSE(CONTROL!$C$42, 36.9454, 36.9454)* CHOOSE(CONTROL!$C$21, $C$9, 100%, $E$9)</f>
        <v>36.945399999999999</v>
      </c>
      <c r="K1042" s="54">
        <f>CHOOSE(CONTROL!$C$42, 36.9388, 36.9388) * CHOOSE(CONTROL!$C$21, $C$9, 100%, $E$9)</f>
        <v>36.938800000000001</v>
      </c>
      <c r="L1042" s="10">
        <f>CHOOSE(CONTROL!$C$42, 37.7591, 37.7591) * CHOOSE(CONTROL!$C$21, $C$9, 100%, $E$9)</f>
        <v>37.759099999999997</v>
      </c>
      <c r="M1042" s="10">
        <f>CHOOSE(CONTROL!$C$42, 36.5864, 36.5864) * CHOOSE(CONTROL!$C$21, $C$9, 100%, $E$9)</f>
        <v>36.586399999999998</v>
      </c>
      <c r="N1042" s="10">
        <f>CHOOSE(CONTROL!$C$42, 36.6041, 36.6041) * CHOOSE(CONTROL!$C$21, $C$9, 100%, $E$9)</f>
        <v>36.604100000000003</v>
      </c>
      <c r="O1042" s="10">
        <f>CHOOSE(CONTROL!$C$42, 36.8108, 36.8108) * CHOOSE(CONTROL!$C$21, $C$9, 100%, $E$9)</f>
        <v>36.8108</v>
      </c>
      <c r="P1042" s="10">
        <f>CHOOSE(CONTROL!$C$42, 36.5838, 36.5838) * CHOOSE(CONTROL!$C$21, $C$9, 100%, $E$9)</f>
        <v>36.583799999999997</v>
      </c>
      <c r="Q1042" s="10">
        <f>CHOOSE(CONTROL!$C$42, 37.4061, 37.4061) * CHOOSE(CONTROL!$C$21, $C$9, 100%, $E$9)</f>
        <v>37.406100000000002</v>
      </c>
      <c r="R1042" s="10">
        <f>CHOOSE(CONTROL!$C$42, 38.0866, 38.0866) * CHOOSE(CONTROL!$C$21, $C$9, 100%, $E$9)</f>
        <v>38.086599999999997</v>
      </c>
      <c r="S1042" s="10">
        <f>CHOOSE(CONTROL!$C$42, 35.8933, 35.8933) * CHOOSE(CONTROL!$C$21, $C$9, 100%, $E$9)</f>
        <v>35.893300000000004</v>
      </c>
      <c r="T1042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042" s="58">
        <f>(1000*CHOOSE(CONTROL!$C$42, 695, 695)*CHOOSE(CONTROL!$C$42, 0.5599, 0.5599)*CHOOSE(CONTROL!$C$42, 31, 31))/1000000</f>
        <v>12.063045499999998</v>
      </c>
      <c r="V1042" s="58">
        <f>(1000*CHOOSE(CONTROL!$C$42, 500, 500)*CHOOSE(CONTROL!$C$42, 0.275, 0.275)*CHOOSE(CONTROL!$C$42, 31, 31))/1000000</f>
        <v>4.2625000000000002</v>
      </c>
      <c r="W1042" s="58">
        <f>(1000*CHOOSE(CONTROL!$C$42, 0.1146, 0.1146)*CHOOSE(CONTROL!$C$42, 121.5, 121.5)*CHOOSE(CONTROL!$C$42, 31, 31))/1000000</f>
        <v>0.43164089999999994</v>
      </c>
      <c r="X1042" s="58">
        <f>(31*0.1790888*245000/1000000)+(31*0.2374*100000/1000000)</f>
        <v>2.0961194359999999</v>
      </c>
      <c r="Y1042" s="58"/>
      <c r="Z1042" s="10"/>
      <c r="AA1042" s="57"/>
      <c r="AB1042" s="51">
        <f>(B1042*131.881+C1042*277.167+D1042*79.08+E1042*125.872+F1042*40+G1042*185+H1042*0+I1042*100+J1042*300)/(131.881+277.167+79.08+125.872+0+40+185+100+300)</f>
        <v>36.993696307021793</v>
      </c>
      <c r="AC1042" s="27">
        <f>(M1042*'RAP TEMPLATE-GAS AVAILABILITY'!O1041+N1042*'RAP TEMPLATE-GAS AVAILABILITY'!P1041+O1042*'RAP TEMPLATE-GAS AVAILABILITY'!Q1041+P1042*'RAP TEMPLATE-GAS AVAILABILITY'!R1041)/('RAP TEMPLATE-GAS AVAILABILITY'!O1041+'RAP TEMPLATE-GAS AVAILABILITY'!P1041+'RAP TEMPLATE-GAS AVAILABILITY'!Q1041+'RAP TEMPLATE-GAS AVAILABILITY'!R1041)</f>
        <v>36.688751079136694</v>
      </c>
    </row>
    <row r="1043" spans="1:29" ht="15.75" x14ac:dyDescent="0.25">
      <c r="A1043" s="13">
        <v>73019</v>
      </c>
      <c r="B1043" s="10">
        <f>CHOOSE(CONTROL!$C$42, 37.9374, 37.9374) * CHOOSE(CONTROL!$C$21, $C$9, 100%, $E$9)</f>
        <v>37.937399999999997</v>
      </c>
      <c r="C1043" s="10">
        <f>CHOOSE(CONTROL!$C$42, 37.9423, 37.9423) * CHOOSE(CONTROL!$C$21, $C$9, 100%, $E$9)</f>
        <v>37.942300000000003</v>
      </c>
      <c r="D1043" s="10">
        <f>CHOOSE(CONTROL!$C$42, 37.972, 37.972) * CHOOSE(CONTROL!$C$21, $C$9, 100%, $E$9)</f>
        <v>37.972000000000001</v>
      </c>
      <c r="E1043" s="10">
        <f>CHOOSE(CONTROL!$C$42, 38.0057, 38.0057) * CHOOSE(CONTROL!$C$21, $C$9, 100%, $E$9)</f>
        <v>38.005699999999997</v>
      </c>
      <c r="F1043" s="10">
        <f>CHOOSE(CONTROL!$C$42, 37.9231, 37.9231)*CHOOSE(CONTROL!$C$21, $C$9, 100%, $E$9)</f>
        <v>37.923099999999998</v>
      </c>
      <c r="G1043" s="10">
        <f>CHOOSE(CONTROL!$C$42, 37.9412, 37.9412)*CHOOSE(CONTROL!$C$21, $C$9, 100%, $E$9)</f>
        <v>37.941200000000002</v>
      </c>
      <c r="H1043" s="10">
        <f>CHOOSE(CONTROL!$C$42, 37.9949, 37.9949) * CHOOSE(CONTROL!$C$21, $C$9, 100%, $E$9)</f>
        <v>37.994900000000001</v>
      </c>
      <c r="I1043" s="10">
        <f>CHOOSE(CONTROL!$C$42, 37.9036, 37.9036)* CHOOSE(CONTROL!$C$21, $C$9, 100%, $E$9)</f>
        <v>37.903599999999997</v>
      </c>
      <c r="J1043" s="10">
        <f>CHOOSE(CONTROL!$C$42, 37.9161, 37.9161)* CHOOSE(CONTROL!$C$21, $C$9, 100%, $E$9)</f>
        <v>37.9161</v>
      </c>
      <c r="K1043" s="54">
        <f>CHOOSE(CONTROL!$C$42, 37.8997, 37.8997) * CHOOSE(CONTROL!$C$21, $C$9, 100%, $E$9)</f>
        <v>37.899700000000003</v>
      </c>
      <c r="L1043" s="10">
        <f>CHOOSE(CONTROL!$C$42, 38.5819, 38.5819) * CHOOSE(CONTROL!$C$21, $C$9, 100%, $E$9)</f>
        <v>38.581899999999997</v>
      </c>
      <c r="M1043" s="10">
        <f>CHOOSE(CONTROL!$C$42, 37.5473, 37.5473) * CHOOSE(CONTROL!$C$21, $C$9, 100%, $E$9)</f>
        <v>37.5473</v>
      </c>
      <c r="N1043" s="10">
        <f>CHOOSE(CONTROL!$C$42, 37.5652, 37.5652) * CHOOSE(CONTROL!$C$21, $C$9, 100%, $E$9)</f>
        <v>37.565199999999997</v>
      </c>
      <c r="O1043" s="10">
        <f>CHOOSE(CONTROL!$C$42, 37.6253, 37.6253) * CHOOSE(CONTROL!$C$21, $C$9, 100%, $E$9)</f>
        <v>37.625300000000003</v>
      </c>
      <c r="P1043" s="10">
        <f>CHOOSE(CONTROL!$C$42, 37.5349, 37.5349) * CHOOSE(CONTROL!$C$21, $C$9, 100%, $E$9)</f>
        <v>37.5349</v>
      </c>
      <c r="Q1043" s="10">
        <f>CHOOSE(CONTROL!$C$42, 38.2206, 38.2206) * CHOOSE(CONTROL!$C$21, $C$9, 100%, $E$9)</f>
        <v>38.220599999999997</v>
      </c>
      <c r="R1043" s="10">
        <f>CHOOSE(CONTROL!$C$42, 38.9032, 38.9032) * CHOOSE(CONTROL!$C$21, $C$9, 100%, $E$9)</f>
        <v>38.903199999999998</v>
      </c>
      <c r="S1043" s="10">
        <f>CHOOSE(CONTROL!$C$42, 36.8389, 36.8389) * CHOOSE(CONTROL!$C$21, $C$9, 100%, $E$9)</f>
        <v>36.838900000000002</v>
      </c>
      <c r="T1043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043" s="58">
        <f>(1000*CHOOSE(CONTROL!$C$42, 695, 695)*CHOOSE(CONTROL!$C$42, 0.5599, 0.5599)*CHOOSE(CONTROL!$C$42, 30, 30))/1000000</f>
        <v>11.673914999999997</v>
      </c>
      <c r="V1043" s="58">
        <f>(1000*CHOOSE(CONTROL!$C$42, 500, 500)*CHOOSE(CONTROL!$C$42, 0.275, 0.275)*CHOOSE(CONTROL!$C$42, 30, 30))/1000000</f>
        <v>4.125</v>
      </c>
      <c r="W1043" s="58">
        <f>(1000*CHOOSE(CONTROL!$C$42, 0.1146, 0.1146)*CHOOSE(CONTROL!$C$42, 121.5, 121.5)*CHOOSE(CONTROL!$C$42, 30, 30))/1000000</f>
        <v>0.417717</v>
      </c>
      <c r="X1043" s="58">
        <f>(30*0.1790888*100000/1000000)+(30*0.2374*100000/1000000)</f>
        <v>1.2494664</v>
      </c>
      <c r="Y1043" s="58"/>
      <c r="Z1043" s="10"/>
      <c r="AA1043" s="57"/>
      <c r="AB1043" s="51">
        <f>(B1043*122.58+C1043*297.941+D1043*89.177+E1043*40.302+F1043*40+G1043*160+H1043*0+I1043*100+J1043*300)/(122.58+297.941+89.177+40.302+0+40+160+100+300)</f>
        <v>37.935281792782611</v>
      </c>
      <c r="AC1043" s="27">
        <f>(M1043*'RAP TEMPLATE-GAS AVAILABILITY'!O1042+N1043*'RAP TEMPLATE-GAS AVAILABILITY'!P1042+O1043*'RAP TEMPLATE-GAS AVAILABILITY'!Q1042+P1043*'RAP TEMPLATE-GAS AVAILABILITY'!R1042)/('RAP TEMPLATE-GAS AVAILABILITY'!O1042+'RAP TEMPLATE-GAS AVAILABILITY'!P1042+'RAP TEMPLATE-GAS AVAILABILITY'!Q1042+'RAP TEMPLATE-GAS AVAILABILITY'!R1042)</f>
        <v>37.581898561151085</v>
      </c>
    </row>
    <row r="1044" spans="1:29" ht="15.75" x14ac:dyDescent="0.25">
      <c r="A1044" s="13">
        <v>73050</v>
      </c>
      <c r="B1044" s="10">
        <f>CHOOSE(CONTROL!$C$42, 40.5237, 40.5237) * CHOOSE(CONTROL!$C$21, $C$9, 100%, $E$9)</f>
        <v>40.523699999999998</v>
      </c>
      <c r="C1044" s="10">
        <f>CHOOSE(CONTROL!$C$42, 40.5287, 40.5287) * CHOOSE(CONTROL!$C$21, $C$9, 100%, $E$9)</f>
        <v>40.528700000000001</v>
      </c>
      <c r="D1044" s="10">
        <f>CHOOSE(CONTROL!$C$42, 40.5583, 40.5583) * CHOOSE(CONTROL!$C$21, $C$9, 100%, $E$9)</f>
        <v>40.558300000000003</v>
      </c>
      <c r="E1044" s="10">
        <f>CHOOSE(CONTROL!$C$42, 40.5921, 40.5921) * CHOOSE(CONTROL!$C$21, $C$9, 100%, $E$9)</f>
        <v>40.592100000000002</v>
      </c>
      <c r="F1044" s="10">
        <f>CHOOSE(CONTROL!$C$42, 40.511, 40.511)*CHOOSE(CONTROL!$C$21, $C$9, 100%, $E$9)</f>
        <v>40.511000000000003</v>
      </c>
      <c r="G1044" s="10">
        <f>CHOOSE(CONTROL!$C$42, 40.5295, 40.5295)*CHOOSE(CONTROL!$C$21, $C$9, 100%, $E$9)</f>
        <v>40.529499999999999</v>
      </c>
      <c r="H1044" s="10">
        <f>CHOOSE(CONTROL!$C$42, 40.5813, 40.5813) * CHOOSE(CONTROL!$C$21, $C$9, 100%, $E$9)</f>
        <v>40.581299999999999</v>
      </c>
      <c r="I1044" s="10">
        <f>CHOOSE(CONTROL!$C$42, 40.4899, 40.4899)* CHOOSE(CONTROL!$C$21, $C$9, 100%, $E$9)</f>
        <v>40.489899999999999</v>
      </c>
      <c r="J1044" s="10">
        <f>CHOOSE(CONTROL!$C$42, 40.504, 40.504)* CHOOSE(CONTROL!$C$21, $C$9, 100%, $E$9)</f>
        <v>40.503999999999998</v>
      </c>
      <c r="K1044" s="54">
        <f>CHOOSE(CONTROL!$C$42, 40.486, 40.486) * CHOOSE(CONTROL!$C$21, $C$9, 100%, $E$9)</f>
        <v>40.485999999999997</v>
      </c>
      <c r="L1044" s="10">
        <f>CHOOSE(CONTROL!$C$42, 41.1683, 41.1683) * CHOOSE(CONTROL!$C$21, $C$9, 100%, $E$9)</f>
        <v>41.168300000000002</v>
      </c>
      <c r="M1044" s="10">
        <f>CHOOSE(CONTROL!$C$42, 40.1091, 40.1091) * CHOOSE(CONTROL!$C$21, $C$9, 100%, $E$9)</f>
        <v>40.109099999999998</v>
      </c>
      <c r="N1044" s="10">
        <f>CHOOSE(CONTROL!$C$42, 40.1274, 40.1274) * CHOOSE(CONTROL!$C$21, $C$9, 100%, $E$9)</f>
        <v>40.127400000000002</v>
      </c>
      <c r="O1044" s="10">
        <f>CHOOSE(CONTROL!$C$42, 40.1856, 40.1856) * CHOOSE(CONTROL!$C$21, $C$9, 100%, $E$9)</f>
        <v>40.185600000000001</v>
      </c>
      <c r="P1044" s="10">
        <f>CHOOSE(CONTROL!$C$42, 40.0952, 40.0952) * CHOOSE(CONTROL!$C$21, $C$9, 100%, $E$9)</f>
        <v>40.095199999999998</v>
      </c>
      <c r="Q1044" s="10">
        <f>CHOOSE(CONTROL!$C$42, 40.7809, 40.7809) * CHOOSE(CONTROL!$C$21, $C$9, 100%, $E$9)</f>
        <v>40.780900000000003</v>
      </c>
      <c r="R1044" s="10">
        <f>CHOOSE(CONTROL!$C$42, 41.4698, 41.4698) * CHOOSE(CONTROL!$C$21, $C$9, 100%, $E$9)</f>
        <v>41.469799999999999</v>
      </c>
      <c r="S1044" s="10">
        <f>CHOOSE(CONTROL!$C$42, 39.3505, 39.3505) * CHOOSE(CONTROL!$C$21, $C$9, 100%, $E$9)</f>
        <v>39.350499999999997</v>
      </c>
      <c r="T1044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044" s="58">
        <f>(1000*CHOOSE(CONTROL!$C$42, 695, 695)*CHOOSE(CONTROL!$C$42, 0.5599, 0.5599)*CHOOSE(CONTROL!$C$42, 31, 31))/1000000</f>
        <v>12.063045499999998</v>
      </c>
      <c r="V1044" s="58">
        <f>(1000*CHOOSE(CONTROL!$C$42, 500, 500)*CHOOSE(CONTROL!$C$42, 0.275, 0.275)*CHOOSE(CONTROL!$C$42, 31, 31))/1000000</f>
        <v>4.2625000000000002</v>
      </c>
      <c r="W1044" s="58">
        <f>(1000*CHOOSE(CONTROL!$C$42, 0.1146, 0.1146)*CHOOSE(CONTROL!$C$42, 121.5, 121.5)*CHOOSE(CONTROL!$C$42, 31, 31))/1000000</f>
        <v>0.43164089999999994</v>
      </c>
      <c r="X1044" s="58">
        <f>(31*0.1790888*100000/1000000)+(31*0.2374*100000/1000000)</f>
        <v>1.2911152800000001</v>
      </c>
      <c r="Y1044" s="58"/>
      <c r="Z1044" s="10"/>
      <c r="AA1044" s="57"/>
      <c r="AB1044" s="51">
        <f>(B1044*122.58+C1044*297.941+D1044*89.177+E1044*40.302+F1044*40+G1044*160+H1044*0+I1044*100+J1044*300)/(122.58+297.941+89.177+40.302+0+40+160+100+300)</f>
        <v>40.522362509565212</v>
      </c>
      <c r="AC1044" s="27">
        <f>(M1044*'RAP TEMPLATE-GAS AVAILABILITY'!O1043+N1044*'RAP TEMPLATE-GAS AVAILABILITY'!P1043+O1044*'RAP TEMPLATE-GAS AVAILABILITY'!Q1043+P1044*'RAP TEMPLATE-GAS AVAILABILITY'!R1043)/('RAP TEMPLATE-GAS AVAILABILITY'!O1043+'RAP TEMPLATE-GAS AVAILABILITY'!P1043+'RAP TEMPLATE-GAS AVAILABILITY'!Q1043+'RAP TEMPLATE-GAS AVAILABILITY'!R1043)</f>
        <v>40.142825899280574</v>
      </c>
    </row>
    <row r="1045" spans="1:29" ht="15.75" x14ac:dyDescent="0.25">
      <c r="A1045" s="13">
        <v>73081</v>
      </c>
      <c r="B1045" s="10">
        <f>CHOOSE(CONTROL!$C$42, 43.2587, 43.2587) * CHOOSE(CONTROL!$C$21, $C$9, 100%, $E$9)</f>
        <v>43.258699999999997</v>
      </c>
      <c r="C1045" s="10">
        <f>CHOOSE(CONTROL!$C$42, 43.2636, 43.2636) * CHOOSE(CONTROL!$C$21, $C$9, 100%, $E$9)</f>
        <v>43.263599999999997</v>
      </c>
      <c r="D1045" s="10">
        <f>CHOOSE(CONTROL!$C$42, 43.3138, 43.3138) * CHOOSE(CONTROL!$C$21, $C$9, 100%, $E$9)</f>
        <v>43.313800000000001</v>
      </c>
      <c r="E1045" s="10">
        <f>CHOOSE(CONTROL!$C$42, 43.3476, 43.3476) * CHOOSE(CONTROL!$C$21, $C$9, 100%, $E$9)</f>
        <v>43.3476</v>
      </c>
      <c r="F1045" s="10">
        <f>CHOOSE(CONTROL!$C$42, 43.224, 43.224)*CHOOSE(CONTROL!$C$21, $C$9, 100%, $E$9)</f>
        <v>43.223999999999997</v>
      </c>
      <c r="G1045" s="10">
        <f>CHOOSE(CONTROL!$C$42, 43.2416, 43.2416)*CHOOSE(CONTROL!$C$21, $C$9, 100%, $E$9)</f>
        <v>43.241599999999998</v>
      </c>
      <c r="H1045" s="10">
        <f>CHOOSE(CONTROL!$C$42, 43.3368, 43.3368) * CHOOSE(CONTROL!$C$21, $C$9, 100%, $E$9)</f>
        <v>43.336799999999997</v>
      </c>
      <c r="I1045" s="10">
        <f>CHOOSE(CONTROL!$C$42, 43.2326, 43.2326)* CHOOSE(CONTROL!$C$21, $C$9, 100%, $E$9)</f>
        <v>43.232599999999998</v>
      </c>
      <c r="J1045" s="10">
        <f>CHOOSE(CONTROL!$C$42, 43.217, 43.217)* CHOOSE(CONTROL!$C$21, $C$9, 100%, $E$9)</f>
        <v>43.216999999999999</v>
      </c>
      <c r="K1045" s="54">
        <f>CHOOSE(CONTROL!$C$42, 43.2287, 43.2287) * CHOOSE(CONTROL!$C$21, $C$9, 100%, $E$9)</f>
        <v>43.228700000000003</v>
      </c>
      <c r="L1045" s="10">
        <f>CHOOSE(CONTROL!$C$42, 43.9238, 43.9238) * CHOOSE(CONTROL!$C$21, $C$9, 100%, $E$9)</f>
        <v>43.9238</v>
      </c>
      <c r="M1045" s="10">
        <f>CHOOSE(CONTROL!$C$42, 42.7947, 42.7947) * CHOOSE(CONTROL!$C$21, $C$9, 100%, $E$9)</f>
        <v>42.794699999999999</v>
      </c>
      <c r="N1045" s="10">
        <f>CHOOSE(CONTROL!$C$42, 42.8121, 42.8121) * CHOOSE(CONTROL!$C$21, $C$9, 100%, $E$9)</f>
        <v>42.812100000000001</v>
      </c>
      <c r="O1045" s="10">
        <f>CHOOSE(CONTROL!$C$42, 42.9133, 42.9133) * CHOOSE(CONTROL!$C$21, $C$9, 100%, $E$9)</f>
        <v>42.9133</v>
      </c>
      <c r="P1045" s="10">
        <f>CHOOSE(CONTROL!$C$42, 42.8101, 42.8101) * CHOOSE(CONTROL!$C$21, $C$9, 100%, $E$9)</f>
        <v>42.810099999999998</v>
      </c>
      <c r="Q1045" s="10">
        <f>CHOOSE(CONTROL!$C$42, 43.5086, 43.5086) * CHOOSE(CONTROL!$C$21, $C$9, 100%, $E$9)</f>
        <v>43.508600000000001</v>
      </c>
      <c r="R1045" s="10">
        <f>CHOOSE(CONTROL!$C$42, 44.2044, 44.2044) * CHOOSE(CONTROL!$C$21, $C$9, 100%, $E$9)</f>
        <v>44.2044</v>
      </c>
      <c r="S1045" s="10">
        <f>CHOOSE(CONTROL!$C$42, 42.0064, 42.0064) * CHOOSE(CONTROL!$C$21, $C$9, 100%, $E$9)</f>
        <v>42.006399999999999</v>
      </c>
      <c r="T1045" s="58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045" s="58">
        <f>(1000*CHOOSE(CONTROL!$C$42, 695, 695)*CHOOSE(CONTROL!$C$42, 0.5599, 0.5599)*CHOOSE(CONTROL!$C$42, 31, 31))/1000000</f>
        <v>12.063045499999998</v>
      </c>
      <c r="V1045" s="58">
        <f>(1000*CHOOSE(CONTROL!$C$42, 500, 500)*CHOOSE(CONTROL!$C$42, 0.275, 0.275)*CHOOSE(CONTROL!$C$42, 31, 31))/1000000</f>
        <v>4.2625000000000002</v>
      </c>
      <c r="W1045" s="58">
        <f>(1000*CHOOSE(CONTROL!$C$42, 0.1146, 0.1146)*CHOOSE(CONTROL!$C$42, 121.5, 121.5)*CHOOSE(CONTROL!$C$42, 31, 31))/1000000</f>
        <v>0.43164089999999994</v>
      </c>
      <c r="X1045" s="58">
        <f>(31*0.1790888*100000/1000000)+(31*0.2374*100000/1000000)</f>
        <v>1.2911152800000001</v>
      </c>
      <c r="Y1045" s="58"/>
      <c r="Z1045" s="10"/>
      <c r="AA1045" s="57"/>
      <c r="AB1045" s="51">
        <f>(B1045*122.58+C1045*297.941+D1045*89.177+E1045*40.302+F1045*40+G1045*160+H1045*0+I1045*100+J1045*300)/(122.58+297.941+89.177+40.302+0+40+160+100+300)</f>
        <v>43.250623835999995</v>
      </c>
      <c r="AC1045" s="27">
        <f>(M1045*'RAP TEMPLATE-GAS AVAILABILITY'!O1044+N1045*'RAP TEMPLATE-GAS AVAILABILITY'!P1044+O1045*'RAP TEMPLATE-GAS AVAILABILITY'!Q1044+P1045*'RAP TEMPLATE-GAS AVAILABILITY'!R1044)/('RAP TEMPLATE-GAS AVAILABILITY'!O1044+'RAP TEMPLATE-GAS AVAILABILITY'!P1044+'RAP TEMPLATE-GAS AVAILABILITY'!Q1044+'RAP TEMPLATE-GAS AVAILABILITY'!R1044)</f>
        <v>42.851671223021583</v>
      </c>
    </row>
    <row r="1046" spans="1:29" ht="15.75" x14ac:dyDescent="0.25">
      <c r="A1046" s="13">
        <v>73109</v>
      </c>
      <c r="B1046" s="10">
        <f>CHOOSE(CONTROL!$C$42, 44.0287, 44.0287) * CHOOSE(CONTROL!$C$21, $C$9, 100%, $E$9)</f>
        <v>44.028700000000001</v>
      </c>
      <c r="C1046" s="10">
        <f>CHOOSE(CONTROL!$C$42, 44.0336, 44.0336) * CHOOSE(CONTROL!$C$21, $C$9, 100%, $E$9)</f>
        <v>44.0336</v>
      </c>
      <c r="D1046" s="10">
        <f>CHOOSE(CONTROL!$C$42, 44.1508, 44.1508) * CHOOSE(CONTROL!$C$21, $C$9, 100%, $E$9)</f>
        <v>44.150799999999997</v>
      </c>
      <c r="E1046" s="10">
        <f>CHOOSE(CONTROL!$C$42, 44.1845, 44.1845) * CHOOSE(CONTROL!$C$21, $C$9, 100%, $E$9)</f>
        <v>44.1845</v>
      </c>
      <c r="F1046" s="10">
        <f>CHOOSE(CONTROL!$C$42, 44.1063, 44.1063)*CHOOSE(CONTROL!$C$21, $C$9, 100%, $E$9)</f>
        <v>44.106299999999997</v>
      </c>
      <c r="G1046" s="10">
        <f>CHOOSE(CONTROL!$C$42, 44.1282, 44.1282)*CHOOSE(CONTROL!$C$21, $C$9, 100%, $E$9)</f>
        <v>44.1282</v>
      </c>
      <c r="H1046" s="10">
        <f>CHOOSE(CONTROL!$C$42, 44.1737, 44.1737) * CHOOSE(CONTROL!$C$21, $C$9, 100%, $E$9)</f>
        <v>44.173699999999997</v>
      </c>
      <c r="I1046" s="10">
        <f>CHOOSE(CONTROL!$C$42, 44.0644, 44.0644)* CHOOSE(CONTROL!$C$21, $C$9, 100%, $E$9)</f>
        <v>44.064399999999999</v>
      </c>
      <c r="J1046" s="10">
        <f>CHOOSE(CONTROL!$C$42, 44.0993, 44.0993)* CHOOSE(CONTROL!$C$21, $C$9, 100%, $E$9)</f>
        <v>44.099299999999999</v>
      </c>
      <c r="K1046" s="54">
        <f>CHOOSE(CONTROL!$C$42, 44.0605, 44.0605) * CHOOSE(CONTROL!$C$21, $C$9, 100%, $E$9)</f>
        <v>44.060499999999998</v>
      </c>
      <c r="L1046" s="10">
        <f>CHOOSE(CONTROL!$C$42, 44.7607, 44.7607) * CHOOSE(CONTROL!$C$21, $C$9, 100%, $E$9)</f>
        <v>44.7607</v>
      </c>
      <c r="M1046" s="10">
        <f>CHOOSE(CONTROL!$C$42, 43.6681, 43.6681) * CHOOSE(CONTROL!$C$21, $C$9, 100%, $E$9)</f>
        <v>43.668100000000003</v>
      </c>
      <c r="N1046" s="10">
        <f>CHOOSE(CONTROL!$C$42, 43.6897, 43.6897) * CHOOSE(CONTROL!$C$21, $C$9, 100%, $E$9)</f>
        <v>43.689700000000002</v>
      </c>
      <c r="O1046" s="10">
        <f>CHOOSE(CONTROL!$C$42, 43.7418, 43.7418) * CHOOSE(CONTROL!$C$21, $C$9, 100%, $E$9)</f>
        <v>43.741799999999998</v>
      </c>
      <c r="P1046" s="10">
        <f>CHOOSE(CONTROL!$C$42, 43.6335, 43.6335) * CHOOSE(CONTROL!$C$21, $C$9, 100%, $E$9)</f>
        <v>43.633499999999998</v>
      </c>
      <c r="Q1046" s="10">
        <f>CHOOSE(CONTROL!$C$42, 44.3371, 44.3371) * CHOOSE(CONTROL!$C$21, $C$9, 100%, $E$9)</f>
        <v>44.3371</v>
      </c>
      <c r="R1046" s="10">
        <f>CHOOSE(CONTROL!$C$42, 45.0349, 45.0349) * CHOOSE(CONTROL!$C$21, $C$9, 100%, $E$9)</f>
        <v>45.0349</v>
      </c>
      <c r="S1046" s="10">
        <f>CHOOSE(CONTROL!$C$42, 42.7541, 42.7541) * CHOOSE(CONTROL!$C$21, $C$9, 100%, $E$9)</f>
        <v>42.754100000000001</v>
      </c>
      <c r="T1046" s="58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1046" s="58">
        <f>(1000*CHOOSE(CONTROL!$C$42, 695, 695)*CHOOSE(CONTROL!$C$42, 0.5599, 0.5599)*CHOOSE(CONTROL!$C$42, 29, 29))/1000000</f>
        <v>11.284784499999999</v>
      </c>
      <c r="V1046" s="58">
        <f>(1000*CHOOSE(CONTROL!$C$42, 500, 500)*CHOOSE(CONTROL!$C$42, 0.275, 0.275)*CHOOSE(CONTROL!$C$42, 29, 29))/1000000</f>
        <v>3.9874999999999998</v>
      </c>
      <c r="W1046" s="58">
        <f>(1000*CHOOSE(CONTROL!$C$42, 0.1146, 0.1146)*CHOOSE(CONTROL!$C$42, 121.5, 121.5)*CHOOSE(CONTROL!$C$42, 29, 29))/1000000</f>
        <v>0.40379309999999996</v>
      </c>
      <c r="X1046" s="58">
        <f>(28*0.1790888*100000/1000000)+(28*0.2374*100000/1000000)</f>
        <v>1.16616864</v>
      </c>
      <c r="Y1046" s="58"/>
      <c r="Z1046" s="10"/>
      <c r="AA1046" s="57"/>
      <c r="AB1046" s="51">
        <f>(B1046*122.58+C1046*297.941+D1046*89.177+E1046*40.302+F1046*40+G1046*160+H1046*0+I1046*100+J1046*300)/(122.58+297.941+89.177+40.302+0+40+160+100+300)</f>
        <v>44.082962151478263</v>
      </c>
      <c r="AC1046" s="27">
        <f>(M1046*'RAP TEMPLATE-GAS AVAILABILITY'!O1045+N1046*'RAP TEMPLATE-GAS AVAILABILITY'!P1045+O1046*'RAP TEMPLATE-GAS AVAILABILITY'!Q1045+P1046*'RAP TEMPLATE-GAS AVAILABILITY'!R1045)/('RAP TEMPLATE-GAS AVAILABILITY'!O1045+'RAP TEMPLATE-GAS AVAILABILITY'!P1045+'RAP TEMPLATE-GAS AVAILABILITY'!Q1045+'RAP TEMPLATE-GAS AVAILABILITY'!R1045)</f>
        <v>43.697768345323745</v>
      </c>
    </row>
    <row r="1047" spans="1:29" ht="15.75" x14ac:dyDescent="0.25">
      <c r="A1047" s="13">
        <v>73140</v>
      </c>
      <c r="B1047" s="10">
        <f>CHOOSE(CONTROL!$C$42, 42.7788, 42.7788) * CHOOSE(CONTROL!$C$21, $C$9, 100%, $E$9)</f>
        <v>42.778799999999997</v>
      </c>
      <c r="C1047" s="10">
        <f>CHOOSE(CONTROL!$C$42, 42.7837, 42.7837) * CHOOSE(CONTROL!$C$21, $C$9, 100%, $E$9)</f>
        <v>42.783700000000003</v>
      </c>
      <c r="D1047" s="10">
        <f>CHOOSE(CONTROL!$C$42, 42.8751, 42.8751) * CHOOSE(CONTROL!$C$21, $C$9, 100%, $E$9)</f>
        <v>42.875100000000003</v>
      </c>
      <c r="E1047" s="10">
        <f>CHOOSE(CONTROL!$C$42, 42.9089, 42.9089) * CHOOSE(CONTROL!$C$21, $C$9, 100%, $E$9)</f>
        <v>42.908900000000003</v>
      </c>
      <c r="F1047" s="10">
        <f>CHOOSE(CONTROL!$C$42, 42.8086, 42.8086)*CHOOSE(CONTROL!$C$21, $C$9, 100%, $E$9)</f>
        <v>42.808599999999998</v>
      </c>
      <c r="G1047" s="10">
        <f>CHOOSE(CONTROL!$C$42, 42.8281, 42.8281)*CHOOSE(CONTROL!$C$21, $C$9, 100%, $E$9)</f>
        <v>42.828099999999999</v>
      </c>
      <c r="H1047" s="10">
        <f>CHOOSE(CONTROL!$C$42, 42.8981, 42.8981) * CHOOSE(CONTROL!$C$21, $C$9, 100%, $E$9)</f>
        <v>42.898099999999999</v>
      </c>
      <c r="I1047" s="10">
        <f>CHOOSE(CONTROL!$C$42, 42.8016, 42.8016)* CHOOSE(CONTROL!$C$21, $C$9, 100%, $E$9)</f>
        <v>42.801600000000001</v>
      </c>
      <c r="J1047" s="10">
        <f>CHOOSE(CONTROL!$C$42, 42.8016, 42.8016)* CHOOSE(CONTROL!$C$21, $C$9, 100%, $E$9)</f>
        <v>42.801600000000001</v>
      </c>
      <c r="K1047" s="54">
        <f>CHOOSE(CONTROL!$C$42, 42.7977, 42.7977) * CHOOSE(CONTROL!$C$21, $C$9, 100%, $E$9)</f>
        <v>42.797699999999999</v>
      </c>
      <c r="L1047" s="10">
        <f>CHOOSE(CONTROL!$C$42, 43.4851, 43.4851) * CHOOSE(CONTROL!$C$21, $C$9, 100%, $E$9)</f>
        <v>43.485100000000003</v>
      </c>
      <c r="M1047" s="10">
        <f>CHOOSE(CONTROL!$C$42, 42.3835, 42.3835) * CHOOSE(CONTROL!$C$21, $C$9, 100%, $E$9)</f>
        <v>42.383499999999998</v>
      </c>
      <c r="N1047" s="10">
        <f>CHOOSE(CONTROL!$C$42, 42.4028, 42.4028) * CHOOSE(CONTROL!$C$21, $C$9, 100%, $E$9)</f>
        <v>42.402799999999999</v>
      </c>
      <c r="O1047" s="10">
        <f>CHOOSE(CONTROL!$C$42, 42.479, 42.479) * CHOOSE(CONTROL!$C$21, $C$9, 100%, $E$9)</f>
        <v>42.478999999999999</v>
      </c>
      <c r="P1047" s="10">
        <f>CHOOSE(CONTROL!$C$42, 42.3835, 42.3835) * CHOOSE(CONTROL!$C$21, $C$9, 100%, $E$9)</f>
        <v>42.383499999999998</v>
      </c>
      <c r="Q1047" s="10">
        <f>CHOOSE(CONTROL!$C$42, 43.0743, 43.0743) * CHOOSE(CONTROL!$C$21, $C$9, 100%, $E$9)</f>
        <v>43.074300000000001</v>
      </c>
      <c r="R1047" s="10">
        <f>CHOOSE(CONTROL!$C$42, 43.769, 43.769) * CHOOSE(CONTROL!$C$21, $C$9, 100%, $E$9)</f>
        <v>43.768999999999998</v>
      </c>
      <c r="S1047" s="10">
        <f>CHOOSE(CONTROL!$C$42, 41.5403, 41.5403) * CHOOSE(CONTROL!$C$21, $C$9, 100%, $E$9)</f>
        <v>41.540300000000002</v>
      </c>
      <c r="T1047" s="58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047" s="58">
        <f>(1000*CHOOSE(CONTROL!$C$42, 695, 695)*CHOOSE(CONTROL!$C$42, 0.5599, 0.5599)*CHOOSE(CONTROL!$C$42, 31, 31))/1000000</f>
        <v>12.063045499999998</v>
      </c>
      <c r="V1047" s="58">
        <f>(1000*CHOOSE(CONTROL!$C$42, 500, 500)*CHOOSE(CONTROL!$C$42, 0.275, 0.275)*CHOOSE(CONTROL!$C$42, 31, 31))/1000000</f>
        <v>4.2625000000000002</v>
      </c>
      <c r="W1047" s="58">
        <f>(1000*CHOOSE(CONTROL!$C$42, 0.1146, 0.1146)*CHOOSE(CONTROL!$C$42, 121.5, 121.5)*CHOOSE(CONTROL!$C$42, 31, 31))/1000000</f>
        <v>0.43164089999999994</v>
      </c>
      <c r="X1047" s="58">
        <f>(31*0.1790888*100000/1000000)+(31*0.2374*100000/1000000)</f>
        <v>1.2911152800000001</v>
      </c>
      <c r="Y1047" s="58"/>
      <c r="Z1047" s="10"/>
      <c r="AA1047" s="57"/>
      <c r="AB1047" s="51">
        <f>(B1047*122.58+C1047*297.941+D1047*89.177+E1047*40.302+F1047*40+G1047*160+H1047*0+I1047*100+J1047*300)/(122.58+297.941+89.177+40.302+0+40+160+100+300)</f>
        <v>42.807922561913045</v>
      </c>
      <c r="AC1047" s="27">
        <f>(M1047*'RAP TEMPLATE-GAS AVAILABILITY'!O1046+N1047*'RAP TEMPLATE-GAS AVAILABILITY'!P1046+O1047*'RAP TEMPLATE-GAS AVAILABILITY'!Q1046+P1047*'RAP TEMPLATE-GAS AVAILABILITY'!R1046)/('RAP TEMPLATE-GAS AVAILABILITY'!O1046+'RAP TEMPLATE-GAS AVAILABILITY'!P1046+'RAP TEMPLATE-GAS AVAILABILITY'!Q1046+'RAP TEMPLATE-GAS AVAILABILITY'!R1046)</f>
        <v>42.427894964028773</v>
      </c>
    </row>
    <row r="1048" spans="1:29" ht="15.75" x14ac:dyDescent="0.25">
      <c r="A1048" s="13">
        <v>73170</v>
      </c>
      <c r="B1048" s="10">
        <f>CHOOSE(CONTROL!$C$42, 42.6515, 42.6515) * CHOOSE(CONTROL!$C$21, $C$9, 100%, $E$9)</f>
        <v>42.651499999999999</v>
      </c>
      <c r="C1048" s="10">
        <f>CHOOSE(CONTROL!$C$42, 42.6558, 42.6558) * CHOOSE(CONTROL!$C$21, $C$9, 100%, $E$9)</f>
        <v>42.655799999999999</v>
      </c>
      <c r="D1048" s="10">
        <f>CHOOSE(CONTROL!$C$42, 42.8375, 42.8375) * CHOOSE(CONTROL!$C$21, $C$9, 100%, $E$9)</f>
        <v>42.837499999999999</v>
      </c>
      <c r="E1048" s="10">
        <f>CHOOSE(CONTROL!$C$42, 42.8693, 42.8693) * CHOOSE(CONTROL!$C$21, $C$9, 100%, $E$9)</f>
        <v>42.869300000000003</v>
      </c>
      <c r="F1048" s="10">
        <f>CHOOSE(CONTROL!$C$42, 42.6398, 42.6398)*CHOOSE(CONTROL!$C$21, $C$9, 100%, $E$9)</f>
        <v>42.639800000000001</v>
      </c>
      <c r="G1048" s="10">
        <f>CHOOSE(CONTROL!$C$42, 42.6578, 42.6578)*CHOOSE(CONTROL!$C$21, $C$9, 100%, $E$9)</f>
        <v>42.657800000000002</v>
      </c>
      <c r="H1048" s="10">
        <f>CHOOSE(CONTROL!$C$42, 42.8591, 42.8591) * CHOOSE(CONTROL!$C$21, $C$9, 100%, $E$9)</f>
        <v>42.859099999999998</v>
      </c>
      <c r="I1048" s="10">
        <f>CHOOSE(CONTROL!$C$42, 42.6297, 42.6297)* CHOOSE(CONTROL!$C$21, $C$9, 100%, $E$9)</f>
        <v>42.6297</v>
      </c>
      <c r="J1048" s="10">
        <f>CHOOSE(CONTROL!$C$42, 42.6328, 42.6328)* CHOOSE(CONTROL!$C$21, $C$9, 100%, $E$9)</f>
        <v>42.632800000000003</v>
      </c>
      <c r="K1048" s="54">
        <f>CHOOSE(CONTROL!$C$42, 42.6258, 42.6258) * CHOOSE(CONTROL!$C$21, $C$9, 100%, $E$9)</f>
        <v>42.625799999999998</v>
      </c>
      <c r="L1048" s="10">
        <f>CHOOSE(CONTROL!$C$42, 43.4461, 43.4461) * CHOOSE(CONTROL!$C$21, $C$9, 100%, $E$9)</f>
        <v>43.446100000000001</v>
      </c>
      <c r="M1048" s="10">
        <f>CHOOSE(CONTROL!$C$42, 42.2164, 42.2164) * CHOOSE(CONTROL!$C$21, $C$9, 100%, $E$9)</f>
        <v>42.2164</v>
      </c>
      <c r="N1048" s="10">
        <f>CHOOSE(CONTROL!$C$42, 42.2342, 42.2342) * CHOOSE(CONTROL!$C$21, $C$9, 100%, $E$9)</f>
        <v>42.234200000000001</v>
      </c>
      <c r="O1048" s="10">
        <f>CHOOSE(CONTROL!$C$42, 42.4404, 42.4404) * CHOOSE(CONTROL!$C$21, $C$9, 100%, $E$9)</f>
        <v>42.440399999999997</v>
      </c>
      <c r="P1048" s="10">
        <f>CHOOSE(CONTROL!$C$42, 42.2134, 42.2134) * CHOOSE(CONTROL!$C$21, $C$9, 100%, $E$9)</f>
        <v>42.2134</v>
      </c>
      <c r="Q1048" s="10">
        <f>CHOOSE(CONTROL!$C$42, 43.0357, 43.0357) * CHOOSE(CONTROL!$C$21, $C$9, 100%, $E$9)</f>
        <v>43.035699999999999</v>
      </c>
      <c r="R1048" s="10">
        <f>CHOOSE(CONTROL!$C$42, 43.7303, 43.7303) * CHOOSE(CONTROL!$C$21, $C$9, 100%, $E$9)</f>
        <v>43.7303</v>
      </c>
      <c r="S1048" s="10">
        <f>CHOOSE(CONTROL!$C$42, 41.4159, 41.4159) * CHOOSE(CONTROL!$C$21, $C$9, 100%, $E$9)</f>
        <v>41.415900000000001</v>
      </c>
      <c r="T1048" s="58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048" s="58">
        <f>(1000*CHOOSE(CONTROL!$C$42, 695, 695)*CHOOSE(CONTROL!$C$42, 0.5599, 0.5599)*CHOOSE(CONTROL!$C$42, 30, 30))/1000000</f>
        <v>11.673914999999997</v>
      </c>
      <c r="V1048" s="58">
        <f>(1000*CHOOSE(CONTROL!$C$42, 500, 500)*CHOOSE(CONTROL!$C$42, 0.275, 0.275)*CHOOSE(CONTROL!$C$42, 30, 30))/1000000</f>
        <v>4.125</v>
      </c>
      <c r="W1048" s="58">
        <f>(1000*CHOOSE(CONTROL!$C$42, 0.1146, 0.1146)*CHOOSE(CONTROL!$C$42, 121.5, 121.5)*CHOOSE(CONTROL!$C$42, 30, 30))/1000000</f>
        <v>0.417717</v>
      </c>
      <c r="X1048" s="58">
        <f>(30*0.1790888*245000/1000000)+(30*0.2374*100000/1000000)</f>
        <v>2.0285026799999999</v>
      </c>
      <c r="Y1048" s="58"/>
      <c r="Z1048" s="10"/>
      <c r="AA1048" s="57"/>
      <c r="AB1048" s="51">
        <f>(B1048*141.293+C1048*267.993+D1048*115.016+E1048*89.698+F1048*40+G1048*185+H1048*0+I1048*100+J1048*300)/(141.293+267.993+115.016+89.698+0+40+185+100+300)</f>
        <v>42.679739766182408</v>
      </c>
      <c r="AC1048" s="27">
        <f>(M1048*'RAP TEMPLATE-GAS AVAILABILITY'!O1047+N1048*'RAP TEMPLATE-GAS AVAILABILITY'!P1047+O1048*'RAP TEMPLATE-GAS AVAILABILITY'!Q1047+P1048*'RAP TEMPLATE-GAS AVAILABILITY'!R1047)/('RAP TEMPLATE-GAS AVAILABILITY'!O1047+'RAP TEMPLATE-GAS AVAILABILITY'!P1047+'RAP TEMPLATE-GAS AVAILABILITY'!Q1047+'RAP TEMPLATE-GAS AVAILABILITY'!R1047)</f>
        <v>42.318517985611507</v>
      </c>
    </row>
    <row r="1049" spans="1:29" ht="15.75" x14ac:dyDescent="0.25">
      <c r="A1049" s="13">
        <v>73201</v>
      </c>
      <c r="B1049" s="10">
        <f>CHOOSE(CONTROL!$C$42, 43.0297, 43.0297) * CHOOSE(CONTROL!$C$21, $C$9, 100%, $E$9)</f>
        <v>43.029699999999998</v>
      </c>
      <c r="C1049" s="10">
        <f>CHOOSE(CONTROL!$C$42, 43.0376, 43.0376) * CHOOSE(CONTROL!$C$21, $C$9, 100%, $E$9)</f>
        <v>43.037599999999998</v>
      </c>
      <c r="D1049" s="10">
        <f>CHOOSE(CONTROL!$C$42, 43.2161, 43.2161) * CHOOSE(CONTROL!$C$21, $C$9, 100%, $E$9)</f>
        <v>43.216099999999997</v>
      </c>
      <c r="E1049" s="10">
        <f>CHOOSE(CONTROL!$C$42, 43.2472, 43.2472) * CHOOSE(CONTROL!$C$21, $C$9, 100%, $E$9)</f>
        <v>43.247199999999999</v>
      </c>
      <c r="F1049" s="10">
        <f>CHOOSE(CONTROL!$C$42, 43.0158, 43.0158)*CHOOSE(CONTROL!$C$21, $C$9, 100%, $E$9)</f>
        <v>43.015799999999999</v>
      </c>
      <c r="G1049" s="10">
        <f>CHOOSE(CONTROL!$C$42, 43.034, 43.034)*CHOOSE(CONTROL!$C$21, $C$9, 100%, $E$9)</f>
        <v>43.033999999999999</v>
      </c>
      <c r="H1049" s="10">
        <f>CHOOSE(CONTROL!$C$42, 43.2359, 43.2359) * CHOOSE(CONTROL!$C$21, $C$9, 100%, $E$9)</f>
        <v>43.235900000000001</v>
      </c>
      <c r="I1049" s="10">
        <f>CHOOSE(CONTROL!$C$42, 43.0065, 43.0065)* CHOOSE(CONTROL!$C$21, $C$9, 100%, $E$9)</f>
        <v>43.006500000000003</v>
      </c>
      <c r="J1049" s="10">
        <f>CHOOSE(CONTROL!$C$42, 43.0088, 43.0088)* CHOOSE(CONTROL!$C$21, $C$9, 100%, $E$9)</f>
        <v>43.008800000000001</v>
      </c>
      <c r="K1049" s="54">
        <f>CHOOSE(CONTROL!$C$42, 43.0026, 43.0026) * CHOOSE(CONTROL!$C$21, $C$9, 100%, $E$9)</f>
        <v>43.002600000000001</v>
      </c>
      <c r="L1049" s="10">
        <f>CHOOSE(CONTROL!$C$42, 43.8229, 43.8229) * CHOOSE(CONTROL!$C$21, $C$9, 100%, $E$9)</f>
        <v>43.822899999999997</v>
      </c>
      <c r="M1049" s="10">
        <f>CHOOSE(CONTROL!$C$42, 42.5886, 42.5886) * CHOOSE(CONTROL!$C$21, $C$9, 100%, $E$9)</f>
        <v>42.5886</v>
      </c>
      <c r="N1049" s="10">
        <f>CHOOSE(CONTROL!$C$42, 42.6066, 42.6066) * CHOOSE(CONTROL!$C$21, $C$9, 100%, $E$9)</f>
        <v>42.6066</v>
      </c>
      <c r="O1049" s="10">
        <f>CHOOSE(CONTROL!$C$42, 42.8134, 42.8134) * CHOOSE(CONTROL!$C$21, $C$9, 100%, $E$9)</f>
        <v>42.813400000000001</v>
      </c>
      <c r="P1049" s="10">
        <f>CHOOSE(CONTROL!$C$42, 42.5864, 42.5864) * CHOOSE(CONTROL!$C$21, $C$9, 100%, $E$9)</f>
        <v>42.586399999999998</v>
      </c>
      <c r="Q1049" s="10">
        <f>CHOOSE(CONTROL!$C$42, 43.4087, 43.4087) * CHOOSE(CONTROL!$C$21, $C$9, 100%, $E$9)</f>
        <v>43.408700000000003</v>
      </c>
      <c r="R1049" s="10">
        <f>CHOOSE(CONTROL!$C$42, 44.1042, 44.1042) * CHOOSE(CONTROL!$C$21, $C$9, 100%, $E$9)</f>
        <v>44.104199999999999</v>
      </c>
      <c r="S1049" s="10">
        <f>CHOOSE(CONTROL!$C$42, 41.7819, 41.7819) * CHOOSE(CONTROL!$C$21, $C$9, 100%, $E$9)</f>
        <v>41.7819</v>
      </c>
      <c r="T1049" s="58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049" s="58">
        <f>(1000*CHOOSE(CONTROL!$C$42, 695, 695)*CHOOSE(CONTROL!$C$42, 0.5599, 0.5599)*CHOOSE(CONTROL!$C$42, 31, 31))/1000000</f>
        <v>12.063045499999998</v>
      </c>
      <c r="V1049" s="58">
        <f>(1000*CHOOSE(CONTROL!$C$42, 500, 500)*CHOOSE(CONTROL!$C$42, 0.275, 0.275)*CHOOSE(CONTROL!$C$42, 31, 31))/1000000</f>
        <v>4.2625000000000002</v>
      </c>
      <c r="W1049" s="58">
        <f>(1000*CHOOSE(CONTROL!$C$42, 0.1146, 0.1146)*CHOOSE(CONTROL!$C$42, 121.5, 121.5)*CHOOSE(CONTROL!$C$42, 31, 31))/1000000</f>
        <v>0.43164089999999994</v>
      </c>
      <c r="X1049" s="58">
        <f>(31*0.1790888*245000/1000000)+(31*0.2374*100000/1000000)</f>
        <v>2.0961194359999999</v>
      </c>
      <c r="Y1049" s="58"/>
      <c r="Z1049" s="10"/>
      <c r="AA1049" s="57"/>
      <c r="AB1049" s="51">
        <f>(B1049*194.205+C1049*267.466+D1049*133.845+E1049*53.484+F1049*40+G1049*185+H1049*0+I1049*100+J1049*300)/(194.205+267.466+133.845+53.484+0+40+185+100+300)</f>
        <v>43.053517864521197</v>
      </c>
      <c r="AC1049" s="27">
        <f>(M1049*'RAP TEMPLATE-GAS AVAILABILITY'!O1048+N1049*'RAP TEMPLATE-GAS AVAILABILITY'!P1048+O1049*'RAP TEMPLATE-GAS AVAILABILITY'!Q1048+P1049*'RAP TEMPLATE-GAS AVAILABILITY'!R1048)/('RAP TEMPLATE-GAS AVAILABILITY'!O1048+'RAP TEMPLATE-GAS AVAILABILITY'!P1048+'RAP TEMPLATE-GAS AVAILABILITY'!Q1048+'RAP TEMPLATE-GAS AVAILABILITY'!R1048)</f>
        <v>42.691207194244605</v>
      </c>
    </row>
    <row r="1050" spans="1:29" ht="15.75" x14ac:dyDescent="0.25">
      <c r="A1050" s="13">
        <v>73231</v>
      </c>
      <c r="B1050" s="10">
        <f>CHOOSE(CONTROL!$C$42, 44.2501, 44.2501) * CHOOSE(CONTROL!$C$21, $C$9, 100%, $E$9)</f>
        <v>44.250100000000003</v>
      </c>
      <c r="C1050" s="10">
        <f>CHOOSE(CONTROL!$C$42, 44.258, 44.258) * CHOOSE(CONTROL!$C$21, $C$9, 100%, $E$9)</f>
        <v>44.258000000000003</v>
      </c>
      <c r="D1050" s="10">
        <f>CHOOSE(CONTROL!$C$42, 44.4366, 44.4366) * CHOOSE(CONTROL!$C$21, $C$9, 100%, $E$9)</f>
        <v>44.436599999999999</v>
      </c>
      <c r="E1050" s="10">
        <f>CHOOSE(CONTROL!$C$42, 44.4677, 44.4677) * CHOOSE(CONTROL!$C$21, $C$9, 100%, $E$9)</f>
        <v>44.467700000000001</v>
      </c>
      <c r="F1050" s="10">
        <f>CHOOSE(CONTROL!$C$42, 44.2365, 44.2365)*CHOOSE(CONTROL!$C$21, $C$9, 100%, $E$9)</f>
        <v>44.236499999999999</v>
      </c>
      <c r="G1050" s="10">
        <f>CHOOSE(CONTROL!$C$42, 44.2548, 44.2548)*CHOOSE(CONTROL!$C$21, $C$9, 100%, $E$9)</f>
        <v>44.254800000000003</v>
      </c>
      <c r="H1050" s="10">
        <f>CHOOSE(CONTROL!$C$42, 44.4563, 44.4563) * CHOOSE(CONTROL!$C$21, $C$9, 100%, $E$9)</f>
        <v>44.456299999999999</v>
      </c>
      <c r="I1050" s="10">
        <f>CHOOSE(CONTROL!$C$42, 44.227, 44.227)* CHOOSE(CONTROL!$C$21, $C$9, 100%, $E$9)</f>
        <v>44.226999999999997</v>
      </c>
      <c r="J1050" s="10">
        <f>CHOOSE(CONTROL!$C$42, 44.2295, 44.2295)* CHOOSE(CONTROL!$C$21, $C$9, 100%, $E$9)</f>
        <v>44.229500000000002</v>
      </c>
      <c r="K1050" s="54">
        <f>CHOOSE(CONTROL!$C$42, 44.2231, 44.2231) * CHOOSE(CONTROL!$C$21, $C$9, 100%, $E$9)</f>
        <v>44.223100000000002</v>
      </c>
      <c r="L1050" s="10">
        <f>CHOOSE(CONTROL!$C$42, 45.0433, 45.0433) * CHOOSE(CONTROL!$C$21, $C$9, 100%, $E$9)</f>
        <v>45.043300000000002</v>
      </c>
      <c r="M1050" s="10">
        <f>CHOOSE(CONTROL!$C$42, 43.797, 43.797) * CHOOSE(CONTROL!$C$21, $C$9, 100%, $E$9)</f>
        <v>43.796999999999997</v>
      </c>
      <c r="N1050" s="10">
        <f>CHOOSE(CONTROL!$C$42, 43.8151, 43.8151) * CHOOSE(CONTROL!$C$21, $C$9, 100%, $E$9)</f>
        <v>43.815100000000001</v>
      </c>
      <c r="O1050" s="10">
        <f>CHOOSE(CONTROL!$C$42, 44.0215, 44.0215) * CHOOSE(CONTROL!$C$21, $C$9, 100%, $E$9)</f>
        <v>44.021500000000003</v>
      </c>
      <c r="P1050" s="10">
        <f>CHOOSE(CONTROL!$C$42, 43.7945, 43.7945) * CHOOSE(CONTROL!$C$21, $C$9, 100%, $E$9)</f>
        <v>43.794499999999999</v>
      </c>
      <c r="Q1050" s="10">
        <f>CHOOSE(CONTROL!$C$42, 44.6168, 44.6168) * CHOOSE(CONTROL!$C$21, $C$9, 100%, $E$9)</f>
        <v>44.616799999999998</v>
      </c>
      <c r="R1050" s="10">
        <f>CHOOSE(CONTROL!$C$42, 45.3153, 45.3153) * CHOOSE(CONTROL!$C$21, $C$9, 100%, $E$9)</f>
        <v>45.315300000000001</v>
      </c>
      <c r="S1050" s="10">
        <f>CHOOSE(CONTROL!$C$42, 42.967, 42.967) * CHOOSE(CONTROL!$C$21, $C$9, 100%, $E$9)</f>
        <v>42.966999999999999</v>
      </c>
      <c r="T1050" s="58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050" s="58">
        <f>(1000*CHOOSE(CONTROL!$C$42, 695, 695)*CHOOSE(CONTROL!$C$42, 0.5599, 0.5599)*CHOOSE(CONTROL!$C$42, 30, 30))/1000000</f>
        <v>11.673914999999997</v>
      </c>
      <c r="V1050" s="58">
        <f>(1000*CHOOSE(CONTROL!$C$42, 500, 500)*CHOOSE(CONTROL!$C$42, 0.275, 0.275)*CHOOSE(CONTROL!$C$42, 30, 30))/1000000</f>
        <v>4.125</v>
      </c>
      <c r="W1050" s="58">
        <f>(1000*CHOOSE(CONTROL!$C$42, 0.1146, 0.1146)*CHOOSE(CONTROL!$C$42, 121.5, 121.5)*CHOOSE(CONTROL!$C$42, 30, 30))/1000000</f>
        <v>0.417717</v>
      </c>
      <c r="X1050" s="58">
        <f>(30*0.1790888*245000/1000000)+(30*0.2374*100000/1000000)</f>
        <v>2.0285026799999999</v>
      </c>
      <c r="Y1050" s="58"/>
      <c r="Z1050" s="10"/>
      <c r="AA1050" s="57"/>
      <c r="AB1050" s="51">
        <f>(B1050*194.205+C1050*267.466+D1050*133.845+E1050*53.484+F1050*40+G1050*185+H1050*0+I1050*100+J1050*300)/(194.205+267.466+133.845+53.484+0+40+185+100+300)</f>
        <v>44.274078565384613</v>
      </c>
      <c r="AC1050" s="27">
        <f>(M1050*'RAP TEMPLATE-GAS AVAILABILITY'!O1049+N1050*'RAP TEMPLATE-GAS AVAILABILITY'!P1049+O1050*'RAP TEMPLATE-GAS AVAILABILITY'!Q1049+P1050*'RAP TEMPLATE-GAS AVAILABILITY'!R1049)/('RAP TEMPLATE-GAS AVAILABILITY'!O1049+'RAP TEMPLATE-GAS AVAILABILITY'!P1049+'RAP TEMPLATE-GAS AVAILABILITY'!Q1049+'RAP TEMPLATE-GAS AVAILABILITY'!R1049)</f>
        <v>43.899433812949638</v>
      </c>
    </row>
    <row r="1051" spans="1:29" ht="15.75" x14ac:dyDescent="0.25">
      <c r="A1051" s="13">
        <v>73262</v>
      </c>
      <c r="B1051" s="10">
        <f>CHOOSE(CONTROL!$C$42, 43.4013, 43.4013) * CHOOSE(CONTROL!$C$21, $C$9, 100%, $E$9)</f>
        <v>43.401299999999999</v>
      </c>
      <c r="C1051" s="10">
        <f>CHOOSE(CONTROL!$C$42, 43.4092, 43.4092) * CHOOSE(CONTROL!$C$21, $C$9, 100%, $E$9)</f>
        <v>43.409199999999998</v>
      </c>
      <c r="D1051" s="10">
        <f>CHOOSE(CONTROL!$C$42, 43.5877, 43.5877) * CHOOSE(CONTROL!$C$21, $C$9, 100%, $E$9)</f>
        <v>43.587699999999998</v>
      </c>
      <c r="E1051" s="10">
        <f>CHOOSE(CONTROL!$C$42, 43.6189, 43.6189) * CHOOSE(CONTROL!$C$21, $C$9, 100%, $E$9)</f>
        <v>43.618899999999996</v>
      </c>
      <c r="F1051" s="10">
        <f>CHOOSE(CONTROL!$C$42, 43.388, 43.388)*CHOOSE(CONTROL!$C$21, $C$9, 100%, $E$9)</f>
        <v>43.387999999999998</v>
      </c>
      <c r="G1051" s="10">
        <f>CHOOSE(CONTROL!$C$42, 43.4063, 43.4063)*CHOOSE(CONTROL!$C$21, $C$9, 100%, $E$9)</f>
        <v>43.406300000000002</v>
      </c>
      <c r="H1051" s="10">
        <f>CHOOSE(CONTROL!$C$42, 43.6075, 43.6075) * CHOOSE(CONTROL!$C$21, $C$9, 100%, $E$9)</f>
        <v>43.607500000000002</v>
      </c>
      <c r="I1051" s="10">
        <f>CHOOSE(CONTROL!$C$42, 43.3781, 43.3781)* CHOOSE(CONTROL!$C$21, $C$9, 100%, $E$9)</f>
        <v>43.378100000000003</v>
      </c>
      <c r="J1051" s="10">
        <f>CHOOSE(CONTROL!$C$42, 43.381, 43.381)* CHOOSE(CONTROL!$C$21, $C$9, 100%, $E$9)</f>
        <v>43.381</v>
      </c>
      <c r="K1051" s="54">
        <f>CHOOSE(CONTROL!$C$42, 43.3743, 43.3743) * CHOOSE(CONTROL!$C$21, $C$9, 100%, $E$9)</f>
        <v>43.374299999999998</v>
      </c>
      <c r="L1051" s="10">
        <f>CHOOSE(CONTROL!$C$42, 44.1945, 44.1945) * CHOOSE(CONTROL!$C$21, $C$9, 100%, $E$9)</f>
        <v>44.194499999999998</v>
      </c>
      <c r="M1051" s="10">
        <f>CHOOSE(CONTROL!$C$42, 42.957, 42.957) * CHOOSE(CONTROL!$C$21, $C$9, 100%, $E$9)</f>
        <v>42.957000000000001</v>
      </c>
      <c r="N1051" s="10">
        <f>CHOOSE(CONTROL!$C$42, 42.9752, 42.9752) * CHOOSE(CONTROL!$C$21, $C$9, 100%, $E$9)</f>
        <v>42.975200000000001</v>
      </c>
      <c r="O1051" s="10">
        <f>CHOOSE(CONTROL!$C$42, 43.1812, 43.1812) * CHOOSE(CONTROL!$C$21, $C$9, 100%, $E$9)</f>
        <v>43.181199999999997</v>
      </c>
      <c r="P1051" s="10">
        <f>CHOOSE(CONTROL!$C$42, 42.9543, 42.9543) * CHOOSE(CONTROL!$C$21, $C$9, 100%, $E$9)</f>
        <v>42.954300000000003</v>
      </c>
      <c r="Q1051" s="10">
        <f>CHOOSE(CONTROL!$C$42, 43.7765, 43.7765) * CHOOSE(CONTROL!$C$21, $C$9, 100%, $E$9)</f>
        <v>43.776499999999999</v>
      </c>
      <c r="R1051" s="10">
        <f>CHOOSE(CONTROL!$C$42, 44.473, 44.473) * CHOOSE(CONTROL!$C$21, $C$9, 100%, $E$9)</f>
        <v>44.472999999999999</v>
      </c>
      <c r="S1051" s="10">
        <f>CHOOSE(CONTROL!$C$42, 42.1427, 42.1427) * CHOOSE(CONTROL!$C$21, $C$9, 100%, $E$9)</f>
        <v>42.142699999999998</v>
      </c>
      <c r="T1051" s="58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051" s="58">
        <f>(1000*CHOOSE(CONTROL!$C$42, 695, 695)*CHOOSE(CONTROL!$C$42, 0.5599, 0.5599)*CHOOSE(CONTROL!$C$42, 31, 31))/1000000</f>
        <v>12.063045499999998</v>
      </c>
      <c r="V1051" s="58">
        <f>(1000*CHOOSE(CONTROL!$C$42, 500, 500)*CHOOSE(CONTROL!$C$42, 0.275, 0.275)*CHOOSE(CONTROL!$C$42, 31, 31))/1000000</f>
        <v>4.2625000000000002</v>
      </c>
      <c r="W1051" s="58">
        <f>(1000*CHOOSE(CONTROL!$C$42, 0.1146, 0.1146)*CHOOSE(CONTROL!$C$42, 121.5, 121.5)*CHOOSE(CONTROL!$C$42, 31, 31))/1000000</f>
        <v>0.43164089999999994</v>
      </c>
      <c r="X1051" s="58">
        <f>(31*0.1790888*245000/1000000)+(31*0.2374*100000/1000000)</f>
        <v>2.0961194359999999</v>
      </c>
      <c r="Y1051" s="58"/>
      <c r="Z1051" s="10"/>
      <c r="AA1051" s="57"/>
      <c r="AB1051" s="51">
        <f>(B1051*194.205+C1051*267.466+D1051*133.845+E1051*53.484+F1051*40+G1051*185+H1051*0+I1051*100+J1051*300)/(194.205+267.466+133.845+53.484+0+40+185+100+300)</f>
        <v>43.425383836577709</v>
      </c>
      <c r="AC1051" s="27">
        <f>(M1051*'RAP TEMPLATE-GAS AVAILABILITY'!O1050+N1051*'RAP TEMPLATE-GAS AVAILABILITY'!P1050+O1051*'RAP TEMPLATE-GAS AVAILABILITY'!Q1050+P1051*'RAP TEMPLATE-GAS AVAILABILITY'!R1050)/('RAP TEMPLATE-GAS AVAILABILITY'!O1050+'RAP TEMPLATE-GAS AVAILABILITY'!P1050+'RAP TEMPLATE-GAS AVAILABILITY'!Q1050+'RAP TEMPLATE-GAS AVAILABILITY'!R1050)</f>
        <v>43.059274820143884</v>
      </c>
    </row>
    <row r="1052" spans="1:29" ht="15.75" x14ac:dyDescent="0.25">
      <c r="A1052" s="13">
        <v>73293</v>
      </c>
      <c r="B1052" s="10">
        <f>CHOOSE(CONTROL!$C$42, 41.2577, 41.2577) * CHOOSE(CONTROL!$C$21, $C$9, 100%, $E$9)</f>
        <v>41.2577</v>
      </c>
      <c r="C1052" s="10">
        <f>CHOOSE(CONTROL!$C$42, 41.2656, 41.2656) * CHOOSE(CONTROL!$C$21, $C$9, 100%, $E$9)</f>
        <v>41.265599999999999</v>
      </c>
      <c r="D1052" s="10">
        <f>CHOOSE(CONTROL!$C$42, 41.4442, 41.4442) * CHOOSE(CONTROL!$C$21, $C$9, 100%, $E$9)</f>
        <v>41.444200000000002</v>
      </c>
      <c r="E1052" s="10">
        <f>CHOOSE(CONTROL!$C$42, 41.4753, 41.4753) * CHOOSE(CONTROL!$C$21, $C$9, 100%, $E$9)</f>
        <v>41.475299999999997</v>
      </c>
      <c r="F1052" s="10">
        <f>CHOOSE(CONTROL!$C$42, 41.2444, 41.2444)*CHOOSE(CONTROL!$C$21, $C$9, 100%, $E$9)</f>
        <v>41.244399999999999</v>
      </c>
      <c r="G1052" s="10">
        <f>CHOOSE(CONTROL!$C$42, 41.2627, 41.2627)*CHOOSE(CONTROL!$C$21, $C$9, 100%, $E$9)</f>
        <v>41.262700000000002</v>
      </c>
      <c r="H1052" s="10">
        <f>CHOOSE(CONTROL!$C$42, 41.464, 41.464) * CHOOSE(CONTROL!$C$21, $C$9, 100%, $E$9)</f>
        <v>41.463999999999999</v>
      </c>
      <c r="I1052" s="10">
        <f>CHOOSE(CONTROL!$C$42, 41.2346, 41.2346)* CHOOSE(CONTROL!$C$21, $C$9, 100%, $E$9)</f>
        <v>41.2346</v>
      </c>
      <c r="J1052" s="10">
        <f>CHOOSE(CONTROL!$C$42, 41.2374, 41.2374)* CHOOSE(CONTROL!$C$21, $C$9, 100%, $E$9)</f>
        <v>41.237400000000001</v>
      </c>
      <c r="K1052" s="54">
        <f>CHOOSE(CONTROL!$C$42, 41.2307, 41.2307) * CHOOSE(CONTROL!$C$21, $C$9, 100%, $E$9)</f>
        <v>41.230699999999999</v>
      </c>
      <c r="L1052" s="10">
        <f>CHOOSE(CONTROL!$C$42, 42.051, 42.051) * CHOOSE(CONTROL!$C$21, $C$9, 100%, $E$9)</f>
        <v>42.051000000000002</v>
      </c>
      <c r="M1052" s="10">
        <f>CHOOSE(CONTROL!$C$42, 40.835, 40.835) * CHOOSE(CONTROL!$C$21, $C$9, 100%, $E$9)</f>
        <v>40.835000000000001</v>
      </c>
      <c r="N1052" s="10">
        <f>CHOOSE(CONTROL!$C$42, 40.8532, 40.8532) * CHOOSE(CONTROL!$C$21, $C$9, 100%, $E$9)</f>
        <v>40.853200000000001</v>
      </c>
      <c r="O1052" s="10">
        <f>CHOOSE(CONTROL!$C$42, 41.0593, 41.0593) * CHOOSE(CONTROL!$C$21, $C$9, 100%, $E$9)</f>
        <v>41.0593</v>
      </c>
      <c r="P1052" s="10">
        <f>CHOOSE(CONTROL!$C$42, 40.8323, 40.8323) * CHOOSE(CONTROL!$C$21, $C$9, 100%, $E$9)</f>
        <v>40.832299999999996</v>
      </c>
      <c r="Q1052" s="10">
        <f>CHOOSE(CONTROL!$C$42, 41.6546, 41.6546) * CHOOSE(CONTROL!$C$21, $C$9, 100%, $E$9)</f>
        <v>41.654600000000002</v>
      </c>
      <c r="R1052" s="10">
        <f>CHOOSE(CONTROL!$C$42, 42.3458, 42.3458) * CHOOSE(CONTROL!$C$21, $C$9, 100%, $E$9)</f>
        <v>42.345799999999997</v>
      </c>
      <c r="S1052" s="10">
        <f>CHOOSE(CONTROL!$C$42, 40.0611, 40.0611) * CHOOSE(CONTROL!$C$21, $C$9, 100%, $E$9)</f>
        <v>40.061100000000003</v>
      </c>
      <c r="T1052" s="58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052" s="58">
        <f>(1000*CHOOSE(CONTROL!$C$42, 695, 695)*CHOOSE(CONTROL!$C$42, 0.5599, 0.5599)*CHOOSE(CONTROL!$C$42, 31, 31))/1000000</f>
        <v>12.063045499999998</v>
      </c>
      <c r="V1052" s="58">
        <f>(1000*CHOOSE(CONTROL!$C$42, 500, 500)*CHOOSE(CONTROL!$C$42, 0.275, 0.275)*CHOOSE(CONTROL!$C$42, 31, 31))/1000000</f>
        <v>4.2625000000000002</v>
      </c>
      <c r="W1052" s="58">
        <f>(1000*CHOOSE(CONTROL!$C$42, 0.1146, 0.1146)*CHOOSE(CONTROL!$C$42, 121.5, 121.5)*CHOOSE(CONTROL!$C$42, 31, 31))/1000000</f>
        <v>0.43164089999999994</v>
      </c>
      <c r="X1052" s="58">
        <f>(31*0.1790888*245000/1000000)+(31*0.2374*100000/1000000)</f>
        <v>2.0961194359999999</v>
      </c>
      <c r="Y1052" s="58"/>
      <c r="Z1052" s="10"/>
      <c r="AA1052" s="57"/>
      <c r="AB1052" s="51">
        <f>(B1052*194.205+C1052*267.466+D1052*133.845+E1052*53.484+F1052*40+G1052*185+H1052*0+I1052*100+J1052*300)/(194.205+267.466+133.845+53.484+0+40+185+100+300)</f>
        <v>41.281802191758239</v>
      </c>
      <c r="AC1052" s="27">
        <f>(M1052*'RAP TEMPLATE-GAS AVAILABILITY'!O1051+N1052*'RAP TEMPLATE-GAS AVAILABILITY'!P1051+O1052*'RAP TEMPLATE-GAS AVAILABILITY'!Q1051+P1052*'RAP TEMPLATE-GAS AVAILABILITY'!R1051)/('RAP TEMPLATE-GAS AVAILABILITY'!O1051+'RAP TEMPLATE-GAS AVAILABILITY'!P1051+'RAP TEMPLATE-GAS AVAILABILITY'!Q1051+'RAP TEMPLATE-GAS AVAILABILITY'!R1051)</f>
        <v>40.937320143884889</v>
      </c>
    </row>
    <row r="1053" spans="1:29" ht="15.75" x14ac:dyDescent="0.25">
      <c r="A1053" s="13">
        <v>73323</v>
      </c>
      <c r="B1053" s="10">
        <f>CHOOSE(CONTROL!$C$42, 38.6387, 38.6387) * CHOOSE(CONTROL!$C$21, $C$9, 100%, $E$9)</f>
        <v>38.6387</v>
      </c>
      <c r="C1053" s="10">
        <f>CHOOSE(CONTROL!$C$42, 38.6466, 38.6466) * CHOOSE(CONTROL!$C$21, $C$9, 100%, $E$9)</f>
        <v>38.646599999999999</v>
      </c>
      <c r="D1053" s="10">
        <f>CHOOSE(CONTROL!$C$42, 38.8252, 38.8252) * CHOOSE(CONTROL!$C$21, $C$9, 100%, $E$9)</f>
        <v>38.825200000000002</v>
      </c>
      <c r="E1053" s="10">
        <f>CHOOSE(CONTROL!$C$42, 38.8563, 38.8563) * CHOOSE(CONTROL!$C$21, $C$9, 100%, $E$9)</f>
        <v>38.856299999999997</v>
      </c>
      <c r="F1053" s="10">
        <f>CHOOSE(CONTROL!$C$42, 38.6251, 38.6251)*CHOOSE(CONTROL!$C$21, $C$9, 100%, $E$9)</f>
        <v>38.625100000000003</v>
      </c>
      <c r="G1053" s="10">
        <f>CHOOSE(CONTROL!$C$42, 38.6433, 38.6433)*CHOOSE(CONTROL!$C$21, $C$9, 100%, $E$9)</f>
        <v>38.643300000000004</v>
      </c>
      <c r="H1053" s="10">
        <f>CHOOSE(CONTROL!$C$42, 38.8449, 38.8449) * CHOOSE(CONTROL!$C$21, $C$9, 100%, $E$9)</f>
        <v>38.844900000000003</v>
      </c>
      <c r="I1053" s="10">
        <f>CHOOSE(CONTROL!$C$42, 38.6156, 38.6156)* CHOOSE(CONTROL!$C$21, $C$9, 100%, $E$9)</f>
        <v>38.615600000000001</v>
      </c>
      <c r="J1053" s="10">
        <f>CHOOSE(CONTROL!$C$42, 38.6181, 38.6181)* CHOOSE(CONTROL!$C$21, $C$9, 100%, $E$9)</f>
        <v>38.618099999999998</v>
      </c>
      <c r="K1053" s="54">
        <f>CHOOSE(CONTROL!$C$42, 38.6117, 38.6117) * CHOOSE(CONTROL!$C$21, $C$9, 100%, $E$9)</f>
        <v>38.611699999999999</v>
      </c>
      <c r="L1053" s="10">
        <f>CHOOSE(CONTROL!$C$42, 39.4319, 39.4319) * CHOOSE(CONTROL!$C$21, $C$9, 100%, $E$9)</f>
        <v>39.431899999999999</v>
      </c>
      <c r="M1053" s="10">
        <f>CHOOSE(CONTROL!$C$42, 38.2422, 38.2422) * CHOOSE(CONTROL!$C$21, $C$9, 100%, $E$9)</f>
        <v>38.242199999999997</v>
      </c>
      <c r="N1053" s="10">
        <f>CHOOSE(CONTROL!$C$42, 38.2602, 38.2602) * CHOOSE(CONTROL!$C$21, $C$9, 100%, $E$9)</f>
        <v>38.260199999999998</v>
      </c>
      <c r="O1053" s="10">
        <f>CHOOSE(CONTROL!$C$42, 38.4667, 38.4667) * CHOOSE(CONTROL!$C$21, $C$9, 100%, $E$9)</f>
        <v>38.466700000000003</v>
      </c>
      <c r="P1053" s="10">
        <f>CHOOSE(CONTROL!$C$42, 38.2398, 38.2398) * CHOOSE(CONTROL!$C$21, $C$9, 100%, $E$9)</f>
        <v>38.239800000000002</v>
      </c>
      <c r="Q1053" s="10">
        <f>CHOOSE(CONTROL!$C$42, 39.062, 39.062) * CHOOSE(CONTROL!$C$21, $C$9, 100%, $E$9)</f>
        <v>39.061999999999998</v>
      </c>
      <c r="R1053" s="10">
        <f>CHOOSE(CONTROL!$C$42, 39.7467, 39.7467) * CHOOSE(CONTROL!$C$21, $C$9, 100%, $E$9)</f>
        <v>39.746699999999997</v>
      </c>
      <c r="S1053" s="10">
        <f>CHOOSE(CONTROL!$C$42, 37.5178, 37.5178) * CHOOSE(CONTROL!$C$21, $C$9, 100%, $E$9)</f>
        <v>37.517800000000001</v>
      </c>
      <c r="T1053" s="58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053" s="58">
        <f>(1000*CHOOSE(CONTROL!$C$42, 695, 695)*CHOOSE(CONTROL!$C$42, 0.5599, 0.5599)*CHOOSE(CONTROL!$C$42, 30, 30))/1000000</f>
        <v>11.673914999999997</v>
      </c>
      <c r="V1053" s="58">
        <f>(1000*CHOOSE(CONTROL!$C$42, 500, 500)*CHOOSE(CONTROL!$C$42, 0.275, 0.275)*CHOOSE(CONTROL!$C$42, 30, 30))/1000000</f>
        <v>4.125</v>
      </c>
      <c r="W1053" s="58">
        <f>(1000*CHOOSE(CONTROL!$C$42, 0.1146, 0.1146)*CHOOSE(CONTROL!$C$42, 121.5, 121.5)*CHOOSE(CONTROL!$C$42, 30, 30))/1000000</f>
        <v>0.417717</v>
      </c>
      <c r="X1053" s="58">
        <f>(30*0.1790888*245000/1000000)+(30*0.2374*100000/1000000)</f>
        <v>2.0285026799999999</v>
      </c>
      <c r="Y1053" s="58"/>
      <c r="Z1053" s="10"/>
      <c r="AA1053" s="57"/>
      <c r="AB1053" s="51">
        <f>(B1053*194.205+C1053*267.466+D1053*133.845+E1053*53.484+F1053*40+G1053*185+H1053*0+I1053*100+J1053*300)/(194.205+267.466+133.845+53.484+0+40+185+100+300)</f>
        <v>38.662664044191523</v>
      </c>
      <c r="AC1053" s="27">
        <f>(M1053*'RAP TEMPLATE-GAS AVAILABILITY'!O1052+N1053*'RAP TEMPLATE-GAS AVAILABILITY'!P1052+O1053*'RAP TEMPLATE-GAS AVAILABILITY'!Q1052+P1053*'RAP TEMPLATE-GAS AVAILABILITY'!R1052)/('RAP TEMPLATE-GAS AVAILABILITY'!O1052+'RAP TEMPLATE-GAS AVAILABILITY'!P1052+'RAP TEMPLATE-GAS AVAILABILITY'!Q1052+'RAP TEMPLATE-GAS AVAILABILITY'!R1052)</f>
        <v>38.34464244604316</v>
      </c>
    </row>
    <row r="1054" spans="1:29" ht="15.75" x14ac:dyDescent="0.25">
      <c r="A1054" s="13">
        <v>73354</v>
      </c>
      <c r="B1054" s="10">
        <f>CHOOSE(CONTROL!$C$42, 37.8522, 37.8522) * CHOOSE(CONTROL!$C$21, $C$9, 100%, $E$9)</f>
        <v>37.852200000000003</v>
      </c>
      <c r="C1054" s="10">
        <f>CHOOSE(CONTROL!$C$42, 37.8574, 37.8574) * CHOOSE(CONTROL!$C$21, $C$9, 100%, $E$9)</f>
        <v>37.857399999999998</v>
      </c>
      <c r="D1054" s="10">
        <f>CHOOSE(CONTROL!$C$42, 38.0409, 38.0409) * CHOOSE(CONTROL!$C$21, $C$9, 100%, $E$9)</f>
        <v>38.040900000000001</v>
      </c>
      <c r="E1054" s="10">
        <f>CHOOSE(CONTROL!$C$42, 38.0697, 38.0697) * CHOOSE(CONTROL!$C$21, $C$9, 100%, $E$9)</f>
        <v>38.069699999999997</v>
      </c>
      <c r="F1054" s="10">
        <f>CHOOSE(CONTROL!$C$42, 37.8405, 37.8405)*CHOOSE(CONTROL!$C$21, $C$9, 100%, $E$9)</f>
        <v>37.840499999999999</v>
      </c>
      <c r="G1054" s="10">
        <f>CHOOSE(CONTROL!$C$42, 37.8584, 37.8584)*CHOOSE(CONTROL!$C$21, $C$9, 100%, $E$9)</f>
        <v>37.858400000000003</v>
      </c>
      <c r="H1054" s="10">
        <f>CHOOSE(CONTROL!$C$42, 38.0601, 38.0601) * CHOOSE(CONTROL!$C$21, $C$9, 100%, $E$9)</f>
        <v>38.060099999999998</v>
      </c>
      <c r="I1054" s="10">
        <f>CHOOSE(CONTROL!$C$42, 37.8308, 37.8308)* CHOOSE(CONTROL!$C$21, $C$9, 100%, $E$9)</f>
        <v>37.830800000000004</v>
      </c>
      <c r="J1054" s="10">
        <f>CHOOSE(CONTROL!$C$42, 37.8335, 37.8335)* CHOOSE(CONTROL!$C$21, $C$9, 100%, $E$9)</f>
        <v>37.833500000000001</v>
      </c>
      <c r="K1054" s="54">
        <f>CHOOSE(CONTROL!$C$42, 37.8269, 37.8269) * CHOOSE(CONTROL!$C$21, $C$9, 100%, $E$9)</f>
        <v>37.826900000000002</v>
      </c>
      <c r="L1054" s="10">
        <f>CHOOSE(CONTROL!$C$42, 38.6471, 38.6471) * CHOOSE(CONTROL!$C$21, $C$9, 100%, $E$9)</f>
        <v>38.647100000000002</v>
      </c>
      <c r="M1054" s="10">
        <f>CHOOSE(CONTROL!$C$42, 37.4655, 37.4655) * CHOOSE(CONTROL!$C$21, $C$9, 100%, $E$9)</f>
        <v>37.465499999999999</v>
      </c>
      <c r="N1054" s="10">
        <f>CHOOSE(CONTROL!$C$42, 37.4832, 37.4832) * CHOOSE(CONTROL!$C$21, $C$9, 100%, $E$9)</f>
        <v>37.483199999999997</v>
      </c>
      <c r="O1054" s="10">
        <f>CHOOSE(CONTROL!$C$42, 37.6899, 37.6899) * CHOOSE(CONTROL!$C$21, $C$9, 100%, $E$9)</f>
        <v>37.689900000000002</v>
      </c>
      <c r="P1054" s="10">
        <f>CHOOSE(CONTROL!$C$42, 37.4629, 37.4629) * CHOOSE(CONTROL!$C$21, $C$9, 100%, $E$9)</f>
        <v>37.462899999999998</v>
      </c>
      <c r="Q1054" s="10">
        <f>CHOOSE(CONTROL!$C$42, 38.2852, 38.2852) * CHOOSE(CONTROL!$C$21, $C$9, 100%, $E$9)</f>
        <v>38.285200000000003</v>
      </c>
      <c r="R1054" s="10">
        <f>CHOOSE(CONTROL!$C$42, 38.9679, 38.9679) * CHOOSE(CONTROL!$C$21, $C$9, 100%, $E$9)</f>
        <v>38.9679</v>
      </c>
      <c r="S1054" s="10">
        <f>CHOOSE(CONTROL!$C$42, 36.7557, 36.7557) * CHOOSE(CONTROL!$C$21, $C$9, 100%, $E$9)</f>
        <v>36.755699999999997</v>
      </c>
      <c r="T1054" s="58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054" s="58">
        <f>(1000*CHOOSE(CONTROL!$C$42, 695, 695)*CHOOSE(CONTROL!$C$42, 0.5599, 0.5599)*CHOOSE(CONTROL!$C$42, 31, 31))/1000000</f>
        <v>12.063045499999998</v>
      </c>
      <c r="V1054" s="58">
        <f>(1000*CHOOSE(CONTROL!$C$42, 500, 500)*CHOOSE(CONTROL!$C$42, 0.275, 0.275)*CHOOSE(CONTROL!$C$42, 31, 31))/1000000</f>
        <v>4.2625000000000002</v>
      </c>
      <c r="W1054" s="58">
        <f>(1000*CHOOSE(CONTROL!$C$42, 0.1146, 0.1146)*CHOOSE(CONTROL!$C$42, 121.5, 121.5)*CHOOSE(CONTROL!$C$42, 31, 31))/1000000</f>
        <v>0.43164089999999994</v>
      </c>
      <c r="X1054" s="58">
        <f>(31*0.1790888*245000/1000000)+(31*0.2374*100000/1000000)</f>
        <v>2.0961194359999999</v>
      </c>
      <c r="Y1054" s="58"/>
      <c r="Z1054" s="10"/>
      <c r="AA1054" s="57"/>
      <c r="AB1054" s="51">
        <f>(B1054*131.881+C1054*277.167+D1054*79.08+E1054*125.872+F1054*40+G1054*185+H1054*0+I1054*100+J1054*300)/(131.881+277.167+79.08+125.872+0+40+185+100+300)</f>
        <v>37.881796307021794</v>
      </c>
      <c r="AC1054" s="27">
        <f>(M1054*'RAP TEMPLATE-GAS AVAILABILITY'!O1053+N1054*'RAP TEMPLATE-GAS AVAILABILITY'!P1053+O1054*'RAP TEMPLATE-GAS AVAILABILITY'!Q1053+P1054*'RAP TEMPLATE-GAS AVAILABILITY'!R1053)/('RAP TEMPLATE-GAS AVAILABILITY'!O1053+'RAP TEMPLATE-GAS AVAILABILITY'!P1053+'RAP TEMPLATE-GAS AVAILABILITY'!Q1053+'RAP TEMPLATE-GAS AVAILABILITY'!R1053)</f>
        <v>37.567851079136695</v>
      </c>
    </row>
    <row r="1055" spans="1:29" ht="15.75" x14ac:dyDescent="0.25">
      <c r="A1055" s="13">
        <v>73384</v>
      </c>
      <c r="B1055" s="10">
        <f>CHOOSE(CONTROL!$C$42, 38.8489, 38.8489) * CHOOSE(CONTROL!$C$21, $C$9, 100%, $E$9)</f>
        <v>38.8489</v>
      </c>
      <c r="C1055" s="10">
        <f>CHOOSE(CONTROL!$C$42, 38.8538, 38.8538) * CHOOSE(CONTROL!$C$21, $C$9, 100%, $E$9)</f>
        <v>38.8538</v>
      </c>
      <c r="D1055" s="10">
        <f>CHOOSE(CONTROL!$C$42, 38.8834, 38.8834) * CHOOSE(CONTROL!$C$21, $C$9, 100%, $E$9)</f>
        <v>38.883400000000002</v>
      </c>
      <c r="E1055" s="10">
        <f>CHOOSE(CONTROL!$C$42, 38.9172, 38.9172) * CHOOSE(CONTROL!$C$21, $C$9, 100%, $E$9)</f>
        <v>38.917200000000001</v>
      </c>
      <c r="F1055" s="10">
        <f>CHOOSE(CONTROL!$C$42, 38.8346, 38.8346)*CHOOSE(CONTROL!$C$21, $C$9, 100%, $E$9)</f>
        <v>38.834600000000002</v>
      </c>
      <c r="G1055" s="10">
        <f>CHOOSE(CONTROL!$C$42, 38.8527, 38.8527)*CHOOSE(CONTROL!$C$21, $C$9, 100%, $E$9)</f>
        <v>38.852699999999999</v>
      </c>
      <c r="H1055" s="10">
        <f>CHOOSE(CONTROL!$C$42, 38.9064, 38.9064) * CHOOSE(CONTROL!$C$21, $C$9, 100%, $E$9)</f>
        <v>38.906399999999998</v>
      </c>
      <c r="I1055" s="10">
        <f>CHOOSE(CONTROL!$C$42, 38.815, 38.815)* CHOOSE(CONTROL!$C$21, $C$9, 100%, $E$9)</f>
        <v>38.814999999999998</v>
      </c>
      <c r="J1055" s="10">
        <f>CHOOSE(CONTROL!$C$42, 38.8276, 38.8276)* CHOOSE(CONTROL!$C$21, $C$9, 100%, $E$9)</f>
        <v>38.827599999999997</v>
      </c>
      <c r="K1055" s="54">
        <f>CHOOSE(CONTROL!$C$42, 38.8111, 38.8111) * CHOOSE(CONTROL!$C$21, $C$9, 100%, $E$9)</f>
        <v>38.811100000000003</v>
      </c>
      <c r="L1055" s="10">
        <f>CHOOSE(CONTROL!$C$42, 39.4934, 39.4934) * CHOOSE(CONTROL!$C$21, $C$9, 100%, $E$9)</f>
        <v>39.493400000000001</v>
      </c>
      <c r="M1055" s="10">
        <f>CHOOSE(CONTROL!$C$42, 38.4496, 38.4496) * CHOOSE(CONTROL!$C$21, $C$9, 100%, $E$9)</f>
        <v>38.449599999999997</v>
      </c>
      <c r="N1055" s="10">
        <f>CHOOSE(CONTROL!$C$42, 38.4675, 38.4675) * CHOOSE(CONTROL!$C$21, $C$9, 100%, $E$9)</f>
        <v>38.467500000000001</v>
      </c>
      <c r="O1055" s="10">
        <f>CHOOSE(CONTROL!$C$42, 38.5276, 38.5276) * CHOOSE(CONTROL!$C$21, $C$9, 100%, $E$9)</f>
        <v>38.5276</v>
      </c>
      <c r="P1055" s="10">
        <f>CHOOSE(CONTROL!$C$42, 38.4372, 38.4372) * CHOOSE(CONTROL!$C$21, $C$9, 100%, $E$9)</f>
        <v>38.437199999999997</v>
      </c>
      <c r="Q1055" s="10">
        <f>CHOOSE(CONTROL!$C$42, 39.1229, 39.1229) * CHOOSE(CONTROL!$C$21, $C$9, 100%, $E$9)</f>
        <v>39.122900000000001</v>
      </c>
      <c r="R1055" s="10">
        <f>CHOOSE(CONTROL!$C$42, 39.8077, 39.8077) * CHOOSE(CONTROL!$C$21, $C$9, 100%, $E$9)</f>
        <v>39.807699999999997</v>
      </c>
      <c r="S1055" s="10">
        <f>CHOOSE(CONTROL!$C$42, 37.724, 37.724) * CHOOSE(CONTROL!$C$21, $C$9, 100%, $E$9)</f>
        <v>37.723999999999997</v>
      </c>
      <c r="T1055" s="58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055" s="58">
        <f>(1000*CHOOSE(CONTROL!$C$42, 695, 695)*CHOOSE(CONTROL!$C$42, 0.5599, 0.5599)*CHOOSE(CONTROL!$C$42, 30, 30))/1000000</f>
        <v>11.673914999999997</v>
      </c>
      <c r="V1055" s="58">
        <f>(1000*CHOOSE(CONTROL!$C$42, 500, 500)*CHOOSE(CONTROL!$C$42, 0.275, 0.275)*CHOOSE(CONTROL!$C$42, 30, 30))/1000000</f>
        <v>4.125</v>
      </c>
      <c r="W1055" s="58">
        <f>(1000*CHOOSE(CONTROL!$C$42, 0.1146, 0.1146)*CHOOSE(CONTROL!$C$42, 121.5, 121.5)*CHOOSE(CONTROL!$C$42, 30, 30))/1000000</f>
        <v>0.417717</v>
      </c>
      <c r="X1055" s="58">
        <f>(30*0.1790888*100000/1000000)+(30*0.2374*100000/1000000)</f>
        <v>1.2494664</v>
      </c>
      <c r="Y1055" s="58"/>
      <c r="Z1055" s="10"/>
      <c r="AA1055" s="57"/>
      <c r="AB1055" s="51">
        <f>(B1055*122.58+C1055*297.941+D1055*89.177+E1055*40.302+F1055*40+G1055*160+H1055*0+I1055*100+J1055*300)/(122.58+297.941+89.177+40.302+0+40+160+100+300)</f>
        <v>38.846765342608691</v>
      </c>
      <c r="AC1055" s="27">
        <f>(M1055*'RAP TEMPLATE-GAS AVAILABILITY'!O1054+N1055*'RAP TEMPLATE-GAS AVAILABILITY'!P1054+O1055*'RAP TEMPLATE-GAS AVAILABILITY'!Q1054+P1055*'RAP TEMPLATE-GAS AVAILABILITY'!R1054)/('RAP TEMPLATE-GAS AVAILABILITY'!O1054+'RAP TEMPLATE-GAS AVAILABILITY'!P1054+'RAP TEMPLATE-GAS AVAILABILITY'!Q1054+'RAP TEMPLATE-GAS AVAILABILITY'!R1054)</f>
        <v>38.484198561151082</v>
      </c>
    </row>
    <row r="1056" spans="1:29" ht="15.75" x14ac:dyDescent="0.25">
      <c r="A1056" s="13">
        <v>73415</v>
      </c>
      <c r="B1056" s="10">
        <f>CHOOSE(CONTROL!$C$42, 41.4973, 41.4973) * CHOOSE(CONTROL!$C$21, $C$9, 100%, $E$9)</f>
        <v>41.497300000000003</v>
      </c>
      <c r="C1056" s="10">
        <f>CHOOSE(CONTROL!$C$42, 41.5023, 41.5023) * CHOOSE(CONTROL!$C$21, $C$9, 100%, $E$9)</f>
        <v>41.502299999999998</v>
      </c>
      <c r="D1056" s="10">
        <f>CHOOSE(CONTROL!$C$42, 41.5319, 41.5319) * CHOOSE(CONTROL!$C$21, $C$9, 100%, $E$9)</f>
        <v>41.5319</v>
      </c>
      <c r="E1056" s="10">
        <f>CHOOSE(CONTROL!$C$42, 41.5657, 41.5657) * CHOOSE(CONTROL!$C$21, $C$9, 100%, $E$9)</f>
        <v>41.5657</v>
      </c>
      <c r="F1056" s="10">
        <f>CHOOSE(CONTROL!$C$42, 41.4847, 41.4847)*CHOOSE(CONTROL!$C$21, $C$9, 100%, $E$9)</f>
        <v>41.484699999999997</v>
      </c>
      <c r="G1056" s="10">
        <f>CHOOSE(CONTROL!$C$42, 41.5031, 41.5031)*CHOOSE(CONTROL!$C$21, $C$9, 100%, $E$9)</f>
        <v>41.503100000000003</v>
      </c>
      <c r="H1056" s="10">
        <f>CHOOSE(CONTROL!$C$42, 41.5549, 41.5549) * CHOOSE(CONTROL!$C$21, $C$9, 100%, $E$9)</f>
        <v>41.554900000000004</v>
      </c>
      <c r="I1056" s="10">
        <f>CHOOSE(CONTROL!$C$42, 41.4635, 41.4635)* CHOOSE(CONTROL!$C$21, $C$9, 100%, $E$9)</f>
        <v>41.463500000000003</v>
      </c>
      <c r="J1056" s="10">
        <f>CHOOSE(CONTROL!$C$42, 41.4777, 41.4777)* CHOOSE(CONTROL!$C$21, $C$9, 100%, $E$9)</f>
        <v>41.477699999999999</v>
      </c>
      <c r="K1056" s="54">
        <f>CHOOSE(CONTROL!$C$42, 41.4596, 41.4596) * CHOOSE(CONTROL!$C$21, $C$9, 100%, $E$9)</f>
        <v>41.459600000000002</v>
      </c>
      <c r="L1056" s="10">
        <f>CHOOSE(CONTROL!$C$42, 42.1419, 42.1419) * CHOOSE(CONTROL!$C$21, $C$9, 100%, $E$9)</f>
        <v>42.1419</v>
      </c>
      <c r="M1056" s="10">
        <f>CHOOSE(CONTROL!$C$42, 41.0729, 41.0729) * CHOOSE(CONTROL!$C$21, $C$9, 100%, $E$9)</f>
        <v>41.072899999999997</v>
      </c>
      <c r="N1056" s="10">
        <f>CHOOSE(CONTROL!$C$42, 41.0912, 41.0912) * CHOOSE(CONTROL!$C$21, $C$9, 100%, $E$9)</f>
        <v>41.091200000000001</v>
      </c>
      <c r="O1056" s="10">
        <f>CHOOSE(CONTROL!$C$42, 41.1494, 41.1494) * CHOOSE(CONTROL!$C$21, $C$9, 100%, $E$9)</f>
        <v>41.1494</v>
      </c>
      <c r="P1056" s="10">
        <f>CHOOSE(CONTROL!$C$42, 41.059, 41.059) * CHOOSE(CONTROL!$C$21, $C$9, 100%, $E$9)</f>
        <v>41.058999999999997</v>
      </c>
      <c r="Q1056" s="10">
        <f>CHOOSE(CONTROL!$C$42, 41.7447, 41.7447) * CHOOSE(CONTROL!$C$21, $C$9, 100%, $E$9)</f>
        <v>41.744700000000002</v>
      </c>
      <c r="R1056" s="10">
        <f>CHOOSE(CONTROL!$C$42, 42.436, 42.436) * CHOOSE(CONTROL!$C$21, $C$9, 100%, $E$9)</f>
        <v>42.436</v>
      </c>
      <c r="S1056" s="10">
        <f>CHOOSE(CONTROL!$C$42, 40.2959, 40.2959) * CHOOSE(CONTROL!$C$21, $C$9, 100%, $E$9)</f>
        <v>40.295900000000003</v>
      </c>
      <c r="T1056" s="58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056" s="58">
        <f>(1000*CHOOSE(CONTROL!$C$42, 695, 695)*CHOOSE(CONTROL!$C$42, 0.5599, 0.5599)*CHOOSE(CONTROL!$C$42, 31, 31))/1000000</f>
        <v>12.063045499999998</v>
      </c>
      <c r="V1056" s="58">
        <f>(1000*CHOOSE(CONTROL!$C$42, 500, 500)*CHOOSE(CONTROL!$C$42, 0.275, 0.275)*CHOOSE(CONTROL!$C$42, 31, 31))/1000000</f>
        <v>4.2625000000000002</v>
      </c>
      <c r="W1056" s="58">
        <f>(1000*CHOOSE(CONTROL!$C$42, 0.1146, 0.1146)*CHOOSE(CONTROL!$C$42, 121.5, 121.5)*CHOOSE(CONTROL!$C$42, 31, 31))/1000000</f>
        <v>0.43164089999999994</v>
      </c>
      <c r="X1056" s="58">
        <f>(31*0.1790888*100000/1000000)+(31*0.2374*100000/1000000)</f>
        <v>1.2911152800000001</v>
      </c>
      <c r="Y1056" s="58"/>
      <c r="Z1056" s="10"/>
      <c r="AA1056" s="57"/>
      <c r="AB1056" s="51">
        <f>(B1056*122.58+C1056*297.941+D1056*89.177+E1056*40.302+F1056*40+G1056*160+H1056*0+I1056*100+J1056*300)/(122.58+297.941+89.177+40.302+0+40+160+100+300)</f>
        <v>41.495992074782606</v>
      </c>
      <c r="AC1056" s="27">
        <f>(M1056*'RAP TEMPLATE-GAS AVAILABILITY'!O1055+N1056*'RAP TEMPLATE-GAS AVAILABILITY'!P1055+O1056*'RAP TEMPLATE-GAS AVAILABILITY'!Q1055+P1056*'RAP TEMPLATE-GAS AVAILABILITY'!R1055)/('RAP TEMPLATE-GAS AVAILABILITY'!O1055+'RAP TEMPLATE-GAS AVAILABILITY'!P1055+'RAP TEMPLATE-GAS AVAILABILITY'!Q1055+'RAP TEMPLATE-GAS AVAILABILITY'!R1055)</f>
        <v>41.10662589928058</v>
      </c>
    </row>
    <row r="1057" spans="1:29" ht="15" x14ac:dyDescent="0.2">
      <c r="A1057" s="12"/>
    </row>
    <row r="1058" spans="1:29" ht="15.75" x14ac:dyDescent="0.25">
      <c r="A1058" s="11">
        <v>2014</v>
      </c>
      <c r="B1058" s="10">
        <f t="shared" ref="B1058:J1058" si="2">AVERAGE(B13:B24)</f>
        <v>4.7571454067149705</v>
      </c>
      <c r="C1058" s="10">
        <f t="shared" si="2"/>
        <v>4.7633044858348557</v>
      </c>
      <c r="D1058" s="10">
        <f t="shared" si="2"/>
        <v>4.8899048584196469</v>
      </c>
      <c r="E1058" s="10">
        <f t="shared" si="2"/>
        <v>4.9219927257562501</v>
      </c>
      <c r="F1058" s="10">
        <f t="shared" si="2"/>
        <v>4.7463613586280724</v>
      </c>
      <c r="G1058" s="10">
        <f t="shared" si="2"/>
        <v>4.7645078311795528</v>
      </c>
      <c r="H1058" s="10">
        <f t="shared" si="2"/>
        <v>4.9111087597468126</v>
      </c>
      <c r="I1058" s="10">
        <f t="shared" si="2"/>
        <v>4.7369174919405443</v>
      </c>
      <c r="J1058" s="10">
        <f t="shared" si="2"/>
        <v>4.7393613586280727</v>
      </c>
      <c r="K1058" s="54"/>
      <c r="L1058" s="10">
        <f t="shared" ref="L1058:S1058" si="3">AVERAGE(L13:L24)</f>
        <v>5.4981087597468106</v>
      </c>
      <c r="M1058" s="10">
        <f t="shared" si="3"/>
        <v>4.7053542409416123</v>
      </c>
      <c r="N1058" s="10">
        <f t="shared" si="3"/>
        <v>4.7233380656049588</v>
      </c>
      <c r="O1058" s="10">
        <f t="shared" si="3"/>
        <v>4.8753983043732214</v>
      </c>
      <c r="P1058" s="10">
        <f t="shared" si="3"/>
        <v>4.7029867328475659</v>
      </c>
      <c r="Q1058" s="10">
        <f t="shared" si="3"/>
        <v>5.4706983043732222</v>
      </c>
      <c r="R1058" s="10">
        <f t="shared" si="3"/>
        <v>6.0713619043008196</v>
      </c>
      <c r="S1058" s="10">
        <f t="shared" si="3"/>
        <v>4.6165662782567951</v>
      </c>
      <c r="T1058" s="50">
        <f t="shared" ref="T1058:Y1058" si="4">SUM(T13:T24)</f>
        <v>364.74275707999999</v>
      </c>
      <c r="U1058" s="50">
        <f t="shared" si="4"/>
        <v>142.03378299999997</v>
      </c>
      <c r="V1058" s="50">
        <f t="shared" si="4"/>
        <v>58.217499999999994</v>
      </c>
      <c r="W1058" s="50">
        <f t="shared" si="4"/>
        <v>8.3654459999999986</v>
      </c>
      <c r="X1058" s="50">
        <f t="shared" si="4"/>
        <v>5.5571254639999994</v>
      </c>
      <c r="Y1058" s="50">
        <f t="shared" si="4"/>
        <v>1.2000000000000002</v>
      </c>
      <c r="Z1058" s="10">
        <f>AVERAGE(Z13:Z24)</f>
        <v>4.7145022807131989</v>
      </c>
      <c r="AA1058" s="50">
        <f>SUM(AA13:AA24)</f>
        <v>12.630990000000001</v>
      </c>
      <c r="AB1058" s="51">
        <f>AVERAGE(AB13:AB24)</f>
        <v>4.7967731156718267</v>
      </c>
      <c r="AC1058" s="27">
        <f>AVERAGE(AC13:AC24)</f>
        <v>4.7710792649830749</v>
      </c>
    </row>
    <row r="1059" spans="1:29" ht="15.75" x14ac:dyDescent="0.25">
      <c r="A1059" s="11">
        <v>2015</v>
      </c>
      <c r="B1059" s="10">
        <f t="shared" ref="B1059:J1059" si="5">AVERAGE(B25:B36)</f>
        <v>4.3435083333333333</v>
      </c>
      <c r="C1059" s="10">
        <f t="shared" si="5"/>
        <v>4.3496916666666658</v>
      </c>
      <c r="D1059" s="10">
        <f t="shared" si="5"/>
        <v>4.4809916666666654</v>
      </c>
      <c r="E1059" s="10">
        <f t="shared" si="5"/>
        <v>4.5130749999999997</v>
      </c>
      <c r="F1059" s="10">
        <f t="shared" si="5"/>
        <v>4.3397499999999987</v>
      </c>
      <c r="G1059" s="10">
        <f t="shared" si="5"/>
        <v>4.3582916666666662</v>
      </c>
      <c r="H1059" s="10">
        <f t="shared" si="5"/>
        <v>4.5022083333333329</v>
      </c>
      <c r="I1059" s="10">
        <f t="shared" si="5"/>
        <v>4.3273249999999992</v>
      </c>
      <c r="J1059" s="10">
        <f t="shared" si="5"/>
        <v>4.3327499999999999</v>
      </c>
      <c r="K1059" s="54"/>
      <c r="L1059" s="10">
        <f t="shared" ref="L1059:S1059" si="6">AVERAGE(L25:L36)</f>
        <v>5.0892083333333327</v>
      </c>
      <c r="M1059" s="10">
        <f t="shared" si="6"/>
        <v>4.3028583333333321</v>
      </c>
      <c r="N1059" s="10">
        <f t="shared" si="6"/>
        <v>4.3212166666666665</v>
      </c>
      <c r="O1059" s="10">
        <f t="shared" si="6"/>
        <v>4.4706000000000001</v>
      </c>
      <c r="P1059" s="10">
        <f t="shared" si="6"/>
        <v>4.2975583333333338</v>
      </c>
      <c r="Q1059" s="10">
        <f t="shared" si="6"/>
        <v>5.0658999999999992</v>
      </c>
      <c r="R1059" s="10">
        <f t="shared" si="6"/>
        <v>5.6655666666666669</v>
      </c>
      <c r="S1059" s="10">
        <f t="shared" si="6"/>
        <v>4.2148833333333338</v>
      </c>
      <c r="T1059" s="50">
        <f>SUM(T25:T36)</f>
        <v>364.742681</v>
      </c>
      <c r="U1059" s="50">
        <f>SUM(U25:U36)</f>
        <v>142.03263249999998</v>
      </c>
      <c r="V1059" s="50">
        <f>SUM(V25:V36)</f>
        <v>58.217499999999994</v>
      </c>
      <c r="W1059" s="50">
        <f>SUM(W25:W36)</f>
        <v>8.3657999999999983</v>
      </c>
      <c r="X1059" s="50">
        <f>SUM(X25:X36)</f>
        <v>17.010567464000001</v>
      </c>
      <c r="Y1059" s="50"/>
      <c r="Z1059" s="10">
        <f>AVERAGE(Z25:Z36)</f>
        <v>4.3050500000000005</v>
      </c>
      <c r="AA1059" s="50">
        <f>SUM(AA25:AA36)</f>
        <v>12.811459999999997</v>
      </c>
      <c r="AB1059" s="51">
        <f>AVERAGE(AB25:AB36)</f>
        <v>4.3700176047575692</v>
      </c>
      <c r="AC1059" s="27">
        <f>AVERAGE(AC25:AC36)</f>
        <v>4.3594875299760192</v>
      </c>
    </row>
    <row r="1060" spans="1:29" ht="15.75" x14ac:dyDescent="0.25">
      <c r="A1060" s="11">
        <v>2016</v>
      </c>
      <c r="B1060" s="10">
        <f t="shared" ref="B1060:J1060" si="7">AVERAGE(B37:B48)</f>
        <v>4.2773500000000002</v>
      </c>
      <c r="C1060" s="10">
        <f t="shared" si="7"/>
        <v>4.2835166666666664</v>
      </c>
      <c r="D1060" s="10">
        <f t="shared" si="7"/>
        <v>4.4148166666666668</v>
      </c>
      <c r="E1060" s="10">
        <f t="shared" si="7"/>
        <v>4.4469166666666666</v>
      </c>
      <c r="F1060" s="10">
        <f t="shared" si="7"/>
        <v>4.2735833333333328</v>
      </c>
      <c r="G1060" s="10">
        <f t="shared" si="7"/>
        <v>4.2921249999999995</v>
      </c>
      <c r="H1060" s="10">
        <f t="shared" si="7"/>
        <v>4.4360499999999998</v>
      </c>
      <c r="I1060" s="10">
        <f t="shared" si="7"/>
        <v>4.261166666666667</v>
      </c>
      <c r="J1060" s="10">
        <f t="shared" si="7"/>
        <v>4.2665833333333341</v>
      </c>
      <c r="K1060" s="54"/>
      <c r="L1060" s="10">
        <f t="shared" ref="L1060:S1060" si="8">AVERAGE(L37:L48)</f>
        <v>5.0230499999999996</v>
      </c>
      <c r="M1060" s="10">
        <f t="shared" si="8"/>
        <v>4.2373749999999992</v>
      </c>
      <c r="N1060" s="10">
        <f t="shared" si="8"/>
        <v>4.2557166666666673</v>
      </c>
      <c r="O1060" s="10">
        <f t="shared" si="8"/>
        <v>4.4051</v>
      </c>
      <c r="P1060" s="10">
        <f t="shared" si="8"/>
        <v>4.2320500000000001</v>
      </c>
      <c r="Q1060" s="10">
        <f t="shared" si="8"/>
        <v>5.0004</v>
      </c>
      <c r="R1060" s="10">
        <f t="shared" si="8"/>
        <v>5.5999083333333326</v>
      </c>
      <c r="S1060" s="10">
        <f t="shared" si="8"/>
        <v>4.1506333333333334</v>
      </c>
      <c r="T1060" s="50">
        <f>SUM(T37:T48)</f>
        <v>358.17703550000004</v>
      </c>
      <c r="U1060" s="50">
        <f>SUM(U37:U48)</f>
        <v>142.42176299999997</v>
      </c>
      <c r="V1060" s="50">
        <f>SUM(V37:V48)</f>
        <v>58.377000000000002</v>
      </c>
      <c r="W1060" s="50">
        <f>SUM(W37:W48)</f>
        <v>6.1846754999999982</v>
      </c>
      <c r="X1060" s="50">
        <f>SUM(X37:X48)</f>
        <v>20.800615543999996</v>
      </c>
      <c r="Y1060" s="50"/>
      <c r="Z1060" s="10"/>
      <c r="AA1060" s="50"/>
      <c r="AB1060" s="51">
        <f>AVERAGE(AB37:AB48)</f>
        <v>4.2981632188087993</v>
      </c>
      <c r="AC1060" s="27">
        <f>AVERAGE(AC37:AC48)</f>
        <v>4.2928923261390892</v>
      </c>
    </row>
    <row r="1061" spans="1:29" ht="15.75" x14ac:dyDescent="0.25">
      <c r="A1061" s="11">
        <v>2017</v>
      </c>
      <c r="B1061" s="10">
        <f t="shared" ref="B1061:S1061" si="9">AVERAGE(B49:B60)</f>
        <v>4.6354666666666668</v>
      </c>
      <c r="C1061" s="10">
        <f t="shared" si="9"/>
        <v>4.6416166666666667</v>
      </c>
      <c r="D1061" s="10">
        <f t="shared" si="9"/>
        <v>4.7729333333333335</v>
      </c>
      <c r="E1061" s="10">
        <f t="shared" si="9"/>
        <v>4.8050333333333333</v>
      </c>
      <c r="F1061" s="10">
        <f t="shared" si="9"/>
        <v>4.6317083333333331</v>
      </c>
      <c r="G1061" s="10">
        <f t="shared" si="9"/>
        <v>4.6502333333333326</v>
      </c>
      <c r="H1061" s="10">
        <f t="shared" si="9"/>
        <v>4.7941583333333329</v>
      </c>
      <c r="I1061" s="10">
        <f t="shared" si="9"/>
        <v>4.6192916666666664</v>
      </c>
      <c r="J1061" s="10">
        <f t="shared" si="9"/>
        <v>4.6247083333333334</v>
      </c>
      <c r="K1061" s="54">
        <f t="shared" si="9"/>
        <v>4.6154000000000011</v>
      </c>
      <c r="L1061" s="10">
        <f t="shared" si="9"/>
        <v>5.3811583333333326</v>
      </c>
      <c r="M1061" s="10">
        <f t="shared" si="9"/>
        <v>4.5918749999999999</v>
      </c>
      <c r="N1061" s="10">
        <f t="shared" si="9"/>
        <v>4.6102166666666662</v>
      </c>
      <c r="O1061" s="10">
        <f t="shared" si="9"/>
        <v>4.7596083333333334</v>
      </c>
      <c r="P1061" s="10">
        <f t="shared" si="9"/>
        <v>4.5865499999999999</v>
      </c>
      <c r="Q1061" s="10">
        <f t="shared" si="9"/>
        <v>5.3549083333333334</v>
      </c>
      <c r="R1061" s="10">
        <f t="shared" si="9"/>
        <v>5.955283333333333</v>
      </c>
      <c r="S1061" s="10">
        <f t="shared" si="9"/>
        <v>4.4984083333333329</v>
      </c>
      <c r="T1061" s="50">
        <f>SUM(T49:T60)</f>
        <v>357.24568100000005</v>
      </c>
      <c r="U1061" s="50">
        <f>SUM(U49:U60)</f>
        <v>142.03263249999998</v>
      </c>
      <c r="V1061" s="50">
        <f>SUM(V49:V60)</f>
        <v>58.217499999999994</v>
      </c>
      <c r="W1061" s="50">
        <f>SUM(W49:W60)</f>
        <v>5.0822234999999996</v>
      </c>
      <c r="X1061" s="50">
        <f>SUM(X49:X60)</f>
        <v>20.758966663999999</v>
      </c>
      <c r="Y1061" s="50"/>
      <c r="Z1061" s="10"/>
      <c r="AA1061" s="10"/>
      <c r="AB1061" s="51">
        <f>AVERAGE(AB49:AB60)</f>
        <v>4.6562773826331378</v>
      </c>
      <c r="AC1061" s="27">
        <f>AVERAGE(AC49:AC60)</f>
        <v>4.6473961031175071</v>
      </c>
    </row>
    <row r="1062" spans="1:29" ht="15.75" x14ac:dyDescent="0.25">
      <c r="A1062" s="11">
        <v>2018</v>
      </c>
      <c r="B1062" s="10">
        <f t="shared" ref="B1062:S1062" si="10">AVERAGE(B61:B72)</f>
        <v>4.8210833333333332</v>
      </c>
      <c r="C1062" s="10">
        <f t="shared" si="10"/>
        <v>4.8272249999999994</v>
      </c>
      <c r="D1062" s="10">
        <f t="shared" si="10"/>
        <v>4.9585583333333334</v>
      </c>
      <c r="E1062" s="10">
        <f t="shared" si="10"/>
        <v>4.990641666666666</v>
      </c>
      <c r="F1062" s="10">
        <f t="shared" si="10"/>
        <v>4.8173166666666658</v>
      </c>
      <c r="G1062" s="10">
        <f t="shared" si="10"/>
        <v>4.8358499999999998</v>
      </c>
      <c r="H1062" s="10">
        <f t="shared" si="10"/>
        <v>4.9797500000000001</v>
      </c>
      <c r="I1062" s="10">
        <f t="shared" si="10"/>
        <v>4.8049249999999999</v>
      </c>
      <c r="J1062" s="10">
        <f t="shared" si="10"/>
        <v>4.8103166666666661</v>
      </c>
      <c r="K1062" s="54">
        <f t="shared" si="10"/>
        <v>4.8010250000000001</v>
      </c>
      <c r="L1062" s="10">
        <f t="shared" si="10"/>
        <v>5.566749999999999</v>
      </c>
      <c r="M1062" s="10">
        <f t="shared" si="10"/>
        <v>4.7755916666666662</v>
      </c>
      <c r="N1062" s="10">
        <f t="shared" si="10"/>
        <v>4.7939666666666678</v>
      </c>
      <c r="O1062" s="10">
        <f t="shared" si="10"/>
        <v>4.943341666666667</v>
      </c>
      <c r="P1062" s="10">
        <f t="shared" si="10"/>
        <v>4.7702833333333325</v>
      </c>
      <c r="Q1062" s="10">
        <f t="shared" si="10"/>
        <v>5.5386416666666669</v>
      </c>
      <c r="R1062" s="10">
        <f t="shared" si="10"/>
        <v>6.1394999999999982</v>
      </c>
      <c r="S1062" s="10">
        <f t="shared" si="10"/>
        <v>4.6786249999999994</v>
      </c>
      <c r="T1062" s="50">
        <f>SUM(T61:T72)</f>
        <v>357.24568100000005</v>
      </c>
      <c r="U1062" s="50">
        <f>SUM(U61:U72)</f>
        <v>142.03263249999998</v>
      </c>
      <c r="V1062" s="50">
        <f>SUM(V61:V72)</f>
        <v>50.187500000000007</v>
      </c>
      <c r="W1062" s="50">
        <f>SUM(W61:W72)</f>
        <v>5.0822234999999996</v>
      </c>
      <c r="X1062" s="50">
        <f>SUM(X61:X72)</f>
        <v>20.758966663999999</v>
      </c>
      <c r="Y1062" s="50"/>
      <c r="Z1062" s="10"/>
      <c r="AA1062" s="10"/>
      <c r="AB1062" s="51">
        <f>AVERAGE(AB61:AB72)</f>
        <v>4.8418919181749205</v>
      </c>
      <c r="AC1062" s="27">
        <f>AVERAGE(AC61:AC72)</f>
        <v>4.8311275179856112</v>
      </c>
    </row>
    <row r="1063" spans="1:29" ht="15.75" x14ac:dyDescent="0.25">
      <c r="A1063" s="11">
        <v>2019</v>
      </c>
      <c r="B1063" s="10">
        <f t="shared" ref="B1063:S1063" si="11">AVERAGE(B73:B84)</f>
        <v>5.4619416666666671</v>
      </c>
      <c r="C1063" s="10">
        <f t="shared" si="11"/>
        <v>5.4680833333333334</v>
      </c>
      <c r="D1063" s="10">
        <f t="shared" si="11"/>
        <v>5.5994250000000001</v>
      </c>
      <c r="E1063" s="10">
        <f t="shared" si="11"/>
        <v>5.6314999999999991</v>
      </c>
      <c r="F1063" s="10">
        <f t="shared" si="11"/>
        <v>5.4581833333333334</v>
      </c>
      <c r="G1063" s="10">
        <f t="shared" si="11"/>
        <v>5.4767249999999992</v>
      </c>
      <c r="H1063" s="10">
        <f t="shared" si="11"/>
        <v>5.6206166666666659</v>
      </c>
      <c r="I1063" s="10">
        <f t="shared" si="11"/>
        <v>5.445758333333333</v>
      </c>
      <c r="J1063" s="10">
        <f t="shared" si="11"/>
        <v>5.4511833333333328</v>
      </c>
      <c r="K1063" s="54">
        <f t="shared" si="11"/>
        <v>5.4418749999999996</v>
      </c>
      <c r="L1063" s="10">
        <f t="shared" si="11"/>
        <v>6.2076166666666666</v>
      </c>
      <c r="M1063" s="10">
        <f t="shared" si="11"/>
        <v>5.4099833333333338</v>
      </c>
      <c r="N1063" s="10">
        <f t="shared" si="11"/>
        <v>5.4283499999999991</v>
      </c>
      <c r="O1063" s="10">
        <f t="shared" si="11"/>
        <v>5.577725</v>
      </c>
      <c r="P1063" s="10">
        <f t="shared" si="11"/>
        <v>5.4046750000000001</v>
      </c>
      <c r="Q1063" s="10">
        <f t="shared" si="11"/>
        <v>6.173025</v>
      </c>
      <c r="R1063" s="10">
        <f t="shared" si="11"/>
        <v>6.7754666666666665</v>
      </c>
      <c r="S1063" s="10">
        <f t="shared" si="11"/>
        <v>5.3009750000000002</v>
      </c>
      <c r="T1063" s="50">
        <f>SUM(T73:T84)</f>
        <v>357.24568100000005</v>
      </c>
      <c r="U1063" s="50">
        <f>SUM(U73:U84)</f>
        <v>142.03263249999998</v>
      </c>
      <c r="V1063" s="50">
        <f>SUM(V73:V84)</f>
        <v>50.187500000000007</v>
      </c>
      <c r="W1063" s="50">
        <f>SUM(W73:W84)</f>
        <v>5.0822234999999996</v>
      </c>
      <c r="X1063" s="50">
        <f>SUM(X73:X84)</f>
        <v>20.758966663999999</v>
      </c>
      <c r="Y1063" s="50"/>
      <c r="Z1063" s="10"/>
      <c r="AA1063" s="10"/>
      <c r="AB1063" s="51">
        <f>AVERAGE(AB73:AB84)</f>
        <v>5.4827540202877323</v>
      </c>
      <c r="AC1063" s="27">
        <f>AVERAGE(AC73:AC84)</f>
        <v>5.4655149280575541</v>
      </c>
    </row>
    <row r="1064" spans="1:29" ht="15.75" x14ac:dyDescent="0.25">
      <c r="A1064" s="11">
        <v>2020</v>
      </c>
      <c r="B1064" s="10">
        <f t="shared" ref="B1064:S1064" si="12">AVERAGE(B85:B96)</f>
        <v>5.6163999999999996</v>
      </c>
      <c r="C1064" s="10">
        <f t="shared" si="12"/>
        <v>5.6225666666666667</v>
      </c>
      <c r="D1064" s="10">
        <f t="shared" si="12"/>
        <v>5.7538749999999999</v>
      </c>
      <c r="E1064" s="10">
        <f t="shared" si="12"/>
        <v>5.7859833333333333</v>
      </c>
      <c r="F1064" s="10">
        <f t="shared" si="12"/>
        <v>5.6126250000000004</v>
      </c>
      <c r="G1064" s="10">
        <f t="shared" si="12"/>
        <v>5.6311749999999998</v>
      </c>
      <c r="H1064" s="10">
        <f t="shared" si="12"/>
        <v>5.7750999999999992</v>
      </c>
      <c r="I1064" s="10">
        <f t="shared" si="12"/>
        <v>5.6002250000000009</v>
      </c>
      <c r="J1064" s="10">
        <f t="shared" si="12"/>
        <v>5.6056249999999999</v>
      </c>
      <c r="K1064" s="54">
        <f t="shared" si="12"/>
        <v>5.5963416666666665</v>
      </c>
      <c r="L1064" s="10">
        <f t="shared" si="12"/>
        <v>6.3621000000000008</v>
      </c>
      <c r="M1064" s="10">
        <f t="shared" si="12"/>
        <v>5.5628833333333345</v>
      </c>
      <c r="N1064" s="10">
        <f t="shared" si="12"/>
        <v>5.5812583333333343</v>
      </c>
      <c r="O1064" s="10">
        <f t="shared" si="12"/>
        <v>5.7306333333333335</v>
      </c>
      <c r="P1064" s="10">
        <f t="shared" si="12"/>
        <v>5.5575916666666672</v>
      </c>
      <c r="Q1064" s="10">
        <f t="shared" si="12"/>
        <v>6.3259333333333343</v>
      </c>
      <c r="R1064" s="10">
        <f t="shared" si="12"/>
        <v>6.92875</v>
      </c>
      <c r="S1064" s="10">
        <f t="shared" si="12"/>
        <v>5.4509749999999997</v>
      </c>
      <c r="T1064" s="50">
        <f>SUM(T85:T96)</f>
        <v>358.17703550000004</v>
      </c>
      <c r="U1064" s="50">
        <f>SUM(U85:U96)</f>
        <v>142.42176299999997</v>
      </c>
      <c r="V1064" s="50">
        <f>SUM(V85:V96)</f>
        <v>50.325000000000003</v>
      </c>
      <c r="W1064" s="50">
        <f>SUM(W85:W96)</f>
        <v>5.0961473999999995</v>
      </c>
      <c r="X1064" s="50">
        <f>SUM(X85:X96)</f>
        <v>20.800615543999996</v>
      </c>
      <c r="Y1064" s="50"/>
      <c r="Z1064" s="10"/>
      <c r="AA1064" s="10"/>
      <c r="AB1064" s="51">
        <f>AVERAGE(AB85:AB96)</f>
        <v>5.6372132564281543</v>
      </c>
      <c r="AC1064" s="27">
        <f>AVERAGE(AC85:AC96)</f>
        <v>5.6184201438848929</v>
      </c>
    </row>
    <row r="1065" spans="1:29" ht="15.75" x14ac:dyDescent="0.25">
      <c r="A1065" s="11">
        <v>2021</v>
      </c>
      <c r="B1065" s="10">
        <f t="shared" ref="B1065:S1065" si="13">AVERAGE(B97:B108)</f>
        <v>5.8223500000000001</v>
      </c>
      <c r="C1065" s="10">
        <f t="shared" si="13"/>
        <v>5.8285083333333327</v>
      </c>
      <c r="D1065" s="10">
        <f t="shared" si="13"/>
        <v>5.9598333333333331</v>
      </c>
      <c r="E1065" s="10">
        <f t="shared" si="13"/>
        <v>5.9919250000000011</v>
      </c>
      <c r="F1065" s="10">
        <f t="shared" si="13"/>
        <v>5.8185833333333337</v>
      </c>
      <c r="G1065" s="10">
        <f t="shared" si="13"/>
        <v>5.8371416666666667</v>
      </c>
      <c r="H1065" s="10">
        <f t="shared" si="13"/>
        <v>5.9810499999999989</v>
      </c>
      <c r="I1065" s="10">
        <f t="shared" si="13"/>
        <v>5.8061999999999996</v>
      </c>
      <c r="J1065" s="10">
        <f t="shared" si="13"/>
        <v>5.811583333333334</v>
      </c>
      <c r="K1065" s="54">
        <f t="shared" si="13"/>
        <v>5.8022999999999998</v>
      </c>
      <c r="L1065" s="10">
        <f t="shared" si="13"/>
        <v>6.5680500000000004</v>
      </c>
      <c r="M1065" s="10">
        <f t="shared" si="13"/>
        <v>5.766775</v>
      </c>
      <c r="N1065" s="10">
        <f t="shared" si="13"/>
        <v>5.7851333333333335</v>
      </c>
      <c r="O1065" s="10">
        <f t="shared" si="13"/>
        <v>5.9345249999999998</v>
      </c>
      <c r="P1065" s="10">
        <f t="shared" si="13"/>
        <v>5.7614749999999999</v>
      </c>
      <c r="Q1065" s="10">
        <f t="shared" si="13"/>
        <v>6.5298249999999998</v>
      </c>
      <c r="R1065" s="10">
        <f t="shared" si="13"/>
        <v>7.1331333333333342</v>
      </c>
      <c r="S1065" s="10">
        <f t="shared" si="13"/>
        <v>5.6509833333333335</v>
      </c>
      <c r="T1065" s="50">
        <f>SUM(T97:T108)</f>
        <v>357.24568100000005</v>
      </c>
      <c r="U1065" s="50">
        <f>SUM(U97:U108)</f>
        <v>142.03263249999998</v>
      </c>
      <c r="V1065" s="50">
        <f>SUM(V97:V108)</f>
        <v>50.187500000000007</v>
      </c>
      <c r="W1065" s="50">
        <f>SUM(W97:W108)</f>
        <v>5.0822234999999996</v>
      </c>
      <c r="X1065" s="50">
        <f>SUM(X97:X108)</f>
        <v>20.758966663999999</v>
      </c>
      <c r="Y1065" s="50"/>
      <c r="Z1065" s="10"/>
      <c r="AA1065" s="10"/>
      <c r="AB1065" s="51">
        <f>AVERAGE(AB97:AB108)</f>
        <v>5.8431675373763738</v>
      </c>
      <c r="AC1065" s="27">
        <f>AVERAGE(AC97:AC108)</f>
        <v>5.8223082134292561</v>
      </c>
    </row>
    <row r="1066" spans="1:29" ht="15.75" x14ac:dyDescent="0.25">
      <c r="A1066" s="11">
        <v>2022</v>
      </c>
      <c r="B1066" s="10">
        <f t="shared" ref="B1066:S1066" si="14">AVERAGE(B109:B120)</f>
        <v>6.0283083333333343</v>
      </c>
      <c r="C1066" s="10">
        <f t="shared" si="14"/>
        <v>6.0344583333333333</v>
      </c>
      <c r="D1066" s="10">
        <f t="shared" si="14"/>
        <v>6.1657833333333327</v>
      </c>
      <c r="E1066" s="10">
        <f t="shared" si="14"/>
        <v>6.1978666666666671</v>
      </c>
      <c r="F1066" s="10">
        <f t="shared" si="14"/>
        <v>6.0245333333333342</v>
      </c>
      <c r="G1066" s="10">
        <f t="shared" si="14"/>
        <v>6.0430833333333345</v>
      </c>
      <c r="H1066" s="10">
        <f t="shared" si="14"/>
        <v>6.1869916666666676</v>
      </c>
      <c r="I1066" s="10">
        <f t="shared" si="14"/>
        <v>6.0121416666666656</v>
      </c>
      <c r="J1066" s="10">
        <f t="shared" si="14"/>
        <v>6.0175333333333336</v>
      </c>
      <c r="K1066" s="54">
        <f t="shared" si="14"/>
        <v>6.0082416666666667</v>
      </c>
      <c r="L1066" s="10">
        <f t="shared" si="14"/>
        <v>6.7739916666666673</v>
      </c>
      <c r="M1066" s="10">
        <f t="shared" si="14"/>
        <v>5.97065</v>
      </c>
      <c r="N1066" s="10">
        <f t="shared" si="14"/>
        <v>5.9890166666666671</v>
      </c>
      <c r="O1066" s="10">
        <f t="shared" si="14"/>
        <v>6.1383833333333335</v>
      </c>
      <c r="P1066" s="10">
        <f t="shared" si="14"/>
        <v>5.9653333333333327</v>
      </c>
      <c r="Q1066" s="10">
        <f t="shared" si="14"/>
        <v>6.7336833333333326</v>
      </c>
      <c r="R1066" s="10">
        <f t="shared" si="14"/>
        <v>7.3375250000000003</v>
      </c>
      <c r="S1066" s="10">
        <f t="shared" si="14"/>
        <v>5.8509750000000009</v>
      </c>
      <c r="T1066" s="50">
        <f>SUM(T109:T120)</f>
        <v>357.24568100000005</v>
      </c>
      <c r="U1066" s="50">
        <f>SUM(U109:U120)</f>
        <v>142.03263249999998</v>
      </c>
      <c r="V1066" s="50">
        <f>SUM(V109:V120)</f>
        <v>50.187500000000007</v>
      </c>
      <c r="W1066" s="50">
        <f>SUM(W109:W120)</f>
        <v>5.0822234999999996</v>
      </c>
      <c r="X1066" s="50">
        <f>SUM(X109:X120)</f>
        <v>20.758966663999999</v>
      </c>
      <c r="Y1066" s="50"/>
      <c r="Z1066" s="10"/>
      <c r="AA1066" s="10"/>
      <c r="AB1066" s="51">
        <f>AVERAGE(AB109:AB120)</f>
        <v>6.0491168713865777</v>
      </c>
      <c r="AC1066" s="27">
        <f>AVERAGE(AC109:AC120)</f>
        <v>6.026176618705037</v>
      </c>
    </row>
    <row r="1067" spans="1:29" ht="15.75" x14ac:dyDescent="0.25">
      <c r="A1067" s="11">
        <v>2023</v>
      </c>
      <c r="B1067" s="10">
        <f t="shared" ref="B1067:S1067" si="15">AVERAGE(B121:B132)</f>
        <v>6.2342750000000002</v>
      </c>
      <c r="C1067" s="10">
        <f t="shared" si="15"/>
        <v>6.240425000000001</v>
      </c>
      <c r="D1067" s="10">
        <f t="shared" si="15"/>
        <v>6.3717499999999996</v>
      </c>
      <c r="E1067" s="10">
        <f t="shared" si="15"/>
        <v>6.4038166666666667</v>
      </c>
      <c r="F1067" s="10">
        <f t="shared" si="15"/>
        <v>6.2305083333333338</v>
      </c>
      <c r="G1067" s="10">
        <f t="shared" si="15"/>
        <v>6.2490499999999995</v>
      </c>
      <c r="H1067" s="10">
        <f t="shared" si="15"/>
        <v>6.3929333333333327</v>
      </c>
      <c r="I1067" s="10">
        <f t="shared" si="15"/>
        <v>6.2180916666666661</v>
      </c>
      <c r="J1067" s="10">
        <f t="shared" si="15"/>
        <v>6.2235083333333323</v>
      </c>
      <c r="K1067" s="54">
        <f t="shared" si="15"/>
        <v>6.2142000000000008</v>
      </c>
      <c r="L1067" s="10">
        <f t="shared" si="15"/>
        <v>6.9799333333333342</v>
      </c>
      <c r="M1067" s="10">
        <f t="shared" si="15"/>
        <v>6.1745166666666664</v>
      </c>
      <c r="N1067" s="10">
        <f t="shared" si="15"/>
        <v>6.1928750000000008</v>
      </c>
      <c r="O1067" s="10">
        <f t="shared" si="15"/>
        <v>6.3422583333333336</v>
      </c>
      <c r="P1067" s="10">
        <f t="shared" si="15"/>
        <v>6.1692083333333336</v>
      </c>
      <c r="Q1067" s="10">
        <f t="shared" si="15"/>
        <v>6.9375583333333317</v>
      </c>
      <c r="R1067" s="10">
        <f t="shared" si="15"/>
        <v>7.5419083333333328</v>
      </c>
      <c r="S1067" s="10">
        <f t="shared" si="15"/>
        <v>6.0509750000000002</v>
      </c>
      <c r="T1067" s="50">
        <f>SUM(T121:T132)</f>
        <v>357.24568100000005</v>
      </c>
      <c r="U1067" s="50">
        <f>SUM(U121:U132)</f>
        <v>142.03263249999998</v>
      </c>
      <c r="V1067" s="50">
        <f>SUM(V121:V132)</f>
        <v>50.187500000000007</v>
      </c>
      <c r="W1067" s="50">
        <f>SUM(W121:W132)</f>
        <v>5.0822234999999996</v>
      </c>
      <c r="X1067" s="50">
        <f>SUM(X121:X132)</f>
        <v>20.758966663999999</v>
      </c>
      <c r="Y1067" s="50"/>
      <c r="Z1067" s="10"/>
      <c r="AA1067" s="10"/>
      <c r="AB1067" s="51">
        <f>AVERAGE(AB121:AB132)</f>
        <v>6.2550842126163486</v>
      </c>
      <c r="AC1067" s="27">
        <f>AVERAGE(AC121:AC132)</f>
        <v>6.2300463429256601</v>
      </c>
    </row>
    <row r="1068" spans="1:29" ht="15.75" x14ac:dyDescent="0.25">
      <c r="A1068" s="11">
        <v>2024</v>
      </c>
      <c r="B1068" s="10">
        <f t="shared" ref="B1068:S1068" si="16">AVERAGE(B133:B144)</f>
        <v>6.4402250000000008</v>
      </c>
      <c r="C1068" s="10">
        <f t="shared" si="16"/>
        <v>6.4463749999999997</v>
      </c>
      <c r="D1068" s="10">
        <f t="shared" si="16"/>
        <v>6.5776750000000002</v>
      </c>
      <c r="E1068" s="10">
        <f t="shared" si="16"/>
        <v>6.609775</v>
      </c>
      <c r="F1068" s="10">
        <f t="shared" si="16"/>
        <v>6.4364416666666671</v>
      </c>
      <c r="G1068" s="10">
        <f t="shared" si="16"/>
        <v>6.4549999999999992</v>
      </c>
      <c r="H1068" s="10">
        <f t="shared" si="16"/>
        <v>6.5989083333333332</v>
      </c>
      <c r="I1068" s="10">
        <f t="shared" si="16"/>
        <v>6.4240333333333339</v>
      </c>
      <c r="J1068" s="10">
        <f t="shared" si="16"/>
        <v>6.4294416666666665</v>
      </c>
      <c r="K1068" s="54">
        <f t="shared" si="16"/>
        <v>6.4201500000000005</v>
      </c>
      <c r="L1068" s="10">
        <f t="shared" si="16"/>
        <v>7.1859083333333329</v>
      </c>
      <c r="M1068" s="10">
        <f t="shared" si="16"/>
        <v>6.3783916666666682</v>
      </c>
      <c r="N1068" s="10">
        <f t="shared" si="16"/>
        <v>6.3967583333333335</v>
      </c>
      <c r="O1068" s="10">
        <f t="shared" si="16"/>
        <v>6.5461249999999991</v>
      </c>
      <c r="P1068" s="10">
        <f t="shared" si="16"/>
        <v>6.373075</v>
      </c>
      <c r="Q1068" s="10">
        <f t="shared" si="16"/>
        <v>7.1414250000000008</v>
      </c>
      <c r="R1068" s="10">
        <f t="shared" si="16"/>
        <v>7.7462833333333316</v>
      </c>
      <c r="S1068" s="10">
        <f t="shared" si="16"/>
        <v>6.2509833333333331</v>
      </c>
      <c r="T1068" s="50">
        <f>SUM(T133:T144)</f>
        <v>358.17703550000004</v>
      </c>
      <c r="U1068" s="50">
        <f>SUM(U133:U144)</f>
        <v>142.42176299999997</v>
      </c>
      <c r="V1068" s="50">
        <f>SUM(V133:V144)</f>
        <v>50.325000000000003</v>
      </c>
      <c r="W1068" s="50">
        <f>SUM(W133:W144)</f>
        <v>5.0961473999999995</v>
      </c>
      <c r="X1068" s="50">
        <f>SUM(X133:X144)</f>
        <v>20.800615543999996</v>
      </c>
      <c r="Y1068" s="50"/>
      <c r="Z1068" s="10"/>
      <c r="AA1068" s="10"/>
      <c r="AB1068" s="51">
        <f>AVERAGE(AB133:AB144)</f>
        <v>6.4610262750982494</v>
      </c>
      <c r="AC1068" s="27">
        <f>AVERAGE(AC133:AC144)</f>
        <v>6.4339197242206234</v>
      </c>
    </row>
    <row r="1069" spans="1:29" ht="15.75" x14ac:dyDescent="0.25">
      <c r="A1069" s="11">
        <v>2025</v>
      </c>
      <c r="B1069" s="10">
        <f t="shared" ref="B1069:S1069" si="17">AVERAGE(B145:B156)</f>
        <v>6.5946749999999996</v>
      </c>
      <c r="C1069" s="10">
        <f t="shared" si="17"/>
        <v>6.6008250000000004</v>
      </c>
      <c r="D1069" s="10">
        <f t="shared" si="17"/>
        <v>6.7321499999999999</v>
      </c>
      <c r="E1069" s="10">
        <f t="shared" si="17"/>
        <v>6.7642666666666669</v>
      </c>
      <c r="F1069" s="10">
        <f t="shared" si="17"/>
        <v>6.5909166666666659</v>
      </c>
      <c r="G1069" s="10">
        <f t="shared" si="17"/>
        <v>6.6094583333333325</v>
      </c>
      <c r="H1069" s="10">
        <f t="shared" si="17"/>
        <v>6.753375000000001</v>
      </c>
      <c r="I1069" s="10">
        <f t="shared" si="17"/>
        <v>6.5784999999999982</v>
      </c>
      <c r="J1069" s="10">
        <f t="shared" si="17"/>
        <v>6.5839166666666671</v>
      </c>
      <c r="K1069" s="54">
        <f t="shared" si="17"/>
        <v>6.5746166666666674</v>
      </c>
      <c r="L1069" s="10">
        <f t="shared" si="17"/>
        <v>7.340374999999999</v>
      </c>
      <c r="M1069" s="10">
        <f t="shared" si="17"/>
        <v>6.5313083333333326</v>
      </c>
      <c r="N1069" s="10">
        <f t="shared" si="17"/>
        <v>6.549666666666667</v>
      </c>
      <c r="O1069" s="10">
        <f t="shared" si="17"/>
        <v>6.6990416666666661</v>
      </c>
      <c r="P1069" s="10">
        <f t="shared" si="17"/>
        <v>6.5259916666666653</v>
      </c>
      <c r="Q1069" s="10">
        <f t="shared" si="17"/>
        <v>7.2943416666666678</v>
      </c>
      <c r="R1069" s="10">
        <f t="shared" si="17"/>
        <v>7.8995749999999996</v>
      </c>
      <c r="S1069" s="10">
        <f t="shared" si="17"/>
        <v>6.4009833333333326</v>
      </c>
      <c r="T1069" s="50">
        <f>SUM(T145:T156)</f>
        <v>357.24568100000005</v>
      </c>
      <c r="U1069" s="50">
        <f>SUM(U145:U156)</f>
        <v>142.03263249999998</v>
      </c>
      <c r="V1069" s="50">
        <f>SUM(V145:V156)</f>
        <v>50.187500000000007</v>
      </c>
      <c r="W1069" s="50">
        <f>SUM(W145:W156)</f>
        <v>5.0822234999999996</v>
      </c>
      <c r="X1069" s="50">
        <f>SUM(X145:X156)</f>
        <v>20.758966663999999</v>
      </c>
      <c r="Y1069" s="50"/>
      <c r="Z1069" s="10"/>
      <c r="AA1069" s="10"/>
      <c r="AB1069" s="51">
        <f>AVERAGE(AB145:AB156)</f>
        <v>6.6154905455298723</v>
      </c>
      <c r="AC1069" s="27">
        <f>AVERAGE(AC145:AC156)</f>
        <v>6.5868344724220611</v>
      </c>
    </row>
    <row r="1070" spans="1:29" ht="15.75" x14ac:dyDescent="0.25">
      <c r="A1070" s="11">
        <v>2026</v>
      </c>
      <c r="B1070" s="10">
        <f t="shared" ref="B1070:S1070" si="18">AVERAGE(B157:B168)</f>
        <v>6.8006166666666665</v>
      </c>
      <c r="C1070" s="10">
        <f t="shared" si="18"/>
        <v>6.8068</v>
      </c>
      <c r="D1070" s="10">
        <f t="shared" si="18"/>
        <v>6.9381083333333331</v>
      </c>
      <c r="E1070" s="10">
        <f t="shared" si="18"/>
        <v>6.9701999999999993</v>
      </c>
      <c r="F1070" s="10">
        <f t="shared" si="18"/>
        <v>6.796875</v>
      </c>
      <c r="G1070" s="10">
        <f t="shared" si="18"/>
        <v>6.8154166666666667</v>
      </c>
      <c r="H1070" s="10">
        <f t="shared" si="18"/>
        <v>6.959316666666667</v>
      </c>
      <c r="I1070" s="10">
        <f t="shared" si="18"/>
        <v>6.7844583333333341</v>
      </c>
      <c r="J1070" s="10">
        <f t="shared" si="18"/>
        <v>6.7898749999999986</v>
      </c>
      <c r="K1070" s="54">
        <f t="shared" si="18"/>
        <v>6.7805750000000016</v>
      </c>
      <c r="L1070" s="10">
        <f t="shared" si="18"/>
        <v>7.5463166666666659</v>
      </c>
      <c r="M1070" s="10">
        <f t="shared" si="18"/>
        <v>6.7351666666666672</v>
      </c>
      <c r="N1070" s="10">
        <f t="shared" si="18"/>
        <v>6.7535333333333334</v>
      </c>
      <c r="O1070" s="10">
        <f t="shared" si="18"/>
        <v>6.9029083333333334</v>
      </c>
      <c r="P1070" s="10">
        <f t="shared" si="18"/>
        <v>6.7298499999999999</v>
      </c>
      <c r="Q1070" s="10">
        <f t="shared" si="18"/>
        <v>7.4982083333333343</v>
      </c>
      <c r="R1070" s="10">
        <f t="shared" si="18"/>
        <v>8.1039666666666665</v>
      </c>
      <c r="S1070" s="10">
        <f t="shared" si="18"/>
        <v>6.6009833333333319</v>
      </c>
      <c r="T1070" s="50">
        <f>SUM(T157:T168)</f>
        <v>357.24568100000005</v>
      </c>
      <c r="U1070" s="50">
        <f>SUM(U157:U168)</f>
        <v>142.03263249999998</v>
      </c>
      <c r="V1070" s="50">
        <f>SUM(V157:V168)</f>
        <v>50.187500000000007</v>
      </c>
      <c r="W1070" s="50">
        <f>SUM(W157:W168)</f>
        <v>5.0822234999999996</v>
      </c>
      <c r="X1070" s="50">
        <f>SUM(X157:X168)</f>
        <v>20.758966663999999</v>
      </c>
      <c r="Y1070" s="50"/>
      <c r="Z1070" s="10"/>
      <c r="AA1070" s="10"/>
      <c r="AB1070" s="51">
        <f>AVERAGE(AB157:AB168)</f>
        <v>6.8214492524591321</v>
      </c>
      <c r="AC1070" s="27">
        <f>AVERAGE(AC157:AC168)</f>
        <v>6.7906970623501204</v>
      </c>
    </row>
    <row r="1071" spans="1:29" ht="15.75" x14ac:dyDescent="0.25">
      <c r="A1071" s="11">
        <v>2027</v>
      </c>
      <c r="B1071" s="10">
        <f t="shared" ref="B1071:S1071" si="19">AVERAGE(B169:B180)</f>
        <v>7.0580583333333324</v>
      </c>
      <c r="C1071" s="10">
        <f t="shared" si="19"/>
        <v>7.0642416666666668</v>
      </c>
      <c r="D1071" s="10">
        <f t="shared" si="19"/>
        <v>7.1955499999999999</v>
      </c>
      <c r="E1071" s="10">
        <f t="shared" si="19"/>
        <v>7.2276416666666661</v>
      </c>
      <c r="F1071" s="10">
        <f t="shared" si="19"/>
        <v>7.0543083333333323</v>
      </c>
      <c r="G1071" s="10">
        <f t="shared" si="19"/>
        <v>7.0728583333333335</v>
      </c>
      <c r="H1071" s="10">
        <f t="shared" si="19"/>
        <v>7.2167583333333321</v>
      </c>
      <c r="I1071" s="10">
        <f t="shared" si="19"/>
        <v>7.0419083333333328</v>
      </c>
      <c r="J1071" s="10">
        <f t="shared" si="19"/>
        <v>7.0473083333333335</v>
      </c>
      <c r="K1071" s="54">
        <f t="shared" si="19"/>
        <v>7.0380166666666675</v>
      </c>
      <c r="L1071" s="10">
        <f t="shared" si="19"/>
        <v>7.8037583333333336</v>
      </c>
      <c r="M1071" s="10">
        <f t="shared" si="19"/>
        <v>6.9900166666666665</v>
      </c>
      <c r="N1071" s="10">
        <f t="shared" si="19"/>
        <v>7.0083833333333345</v>
      </c>
      <c r="O1071" s="10">
        <f t="shared" si="19"/>
        <v>7.1577583333333328</v>
      </c>
      <c r="P1071" s="10">
        <f t="shared" si="19"/>
        <v>6.9846999999999992</v>
      </c>
      <c r="Q1071" s="10">
        <f t="shared" si="19"/>
        <v>7.7530583333333345</v>
      </c>
      <c r="R1071" s="10">
        <f t="shared" si="19"/>
        <v>8.3594500000000007</v>
      </c>
      <c r="S1071" s="10">
        <f t="shared" si="19"/>
        <v>6.8509750000000009</v>
      </c>
      <c r="T1071" s="50">
        <f>SUM(T169:T180)</f>
        <v>357.24568100000005</v>
      </c>
      <c r="U1071" s="50">
        <f>SUM(U169:U180)</f>
        <v>142.03263249999998</v>
      </c>
      <c r="V1071" s="50">
        <f>SUM(V169:V180)</f>
        <v>50.187500000000007</v>
      </c>
      <c r="W1071" s="50">
        <f>SUM(W169:W180)</f>
        <v>5.0822234999999996</v>
      </c>
      <c r="X1071" s="50">
        <f>SUM(X169:X180)</f>
        <v>20.758966663999999</v>
      </c>
      <c r="Y1071" s="50"/>
      <c r="Z1071" s="10"/>
      <c r="AA1071" s="10"/>
      <c r="AB1071" s="51">
        <f>AVERAGE(AB169:AB180)</f>
        <v>7.0788896655253764</v>
      </c>
      <c r="AC1071" s="27">
        <f>AVERAGE(AC169:AC180)</f>
        <v>7.0455470623501206</v>
      </c>
    </row>
    <row r="1072" spans="1:29" ht="15.75" x14ac:dyDescent="0.25">
      <c r="A1072" s="11">
        <v>2028</v>
      </c>
      <c r="B1072" s="10">
        <f t="shared" ref="B1072:S1072" si="20">AVERAGE(B181:B192)</f>
        <v>7.3154999999999992</v>
      </c>
      <c r="C1072" s="10">
        <f t="shared" si="20"/>
        <v>7.3216749999999999</v>
      </c>
      <c r="D1072" s="10">
        <f t="shared" si="20"/>
        <v>7.4529833333333331</v>
      </c>
      <c r="E1072" s="10">
        <f t="shared" si="20"/>
        <v>7.4851000000000001</v>
      </c>
      <c r="F1072" s="10">
        <f t="shared" si="20"/>
        <v>7.3117416666666664</v>
      </c>
      <c r="G1072" s="10">
        <f t="shared" si="20"/>
        <v>7.3302833333333339</v>
      </c>
      <c r="H1072" s="10">
        <f t="shared" si="20"/>
        <v>7.4742000000000006</v>
      </c>
      <c r="I1072" s="10">
        <f t="shared" si="20"/>
        <v>7.299341666666666</v>
      </c>
      <c r="J1072" s="10">
        <f t="shared" si="20"/>
        <v>7.3047416666666658</v>
      </c>
      <c r="K1072" s="54">
        <f t="shared" si="20"/>
        <v>7.2954416666666653</v>
      </c>
      <c r="L1072" s="10">
        <f t="shared" si="20"/>
        <v>8.0612000000000013</v>
      </c>
      <c r="M1072" s="10">
        <f t="shared" si="20"/>
        <v>7.2448583333333332</v>
      </c>
      <c r="N1072" s="10">
        <f t="shared" si="20"/>
        <v>7.2632166666666658</v>
      </c>
      <c r="O1072" s="10">
        <f t="shared" si="20"/>
        <v>7.4125916666666667</v>
      </c>
      <c r="P1072" s="10">
        <f t="shared" si="20"/>
        <v>7.2395333333333332</v>
      </c>
      <c r="Q1072" s="10">
        <f t="shared" si="20"/>
        <v>8.0078916666666675</v>
      </c>
      <c r="R1072" s="10">
        <f t="shared" si="20"/>
        <v>8.6149249999999995</v>
      </c>
      <c r="S1072" s="10">
        <f t="shared" si="20"/>
        <v>7.1009750000000009</v>
      </c>
      <c r="T1072" s="50">
        <f>SUM(T181:T192)</f>
        <v>358.17703550000004</v>
      </c>
      <c r="U1072" s="50">
        <f>SUM(U181:U192)</f>
        <v>142.42176299999997</v>
      </c>
      <c r="V1072" s="50">
        <f>SUM(V181:V192)</f>
        <v>50.325000000000003</v>
      </c>
      <c r="W1072" s="50">
        <f>SUM(W181:W192)</f>
        <v>5.0961473999999995</v>
      </c>
      <c r="X1072" s="50">
        <f>SUM(X181:X192)</f>
        <v>20.800615543999996</v>
      </c>
      <c r="Y1072" s="50"/>
      <c r="Z1072" s="10"/>
      <c r="AA1072" s="10"/>
      <c r="AB1072" s="51">
        <f>AVERAGE(AB181:AB192)</f>
        <v>7.3363238958468413</v>
      </c>
      <c r="AC1072" s="27">
        <f>AVERAGE(AC181:AC192)</f>
        <v>7.3003832733812937</v>
      </c>
    </row>
    <row r="1073" spans="1:29" ht="15.75" x14ac:dyDescent="0.25">
      <c r="A1073" s="11">
        <v>2029</v>
      </c>
      <c r="B1073" s="10">
        <f t="shared" ref="B1073:S1073" si="21">AVERAGE(B193:B204)</f>
        <v>7.6244250000000013</v>
      </c>
      <c r="C1073" s="10">
        <f t="shared" si="21"/>
        <v>7.6306000000000003</v>
      </c>
      <c r="D1073" s="10">
        <f t="shared" si="21"/>
        <v>7.7619333333333342</v>
      </c>
      <c r="E1073" s="10">
        <f t="shared" si="21"/>
        <v>7.7940083333333341</v>
      </c>
      <c r="F1073" s="10">
        <f t="shared" si="21"/>
        <v>7.6206666666666658</v>
      </c>
      <c r="G1073" s="10">
        <f t="shared" si="21"/>
        <v>7.6392166666666661</v>
      </c>
      <c r="H1073" s="10">
        <f t="shared" si="21"/>
        <v>7.7831166666666656</v>
      </c>
      <c r="I1073" s="10">
        <f t="shared" si="21"/>
        <v>7.6082749999999999</v>
      </c>
      <c r="J1073" s="10">
        <f t="shared" si="21"/>
        <v>7.6136666666666661</v>
      </c>
      <c r="K1073" s="54">
        <f t="shared" si="21"/>
        <v>7.6043833333333346</v>
      </c>
      <c r="L1073" s="10">
        <f t="shared" si="21"/>
        <v>8.370116666666668</v>
      </c>
      <c r="M1073" s="10">
        <f t="shared" si="21"/>
        <v>7.5506666666666673</v>
      </c>
      <c r="N1073" s="10">
        <f t="shared" si="21"/>
        <v>7.5690333333333335</v>
      </c>
      <c r="O1073" s="10">
        <f t="shared" si="21"/>
        <v>7.7184083333333335</v>
      </c>
      <c r="P1073" s="10">
        <f t="shared" si="21"/>
        <v>7.5453583333333336</v>
      </c>
      <c r="Q1073" s="10">
        <f t="shared" si="21"/>
        <v>8.3137083333333326</v>
      </c>
      <c r="R1073" s="10">
        <f t="shared" si="21"/>
        <v>8.9215</v>
      </c>
      <c r="S1073" s="10">
        <f t="shared" si="21"/>
        <v>7.400974999999999</v>
      </c>
      <c r="T1073" s="50">
        <f>SUM(T193:T204)</f>
        <v>357.24568100000005</v>
      </c>
      <c r="U1073" s="50">
        <f>SUM(U193:U204)</f>
        <v>142.03263249999998</v>
      </c>
      <c r="V1073" s="50">
        <f>SUM(V193:V204)</f>
        <v>50.187500000000007</v>
      </c>
      <c r="W1073" s="50">
        <f>SUM(W193:W204)</f>
        <v>5.0822234999999996</v>
      </c>
      <c r="X1073" s="50">
        <f>SUM(X193:X204)</f>
        <v>20.758966663999999</v>
      </c>
      <c r="Y1073" s="50"/>
      <c r="Z1073" s="10"/>
      <c r="AA1073" s="10"/>
      <c r="AB1073" s="51">
        <f>AVERAGE(AB193:AB204)</f>
        <v>7.6452524283627454</v>
      </c>
      <c r="AC1073" s="27">
        <f>AVERAGE(AC193:AC204)</f>
        <v>7.6061968225419667</v>
      </c>
    </row>
    <row r="1074" spans="1:29" ht="15.75" x14ac:dyDescent="0.25">
      <c r="A1074" s="11">
        <v>2030</v>
      </c>
      <c r="B1074" s="10">
        <f t="shared" ref="B1074:S1074" si="22">AVERAGE(B205:B216)</f>
        <v>7.9333583333333317</v>
      </c>
      <c r="C1074" s="10">
        <f t="shared" si="22"/>
        <v>7.9395249999999997</v>
      </c>
      <c r="D1074" s="10">
        <f t="shared" si="22"/>
        <v>8.0708583333333319</v>
      </c>
      <c r="E1074" s="10">
        <f t="shared" si="22"/>
        <v>8.1029416666666663</v>
      </c>
      <c r="F1074" s="10">
        <f t="shared" si="22"/>
        <v>7.9296083333333334</v>
      </c>
      <c r="G1074" s="10">
        <f t="shared" si="22"/>
        <v>7.9481500000000009</v>
      </c>
      <c r="H1074" s="10">
        <f t="shared" si="22"/>
        <v>8.0920583333333358</v>
      </c>
      <c r="I1074" s="10">
        <f t="shared" si="22"/>
        <v>7.9172166666666675</v>
      </c>
      <c r="J1074" s="10">
        <f t="shared" si="22"/>
        <v>7.9226083333333328</v>
      </c>
      <c r="K1074" s="54">
        <f t="shared" si="22"/>
        <v>7.9133166666666668</v>
      </c>
      <c r="L1074" s="10">
        <f t="shared" si="22"/>
        <v>8.679058333333332</v>
      </c>
      <c r="M1074" s="10">
        <f t="shared" si="22"/>
        <v>7.8564750000000005</v>
      </c>
      <c r="N1074" s="10">
        <f t="shared" si="22"/>
        <v>7.8748333333333349</v>
      </c>
      <c r="O1074" s="10">
        <f t="shared" si="22"/>
        <v>8.0242166666666659</v>
      </c>
      <c r="P1074" s="10">
        <f t="shared" si="22"/>
        <v>7.8511750000000005</v>
      </c>
      <c r="Q1074" s="10">
        <f t="shared" si="22"/>
        <v>8.6195166666666676</v>
      </c>
      <c r="R1074" s="10">
        <f t="shared" si="22"/>
        <v>9.2280583333333315</v>
      </c>
      <c r="S1074" s="10">
        <f t="shared" si="22"/>
        <v>7.7009916666666669</v>
      </c>
      <c r="T1074" s="50">
        <f>SUM(T205:T216)</f>
        <v>357.24568100000005</v>
      </c>
      <c r="U1074" s="50">
        <f>SUM(U205:U216)</f>
        <v>142.03263249999998</v>
      </c>
      <c r="V1074" s="50">
        <f>SUM(V205:V216)</f>
        <v>50.187500000000007</v>
      </c>
      <c r="W1074" s="50">
        <f>SUM(W205:W216)</f>
        <v>5.0822234999999996</v>
      </c>
      <c r="X1074" s="50">
        <f>SUM(X205:X216)</f>
        <v>20.758966663999999</v>
      </c>
      <c r="Y1074" s="50"/>
      <c r="Z1074" s="10"/>
      <c r="AA1074" s="10"/>
      <c r="AB1074" s="51">
        <f>AVERAGE(AB205:AB216)</f>
        <v>7.954185926390192</v>
      </c>
      <c r="AC1074" s="27">
        <f>AVERAGE(AC205:AC216)</f>
        <v>7.9120058752997586</v>
      </c>
    </row>
    <row r="1075" spans="1:29" ht="15.75" x14ac:dyDescent="0.25">
      <c r="A1075" s="11">
        <v>2031</v>
      </c>
      <c r="B1075" s="10">
        <f t="shared" ref="B1075:S1075" si="23">AVERAGE(B217:B228)</f>
        <v>8.1238916666666672</v>
      </c>
      <c r="C1075" s="10">
        <f t="shared" si="23"/>
        <v>8.1300499999999989</v>
      </c>
      <c r="D1075" s="10">
        <f t="shared" si="23"/>
        <v>8.261358333333332</v>
      </c>
      <c r="E1075" s="10">
        <f t="shared" si="23"/>
        <v>8.2934750000000008</v>
      </c>
      <c r="F1075" s="10">
        <f t="shared" si="23"/>
        <v>8.1201333333333334</v>
      </c>
      <c r="G1075" s="10">
        <f t="shared" si="23"/>
        <v>8.1386666666666674</v>
      </c>
      <c r="H1075" s="10">
        <f t="shared" si="23"/>
        <v>8.2825833333333332</v>
      </c>
      <c r="I1075" s="10">
        <f t="shared" si="23"/>
        <v>8.1077083333333331</v>
      </c>
      <c r="J1075" s="10">
        <f t="shared" si="23"/>
        <v>8.1131333333333338</v>
      </c>
      <c r="K1075" s="54">
        <f t="shared" si="23"/>
        <v>8.1038166666666651</v>
      </c>
      <c r="L1075" s="10">
        <f t="shared" si="23"/>
        <v>8.8695833333333329</v>
      </c>
      <c r="M1075" s="10">
        <f t="shared" si="23"/>
        <v>8.0450916666666661</v>
      </c>
      <c r="N1075" s="10">
        <f t="shared" si="23"/>
        <v>8.0634416666666677</v>
      </c>
      <c r="O1075" s="10">
        <f t="shared" si="23"/>
        <v>8.2128083333333333</v>
      </c>
      <c r="P1075" s="10">
        <f t="shared" si="23"/>
        <v>8.0397666666666652</v>
      </c>
      <c r="Q1075" s="10">
        <f t="shared" si="23"/>
        <v>8.8081083333333314</v>
      </c>
      <c r="R1075" s="10">
        <f t="shared" si="23"/>
        <v>9.4171499999999995</v>
      </c>
      <c r="S1075" s="10">
        <f t="shared" si="23"/>
        <v>7.8860083333333337</v>
      </c>
      <c r="T1075" s="50">
        <f>SUM(T217:T228)</f>
        <v>357.24568100000005</v>
      </c>
      <c r="U1075" s="50">
        <f>SUM(U217:U228)</f>
        <v>142.03263249999998</v>
      </c>
      <c r="V1075" s="50">
        <f>SUM(V217:V228)</f>
        <v>50.187500000000007</v>
      </c>
      <c r="W1075" s="50">
        <f>SUM(W217:W228)</f>
        <v>5.0822234999999996</v>
      </c>
      <c r="X1075" s="50">
        <f>SUM(X217:X228)</f>
        <v>20.758966663999999</v>
      </c>
      <c r="Y1075" s="50"/>
      <c r="Z1075" s="10"/>
      <c r="AA1075" s="10"/>
      <c r="AB1075" s="51">
        <f>AVERAGE(AB217:AB228)</f>
        <v>8.1447063901271459</v>
      </c>
      <c r="AC1075" s="27">
        <f>AVERAGE(AC217:AC228)</f>
        <v>8.1006085731414874</v>
      </c>
    </row>
    <row r="1076" spans="1:29" ht="15.75" x14ac:dyDescent="0.25">
      <c r="A1076" s="11">
        <v>2032</v>
      </c>
      <c r="B1076" s="10">
        <f t="shared" ref="B1076:S1076" si="24">AVERAGE(B229:B240)</f>
        <v>8.3190000000000008</v>
      </c>
      <c r="C1076" s="10">
        <f t="shared" si="24"/>
        <v>8.3251333333333335</v>
      </c>
      <c r="D1076" s="10">
        <f t="shared" si="24"/>
        <v>8.4564583333333339</v>
      </c>
      <c r="E1076" s="10">
        <f t="shared" si="24"/>
        <v>8.48855</v>
      </c>
      <c r="F1076" s="10">
        <f t="shared" si="24"/>
        <v>8.3152083333333326</v>
      </c>
      <c r="G1076" s="10">
        <f t="shared" si="24"/>
        <v>8.3337666666666674</v>
      </c>
      <c r="H1076" s="10">
        <f t="shared" si="24"/>
        <v>8.4776749999999996</v>
      </c>
      <c r="I1076" s="10">
        <f t="shared" si="24"/>
        <v>8.3028250000000003</v>
      </c>
      <c r="J1076" s="10">
        <f t="shared" si="24"/>
        <v>8.3082083333333347</v>
      </c>
      <c r="K1076" s="54">
        <f t="shared" si="24"/>
        <v>8.2989250000000023</v>
      </c>
      <c r="L1076" s="10">
        <f t="shared" si="24"/>
        <v>9.0646749999999994</v>
      </c>
      <c r="M1076" s="10">
        <f t="shared" si="24"/>
        <v>8.2382166666666681</v>
      </c>
      <c r="N1076" s="10">
        <f t="shared" si="24"/>
        <v>8.2565583333333326</v>
      </c>
      <c r="O1076" s="10">
        <f t="shared" si="24"/>
        <v>8.4059500000000007</v>
      </c>
      <c r="P1076" s="10">
        <f t="shared" si="24"/>
        <v>8.2328916666666672</v>
      </c>
      <c r="Q1076" s="10">
        <f t="shared" si="24"/>
        <v>9.0012500000000006</v>
      </c>
      <c r="R1076" s="10">
        <f t="shared" si="24"/>
        <v>9.6107499999999977</v>
      </c>
      <c r="S1076" s="10">
        <f t="shared" si="24"/>
        <v>8.0754583333333354</v>
      </c>
      <c r="T1076" s="50">
        <f>SUM(T229:T240)</f>
        <v>358.17703550000004</v>
      </c>
      <c r="U1076" s="50">
        <f>SUM(U229:U240)</f>
        <v>142.42176299999997</v>
      </c>
      <c r="V1076" s="50">
        <f>SUM(V229:V240)</f>
        <v>50.325000000000003</v>
      </c>
      <c r="W1076" s="50">
        <f>SUM(W229:W240)</f>
        <v>5.0961473999999995</v>
      </c>
      <c r="X1076" s="50">
        <f>SUM(X229:X240)</f>
        <v>20.800615543999996</v>
      </c>
      <c r="Y1076" s="50"/>
      <c r="Z1076" s="10"/>
      <c r="AA1076" s="10"/>
      <c r="AB1076" s="51">
        <f>AVERAGE(AB229:AB240)</f>
        <v>8.3397959062937268</v>
      </c>
      <c r="AC1076" s="27">
        <f>AVERAGE(AC229:AC240)</f>
        <v>8.2937377697841725</v>
      </c>
    </row>
    <row r="1077" spans="1:29" ht="15.75" x14ac:dyDescent="0.25">
      <c r="A1077" s="11">
        <v>2033</v>
      </c>
      <c r="B1077" s="10">
        <f t="shared" ref="B1077:S1077" si="25">AVERAGE(B241:B252)</f>
        <v>8.518774999999998</v>
      </c>
      <c r="C1077" s="10">
        <f t="shared" si="25"/>
        <v>8.5249250000000014</v>
      </c>
      <c r="D1077" s="10">
        <f t="shared" si="25"/>
        <v>8.6562416666666664</v>
      </c>
      <c r="E1077" s="10">
        <f t="shared" si="25"/>
        <v>8.688341666666668</v>
      </c>
      <c r="F1077" s="10">
        <f t="shared" si="25"/>
        <v>8.5150083333333342</v>
      </c>
      <c r="G1077" s="10">
        <f t="shared" si="25"/>
        <v>8.53355</v>
      </c>
      <c r="H1077" s="10">
        <f t="shared" si="25"/>
        <v>8.6774583333333339</v>
      </c>
      <c r="I1077" s="10">
        <f t="shared" si="25"/>
        <v>8.5025916666666657</v>
      </c>
      <c r="J1077" s="10">
        <f t="shared" si="25"/>
        <v>8.5080083333333327</v>
      </c>
      <c r="K1077" s="54">
        <f t="shared" si="25"/>
        <v>8.4987083333333313</v>
      </c>
      <c r="L1077" s="10">
        <f t="shared" si="25"/>
        <v>9.2644583333333319</v>
      </c>
      <c r="M1077" s="10">
        <f t="shared" si="25"/>
        <v>8.4359583333333337</v>
      </c>
      <c r="N1077" s="10">
        <f t="shared" si="25"/>
        <v>8.454324999999999</v>
      </c>
      <c r="O1077" s="10">
        <f t="shared" si="25"/>
        <v>8.6037166666666653</v>
      </c>
      <c r="P1077" s="10">
        <f t="shared" si="25"/>
        <v>8.4306583333333318</v>
      </c>
      <c r="Q1077" s="10">
        <f t="shared" si="25"/>
        <v>9.1990166666666671</v>
      </c>
      <c r="R1077" s="10">
        <f t="shared" si="25"/>
        <v>9.8089916666666674</v>
      </c>
      <c r="S1077" s="10">
        <f t="shared" si="25"/>
        <v>8.2694583333333327</v>
      </c>
      <c r="T1077" s="50">
        <f>SUM(T241:T252)</f>
        <v>357.24568100000005</v>
      </c>
      <c r="U1077" s="50">
        <f>SUM(U241:U252)</f>
        <v>142.03263249999998</v>
      </c>
      <c r="V1077" s="50">
        <f>SUM(V241:V252)</f>
        <v>50.187500000000007</v>
      </c>
      <c r="W1077" s="50">
        <f>SUM(W241:W252)</f>
        <v>5.0822234999999996</v>
      </c>
      <c r="X1077" s="50">
        <f>SUM(X241:X252)</f>
        <v>20.758966663999999</v>
      </c>
      <c r="Y1077" s="50"/>
      <c r="Z1077" s="10"/>
      <c r="AA1077" s="10"/>
      <c r="AB1077" s="51">
        <f>AVERAGE(AB241:AB252)</f>
        <v>8.5395838880929436</v>
      </c>
      <c r="AC1077" s="27">
        <f>AVERAGE(AC241:AC252)</f>
        <v>8.4914958033573154</v>
      </c>
    </row>
    <row r="1078" spans="1:29" ht="15.75" x14ac:dyDescent="0.25">
      <c r="A1078" s="11">
        <v>2034</v>
      </c>
      <c r="B1078" s="10">
        <f t="shared" ref="B1078:S1078" si="26">AVERAGE(B253:B264)</f>
        <v>8.7233500000000017</v>
      </c>
      <c r="C1078" s="10">
        <f t="shared" si="26"/>
        <v>8.7295250000000006</v>
      </c>
      <c r="D1078" s="10">
        <f t="shared" si="26"/>
        <v>8.8608333333333338</v>
      </c>
      <c r="E1078" s="10">
        <f t="shared" si="26"/>
        <v>8.892925</v>
      </c>
      <c r="F1078" s="10">
        <f t="shared" si="26"/>
        <v>8.7195833333333344</v>
      </c>
      <c r="G1078" s="10">
        <f t="shared" si="26"/>
        <v>8.7381416666666674</v>
      </c>
      <c r="H1078" s="10">
        <f t="shared" si="26"/>
        <v>8.8820416666666677</v>
      </c>
      <c r="I1078" s="10">
        <f t="shared" si="26"/>
        <v>8.7071833333333348</v>
      </c>
      <c r="J1078" s="10">
        <f t="shared" si="26"/>
        <v>8.7125833333333329</v>
      </c>
      <c r="K1078" s="54">
        <f t="shared" si="26"/>
        <v>8.7032833333333333</v>
      </c>
      <c r="L1078" s="10">
        <f t="shared" si="26"/>
        <v>9.4690416666666675</v>
      </c>
      <c r="M1078" s="10">
        <f t="shared" si="26"/>
        <v>8.6385000000000023</v>
      </c>
      <c r="N1078" s="10">
        <f t="shared" si="26"/>
        <v>8.6568416666666668</v>
      </c>
      <c r="O1078" s="10">
        <f t="shared" si="26"/>
        <v>8.8062333333333314</v>
      </c>
      <c r="P1078" s="10">
        <f t="shared" si="26"/>
        <v>8.6331833333333332</v>
      </c>
      <c r="Q1078" s="10">
        <f t="shared" si="26"/>
        <v>9.4015333333333349</v>
      </c>
      <c r="R1078" s="10">
        <f t="shared" si="26"/>
        <v>10.012041666666667</v>
      </c>
      <c r="S1078" s="10">
        <f t="shared" si="26"/>
        <v>8.4681250000000006</v>
      </c>
      <c r="T1078" s="50">
        <f>SUM(T253:T264)</f>
        <v>357.24568100000005</v>
      </c>
      <c r="U1078" s="50">
        <f>SUM(U253:U264)</f>
        <v>142.03263249999998</v>
      </c>
      <c r="V1078" s="50">
        <f>SUM(V253:V264)</f>
        <v>50.187500000000007</v>
      </c>
      <c r="W1078" s="50">
        <f>SUM(W253:W264)</f>
        <v>5.0822234999999996</v>
      </c>
      <c r="X1078" s="50">
        <f>SUM(X253:X264)</f>
        <v>20.758966663999999</v>
      </c>
      <c r="Y1078" s="50"/>
      <c r="Z1078" s="10"/>
      <c r="AA1078" s="10"/>
      <c r="AB1078" s="51">
        <f>AVERAGE(AB253:AB264)</f>
        <v>8.7441710798493428</v>
      </c>
      <c r="AC1078" s="27">
        <f>AVERAGE(AC253:AC264)</f>
        <v>8.6940237410071948</v>
      </c>
    </row>
    <row r="1079" spans="1:29" ht="15.75" x14ac:dyDescent="0.25">
      <c r="A1079" s="11">
        <v>2035</v>
      </c>
      <c r="B1079" s="10">
        <f t="shared" ref="B1079:S1079" si="27">AVERAGE(B265:B276)</f>
        <v>8.9328666666666692</v>
      </c>
      <c r="C1079" s="10">
        <f t="shared" si="27"/>
        <v>8.9390083333333319</v>
      </c>
      <c r="D1079" s="10">
        <f t="shared" si="27"/>
        <v>9.0703083333333314</v>
      </c>
      <c r="E1079" s="10">
        <f t="shared" si="27"/>
        <v>9.1024249999999984</v>
      </c>
      <c r="F1079" s="10">
        <f t="shared" si="27"/>
        <v>8.9290833333333346</v>
      </c>
      <c r="G1079" s="10">
        <f t="shared" si="27"/>
        <v>8.9476250000000004</v>
      </c>
      <c r="H1079" s="10">
        <f t="shared" si="27"/>
        <v>9.0915416666666662</v>
      </c>
      <c r="I1079" s="10">
        <f t="shared" si="27"/>
        <v>8.9166666666666679</v>
      </c>
      <c r="J1079" s="10">
        <f t="shared" si="27"/>
        <v>8.9220833333333331</v>
      </c>
      <c r="K1079" s="54">
        <f t="shared" si="27"/>
        <v>8.9127916666666653</v>
      </c>
      <c r="L1079" s="10">
        <f t="shared" si="27"/>
        <v>9.6785416666666677</v>
      </c>
      <c r="M1079" s="10">
        <f t="shared" si="27"/>
        <v>8.8458749999999995</v>
      </c>
      <c r="N1079" s="10">
        <f t="shared" si="27"/>
        <v>8.8642333333333347</v>
      </c>
      <c r="O1079" s="10">
        <f t="shared" si="27"/>
        <v>9.0136083333333321</v>
      </c>
      <c r="P1079" s="10">
        <f t="shared" si="27"/>
        <v>8.8405500000000004</v>
      </c>
      <c r="Q1079" s="10">
        <f t="shared" si="27"/>
        <v>9.6089083333333356</v>
      </c>
      <c r="R1079" s="10">
        <f t="shared" si="27"/>
        <v>10.219949999999999</v>
      </c>
      <c r="S1079" s="10">
        <f t="shared" si="27"/>
        <v>8.6715749999999989</v>
      </c>
      <c r="T1079" s="50">
        <f>SUM(T265:T276)</f>
        <v>357.24568100000005</v>
      </c>
      <c r="U1079" s="50">
        <f>SUM(U265:U276)</f>
        <v>142.03263249999998</v>
      </c>
      <c r="V1079" s="50">
        <f>SUM(V265:V276)</f>
        <v>50.187500000000007</v>
      </c>
      <c r="W1079" s="50">
        <f>SUM(W265:W276)</f>
        <v>5.0822234999999996</v>
      </c>
      <c r="X1079" s="50">
        <f>SUM(X265:X276)</f>
        <v>20.758966663999999</v>
      </c>
      <c r="Y1079" s="50"/>
      <c r="Z1079" s="10"/>
      <c r="AA1079" s="10"/>
      <c r="AB1079" s="51">
        <f>AVERAGE(AB265:AB276)</f>
        <v>8.953663062058224</v>
      </c>
      <c r="AC1079" s="27">
        <f>AVERAGE(AC265:AC276)</f>
        <v>8.9013985011990417</v>
      </c>
    </row>
    <row r="1080" spans="1:29" ht="15.75" x14ac:dyDescent="0.25">
      <c r="A1080" s="11">
        <v>2036</v>
      </c>
      <c r="B1080" s="10">
        <f t="shared" ref="B1080:S1080" si="28">AVERAGE(B277:B288)</f>
        <v>9.1473916666666657</v>
      </c>
      <c r="C1080" s="10">
        <f t="shared" si="28"/>
        <v>9.1535250000000001</v>
      </c>
      <c r="D1080" s="10">
        <f t="shared" si="28"/>
        <v>9.2848583333333341</v>
      </c>
      <c r="E1080" s="10">
        <f t="shared" si="28"/>
        <v>9.3169583333333321</v>
      </c>
      <c r="F1080" s="10">
        <f t="shared" si="28"/>
        <v>9.1436250000000001</v>
      </c>
      <c r="G1080" s="10">
        <f t="shared" si="28"/>
        <v>9.1621583333333341</v>
      </c>
      <c r="H1080" s="10">
        <f t="shared" si="28"/>
        <v>9.3060583333333344</v>
      </c>
      <c r="I1080" s="10">
        <f t="shared" si="28"/>
        <v>9.1312250000000006</v>
      </c>
      <c r="J1080" s="10">
        <f t="shared" si="28"/>
        <v>9.1366250000000004</v>
      </c>
      <c r="K1080" s="54">
        <f t="shared" si="28"/>
        <v>9.127341666666668</v>
      </c>
      <c r="L1080" s="10">
        <f t="shared" si="28"/>
        <v>9.8930583333333324</v>
      </c>
      <c r="M1080" s="10">
        <f t="shared" si="28"/>
        <v>9.0582416666666674</v>
      </c>
      <c r="N1080" s="10">
        <f t="shared" si="28"/>
        <v>9.0765999999999991</v>
      </c>
      <c r="O1080" s="10">
        <f t="shared" si="28"/>
        <v>9.2259833333333336</v>
      </c>
      <c r="P1080" s="10">
        <f t="shared" si="28"/>
        <v>9.0529333333333337</v>
      </c>
      <c r="Q1080" s="10">
        <f t="shared" si="28"/>
        <v>9.8212833333333336</v>
      </c>
      <c r="R1080" s="10">
        <f t="shared" si="28"/>
        <v>10.432841666666667</v>
      </c>
      <c r="S1080" s="10">
        <f t="shared" si="28"/>
        <v>8.8799083333333346</v>
      </c>
      <c r="T1080" s="50">
        <f>SUM(T277:T288)</f>
        <v>358.17703550000004</v>
      </c>
      <c r="U1080" s="50">
        <f>SUM(U277:U288)</f>
        <v>142.42176299999997</v>
      </c>
      <c r="V1080" s="50">
        <f>SUM(V277:V288)</f>
        <v>50.325000000000003</v>
      </c>
      <c r="W1080" s="50">
        <f>SUM(W277:W288)</f>
        <v>5.0961473999999995</v>
      </c>
      <c r="X1080" s="50">
        <f>SUM(X277:X288)</f>
        <v>20.800615543999996</v>
      </c>
      <c r="Y1080" s="50"/>
      <c r="Z1080" s="10"/>
      <c r="AA1080" s="10"/>
      <c r="AB1080" s="51">
        <f>AVERAGE(AB277:AB288)</f>
        <v>9.1681970000067476</v>
      </c>
      <c r="AC1080" s="27">
        <f>AVERAGE(AC277:AC288)</f>
        <v>9.1137727817745802</v>
      </c>
    </row>
    <row r="1081" spans="1:29" ht="15.75" x14ac:dyDescent="0.25">
      <c r="A1081" s="11">
        <v>2037</v>
      </c>
      <c r="B1081" s="10">
        <f t="shared" ref="B1081:S1081" si="29">AVERAGE(B289:B300)</f>
        <v>9.3670583333333326</v>
      </c>
      <c r="C1081" s="10">
        <f t="shared" si="29"/>
        <v>9.3732249999999997</v>
      </c>
      <c r="D1081" s="10">
        <f t="shared" si="29"/>
        <v>9.5045500000000001</v>
      </c>
      <c r="E1081" s="10">
        <f t="shared" si="29"/>
        <v>9.5366499999999998</v>
      </c>
      <c r="F1081" s="10">
        <f t="shared" si="29"/>
        <v>9.3633000000000006</v>
      </c>
      <c r="G1081" s="10">
        <f t="shared" si="29"/>
        <v>9.3818583333333336</v>
      </c>
      <c r="H1081" s="10">
        <f t="shared" si="29"/>
        <v>9.5257666666666658</v>
      </c>
      <c r="I1081" s="10">
        <f t="shared" si="29"/>
        <v>9.3509000000000011</v>
      </c>
      <c r="J1081" s="10">
        <f t="shared" si="29"/>
        <v>9.3562999999999992</v>
      </c>
      <c r="K1081" s="54">
        <f t="shared" si="29"/>
        <v>9.3470083333333331</v>
      </c>
      <c r="L1081" s="10">
        <f t="shared" si="29"/>
        <v>10.112766666666666</v>
      </c>
      <c r="M1081" s="10">
        <f t="shared" si="29"/>
        <v>9.2757000000000005</v>
      </c>
      <c r="N1081" s="10">
        <f t="shared" si="29"/>
        <v>9.2940500000000004</v>
      </c>
      <c r="O1081" s="10">
        <f t="shared" si="29"/>
        <v>9.443458333333334</v>
      </c>
      <c r="P1081" s="10">
        <f t="shared" si="29"/>
        <v>9.2704000000000004</v>
      </c>
      <c r="Q1081" s="10">
        <f t="shared" si="29"/>
        <v>10.038758333333332</v>
      </c>
      <c r="R1081" s="10">
        <f t="shared" si="29"/>
        <v>10.650841666666668</v>
      </c>
      <c r="S1081" s="10">
        <f t="shared" si="29"/>
        <v>9.0932416666666658</v>
      </c>
      <c r="T1081" s="50">
        <f>SUM(T289:T300)</f>
        <v>357.24568100000005</v>
      </c>
      <c r="U1081" s="50">
        <f>SUM(U289:U300)</f>
        <v>142.03263249999998</v>
      </c>
      <c r="V1081" s="50">
        <f>SUM(V289:V300)</f>
        <v>50.187500000000007</v>
      </c>
      <c r="W1081" s="50">
        <f>SUM(W289:W300)</f>
        <v>5.0822234999999996</v>
      </c>
      <c r="X1081" s="50">
        <f>SUM(X289:X300)</f>
        <v>20.758966663999999</v>
      </c>
      <c r="Y1081" s="50"/>
      <c r="Z1081" s="10"/>
      <c r="AA1081" s="10"/>
      <c r="AB1081" s="51">
        <f>AVERAGE(AB289:AB300)</f>
        <v>9.3878830974958021</v>
      </c>
      <c r="AC1081" s="27">
        <f>AVERAGE(AC289:AC300)</f>
        <v>9.3312350719424444</v>
      </c>
    </row>
    <row r="1082" spans="1:29" ht="15.75" x14ac:dyDescent="0.25">
      <c r="A1082" s="11">
        <f t="shared" ref="A1082:A1113" si="30">A1081+1</f>
        <v>2038</v>
      </c>
      <c r="B1082" s="10">
        <f t="shared" ref="B1082:S1082" si="31">AVERAGE(B301:B312)</f>
        <v>9.5920250000000014</v>
      </c>
      <c r="C1082" s="10">
        <f t="shared" si="31"/>
        <v>9.5981916666666667</v>
      </c>
      <c r="D1082" s="10">
        <f t="shared" si="31"/>
        <v>9.729516666666667</v>
      </c>
      <c r="E1082" s="10">
        <f t="shared" si="31"/>
        <v>9.7616166666666668</v>
      </c>
      <c r="F1082" s="10">
        <f t="shared" si="31"/>
        <v>9.5882833333333313</v>
      </c>
      <c r="G1082" s="10">
        <f t="shared" si="31"/>
        <v>9.6068249999999988</v>
      </c>
      <c r="H1082" s="10">
        <f t="shared" si="31"/>
        <v>9.7507333333333346</v>
      </c>
      <c r="I1082" s="10">
        <f t="shared" si="31"/>
        <v>9.5758749999999999</v>
      </c>
      <c r="J1082" s="10">
        <f t="shared" si="31"/>
        <v>9.5812833333333334</v>
      </c>
      <c r="K1082" s="54">
        <f t="shared" si="31"/>
        <v>9.5719750000000001</v>
      </c>
      <c r="L1082" s="10">
        <f t="shared" si="31"/>
        <v>10.337733333333334</v>
      </c>
      <c r="M1082" s="10">
        <f t="shared" si="31"/>
        <v>9.498408333333332</v>
      </c>
      <c r="N1082" s="10">
        <f t="shared" si="31"/>
        <v>9.5167583333333337</v>
      </c>
      <c r="O1082" s="10">
        <f t="shared" si="31"/>
        <v>9.66615</v>
      </c>
      <c r="P1082" s="10">
        <f t="shared" si="31"/>
        <v>9.4931000000000001</v>
      </c>
      <c r="Q1082" s="10">
        <f t="shared" si="31"/>
        <v>10.26145</v>
      </c>
      <c r="R1082" s="10">
        <f t="shared" si="31"/>
        <v>10.874099999999999</v>
      </c>
      <c r="S1082" s="10">
        <f t="shared" si="31"/>
        <v>9.3117166666666673</v>
      </c>
      <c r="T1082" s="50">
        <f>SUM(T301:T312)</f>
        <v>357.24568100000005</v>
      </c>
      <c r="U1082" s="50">
        <f>SUM(U301:U312)</f>
        <v>142.03263249999998</v>
      </c>
      <c r="V1082" s="50">
        <f>SUM(V301:V312)</f>
        <v>50.187500000000007</v>
      </c>
      <c r="W1082" s="50">
        <f>SUM(W301:W312)</f>
        <v>5.0822234999999996</v>
      </c>
      <c r="X1082" s="50">
        <f>SUM(X301:X312)</f>
        <v>20.758966663999999</v>
      </c>
      <c r="Y1082" s="50"/>
      <c r="Z1082" s="10"/>
      <c r="AA1082" s="10"/>
      <c r="AB1082" s="51">
        <f>AVERAGE(AB301:AB312)</f>
        <v>9.6128552482524618</v>
      </c>
      <c r="AC1082" s="27">
        <f>AVERAGE(AC301:AC312)</f>
        <v>9.5539346522781781</v>
      </c>
    </row>
    <row r="1083" spans="1:29" ht="15.75" x14ac:dyDescent="0.25">
      <c r="A1083" s="11">
        <f t="shared" si="30"/>
        <v>2039</v>
      </c>
      <c r="B1083" s="10">
        <f t="shared" ref="B1083:S1083" si="32">AVERAGE(B313:B324)</f>
        <v>9.8224083333333336</v>
      </c>
      <c r="C1083" s="10">
        <f t="shared" si="32"/>
        <v>9.8285666666666653</v>
      </c>
      <c r="D1083" s="10">
        <f t="shared" si="32"/>
        <v>9.9598916666666657</v>
      </c>
      <c r="E1083" s="10">
        <f t="shared" si="32"/>
        <v>9.9919750000000001</v>
      </c>
      <c r="F1083" s="10">
        <f t="shared" si="32"/>
        <v>9.8186583333333317</v>
      </c>
      <c r="G1083" s="10">
        <f t="shared" si="32"/>
        <v>9.8371750000000002</v>
      </c>
      <c r="H1083" s="10">
        <f t="shared" si="32"/>
        <v>9.9810999999999996</v>
      </c>
      <c r="I1083" s="10">
        <f t="shared" si="32"/>
        <v>9.8062500000000004</v>
      </c>
      <c r="J1083" s="10">
        <f t="shared" si="32"/>
        <v>9.811658333333332</v>
      </c>
      <c r="K1083" s="54">
        <f t="shared" si="32"/>
        <v>9.8023499999999988</v>
      </c>
      <c r="L1083" s="10">
        <f t="shared" si="32"/>
        <v>10.568100000000001</v>
      </c>
      <c r="M1083" s="10">
        <f t="shared" si="32"/>
        <v>9.7264499999999998</v>
      </c>
      <c r="N1083" s="10">
        <f t="shared" si="32"/>
        <v>9.7448083333333333</v>
      </c>
      <c r="O1083" s="10">
        <f t="shared" si="32"/>
        <v>9.8942000000000032</v>
      </c>
      <c r="P1083" s="10">
        <f t="shared" si="32"/>
        <v>9.7211499999999997</v>
      </c>
      <c r="Q1083" s="10">
        <f t="shared" si="32"/>
        <v>10.489499999999998</v>
      </c>
      <c r="R1083" s="10">
        <f t="shared" si="32"/>
        <v>11.102725</v>
      </c>
      <c r="S1083" s="10">
        <f t="shared" si="32"/>
        <v>9.5354333333333336</v>
      </c>
      <c r="T1083" s="50">
        <f>SUM(T313:T324)</f>
        <v>357.24568100000005</v>
      </c>
      <c r="U1083" s="50">
        <f>SUM(U313:U324)</f>
        <v>142.03263249999998</v>
      </c>
      <c r="V1083" s="50">
        <f>SUM(V313:V324)</f>
        <v>50.187500000000007</v>
      </c>
      <c r="W1083" s="50">
        <f>SUM(W313:W324)</f>
        <v>5.0822234999999996</v>
      </c>
      <c r="X1083" s="50">
        <f>SUM(X313:X324)</f>
        <v>20.758966663999999</v>
      </c>
      <c r="Y1083" s="50"/>
      <c r="Z1083" s="56"/>
      <c r="AA1083" s="55"/>
      <c r="AB1083" s="51">
        <f>AVERAGE(AB313:AB324)</f>
        <v>9.8432263432264406</v>
      </c>
      <c r="AC1083" s="27">
        <f>AVERAGE(AC313:AC324)</f>
        <v>9.7819860911271004</v>
      </c>
    </row>
    <row r="1084" spans="1:29" ht="15.75" x14ac:dyDescent="0.25">
      <c r="A1084" s="11">
        <f t="shared" si="30"/>
        <v>2040</v>
      </c>
      <c r="B1084" s="10">
        <f t="shared" ref="B1084:S1084" si="33">AVERAGE(B325:B336)</f>
        <v>10.058308333333333</v>
      </c>
      <c r="C1084" s="10">
        <f t="shared" si="33"/>
        <v>10.064475</v>
      </c>
      <c r="D1084" s="10">
        <f t="shared" si="33"/>
        <v>10.195791666666667</v>
      </c>
      <c r="E1084" s="10">
        <f t="shared" si="33"/>
        <v>10.2279</v>
      </c>
      <c r="F1084" s="10">
        <f t="shared" si="33"/>
        <v>10.054566666666666</v>
      </c>
      <c r="G1084" s="10">
        <f t="shared" si="33"/>
        <v>10.073091666666665</v>
      </c>
      <c r="H1084" s="10">
        <f t="shared" si="33"/>
        <v>10.217008333333332</v>
      </c>
      <c r="I1084" s="10">
        <f t="shared" si="33"/>
        <v>10.042149999999999</v>
      </c>
      <c r="J1084" s="10">
        <f t="shared" si="33"/>
        <v>10.047566666666667</v>
      </c>
      <c r="K1084" s="54">
        <f t="shared" si="33"/>
        <v>10.038258333333333</v>
      </c>
      <c r="L1084" s="10">
        <f t="shared" si="33"/>
        <v>10.804008333333334</v>
      </c>
      <c r="M1084" s="10">
        <f t="shared" si="33"/>
        <v>9.9599833333333354</v>
      </c>
      <c r="N1084" s="10">
        <f t="shared" si="33"/>
        <v>9.9783583333333343</v>
      </c>
      <c r="O1084" s="10">
        <f t="shared" si="33"/>
        <v>10.127716666666666</v>
      </c>
      <c r="P1084" s="10">
        <f t="shared" si="33"/>
        <v>9.9546666666666663</v>
      </c>
      <c r="Q1084" s="10">
        <f t="shared" si="33"/>
        <v>10.723016666666666</v>
      </c>
      <c r="R1084" s="10">
        <f t="shared" si="33"/>
        <v>11.336824999999999</v>
      </c>
      <c r="S1084" s="10">
        <f t="shared" si="33"/>
        <v>9.7645166666666672</v>
      </c>
      <c r="T1084" s="50">
        <f>SUM(T325:T336)</f>
        <v>358.17703550000004</v>
      </c>
      <c r="U1084" s="50">
        <f>SUM(U325:U336)</f>
        <v>142.42176299999997</v>
      </c>
      <c r="V1084" s="50">
        <f>SUM(V325:V336)</f>
        <v>50.325000000000003</v>
      </c>
      <c r="W1084" s="50">
        <f>SUM(W325:W336)</f>
        <v>5.0961473999999995</v>
      </c>
      <c r="X1084" s="50">
        <f>SUM(X325:X336)</f>
        <v>20.800615543999996</v>
      </c>
      <c r="Y1084" s="50"/>
      <c r="Z1084" s="56"/>
      <c r="AA1084" s="55"/>
      <c r="AB1084" s="51">
        <f>AVERAGE(AB325:AB336)</f>
        <v>10.079134226076963</v>
      </c>
      <c r="AC1084" s="27">
        <f>AVERAGE(AC325:AC336)</f>
        <v>10.015510431654677</v>
      </c>
    </row>
    <row r="1085" spans="1:29" ht="15.75" x14ac:dyDescent="0.25">
      <c r="A1085" s="11">
        <f t="shared" si="30"/>
        <v>2041</v>
      </c>
      <c r="B1085" s="10">
        <f t="shared" ref="B1085:S1085" si="34">AVERAGE(B337:B348)</f>
        <v>10.299883333333334</v>
      </c>
      <c r="C1085" s="10">
        <f t="shared" si="34"/>
        <v>10.306041666666669</v>
      </c>
      <c r="D1085" s="10">
        <f t="shared" si="34"/>
        <v>10.437366666666668</v>
      </c>
      <c r="E1085" s="10">
        <f t="shared" si="34"/>
        <v>10.469466666666667</v>
      </c>
      <c r="F1085" s="10">
        <f t="shared" si="34"/>
        <v>10.296124999999998</v>
      </c>
      <c r="G1085" s="10">
        <f t="shared" si="34"/>
        <v>10.314683333333333</v>
      </c>
      <c r="H1085" s="10">
        <f t="shared" si="34"/>
        <v>10.458583333333333</v>
      </c>
      <c r="I1085" s="10">
        <f t="shared" si="34"/>
        <v>10.283725</v>
      </c>
      <c r="J1085" s="10">
        <f t="shared" si="34"/>
        <v>10.289125000000004</v>
      </c>
      <c r="K1085" s="54">
        <f t="shared" si="34"/>
        <v>10.279833333333334</v>
      </c>
      <c r="L1085" s="10">
        <f t="shared" si="34"/>
        <v>11.045583333333331</v>
      </c>
      <c r="M1085" s="10">
        <f t="shared" si="34"/>
        <v>10.199116666666667</v>
      </c>
      <c r="N1085" s="10">
        <f t="shared" si="34"/>
        <v>10.217483333333332</v>
      </c>
      <c r="O1085" s="10">
        <f t="shared" si="34"/>
        <v>10.366858333333335</v>
      </c>
      <c r="P1085" s="10">
        <f t="shared" si="34"/>
        <v>10.193800000000001</v>
      </c>
      <c r="Q1085" s="10">
        <f t="shared" si="34"/>
        <v>10.962158333333335</v>
      </c>
      <c r="R1085" s="10">
        <f t="shared" si="34"/>
        <v>11.576575</v>
      </c>
      <c r="S1085" s="10">
        <f t="shared" si="34"/>
        <v>9.9991083333333322</v>
      </c>
      <c r="T1085" s="50">
        <f>SUM(T337:T348)</f>
        <v>357.24568100000005</v>
      </c>
      <c r="U1085" s="50">
        <f>SUM(U337:U348)</f>
        <v>142.03263249999998</v>
      </c>
      <c r="V1085" s="50">
        <f>SUM(V337:V348)</f>
        <v>50.187500000000007</v>
      </c>
      <c r="W1085" s="50">
        <f>SUM(W337:W348)</f>
        <v>5.0822234999999996</v>
      </c>
      <c r="X1085" s="50">
        <f>SUM(X337:X348)</f>
        <v>20.758966663999999</v>
      </c>
      <c r="Y1085" s="50"/>
      <c r="Z1085" s="56"/>
      <c r="AA1085" s="55"/>
      <c r="AB1085" s="51">
        <f>AVERAGE(AB337:AB348)</f>
        <v>10.32070506230467</v>
      </c>
      <c r="AC1085" s="27">
        <f>AVERAGE(AC337:AC348)</f>
        <v>10.254647062350122</v>
      </c>
    </row>
    <row r="1086" spans="1:29" ht="15.75" x14ac:dyDescent="0.25">
      <c r="A1086" s="11">
        <f t="shared" si="30"/>
        <v>2042</v>
      </c>
      <c r="B1086" s="10">
        <f t="shared" ref="B1086:S1086" si="35">AVERAGE(B349:B360)</f>
        <v>10.547258333333334</v>
      </c>
      <c r="C1086" s="10">
        <f t="shared" si="35"/>
        <v>10.553425000000001</v>
      </c>
      <c r="D1086" s="10">
        <f t="shared" si="35"/>
        <v>10.684741666666667</v>
      </c>
      <c r="E1086" s="10">
        <f t="shared" si="35"/>
        <v>10.716841666666667</v>
      </c>
      <c r="F1086" s="10">
        <f t="shared" si="35"/>
        <v>10.543508333333333</v>
      </c>
      <c r="G1086" s="10">
        <f t="shared" si="35"/>
        <v>10.562049999999999</v>
      </c>
      <c r="H1086" s="10">
        <f t="shared" si="35"/>
        <v>10.705975</v>
      </c>
      <c r="I1086" s="10">
        <f t="shared" si="35"/>
        <v>10.531091666666667</v>
      </c>
      <c r="J1086" s="10">
        <f t="shared" si="35"/>
        <v>10.536508333333332</v>
      </c>
      <c r="K1086" s="54">
        <f t="shared" si="35"/>
        <v>10.527199999999999</v>
      </c>
      <c r="L1086" s="10">
        <f t="shared" si="35"/>
        <v>11.292974999999998</v>
      </c>
      <c r="M1086" s="10">
        <f t="shared" si="35"/>
        <v>10.444000000000001</v>
      </c>
      <c r="N1086" s="10">
        <f t="shared" si="35"/>
        <v>10.462366666666666</v>
      </c>
      <c r="O1086" s="10">
        <f t="shared" si="35"/>
        <v>10.611758333333333</v>
      </c>
      <c r="P1086" s="10">
        <f t="shared" si="35"/>
        <v>10.438700000000001</v>
      </c>
      <c r="Q1086" s="10">
        <f t="shared" si="35"/>
        <v>11.207058333333334</v>
      </c>
      <c r="R1086" s="10">
        <f t="shared" si="35"/>
        <v>11.822066666666666</v>
      </c>
      <c r="S1086" s="10">
        <f t="shared" si="35"/>
        <v>10.23934166666667</v>
      </c>
      <c r="T1086" s="50">
        <f>SUM(T349:T360)</f>
        <v>357.24568100000005</v>
      </c>
      <c r="U1086" s="50">
        <f>SUM(U349:U360)</f>
        <v>142.03263249999998</v>
      </c>
      <c r="V1086" s="50">
        <f>SUM(V349:V360)</f>
        <v>50.187500000000007</v>
      </c>
      <c r="W1086" s="50">
        <f>SUM(W349:W360)</f>
        <v>5.0822234999999996</v>
      </c>
      <c r="X1086" s="50">
        <f>SUM(X349:X360)</f>
        <v>20.758966663999999</v>
      </c>
      <c r="Y1086" s="50"/>
      <c r="Z1086" s="56"/>
      <c r="AA1086" s="55"/>
      <c r="AB1086" s="51">
        <f>AVERAGE(AB349:AB360)</f>
        <v>10.568082089673924</v>
      </c>
      <c r="AC1086" s="27">
        <f>AVERAGE(AC349:AC360)</f>
        <v>10.499537470023981</v>
      </c>
    </row>
    <row r="1087" spans="1:29" ht="15.75" x14ac:dyDescent="0.25">
      <c r="A1087" s="11">
        <f t="shared" si="30"/>
        <v>2043</v>
      </c>
      <c r="B1087" s="10">
        <f t="shared" ref="B1087:S1087" si="36">AVERAGE(B361:B372)</f>
        <v>10.800583333333334</v>
      </c>
      <c r="C1087" s="10">
        <f t="shared" si="36"/>
        <v>10.806758333333335</v>
      </c>
      <c r="D1087" s="10">
        <f t="shared" si="36"/>
        <v>10.938066666666669</v>
      </c>
      <c r="E1087" s="10">
        <f t="shared" si="36"/>
        <v>10.970150000000002</v>
      </c>
      <c r="F1087" s="10">
        <f t="shared" si="36"/>
        <v>10.796833333333332</v>
      </c>
      <c r="G1087" s="10">
        <f t="shared" si="36"/>
        <v>10.815366666666668</v>
      </c>
      <c r="H1087" s="10">
        <f t="shared" si="36"/>
        <v>10.959283333333332</v>
      </c>
      <c r="I1087" s="10">
        <f t="shared" si="36"/>
        <v>10.784425000000001</v>
      </c>
      <c r="J1087" s="10">
        <f t="shared" si="36"/>
        <v>10.789833333333334</v>
      </c>
      <c r="K1087" s="54">
        <f t="shared" si="36"/>
        <v>10.780524999999999</v>
      </c>
      <c r="L1087" s="10">
        <f t="shared" si="36"/>
        <v>11.546283333333333</v>
      </c>
      <c r="M1087" s="10">
        <f t="shared" si="36"/>
        <v>10.694775</v>
      </c>
      <c r="N1087" s="10">
        <f t="shared" si="36"/>
        <v>10.713141666666667</v>
      </c>
      <c r="O1087" s="10">
        <f t="shared" si="36"/>
        <v>10.862508333333333</v>
      </c>
      <c r="P1087" s="10">
        <f t="shared" si="36"/>
        <v>10.689458333333334</v>
      </c>
      <c r="Q1087" s="10">
        <f t="shared" si="36"/>
        <v>11.457808333333332</v>
      </c>
      <c r="R1087" s="10">
        <f t="shared" si="36"/>
        <v>12.073458333333333</v>
      </c>
      <c r="S1087" s="10">
        <f t="shared" si="36"/>
        <v>10.485358333333332</v>
      </c>
      <c r="T1087" s="50">
        <f>SUM(T361:T372)</f>
        <v>357.24568100000005</v>
      </c>
      <c r="U1087" s="50">
        <f>SUM(U361:U372)</f>
        <v>142.03263249999998</v>
      </c>
      <c r="V1087" s="50">
        <f>SUM(V361:V372)</f>
        <v>50.187500000000007</v>
      </c>
      <c r="W1087" s="50">
        <f>SUM(W361:W372)</f>
        <v>5.0822234999999996</v>
      </c>
      <c r="X1087" s="50">
        <f>SUM(X361:X372)</f>
        <v>20.758966663999999</v>
      </c>
      <c r="Y1087" s="50"/>
      <c r="Z1087" s="56"/>
      <c r="AA1087" s="55"/>
      <c r="AB1087" s="51">
        <f>AVERAGE(AB361:AB372)</f>
        <v>10.821407978508866</v>
      </c>
      <c r="AC1087" s="27">
        <f>AVERAGE(AC361:AC372)</f>
        <v>10.750301618705038</v>
      </c>
    </row>
    <row r="1088" spans="1:29" ht="15.75" x14ac:dyDescent="0.25">
      <c r="A1088" s="11">
        <f t="shared" si="30"/>
        <v>2044</v>
      </c>
      <c r="B1088" s="10">
        <f t="shared" ref="B1088:S1088" si="37">AVERAGE(B373:B384)</f>
        <v>11.059983333333333</v>
      </c>
      <c r="C1088" s="10">
        <f t="shared" si="37"/>
        <v>11.066158333333334</v>
      </c>
      <c r="D1088" s="10">
        <f t="shared" si="37"/>
        <v>11.197491666666664</v>
      </c>
      <c r="E1088" s="10">
        <f t="shared" si="37"/>
        <v>11.229583333333332</v>
      </c>
      <c r="F1088" s="10">
        <f t="shared" si="37"/>
        <v>11.056241666666667</v>
      </c>
      <c r="G1088" s="10">
        <f t="shared" si="37"/>
        <v>11.074791666666664</v>
      </c>
      <c r="H1088" s="10">
        <f t="shared" si="37"/>
        <v>11.2187</v>
      </c>
      <c r="I1088" s="10">
        <f t="shared" si="37"/>
        <v>11.043841666666667</v>
      </c>
      <c r="J1088" s="10">
        <f t="shared" si="37"/>
        <v>11.049241666666665</v>
      </c>
      <c r="K1088" s="54">
        <f t="shared" si="37"/>
        <v>11.039941666666666</v>
      </c>
      <c r="L1088" s="10">
        <f t="shared" si="37"/>
        <v>11.8057</v>
      </c>
      <c r="M1088" s="10">
        <f t="shared" si="37"/>
        <v>10.951558333333333</v>
      </c>
      <c r="N1088" s="10">
        <f t="shared" si="37"/>
        <v>10.969924999999998</v>
      </c>
      <c r="O1088" s="10">
        <f t="shared" si="37"/>
        <v>11.119316666666668</v>
      </c>
      <c r="P1088" s="10">
        <f t="shared" si="37"/>
        <v>10.946258333333333</v>
      </c>
      <c r="Q1088" s="10">
        <f t="shared" si="37"/>
        <v>11.714616666666666</v>
      </c>
      <c r="R1088" s="10">
        <f t="shared" si="37"/>
        <v>12.330883333333334</v>
      </c>
      <c r="S1088" s="10">
        <f t="shared" si="37"/>
        <v>10.737258333333335</v>
      </c>
      <c r="T1088" s="50">
        <f>SUM(T373:T384)</f>
        <v>358.17703550000004</v>
      </c>
      <c r="U1088" s="50">
        <f>SUM(U373:U384)</f>
        <v>142.42176299999997</v>
      </c>
      <c r="V1088" s="50">
        <f>SUM(V373:V384)</f>
        <v>50.325000000000003</v>
      </c>
      <c r="W1088" s="50">
        <f>SUM(W373:W384)</f>
        <v>5.0961473999999995</v>
      </c>
      <c r="X1088" s="50">
        <f>SUM(X373:X384)</f>
        <v>20.800615543999996</v>
      </c>
      <c r="Y1088" s="50"/>
      <c r="Z1088" s="56"/>
      <c r="AA1088" s="55"/>
      <c r="AB1088" s="51">
        <f>AVERAGE(AB373:AB384)</f>
        <v>11.080819066852717</v>
      </c>
      <c r="AC1088" s="27">
        <f>AVERAGE(AC373:AC384)</f>
        <v>11.007097242206235</v>
      </c>
    </row>
    <row r="1089" spans="1:29" ht="15.75" x14ac:dyDescent="0.25">
      <c r="A1089" s="11">
        <f t="shared" si="30"/>
        <v>2045</v>
      </c>
      <c r="B1089" s="10">
        <f t="shared" ref="B1089:S1089" si="38">AVERAGE(B385:B396)</f>
        <v>11.325650000000001</v>
      </c>
      <c r="C1089" s="10">
        <f t="shared" si="38"/>
        <v>11.331808333333333</v>
      </c>
      <c r="D1089" s="10">
        <f t="shared" si="38"/>
        <v>11.463125000000003</v>
      </c>
      <c r="E1089" s="10">
        <f t="shared" si="38"/>
        <v>11.495216666666666</v>
      </c>
      <c r="F1089" s="10">
        <f t="shared" si="38"/>
        <v>11.321875</v>
      </c>
      <c r="G1089" s="10">
        <f t="shared" si="38"/>
        <v>11.340433333333332</v>
      </c>
      <c r="H1089" s="10">
        <f t="shared" si="38"/>
        <v>11.484333333333334</v>
      </c>
      <c r="I1089" s="10">
        <f t="shared" si="38"/>
        <v>11.309474999999999</v>
      </c>
      <c r="J1089" s="10">
        <f t="shared" si="38"/>
        <v>11.314875000000001</v>
      </c>
      <c r="K1089" s="54">
        <f t="shared" si="38"/>
        <v>11.305583333333336</v>
      </c>
      <c r="L1089" s="10">
        <f t="shared" si="38"/>
        <v>12.071333333333333</v>
      </c>
      <c r="M1089" s="10">
        <f t="shared" si="38"/>
        <v>11.214516666666666</v>
      </c>
      <c r="N1089" s="10">
        <f t="shared" si="38"/>
        <v>11.232883333333332</v>
      </c>
      <c r="O1089" s="10">
        <f t="shared" si="38"/>
        <v>11.382275</v>
      </c>
      <c r="P1089" s="10">
        <f t="shared" si="38"/>
        <v>11.209216666666665</v>
      </c>
      <c r="Q1089" s="10">
        <f t="shared" si="38"/>
        <v>11.977575</v>
      </c>
      <c r="R1089" s="10">
        <f t="shared" si="38"/>
        <v>12.594508333333332</v>
      </c>
      <c r="S1089" s="10">
        <f t="shared" si="38"/>
        <v>10.995216666666666</v>
      </c>
      <c r="T1089" s="50">
        <f>SUM(T385:T396)</f>
        <v>357.24568100000005</v>
      </c>
      <c r="U1089" s="50">
        <f>SUM(U385:U396)</f>
        <v>142.03263249999998</v>
      </c>
      <c r="V1089" s="50">
        <f>SUM(V385:V396)</f>
        <v>50.187500000000007</v>
      </c>
      <c r="W1089" s="50">
        <f>SUM(W385:W396)</f>
        <v>5.0822234999999996</v>
      </c>
      <c r="X1089" s="50">
        <f>SUM(X385:X396)</f>
        <v>20.758966663999999</v>
      </c>
      <c r="Y1089" s="50"/>
      <c r="Z1089" s="56"/>
      <c r="AA1089" s="55"/>
      <c r="AB1089" s="51">
        <f>AVERAGE(AB385:AB396)</f>
        <v>11.346462195592411</v>
      </c>
      <c r="AC1089" s="27">
        <f>AVERAGE(AC385:AC396)</f>
        <v>11.270054136690648</v>
      </c>
    </row>
    <row r="1090" spans="1:29" ht="15.75" x14ac:dyDescent="0.25">
      <c r="A1090" s="11">
        <f t="shared" si="30"/>
        <v>2046</v>
      </c>
      <c r="B1090" s="10">
        <f t="shared" ref="B1090:S1090" si="39">AVERAGE(B397:B408)</f>
        <v>11.597666666666669</v>
      </c>
      <c r="C1090" s="10">
        <f t="shared" si="39"/>
        <v>11.603833333333334</v>
      </c>
      <c r="D1090" s="10">
        <f t="shared" si="39"/>
        <v>11.735149999999999</v>
      </c>
      <c r="E1090" s="10">
        <f t="shared" si="39"/>
        <v>11.767258333333332</v>
      </c>
      <c r="F1090" s="10">
        <f t="shared" si="39"/>
        <v>11.593899999999998</v>
      </c>
      <c r="G1090" s="10">
        <f t="shared" si="39"/>
        <v>11.612458333333334</v>
      </c>
      <c r="H1090" s="10">
        <f t="shared" si="39"/>
        <v>11.756366666666667</v>
      </c>
      <c r="I1090" s="10">
        <f t="shared" si="39"/>
        <v>11.581516666666667</v>
      </c>
      <c r="J1090" s="10">
        <f t="shared" si="39"/>
        <v>11.5869</v>
      </c>
      <c r="K1090" s="54">
        <f t="shared" si="39"/>
        <v>11.577616666666666</v>
      </c>
      <c r="L1090" s="10">
        <f t="shared" si="39"/>
        <v>12.343366666666666</v>
      </c>
      <c r="M1090" s="10">
        <f t="shared" si="39"/>
        <v>11.483791666666667</v>
      </c>
      <c r="N1090" s="10">
        <f t="shared" si="39"/>
        <v>11.502158333333334</v>
      </c>
      <c r="O1090" s="10">
        <f t="shared" si="39"/>
        <v>11.65155</v>
      </c>
      <c r="P1090" s="10">
        <f t="shared" si="39"/>
        <v>11.478491666666669</v>
      </c>
      <c r="Q1090" s="10">
        <f t="shared" si="39"/>
        <v>12.24685</v>
      </c>
      <c r="R1090" s="10">
        <f t="shared" si="39"/>
        <v>12.864475000000001</v>
      </c>
      <c r="S1090" s="10">
        <f t="shared" si="39"/>
        <v>11.259366666666665</v>
      </c>
      <c r="T1090" s="50">
        <f>SUM(T397:T408)</f>
        <v>357.24568100000005</v>
      </c>
      <c r="U1090" s="50">
        <f>SUM(U397:U408)</f>
        <v>142.03263249999998</v>
      </c>
      <c r="V1090" s="50">
        <f>SUM(V397:V408)</f>
        <v>50.187500000000007</v>
      </c>
      <c r="W1090" s="50">
        <f>SUM(W397:W408)</f>
        <v>5.0822234999999996</v>
      </c>
      <c r="X1090" s="50">
        <f>SUM(X397:X408)</f>
        <v>20.758966663999999</v>
      </c>
      <c r="Y1090" s="50"/>
      <c r="Z1090" s="56"/>
      <c r="AA1090" s="55"/>
      <c r="AB1090" s="51">
        <f>AVERAGE(AB397:AB408)</f>
        <v>11.61848814868077</v>
      </c>
      <c r="AC1090" s="27">
        <f>AVERAGE(AC397:AC408)</f>
        <v>11.539330575539568</v>
      </c>
    </row>
    <row r="1091" spans="1:29" ht="15.75" x14ac:dyDescent="0.25">
      <c r="A1091" s="11">
        <f t="shared" si="30"/>
        <v>2047</v>
      </c>
      <c r="B1091" s="10">
        <f t="shared" ref="B1091:S1091" si="40">AVERAGE(B409:B420)</f>
        <v>11.876233333333333</v>
      </c>
      <c r="C1091" s="10">
        <f t="shared" si="40"/>
        <v>11.882391666666665</v>
      </c>
      <c r="D1091" s="10">
        <f t="shared" si="40"/>
        <v>12.0137</v>
      </c>
      <c r="E1091" s="10">
        <f t="shared" si="40"/>
        <v>12.045808333333333</v>
      </c>
      <c r="F1091" s="10">
        <f t="shared" si="40"/>
        <v>11.872458333333334</v>
      </c>
      <c r="G1091" s="10">
        <f t="shared" si="40"/>
        <v>11.891016666666665</v>
      </c>
      <c r="H1091" s="10">
        <f t="shared" si="40"/>
        <v>12.034924999999999</v>
      </c>
      <c r="I1091" s="10">
        <f t="shared" si="40"/>
        <v>11.860066666666668</v>
      </c>
      <c r="J1091" s="10">
        <f t="shared" si="40"/>
        <v>11.865458333333331</v>
      </c>
      <c r="K1091" s="54">
        <f t="shared" si="40"/>
        <v>11.856175</v>
      </c>
      <c r="L1091" s="10">
        <f t="shared" si="40"/>
        <v>12.621924999999999</v>
      </c>
      <c r="M1091" s="10">
        <f t="shared" si="40"/>
        <v>11.759566666666666</v>
      </c>
      <c r="N1091" s="10">
        <f t="shared" si="40"/>
        <v>11.777916666666664</v>
      </c>
      <c r="O1091" s="10">
        <f t="shared" si="40"/>
        <v>11.927308333333334</v>
      </c>
      <c r="P1091" s="10">
        <f t="shared" si="40"/>
        <v>11.754241666666667</v>
      </c>
      <c r="Q1091" s="10">
        <f t="shared" si="40"/>
        <v>12.522608333333332</v>
      </c>
      <c r="R1091" s="10">
        <f t="shared" si="40"/>
        <v>13.140908333333334</v>
      </c>
      <c r="S1091" s="10">
        <f t="shared" si="40"/>
        <v>11.529908333333333</v>
      </c>
      <c r="T1091" s="50">
        <f>SUM(T409:T420)</f>
        <v>357.24568100000005</v>
      </c>
      <c r="U1091" s="50">
        <f>SUM(U409:U420)</f>
        <v>142.03263249999998</v>
      </c>
      <c r="V1091" s="50">
        <f>SUM(V409:V420)</f>
        <v>50.187500000000007</v>
      </c>
      <c r="W1091" s="50">
        <f>SUM(W409:W420)</f>
        <v>5.0822234999999996</v>
      </c>
      <c r="X1091" s="50">
        <f>SUM(X409:X420)</f>
        <v>20.758966663999999</v>
      </c>
      <c r="Y1091" s="50"/>
      <c r="Z1091" s="56"/>
      <c r="AA1091" s="55"/>
      <c r="AB1091" s="51">
        <f>AVERAGE(AB409:AB420)</f>
        <v>11.897045129822956</v>
      </c>
      <c r="AC1091" s="27">
        <f>AVERAGE(AC409:AC420)</f>
        <v>11.815093465227816</v>
      </c>
    </row>
    <row r="1092" spans="1:29" ht="15.75" x14ac:dyDescent="0.25">
      <c r="A1092" s="11">
        <f t="shared" si="30"/>
        <v>2048</v>
      </c>
      <c r="B1092" s="10">
        <f t="shared" ref="B1092:S1092" si="41">AVERAGE(B421:B432)</f>
        <v>12.161483333333335</v>
      </c>
      <c r="C1092" s="10">
        <f t="shared" si="41"/>
        <v>12.167658333333334</v>
      </c>
      <c r="D1092" s="10">
        <f t="shared" si="41"/>
        <v>12.298966666666667</v>
      </c>
      <c r="E1092" s="10">
        <f t="shared" si="41"/>
        <v>12.331058333333333</v>
      </c>
      <c r="F1092" s="10">
        <f t="shared" si="41"/>
        <v>12.157708333333332</v>
      </c>
      <c r="G1092" s="10">
        <f t="shared" si="41"/>
        <v>12.176274999999999</v>
      </c>
      <c r="H1092" s="10">
        <f t="shared" si="41"/>
        <v>12.320183333333333</v>
      </c>
      <c r="I1092" s="10">
        <f t="shared" si="41"/>
        <v>12.145325</v>
      </c>
      <c r="J1092" s="10">
        <f t="shared" si="41"/>
        <v>12.150708333333334</v>
      </c>
      <c r="K1092" s="54">
        <f t="shared" si="41"/>
        <v>12.141424999999998</v>
      </c>
      <c r="L1092" s="10">
        <f t="shared" si="41"/>
        <v>12.907183333333331</v>
      </c>
      <c r="M1092" s="10">
        <f t="shared" si="41"/>
        <v>12.04195</v>
      </c>
      <c r="N1092" s="10">
        <f t="shared" si="41"/>
        <v>12.060274999999997</v>
      </c>
      <c r="O1092" s="10">
        <f t="shared" si="41"/>
        <v>12.209675000000002</v>
      </c>
      <c r="P1092" s="10">
        <f t="shared" si="41"/>
        <v>12.0366</v>
      </c>
      <c r="Q1092" s="10">
        <f t="shared" si="41"/>
        <v>12.804974999999999</v>
      </c>
      <c r="R1092" s="10">
        <f t="shared" si="41"/>
        <v>13.423983333333332</v>
      </c>
      <c r="S1092" s="10">
        <f t="shared" si="41"/>
        <v>11.806916666666668</v>
      </c>
      <c r="T1092" s="50">
        <f>SUM(T421:T432)</f>
        <v>358.17703550000004</v>
      </c>
      <c r="U1092" s="50">
        <f>SUM(U421:U432)</f>
        <v>142.42176299999997</v>
      </c>
      <c r="V1092" s="50">
        <f>SUM(V421:V432)</f>
        <v>50.325000000000003</v>
      </c>
      <c r="W1092" s="50">
        <f>SUM(W421:W432)</f>
        <v>5.0961473999999995</v>
      </c>
      <c r="X1092" s="50">
        <f>SUM(X421:X432)</f>
        <v>20.800615543999996</v>
      </c>
      <c r="Y1092" s="50"/>
      <c r="Z1092" s="56"/>
      <c r="AA1092" s="55"/>
      <c r="AB1092" s="51">
        <f>AVERAGE(AB421:AB432)</f>
        <v>12.182302250612194</v>
      </c>
      <c r="AC1092" s="27">
        <f>AVERAGE(AC421:AC432)</f>
        <v>12.097464208633093</v>
      </c>
    </row>
    <row r="1093" spans="1:29" ht="15.75" x14ac:dyDescent="0.25">
      <c r="A1093" s="11">
        <f t="shared" si="30"/>
        <v>2049</v>
      </c>
      <c r="B1093" s="10">
        <f t="shared" ref="B1093:S1093" si="42">AVERAGE(B433:B444)</f>
        <v>12.453608333333333</v>
      </c>
      <c r="C1093" s="10">
        <f t="shared" si="42"/>
        <v>12.459775000000002</v>
      </c>
      <c r="D1093" s="10">
        <f t="shared" si="42"/>
        <v>12.591075000000002</v>
      </c>
      <c r="E1093" s="10">
        <f t="shared" si="42"/>
        <v>12.623183333333335</v>
      </c>
      <c r="F1093" s="10">
        <f t="shared" si="42"/>
        <v>12.449858333333331</v>
      </c>
      <c r="G1093" s="10">
        <f t="shared" si="42"/>
        <v>12.468383333333334</v>
      </c>
      <c r="H1093" s="10">
        <f t="shared" si="42"/>
        <v>12.61228333333333</v>
      </c>
      <c r="I1093" s="10">
        <f t="shared" si="42"/>
        <v>12.437424999999999</v>
      </c>
      <c r="J1093" s="10">
        <f t="shared" si="42"/>
        <v>12.442858333333334</v>
      </c>
      <c r="K1093" s="54">
        <f t="shared" si="42"/>
        <v>12.433541666666665</v>
      </c>
      <c r="L1093" s="10">
        <f t="shared" si="42"/>
        <v>13.199283333333332</v>
      </c>
      <c r="M1093" s="10">
        <f t="shared" si="42"/>
        <v>12.331100000000001</v>
      </c>
      <c r="N1093" s="10">
        <f t="shared" si="42"/>
        <v>12.349449999999999</v>
      </c>
      <c r="O1093" s="10">
        <f t="shared" si="42"/>
        <v>12.498841666666666</v>
      </c>
      <c r="P1093" s="10">
        <f t="shared" si="42"/>
        <v>12.325783333333334</v>
      </c>
      <c r="Q1093" s="10">
        <f t="shared" si="42"/>
        <v>13.094141666666667</v>
      </c>
      <c r="R1093" s="10">
        <f t="shared" si="42"/>
        <v>13.713875</v>
      </c>
      <c r="S1093" s="10">
        <f t="shared" si="42"/>
        <v>12.090566666666666</v>
      </c>
      <c r="T1093" s="50">
        <f>SUM(T433:T444)</f>
        <v>357.24568100000005</v>
      </c>
      <c r="U1093" s="50">
        <f>SUM(U433:U444)</f>
        <v>142.03263249999998</v>
      </c>
      <c r="V1093" s="50">
        <f>SUM(V433:V444)</f>
        <v>50.187500000000007</v>
      </c>
      <c r="W1093" s="50">
        <f>SUM(W433:W444)</f>
        <v>5.0822234999999996</v>
      </c>
      <c r="X1093" s="50">
        <f>SUM(X433:X444)</f>
        <v>20.758966663999999</v>
      </c>
      <c r="Y1093" s="50"/>
      <c r="Z1093" s="56"/>
      <c r="AA1093" s="55"/>
      <c r="AB1093" s="51">
        <f>AVERAGE(AB433:AB444)</f>
        <v>12.474427107551636</v>
      </c>
      <c r="AC1093" s="27">
        <f>AVERAGE(AC433:AC444)</f>
        <v>12.386627997601918</v>
      </c>
    </row>
    <row r="1094" spans="1:29" ht="15.75" x14ac:dyDescent="0.25">
      <c r="A1094" s="11">
        <f t="shared" si="30"/>
        <v>2050</v>
      </c>
      <c r="B1094" s="10">
        <f t="shared" ref="B1094:S1094" si="43">AVERAGE(B445:B456)</f>
        <v>12.752724999999998</v>
      </c>
      <c r="C1094" s="10">
        <f t="shared" si="43"/>
        <v>12.758891666666665</v>
      </c>
      <c r="D1094" s="10">
        <f t="shared" si="43"/>
        <v>12.890208333333334</v>
      </c>
      <c r="E1094" s="10">
        <f t="shared" si="43"/>
        <v>12.9223</v>
      </c>
      <c r="F1094" s="10">
        <f t="shared" si="43"/>
        <v>12.748958333333334</v>
      </c>
      <c r="G1094" s="10">
        <f t="shared" si="43"/>
        <v>12.767516666666667</v>
      </c>
      <c r="H1094" s="10">
        <f t="shared" si="43"/>
        <v>12.911416666666666</v>
      </c>
      <c r="I1094" s="10">
        <f t="shared" si="43"/>
        <v>12.736541666666669</v>
      </c>
      <c r="J1094" s="10">
        <f t="shared" si="43"/>
        <v>12.741958333333331</v>
      </c>
      <c r="K1094" s="54">
        <f t="shared" si="43"/>
        <v>12.732658333333333</v>
      </c>
      <c r="L1094" s="10">
        <f t="shared" si="43"/>
        <v>13.498416666666666</v>
      </c>
      <c r="M1094" s="10">
        <f t="shared" si="43"/>
        <v>12.627191666666667</v>
      </c>
      <c r="N1094" s="10">
        <f t="shared" si="43"/>
        <v>12.64555</v>
      </c>
      <c r="O1094" s="10">
        <f t="shared" si="43"/>
        <v>12.794933333333333</v>
      </c>
      <c r="P1094" s="10">
        <f t="shared" si="43"/>
        <v>12.621883333333335</v>
      </c>
      <c r="Q1094" s="10">
        <f t="shared" si="43"/>
        <v>13.390233333333333</v>
      </c>
      <c r="R1094" s="10">
        <f t="shared" si="43"/>
        <v>14.010716666666667</v>
      </c>
      <c r="S1094" s="10">
        <f t="shared" si="43"/>
        <v>12.381058333333334</v>
      </c>
      <c r="T1094" s="50">
        <f>SUM(T445:T456)</f>
        <v>357.24568100000005</v>
      </c>
      <c r="U1094" s="50">
        <f>SUM(U445:U456)</f>
        <v>142.03263249999998</v>
      </c>
      <c r="V1094" s="50">
        <f>SUM(V445:V456)</f>
        <v>50.187500000000007</v>
      </c>
      <c r="W1094" s="50">
        <f>SUM(W445:W456)</f>
        <v>5.0822234999999996</v>
      </c>
      <c r="X1094" s="50">
        <f>SUM(X445:X456)</f>
        <v>20.758966663999999</v>
      </c>
      <c r="Y1094" s="50"/>
      <c r="Z1094" s="56"/>
      <c r="AA1094" s="55"/>
      <c r="AB1094" s="51">
        <f>AVERAGE(AB445:AB456)</f>
        <v>12.773542225517945</v>
      </c>
      <c r="AC1094" s="27">
        <f>AVERAGE(AC445:AC456)</f>
        <v>12.68272134292566</v>
      </c>
    </row>
    <row r="1095" spans="1:29" ht="15.75" x14ac:dyDescent="0.25">
      <c r="A1095" s="11">
        <f t="shared" si="30"/>
        <v>2051</v>
      </c>
      <c r="B1095" s="10">
        <f t="shared" ref="B1095:S1095" si="44">AVERAGE(B457:B468)</f>
        <v>13.059033333333334</v>
      </c>
      <c r="C1095" s="10">
        <f t="shared" si="44"/>
        <v>13.065199999999999</v>
      </c>
      <c r="D1095" s="10">
        <f t="shared" si="44"/>
        <v>13.196516666666668</v>
      </c>
      <c r="E1095" s="10">
        <f t="shared" si="44"/>
        <v>13.228616666666666</v>
      </c>
      <c r="F1095" s="10">
        <f t="shared" si="44"/>
        <v>13.055291666666667</v>
      </c>
      <c r="G1095" s="10">
        <f t="shared" si="44"/>
        <v>13.073816666666668</v>
      </c>
      <c r="H1095" s="10">
        <f t="shared" si="44"/>
        <v>13.217741666666667</v>
      </c>
      <c r="I1095" s="10">
        <f t="shared" si="44"/>
        <v>13.042866666666667</v>
      </c>
      <c r="J1095" s="10">
        <f t="shared" si="44"/>
        <v>13.048291666666666</v>
      </c>
      <c r="K1095" s="54">
        <f t="shared" si="44"/>
        <v>13.038966666666667</v>
      </c>
      <c r="L1095" s="10">
        <f t="shared" si="44"/>
        <v>13.804741666666665</v>
      </c>
      <c r="M1095" s="10">
        <f t="shared" si="44"/>
        <v>12.930416666666668</v>
      </c>
      <c r="N1095" s="10">
        <f t="shared" si="44"/>
        <v>12.948766666666666</v>
      </c>
      <c r="O1095" s="10">
        <f t="shared" si="44"/>
        <v>13.098166666666664</v>
      </c>
      <c r="P1095" s="10">
        <f t="shared" si="44"/>
        <v>12.9251</v>
      </c>
      <c r="Q1095" s="10">
        <f t="shared" si="44"/>
        <v>13.693466666666668</v>
      </c>
      <c r="R1095" s="10">
        <f t="shared" si="44"/>
        <v>14.314691666666667</v>
      </c>
      <c r="S1095" s="10">
        <f t="shared" si="44"/>
        <v>12.678533333333334</v>
      </c>
      <c r="T1095" s="50">
        <f>SUM(T457:T468)</f>
        <v>357.24568100000005</v>
      </c>
      <c r="U1095" s="50">
        <f>SUM(U457:U468)</f>
        <v>142.03263249999998</v>
      </c>
      <c r="V1095" s="50">
        <f>SUM(V457:V468)</f>
        <v>50.187500000000007</v>
      </c>
      <c r="W1095" s="50">
        <f>SUM(W457:W468)</f>
        <v>5.0822234999999996</v>
      </c>
      <c r="X1095" s="50">
        <f>SUM(X457:X468)</f>
        <v>20.758966663999999</v>
      </c>
      <c r="Y1095" s="50"/>
      <c r="Z1095" s="56"/>
      <c r="AA1095" s="55"/>
      <c r="AB1095" s="51">
        <f>AVERAGE(AB457:AB468)</f>
        <v>13.079857817570248</v>
      </c>
      <c r="AC1095" s="27">
        <f>AVERAGE(AC457:AC468)</f>
        <v>12.985947002398079</v>
      </c>
    </row>
    <row r="1096" spans="1:29" ht="15.75" x14ac:dyDescent="0.25">
      <c r="A1096" s="11">
        <f t="shared" si="30"/>
        <v>2052</v>
      </c>
      <c r="B1096" s="10">
        <f t="shared" ref="B1096:S1096" si="45">AVERAGE(B469:B480)</f>
        <v>13.3727</v>
      </c>
      <c r="C1096" s="10">
        <f t="shared" si="45"/>
        <v>13.378883333333334</v>
      </c>
      <c r="D1096" s="10">
        <f t="shared" si="45"/>
        <v>13.510199999999999</v>
      </c>
      <c r="E1096" s="10">
        <f t="shared" si="45"/>
        <v>13.542291666666666</v>
      </c>
      <c r="F1096" s="10">
        <f t="shared" si="45"/>
        <v>13.368958333333333</v>
      </c>
      <c r="G1096" s="10">
        <f t="shared" si="45"/>
        <v>13.387500000000001</v>
      </c>
      <c r="H1096" s="10">
        <f t="shared" si="45"/>
        <v>13.531408333333333</v>
      </c>
      <c r="I1096" s="10">
        <f t="shared" si="45"/>
        <v>13.356550000000004</v>
      </c>
      <c r="J1096" s="10">
        <f t="shared" si="45"/>
        <v>13.361958333333332</v>
      </c>
      <c r="K1096" s="54">
        <f t="shared" si="45"/>
        <v>13.352658333333332</v>
      </c>
      <c r="L1096" s="10">
        <f t="shared" si="45"/>
        <v>14.118408333333335</v>
      </c>
      <c r="M1096" s="10">
        <f t="shared" si="45"/>
        <v>13.240949999999998</v>
      </c>
      <c r="N1096" s="10">
        <f t="shared" si="45"/>
        <v>13.259291666666664</v>
      </c>
      <c r="O1096" s="10">
        <f t="shared" si="45"/>
        <v>13.408666666666667</v>
      </c>
      <c r="P1096" s="10">
        <f t="shared" si="45"/>
        <v>13.235624999999999</v>
      </c>
      <c r="Q1096" s="10">
        <f t="shared" si="45"/>
        <v>14.003966666666665</v>
      </c>
      <c r="R1096" s="10">
        <f t="shared" si="45"/>
        <v>14.625991666666669</v>
      </c>
      <c r="S1096" s="10">
        <f t="shared" si="45"/>
        <v>12.983141666666667</v>
      </c>
      <c r="T1096" s="50">
        <f>SUM(T469:T480)</f>
        <v>358.17703550000004</v>
      </c>
      <c r="U1096" s="50">
        <f>SUM(U469:U480)</f>
        <v>142.42176299999997</v>
      </c>
      <c r="V1096" s="50">
        <f>SUM(V469:V480)</f>
        <v>50.325000000000003</v>
      </c>
      <c r="W1096" s="50">
        <f>SUM(W469:W480)</f>
        <v>5.0961473999999995</v>
      </c>
      <c r="X1096" s="50">
        <f>SUM(X469:X480)</f>
        <v>20.800615543999996</v>
      </c>
      <c r="Y1096" s="50"/>
      <c r="Z1096" s="56"/>
      <c r="AA1096" s="55"/>
      <c r="AB1096" s="51">
        <f>AVERAGE(AB469:AB480)</f>
        <v>13.393534315464313</v>
      </c>
      <c r="AC1096" s="27">
        <f>AVERAGE(AC469:AC480)</f>
        <v>13.296467865707433</v>
      </c>
    </row>
    <row r="1097" spans="1:29" ht="15.75" x14ac:dyDescent="0.25">
      <c r="A1097" s="11">
        <f t="shared" si="30"/>
        <v>2053</v>
      </c>
      <c r="B1097" s="10">
        <f t="shared" ref="B1097:S1097" si="46">AVERAGE(B481:B492)</f>
        <v>13.693924999999998</v>
      </c>
      <c r="C1097" s="10">
        <f t="shared" si="46"/>
        <v>13.700091666666665</v>
      </c>
      <c r="D1097" s="10">
        <f t="shared" si="46"/>
        <v>13.831416666666664</v>
      </c>
      <c r="E1097" s="10">
        <f t="shared" si="46"/>
        <v>13.863508333333334</v>
      </c>
      <c r="F1097" s="10">
        <f t="shared" si="46"/>
        <v>13.690175000000002</v>
      </c>
      <c r="G1097" s="10">
        <f t="shared" si="46"/>
        <v>13.708708333333334</v>
      </c>
      <c r="H1097" s="10">
        <f t="shared" si="46"/>
        <v>13.852616666666668</v>
      </c>
      <c r="I1097" s="10">
        <f t="shared" si="46"/>
        <v>13.677758333333331</v>
      </c>
      <c r="J1097" s="10">
        <f t="shared" si="46"/>
        <v>13.683175</v>
      </c>
      <c r="K1097" s="54">
        <f t="shared" si="46"/>
        <v>13.673858333333333</v>
      </c>
      <c r="L1097" s="10">
        <f t="shared" si="46"/>
        <v>14.439616666666666</v>
      </c>
      <c r="M1097" s="10">
        <f t="shared" si="46"/>
        <v>13.558908333333333</v>
      </c>
      <c r="N1097" s="10">
        <f t="shared" si="46"/>
        <v>13.577266666666667</v>
      </c>
      <c r="O1097" s="10">
        <f t="shared" si="46"/>
        <v>13.726650000000001</v>
      </c>
      <c r="P1097" s="10">
        <f t="shared" si="46"/>
        <v>13.553600000000001</v>
      </c>
      <c r="Q1097" s="10">
        <f t="shared" si="46"/>
        <v>14.321950000000001</v>
      </c>
      <c r="R1097" s="10">
        <f t="shared" si="46"/>
        <v>14.944749999999999</v>
      </c>
      <c r="S1097" s="10">
        <f t="shared" si="46"/>
        <v>13.295049999999998</v>
      </c>
      <c r="T1097" s="50">
        <f>SUM(T481:T492)</f>
        <v>357.24568100000005</v>
      </c>
      <c r="U1097" s="50">
        <f>SUM(U481:U492)</f>
        <v>142.03263249999998</v>
      </c>
      <c r="V1097" s="50">
        <f>SUM(V481:V492)</f>
        <v>50.187500000000007</v>
      </c>
      <c r="W1097" s="50">
        <f>SUM(W481:W492)</f>
        <v>5.0822234999999996</v>
      </c>
      <c r="X1097" s="50">
        <f>SUM(X481:X492)</f>
        <v>20.758966663999999</v>
      </c>
      <c r="Y1097" s="50"/>
      <c r="Z1097" s="56"/>
      <c r="AA1097" s="55"/>
      <c r="AB1097" s="51">
        <f>AVERAGE(AB481:AB492)</f>
        <v>13.71474894979368</v>
      </c>
      <c r="AC1097" s="27">
        <f>AVERAGE(AC481:AC492)</f>
        <v>13.614439448441248</v>
      </c>
    </row>
    <row r="1098" spans="1:29" ht="15.75" x14ac:dyDescent="0.25">
      <c r="A1098" s="11">
        <f t="shared" si="30"/>
        <v>2054</v>
      </c>
      <c r="B1098" s="10">
        <f t="shared" ref="B1098:S1098" si="47">AVERAGE(B493:B504)</f>
        <v>14.022841666666663</v>
      </c>
      <c r="C1098" s="10">
        <f t="shared" si="47"/>
        <v>14.029024999999999</v>
      </c>
      <c r="D1098" s="10">
        <f t="shared" si="47"/>
        <v>14.160341666666667</v>
      </c>
      <c r="E1098" s="10">
        <f t="shared" si="47"/>
        <v>14.192424999999998</v>
      </c>
      <c r="F1098" s="10">
        <f t="shared" si="47"/>
        <v>14.019108333333335</v>
      </c>
      <c r="G1098" s="10">
        <f t="shared" si="47"/>
        <v>14.037633333333334</v>
      </c>
      <c r="H1098" s="10">
        <f t="shared" si="47"/>
        <v>14.181533333333334</v>
      </c>
      <c r="I1098" s="10">
        <f t="shared" si="47"/>
        <v>14.006683333333333</v>
      </c>
      <c r="J1098" s="10">
        <f t="shared" si="47"/>
        <v>14.012108333333332</v>
      </c>
      <c r="K1098" s="54">
        <f t="shared" si="47"/>
        <v>14.002791666666667</v>
      </c>
      <c r="L1098" s="10">
        <f t="shared" si="47"/>
        <v>14.768533333333332</v>
      </c>
      <c r="M1098" s="10">
        <f t="shared" si="47"/>
        <v>13.884508333333335</v>
      </c>
      <c r="N1098" s="10">
        <f t="shared" si="47"/>
        <v>13.902866666666666</v>
      </c>
      <c r="O1098" s="10">
        <f t="shared" si="47"/>
        <v>14.052241666666667</v>
      </c>
      <c r="P1098" s="10">
        <f t="shared" si="47"/>
        <v>13.879200000000003</v>
      </c>
      <c r="Q1098" s="10">
        <f t="shared" si="47"/>
        <v>14.647541666666667</v>
      </c>
      <c r="R1098" s="10">
        <f t="shared" si="47"/>
        <v>15.271166666666664</v>
      </c>
      <c r="S1098" s="10">
        <f t="shared" si="47"/>
        <v>13.614475000000004</v>
      </c>
      <c r="T1098" s="50">
        <f>SUM(T493:T504)</f>
        <v>357.24568100000005</v>
      </c>
      <c r="U1098" s="50">
        <f>SUM(U493:U504)</f>
        <v>142.03263249999998</v>
      </c>
      <c r="V1098" s="50">
        <f>SUM(V493:V504)</f>
        <v>50.187500000000007</v>
      </c>
      <c r="W1098" s="50">
        <f>SUM(W493:W504)</f>
        <v>5.0822234999999996</v>
      </c>
      <c r="X1098" s="50">
        <f>SUM(X493:X504)</f>
        <v>20.758966663999999</v>
      </c>
      <c r="Y1098" s="50"/>
      <c r="Z1098" s="53"/>
      <c r="AA1098" s="52"/>
      <c r="AB1098" s="51">
        <f>AVERAGE(AB493:AB504)</f>
        <v>14.043676672441919</v>
      </c>
      <c r="AC1098" s="27">
        <f>AVERAGE(AC493:AC504)</f>
        <v>13.940037110311751</v>
      </c>
    </row>
    <row r="1099" spans="1:29" ht="15.75" x14ac:dyDescent="0.25">
      <c r="A1099" s="11">
        <f t="shared" si="30"/>
        <v>2055</v>
      </c>
      <c r="B1099" s="10">
        <f t="shared" ref="B1099:S1099" si="48">AVERAGE(B505:B516)</f>
        <v>14.359691666666665</v>
      </c>
      <c r="C1099" s="10">
        <f t="shared" si="48"/>
        <v>14.365858333333335</v>
      </c>
      <c r="D1099" s="10">
        <f t="shared" si="48"/>
        <v>14.497158333333333</v>
      </c>
      <c r="E1099" s="10">
        <f t="shared" si="48"/>
        <v>14.529266666666667</v>
      </c>
      <c r="F1099" s="10">
        <f t="shared" si="48"/>
        <v>14.355924999999999</v>
      </c>
      <c r="G1099" s="10">
        <f t="shared" si="48"/>
        <v>14.374474999999999</v>
      </c>
      <c r="H1099" s="10">
        <f t="shared" si="48"/>
        <v>14.518375000000001</v>
      </c>
      <c r="I1099" s="10">
        <f t="shared" si="48"/>
        <v>14.343516666666666</v>
      </c>
      <c r="J1099" s="10">
        <f t="shared" si="48"/>
        <v>14.348925000000001</v>
      </c>
      <c r="K1099" s="54">
        <f t="shared" si="48"/>
        <v>14.339616666666666</v>
      </c>
      <c r="L1099" s="10">
        <f t="shared" si="48"/>
        <v>15.105375000000002</v>
      </c>
      <c r="M1099" s="10">
        <f t="shared" si="48"/>
        <v>14.217941666666668</v>
      </c>
      <c r="N1099" s="10">
        <f t="shared" si="48"/>
        <v>14.236299999999998</v>
      </c>
      <c r="O1099" s="10">
        <f t="shared" si="48"/>
        <v>14.385691666666668</v>
      </c>
      <c r="P1099" s="10">
        <f t="shared" si="48"/>
        <v>14.212633333333336</v>
      </c>
      <c r="Q1099" s="10">
        <f t="shared" si="48"/>
        <v>14.980991666666666</v>
      </c>
      <c r="R1099" s="10">
        <f t="shared" si="48"/>
        <v>15.605450000000003</v>
      </c>
      <c r="S1099" s="10">
        <f t="shared" si="48"/>
        <v>13.941583333333332</v>
      </c>
      <c r="T1099" s="50">
        <f>SUM(T505:T516)</f>
        <v>357.24568100000005</v>
      </c>
      <c r="U1099" s="50">
        <f>SUM(U505:U516)</f>
        <v>142.03263249999998</v>
      </c>
      <c r="V1099" s="50">
        <f>SUM(V505:V516)</f>
        <v>50.187500000000007</v>
      </c>
      <c r="W1099" s="50">
        <f>SUM(W505:W516)</f>
        <v>5.0822234999999996</v>
      </c>
      <c r="X1099" s="50">
        <f>SUM(X505:X516)</f>
        <v>20.758966663999999</v>
      </c>
      <c r="Y1099" s="50"/>
      <c r="Z1099" s="53"/>
      <c r="AA1099" s="52"/>
      <c r="AB1099" s="51">
        <f>AVERAGE(AB505:AB516)</f>
        <v>14.380507330858348</v>
      </c>
      <c r="AC1099" s="27">
        <f>AVERAGE(AC505:AC516)</f>
        <v>14.273475119904079</v>
      </c>
    </row>
    <row r="1100" spans="1:29" ht="15.75" x14ac:dyDescent="0.25">
      <c r="A1100" s="11">
        <f t="shared" si="30"/>
        <v>2056</v>
      </c>
      <c r="B1100" s="10">
        <f t="shared" ref="B1100:S1100" si="49">AVERAGE(B517:B528)</f>
        <v>14.704608333333335</v>
      </c>
      <c r="C1100" s="10">
        <f t="shared" si="49"/>
        <v>14.710783333333334</v>
      </c>
      <c r="D1100" s="10">
        <f t="shared" si="49"/>
        <v>14.842091666666668</v>
      </c>
      <c r="E1100" s="10">
        <f t="shared" si="49"/>
        <v>14.8742</v>
      </c>
      <c r="F1100" s="10">
        <f t="shared" si="49"/>
        <v>14.700850000000001</v>
      </c>
      <c r="G1100" s="10">
        <f t="shared" si="49"/>
        <v>14.7194</v>
      </c>
      <c r="H1100" s="10">
        <f t="shared" si="49"/>
        <v>14.863299999999997</v>
      </c>
      <c r="I1100" s="10">
        <f t="shared" si="49"/>
        <v>14.688449999999998</v>
      </c>
      <c r="J1100" s="10">
        <f t="shared" si="49"/>
        <v>14.693849999999999</v>
      </c>
      <c r="K1100" s="54">
        <f t="shared" si="49"/>
        <v>14.684558333333335</v>
      </c>
      <c r="L1100" s="10">
        <f t="shared" si="49"/>
        <v>15.4503</v>
      </c>
      <c r="M1100" s="10">
        <f t="shared" si="49"/>
        <v>14.559391666666663</v>
      </c>
      <c r="N1100" s="10">
        <f t="shared" si="49"/>
        <v>14.577766666666667</v>
      </c>
      <c r="O1100" s="10">
        <f t="shared" si="49"/>
        <v>14.727133333333329</v>
      </c>
      <c r="P1100" s="10">
        <f t="shared" si="49"/>
        <v>14.554075000000003</v>
      </c>
      <c r="Q1100" s="10">
        <f t="shared" si="49"/>
        <v>15.322433333333336</v>
      </c>
      <c r="R1100" s="10">
        <f t="shared" si="49"/>
        <v>15.947733333333334</v>
      </c>
      <c r="S1100" s="10">
        <f t="shared" si="49"/>
        <v>14.276533333333333</v>
      </c>
      <c r="T1100" s="50">
        <f>SUM(T517:T528)</f>
        <v>358.17703550000004</v>
      </c>
      <c r="U1100" s="50">
        <f>SUM(U517:U528)</f>
        <v>142.42176299999997</v>
      </c>
      <c r="V1100" s="50">
        <f>SUM(V517:V528)</f>
        <v>50.325000000000003</v>
      </c>
      <c r="W1100" s="50">
        <f>SUM(W517:W528)</f>
        <v>5.0961473999999995</v>
      </c>
      <c r="X1100" s="50">
        <f>SUM(X517:X528)</f>
        <v>20.800615543999996</v>
      </c>
      <c r="Y1100" s="50"/>
      <c r="Z1100" s="53"/>
      <c r="AA1100" s="52"/>
      <c r="AB1100" s="51">
        <f>AVERAGE(AB517:AB528)</f>
        <v>14.72543311503461</v>
      </c>
      <c r="AC1100" s="27">
        <f>AVERAGE(AC517:AC528)</f>
        <v>14.614923980815348</v>
      </c>
    </row>
    <row r="1101" spans="1:29" ht="15.75" x14ac:dyDescent="0.25">
      <c r="A1101" s="11">
        <f t="shared" si="30"/>
        <v>2057</v>
      </c>
      <c r="B1101" s="10">
        <f t="shared" ref="B1101:S1101" si="50">AVERAGE(B529:B540)</f>
        <v>15.057841666666667</v>
      </c>
      <c r="C1101" s="10">
        <f t="shared" si="50"/>
        <v>15.063991666666666</v>
      </c>
      <c r="D1101" s="10">
        <f t="shared" si="50"/>
        <v>15.195308333333335</v>
      </c>
      <c r="E1101" s="10">
        <f t="shared" si="50"/>
        <v>15.227416666666663</v>
      </c>
      <c r="F1101" s="10">
        <f t="shared" si="50"/>
        <v>15.054066666666669</v>
      </c>
      <c r="G1101" s="10">
        <f t="shared" si="50"/>
        <v>15.072616666666667</v>
      </c>
      <c r="H1101" s="10">
        <f t="shared" si="50"/>
        <v>15.216516666666665</v>
      </c>
      <c r="I1101" s="10">
        <f t="shared" si="50"/>
        <v>15.041658333333336</v>
      </c>
      <c r="J1101" s="10">
        <f t="shared" si="50"/>
        <v>15.047066666666666</v>
      </c>
      <c r="K1101" s="54">
        <f t="shared" si="50"/>
        <v>15.037783333333335</v>
      </c>
      <c r="L1101" s="10">
        <f t="shared" si="50"/>
        <v>15.803516666666667</v>
      </c>
      <c r="M1101" s="10">
        <f t="shared" si="50"/>
        <v>14.909058333333336</v>
      </c>
      <c r="N1101" s="10">
        <f t="shared" si="50"/>
        <v>14.927408333333334</v>
      </c>
      <c r="O1101" s="10">
        <f t="shared" si="50"/>
        <v>15.076783333333333</v>
      </c>
      <c r="P1101" s="10">
        <f t="shared" si="50"/>
        <v>14.903733333333333</v>
      </c>
      <c r="Q1101" s="10">
        <f t="shared" si="50"/>
        <v>15.672083333333333</v>
      </c>
      <c r="R1101" s="10">
        <f t="shared" si="50"/>
        <v>16.298249999999999</v>
      </c>
      <c r="S1101" s="10">
        <f t="shared" si="50"/>
        <v>14.619558333333332</v>
      </c>
      <c r="T1101" s="50">
        <f>SUM(T529:T540)</f>
        <v>357.24568100000005</v>
      </c>
      <c r="U1101" s="50">
        <f>SUM(U529:U540)</f>
        <v>142.03263249999998</v>
      </c>
      <c r="V1101" s="50">
        <f>SUM(V529:V540)</f>
        <v>50.187500000000007</v>
      </c>
      <c r="W1101" s="50">
        <f>SUM(W529:W540)</f>
        <v>5.0822234999999996</v>
      </c>
      <c r="X1101" s="50">
        <f>SUM(X529:X540)</f>
        <v>20.758966663999999</v>
      </c>
      <c r="Y1101" s="50"/>
      <c r="Z1101" s="53"/>
      <c r="AA1101" s="52"/>
      <c r="AB1101" s="51">
        <f>AVERAGE(AB529:AB540)</f>
        <v>15.078649033467551</v>
      </c>
      <c r="AC1101" s="27">
        <f>AVERAGE(AC529:AC540)</f>
        <v>14.964579016786571</v>
      </c>
    </row>
    <row r="1102" spans="1:29" ht="15.75" x14ac:dyDescent="0.25">
      <c r="A1102" s="11">
        <f t="shared" si="30"/>
        <v>2058</v>
      </c>
      <c r="B1102" s="10">
        <f t="shared" ref="B1102:S1102" si="51">AVERAGE(B541:B552)</f>
        <v>15.419525</v>
      </c>
      <c r="C1102" s="10">
        <f t="shared" si="51"/>
        <v>15.425691666666667</v>
      </c>
      <c r="D1102" s="10">
        <f t="shared" si="51"/>
        <v>15.557008333333334</v>
      </c>
      <c r="E1102" s="10">
        <f t="shared" si="51"/>
        <v>15.589108333333336</v>
      </c>
      <c r="F1102" s="10">
        <f t="shared" si="51"/>
        <v>15.415758333333331</v>
      </c>
      <c r="G1102" s="10">
        <f t="shared" si="51"/>
        <v>15.434324999999999</v>
      </c>
      <c r="H1102" s="10">
        <f t="shared" si="51"/>
        <v>15.578224999999998</v>
      </c>
      <c r="I1102" s="10">
        <f t="shared" si="51"/>
        <v>15.403366666666669</v>
      </c>
      <c r="J1102" s="10">
        <f t="shared" si="51"/>
        <v>15.408758333333331</v>
      </c>
      <c r="K1102" s="54">
        <f t="shared" si="51"/>
        <v>15.399475000000001</v>
      </c>
      <c r="L1102" s="10">
        <f t="shared" si="51"/>
        <v>16.165225000000003</v>
      </c>
      <c r="M1102" s="10">
        <f t="shared" si="51"/>
        <v>15.267083333333337</v>
      </c>
      <c r="N1102" s="10">
        <f t="shared" si="51"/>
        <v>15.285458333333333</v>
      </c>
      <c r="O1102" s="10">
        <f t="shared" si="51"/>
        <v>15.434841666666665</v>
      </c>
      <c r="P1102" s="10">
        <f t="shared" si="51"/>
        <v>15.261783333333335</v>
      </c>
      <c r="Q1102" s="10">
        <f t="shared" si="51"/>
        <v>16.030141666666665</v>
      </c>
      <c r="R1102" s="10">
        <f t="shared" si="51"/>
        <v>16.657224999999997</v>
      </c>
      <c r="S1102" s="10">
        <f t="shared" si="51"/>
        <v>14.970783333333332</v>
      </c>
      <c r="T1102" s="50">
        <f>SUM(T541:T552)</f>
        <v>357.24568100000005</v>
      </c>
      <c r="U1102" s="50">
        <f>SUM(U541:U552)</f>
        <v>142.03263249999998</v>
      </c>
      <c r="V1102" s="50">
        <f>SUM(V541:V552)</f>
        <v>50.187500000000007</v>
      </c>
      <c r="W1102" s="50">
        <f>SUM(W541:W552)</f>
        <v>5.0822234999999996</v>
      </c>
      <c r="X1102" s="50">
        <f>SUM(X541:X552)</f>
        <v>20.758966663999999</v>
      </c>
      <c r="Y1102" s="50"/>
      <c r="Z1102" s="53"/>
      <c r="AA1102" s="52"/>
      <c r="AB1102" s="51">
        <f>AVERAGE(AB541:AB552)</f>
        <v>15.440345944189296</v>
      </c>
      <c r="AC1102" s="27">
        <f>AVERAGE(AC541:AC552)</f>
        <v>15.32262272182254</v>
      </c>
    </row>
    <row r="1103" spans="1:29" ht="15.75" x14ac:dyDescent="0.25">
      <c r="A1103" s="11">
        <f t="shared" si="30"/>
        <v>2059</v>
      </c>
      <c r="B1103" s="10">
        <f t="shared" ref="B1103:S1103" si="52">AVERAGE(B553:B564)</f>
        <v>15.789924999999998</v>
      </c>
      <c r="C1103" s="10">
        <f t="shared" si="52"/>
        <v>15.796083333333334</v>
      </c>
      <c r="D1103" s="10">
        <f t="shared" si="52"/>
        <v>15.927399999999999</v>
      </c>
      <c r="E1103" s="10">
        <f t="shared" si="52"/>
        <v>15.95949166666667</v>
      </c>
      <c r="F1103" s="10">
        <f t="shared" si="52"/>
        <v>15.786158333333333</v>
      </c>
      <c r="G1103" s="10">
        <f t="shared" si="52"/>
        <v>15.804708333333336</v>
      </c>
      <c r="H1103" s="10">
        <f t="shared" si="52"/>
        <v>15.948600000000001</v>
      </c>
      <c r="I1103" s="10">
        <f t="shared" si="52"/>
        <v>15.773766666666667</v>
      </c>
      <c r="J1103" s="10">
        <f t="shared" si="52"/>
        <v>15.779158333333333</v>
      </c>
      <c r="K1103" s="54">
        <f t="shared" si="52"/>
        <v>15.769875000000001</v>
      </c>
      <c r="L1103" s="10">
        <f t="shared" si="52"/>
        <v>16.535599999999999</v>
      </c>
      <c r="M1103" s="10">
        <f t="shared" si="52"/>
        <v>15.633758333333333</v>
      </c>
      <c r="N1103" s="10">
        <f t="shared" si="52"/>
        <v>15.652099999999999</v>
      </c>
      <c r="O1103" s="10">
        <f t="shared" si="52"/>
        <v>15.801483333333335</v>
      </c>
      <c r="P1103" s="10">
        <f t="shared" si="52"/>
        <v>15.628433333333334</v>
      </c>
      <c r="Q1103" s="10">
        <f t="shared" si="52"/>
        <v>16.396783333333335</v>
      </c>
      <c r="R1103" s="10">
        <f t="shared" si="52"/>
        <v>17.024783333333328</v>
      </c>
      <c r="S1103" s="10">
        <f t="shared" si="52"/>
        <v>15.330483333333333</v>
      </c>
      <c r="T1103" s="50">
        <f>SUM(T553:T564)</f>
        <v>357.24568100000005</v>
      </c>
      <c r="U1103" s="50">
        <f>SUM(U553:U564)</f>
        <v>142.03263249999998</v>
      </c>
      <c r="V1103" s="50">
        <f>SUM(V553:V564)</f>
        <v>50.187500000000007</v>
      </c>
      <c r="W1103" s="50">
        <f>SUM(W553:W564)</f>
        <v>5.0822234999999996</v>
      </c>
      <c r="X1103" s="50">
        <f>SUM(X553:X564)</f>
        <v>20.758966663999999</v>
      </c>
      <c r="Y1103" s="50"/>
      <c r="Z1103" s="10"/>
      <c r="AA1103" s="10"/>
      <c r="AB1103" s="51">
        <f>AVERAGE(AB553:AB564)</f>
        <v>15.810740410840465</v>
      </c>
      <c r="AC1103" s="27">
        <f>AVERAGE(AC553:AC564)</f>
        <v>15.689278537170265</v>
      </c>
    </row>
    <row r="1104" spans="1:29" ht="15.75" x14ac:dyDescent="0.25">
      <c r="A1104" s="11">
        <f t="shared" si="30"/>
        <v>2060</v>
      </c>
      <c r="B1104" s="10">
        <f t="shared" ref="B1104:S1104" si="53">AVERAGE(B565:B576)</f>
        <v>16.169225000000001</v>
      </c>
      <c r="C1104" s="10">
        <f t="shared" si="53"/>
        <v>16.175383333333336</v>
      </c>
      <c r="D1104" s="10">
        <f t="shared" si="53"/>
        <v>16.306691666666666</v>
      </c>
      <c r="E1104" s="10">
        <f t="shared" si="53"/>
        <v>16.338783333333335</v>
      </c>
      <c r="F1104" s="10">
        <f t="shared" si="53"/>
        <v>16.165458333333333</v>
      </c>
      <c r="G1104" s="10">
        <f t="shared" si="53"/>
        <v>16.184000000000001</v>
      </c>
      <c r="H1104" s="10">
        <f t="shared" si="53"/>
        <v>16.327900000000003</v>
      </c>
      <c r="I1104" s="10">
        <f t="shared" si="53"/>
        <v>16.153058333333334</v>
      </c>
      <c r="J1104" s="10">
        <f t="shared" si="53"/>
        <v>16.158458333333336</v>
      </c>
      <c r="K1104" s="54">
        <f t="shared" si="53"/>
        <v>16.149158333333332</v>
      </c>
      <c r="L1104" s="10">
        <f t="shared" si="53"/>
        <v>16.914899999999999</v>
      </c>
      <c r="M1104" s="10">
        <f t="shared" si="53"/>
        <v>16.009208333333337</v>
      </c>
      <c r="N1104" s="10">
        <f t="shared" si="53"/>
        <v>16.027574999999999</v>
      </c>
      <c r="O1104" s="10">
        <f t="shared" si="53"/>
        <v>16.176950000000001</v>
      </c>
      <c r="P1104" s="10">
        <f t="shared" si="53"/>
        <v>16.003899999999998</v>
      </c>
      <c r="Q1104" s="10">
        <f t="shared" si="53"/>
        <v>16.77225</v>
      </c>
      <c r="R1104" s="10">
        <f t="shared" si="53"/>
        <v>17.401183333333336</v>
      </c>
      <c r="S1104" s="10">
        <f t="shared" si="53"/>
        <v>15.69881666666666</v>
      </c>
      <c r="T1104" s="50">
        <f>SUM(T565:T576)</f>
        <v>358.17703550000004</v>
      </c>
      <c r="U1104" s="50">
        <f>SUM(U565:U576)</f>
        <v>142.42176299999997</v>
      </c>
      <c r="V1104" s="50">
        <f>SUM(V565:V576)</f>
        <v>50.325000000000003</v>
      </c>
      <c r="W1104" s="50">
        <f>SUM(W565:W576)</f>
        <v>5.0961473999999995</v>
      </c>
      <c r="X1104" s="50">
        <f>SUM(X565:X576)</f>
        <v>20.800615543999996</v>
      </c>
      <c r="Y1104" s="50"/>
      <c r="Z1104" s="53"/>
      <c r="AA1104" s="52"/>
      <c r="AB1104" s="51">
        <f>AVERAGE(AB565:AB576)</f>
        <v>16.190037157952833</v>
      </c>
      <c r="AC1104" s="27">
        <f>AVERAGE(AC565:AC576)</f>
        <v>16.064739928057556</v>
      </c>
    </row>
    <row r="1105" spans="1:29" ht="15.75" x14ac:dyDescent="0.25">
      <c r="A1105" s="11">
        <f t="shared" si="30"/>
        <v>2061</v>
      </c>
      <c r="B1105" s="10">
        <f t="shared" ref="B1105:S1105" si="54">AVERAGE(B577:B588)</f>
        <v>16.557633333333332</v>
      </c>
      <c r="C1105" s="10">
        <f t="shared" si="54"/>
        <v>16.563783333333337</v>
      </c>
      <c r="D1105" s="10">
        <f t="shared" si="54"/>
        <v>16.695091666666666</v>
      </c>
      <c r="E1105" s="10">
        <f t="shared" si="54"/>
        <v>16.7272</v>
      </c>
      <c r="F1105" s="10">
        <f t="shared" si="54"/>
        <v>16.553841666666667</v>
      </c>
      <c r="G1105" s="10">
        <f t="shared" si="54"/>
        <v>16.572408333333332</v>
      </c>
      <c r="H1105" s="10">
        <f t="shared" si="54"/>
        <v>16.716316666666668</v>
      </c>
      <c r="I1105" s="10">
        <f t="shared" si="54"/>
        <v>16.541450000000001</v>
      </c>
      <c r="J1105" s="10">
        <f t="shared" si="54"/>
        <v>16.546841666666669</v>
      </c>
      <c r="K1105" s="54">
        <f t="shared" si="54"/>
        <v>16.537566666666667</v>
      </c>
      <c r="L1105" s="10">
        <f t="shared" si="54"/>
        <v>17.303316666666667</v>
      </c>
      <c r="M1105" s="10">
        <f t="shared" si="54"/>
        <v>16.393708333333333</v>
      </c>
      <c r="N1105" s="10">
        <f t="shared" si="54"/>
        <v>16.412066666666664</v>
      </c>
      <c r="O1105" s="10">
        <f t="shared" si="54"/>
        <v>16.561441666666671</v>
      </c>
      <c r="P1105" s="10">
        <f t="shared" si="54"/>
        <v>16.388383333333334</v>
      </c>
      <c r="Q1105" s="10">
        <f t="shared" si="54"/>
        <v>17.156741666666669</v>
      </c>
      <c r="R1105" s="10">
        <f t="shared" si="54"/>
        <v>17.786633333333331</v>
      </c>
      <c r="S1105" s="10">
        <f t="shared" si="54"/>
        <v>16.075983333333333</v>
      </c>
      <c r="T1105" s="50">
        <f>SUM(T577:T588)</f>
        <v>357.24568100000005</v>
      </c>
      <c r="U1105" s="50">
        <f>SUM(U577:U588)</f>
        <v>142.03263249999998</v>
      </c>
      <c r="V1105" s="50">
        <f>SUM(V577:V588)</f>
        <v>50.187500000000007</v>
      </c>
      <c r="W1105" s="50">
        <f>SUM(W577:W588)</f>
        <v>5.0822234999999996</v>
      </c>
      <c r="X1105" s="50">
        <f>SUM(X577:X588)</f>
        <v>20.758966663999999</v>
      </c>
      <c r="Y1105" s="50"/>
      <c r="Z1105" s="53"/>
      <c r="AA1105" s="52"/>
      <c r="AB1105" s="51">
        <f>AVERAGE(AB577:AB588)</f>
        <v>16.578434775296333</v>
      </c>
      <c r="AC1105" s="27">
        <f>AVERAGE(AC577:AC588)</f>
        <v>16.449233273381296</v>
      </c>
    </row>
    <row r="1106" spans="1:29" ht="15" x14ac:dyDescent="0.2">
      <c r="A1106" s="11">
        <f t="shared" si="30"/>
        <v>2062</v>
      </c>
      <c r="B1106" s="10">
        <f t="shared" ref="B1106:K1115" ca="1" si="55">AVERAGE(OFFSET(B$589,($A1106-$A$1106)*12,0,12,1))</f>
        <v>16.955349999999999</v>
      </c>
      <c r="C1106" s="10">
        <f t="shared" ca="1" si="55"/>
        <v>16.961516666666665</v>
      </c>
      <c r="D1106" s="10">
        <f t="shared" ca="1" si="55"/>
        <v>17.092841666666668</v>
      </c>
      <c r="E1106" s="10">
        <f t="shared" ca="1" si="55"/>
        <v>17.124925000000001</v>
      </c>
      <c r="F1106" s="10">
        <f t="shared" ca="1" si="55"/>
        <v>16.951600000000003</v>
      </c>
      <c r="G1106" s="10">
        <f t="shared" ca="1" si="55"/>
        <v>16.970133333333333</v>
      </c>
      <c r="H1106" s="10">
        <f t="shared" ca="1" si="55"/>
        <v>17.114025000000002</v>
      </c>
      <c r="I1106" s="10">
        <f t="shared" ca="1" si="55"/>
        <v>16.939200000000003</v>
      </c>
      <c r="J1106" s="10">
        <f t="shared" ca="1" si="55"/>
        <v>16.944600000000001</v>
      </c>
      <c r="K1106" s="10">
        <f t="shared" ca="1" si="55"/>
        <v>16.935299999999998</v>
      </c>
      <c r="L1106" s="10">
        <f t="shared" ref="L1106:S1115" ca="1" si="56">AVERAGE(OFFSET(L$589,($A1106-$A$1106)*12,0,12,1))</f>
        <v>17.701024999999994</v>
      </c>
      <c r="M1106" s="10">
        <f t="shared" ca="1" si="56"/>
        <v>16.787416666666662</v>
      </c>
      <c r="N1106" s="10">
        <f t="shared" ca="1" si="56"/>
        <v>16.805775000000001</v>
      </c>
      <c r="O1106" s="10">
        <f t="shared" ca="1" si="56"/>
        <v>16.95515</v>
      </c>
      <c r="P1106" s="10">
        <f t="shared" ca="1" si="56"/>
        <v>16.7821</v>
      </c>
      <c r="Q1106" s="10">
        <f t="shared" ca="1" si="56"/>
        <v>17.550450000000001</v>
      </c>
      <c r="R1106" s="10">
        <f t="shared" ca="1" si="56"/>
        <v>18.181333333333335</v>
      </c>
      <c r="S1106" s="10">
        <f t="shared" ca="1" si="56"/>
        <v>16.462241666666664</v>
      </c>
      <c r="T1106" s="50">
        <f t="shared" ref="T1106:X1115" ca="1" si="57">SUM(OFFSET(T$589,($A1106-$A$1106)*12,0,12,1))</f>
        <v>357.24568100000005</v>
      </c>
      <c r="U1106" s="50">
        <f t="shared" ca="1" si="57"/>
        <v>142.03263249999998</v>
      </c>
      <c r="V1106" s="50">
        <f t="shared" ca="1" si="57"/>
        <v>50.187500000000007</v>
      </c>
      <c r="W1106" s="50">
        <f t="shared" ca="1" si="57"/>
        <v>5.0822234999999996</v>
      </c>
      <c r="X1106" s="50">
        <f t="shared" ca="1" si="57"/>
        <v>20.758966663999999</v>
      </c>
      <c r="Y1106" s="10"/>
      <c r="Z1106" s="10"/>
      <c r="AA1106" s="10"/>
      <c r="AB1106" s="10">
        <f t="shared" ref="AB1106:AC1125" ca="1" si="58">AVERAGE(OFFSET(AB$589,($A1106-$A$1106)*12,0,12,1))</f>
        <v>16.9761742197269</v>
      </c>
      <c r="AC1106" s="10">
        <f t="shared" ca="1" si="58"/>
        <v>16.86373129496403</v>
      </c>
    </row>
    <row r="1107" spans="1:29" ht="15" x14ac:dyDescent="0.2">
      <c r="A1107" s="11">
        <f t="shared" si="30"/>
        <v>2063</v>
      </c>
      <c r="B1107" s="10">
        <f t="shared" ca="1" si="55"/>
        <v>17.362633333333331</v>
      </c>
      <c r="C1107" s="10">
        <f t="shared" ca="1" si="55"/>
        <v>17.368825000000001</v>
      </c>
      <c r="D1107" s="10">
        <f t="shared" ca="1" si="55"/>
        <v>17.500125000000001</v>
      </c>
      <c r="E1107" s="10">
        <f t="shared" ca="1" si="55"/>
        <v>17.532216666666667</v>
      </c>
      <c r="F1107" s="10">
        <f t="shared" ca="1" si="55"/>
        <v>17.358883333333335</v>
      </c>
      <c r="G1107" s="10">
        <f t="shared" ca="1" si="55"/>
        <v>17.377433333333336</v>
      </c>
      <c r="H1107" s="10">
        <f t="shared" ca="1" si="55"/>
        <v>17.521349999999998</v>
      </c>
      <c r="I1107" s="10">
        <f t="shared" ca="1" si="55"/>
        <v>17.346474999999998</v>
      </c>
      <c r="J1107" s="10">
        <f t="shared" ca="1" si="55"/>
        <v>17.351883333333337</v>
      </c>
      <c r="K1107" s="10">
        <f t="shared" ca="1" si="55"/>
        <v>17.342583333333334</v>
      </c>
      <c r="L1107" s="10">
        <f t="shared" ca="1" si="56"/>
        <v>18.108350000000002</v>
      </c>
      <c r="M1107" s="10">
        <f t="shared" ca="1" si="56"/>
        <v>17.190608333333333</v>
      </c>
      <c r="N1107" s="10">
        <f t="shared" ca="1" si="56"/>
        <v>17.208949999999998</v>
      </c>
      <c r="O1107" s="10">
        <f t="shared" ca="1" si="56"/>
        <v>17.358341666666668</v>
      </c>
      <c r="P1107" s="10">
        <f t="shared" ca="1" si="56"/>
        <v>17.185291666666668</v>
      </c>
      <c r="Q1107" s="10">
        <f t="shared" ca="1" si="56"/>
        <v>17.953641666666663</v>
      </c>
      <c r="R1107" s="10">
        <f t="shared" ca="1" si="56"/>
        <v>18.585525000000001</v>
      </c>
      <c r="S1107" s="10">
        <f t="shared" ca="1" si="56"/>
        <v>16.857758333333333</v>
      </c>
      <c r="T1107" s="50">
        <f t="shared" ca="1" si="57"/>
        <v>357.24568100000005</v>
      </c>
      <c r="U1107" s="50">
        <f t="shared" ca="1" si="57"/>
        <v>142.03263249999998</v>
      </c>
      <c r="V1107" s="50">
        <f t="shared" ca="1" si="57"/>
        <v>50.187500000000007</v>
      </c>
      <c r="W1107" s="50">
        <f t="shared" ca="1" si="57"/>
        <v>5.0822234999999996</v>
      </c>
      <c r="X1107" s="50">
        <f t="shared" ca="1" si="57"/>
        <v>20.758966663999999</v>
      </c>
      <c r="Y1107" s="10"/>
      <c r="Z1107" s="10"/>
      <c r="AA1107" s="10"/>
      <c r="AB1107" s="10">
        <f t="shared" ca="1" si="58"/>
        <v>17.383465611398876</v>
      </c>
      <c r="AC1107" s="10">
        <f t="shared" ca="1" si="58"/>
        <v>17.266922002398083</v>
      </c>
    </row>
    <row r="1108" spans="1:29" ht="15" x14ac:dyDescent="0.2">
      <c r="A1108" s="11">
        <f t="shared" si="30"/>
        <v>2064</v>
      </c>
      <c r="B1108" s="10">
        <f t="shared" ca="1" si="55"/>
        <v>17.779724999999999</v>
      </c>
      <c r="C1108" s="10">
        <f t="shared" ca="1" si="55"/>
        <v>17.785891666666664</v>
      </c>
      <c r="D1108" s="10">
        <f t="shared" ca="1" si="55"/>
        <v>17.917200000000005</v>
      </c>
      <c r="E1108" s="10">
        <f t="shared" ca="1" si="55"/>
        <v>17.949300000000001</v>
      </c>
      <c r="F1108" s="10">
        <f t="shared" ca="1" si="55"/>
        <v>17.775966666666665</v>
      </c>
      <c r="G1108" s="10">
        <f t="shared" ca="1" si="55"/>
        <v>17.794500000000003</v>
      </c>
      <c r="H1108" s="10">
        <f t="shared" ca="1" si="55"/>
        <v>17.938424999999999</v>
      </c>
      <c r="I1108" s="10">
        <f t="shared" ca="1" si="55"/>
        <v>17.763549999999999</v>
      </c>
      <c r="J1108" s="10">
        <f t="shared" ca="1" si="55"/>
        <v>17.768966666666667</v>
      </c>
      <c r="K1108" s="10">
        <f t="shared" ca="1" si="55"/>
        <v>17.759666666666664</v>
      </c>
      <c r="L1108" s="10">
        <f t="shared" ca="1" si="56"/>
        <v>18.525424999999998</v>
      </c>
      <c r="M1108" s="10">
        <f t="shared" ca="1" si="56"/>
        <v>17.603483333333333</v>
      </c>
      <c r="N1108" s="10">
        <f t="shared" ca="1" si="56"/>
        <v>17.621824999999998</v>
      </c>
      <c r="O1108" s="10">
        <f t="shared" ca="1" si="56"/>
        <v>17.771225000000001</v>
      </c>
      <c r="P1108" s="10">
        <f t="shared" ca="1" si="56"/>
        <v>17.598158333333334</v>
      </c>
      <c r="Q1108" s="10">
        <f t="shared" ca="1" si="56"/>
        <v>18.366524999999999</v>
      </c>
      <c r="R1108" s="10">
        <f t="shared" ca="1" si="56"/>
        <v>18.999416666666672</v>
      </c>
      <c r="S1108" s="10">
        <f t="shared" ca="1" si="56"/>
        <v>17.262791666666661</v>
      </c>
      <c r="T1108" s="50">
        <f t="shared" ca="1" si="57"/>
        <v>358.17703550000004</v>
      </c>
      <c r="U1108" s="50">
        <f t="shared" ca="1" si="57"/>
        <v>142.42176299999997</v>
      </c>
      <c r="V1108" s="50">
        <f t="shared" ca="1" si="57"/>
        <v>50.325000000000003</v>
      </c>
      <c r="W1108" s="50">
        <f t="shared" ca="1" si="57"/>
        <v>5.0961473999999995</v>
      </c>
      <c r="X1108" s="50">
        <f t="shared" ca="1" si="57"/>
        <v>20.800615543999996</v>
      </c>
      <c r="Y1108" s="10"/>
      <c r="Z1108" s="10"/>
      <c r="AA1108" s="10"/>
      <c r="AB1108" s="10">
        <f t="shared" ca="1" si="58"/>
        <v>17.800541326948558</v>
      </c>
      <c r="AC1108" s="10">
        <f t="shared" ca="1" si="58"/>
        <v>17.679799580335729</v>
      </c>
    </row>
    <row r="1109" spans="1:29" ht="15" x14ac:dyDescent="0.2">
      <c r="A1109" s="11">
        <f t="shared" si="30"/>
        <v>2065</v>
      </c>
      <c r="B1109" s="10">
        <f t="shared" ca="1" si="55"/>
        <v>18.206833333333332</v>
      </c>
      <c r="C1109" s="10">
        <f t="shared" ca="1" si="55"/>
        <v>18.212999999999997</v>
      </c>
      <c r="D1109" s="10">
        <f t="shared" ca="1" si="55"/>
        <v>18.344316666666668</v>
      </c>
      <c r="E1109" s="10">
        <f t="shared" ca="1" si="55"/>
        <v>18.3764</v>
      </c>
      <c r="F1109" s="10">
        <f t="shared" ca="1" si="55"/>
        <v>18.203066666666668</v>
      </c>
      <c r="G1109" s="10">
        <f t="shared" ca="1" si="55"/>
        <v>18.221616666666666</v>
      </c>
      <c r="H1109" s="10">
        <f t="shared" ca="1" si="55"/>
        <v>18.365508333333334</v>
      </c>
      <c r="I1109" s="10">
        <f t="shared" ca="1" si="55"/>
        <v>18.190650000000002</v>
      </c>
      <c r="J1109" s="10">
        <f t="shared" ca="1" si="55"/>
        <v>18.19606666666667</v>
      </c>
      <c r="K1109" s="10">
        <f t="shared" ca="1" si="55"/>
        <v>18.186775000000001</v>
      </c>
      <c r="L1109" s="10">
        <f t="shared" ca="1" si="56"/>
        <v>18.952508333333331</v>
      </c>
      <c r="M1109" s="10">
        <f t="shared" ca="1" si="56"/>
        <v>18.026266666666668</v>
      </c>
      <c r="N1109" s="10">
        <f t="shared" ca="1" si="56"/>
        <v>18.044641666666664</v>
      </c>
      <c r="O1109" s="10">
        <f t="shared" ca="1" si="56"/>
        <v>18.194008333333333</v>
      </c>
      <c r="P1109" s="10">
        <f t="shared" ca="1" si="56"/>
        <v>18.020958333333333</v>
      </c>
      <c r="Q1109" s="10">
        <f t="shared" ca="1" si="56"/>
        <v>18.789308333333334</v>
      </c>
      <c r="R1109" s="10">
        <f t="shared" ca="1" si="56"/>
        <v>19.423275</v>
      </c>
      <c r="S1109" s="10">
        <f t="shared" ca="1" si="56"/>
        <v>17.67754166666667</v>
      </c>
      <c r="T1109" s="50">
        <f t="shared" ca="1" si="57"/>
        <v>357.24568100000005</v>
      </c>
      <c r="U1109" s="50">
        <f t="shared" ca="1" si="57"/>
        <v>142.03263249999998</v>
      </c>
      <c r="V1109" s="50">
        <f t="shared" ca="1" si="57"/>
        <v>50.187500000000007</v>
      </c>
      <c r="W1109" s="50">
        <f t="shared" ca="1" si="57"/>
        <v>5.0822234999999996</v>
      </c>
      <c r="X1109" s="50">
        <f t="shared" ca="1" si="57"/>
        <v>20.758966663999999</v>
      </c>
      <c r="Y1109" s="10"/>
      <c r="Z1109" s="10"/>
      <c r="AA1109" s="10"/>
      <c r="AB1109" s="10">
        <f t="shared" ca="1" si="58"/>
        <v>18.227649303870596</v>
      </c>
      <c r="AC1109" s="10">
        <f t="shared" ca="1" si="58"/>
        <v>18.102587230215828</v>
      </c>
    </row>
    <row r="1110" spans="1:29" ht="15" x14ac:dyDescent="0.2">
      <c r="A1110" s="11">
        <f t="shared" si="30"/>
        <v>2066</v>
      </c>
      <c r="B1110" s="10">
        <f t="shared" ca="1" si="55"/>
        <v>18.644199999999998</v>
      </c>
      <c r="C1110" s="10">
        <f t="shared" ca="1" si="55"/>
        <v>18.65035833333333</v>
      </c>
      <c r="D1110" s="10">
        <f t="shared" ca="1" si="55"/>
        <v>18.781675</v>
      </c>
      <c r="E1110" s="10">
        <f t="shared" ca="1" si="55"/>
        <v>18.813749999999999</v>
      </c>
      <c r="F1110" s="10">
        <f t="shared" ca="1" si="55"/>
        <v>18.640424999999997</v>
      </c>
      <c r="G1110" s="10">
        <f t="shared" ca="1" si="55"/>
        <v>18.658983333333335</v>
      </c>
      <c r="H1110" s="10">
        <f t="shared" ca="1" si="55"/>
        <v>18.80288333333333</v>
      </c>
      <c r="I1110" s="10">
        <f t="shared" ca="1" si="55"/>
        <v>18.628016666666667</v>
      </c>
      <c r="J1110" s="10">
        <f t="shared" ca="1" si="55"/>
        <v>18.633424999999999</v>
      </c>
      <c r="K1110" s="10">
        <f t="shared" ca="1" si="55"/>
        <v>18.624133333333329</v>
      </c>
      <c r="L1110" s="10">
        <f t="shared" ca="1" si="56"/>
        <v>19.389883333333337</v>
      </c>
      <c r="M1110" s="10">
        <f t="shared" ca="1" si="56"/>
        <v>18.459216666666666</v>
      </c>
      <c r="N1110" s="10">
        <f t="shared" ca="1" si="56"/>
        <v>18.477566666666664</v>
      </c>
      <c r="O1110" s="10">
        <f t="shared" ca="1" si="56"/>
        <v>18.626975000000002</v>
      </c>
      <c r="P1110" s="10">
        <f t="shared" ca="1" si="56"/>
        <v>18.453916666666672</v>
      </c>
      <c r="Q1110" s="10">
        <f t="shared" ca="1" si="56"/>
        <v>19.222275</v>
      </c>
      <c r="R1110" s="10">
        <f t="shared" ca="1" si="56"/>
        <v>19.857308333333332</v>
      </c>
      <c r="S1110" s="10">
        <f t="shared" ca="1" si="56"/>
        <v>18.102266666666669</v>
      </c>
      <c r="T1110" s="50">
        <f t="shared" ca="1" si="57"/>
        <v>357.24568100000005</v>
      </c>
      <c r="U1110" s="50">
        <f t="shared" ca="1" si="57"/>
        <v>142.03263249999998</v>
      </c>
      <c r="V1110" s="50">
        <f t="shared" ca="1" si="57"/>
        <v>50.187500000000007</v>
      </c>
      <c r="W1110" s="50">
        <f t="shared" ca="1" si="57"/>
        <v>5.0822234999999996</v>
      </c>
      <c r="X1110" s="50">
        <f t="shared" ca="1" si="57"/>
        <v>20.758966663999999</v>
      </c>
      <c r="Y1110" s="10"/>
      <c r="Z1110" s="10"/>
      <c r="AA1110" s="10"/>
      <c r="AB1110" s="10">
        <f t="shared" ca="1" si="58"/>
        <v>18.665010057393012</v>
      </c>
      <c r="AC1110" s="10">
        <f t="shared" ca="1" si="58"/>
        <v>18.535544544364509</v>
      </c>
    </row>
    <row r="1111" spans="1:29" ht="15" x14ac:dyDescent="0.2">
      <c r="A1111" s="11">
        <f t="shared" si="30"/>
        <v>2067</v>
      </c>
      <c r="B1111" s="10">
        <f t="shared" ca="1" si="55"/>
        <v>19.09205833333333</v>
      </c>
      <c r="C1111" s="10">
        <f t="shared" ca="1" si="55"/>
        <v>19.098224999999996</v>
      </c>
      <c r="D1111" s="10">
        <f t="shared" ca="1" si="55"/>
        <v>19.229533333333336</v>
      </c>
      <c r="E1111" s="10">
        <f t="shared" ca="1" si="55"/>
        <v>19.261649999999996</v>
      </c>
      <c r="F1111" s="10">
        <f t="shared" ca="1" si="55"/>
        <v>19.0883</v>
      </c>
      <c r="G1111" s="10">
        <f t="shared" ca="1" si="55"/>
        <v>19.106841666666664</v>
      </c>
      <c r="H1111" s="10">
        <f t="shared" ca="1" si="55"/>
        <v>19.250766666666671</v>
      </c>
      <c r="I1111" s="10">
        <f t="shared" ca="1" si="55"/>
        <v>19.075883333333334</v>
      </c>
      <c r="J1111" s="10">
        <f t="shared" ca="1" si="55"/>
        <v>19.081300000000002</v>
      </c>
      <c r="K1111" s="10">
        <f t="shared" ca="1" si="55"/>
        <v>19.071999999999999</v>
      </c>
      <c r="L1111" s="10">
        <f t="shared" ca="1" si="56"/>
        <v>19.837766666666667</v>
      </c>
      <c r="M1111" s="10">
        <f t="shared" ca="1" si="56"/>
        <v>18.902575000000002</v>
      </c>
      <c r="N1111" s="10">
        <f t="shared" ca="1" si="56"/>
        <v>18.920916666666667</v>
      </c>
      <c r="O1111" s="10">
        <f t="shared" ca="1" si="56"/>
        <v>19.07031666666667</v>
      </c>
      <c r="P1111" s="10">
        <f t="shared" ca="1" si="56"/>
        <v>18.897258333333333</v>
      </c>
      <c r="Q1111" s="10">
        <f t="shared" ca="1" si="56"/>
        <v>19.665616666666665</v>
      </c>
      <c r="R1111" s="10">
        <f t="shared" ca="1" si="56"/>
        <v>20.301774999999999</v>
      </c>
      <c r="S1111" s="10">
        <f t="shared" ca="1" si="56"/>
        <v>18.537183333333331</v>
      </c>
      <c r="T1111" s="50">
        <f t="shared" ca="1" si="57"/>
        <v>357.24568100000005</v>
      </c>
      <c r="U1111" s="50">
        <f t="shared" ca="1" si="57"/>
        <v>142.03263249999998</v>
      </c>
      <c r="V1111" s="50">
        <f t="shared" ca="1" si="57"/>
        <v>50.187500000000007</v>
      </c>
      <c r="W1111" s="50">
        <f t="shared" ca="1" si="57"/>
        <v>5.0822234999999996</v>
      </c>
      <c r="X1111" s="50">
        <f t="shared" ca="1" si="57"/>
        <v>20.758966663999999</v>
      </c>
      <c r="Y1111" s="10"/>
      <c r="Z1111" s="10"/>
      <c r="AA1111" s="10"/>
      <c r="AB1111" s="10">
        <f t="shared" ca="1" si="58"/>
        <v>19.112877857901804</v>
      </c>
      <c r="AC1111" s="10">
        <f t="shared" ca="1" si="58"/>
        <v>18.978892446043165</v>
      </c>
    </row>
    <row r="1112" spans="1:29" ht="15" x14ac:dyDescent="0.2">
      <c r="A1112" s="11">
        <f t="shared" si="30"/>
        <v>2068</v>
      </c>
      <c r="B1112" s="10">
        <f t="shared" ca="1" si="55"/>
        <v>19.550699999999999</v>
      </c>
      <c r="C1112" s="10">
        <f t="shared" ca="1" si="55"/>
        <v>19.556858333333331</v>
      </c>
      <c r="D1112" s="10">
        <f t="shared" ca="1" si="55"/>
        <v>19.688166666666671</v>
      </c>
      <c r="E1112" s="10">
        <f t="shared" ca="1" si="55"/>
        <v>19.720274999999997</v>
      </c>
      <c r="F1112" s="10">
        <f t="shared" ca="1" si="55"/>
        <v>19.546933333333335</v>
      </c>
      <c r="G1112" s="10">
        <f t="shared" ca="1" si="55"/>
        <v>19.565466666666669</v>
      </c>
      <c r="H1112" s="10">
        <f t="shared" ca="1" si="55"/>
        <v>19.709391666666665</v>
      </c>
      <c r="I1112" s="10">
        <f t="shared" ca="1" si="55"/>
        <v>19.534524999999999</v>
      </c>
      <c r="J1112" s="10">
        <f t="shared" ca="1" si="55"/>
        <v>19.539933333333334</v>
      </c>
      <c r="K1112" s="10">
        <f t="shared" ca="1" si="55"/>
        <v>19.530641666666668</v>
      </c>
      <c r="L1112" s="10">
        <f t="shared" ca="1" si="56"/>
        <v>20.296391666666668</v>
      </c>
      <c r="M1112" s="10">
        <f t="shared" ca="1" si="56"/>
        <v>19.356566666666666</v>
      </c>
      <c r="N1112" s="10">
        <f t="shared" ca="1" si="56"/>
        <v>19.374925000000001</v>
      </c>
      <c r="O1112" s="10">
        <f t="shared" ca="1" si="56"/>
        <v>19.52430833333333</v>
      </c>
      <c r="P1112" s="10">
        <f t="shared" ca="1" si="56"/>
        <v>19.35125</v>
      </c>
      <c r="Q1112" s="10">
        <f t="shared" ca="1" si="56"/>
        <v>20.119608333333332</v>
      </c>
      <c r="R1112" s="10">
        <f t="shared" ca="1" si="56"/>
        <v>20.756916666666665</v>
      </c>
      <c r="S1112" s="10">
        <f t="shared" ca="1" si="56"/>
        <v>18.982583333333334</v>
      </c>
      <c r="T1112" s="50">
        <f t="shared" ca="1" si="57"/>
        <v>358.17703550000004</v>
      </c>
      <c r="U1112" s="50">
        <f t="shared" ca="1" si="57"/>
        <v>142.42176299999997</v>
      </c>
      <c r="V1112" s="50">
        <f t="shared" ca="1" si="57"/>
        <v>50.325000000000003</v>
      </c>
      <c r="W1112" s="50">
        <f t="shared" ca="1" si="57"/>
        <v>5.0961473999999995</v>
      </c>
      <c r="X1112" s="50">
        <f t="shared" ca="1" si="57"/>
        <v>20.800615543999996</v>
      </c>
      <c r="Y1112" s="10"/>
      <c r="Z1112" s="10"/>
      <c r="AA1112" s="10"/>
      <c r="AB1112" s="10">
        <f t="shared" ca="1" si="58"/>
        <v>19.57151108879863</v>
      </c>
      <c r="AC1112" s="10">
        <f t="shared" ca="1" si="58"/>
        <v>19.432885071942447</v>
      </c>
    </row>
    <row r="1113" spans="1:29" ht="15" x14ac:dyDescent="0.2">
      <c r="A1113" s="11">
        <f t="shared" si="30"/>
        <v>2069</v>
      </c>
      <c r="B1113" s="10">
        <f t="shared" ca="1" si="55"/>
        <v>20.020349999999997</v>
      </c>
      <c r="C1113" s="10">
        <f t="shared" ca="1" si="55"/>
        <v>20.026525000000003</v>
      </c>
      <c r="D1113" s="10">
        <f t="shared" ca="1" si="55"/>
        <v>20.157824999999999</v>
      </c>
      <c r="E1113" s="10">
        <f t="shared" ca="1" si="55"/>
        <v>20.189916666666665</v>
      </c>
      <c r="F1113" s="10">
        <f t="shared" ca="1" si="55"/>
        <v>20.016583333333333</v>
      </c>
      <c r="G1113" s="10">
        <f t="shared" ca="1" si="55"/>
        <v>20.035133333333334</v>
      </c>
      <c r="H1113" s="10">
        <f t="shared" ca="1" si="55"/>
        <v>20.17905</v>
      </c>
      <c r="I1113" s="10">
        <f t="shared" ca="1" si="55"/>
        <v>20.004175</v>
      </c>
      <c r="J1113" s="10">
        <f t="shared" ca="1" si="55"/>
        <v>20.009583333333332</v>
      </c>
      <c r="K1113" s="10">
        <f t="shared" ca="1" si="55"/>
        <v>20.000274999999998</v>
      </c>
      <c r="L1113" s="10">
        <f t="shared" ca="1" si="56"/>
        <v>20.76605</v>
      </c>
      <c r="M1113" s="10">
        <f t="shared" ca="1" si="56"/>
        <v>19.821491666666667</v>
      </c>
      <c r="N1113" s="10">
        <f t="shared" ca="1" si="56"/>
        <v>19.839841666666668</v>
      </c>
      <c r="O1113" s="10">
        <f t="shared" ca="1" si="56"/>
        <v>19.989233333333335</v>
      </c>
      <c r="P1113" s="10">
        <f t="shared" ca="1" si="56"/>
        <v>19.816183333333331</v>
      </c>
      <c r="Q1113" s="10">
        <f t="shared" ca="1" si="56"/>
        <v>20.584533333333333</v>
      </c>
      <c r="R1113" s="10">
        <f t="shared" ca="1" si="56"/>
        <v>21.222991666666669</v>
      </c>
      <c r="S1113" s="10">
        <f t="shared" ca="1" si="56"/>
        <v>19.438641666666665</v>
      </c>
      <c r="T1113" s="50">
        <f t="shared" ca="1" si="57"/>
        <v>357.24568100000005</v>
      </c>
      <c r="U1113" s="50">
        <f t="shared" ca="1" si="57"/>
        <v>142.03263249999998</v>
      </c>
      <c r="V1113" s="50">
        <f t="shared" ca="1" si="57"/>
        <v>50.187500000000007</v>
      </c>
      <c r="W1113" s="50">
        <f t="shared" ca="1" si="57"/>
        <v>5.0822234999999996</v>
      </c>
      <c r="X1113" s="50">
        <f t="shared" ca="1" si="57"/>
        <v>20.758966663999999</v>
      </c>
      <c r="Y1113" s="10"/>
      <c r="Z1113" s="10"/>
      <c r="AA1113" s="10"/>
      <c r="AB1113" s="10">
        <f t="shared" ca="1" si="58"/>
        <v>20.041167810112171</v>
      </c>
      <c r="AC1113" s="10">
        <f t="shared" ca="1" si="58"/>
        <v>19.897810791366908</v>
      </c>
    </row>
    <row r="1114" spans="1:29" ht="15" x14ac:dyDescent="0.2">
      <c r="A1114" s="11">
        <f t="shared" ref="A1114:A1144" si="59">A1113+1</f>
        <v>2070</v>
      </c>
      <c r="B1114" s="10">
        <f t="shared" ca="1" si="55"/>
        <v>20.501283333333333</v>
      </c>
      <c r="C1114" s="10">
        <f t="shared" ca="1" si="55"/>
        <v>20.507441666666669</v>
      </c>
      <c r="D1114" s="10">
        <f t="shared" ca="1" si="55"/>
        <v>20.638774999999999</v>
      </c>
      <c r="E1114" s="10">
        <f t="shared" ca="1" si="55"/>
        <v>20.670866666666669</v>
      </c>
      <c r="F1114" s="10">
        <f t="shared" ca="1" si="55"/>
        <v>20.497516666666666</v>
      </c>
      <c r="G1114" s="10">
        <f t="shared" ca="1" si="55"/>
        <v>20.516074999999997</v>
      </c>
      <c r="H1114" s="10">
        <f t="shared" ca="1" si="55"/>
        <v>20.659974999999999</v>
      </c>
      <c r="I1114" s="10">
        <f t="shared" ca="1" si="55"/>
        <v>20.485116666666666</v>
      </c>
      <c r="J1114" s="10">
        <f t="shared" ca="1" si="55"/>
        <v>20.490516666666668</v>
      </c>
      <c r="K1114" s="10">
        <f t="shared" ca="1" si="55"/>
        <v>20.481233333333332</v>
      </c>
      <c r="L1114" s="10">
        <f t="shared" ca="1" si="56"/>
        <v>21.246975000000003</v>
      </c>
      <c r="M1114" s="10">
        <f t="shared" ca="1" si="56"/>
        <v>20.297566666666665</v>
      </c>
      <c r="N1114" s="10">
        <f t="shared" ca="1" si="56"/>
        <v>20.315924999999996</v>
      </c>
      <c r="O1114" s="10">
        <f t="shared" ca="1" si="56"/>
        <v>20.465316666666663</v>
      </c>
      <c r="P1114" s="10">
        <f t="shared" ca="1" si="56"/>
        <v>20.292258333333333</v>
      </c>
      <c r="Q1114" s="10">
        <f t="shared" ca="1" si="56"/>
        <v>21.060616666666672</v>
      </c>
      <c r="R1114" s="10">
        <f t="shared" ca="1" si="56"/>
        <v>21.700258333333334</v>
      </c>
      <c r="S1114" s="10">
        <f t="shared" ca="1" si="56"/>
        <v>19.905683333333332</v>
      </c>
      <c r="T1114" s="50">
        <f t="shared" ca="1" si="57"/>
        <v>357.24568100000005</v>
      </c>
      <c r="U1114" s="50">
        <f t="shared" ca="1" si="57"/>
        <v>142.03263249999998</v>
      </c>
      <c r="V1114" s="50">
        <f t="shared" ca="1" si="57"/>
        <v>50.187500000000007</v>
      </c>
      <c r="W1114" s="50">
        <f t="shared" ca="1" si="57"/>
        <v>5.0822234999999996</v>
      </c>
      <c r="X1114" s="50">
        <f t="shared" ca="1" si="57"/>
        <v>20.758966663999999</v>
      </c>
      <c r="Y1114" s="10"/>
      <c r="Z1114" s="10"/>
      <c r="AA1114" s="10"/>
      <c r="AB1114" s="10">
        <f t="shared" ca="1" si="58"/>
        <v>20.522101468665831</v>
      </c>
      <c r="AC1114" s="10">
        <f t="shared" ca="1" si="58"/>
        <v>20.373890047961634</v>
      </c>
    </row>
    <row r="1115" spans="1:29" ht="15" x14ac:dyDescent="0.2">
      <c r="A1115" s="11">
        <f t="shared" si="59"/>
        <v>2071</v>
      </c>
      <c r="B1115" s="10">
        <f t="shared" ca="1" si="55"/>
        <v>20.993775000000003</v>
      </c>
      <c r="C1115" s="10">
        <f t="shared" ca="1" si="55"/>
        <v>20.999941666666668</v>
      </c>
      <c r="D1115" s="10">
        <f t="shared" ca="1" si="55"/>
        <v>21.131258333333331</v>
      </c>
      <c r="E1115" s="10">
        <f t="shared" ca="1" si="55"/>
        <v>21.163349999999998</v>
      </c>
      <c r="F1115" s="10">
        <f t="shared" ca="1" si="55"/>
        <v>20.990024999999999</v>
      </c>
      <c r="G1115" s="10">
        <f t="shared" ca="1" si="55"/>
        <v>21.00856666666667</v>
      </c>
      <c r="H1115" s="10">
        <f t="shared" ca="1" si="55"/>
        <v>21.152466666666665</v>
      </c>
      <c r="I1115" s="10">
        <f t="shared" ca="1" si="55"/>
        <v>20.977608333333336</v>
      </c>
      <c r="J1115" s="10">
        <f t="shared" ca="1" si="55"/>
        <v>20.983025000000001</v>
      </c>
      <c r="K1115" s="10">
        <f t="shared" ca="1" si="55"/>
        <v>20.973716666666665</v>
      </c>
      <c r="L1115" s="10">
        <f t="shared" ca="1" si="56"/>
        <v>21.739466666666662</v>
      </c>
      <c r="M1115" s="10">
        <f t="shared" ca="1" si="56"/>
        <v>20.785108333333334</v>
      </c>
      <c r="N1115" s="10">
        <f t="shared" ca="1" si="56"/>
        <v>20.803458333333335</v>
      </c>
      <c r="O1115" s="10">
        <f t="shared" ca="1" si="56"/>
        <v>20.952849999999998</v>
      </c>
      <c r="P1115" s="10">
        <f t="shared" ca="1" si="56"/>
        <v>20.779791666666664</v>
      </c>
      <c r="Q1115" s="10">
        <f t="shared" ca="1" si="56"/>
        <v>21.548150000000003</v>
      </c>
      <c r="R1115" s="10">
        <f t="shared" ca="1" si="56"/>
        <v>22.189008333333334</v>
      </c>
      <c r="S1115" s="10">
        <f t="shared" ca="1" si="56"/>
        <v>20.383941666666662</v>
      </c>
      <c r="T1115" s="50">
        <f t="shared" ca="1" si="57"/>
        <v>357.24568100000005</v>
      </c>
      <c r="U1115" s="50">
        <f t="shared" ca="1" si="57"/>
        <v>142.03263249999998</v>
      </c>
      <c r="V1115" s="50">
        <f t="shared" ca="1" si="57"/>
        <v>50.187500000000007</v>
      </c>
      <c r="W1115" s="50">
        <f t="shared" ca="1" si="57"/>
        <v>5.0822234999999996</v>
      </c>
      <c r="X1115" s="50">
        <f t="shared" ca="1" si="57"/>
        <v>20.758966663999999</v>
      </c>
      <c r="Y1115" s="10"/>
      <c r="Z1115" s="10"/>
      <c r="AA1115" s="10"/>
      <c r="AB1115" s="10">
        <f t="shared" ca="1" si="58"/>
        <v>21.014598883880378</v>
      </c>
      <c r="AC1115" s="10">
        <f t="shared" ca="1" si="58"/>
        <v>20.861426258992807</v>
      </c>
    </row>
    <row r="1116" spans="1:29" ht="15" x14ac:dyDescent="0.2">
      <c r="A1116" s="11">
        <f t="shared" si="59"/>
        <v>2072</v>
      </c>
      <c r="B1116" s="10">
        <f t="shared" ref="B1116:K1125" ca="1" si="60">AVERAGE(OFFSET(B$589,($A1116-$A$1106)*12,0,12,1))</f>
        <v>21.498116666666665</v>
      </c>
      <c r="C1116" s="10">
        <f t="shared" ca="1" si="60"/>
        <v>21.504266666666666</v>
      </c>
      <c r="D1116" s="10">
        <f t="shared" ca="1" si="60"/>
        <v>21.6356</v>
      </c>
      <c r="E1116" s="10">
        <f t="shared" ca="1" si="60"/>
        <v>21.667683333333333</v>
      </c>
      <c r="F1116" s="10">
        <f t="shared" ca="1" si="60"/>
        <v>21.494350000000001</v>
      </c>
      <c r="G1116" s="10">
        <f t="shared" ca="1" si="60"/>
        <v>21.512900000000002</v>
      </c>
      <c r="H1116" s="10">
        <f t="shared" ca="1" si="60"/>
        <v>21.656791666666663</v>
      </c>
      <c r="I1116" s="10">
        <f t="shared" ca="1" si="60"/>
        <v>21.481949999999998</v>
      </c>
      <c r="J1116" s="10">
        <f t="shared" ca="1" si="60"/>
        <v>21.487350000000003</v>
      </c>
      <c r="K1116" s="10">
        <f t="shared" ca="1" si="60"/>
        <v>21.47805</v>
      </c>
      <c r="L1116" s="10">
        <f t="shared" ref="L1116:S1125" ca="1" si="61">AVERAGE(OFFSET(L$589,($A1116-$A$1106)*12,0,12,1))</f>
        <v>22.24379166666667</v>
      </c>
      <c r="M1116" s="10">
        <f t="shared" ca="1" si="61"/>
        <v>21.284316666666665</v>
      </c>
      <c r="N1116" s="10">
        <f t="shared" ca="1" si="61"/>
        <v>21.302683333333331</v>
      </c>
      <c r="O1116" s="10">
        <f t="shared" ca="1" si="61"/>
        <v>21.452074999999997</v>
      </c>
      <c r="P1116" s="10">
        <f t="shared" ca="1" si="61"/>
        <v>21.279025000000001</v>
      </c>
      <c r="Q1116" s="10">
        <f t="shared" ca="1" si="61"/>
        <v>22.047374999999999</v>
      </c>
      <c r="R1116" s="10">
        <f t="shared" ca="1" si="61"/>
        <v>22.689491666666665</v>
      </c>
      <c r="S1116" s="10">
        <f t="shared" ca="1" si="61"/>
        <v>20.873716666666667</v>
      </c>
      <c r="T1116" s="50">
        <f t="shared" ref="T1116:X1125" ca="1" si="62">SUM(OFFSET(T$589,($A1116-$A$1106)*12,0,12,1))</f>
        <v>358.17703550000004</v>
      </c>
      <c r="U1116" s="50">
        <f t="shared" ca="1" si="62"/>
        <v>142.42176299999997</v>
      </c>
      <c r="V1116" s="50">
        <f t="shared" ca="1" si="62"/>
        <v>50.325000000000003</v>
      </c>
      <c r="W1116" s="50">
        <f t="shared" ca="1" si="62"/>
        <v>5.0961473999999995</v>
      </c>
      <c r="X1116" s="50">
        <f t="shared" ca="1" si="62"/>
        <v>20.800615543999996</v>
      </c>
      <c r="Y1116" s="10"/>
      <c r="Z1116" s="10"/>
      <c r="AA1116" s="10"/>
      <c r="AB1116" s="10">
        <f t="shared" ca="1" si="58"/>
        <v>21.51893045683121</v>
      </c>
      <c r="AC1116" s="10">
        <f t="shared" ca="1" si="58"/>
        <v>21.36064670263789</v>
      </c>
    </row>
    <row r="1117" spans="1:29" ht="15" x14ac:dyDescent="0.2">
      <c r="A1117" s="11">
        <f t="shared" si="59"/>
        <v>2073</v>
      </c>
      <c r="B1117" s="10">
        <f t="shared" ca="1" si="60"/>
        <v>22.01455</v>
      </c>
      <c r="C1117" s="10">
        <f t="shared" ca="1" si="60"/>
        <v>22.020708333333335</v>
      </c>
      <c r="D1117" s="10">
        <f t="shared" ca="1" si="60"/>
        <v>22.152033333333332</v>
      </c>
      <c r="E1117" s="10">
        <f t="shared" ca="1" si="60"/>
        <v>22.184124999999998</v>
      </c>
      <c r="F1117" s="10">
        <f t="shared" ca="1" si="60"/>
        <v>22.010808333333333</v>
      </c>
      <c r="G1117" s="10">
        <f t="shared" ca="1" si="60"/>
        <v>22.029325</v>
      </c>
      <c r="H1117" s="10">
        <f t="shared" ca="1" si="60"/>
        <v>22.173250000000007</v>
      </c>
      <c r="I1117" s="10">
        <f t="shared" ca="1" si="60"/>
        <v>21.998383333333333</v>
      </c>
      <c r="J1117" s="10">
        <f t="shared" ca="1" si="60"/>
        <v>22.003808333333328</v>
      </c>
      <c r="K1117" s="10">
        <f t="shared" ca="1" si="60"/>
        <v>21.994483333333335</v>
      </c>
      <c r="L1117" s="10">
        <f t="shared" ca="1" si="61"/>
        <v>22.760249999999999</v>
      </c>
      <c r="M1117" s="10">
        <f t="shared" ca="1" si="61"/>
        <v>21.795549999999995</v>
      </c>
      <c r="N1117" s="10">
        <f t="shared" ca="1" si="61"/>
        <v>21.813916666666668</v>
      </c>
      <c r="O1117" s="10">
        <f t="shared" ca="1" si="61"/>
        <v>21.963308333333334</v>
      </c>
      <c r="P1117" s="10">
        <f t="shared" ca="1" si="61"/>
        <v>21.79025</v>
      </c>
      <c r="Q1117" s="10">
        <f t="shared" ca="1" si="61"/>
        <v>22.558608333333336</v>
      </c>
      <c r="R1117" s="10">
        <f t="shared" ca="1" si="61"/>
        <v>23.201991666666668</v>
      </c>
      <c r="S1117" s="10">
        <f t="shared" ca="1" si="61"/>
        <v>21.375208333333333</v>
      </c>
      <c r="T1117" s="50">
        <f t="shared" ca="1" si="62"/>
        <v>357.24568100000005</v>
      </c>
      <c r="U1117" s="50">
        <f t="shared" ca="1" si="62"/>
        <v>142.03263249999998</v>
      </c>
      <c r="V1117" s="50">
        <f t="shared" ca="1" si="62"/>
        <v>50.187500000000007</v>
      </c>
      <c r="W1117" s="50">
        <f t="shared" ca="1" si="62"/>
        <v>5.0822234999999996</v>
      </c>
      <c r="X1117" s="50">
        <f t="shared" ca="1" si="62"/>
        <v>20.758966663999999</v>
      </c>
      <c r="Y1117" s="10"/>
      <c r="Z1117" s="10"/>
      <c r="AA1117" s="10"/>
      <c r="AB1117" s="10">
        <f t="shared" ca="1" si="58"/>
        <v>22.035371887707214</v>
      </c>
      <c r="AC1117" s="10">
        <f t="shared" ca="1" si="58"/>
        <v>21.871878836930453</v>
      </c>
    </row>
    <row r="1118" spans="1:29" ht="15" x14ac:dyDescent="0.2">
      <c r="A1118" s="11">
        <f t="shared" si="59"/>
        <v>2074</v>
      </c>
      <c r="B1118" s="10">
        <f t="shared" ca="1" si="60"/>
        <v>22.543400000000002</v>
      </c>
      <c r="C1118" s="10">
        <f t="shared" ca="1" si="60"/>
        <v>22.549575000000001</v>
      </c>
      <c r="D1118" s="10">
        <f t="shared" ca="1" si="60"/>
        <v>22.68088333333333</v>
      </c>
      <c r="E1118" s="10">
        <f t="shared" ca="1" si="60"/>
        <v>22.712983333333337</v>
      </c>
      <c r="F1118" s="10">
        <f t="shared" ca="1" si="60"/>
        <v>22.539649999999998</v>
      </c>
      <c r="G1118" s="10">
        <f t="shared" ca="1" si="60"/>
        <v>22.558216666666667</v>
      </c>
      <c r="H1118" s="10">
        <f t="shared" ca="1" si="60"/>
        <v>22.702091666666664</v>
      </c>
      <c r="I1118" s="10">
        <f t="shared" ca="1" si="60"/>
        <v>22.527241666666665</v>
      </c>
      <c r="J1118" s="10">
        <f t="shared" ca="1" si="60"/>
        <v>22.53265</v>
      </c>
      <c r="K1118" s="10">
        <f t="shared" ca="1" si="60"/>
        <v>22.523350000000004</v>
      </c>
      <c r="L1118" s="10">
        <f t="shared" ca="1" si="61"/>
        <v>23.289091666666668</v>
      </c>
      <c r="M1118" s="10">
        <f t="shared" ca="1" si="61"/>
        <v>22.319074999999998</v>
      </c>
      <c r="N1118" s="10">
        <f t="shared" ca="1" si="61"/>
        <v>22.337425</v>
      </c>
      <c r="O1118" s="10">
        <f t="shared" ca="1" si="61"/>
        <v>22.48681666666667</v>
      </c>
      <c r="P1118" s="10">
        <f t="shared" ca="1" si="61"/>
        <v>22.313766666666666</v>
      </c>
      <c r="Q1118" s="10">
        <f t="shared" ca="1" si="61"/>
        <v>23.082116666666664</v>
      </c>
      <c r="R1118" s="10">
        <f t="shared" ca="1" si="61"/>
        <v>23.726833333333335</v>
      </c>
      <c r="S1118" s="10">
        <f t="shared" ca="1" si="61"/>
        <v>21.888799999999993</v>
      </c>
      <c r="T1118" s="50">
        <f t="shared" ca="1" si="62"/>
        <v>357.24568100000005</v>
      </c>
      <c r="U1118" s="50">
        <f t="shared" ca="1" si="62"/>
        <v>142.03263249999998</v>
      </c>
      <c r="V1118" s="50">
        <f t="shared" ca="1" si="62"/>
        <v>50.187500000000007</v>
      </c>
      <c r="W1118" s="50">
        <f t="shared" ca="1" si="62"/>
        <v>5.0822234999999996</v>
      </c>
      <c r="X1118" s="50">
        <f t="shared" ca="1" si="62"/>
        <v>20.758966663999999</v>
      </c>
      <c r="Y1118" s="10"/>
      <c r="Z1118" s="10"/>
      <c r="AA1118" s="10"/>
      <c r="AB1118" s="10">
        <f t="shared" ca="1" si="58"/>
        <v>22.564229575893535</v>
      </c>
      <c r="AC1118" s="10">
        <f t="shared" ca="1" si="58"/>
        <v>22.395394124700243</v>
      </c>
    </row>
    <row r="1119" spans="1:29" ht="15" x14ac:dyDescent="0.2">
      <c r="A1119" s="11">
        <f t="shared" si="59"/>
        <v>2075</v>
      </c>
      <c r="B1119" s="10">
        <f t="shared" ca="1" si="60"/>
        <v>23.084974999999996</v>
      </c>
      <c r="C1119" s="10">
        <f t="shared" ca="1" si="60"/>
        <v>23.091133333333335</v>
      </c>
      <c r="D1119" s="10">
        <f t="shared" ca="1" si="60"/>
        <v>23.222424999999998</v>
      </c>
      <c r="E1119" s="10">
        <f t="shared" ca="1" si="60"/>
        <v>23.254541666666668</v>
      </c>
      <c r="F1119" s="10">
        <f t="shared" ca="1" si="60"/>
        <v>23.081199999999999</v>
      </c>
      <c r="G1119" s="10">
        <f t="shared" ca="1" si="60"/>
        <v>23.099749999999997</v>
      </c>
      <c r="H1119" s="10">
        <f t="shared" ca="1" si="60"/>
        <v>23.243649999999999</v>
      </c>
      <c r="I1119" s="10">
        <f t="shared" ca="1" si="60"/>
        <v>23.0688</v>
      </c>
      <c r="J1119" s="10">
        <f t="shared" ca="1" si="60"/>
        <v>23.074200000000001</v>
      </c>
      <c r="K1119" s="10">
        <f t="shared" ca="1" si="60"/>
        <v>23.064916666666665</v>
      </c>
      <c r="L1119" s="10">
        <f t="shared" ca="1" si="61"/>
        <v>23.830650000000006</v>
      </c>
      <c r="M1119" s="10">
        <f t="shared" ca="1" si="61"/>
        <v>22.855166666666662</v>
      </c>
      <c r="N1119" s="10">
        <f t="shared" ca="1" si="61"/>
        <v>22.873533333333331</v>
      </c>
      <c r="O1119" s="10">
        <f t="shared" ca="1" si="61"/>
        <v>23.022908333333334</v>
      </c>
      <c r="P1119" s="10">
        <f t="shared" ca="1" si="61"/>
        <v>22.849849999999993</v>
      </c>
      <c r="Q1119" s="10">
        <f t="shared" ca="1" si="61"/>
        <v>23.618208333333332</v>
      </c>
      <c r="R1119" s="10">
        <f t="shared" ca="1" si="61"/>
        <v>24.264241666666663</v>
      </c>
      <c r="S1119" s="10">
        <f t="shared" ca="1" si="61"/>
        <v>22.4147</v>
      </c>
      <c r="T1119" s="50">
        <f t="shared" ca="1" si="62"/>
        <v>357.24568100000005</v>
      </c>
      <c r="U1119" s="50">
        <f t="shared" ca="1" si="62"/>
        <v>142.03263249999998</v>
      </c>
      <c r="V1119" s="50">
        <f t="shared" ca="1" si="62"/>
        <v>50.187500000000007</v>
      </c>
      <c r="W1119" s="50">
        <f t="shared" ca="1" si="62"/>
        <v>5.0822234999999996</v>
      </c>
      <c r="X1119" s="50">
        <f t="shared" ca="1" si="62"/>
        <v>20.758966663999999</v>
      </c>
      <c r="Y1119" s="10"/>
      <c r="Z1119" s="10"/>
      <c r="AA1119" s="10"/>
      <c r="AB1119" s="10">
        <f t="shared" ca="1" si="58"/>
        <v>23.105783250268388</v>
      </c>
      <c r="AC1119" s="10">
        <f t="shared" ca="1" si="58"/>
        <v>22.931485551558755</v>
      </c>
    </row>
    <row r="1120" spans="1:29" ht="15" x14ac:dyDescent="0.2">
      <c r="A1120" s="11">
        <f t="shared" si="59"/>
        <v>2076</v>
      </c>
      <c r="B1120" s="10">
        <f t="shared" ca="1" si="60"/>
        <v>23.63955</v>
      </c>
      <c r="C1120" s="10">
        <f t="shared" ca="1" si="60"/>
        <v>23.645708333333335</v>
      </c>
      <c r="D1120" s="10">
        <f t="shared" ca="1" si="60"/>
        <v>23.777000000000001</v>
      </c>
      <c r="E1120" s="10">
        <f t="shared" ca="1" si="60"/>
        <v>23.809116666666668</v>
      </c>
      <c r="F1120" s="10">
        <f t="shared" ca="1" si="60"/>
        <v>23.635783333333332</v>
      </c>
      <c r="G1120" s="10">
        <f t="shared" ca="1" si="60"/>
        <v>23.65431666666667</v>
      </c>
      <c r="H1120" s="10">
        <f t="shared" ca="1" si="60"/>
        <v>23.798225000000002</v>
      </c>
      <c r="I1120" s="10">
        <f t="shared" ca="1" si="60"/>
        <v>23.623375000000006</v>
      </c>
      <c r="J1120" s="10">
        <f t="shared" ca="1" si="60"/>
        <v>23.628783333333331</v>
      </c>
      <c r="K1120" s="10">
        <f t="shared" ca="1" si="60"/>
        <v>23.619491666666665</v>
      </c>
      <c r="L1120" s="10">
        <f t="shared" ca="1" si="61"/>
        <v>24.385224999999995</v>
      </c>
      <c r="M1120" s="10">
        <f t="shared" ca="1" si="61"/>
        <v>23.404149999999998</v>
      </c>
      <c r="N1120" s="10">
        <f t="shared" ca="1" si="61"/>
        <v>23.422516666666667</v>
      </c>
      <c r="O1120" s="10">
        <f t="shared" ca="1" si="61"/>
        <v>23.571891666666662</v>
      </c>
      <c r="P1120" s="10">
        <f t="shared" ca="1" si="61"/>
        <v>23.398841666666666</v>
      </c>
      <c r="Q1120" s="10">
        <f t="shared" ca="1" si="61"/>
        <v>24.167191666666668</v>
      </c>
      <c r="R1120" s="10">
        <f t="shared" ca="1" si="61"/>
        <v>24.814600000000002</v>
      </c>
      <c r="S1120" s="10">
        <f t="shared" ca="1" si="61"/>
        <v>22.953241666666667</v>
      </c>
      <c r="T1120" s="50">
        <f t="shared" ca="1" si="62"/>
        <v>358.17703550000004</v>
      </c>
      <c r="U1120" s="50">
        <f t="shared" ca="1" si="62"/>
        <v>142.42176299999997</v>
      </c>
      <c r="V1120" s="50">
        <f t="shared" ca="1" si="62"/>
        <v>50.325000000000003</v>
      </c>
      <c r="W1120" s="50">
        <f t="shared" ca="1" si="62"/>
        <v>5.0961473999999995</v>
      </c>
      <c r="X1120" s="50">
        <f t="shared" ca="1" si="62"/>
        <v>20.800615543999996</v>
      </c>
      <c r="Y1120" s="10"/>
      <c r="Z1120" s="10"/>
      <c r="AA1120" s="10"/>
      <c r="AB1120" s="10">
        <f t="shared" ca="1" si="58"/>
        <v>23.66035924428472</v>
      </c>
      <c r="AC1120" s="10">
        <f t="shared" ca="1" si="58"/>
        <v>23.480470083932854</v>
      </c>
    </row>
    <row r="1121" spans="1:29" ht="15" x14ac:dyDescent="0.2">
      <c r="A1121" s="11">
        <f t="shared" si="59"/>
        <v>2077</v>
      </c>
      <c r="B1121" s="10">
        <f t="shared" ca="1" si="60"/>
        <v>24.207441666666671</v>
      </c>
      <c r="C1121" s="10">
        <f t="shared" ca="1" si="60"/>
        <v>24.21359166666667</v>
      </c>
      <c r="D1121" s="10">
        <f t="shared" ca="1" si="60"/>
        <v>24.344899999999996</v>
      </c>
      <c r="E1121" s="10">
        <f t="shared" ca="1" si="60"/>
        <v>24.377008333333333</v>
      </c>
      <c r="F1121" s="10">
        <f t="shared" ca="1" si="60"/>
        <v>24.203658333333333</v>
      </c>
      <c r="G1121" s="10">
        <f t="shared" ca="1" si="60"/>
        <v>24.222224999999998</v>
      </c>
      <c r="H1121" s="10">
        <f t="shared" ca="1" si="60"/>
        <v>24.366125</v>
      </c>
      <c r="I1121" s="10">
        <f t="shared" ca="1" si="60"/>
        <v>24.191283333333331</v>
      </c>
      <c r="J1121" s="10">
        <f t="shared" ca="1" si="60"/>
        <v>24.196658333333335</v>
      </c>
      <c r="K1121" s="10">
        <f t="shared" ca="1" si="60"/>
        <v>24.187383333333329</v>
      </c>
      <c r="L1121" s="10">
        <f t="shared" ca="1" si="61"/>
        <v>24.953125</v>
      </c>
      <c r="M1121" s="10">
        <f t="shared" ca="1" si="61"/>
        <v>23.966325000000001</v>
      </c>
      <c r="N1121" s="10">
        <f t="shared" ca="1" si="61"/>
        <v>23.984674999999999</v>
      </c>
      <c r="O1121" s="10">
        <f t="shared" ca="1" si="61"/>
        <v>24.134066666666669</v>
      </c>
      <c r="P1121" s="10">
        <f t="shared" ca="1" si="61"/>
        <v>23.961008333333336</v>
      </c>
      <c r="Q1121" s="10">
        <f t="shared" ca="1" si="61"/>
        <v>24.729366666666667</v>
      </c>
      <c r="R1121" s="10">
        <f t="shared" ca="1" si="61"/>
        <v>25.378166666666669</v>
      </c>
      <c r="S1121" s="10">
        <f t="shared" ca="1" si="61"/>
        <v>23.504733333333331</v>
      </c>
      <c r="T1121" s="50">
        <f t="shared" ca="1" si="62"/>
        <v>357.24568100000005</v>
      </c>
      <c r="U1121" s="50">
        <f t="shared" ca="1" si="62"/>
        <v>142.03263249999998</v>
      </c>
      <c r="V1121" s="50">
        <f t="shared" ca="1" si="62"/>
        <v>50.187500000000007</v>
      </c>
      <c r="W1121" s="50">
        <f t="shared" ca="1" si="62"/>
        <v>5.0822234999999996</v>
      </c>
      <c r="X1121" s="50">
        <f t="shared" ca="1" si="62"/>
        <v>20.758966663999999</v>
      </c>
      <c r="Y1121" s="10"/>
      <c r="Z1121" s="10"/>
      <c r="AA1121" s="10"/>
      <c r="AB1121" s="10">
        <f t="shared" ca="1" si="58"/>
        <v>24.228248256499963</v>
      </c>
      <c r="AC1121" s="10">
        <f t="shared" ca="1" si="58"/>
        <v>24.042642925659475</v>
      </c>
    </row>
    <row r="1122" spans="1:29" ht="15" x14ac:dyDescent="0.2">
      <c r="A1122" s="11">
        <f t="shared" si="59"/>
        <v>2078</v>
      </c>
      <c r="B1122" s="10">
        <f t="shared" ca="1" si="60"/>
        <v>24.788991666666664</v>
      </c>
      <c r="C1122" s="10">
        <f t="shared" ca="1" si="60"/>
        <v>24.795133333333329</v>
      </c>
      <c r="D1122" s="10">
        <f t="shared" ca="1" si="60"/>
        <v>24.926441666666673</v>
      </c>
      <c r="E1122" s="10">
        <f t="shared" ca="1" si="60"/>
        <v>24.958549999999999</v>
      </c>
      <c r="F1122" s="10">
        <f t="shared" ca="1" si="60"/>
        <v>24.7852</v>
      </c>
      <c r="G1122" s="10">
        <f t="shared" ca="1" si="60"/>
        <v>24.803766666666665</v>
      </c>
      <c r="H1122" s="10">
        <f t="shared" ca="1" si="60"/>
        <v>24.947666666666674</v>
      </c>
      <c r="I1122" s="10">
        <f t="shared" ca="1" si="60"/>
        <v>24.77280833333333</v>
      </c>
      <c r="J1122" s="10">
        <f t="shared" ca="1" si="60"/>
        <v>24.778200000000002</v>
      </c>
      <c r="K1122" s="10">
        <f t="shared" ca="1" si="60"/>
        <v>24.768908333333332</v>
      </c>
      <c r="L1122" s="10">
        <f t="shared" ca="1" si="61"/>
        <v>25.534666666666666</v>
      </c>
      <c r="M1122" s="10">
        <f t="shared" ca="1" si="61"/>
        <v>24.541983333333334</v>
      </c>
      <c r="N1122" s="10">
        <f t="shared" ca="1" si="61"/>
        <v>24.560349999999996</v>
      </c>
      <c r="O1122" s="10">
        <f t="shared" ca="1" si="61"/>
        <v>24.709716666666665</v>
      </c>
      <c r="P1122" s="10">
        <f t="shared" ca="1" si="61"/>
        <v>24.536666666666662</v>
      </c>
      <c r="Q1122" s="10">
        <f t="shared" ca="1" si="61"/>
        <v>25.305016666666663</v>
      </c>
      <c r="R1122" s="10">
        <f t="shared" ca="1" si="61"/>
        <v>25.955291666666664</v>
      </c>
      <c r="S1122" s="10">
        <f t="shared" ca="1" si="61"/>
        <v>24.069483333333327</v>
      </c>
      <c r="T1122" s="50">
        <f t="shared" ca="1" si="62"/>
        <v>357.24568100000005</v>
      </c>
      <c r="U1122" s="50">
        <f t="shared" ca="1" si="62"/>
        <v>142.03263249999998</v>
      </c>
      <c r="V1122" s="50">
        <f t="shared" ca="1" si="62"/>
        <v>50.187500000000007</v>
      </c>
      <c r="W1122" s="50">
        <f t="shared" ca="1" si="62"/>
        <v>5.0822234999999996</v>
      </c>
      <c r="X1122" s="50">
        <f t="shared" ca="1" si="62"/>
        <v>20.758966663999999</v>
      </c>
      <c r="Y1122" s="10"/>
      <c r="Z1122" s="10"/>
      <c r="AA1122" s="10"/>
      <c r="AB1122" s="10">
        <f t="shared" ca="1" si="58"/>
        <v>24.80978994085341</v>
      </c>
      <c r="AC1122" s="10">
        <f t="shared" ca="1" si="58"/>
        <v>24.618298441247006</v>
      </c>
    </row>
    <row r="1123" spans="1:29" ht="15" x14ac:dyDescent="0.2">
      <c r="A1123" s="11">
        <f t="shared" si="59"/>
        <v>2079</v>
      </c>
      <c r="B1123" s="10">
        <f t="shared" ca="1" si="60"/>
        <v>25.38450833333334</v>
      </c>
      <c r="C1123" s="10">
        <f t="shared" ca="1" si="60"/>
        <v>25.390658333333334</v>
      </c>
      <c r="D1123" s="10">
        <f t="shared" ca="1" si="60"/>
        <v>25.521966666666671</v>
      </c>
      <c r="E1123" s="10">
        <f t="shared" ca="1" si="60"/>
        <v>25.554058333333341</v>
      </c>
      <c r="F1123" s="10">
        <f t="shared" ca="1" si="60"/>
        <v>25.380716666666668</v>
      </c>
      <c r="G1123" s="10">
        <f t="shared" ca="1" si="60"/>
        <v>25.399274999999999</v>
      </c>
      <c r="H1123" s="10">
        <f t="shared" ca="1" si="60"/>
        <v>25.543175000000002</v>
      </c>
      <c r="I1123" s="10">
        <f t="shared" ca="1" si="60"/>
        <v>25.368333333333339</v>
      </c>
      <c r="J1123" s="10">
        <f t="shared" ca="1" si="60"/>
        <v>25.373716666666667</v>
      </c>
      <c r="K1123" s="10">
        <f t="shared" ca="1" si="60"/>
        <v>25.364441666666664</v>
      </c>
      <c r="L1123" s="10">
        <f t="shared" ca="1" si="61"/>
        <v>26.130174999999994</v>
      </c>
      <c r="M1123" s="10">
        <f t="shared" ca="1" si="61"/>
        <v>25.131483333333332</v>
      </c>
      <c r="N1123" s="10">
        <f t="shared" ca="1" si="61"/>
        <v>25.149841666666664</v>
      </c>
      <c r="O1123" s="10">
        <f t="shared" ca="1" si="61"/>
        <v>25.299233333333333</v>
      </c>
      <c r="P1123" s="10">
        <f t="shared" ca="1" si="61"/>
        <v>25.126175</v>
      </c>
      <c r="Q1123" s="10">
        <f t="shared" ca="1" si="61"/>
        <v>25.894533333333332</v>
      </c>
      <c r="R1123" s="10">
        <f t="shared" ca="1" si="61"/>
        <v>26.546266666666668</v>
      </c>
      <c r="S1123" s="10">
        <f t="shared" ca="1" si="61"/>
        <v>24.647775000000006</v>
      </c>
      <c r="T1123" s="50">
        <f t="shared" ca="1" si="62"/>
        <v>357.24568100000005</v>
      </c>
      <c r="U1123" s="50">
        <f t="shared" ca="1" si="62"/>
        <v>142.03263249999998</v>
      </c>
      <c r="V1123" s="50">
        <f t="shared" ca="1" si="62"/>
        <v>50.187500000000007</v>
      </c>
      <c r="W1123" s="50">
        <f t="shared" ca="1" si="62"/>
        <v>5.0822234999999996</v>
      </c>
      <c r="X1123" s="50">
        <f t="shared" ca="1" si="62"/>
        <v>20.758966663999999</v>
      </c>
      <c r="Y1123" s="10"/>
      <c r="Z1123" s="10"/>
      <c r="AA1123" s="10"/>
      <c r="AB1123" s="10">
        <f t="shared" ca="1" si="58"/>
        <v>25.405308807657367</v>
      </c>
      <c r="AC1123" s="10">
        <f t="shared" ca="1" si="58"/>
        <v>25.207806714628301</v>
      </c>
    </row>
    <row r="1124" spans="1:29" ht="15" x14ac:dyDescent="0.2">
      <c r="A1124" s="11">
        <f t="shared" si="59"/>
        <v>2080</v>
      </c>
      <c r="B1124" s="10">
        <f t="shared" ca="1" si="60"/>
        <v>25.994333333333334</v>
      </c>
      <c r="C1124" s="10">
        <f t="shared" ca="1" si="60"/>
        <v>26.000466666666664</v>
      </c>
      <c r="D1124" s="10">
        <f t="shared" ca="1" si="60"/>
        <v>26.131783333333335</v>
      </c>
      <c r="E1124" s="10">
        <f t="shared" ca="1" si="60"/>
        <v>26.163883333333331</v>
      </c>
      <c r="F1124" s="10">
        <f t="shared" ca="1" si="60"/>
        <v>25.990550000000002</v>
      </c>
      <c r="G1124" s="10">
        <f t="shared" ca="1" si="60"/>
        <v>26.009091666666666</v>
      </c>
      <c r="H1124" s="10">
        <f t="shared" ca="1" si="60"/>
        <v>26.153008333333332</v>
      </c>
      <c r="I1124" s="10">
        <f t="shared" ca="1" si="60"/>
        <v>25.978141666666662</v>
      </c>
      <c r="J1124" s="10">
        <f t="shared" ca="1" si="60"/>
        <v>25.983549999999997</v>
      </c>
      <c r="K1124" s="10">
        <f t="shared" ca="1" si="60"/>
        <v>25.974258333333328</v>
      </c>
      <c r="L1124" s="10">
        <f t="shared" ca="1" si="61"/>
        <v>26.740008333333332</v>
      </c>
      <c r="M1124" s="10">
        <f t="shared" ca="1" si="61"/>
        <v>25.735166666666672</v>
      </c>
      <c r="N1124" s="10">
        <f t="shared" ca="1" si="61"/>
        <v>25.753525</v>
      </c>
      <c r="O1124" s="10">
        <f t="shared" ca="1" si="61"/>
        <v>25.902908333333333</v>
      </c>
      <c r="P1124" s="10">
        <f t="shared" ca="1" si="61"/>
        <v>25.729849999999999</v>
      </c>
      <c r="Q1124" s="10">
        <f t="shared" ca="1" si="61"/>
        <v>26.498208333333334</v>
      </c>
      <c r="R1124" s="10">
        <f t="shared" ca="1" si="61"/>
        <v>27.151450000000001</v>
      </c>
      <c r="S1124" s="10">
        <f t="shared" ca="1" si="61"/>
        <v>25.239975000000001</v>
      </c>
      <c r="T1124" s="50">
        <f t="shared" ca="1" si="62"/>
        <v>358.17703550000004</v>
      </c>
      <c r="U1124" s="50">
        <f t="shared" ca="1" si="62"/>
        <v>142.42176299999997</v>
      </c>
      <c r="V1124" s="50">
        <f t="shared" ca="1" si="62"/>
        <v>50.325000000000003</v>
      </c>
      <c r="W1124" s="50">
        <f t="shared" ca="1" si="62"/>
        <v>5.0961473999999995</v>
      </c>
      <c r="X1124" s="50">
        <f t="shared" ca="1" si="62"/>
        <v>20.800615543999996</v>
      </c>
      <c r="Y1124" s="10"/>
      <c r="Z1124" s="10"/>
      <c r="AA1124" s="10"/>
      <c r="AB1124" s="10">
        <f t="shared" ca="1" si="58"/>
        <v>26.01512871728599</v>
      </c>
      <c r="AC1124" s="10">
        <f t="shared" ca="1" si="58"/>
        <v>25.811485071942446</v>
      </c>
    </row>
    <row r="1125" spans="1:29" ht="15" x14ac:dyDescent="0.2">
      <c r="A1125" s="11">
        <f t="shared" si="59"/>
        <v>2081</v>
      </c>
      <c r="B1125" s="10">
        <f t="shared" ca="1" si="60"/>
        <v>26.618791666666667</v>
      </c>
      <c r="C1125" s="10">
        <f t="shared" ca="1" si="60"/>
        <v>26.624974999999996</v>
      </c>
      <c r="D1125" s="10">
        <f t="shared" ca="1" si="60"/>
        <v>26.756275000000002</v>
      </c>
      <c r="E1125" s="10">
        <f t="shared" ca="1" si="60"/>
        <v>26.788358333333335</v>
      </c>
      <c r="F1125" s="10">
        <f t="shared" ca="1" si="60"/>
        <v>26.61503333333334</v>
      </c>
      <c r="G1125" s="10">
        <f t="shared" ca="1" si="60"/>
        <v>26.633575000000004</v>
      </c>
      <c r="H1125" s="10">
        <f t="shared" ca="1" si="60"/>
        <v>26.777483333333336</v>
      </c>
      <c r="I1125" s="10">
        <f t="shared" ca="1" si="60"/>
        <v>26.602625</v>
      </c>
      <c r="J1125" s="10">
        <f t="shared" ca="1" si="60"/>
        <v>26.608033333333339</v>
      </c>
      <c r="K1125" s="10">
        <f t="shared" ca="1" si="60"/>
        <v>26.598733333333332</v>
      </c>
      <c r="L1125" s="10">
        <f t="shared" ca="1" si="61"/>
        <v>27.364483333333336</v>
      </c>
      <c r="M1125" s="10">
        <f t="shared" ca="1" si="61"/>
        <v>26.353350000000002</v>
      </c>
      <c r="N1125" s="10">
        <f t="shared" ca="1" si="61"/>
        <v>26.371708333333331</v>
      </c>
      <c r="O1125" s="10">
        <f t="shared" ca="1" si="61"/>
        <v>26.521074999999996</v>
      </c>
      <c r="P1125" s="10">
        <f t="shared" ca="1" si="61"/>
        <v>26.348016666666666</v>
      </c>
      <c r="Q1125" s="10">
        <f t="shared" ca="1" si="61"/>
        <v>27.116375000000001</v>
      </c>
      <c r="R1125" s="10">
        <f t="shared" ca="1" si="61"/>
        <v>27.771174999999999</v>
      </c>
      <c r="S1125" s="10">
        <f t="shared" ca="1" si="61"/>
        <v>25.846399999999999</v>
      </c>
      <c r="T1125" s="50">
        <f t="shared" ca="1" si="62"/>
        <v>357.24568100000005</v>
      </c>
      <c r="U1125" s="50">
        <f t="shared" ca="1" si="62"/>
        <v>142.03263249999998</v>
      </c>
      <c r="V1125" s="50">
        <f t="shared" ca="1" si="62"/>
        <v>50.187500000000007</v>
      </c>
      <c r="W1125" s="50">
        <f t="shared" ca="1" si="62"/>
        <v>5.0822234999999996</v>
      </c>
      <c r="X1125" s="50">
        <f t="shared" ca="1" si="62"/>
        <v>20.758966663999999</v>
      </c>
      <c r="Y1125" s="10"/>
      <c r="Z1125" s="10"/>
      <c r="AA1125" s="10"/>
      <c r="AB1125" s="10">
        <f t="shared" ca="1" si="58"/>
        <v>26.639615298922212</v>
      </c>
      <c r="AC1125" s="10">
        <f t="shared" ca="1" si="58"/>
        <v>26.429658453237412</v>
      </c>
    </row>
    <row r="1126" spans="1:29" ht="15" x14ac:dyDescent="0.2">
      <c r="A1126" s="11">
        <f t="shared" si="59"/>
        <v>2082</v>
      </c>
      <c r="B1126" s="10">
        <f t="shared" ref="B1126:K1135" ca="1" si="63">AVERAGE(OFFSET(B$589,($A1126-$A$1106)*12,0,12,1))</f>
        <v>27.258283333333335</v>
      </c>
      <c r="C1126" s="10">
        <f t="shared" ca="1" si="63"/>
        <v>27.264441666666666</v>
      </c>
      <c r="D1126" s="10">
        <f t="shared" ca="1" si="63"/>
        <v>27.395749999999996</v>
      </c>
      <c r="E1126" s="10">
        <f t="shared" ca="1" si="63"/>
        <v>27.427841666666666</v>
      </c>
      <c r="F1126" s="10">
        <f t="shared" ca="1" si="63"/>
        <v>27.254508333333334</v>
      </c>
      <c r="G1126" s="10">
        <f t="shared" ca="1" si="63"/>
        <v>27.273058333333328</v>
      </c>
      <c r="H1126" s="10">
        <f t="shared" ca="1" si="63"/>
        <v>27.416966666666664</v>
      </c>
      <c r="I1126" s="10">
        <f t="shared" ca="1" si="63"/>
        <v>27.242091666666667</v>
      </c>
      <c r="J1126" s="10">
        <f t="shared" ca="1" si="63"/>
        <v>27.247508333333332</v>
      </c>
      <c r="K1126" s="10">
        <f t="shared" ca="1" si="63"/>
        <v>27.238208333333333</v>
      </c>
      <c r="L1126" s="10">
        <f t="shared" ref="L1126:S1135" ca="1" si="64">AVERAGE(OFFSET(L$589,($A1126-$A$1106)*12,0,12,1))</f>
        <v>28.00396666666667</v>
      </c>
      <c r="M1126" s="10">
        <f t="shared" ca="1" si="64"/>
        <v>26.986366666666669</v>
      </c>
      <c r="N1126" s="10">
        <f t="shared" ca="1" si="64"/>
        <v>27.004716666666667</v>
      </c>
      <c r="O1126" s="10">
        <f t="shared" ca="1" si="64"/>
        <v>27.154108333333337</v>
      </c>
      <c r="P1126" s="10">
        <f t="shared" ca="1" si="64"/>
        <v>26.981041666666666</v>
      </c>
      <c r="Q1126" s="10">
        <f t="shared" ca="1" si="64"/>
        <v>27.749408333333331</v>
      </c>
      <c r="R1126" s="10">
        <f t="shared" ca="1" si="64"/>
        <v>28.405791666666669</v>
      </c>
      <c r="S1126" s="10">
        <f t="shared" ca="1" si="64"/>
        <v>26.467408333333335</v>
      </c>
      <c r="T1126" s="50">
        <f t="shared" ref="T1126:X1135" ca="1" si="65">SUM(OFFSET(T$589,($A1126-$A$1106)*12,0,12,1))</f>
        <v>357.24568100000005</v>
      </c>
      <c r="U1126" s="50">
        <f t="shared" ca="1" si="65"/>
        <v>142.03263249999998</v>
      </c>
      <c r="V1126" s="50">
        <f t="shared" ca="1" si="65"/>
        <v>50.187500000000007</v>
      </c>
      <c r="W1126" s="50">
        <f t="shared" ca="1" si="65"/>
        <v>5.0822234999999996</v>
      </c>
      <c r="X1126" s="50">
        <f t="shared" ca="1" si="65"/>
        <v>20.758966663999999</v>
      </c>
      <c r="Y1126" s="10"/>
      <c r="Z1126" s="10"/>
      <c r="AA1126" s="10"/>
      <c r="AB1126" s="10">
        <f t="shared" ref="AB1126:AC1144" ca="1" si="66">AVERAGE(OFFSET(AB$589,($A1126-$A$1106)*12,0,12,1))</f>
        <v>27.27909153455089</v>
      </c>
      <c r="AC1126" s="10">
        <f t="shared" ca="1" si="66"/>
        <v>27.062683393285369</v>
      </c>
    </row>
    <row r="1127" spans="1:29" ht="15" x14ac:dyDescent="0.2">
      <c r="A1127" s="11">
        <f t="shared" si="59"/>
        <v>2083</v>
      </c>
      <c r="B1127" s="10">
        <f t="shared" ca="1" si="63"/>
        <v>27.913116666666671</v>
      </c>
      <c r="C1127" s="10">
        <f t="shared" ca="1" si="63"/>
        <v>27.91928333333334</v>
      </c>
      <c r="D1127" s="10">
        <f t="shared" ca="1" si="63"/>
        <v>28.050599999999999</v>
      </c>
      <c r="E1127" s="10">
        <f t="shared" ca="1" si="63"/>
        <v>28.082691666666665</v>
      </c>
      <c r="F1127" s="10">
        <f t="shared" ca="1" si="63"/>
        <v>27.909358333333333</v>
      </c>
      <c r="G1127" s="10">
        <f t="shared" ca="1" si="63"/>
        <v>27.927899999999998</v>
      </c>
      <c r="H1127" s="10">
        <f t="shared" ca="1" si="63"/>
        <v>28.071816666666663</v>
      </c>
      <c r="I1127" s="10">
        <f t="shared" ca="1" si="63"/>
        <v>27.896966666666668</v>
      </c>
      <c r="J1127" s="10">
        <f t="shared" ca="1" si="63"/>
        <v>27.902358333333336</v>
      </c>
      <c r="K1127" s="10">
        <f t="shared" ca="1" si="63"/>
        <v>27.89306666666667</v>
      </c>
      <c r="L1127" s="10">
        <f t="shared" ca="1" si="64"/>
        <v>28.658816666666667</v>
      </c>
      <c r="M1127" s="10">
        <f t="shared" ca="1" si="64"/>
        <v>27.634608333333333</v>
      </c>
      <c r="N1127" s="10">
        <f t="shared" ca="1" si="64"/>
        <v>27.652966666666671</v>
      </c>
      <c r="O1127" s="10">
        <f t="shared" ca="1" si="64"/>
        <v>27.802358333333331</v>
      </c>
      <c r="P1127" s="10">
        <f t="shared" ca="1" si="64"/>
        <v>27.629300000000001</v>
      </c>
      <c r="Q1127" s="10">
        <f t="shared" ca="1" si="64"/>
        <v>28.397658333333329</v>
      </c>
      <c r="R1127" s="10">
        <f t="shared" ca="1" si="64"/>
        <v>29.05565</v>
      </c>
      <c r="S1127" s="10">
        <f t="shared" ca="1" si="64"/>
        <v>27.103316666666668</v>
      </c>
      <c r="T1127" s="50">
        <f t="shared" ca="1" si="65"/>
        <v>357.24568100000005</v>
      </c>
      <c r="U1127" s="50">
        <f t="shared" ca="1" si="65"/>
        <v>142.03263249999998</v>
      </c>
      <c r="V1127" s="50">
        <f t="shared" ca="1" si="65"/>
        <v>50.187500000000007</v>
      </c>
      <c r="W1127" s="50">
        <f t="shared" ca="1" si="65"/>
        <v>5.0822234999999996</v>
      </c>
      <c r="X1127" s="50">
        <f t="shared" ca="1" si="65"/>
        <v>20.758966663999999</v>
      </c>
      <c r="Y1127" s="10"/>
      <c r="Z1127" s="10"/>
      <c r="AA1127" s="10"/>
      <c r="AB1127" s="10">
        <f t="shared" ca="1" si="66"/>
        <v>27.93393762722566</v>
      </c>
      <c r="AC1127" s="10">
        <f t="shared" ca="1" si="66"/>
        <v>27.710931714628298</v>
      </c>
    </row>
    <row r="1128" spans="1:29" ht="15" x14ac:dyDescent="0.2">
      <c r="A1128" s="11">
        <f t="shared" si="59"/>
        <v>2084</v>
      </c>
      <c r="B1128" s="10">
        <f t="shared" ca="1" si="63"/>
        <v>28.583691666666667</v>
      </c>
      <c r="C1128" s="10">
        <f t="shared" ca="1" si="63"/>
        <v>28.589866666666666</v>
      </c>
      <c r="D1128" s="10">
        <f t="shared" ca="1" si="63"/>
        <v>28.72119166666667</v>
      </c>
      <c r="E1128" s="10">
        <f t="shared" ca="1" si="63"/>
        <v>28.753274999999999</v>
      </c>
      <c r="F1128" s="10">
        <f t="shared" ca="1" si="63"/>
        <v>28.579949999999997</v>
      </c>
      <c r="G1128" s="10">
        <f t="shared" ca="1" si="63"/>
        <v>28.598499999999998</v>
      </c>
      <c r="H1128" s="10">
        <f t="shared" ca="1" si="63"/>
        <v>28.742391666666673</v>
      </c>
      <c r="I1128" s="10">
        <f t="shared" ca="1" si="63"/>
        <v>28.567541666666667</v>
      </c>
      <c r="J1128" s="10">
        <f t="shared" ca="1" si="63"/>
        <v>28.572950000000002</v>
      </c>
      <c r="K1128" s="10">
        <f t="shared" ca="1" si="63"/>
        <v>28.563641666666665</v>
      </c>
      <c r="L1128" s="10">
        <f t="shared" ca="1" si="64"/>
        <v>29.329391666666666</v>
      </c>
      <c r="M1128" s="10">
        <f t="shared" ca="1" si="64"/>
        <v>28.298416666666668</v>
      </c>
      <c r="N1128" s="10">
        <f t="shared" ca="1" si="64"/>
        <v>28.316758333333336</v>
      </c>
      <c r="O1128" s="10">
        <f t="shared" ca="1" si="64"/>
        <v>28.466166666666666</v>
      </c>
      <c r="P1128" s="10">
        <f t="shared" ca="1" si="64"/>
        <v>28.293116666666666</v>
      </c>
      <c r="Q1128" s="10">
        <f t="shared" ca="1" si="64"/>
        <v>29.061466666666664</v>
      </c>
      <c r="R1128" s="10">
        <f t="shared" ca="1" si="64"/>
        <v>29.721116666666664</v>
      </c>
      <c r="S1128" s="10">
        <f t="shared" ca="1" si="64"/>
        <v>27.754516666666664</v>
      </c>
      <c r="T1128" s="50">
        <f t="shared" ca="1" si="65"/>
        <v>358.17703550000004</v>
      </c>
      <c r="U1128" s="50">
        <f t="shared" ca="1" si="65"/>
        <v>142.42176299999997</v>
      </c>
      <c r="V1128" s="50">
        <f t="shared" ca="1" si="65"/>
        <v>50.325000000000003</v>
      </c>
      <c r="W1128" s="50">
        <f t="shared" ca="1" si="65"/>
        <v>5.0961473999999995</v>
      </c>
      <c r="X1128" s="50">
        <f t="shared" ca="1" si="65"/>
        <v>20.800615543999996</v>
      </c>
      <c r="Y1128" s="10"/>
      <c r="Z1128" s="10"/>
      <c r="AA1128" s="10"/>
      <c r="AB1128" s="10">
        <f t="shared" ca="1" si="66"/>
        <v>28.604525098743338</v>
      </c>
      <c r="AC1128" s="10">
        <f t="shared" ca="1" si="66"/>
        <v>28.374740287769782</v>
      </c>
    </row>
    <row r="1129" spans="1:29" ht="15" x14ac:dyDescent="0.2">
      <c r="A1129" s="11">
        <f t="shared" si="59"/>
        <v>2085</v>
      </c>
      <c r="B1129" s="10">
        <f t="shared" ca="1" si="63"/>
        <v>29.270399999999999</v>
      </c>
      <c r="C1129" s="10">
        <f t="shared" ca="1" si="63"/>
        <v>29.27655833333333</v>
      </c>
      <c r="D1129" s="10">
        <f t="shared" ca="1" si="63"/>
        <v>29.407883333333334</v>
      </c>
      <c r="E1129" s="10">
        <f t="shared" ca="1" si="63"/>
        <v>29.439966666666663</v>
      </c>
      <c r="F1129" s="10">
        <f t="shared" ca="1" si="63"/>
        <v>29.266625000000005</v>
      </c>
      <c r="G1129" s="10">
        <f t="shared" ca="1" si="63"/>
        <v>29.285191666666673</v>
      </c>
      <c r="H1129" s="10">
        <f t="shared" ca="1" si="63"/>
        <v>29.429075000000001</v>
      </c>
      <c r="I1129" s="10">
        <f t="shared" ca="1" si="63"/>
        <v>29.254233333333332</v>
      </c>
      <c r="J1129" s="10">
        <f t="shared" ca="1" si="63"/>
        <v>29.259625</v>
      </c>
      <c r="K1129" s="10">
        <f t="shared" ca="1" si="63"/>
        <v>29.250349999999997</v>
      </c>
      <c r="L1129" s="10">
        <f t="shared" ca="1" si="64"/>
        <v>30.016075000000001</v>
      </c>
      <c r="M1129" s="10">
        <f t="shared" ca="1" si="64"/>
        <v>28.978174999999997</v>
      </c>
      <c r="N1129" s="10">
        <f t="shared" ca="1" si="64"/>
        <v>28.996533333333335</v>
      </c>
      <c r="O1129" s="10">
        <f t="shared" ca="1" si="64"/>
        <v>29.145924999999995</v>
      </c>
      <c r="P1129" s="10">
        <f t="shared" ca="1" si="64"/>
        <v>28.972858333333335</v>
      </c>
      <c r="Q1129" s="10">
        <f t="shared" ca="1" si="64"/>
        <v>29.741225</v>
      </c>
      <c r="R1129" s="10">
        <f t="shared" ca="1" si="64"/>
        <v>30.402583333333329</v>
      </c>
      <c r="S1129" s="10">
        <f t="shared" ca="1" si="64"/>
        <v>28.421366666666668</v>
      </c>
      <c r="T1129" s="50">
        <f t="shared" ca="1" si="65"/>
        <v>357.24568100000005</v>
      </c>
      <c r="U1129" s="50">
        <f t="shared" ca="1" si="65"/>
        <v>142.03263249999998</v>
      </c>
      <c r="V1129" s="50">
        <f t="shared" ca="1" si="65"/>
        <v>50.187500000000007</v>
      </c>
      <c r="W1129" s="50">
        <f t="shared" ca="1" si="65"/>
        <v>5.0822234999999996</v>
      </c>
      <c r="X1129" s="50">
        <f t="shared" ca="1" si="65"/>
        <v>20.758966663999999</v>
      </c>
      <c r="Y1129" s="10"/>
      <c r="Z1129" s="10"/>
      <c r="AA1129" s="10"/>
      <c r="AB1129" s="10">
        <f t="shared" ca="1" si="66"/>
        <v>29.291214399994683</v>
      </c>
      <c r="AC1129" s="10">
        <f t="shared" ca="1" si="66"/>
        <v>29.054497182254199</v>
      </c>
    </row>
    <row r="1130" spans="1:29" ht="15" x14ac:dyDescent="0.2">
      <c r="A1130" s="11">
        <f t="shared" si="59"/>
        <v>2086</v>
      </c>
      <c r="B1130" s="10">
        <f t="shared" ca="1" si="63"/>
        <v>29.973600000000001</v>
      </c>
      <c r="C1130" s="10">
        <f t="shared" ca="1" si="63"/>
        <v>29.979749999999996</v>
      </c>
      <c r="D1130" s="10">
        <f t="shared" ca="1" si="63"/>
        <v>30.111050000000002</v>
      </c>
      <c r="E1130" s="10">
        <f t="shared" ca="1" si="63"/>
        <v>30.143149999999995</v>
      </c>
      <c r="F1130" s="10">
        <f t="shared" ca="1" si="63"/>
        <v>29.96981666666667</v>
      </c>
      <c r="G1130" s="10">
        <f t="shared" ca="1" si="63"/>
        <v>29.988366666666668</v>
      </c>
      <c r="H1130" s="10">
        <f t="shared" ca="1" si="63"/>
        <v>30.132275000000003</v>
      </c>
      <c r="I1130" s="10">
        <f t="shared" ca="1" si="63"/>
        <v>29.957425000000001</v>
      </c>
      <c r="J1130" s="10">
        <f t="shared" ca="1" si="63"/>
        <v>29.962816666666665</v>
      </c>
      <c r="K1130" s="10">
        <f t="shared" ca="1" si="63"/>
        <v>29.953533333333336</v>
      </c>
      <c r="L1130" s="10">
        <f t="shared" ca="1" si="64"/>
        <v>30.719275000000007</v>
      </c>
      <c r="M1130" s="10">
        <f t="shared" ca="1" si="64"/>
        <v>29.674266666666668</v>
      </c>
      <c r="N1130" s="10">
        <f t="shared" ca="1" si="64"/>
        <v>29.692633333333337</v>
      </c>
      <c r="O1130" s="10">
        <f t="shared" ca="1" si="64"/>
        <v>29.84201666666667</v>
      </c>
      <c r="P1130" s="10">
        <f t="shared" ca="1" si="64"/>
        <v>29.668958333333325</v>
      </c>
      <c r="Q1130" s="10">
        <f t="shared" ca="1" si="64"/>
        <v>30.437316666666664</v>
      </c>
      <c r="R1130" s="10">
        <f t="shared" ca="1" si="64"/>
        <v>31.100408333333323</v>
      </c>
      <c r="S1130" s="10">
        <f t="shared" ca="1" si="64"/>
        <v>29.104241666666667</v>
      </c>
      <c r="T1130" s="50">
        <f t="shared" ca="1" si="65"/>
        <v>357.24568100000005</v>
      </c>
      <c r="U1130" s="50">
        <f t="shared" ca="1" si="65"/>
        <v>142.03263249999998</v>
      </c>
      <c r="V1130" s="50">
        <f t="shared" ca="1" si="65"/>
        <v>50.187500000000007</v>
      </c>
      <c r="W1130" s="50">
        <f t="shared" ca="1" si="65"/>
        <v>5.0822234999999996</v>
      </c>
      <c r="X1130" s="50">
        <f t="shared" ca="1" si="65"/>
        <v>20.758966663999999</v>
      </c>
      <c r="Y1130" s="10"/>
      <c r="Z1130" s="10"/>
      <c r="AA1130" s="10"/>
      <c r="AB1130" s="10">
        <f t="shared" ca="1" si="66"/>
        <v>29.994401463043584</v>
      </c>
      <c r="AC1130" s="10">
        <f t="shared" ca="1" si="66"/>
        <v>29.750590527577938</v>
      </c>
    </row>
    <row r="1131" spans="1:29" ht="15" x14ac:dyDescent="0.2">
      <c r="A1131" s="11">
        <f t="shared" si="59"/>
        <v>2087</v>
      </c>
      <c r="B1131" s="10">
        <f t="shared" ca="1" si="63"/>
        <v>30.693674999999999</v>
      </c>
      <c r="C1131" s="10">
        <f t="shared" ca="1" si="63"/>
        <v>30.699833333333331</v>
      </c>
      <c r="D1131" s="10">
        <f t="shared" ca="1" si="63"/>
        <v>30.831150000000004</v>
      </c>
      <c r="E1131" s="10">
        <f t="shared" ca="1" si="63"/>
        <v>30.863258333333334</v>
      </c>
      <c r="F1131" s="10">
        <f t="shared" ca="1" si="63"/>
        <v>30.689908333333335</v>
      </c>
      <c r="G1131" s="10">
        <f t="shared" ca="1" si="63"/>
        <v>30.708466666666666</v>
      </c>
      <c r="H1131" s="10">
        <f t="shared" ca="1" si="63"/>
        <v>30.852366666666658</v>
      </c>
      <c r="I1131" s="10">
        <f t="shared" ca="1" si="63"/>
        <v>30.677516666666666</v>
      </c>
      <c r="J1131" s="10">
        <f t="shared" ca="1" si="63"/>
        <v>30.68290833333333</v>
      </c>
      <c r="K1131" s="10">
        <f t="shared" ca="1" si="63"/>
        <v>30.673616666666675</v>
      </c>
      <c r="L1131" s="10">
        <f t="shared" ca="1" si="64"/>
        <v>31.439366666666672</v>
      </c>
      <c r="M1131" s="10">
        <f t="shared" ca="1" si="64"/>
        <v>30.387091666666667</v>
      </c>
      <c r="N1131" s="10">
        <f t="shared" ca="1" si="64"/>
        <v>30.405449999999998</v>
      </c>
      <c r="O1131" s="10">
        <f t="shared" ca="1" si="64"/>
        <v>30.554841666666661</v>
      </c>
      <c r="P1131" s="10">
        <f t="shared" ca="1" si="64"/>
        <v>30.381783333333331</v>
      </c>
      <c r="Q1131" s="10">
        <f t="shared" ca="1" si="64"/>
        <v>31.150141666666666</v>
      </c>
      <c r="R1131" s="10">
        <f t="shared" ca="1" si="64"/>
        <v>31.815016666666668</v>
      </c>
      <c r="S1131" s="10">
        <f t="shared" ca="1" si="64"/>
        <v>29.803516666666667</v>
      </c>
      <c r="T1131" s="50">
        <f t="shared" ca="1" si="65"/>
        <v>357.24568100000005</v>
      </c>
      <c r="U1131" s="50">
        <f t="shared" ca="1" si="65"/>
        <v>142.03263249999998</v>
      </c>
      <c r="V1131" s="50">
        <f t="shared" ca="1" si="65"/>
        <v>50.187500000000007</v>
      </c>
      <c r="W1131" s="50">
        <f t="shared" ca="1" si="65"/>
        <v>5.0822234999999996</v>
      </c>
      <c r="X1131" s="50">
        <f t="shared" ca="1" si="65"/>
        <v>20.758966663999999</v>
      </c>
      <c r="Y1131" s="10"/>
      <c r="Z1131" s="10"/>
      <c r="AA1131" s="10"/>
      <c r="AB1131" s="10">
        <f t="shared" ca="1" si="66"/>
        <v>30.714492043216399</v>
      </c>
      <c r="AC1131" s="10">
        <f t="shared" ca="1" si="66"/>
        <v>30.463415047961629</v>
      </c>
    </row>
    <row r="1132" spans="1:29" ht="15" x14ac:dyDescent="0.2">
      <c r="A1132" s="11">
        <f t="shared" si="59"/>
        <v>2088</v>
      </c>
      <c r="B1132" s="10">
        <f t="shared" ca="1" si="63"/>
        <v>31.431083333333333</v>
      </c>
      <c r="C1132" s="10">
        <f t="shared" ca="1" si="63"/>
        <v>31.437225000000009</v>
      </c>
      <c r="D1132" s="10">
        <f t="shared" ca="1" si="63"/>
        <v>31.568533333333335</v>
      </c>
      <c r="E1132" s="10">
        <f t="shared" ca="1" si="63"/>
        <v>31.600650000000002</v>
      </c>
      <c r="F1132" s="10">
        <f t="shared" ca="1" si="63"/>
        <v>31.427291666666665</v>
      </c>
      <c r="G1132" s="10">
        <f t="shared" ca="1" si="63"/>
        <v>31.445849999999997</v>
      </c>
      <c r="H1132" s="10">
        <f t="shared" ca="1" si="63"/>
        <v>31.589766666666662</v>
      </c>
      <c r="I1132" s="10">
        <f t="shared" ca="1" si="63"/>
        <v>31.414899999999992</v>
      </c>
      <c r="J1132" s="10">
        <f t="shared" ca="1" si="63"/>
        <v>31.420291666666667</v>
      </c>
      <c r="K1132" s="10">
        <f t="shared" ca="1" si="63"/>
        <v>31.411016666666665</v>
      </c>
      <c r="L1132" s="10">
        <f t="shared" ca="1" si="64"/>
        <v>32.176766666666666</v>
      </c>
      <c r="M1132" s="10">
        <f t="shared" ca="1" si="64"/>
        <v>31.117041666666665</v>
      </c>
      <c r="N1132" s="10">
        <f t="shared" ca="1" si="64"/>
        <v>31.135391666666674</v>
      </c>
      <c r="O1132" s="10">
        <f t="shared" ca="1" si="64"/>
        <v>31.284791666666667</v>
      </c>
      <c r="P1132" s="10">
        <f t="shared" ca="1" si="64"/>
        <v>31.111741666666671</v>
      </c>
      <c r="Q1132" s="10">
        <f t="shared" ca="1" si="64"/>
        <v>31.880091666666662</v>
      </c>
      <c r="R1132" s="10">
        <f t="shared" ca="1" si="64"/>
        <v>32.546808333333331</v>
      </c>
      <c r="S1132" s="10">
        <f t="shared" ca="1" si="64"/>
        <v>30.519600000000001</v>
      </c>
      <c r="T1132" s="50">
        <f t="shared" ca="1" si="65"/>
        <v>358.17703550000004</v>
      </c>
      <c r="U1132" s="50">
        <f t="shared" ca="1" si="65"/>
        <v>142.42176299999997</v>
      </c>
      <c r="V1132" s="50">
        <f t="shared" ca="1" si="65"/>
        <v>50.325000000000003</v>
      </c>
      <c r="W1132" s="50">
        <f t="shared" ca="1" si="65"/>
        <v>5.0961473999999995</v>
      </c>
      <c r="X1132" s="50">
        <f t="shared" ca="1" si="65"/>
        <v>20.800615543999996</v>
      </c>
      <c r="Y1132" s="10"/>
      <c r="Z1132" s="10"/>
      <c r="AA1132" s="10"/>
      <c r="AB1132" s="10">
        <f t="shared" ca="1" si="66"/>
        <v>31.45188060124346</v>
      </c>
      <c r="AC1132" s="10">
        <f t="shared" ca="1" si="66"/>
        <v>31.193365767386087</v>
      </c>
    </row>
    <row r="1133" spans="1:29" ht="15" x14ac:dyDescent="0.2">
      <c r="A1133" s="11">
        <f t="shared" si="59"/>
        <v>2089</v>
      </c>
      <c r="B1133" s="10">
        <f t="shared" ca="1" si="63"/>
        <v>32.186183333333325</v>
      </c>
      <c r="C1133" s="10">
        <f t="shared" ca="1" si="63"/>
        <v>32.19233333333333</v>
      </c>
      <c r="D1133" s="10">
        <f t="shared" ca="1" si="63"/>
        <v>32.323641666666667</v>
      </c>
      <c r="E1133" s="10">
        <f t="shared" ca="1" si="63"/>
        <v>32.35575</v>
      </c>
      <c r="F1133" s="10">
        <f t="shared" ca="1" si="63"/>
        <v>32.182425000000002</v>
      </c>
      <c r="G1133" s="10">
        <f t="shared" ca="1" si="63"/>
        <v>32.200958333333332</v>
      </c>
      <c r="H1133" s="10">
        <f t="shared" ca="1" si="63"/>
        <v>32.344874999999995</v>
      </c>
      <c r="I1133" s="10">
        <f t="shared" ca="1" si="63"/>
        <v>32.169991666666668</v>
      </c>
      <c r="J1133" s="10">
        <f t="shared" ca="1" si="63"/>
        <v>32.175425000000004</v>
      </c>
      <c r="K1133" s="10">
        <f t="shared" ca="1" si="63"/>
        <v>32.1661</v>
      </c>
      <c r="L1133" s="10">
        <f t="shared" ca="1" si="64"/>
        <v>32.931874999999998</v>
      </c>
      <c r="M1133" s="10">
        <f t="shared" ca="1" si="64"/>
        <v>31.864541666666668</v>
      </c>
      <c r="N1133" s="10">
        <f t="shared" ca="1" si="64"/>
        <v>31.882891666666669</v>
      </c>
      <c r="O1133" s="10">
        <f t="shared" ca="1" si="64"/>
        <v>32.032275000000006</v>
      </c>
      <c r="P1133" s="10">
        <f t="shared" ca="1" si="64"/>
        <v>31.859208333333338</v>
      </c>
      <c r="Q1133" s="10">
        <f t="shared" ca="1" si="64"/>
        <v>32.627575</v>
      </c>
      <c r="R1133" s="10">
        <f t="shared" ca="1" si="64"/>
        <v>33.296133333333337</v>
      </c>
      <c r="S1133" s="10">
        <f t="shared" ca="1" si="64"/>
        <v>31.252875</v>
      </c>
      <c r="T1133" s="50">
        <f t="shared" ca="1" si="65"/>
        <v>357.24568100000005</v>
      </c>
      <c r="U1133" s="50">
        <f t="shared" ca="1" si="65"/>
        <v>142.03263249999998</v>
      </c>
      <c r="V1133" s="50">
        <f t="shared" ca="1" si="65"/>
        <v>50.187500000000007</v>
      </c>
      <c r="W1133" s="50">
        <f t="shared" ca="1" si="65"/>
        <v>5.0822234999999996</v>
      </c>
      <c r="X1133" s="50">
        <f t="shared" ca="1" si="65"/>
        <v>20.758966663999999</v>
      </c>
      <c r="Y1133" s="10"/>
      <c r="Z1133" s="10"/>
      <c r="AA1133" s="10"/>
      <c r="AB1133" s="10">
        <f t="shared" ca="1" si="66"/>
        <v>32.20699366029249</v>
      </c>
      <c r="AC1133" s="10">
        <f t="shared" ca="1" si="66"/>
        <v>31.940853417266183</v>
      </c>
    </row>
    <row r="1134" spans="1:29" ht="15" x14ac:dyDescent="0.2">
      <c r="A1134" s="11">
        <f t="shared" si="59"/>
        <v>2090</v>
      </c>
      <c r="B1134" s="10">
        <f t="shared" ca="1" si="63"/>
        <v>32.95944166666667</v>
      </c>
      <c r="C1134" s="10">
        <f t="shared" ca="1" si="63"/>
        <v>32.965583333333335</v>
      </c>
      <c r="D1134" s="10">
        <f t="shared" ca="1" si="63"/>
        <v>33.096883333333331</v>
      </c>
      <c r="E1134" s="10">
        <f t="shared" ca="1" si="63"/>
        <v>33.129008333333331</v>
      </c>
      <c r="F1134" s="10">
        <f t="shared" ca="1" si="63"/>
        <v>32.955649999999999</v>
      </c>
      <c r="G1134" s="10">
        <f t="shared" ca="1" si="63"/>
        <v>32.974224999999997</v>
      </c>
      <c r="H1134" s="10">
        <f t="shared" ca="1" si="63"/>
        <v>33.118116666666673</v>
      </c>
      <c r="I1134" s="10">
        <f t="shared" ca="1" si="63"/>
        <v>32.943249999999992</v>
      </c>
      <c r="J1134" s="10">
        <f t="shared" ca="1" si="63"/>
        <v>32.948650000000001</v>
      </c>
      <c r="K1134" s="10">
        <f t="shared" ca="1" si="63"/>
        <v>32.939366666666665</v>
      </c>
      <c r="L1134" s="10">
        <f t="shared" ca="1" si="64"/>
        <v>33.705116666666669</v>
      </c>
      <c r="M1134" s="10">
        <f t="shared" ca="1" si="64"/>
        <v>32.629983333333335</v>
      </c>
      <c r="N1134" s="10">
        <f t="shared" ca="1" si="64"/>
        <v>32.648333333333333</v>
      </c>
      <c r="O1134" s="10">
        <f t="shared" ca="1" si="64"/>
        <v>32.79770833333334</v>
      </c>
      <c r="P1134" s="10">
        <f t="shared" ca="1" si="64"/>
        <v>32.624675000000003</v>
      </c>
      <c r="Q1134" s="10">
        <f t="shared" ca="1" si="64"/>
        <v>33.393008333333334</v>
      </c>
      <c r="R1134" s="10">
        <f t="shared" ca="1" si="64"/>
        <v>34.063516666666665</v>
      </c>
      <c r="S1134" s="10">
        <f t="shared" ca="1" si="64"/>
        <v>32.003783333333331</v>
      </c>
      <c r="T1134" s="50">
        <f t="shared" ca="1" si="65"/>
        <v>357.24568100000005</v>
      </c>
      <c r="U1134" s="50">
        <f t="shared" ca="1" si="65"/>
        <v>142.03263249999998</v>
      </c>
      <c r="V1134" s="50">
        <f t="shared" ca="1" si="65"/>
        <v>50.187500000000007</v>
      </c>
      <c r="W1134" s="50">
        <f t="shared" ca="1" si="65"/>
        <v>5.0822234999999996</v>
      </c>
      <c r="X1134" s="50">
        <f t="shared" ca="1" si="65"/>
        <v>20.758966663999999</v>
      </c>
      <c r="Y1134" s="10"/>
      <c r="Z1134" s="10"/>
      <c r="AA1134" s="10"/>
      <c r="AB1134" s="10">
        <f t="shared" ca="1" si="66"/>
        <v>32.98024025238994</v>
      </c>
      <c r="AC1134" s="10">
        <f t="shared" ca="1" si="66"/>
        <v>32.706294904076742</v>
      </c>
    </row>
    <row r="1135" spans="1:29" ht="15" x14ac:dyDescent="0.2">
      <c r="A1135" s="11">
        <f t="shared" si="59"/>
        <v>2091</v>
      </c>
      <c r="B1135" s="10">
        <f t="shared" ca="1" si="63"/>
        <v>33.751266666666673</v>
      </c>
      <c r="C1135" s="10">
        <f t="shared" ca="1" si="63"/>
        <v>33.757416666666664</v>
      </c>
      <c r="D1135" s="10">
        <f t="shared" ca="1" si="63"/>
        <v>33.888716666666667</v>
      </c>
      <c r="E1135" s="10">
        <f t="shared" ca="1" si="63"/>
        <v>33.920833333333341</v>
      </c>
      <c r="F1135" s="10">
        <f t="shared" ca="1" si="63"/>
        <v>33.747491666666669</v>
      </c>
      <c r="G1135" s="10">
        <f t="shared" ca="1" si="63"/>
        <v>33.766033333333326</v>
      </c>
      <c r="H1135" s="10">
        <f t="shared" ca="1" si="63"/>
        <v>33.909950000000002</v>
      </c>
      <c r="I1135" s="10">
        <f t="shared" ca="1" si="63"/>
        <v>33.735091666666669</v>
      </c>
      <c r="J1135" s="10">
        <f t="shared" ca="1" si="63"/>
        <v>33.740491666666678</v>
      </c>
      <c r="K1135" s="10">
        <f t="shared" ca="1" si="63"/>
        <v>33.731191666666668</v>
      </c>
      <c r="L1135" s="10">
        <f t="shared" ca="1" si="64"/>
        <v>34.496949999999998</v>
      </c>
      <c r="M1135" s="10">
        <f t="shared" ca="1" si="64"/>
        <v>33.413808333333328</v>
      </c>
      <c r="N1135" s="10">
        <f t="shared" ca="1" si="64"/>
        <v>33.432174999999994</v>
      </c>
      <c r="O1135" s="10">
        <f t="shared" ca="1" si="64"/>
        <v>33.581558333333334</v>
      </c>
      <c r="P1135" s="10">
        <f t="shared" ca="1" si="64"/>
        <v>33.408500000000004</v>
      </c>
      <c r="Q1135" s="10">
        <f t="shared" ca="1" si="64"/>
        <v>34.176858333333335</v>
      </c>
      <c r="R1135" s="10">
        <f t="shared" ca="1" si="64"/>
        <v>34.849316666666667</v>
      </c>
      <c r="S1135" s="10">
        <f t="shared" ca="1" si="64"/>
        <v>32.772725000000001</v>
      </c>
      <c r="T1135" s="50">
        <f t="shared" ca="1" si="65"/>
        <v>357.24568100000005</v>
      </c>
      <c r="U1135" s="50">
        <f t="shared" ca="1" si="65"/>
        <v>142.03263249999998</v>
      </c>
      <c r="V1135" s="50">
        <f t="shared" ca="1" si="65"/>
        <v>50.187500000000007</v>
      </c>
      <c r="W1135" s="50">
        <f t="shared" ca="1" si="65"/>
        <v>5.0822234999999996</v>
      </c>
      <c r="X1135" s="50">
        <f t="shared" ca="1" si="65"/>
        <v>20.758966663999999</v>
      </c>
      <c r="Y1135" s="10"/>
      <c r="Z1135" s="10"/>
      <c r="AA1135" s="10"/>
      <c r="AB1135" s="10">
        <f t="shared" ca="1" si="66"/>
        <v>33.772071490043345</v>
      </c>
      <c r="AC1135" s="10">
        <f t="shared" ca="1" si="66"/>
        <v>33.490132194244602</v>
      </c>
    </row>
    <row r="1136" spans="1:29" ht="15" x14ac:dyDescent="0.2">
      <c r="A1136" s="11">
        <f t="shared" si="59"/>
        <v>2092</v>
      </c>
      <c r="B1136" s="10">
        <f t="shared" ref="B1136:K1144" ca="1" si="67">AVERAGE(OFFSET(B$589,($A1136-$A$1106)*12,0,12,1))</f>
        <v>34.562116666666668</v>
      </c>
      <c r="C1136" s="10">
        <f t="shared" ca="1" si="67"/>
        <v>34.568275000000007</v>
      </c>
      <c r="D1136" s="10">
        <f t="shared" ca="1" si="67"/>
        <v>34.69959166666667</v>
      </c>
      <c r="E1136" s="10">
        <f t="shared" ca="1" si="67"/>
        <v>34.731675000000003</v>
      </c>
      <c r="F1136" s="10">
        <f t="shared" ca="1" si="67"/>
        <v>34.558358333333338</v>
      </c>
      <c r="G1136" s="10">
        <f t="shared" ca="1" si="67"/>
        <v>34.576900000000002</v>
      </c>
      <c r="H1136" s="10">
        <f t="shared" ca="1" si="67"/>
        <v>34.720808333333331</v>
      </c>
      <c r="I1136" s="10">
        <f t="shared" ca="1" si="67"/>
        <v>34.545941666666671</v>
      </c>
      <c r="J1136" s="10">
        <f t="shared" ca="1" si="67"/>
        <v>34.551358333333333</v>
      </c>
      <c r="K1136" s="10">
        <f t="shared" ca="1" si="67"/>
        <v>34.542041666666663</v>
      </c>
      <c r="L1136" s="10">
        <f t="shared" ref="L1136:S1144" ca="1" si="68">AVERAGE(OFFSET(L$589,($A1136-$A$1106)*12,0,12,1))</f>
        <v>35.307808333333334</v>
      </c>
      <c r="M1136" s="10">
        <f t="shared" ca="1" si="68"/>
        <v>34.216491666666663</v>
      </c>
      <c r="N1136" s="10">
        <f t="shared" ca="1" si="68"/>
        <v>34.234850000000002</v>
      </c>
      <c r="O1136" s="10">
        <f t="shared" ca="1" si="68"/>
        <v>34.384233333333334</v>
      </c>
      <c r="P1136" s="10">
        <f t="shared" ca="1" si="68"/>
        <v>34.211183333333338</v>
      </c>
      <c r="Q1136" s="10">
        <f t="shared" ca="1" si="68"/>
        <v>34.979533333333336</v>
      </c>
      <c r="R1136" s="10">
        <f t="shared" ca="1" si="68"/>
        <v>35.653991666666663</v>
      </c>
      <c r="S1136" s="10">
        <f t="shared" ca="1" si="68"/>
        <v>33.560158333333327</v>
      </c>
      <c r="T1136" s="50">
        <f t="shared" ref="T1136:X1144" ca="1" si="69">SUM(OFFSET(T$589,($A1136-$A$1106)*12,0,12,1))</f>
        <v>358.17703550000004</v>
      </c>
      <c r="U1136" s="50">
        <f t="shared" ca="1" si="69"/>
        <v>142.42176299999997</v>
      </c>
      <c r="V1136" s="50">
        <f t="shared" ca="1" si="69"/>
        <v>50.325000000000003</v>
      </c>
      <c r="W1136" s="50">
        <f t="shared" ca="1" si="69"/>
        <v>5.0961473999999995</v>
      </c>
      <c r="X1136" s="50">
        <f t="shared" ca="1" si="69"/>
        <v>20.800615543999996</v>
      </c>
      <c r="Y1136" s="10"/>
      <c r="Z1136" s="10"/>
      <c r="AA1136" s="10"/>
      <c r="AB1136" s="10">
        <f t="shared" ca="1" si="66"/>
        <v>34.582931989875242</v>
      </c>
      <c r="AC1136" s="10">
        <f t="shared" ca="1" si="66"/>
        <v>34.292811270983208</v>
      </c>
    </row>
    <row r="1137" spans="1:29" ht="15" x14ac:dyDescent="0.2">
      <c r="A1137" s="11">
        <f t="shared" si="59"/>
        <v>2093</v>
      </c>
      <c r="B1137" s="10">
        <f t="shared" ca="1" si="67"/>
        <v>35.39245833333333</v>
      </c>
      <c r="C1137" s="10">
        <f t="shared" ca="1" si="67"/>
        <v>35.398616666666669</v>
      </c>
      <c r="D1137" s="10">
        <f t="shared" ca="1" si="67"/>
        <v>35.529924999999999</v>
      </c>
      <c r="E1137" s="10">
        <f t="shared" ca="1" si="67"/>
        <v>35.562016666666672</v>
      </c>
      <c r="F1137" s="10">
        <f t="shared" ca="1" si="67"/>
        <v>35.388683333333333</v>
      </c>
      <c r="G1137" s="10">
        <f t="shared" ca="1" si="67"/>
        <v>35.407224999999997</v>
      </c>
      <c r="H1137" s="10">
        <f t="shared" ca="1" si="67"/>
        <v>35.551141666666666</v>
      </c>
      <c r="I1137" s="10">
        <f t="shared" ca="1" si="67"/>
        <v>35.376283333333326</v>
      </c>
      <c r="J1137" s="10">
        <f t="shared" ca="1" si="67"/>
        <v>35.381683333333328</v>
      </c>
      <c r="K1137" s="10">
        <f t="shared" ca="1" si="67"/>
        <v>35.372391666666665</v>
      </c>
      <c r="L1137" s="10">
        <f t="shared" ca="1" si="68"/>
        <v>36.138141666666669</v>
      </c>
      <c r="M1137" s="10">
        <f t="shared" ca="1" si="68"/>
        <v>35.038450000000005</v>
      </c>
      <c r="N1137" s="10">
        <f t="shared" ca="1" si="68"/>
        <v>35.056808333333336</v>
      </c>
      <c r="O1137" s="10">
        <f t="shared" ca="1" si="68"/>
        <v>35.206191666666662</v>
      </c>
      <c r="P1137" s="10">
        <f t="shared" ca="1" si="68"/>
        <v>35.033133333333332</v>
      </c>
      <c r="Q1137" s="10">
        <f t="shared" ca="1" si="68"/>
        <v>35.801491666666671</v>
      </c>
      <c r="R1137" s="10">
        <f t="shared" ca="1" si="68"/>
        <v>36.477991666666661</v>
      </c>
      <c r="S1137" s="10">
        <f t="shared" ca="1" si="68"/>
        <v>34.366491666666668</v>
      </c>
      <c r="T1137" s="50">
        <f t="shared" ca="1" si="69"/>
        <v>357.24568100000005</v>
      </c>
      <c r="U1137" s="50">
        <f t="shared" ca="1" si="69"/>
        <v>142.03263249999998</v>
      </c>
      <c r="V1137" s="50">
        <f t="shared" ca="1" si="69"/>
        <v>50.187500000000007</v>
      </c>
      <c r="W1137" s="50">
        <f t="shared" ca="1" si="69"/>
        <v>5.0822234999999996</v>
      </c>
      <c r="X1137" s="50">
        <f t="shared" ca="1" si="69"/>
        <v>20.758966663999999</v>
      </c>
      <c r="Y1137" s="10"/>
      <c r="Z1137" s="10"/>
      <c r="AA1137" s="10"/>
      <c r="AB1137" s="10">
        <f t="shared" ca="1" si="66"/>
        <v>35.41326667734068</v>
      </c>
      <c r="AC1137" s="10">
        <f t="shared" ca="1" si="66"/>
        <v>35.114768405275782</v>
      </c>
    </row>
    <row r="1138" spans="1:29" ht="15" x14ac:dyDescent="0.2">
      <c r="A1138" s="11">
        <f t="shared" si="59"/>
        <v>2094</v>
      </c>
      <c r="B1138" s="10">
        <f t="shared" ca="1" si="67"/>
        <v>36.242741666666667</v>
      </c>
      <c r="C1138" s="10">
        <f t="shared" ca="1" si="67"/>
        <v>36.248891666666665</v>
      </c>
      <c r="D1138" s="10">
        <f t="shared" ca="1" si="67"/>
        <v>36.380208333333329</v>
      </c>
      <c r="E1138" s="10">
        <f t="shared" ca="1" si="67"/>
        <v>36.412308333333335</v>
      </c>
      <c r="F1138" s="10">
        <f t="shared" ca="1" si="67"/>
        <v>36.238958333333329</v>
      </c>
      <c r="G1138" s="10">
        <f t="shared" ca="1" si="67"/>
        <v>36.257525000000008</v>
      </c>
      <c r="H1138" s="10">
        <f t="shared" ca="1" si="67"/>
        <v>36.401424999999996</v>
      </c>
      <c r="I1138" s="10">
        <f t="shared" ca="1" si="67"/>
        <v>36.22658333333333</v>
      </c>
      <c r="J1138" s="10">
        <f t="shared" ca="1" si="67"/>
        <v>36.231958333333331</v>
      </c>
      <c r="K1138" s="10">
        <f t="shared" ca="1" si="67"/>
        <v>36.222683333333336</v>
      </c>
      <c r="L1138" s="10">
        <f t="shared" ca="1" si="68"/>
        <v>36.988424999999999</v>
      </c>
      <c r="M1138" s="10">
        <f t="shared" ca="1" si="68"/>
        <v>35.880158333333334</v>
      </c>
      <c r="N1138" s="10">
        <f t="shared" ca="1" si="68"/>
        <v>35.898524999999999</v>
      </c>
      <c r="O1138" s="10">
        <f t="shared" ca="1" si="68"/>
        <v>36.047899999999998</v>
      </c>
      <c r="P1138" s="10">
        <f t="shared" ca="1" si="68"/>
        <v>35.874841666666669</v>
      </c>
      <c r="Q1138" s="10">
        <f t="shared" ca="1" si="68"/>
        <v>36.643200000000007</v>
      </c>
      <c r="R1138" s="10">
        <f t="shared" ca="1" si="68"/>
        <v>37.32181666666667</v>
      </c>
      <c r="S1138" s="10">
        <f t="shared" ca="1" si="68"/>
        <v>35.192208333333333</v>
      </c>
      <c r="T1138" s="50">
        <f t="shared" ca="1" si="69"/>
        <v>357.24568100000005</v>
      </c>
      <c r="U1138" s="50">
        <f t="shared" ca="1" si="69"/>
        <v>142.03263249999998</v>
      </c>
      <c r="V1138" s="50">
        <f t="shared" ca="1" si="69"/>
        <v>50.187500000000007</v>
      </c>
      <c r="W1138" s="50">
        <f t="shared" ca="1" si="69"/>
        <v>5.0822234999999996</v>
      </c>
      <c r="X1138" s="50">
        <f t="shared" ca="1" si="69"/>
        <v>20.758966663999999</v>
      </c>
      <c r="Y1138" s="10"/>
      <c r="Z1138" s="10"/>
      <c r="AA1138" s="10"/>
      <c r="AB1138" s="10">
        <f t="shared" ca="1" si="66"/>
        <v>36.263549323668755</v>
      </c>
      <c r="AC1138" s="10">
        <f t="shared" ca="1" si="66"/>
        <v>35.956477218225423</v>
      </c>
    </row>
    <row r="1139" spans="1:29" ht="15" x14ac:dyDescent="0.2">
      <c r="A1139" s="11">
        <f t="shared" si="59"/>
        <v>2095</v>
      </c>
      <c r="B1139" s="10">
        <f t="shared" ca="1" si="67"/>
        <v>37.113441666666667</v>
      </c>
      <c r="C1139" s="10">
        <f t="shared" ca="1" si="67"/>
        <v>37.119641666666666</v>
      </c>
      <c r="D1139" s="10">
        <f t="shared" ca="1" si="67"/>
        <v>37.250949999999996</v>
      </c>
      <c r="E1139" s="10">
        <f t="shared" ca="1" si="67"/>
        <v>37.283033333333336</v>
      </c>
      <c r="F1139" s="10">
        <f t="shared" ca="1" si="67"/>
        <v>37.109716666666664</v>
      </c>
      <c r="G1139" s="10">
        <f t="shared" ca="1" si="67"/>
        <v>37.128258333333328</v>
      </c>
      <c r="H1139" s="10">
        <f t="shared" ca="1" si="67"/>
        <v>37.272158333333344</v>
      </c>
      <c r="I1139" s="10">
        <f t="shared" ca="1" si="67"/>
        <v>37.097291666666663</v>
      </c>
      <c r="J1139" s="10">
        <f t="shared" ca="1" si="67"/>
        <v>37.102716666666666</v>
      </c>
      <c r="K1139" s="10">
        <f t="shared" ca="1" si="67"/>
        <v>37.093391666666669</v>
      </c>
      <c r="L1139" s="10">
        <f t="shared" ca="1" si="68"/>
        <v>37.859158333333333</v>
      </c>
      <c r="M1139" s="10">
        <f t="shared" ca="1" si="68"/>
        <v>36.742091666666674</v>
      </c>
      <c r="N1139" s="10">
        <f t="shared" ca="1" si="68"/>
        <v>36.760449999999992</v>
      </c>
      <c r="O1139" s="10">
        <f t="shared" ca="1" si="68"/>
        <v>36.909825000000005</v>
      </c>
      <c r="P1139" s="10">
        <f t="shared" ca="1" si="68"/>
        <v>36.736766666666668</v>
      </c>
      <c r="Q1139" s="10">
        <f t="shared" ca="1" si="68"/>
        <v>37.505125</v>
      </c>
      <c r="R1139" s="10">
        <f t="shared" ca="1" si="68"/>
        <v>38.185899999999997</v>
      </c>
      <c r="S1139" s="10">
        <f t="shared" ca="1" si="68"/>
        <v>36.037775000000003</v>
      </c>
      <c r="T1139" s="50">
        <f t="shared" ca="1" si="69"/>
        <v>357.24568100000005</v>
      </c>
      <c r="U1139" s="50">
        <f t="shared" ca="1" si="69"/>
        <v>142.03263249999998</v>
      </c>
      <c r="V1139" s="50">
        <f t="shared" ca="1" si="69"/>
        <v>50.187500000000007</v>
      </c>
      <c r="W1139" s="50">
        <f t="shared" ca="1" si="69"/>
        <v>5.0822234999999996</v>
      </c>
      <c r="X1139" s="50">
        <f t="shared" ca="1" si="69"/>
        <v>20.758966663999999</v>
      </c>
      <c r="Y1139" s="10"/>
      <c r="Z1139" s="10"/>
      <c r="AA1139" s="10"/>
      <c r="AB1139" s="10">
        <f t="shared" ca="1" si="66"/>
        <v>37.134288242468962</v>
      </c>
      <c r="AC1139" s="10">
        <f t="shared" ca="1" si="66"/>
        <v>36.818405095923261</v>
      </c>
    </row>
    <row r="1140" spans="1:29" ht="15" x14ac:dyDescent="0.2">
      <c r="A1140" s="11">
        <f t="shared" si="59"/>
        <v>2096</v>
      </c>
      <c r="B1140" s="10">
        <f t="shared" ca="1" si="67"/>
        <v>38.005108333333332</v>
      </c>
      <c r="C1140" s="10">
        <f t="shared" ca="1" si="67"/>
        <v>38.011266666666664</v>
      </c>
      <c r="D1140" s="10">
        <f t="shared" ca="1" si="67"/>
        <v>38.142583333333327</v>
      </c>
      <c r="E1140" s="10">
        <f t="shared" ca="1" si="67"/>
        <v>38.174683333333327</v>
      </c>
      <c r="F1140" s="10">
        <f t="shared" ca="1" si="67"/>
        <v>38.001333333333328</v>
      </c>
      <c r="G1140" s="10">
        <f t="shared" ca="1" si="67"/>
        <v>38.019883333333333</v>
      </c>
      <c r="H1140" s="10">
        <f t="shared" ca="1" si="67"/>
        <v>38.163791666666668</v>
      </c>
      <c r="I1140" s="10">
        <f t="shared" ca="1" si="67"/>
        <v>37.988933333333335</v>
      </c>
      <c r="J1140" s="10">
        <f t="shared" ca="1" si="67"/>
        <v>37.99433333333333</v>
      </c>
      <c r="K1140" s="10">
        <f t="shared" ca="1" si="67"/>
        <v>37.985033333333341</v>
      </c>
      <c r="L1140" s="10">
        <f t="shared" ca="1" si="68"/>
        <v>38.750791666666665</v>
      </c>
      <c r="M1140" s="10">
        <f t="shared" ca="1" si="68"/>
        <v>37.624741666666665</v>
      </c>
      <c r="N1140" s="10">
        <f t="shared" ca="1" si="68"/>
        <v>37.643108333333331</v>
      </c>
      <c r="O1140" s="10">
        <f t="shared" ca="1" si="68"/>
        <v>37.792491666666663</v>
      </c>
      <c r="P1140" s="10">
        <f t="shared" ca="1" si="68"/>
        <v>37.619433333333333</v>
      </c>
      <c r="Q1140" s="10">
        <f t="shared" ca="1" si="68"/>
        <v>38.387791666666665</v>
      </c>
      <c r="R1140" s="10">
        <f t="shared" ca="1" si="68"/>
        <v>39.070758333333337</v>
      </c>
      <c r="S1140" s="10">
        <f t="shared" ca="1" si="68"/>
        <v>36.903641666666665</v>
      </c>
      <c r="T1140" s="50">
        <f t="shared" ca="1" si="69"/>
        <v>358.17703550000004</v>
      </c>
      <c r="U1140" s="50">
        <f t="shared" ca="1" si="69"/>
        <v>142.42176299999997</v>
      </c>
      <c r="V1140" s="50">
        <f t="shared" ca="1" si="69"/>
        <v>50.325000000000003</v>
      </c>
      <c r="W1140" s="50">
        <f t="shared" ca="1" si="69"/>
        <v>5.0961473999999995</v>
      </c>
      <c r="X1140" s="50">
        <f t="shared" ca="1" si="69"/>
        <v>20.800615543999996</v>
      </c>
      <c r="Y1140" s="10"/>
      <c r="Z1140" s="10"/>
      <c r="AA1140" s="10"/>
      <c r="AB1140" s="10">
        <f t="shared" ca="1" si="66"/>
        <v>38.025919190871839</v>
      </c>
      <c r="AC1140" s="10">
        <f t="shared" ca="1" si="66"/>
        <v>37.701065527577931</v>
      </c>
    </row>
    <row r="1141" spans="1:29" ht="15" x14ac:dyDescent="0.2">
      <c r="A1141" s="11">
        <f t="shared" si="59"/>
        <v>2097</v>
      </c>
      <c r="B1141" s="10">
        <f t="shared" ca="1" si="67"/>
        <v>38.918166666666671</v>
      </c>
      <c r="C1141" s="10">
        <f t="shared" ca="1" si="67"/>
        <v>38.92434166666667</v>
      </c>
      <c r="D1141" s="10">
        <f t="shared" ca="1" si="67"/>
        <v>39.05565</v>
      </c>
      <c r="E1141" s="10">
        <f t="shared" ca="1" si="67"/>
        <v>39.087758333333333</v>
      </c>
      <c r="F1141" s="10">
        <f t="shared" ca="1" si="67"/>
        <v>38.914408333333334</v>
      </c>
      <c r="G1141" s="10">
        <f t="shared" ca="1" si="67"/>
        <v>38.932958333333325</v>
      </c>
      <c r="H1141" s="10">
        <f t="shared" ca="1" si="67"/>
        <v>39.07685</v>
      </c>
      <c r="I1141" s="10">
        <f t="shared" ca="1" si="67"/>
        <v>38.901999999999994</v>
      </c>
      <c r="J1141" s="10">
        <f t="shared" ca="1" si="67"/>
        <v>38.907408333333329</v>
      </c>
      <c r="K1141" s="10">
        <f t="shared" ca="1" si="67"/>
        <v>38.898099999999999</v>
      </c>
      <c r="L1141" s="10">
        <f t="shared" ca="1" si="68"/>
        <v>39.663849999999996</v>
      </c>
      <c r="M1141" s="10">
        <f t="shared" ca="1" si="68"/>
        <v>38.528591666666664</v>
      </c>
      <c r="N1141" s="10">
        <f t="shared" ca="1" si="68"/>
        <v>38.546941666666669</v>
      </c>
      <c r="O1141" s="10">
        <f t="shared" ca="1" si="68"/>
        <v>38.696325000000002</v>
      </c>
      <c r="P1141" s="10">
        <f t="shared" ca="1" si="68"/>
        <v>38.523258333333338</v>
      </c>
      <c r="Q1141" s="10">
        <f t="shared" ca="1" si="68"/>
        <v>39.291625000000003</v>
      </c>
      <c r="R1141" s="10">
        <f t="shared" ca="1" si="68"/>
        <v>39.976858333333332</v>
      </c>
      <c r="S1141" s="10">
        <f t="shared" ca="1" si="68"/>
        <v>37.790325000000003</v>
      </c>
      <c r="T1141" s="50">
        <f t="shared" ca="1" si="69"/>
        <v>357.24568100000005</v>
      </c>
      <c r="U1141" s="50">
        <f t="shared" ca="1" si="69"/>
        <v>142.03263249999998</v>
      </c>
      <c r="V1141" s="50">
        <f t="shared" ca="1" si="69"/>
        <v>50.187500000000007</v>
      </c>
      <c r="W1141" s="50">
        <f t="shared" ca="1" si="69"/>
        <v>5.0822234999999996</v>
      </c>
      <c r="X1141" s="50">
        <f t="shared" ca="1" si="69"/>
        <v>20.758966663999999</v>
      </c>
      <c r="Y1141" s="10"/>
      <c r="Z1141" s="10"/>
      <c r="AA1141" s="10"/>
      <c r="AB1141" s="10">
        <f t="shared" ca="1" si="66"/>
        <v>38.938991029502283</v>
      </c>
      <c r="AC1141" s="10">
        <f t="shared" ca="1" si="66"/>
        <v>38.604903417266179</v>
      </c>
    </row>
    <row r="1142" spans="1:29" ht="15" x14ac:dyDescent="0.2">
      <c r="A1142" s="11">
        <f t="shared" si="59"/>
        <v>2098</v>
      </c>
      <c r="B1142" s="10">
        <f t="shared" ca="1" si="67"/>
        <v>39.853175</v>
      </c>
      <c r="C1142" s="10">
        <f t="shared" ca="1" si="67"/>
        <v>39.859349999999999</v>
      </c>
      <c r="D1142" s="10">
        <f t="shared" ca="1" si="67"/>
        <v>39.990650000000002</v>
      </c>
      <c r="E1142" s="10">
        <f t="shared" ca="1" si="67"/>
        <v>40.022741666666661</v>
      </c>
      <c r="F1142" s="10">
        <f t="shared" ca="1" si="67"/>
        <v>39.849408333333336</v>
      </c>
      <c r="G1142" s="10">
        <f t="shared" ca="1" si="67"/>
        <v>39.86795</v>
      </c>
      <c r="H1142" s="10">
        <f t="shared" ca="1" si="67"/>
        <v>40.011858333333329</v>
      </c>
      <c r="I1142" s="10">
        <f t="shared" ca="1" si="67"/>
        <v>39.837016666666671</v>
      </c>
      <c r="J1142" s="10">
        <f t="shared" ca="1" si="67"/>
        <v>39.842408333333331</v>
      </c>
      <c r="K1142" s="10">
        <f t="shared" ca="1" si="67"/>
        <v>39.833124999999988</v>
      </c>
      <c r="L1142" s="10">
        <f t="shared" ca="1" si="68"/>
        <v>40.598858333333339</v>
      </c>
      <c r="M1142" s="10">
        <f t="shared" ca="1" si="68"/>
        <v>39.454158333333332</v>
      </c>
      <c r="N1142" s="10">
        <f t="shared" ca="1" si="68"/>
        <v>39.472516666666664</v>
      </c>
      <c r="O1142" s="10">
        <f t="shared" ca="1" si="68"/>
        <v>39.621899999999997</v>
      </c>
      <c r="P1142" s="10">
        <f t="shared" ca="1" si="68"/>
        <v>39.44885</v>
      </c>
      <c r="Q1142" s="10">
        <f t="shared" ca="1" si="68"/>
        <v>40.217199999999998</v>
      </c>
      <c r="R1142" s="10">
        <f t="shared" ca="1" si="68"/>
        <v>40.904758333333341</v>
      </c>
      <c r="S1142" s="10">
        <f t="shared" ca="1" si="68"/>
        <v>38.698299999999996</v>
      </c>
      <c r="T1142" s="50">
        <f t="shared" ca="1" si="69"/>
        <v>357.24568100000005</v>
      </c>
      <c r="U1142" s="50">
        <f t="shared" ca="1" si="69"/>
        <v>142.03263249999998</v>
      </c>
      <c r="V1142" s="50">
        <f t="shared" ca="1" si="69"/>
        <v>50.187500000000007</v>
      </c>
      <c r="W1142" s="50">
        <f t="shared" ca="1" si="69"/>
        <v>5.0822234999999996</v>
      </c>
      <c r="X1142" s="50">
        <f t="shared" ca="1" si="69"/>
        <v>20.758966663999999</v>
      </c>
      <c r="Y1142" s="10"/>
      <c r="Z1142" s="10"/>
      <c r="AA1142" s="10"/>
      <c r="AB1142" s="10">
        <f t="shared" ca="1" si="66"/>
        <v>39.873992945902934</v>
      </c>
      <c r="AC1142" s="10">
        <f t="shared" ca="1" si="66"/>
        <v>39.530477937649884</v>
      </c>
    </row>
    <row r="1143" spans="1:29" ht="15" x14ac:dyDescent="0.2">
      <c r="A1143" s="11">
        <f t="shared" si="59"/>
        <v>2099</v>
      </c>
      <c r="B1143" s="10">
        <f t="shared" ca="1" si="67"/>
        <v>40.810650000000003</v>
      </c>
      <c r="C1143" s="10">
        <f t="shared" ca="1" si="67"/>
        <v>40.816808333333334</v>
      </c>
      <c r="D1143" s="10">
        <f t="shared" ca="1" si="67"/>
        <v>40.948125000000005</v>
      </c>
      <c r="E1143" s="10">
        <f t="shared" ca="1" si="67"/>
        <v>40.98020833333333</v>
      </c>
      <c r="F1143" s="10">
        <f t="shared" ca="1" si="67"/>
        <v>40.806866666666672</v>
      </c>
      <c r="G1143" s="10">
        <f t="shared" ca="1" si="67"/>
        <v>40.825416666666662</v>
      </c>
      <c r="H1143" s="10">
        <f t="shared" ca="1" si="67"/>
        <v>40.969341666666665</v>
      </c>
      <c r="I1143" s="10">
        <f t="shared" ca="1" si="67"/>
        <v>40.794474999999998</v>
      </c>
      <c r="J1143" s="10">
        <f t="shared" ca="1" si="67"/>
        <v>40.799866666666667</v>
      </c>
      <c r="K1143" s="10">
        <f t="shared" ca="1" si="67"/>
        <v>40.790575000000004</v>
      </c>
      <c r="L1143" s="10">
        <f t="shared" ca="1" si="68"/>
        <v>41.556341666666668</v>
      </c>
      <c r="M1143" s="10">
        <f t="shared" ca="1" si="68"/>
        <v>40.401958333333333</v>
      </c>
      <c r="N1143" s="10">
        <f t="shared" ca="1" si="68"/>
        <v>40.420325000000005</v>
      </c>
      <c r="O1143" s="10">
        <f t="shared" ca="1" si="68"/>
        <v>40.569708333333331</v>
      </c>
      <c r="P1143" s="10">
        <f t="shared" ca="1" si="68"/>
        <v>40.396649999999994</v>
      </c>
      <c r="Q1143" s="10">
        <f t="shared" ca="1" si="68"/>
        <v>41.165008333333333</v>
      </c>
      <c r="R1143" s="10">
        <f t="shared" ca="1" si="68"/>
        <v>41.854908333333334</v>
      </c>
      <c r="S1143" s="10">
        <f t="shared" ca="1" si="68"/>
        <v>39.628100000000003</v>
      </c>
      <c r="T1143" s="50">
        <f t="shared" ca="1" si="69"/>
        <v>357.24568100000005</v>
      </c>
      <c r="U1143" s="50">
        <f t="shared" ca="1" si="69"/>
        <v>142.03263249999998</v>
      </c>
      <c r="V1143" s="50">
        <f t="shared" ca="1" si="69"/>
        <v>50.187500000000007</v>
      </c>
      <c r="W1143" s="50">
        <f t="shared" ca="1" si="69"/>
        <v>5.0822234999999996</v>
      </c>
      <c r="X1143" s="50">
        <f t="shared" ca="1" si="69"/>
        <v>20.758966663999999</v>
      </c>
      <c r="Y1143" s="10"/>
      <c r="Z1143" s="10"/>
      <c r="AA1143" s="10"/>
      <c r="AB1143" s="10">
        <f t="shared" ca="1" si="66"/>
        <v>40.831456214272343</v>
      </c>
      <c r="AC1143" s="10">
        <f t="shared" ca="1" si="66"/>
        <v>40.478282194244606</v>
      </c>
    </row>
    <row r="1144" spans="1:29" ht="15" x14ac:dyDescent="0.2">
      <c r="A1144" s="11">
        <f t="shared" si="59"/>
        <v>2100</v>
      </c>
      <c r="B1144" s="10">
        <f t="shared" ca="1" si="67"/>
        <v>41.791133333333327</v>
      </c>
      <c r="C1144" s="10">
        <f t="shared" ca="1" si="67"/>
        <v>41.797266666666665</v>
      </c>
      <c r="D1144" s="10">
        <f t="shared" ca="1" si="67"/>
        <v>41.928600000000003</v>
      </c>
      <c r="E1144" s="10">
        <f t="shared" ca="1" si="67"/>
        <v>41.960691666666662</v>
      </c>
      <c r="F1144" s="10">
        <f t="shared" ca="1" si="67"/>
        <v>41.787358333333323</v>
      </c>
      <c r="G1144" s="10">
        <f t="shared" ca="1" si="67"/>
        <v>41.805916666666668</v>
      </c>
      <c r="H1144" s="10">
        <f t="shared" ca="1" si="67"/>
        <v>41.94980833333333</v>
      </c>
      <c r="I1144" s="10">
        <f t="shared" ca="1" si="67"/>
        <v>41.774950000000004</v>
      </c>
      <c r="J1144" s="10">
        <f t="shared" ca="1" si="67"/>
        <v>41.780358333333339</v>
      </c>
      <c r="K1144" s="10">
        <f t="shared" ca="1" si="67"/>
        <v>41.771058333333336</v>
      </c>
      <c r="L1144" s="10">
        <f t="shared" ca="1" si="68"/>
        <v>42.536808333333333</v>
      </c>
      <c r="M1144" s="10">
        <f t="shared" ca="1" si="68"/>
        <v>41.372541666666663</v>
      </c>
      <c r="N1144" s="10">
        <f t="shared" ca="1" si="68"/>
        <v>41.390916666666676</v>
      </c>
      <c r="O1144" s="10">
        <f t="shared" ca="1" si="68"/>
        <v>41.540291666666668</v>
      </c>
      <c r="P1144" s="10">
        <f t="shared" ca="1" si="68"/>
        <v>41.367241666666665</v>
      </c>
      <c r="Q1144" s="10">
        <f t="shared" ca="1" si="68"/>
        <v>42.13559166666667</v>
      </c>
      <c r="R1144" s="10">
        <f t="shared" ca="1" si="68"/>
        <v>42.827933333333334</v>
      </c>
      <c r="S1144" s="10">
        <f t="shared" ca="1" si="68"/>
        <v>40.580233333333332</v>
      </c>
      <c r="T1144" s="50">
        <f t="shared" ca="1" si="69"/>
        <v>358.17703550000004</v>
      </c>
      <c r="U1144" s="50">
        <f t="shared" ca="1" si="69"/>
        <v>142.42176299999997</v>
      </c>
      <c r="V1144" s="50">
        <f t="shared" ca="1" si="69"/>
        <v>50.325000000000003</v>
      </c>
      <c r="W1144" s="50">
        <f t="shared" ca="1" si="69"/>
        <v>5.0961473999999995</v>
      </c>
      <c r="X1144" s="50">
        <f t="shared" ca="1" si="69"/>
        <v>20.758966663999999</v>
      </c>
      <c r="Y1144" s="10"/>
      <c r="Z1144" s="10"/>
      <c r="AA1144" s="10"/>
      <c r="AB1144" s="10">
        <f t="shared" ca="1" si="66"/>
        <v>41.811937378534999</v>
      </c>
      <c r="AC1144" s="10">
        <f t="shared" ca="1" si="66"/>
        <v>41.448867206235008</v>
      </c>
    </row>
    <row r="1145" spans="1:29" ht="15" x14ac:dyDescent="0.2">
      <c r="A1145" s="11"/>
    </row>
    <row r="1146" spans="1:29" ht="15" x14ac:dyDescent="0.2">
      <c r="A1146" s="11"/>
    </row>
    <row r="1147" spans="1:29" ht="15" x14ac:dyDescent="0.2">
      <c r="A1147" s="11"/>
    </row>
    <row r="1148" spans="1:29" ht="15" x14ac:dyDescent="0.2">
      <c r="A1148" s="11"/>
    </row>
    <row r="1149" spans="1:29" ht="15" x14ac:dyDescent="0.2">
      <c r="A1149" s="11"/>
    </row>
    <row r="1150" spans="1:29" ht="15" x14ac:dyDescent="0.2">
      <c r="A1150" s="11"/>
    </row>
    <row r="1151" spans="1:29" ht="15" x14ac:dyDescent="0.2">
      <c r="A1151" s="11"/>
    </row>
    <row r="1152" spans="1:29" ht="15" x14ac:dyDescent="0.2">
      <c r="A1152" s="11"/>
    </row>
    <row r="1153" spans="1:1" ht="15" x14ac:dyDescent="0.2">
      <c r="A1153" s="11"/>
    </row>
    <row r="1154" spans="1:1" ht="15" x14ac:dyDescent="0.2">
      <c r="A1154" s="11"/>
    </row>
    <row r="1155" spans="1:1" ht="15" x14ac:dyDescent="0.2">
      <c r="A1155" s="11"/>
    </row>
    <row r="1156" spans="1:1" ht="15" x14ac:dyDescent="0.2">
      <c r="A1156" s="11"/>
    </row>
    <row r="1157" spans="1:1" ht="15" x14ac:dyDescent="0.2">
      <c r="A1157" s="11"/>
    </row>
    <row r="1158" spans="1:1" ht="15" x14ac:dyDescent="0.2">
      <c r="A1158" s="11"/>
    </row>
    <row r="1159" spans="1:1" ht="15" x14ac:dyDescent="0.2">
      <c r="A1159" s="11"/>
    </row>
  </sheetData>
  <mergeCells count="4">
    <mergeCell ref="Z9:AA9"/>
    <mergeCell ref="T9:Y9"/>
    <mergeCell ref="T10:Y10"/>
    <mergeCell ref="T8:Y8"/>
  </mergeCells>
  <pageMargins left="0.25" right="0.25" top="0.5" bottom="0.5" header="0.25" footer="0.25"/>
  <pageSetup paperSize="17" scale="35" orientation="landscape" r:id="rId1"/>
  <headerFooter alignWithMargins="0">
    <oddFooter>&amp;R&amp;A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Drop Down 1">
              <controlPr locked="0" defaultSize="0" autoLine="0" autoPict="0">
                <anchor moveWithCells="1">
                  <from>
                    <xdr:col>7</xdr:col>
                    <xdr:colOff>285750</xdr:colOff>
                    <xdr:row>7</xdr:row>
                    <xdr:rowOff>28575</xdr:rowOff>
                  </from>
                  <to>
                    <xdr:col>8</xdr:col>
                    <xdr:colOff>552450</xdr:colOff>
                    <xdr:row>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Drop Down 2">
              <controlPr locked="0" defaultSize="0" autoLine="0" autoPict="0">
                <anchor moveWithCells="1">
                  <from>
                    <xdr:col>11</xdr:col>
                    <xdr:colOff>0</xdr:colOff>
                    <xdr:row>7</xdr:row>
                    <xdr:rowOff>133350</xdr:rowOff>
                  </from>
                  <to>
                    <xdr:col>12</xdr:col>
                    <xdr:colOff>266700</xdr:colOff>
                    <xdr:row>9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D1163"/>
  <sheetViews>
    <sheetView zoomScale="70" zoomScaleNormal="70" workbookViewId="0">
      <pane xSplit="1" ySplit="11" topLeftCell="B12" activePane="bottomRight" state="frozen"/>
      <selection activeCell="A12" sqref="A11:A12"/>
      <selection pane="topRight" activeCell="A12" sqref="A11:A12"/>
      <selection pane="bottomLeft" activeCell="A12" sqref="A11:A12"/>
      <selection pane="bottomRight" activeCell="B12" sqref="B12"/>
    </sheetView>
  </sheetViews>
  <sheetFormatPr defaultColWidth="7.109375" defaultRowHeight="12.75" x14ac:dyDescent="0.2"/>
  <cols>
    <col min="1" max="1" width="19.21875" style="9" customWidth="1"/>
    <col min="2" max="2" width="7.88671875" style="9" customWidth="1"/>
    <col min="3" max="14" width="13" style="8" customWidth="1"/>
    <col min="15" max="19" width="20.6640625" style="8" customWidth="1"/>
    <col min="20" max="20" width="15.44140625" style="8" customWidth="1"/>
    <col min="21" max="21" width="7.77734375" style="8" customWidth="1"/>
    <col min="22" max="16384" width="7.109375" style="8"/>
  </cols>
  <sheetData>
    <row r="1" spans="1:30" ht="15.75" x14ac:dyDescent="0.25">
      <c r="A1" s="101" t="s">
        <v>91</v>
      </c>
    </row>
    <row r="2" spans="1:30" ht="15.75" x14ac:dyDescent="0.25">
      <c r="A2" s="101" t="s">
        <v>92</v>
      </c>
    </row>
    <row r="3" spans="1:30" ht="15.75" x14ac:dyDescent="0.25">
      <c r="A3" s="101" t="s">
        <v>93</v>
      </c>
    </row>
    <row r="4" spans="1:30" ht="15.75" x14ac:dyDescent="0.25">
      <c r="A4" s="101" t="s">
        <v>94</v>
      </c>
    </row>
    <row r="5" spans="1:30" ht="15.75" x14ac:dyDescent="0.25">
      <c r="A5" s="101" t="s">
        <v>96</v>
      </c>
    </row>
    <row r="6" spans="1:30" ht="15.75" x14ac:dyDescent="0.25">
      <c r="A6" s="101" t="s">
        <v>101</v>
      </c>
    </row>
    <row r="8" spans="1:30" ht="15.75" x14ac:dyDescent="0.25">
      <c r="A8" s="25" t="s">
        <v>28</v>
      </c>
      <c r="B8" s="25"/>
      <c r="C8" s="99"/>
      <c r="O8" s="72"/>
      <c r="P8" s="72"/>
      <c r="Q8" s="72"/>
      <c r="R8" s="72"/>
      <c r="S8" s="72"/>
    </row>
    <row r="9" spans="1:30" ht="15.75" x14ac:dyDescent="0.25">
      <c r="A9" s="25"/>
      <c r="C9" s="110" t="s">
        <v>90</v>
      </c>
      <c r="D9" s="110"/>
      <c r="E9" s="110"/>
      <c r="F9" s="110"/>
      <c r="G9" s="98"/>
      <c r="H9" s="98"/>
      <c r="I9" s="115" t="s">
        <v>89</v>
      </c>
      <c r="J9" s="116"/>
      <c r="K9" s="116"/>
      <c r="L9" s="97"/>
      <c r="M9" s="74"/>
      <c r="N9" s="96"/>
      <c r="O9" s="114"/>
      <c r="P9" s="114"/>
      <c r="Q9" s="114"/>
      <c r="R9" s="95"/>
      <c r="S9" s="95"/>
    </row>
    <row r="10" spans="1:30" ht="97.9" customHeight="1" x14ac:dyDescent="0.25">
      <c r="A10" s="94"/>
      <c r="B10" s="94"/>
      <c r="C10" s="67" t="s">
        <v>76</v>
      </c>
      <c r="D10" s="71" t="s">
        <v>75</v>
      </c>
      <c r="E10" s="67" t="s">
        <v>74</v>
      </c>
      <c r="F10" s="67" t="s">
        <v>73</v>
      </c>
      <c r="G10" s="71" t="s">
        <v>72</v>
      </c>
      <c r="H10" s="71" t="s">
        <v>71</v>
      </c>
      <c r="I10" s="71" t="s">
        <v>70</v>
      </c>
      <c r="J10" s="71" t="s">
        <v>69</v>
      </c>
      <c r="K10" s="71" t="s">
        <v>68</v>
      </c>
      <c r="L10" s="67" t="s">
        <v>88</v>
      </c>
      <c r="M10" s="68" t="s">
        <v>67</v>
      </c>
      <c r="N10" s="19" t="s">
        <v>66</v>
      </c>
      <c r="O10" s="70" t="s">
        <v>87</v>
      </c>
      <c r="P10" s="70" t="s">
        <v>86</v>
      </c>
      <c r="Q10" s="70" t="s">
        <v>85</v>
      </c>
      <c r="R10" s="70" t="s">
        <v>84</v>
      </c>
      <c r="S10" s="93" t="s">
        <v>83</v>
      </c>
      <c r="T10" s="21" t="s">
        <v>82</v>
      </c>
    </row>
    <row r="11" spans="1:30" ht="15.75" x14ac:dyDescent="0.25">
      <c r="A11" s="20" t="s">
        <v>15</v>
      </c>
      <c r="B11" s="20" t="s">
        <v>81</v>
      </c>
      <c r="C11" s="20" t="s">
        <v>80</v>
      </c>
      <c r="D11" s="20" t="s">
        <v>80</v>
      </c>
      <c r="E11" s="20" t="s">
        <v>80</v>
      </c>
      <c r="F11" s="20" t="s">
        <v>80</v>
      </c>
      <c r="G11" s="20" t="s">
        <v>80</v>
      </c>
      <c r="H11" s="20" t="s">
        <v>80</v>
      </c>
      <c r="I11" s="20" t="s">
        <v>80</v>
      </c>
      <c r="J11" s="20" t="s">
        <v>80</v>
      </c>
      <c r="K11" s="20" t="s">
        <v>80</v>
      </c>
      <c r="L11" s="20" t="s">
        <v>80</v>
      </c>
      <c r="M11" s="92" t="s">
        <v>80</v>
      </c>
      <c r="N11" s="20" t="s">
        <v>80</v>
      </c>
      <c r="O11" s="20" t="s">
        <v>80</v>
      </c>
      <c r="P11" s="20" t="s">
        <v>80</v>
      </c>
      <c r="Q11" s="20" t="s">
        <v>80</v>
      </c>
      <c r="R11" s="20" t="s">
        <v>80</v>
      </c>
      <c r="S11" s="20" t="s">
        <v>80</v>
      </c>
      <c r="T11" s="20" t="s">
        <v>80</v>
      </c>
    </row>
    <row r="12" spans="1:30" ht="15.75" x14ac:dyDescent="0.25">
      <c r="A12" s="16">
        <v>41640</v>
      </c>
      <c r="B12" s="90">
        <v>31</v>
      </c>
      <c r="C12" s="77">
        <v>122.58</v>
      </c>
      <c r="D12" s="77">
        <v>297.94099999999997</v>
      </c>
      <c r="E12" s="85">
        <v>89.177000000000007</v>
      </c>
      <c r="F12" s="77">
        <v>200.30199999999999</v>
      </c>
      <c r="G12" s="80">
        <v>40</v>
      </c>
      <c r="H12" s="77">
        <v>0</v>
      </c>
      <c r="I12" s="77">
        <v>0</v>
      </c>
      <c r="J12" s="80">
        <v>100</v>
      </c>
      <c r="K12" s="80">
        <v>300</v>
      </c>
      <c r="L12" s="77">
        <v>1150</v>
      </c>
      <c r="M12" s="87"/>
      <c r="N12" s="77">
        <v>100</v>
      </c>
      <c r="O12" s="80">
        <v>240</v>
      </c>
      <c r="P12" s="80">
        <v>0</v>
      </c>
      <c r="Q12" s="80">
        <v>355</v>
      </c>
      <c r="R12" s="80">
        <v>100</v>
      </c>
      <c r="S12" s="77">
        <v>695</v>
      </c>
      <c r="T12" s="77">
        <v>50</v>
      </c>
      <c r="U12" s="78"/>
      <c r="V12" s="78"/>
      <c r="W12" s="78"/>
      <c r="X12" s="78"/>
      <c r="Y12" s="78"/>
      <c r="Z12" s="78"/>
      <c r="AA12" s="78"/>
      <c r="AB12" s="78"/>
      <c r="AC12" s="78"/>
      <c r="AD12" s="78"/>
    </row>
    <row r="13" spans="1:30" ht="15.75" x14ac:dyDescent="0.25">
      <c r="A13" s="16">
        <v>41671</v>
      </c>
      <c r="B13" s="90">
        <v>30</v>
      </c>
      <c r="C13" s="77">
        <v>122.58</v>
      </c>
      <c r="D13" s="77">
        <v>297.94099999999997</v>
      </c>
      <c r="E13" s="85">
        <v>89.177000000000007</v>
      </c>
      <c r="F13" s="77">
        <v>200.30199999999999</v>
      </c>
      <c r="G13" s="80">
        <v>40</v>
      </c>
      <c r="H13" s="77">
        <v>0</v>
      </c>
      <c r="I13" s="77">
        <v>0</v>
      </c>
      <c r="J13" s="80">
        <v>100</v>
      </c>
      <c r="K13" s="80">
        <v>300</v>
      </c>
      <c r="L13" s="77">
        <v>1150</v>
      </c>
      <c r="M13" s="87"/>
      <c r="N13" s="77">
        <v>100</v>
      </c>
      <c r="O13" s="80">
        <v>240</v>
      </c>
      <c r="P13" s="80">
        <v>0</v>
      </c>
      <c r="Q13" s="80">
        <v>355</v>
      </c>
      <c r="R13" s="80">
        <v>100</v>
      </c>
      <c r="S13" s="77">
        <v>695</v>
      </c>
      <c r="T13" s="77">
        <v>50</v>
      </c>
      <c r="U13" s="78"/>
      <c r="V13" s="78"/>
      <c r="W13" s="78"/>
      <c r="X13" s="78"/>
      <c r="Y13" s="78"/>
      <c r="Z13" s="78"/>
      <c r="AA13" s="78"/>
      <c r="AB13" s="78"/>
      <c r="AC13" s="78"/>
      <c r="AD13" s="78"/>
    </row>
    <row r="14" spans="1:30" ht="15.75" x14ac:dyDescent="0.25">
      <c r="A14" s="16">
        <v>41699</v>
      </c>
      <c r="B14" s="90">
        <v>31</v>
      </c>
      <c r="C14" s="77">
        <f>122.58</f>
        <v>122.58</v>
      </c>
      <c r="D14" s="77">
        <f>297.941</f>
        <v>297.94099999999997</v>
      </c>
      <c r="E14" s="85">
        <f>89.177</f>
        <v>89.177000000000007</v>
      </c>
      <c r="F14" s="77">
        <f>240.302-40</f>
        <v>200.30199999999999</v>
      </c>
      <c r="G14" s="80">
        <v>40</v>
      </c>
      <c r="H14" s="77">
        <v>0</v>
      </c>
      <c r="I14" s="77">
        <v>0</v>
      </c>
      <c r="J14" s="80">
        <v>100</v>
      </c>
      <c r="K14" s="80">
        <v>300</v>
      </c>
      <c r="L14" s="77">
        <f t="shared" ref="L14:L77" si="0">SUM(C14:K14)</f>
        <v>1150</v>
      </c>
      <c r="M14" s="87"/>
      <c r="N14" s="77">
        <f>100</f>
        <v>100</v>
      </c>
      <c r="O14" s="80">
        <v>240</v>
      </c>
      <c r="P14" s="80">
        <v>0</v>
      </c>
      <c r="Q14" s="80">
        <f t="shared" ref="Q14:Q77" si="1">695-R14-O14-P14</f>
        <v>355</v>
      </c>
      <c r="R14" s="80">
        <f t="shared" ref="R14:R77" si="2">200-J14</f>
        <v>100</v>
      </c>
      <c r="S14" s="77">
        <f t="shared" ref="S14:S77" si="3">SUM(O14:R14)</f>
        <v>695</v>
      </c>
      <c r="T14" s="77">
        <f>50</f>
        <v>50</v>
      </c>
      <c r="U14" s="78"/>
      <c r="V14" s="78"/>
      <c r="W14" s="78"/>
      <c r="X14" s="78"/>
      <c r="Y14" s="78"/>
      <c r="Z14" s="78"/>
      <c r="AA14" s="78"/>
      <c r="AB14" s="78"/>
      <c r="AC14" s="78"/>
      <c r="AD14" s="78"/>
    </row>
    <row r="15" spans="1:30" ht="15.75" x14ac:dyDescent="0.25">
      <c r="A15" s="16">
        <v>41730</v>
      </c>
      <c r="B15" s="90">
        <v>30</v>
      </c>
      <c r="C15" s="77">
        <f>141.293</f>
        <v>141.29300000000001</v>
      </c>
      <c r="D15" s="77">
        <f>267.993</f>
        <v>267.99299999999999</v>
      </c>
      <c r="E15" s="85">
        <f>115.016</f>
        <v>115.01600000000001</v>
      </c>
      <c r="F15" s="77">
        <f>314.698-40-25</f>
        <v>249.69799999999998</v>
      </c>
      <c r="G15" s="80">
        <v>40</v>
      </c>
      <c r="H15" s="77">
        <v>25</v>
      </c>
      <c r="I15" s="77">
        <v>0</v>
      </c>
      <c r="J15" s="80">
        <v>100</v>
      </c>
      <c r="K15" s="80">
        <v>300</v>
      </c>
      <c r="L15" s="77">
        <f t="shared" si="0"/>
        <v>1239</v>
      </c>
      <c r="M15" s="87"/>
      <c r="N15" s="77">
        <f>100</f>
        <v>100</v>
      </c>
      <c r="O15" s="80">
        <v>240</v>
      </c>
      <c r="P15" s="80">
        <f t="shared" ref="P15:P21" si="4">145-H15</f>
        <v>120</v>
      </c>
      <c r="Q15" s="80">
        <f t="shared" si="1"/>
        <v>235</v>
      </c>
      <c r="R15" s="80">
        <f t="shared" si="2"/>
        <v>100</v>
      </c>
      <c r="S15" s="77">
        <f t="shared" si="3"/>
        <v>695</v>
      </c>
      <c r="T15" s="77">
        <f>50</f>
        <v>50</v>
      </c>
      <c r="U15" s="78"/>
      <c r="V15" s="78"/>
      <c r="W15" s="78"/>
      <c r="X15" s="78"/>
      <c r="Y15" s="78"/>
      <c r="Z15" s="78"/>
      <c r="AA15" s="78"/>
      <c r="AB15" s="78"/>
      <c r="AC15" s="78"/>
      <c r="AD15" s="78"/>
    </row>
    <row r="16" spans="1:30" ht="15.75" x14ac:dyDescent="0.25">
      <c r="A16" s="16">
        <v>41760</v>
      </c>
      <c r="B16" s="90">
        <v>31</v>
      </c>
      <c r="C16" s="77">
        <f>194.205</f>
        <v>194.20500000000001</v>
      </c>
      <c r="D16" s="77">
        <f>267.466</f>
        <v>267.46600000000001</v>
      </c>
      <c r="E16" s="85">
        <f>133.845</f>
        <v>133.845</v>
      </c>
      <c r="F16" s="77">
        <f>278.484-40-25</f>
        <v>213.48399999999998</v>
      </c>
      <c r="G16" s="80">
        <v>40</v>
      </c>
      <c r="H16" s="77">
        <v>25</v>
      </c>
      <c r="I16" s="91">
        <v>50</v>
      </c>
      <c r="J16" s="80">
        <v>100</v>
      </c>
      <c r="K16" s="80">
        <v>300</v>
      </c>
      <c r="L16" s="77">
        <f t="shared" si="0"/>
        <v>1324</v>
      </c>
      <c r="M16" s="87"/>
      <c r="N16" s="77">
        <f>75</f>
        <v>75</v>
      </c>
      <c r="O16" s="80">
        <v>240</v>
      </c>
      <c r="P16" s="80">
        <f t="shared" si="4"/>
        <v>120</v>
      </c>
      <c r="Q16" s="80">
        <f t="shared" si="1"/>
        <v>235</v>
      </c>
      <c r="R16" s="80">
        <f t="shared" si="2"/>
        <v>100</v>
      </c>
      <c r="S16" s="77">
        <f t="shared" si="3"/>
        <v>695</v>
      </c>
      <c r="T16" s="77">
        <f>50</f>
        <v>50</v>
      </c>
      <c r="U16" s="78"/>
      <c r="V16" s="78"/>
      <c r="W16" s="78"/>
      <c r="X16" s="78"/>
      <c r="Y16" s="78"/>
      <c r="Z16" s="78"/>
      <c r="AA16" s="78"/>
      <c r="AB16" s="78"/>
      <c r="AC16" s="78"/>
      <c r="AD16" s="78"/>
    </row>
    <row r="17" spans="1:30" ht="15.75" x14ac:dyDescent="0.25">
      <c r="A17" s="16">
        <v>41791</v>
      </c>
      <c r="B17" s="90">
        <v>30</v>
      </c>
      <c r="C17" s="77">
        <f>194.205</f>
        <v>194.20500000000001</v>
      </c>
      <c r="D17" s="77">
        <f>267.466</f>
        <v>267.46600000000001</v>
      </c>
      <c r="E17" s="85">
        <f>133.845</f>
        <v>133.845</v>
      </c>
      <c r="F17" s="77">
        <f>278.484-40-25</f>
        <v>213.48399999999998</v>
      </c>
      <c r="G17" s="80">
        <v>40</v>
      </c>
      <c r="H17" s="77">
        <v>25</v>
      </c>
      <c r="I17" s="91">
        <v>50</v>
      </c>
      <c r="J17" s="80">
        <v>100</v>
      </c>
      <c r="K17" s="80">
        <v>300</v>
      </c>
      <c r="L17" s="77">
        <f t="shared" si="0"/>
        <v>1324</v>
      </c>
      <c r="M17" s="87"/>
      <c r="N17" s="77">
        <f>30</f>
        <v>30</v>
      </c>
      <c r="O17" s="80">
        <v>240</v>
      </c>
      <c r="P17" s="80">
        <f t="shared" si="4"/>
        <v>120</v>
      </c>
      <c r="Q17" s="80">
        <f t="shared" si="1"/>
        <v>235</v>
      </c>
      <c r="R17" s="80">
        <f t="shared" si="2"/>
        <v>100</v>
      </c>
      <c r="S17" s="77">
        <f t="shared" si="3"/>
        <v>695</v>
      </c>
      <c r="T17" s="77">
        <f>50</f>
        <v>50</v>
      </c>
      <c r="U17" s="78"/>
      <c r="V17" s="78"/>
      <c r="W17" s="78"/>
      <c r="X17" s="78"/>
      <c r="Y17" s="78"/>
      <c r="Z17" s="78"/>
      <c r="AA17" s="78"/>
      <c r="AB17" s="78"/>
      <c r="AC17" s="78"/>
      <c r="AD17" s="78"/>
    </row>
    <row r="18" spans="1:30" ht="15.75" x14ac:dyDescent="0.25">
      <c r="A18" s="16">
        <v>41821</v>
      </c>
      <c r="B18" s="90">
        <v>31</v>
      </c>
      <c r="C18" s="77">
        <f>194.205</f>
        <v>194.20500000000001</v>
      </c>
      <c r="D18" s="77">
        <f>267.466</f>
        <v>267.46600000000001</v>
      </c>
      <c r="E18" s="85">
        <f>133.845</f>
        <v>133.845</v>
      </c>
      <c r="F18" s="77">
        <f>278.484-40-25</f>
        <v>213.48399999999998</v>
      </c>
      <c r="G18" s="80">
        <v>40</v>
      </c>
      <c r="H18" s="77">
        <v>25</v>
      </c>
      <c r="I18" s="91">
        <v>50</v>
      </c>
      <c r="J18" s="80">
        <v>100</v>
      </c>
      <c r="K18" s="80">
        <v>300</v>
      </c>
      <c r="L18" s="77">
        <f t="shared" si="0"/>
        <v>1324</v>
      </c>
      <c r="M18" s="87"/>
      <c r="N18" s="77">
        <f>30</f>
        <v>30</v>
      </c>
      <c r="O18" s="80">
        <v>240</v>
      </c>
      <c r="P18" s="80">
        <f t="shared" si="4"/>
        <v>120</v>
      </c>
      <c r="Q18" s="80">
        <f t="shared" si="1"/>
        <v>235</v>
      </c>
      <c r="R18" s="80">
        <f t="shared" si="2"/>
        <v>100</v>
      </c>
      <c r="S18" s="77">
        <f t="shared" si="3"/>
        <v>695</v>
      </c>
      <c r="T18" s="77">
        <f>0</f>
        <v>0</v>
      </c>
      <c r="U18" s="78"/>
      <c r="V18" s="78"/>
      <c r="W18" s="78"/>
      <c r="X18" s="78"/>
      <c r="Y18" s="78"/>
      <c r="Z18" s="78"/>
      <c r="AA18" s="78"/>
      <c r="AB18" s="78"/>
      <c r="AC18" s="78"/>
      <c r="AD18" s="78"/>
    </row>
    <row r="19" spans="1:30" ht="15.75" x14ac:dyDescent="0.25">
      <c r="A19" s="16">
        <v>41852</v>
      </c>
      <c r="B19" s="90">
        <v>31</v>
      </c>
      <c r="C19" s="77">
        <f>194.205</f>
        <v>194.20500000000001</v>
      </c>
      <c r="D19" s="77">
        <f>267.466</f>
        <v>267.46600000000001</v>
      </c>
      <c r="E19" s="85">
        <f>133.845</f>
        <v>133.845</v>
      </c>
      <c r="F19" s="77">
        <f>278.484-40-25</f>
        <v>213.48399999999998</v>
      </c>
      <c r="G19" s="80">
        <v>40</v>
      </c>
      <c r="H19" s="77">
        <v>25</v>
      </c>
      <c r="I19" s="91">
        <v>50</v>
      </c>
      <c r="J19" s="80">
        <v>100</v>
      </c>
      <c r="K19" s="80">
        <v>300</v>
      </c>
      <c r="L19" s="77">
        <f t="shared" si="0"/>
        <v>1324</v>
      </c>
      <c r="M19" s="87"/>
      <c r="N19" s="77">
        <f>30</f>
        <v>30</v>
      </c>
      <c r="O19" s="80">
        <v>240</v>
      </c>
      <c r="P19" s="80">
        <f t="shared" si="4"/>
        <v>120</v>
      </c>
      <c r="Q19" s="80">
        <f t="shared" si="1"/>
        <v>235</v>
      </c>
      <c r="R19" s="80">
        <f t="shared" si="2"/>
        <v>100</v>
      </c>
      <c r="S19" s="77">
        <f t="shared" si="3"/>
        <v>695</v>
      </c>
      <c r="T19" s="77">
        <f>0</f>
        <v>0</v>
      </c>
      <c r="U19" s="78"/>
      <c r="V19" s="78"/>
      <c r="W19" s="78"/>
      <c r="X19" s="78"/>
      <c r="Y19" s="78"/>
      <c r="Z19" s="78"/>
      <c r="AA19" s="78"/>
      <c r="AB19" s="78"/>
      <c r="AC19" s="78"/>
      <c r="AD19" s="78"/>
    </row>
    <row r="20" spans="1:30" ht="15.75" x14ac:dyDescent="0.25">
      <c r="A20" s="16">
        <v>41883</v>
      </c>
      <c r="B20" s="90">
        <v>30</v>
      </c>
      <c r="C20" s="77">
        <f>194.205</f>
        <v>194.20500000000001</v>
      </c>
      <c r="D20" s="77">
        <f>267.466</f>
        <v>267.46600000000001</v>
      </c>
      <c r="E20" s="85">
        <f>133.845</f>
        <v>133.845</v>
      </c>
      <c r="F20" s="77">
        <f>278.484-40-25</f>
        <v>213.48399999999998</v>
      </c>
      <c r="G20" s="80">
        <v>40</v>
      </c>
      <c r="H20" s="77">
        <v>25</v>
      </c>
      <c r="I20" s="91">
        <v>50</v>
      </c>
      <c r="J20" s="80">
        <v>100</v>
      </c>
      <c r="K20" s="80">
        <v>300</v>
      </c>
      <c r="L20" s="77">
        <f t="shared" si="0"/>
        <v>1324</v>
      </c>
      <c r="M20" s="87"/>
      <c r="N20" s="77">
        <f>30</f>
        <v>30</v>
      </c>
      <c r="O20" s="80">
        <v>240</v>
      </c>
      <c r="P20" s="80">
        <f t="shared" si="4"/>
        <v>120</v>
      </c>
      <c r="Q20" s="80">
        <f t="shared" si="1"/>
        <v>235</v>
      </c>
      <c r="R20" s="80">
        <f t="shared" si="2"/>
        <v>100</v>
      </c>
      <c r="S20" s="77">
        <f t="shared" si="3"/>
        <v>695</v>
      </c>
      <c r="T20" s="77">
        <f>0</f>
        <v>0</v>
      </c>
      <c r="U20" s="78"/>
      <c r="V20" s="78"/>
      <c r="W20" s="78"/>
      <c r="X20" s="78"/>
      <c r="Y20" s="78"/>
      <c r="Z20" s="78"/>
      <c r="AA20" s="78"/>
      <c r="AB20" s="78"/>
      <c r="AC20" s="78"/>
      <c r="AD20" s="78"/>
    </row>
    <row r="21" spans="1:30" ht="15.75" x14ac:dyDescent="0.25">
      <c r="A21" s="16">
        <v>41913</v>
      </c>
      <c r="B21" s="90">
        <v>31</v>
      </c>
      <c r="C21" s="77">
        <f>131.881</f>
        <v>131.881</v>
      </c>
      <c r="D21" s="77">
        <f>277.167</f>
        <v>277.16699999999997</v>
      </c>
      <c r="E21" s="85">
        <f>79.08</f>
        <v>79.08</v>
      </c>
      <c r="F21" s="77">
        <f>350.872-40-25</f>
        <v>285.87200000000001</v>
      </c>
      <c r="G21" s="80">
        <v>40</v>
      </c>
      <c r="H21" s="77">
        <v>25</v>
      </c>
      <c r="I21" s="77">
        <v>0</v>
      </c>
      <c r="J21" s="80">
        <v>100</v>
      </c>
      <c r="K21" s="80">
        <v>300</v>
      </c>
      <c r="L21" s="77">
        <f t="shared" si="0"/>
        <v>1239</v>
      </c>
      <c r="M21" s="87"/>
      <c r="N21" s="77">
        <f>75</f>
        <v>75</v>
      </c>
      <c r="O21" s="80">
        <v>240</v>
      </c>
      <c r="P21" s="80">
        <f t="shared" si="4"/>
        <v>120</v>
      </c>
      <c r="Q21" s="80">
        <f t="shared" si="1"/>
        <v>235</v>
      </c>
      <c r="R21" s="80">
        <f t="shared" si="2"/>
        <v>100</v>
      </c>
      <c r="S21" s="77">
        <f t="shared" si="3"/>
        <v>695</v>
      </c>
      <c r="T21" s="77">
        <f>0</f>
        <v>0</v>
      </c>
      <c r="U21" s="78"/>
      <c r="V21" s="78"/>
      <c r="W21" s="78"/>
      <c r="X21" s="78"/>
      <c r="Y21" s="78"/>
      <c r="Z21" s="78"/>
      <c r="AA21" s="78"/>
      <c r="AB21" s="78"/>
      <c r="AC21" s="78"/>
      <c r="AD21" s="78"/>
    </row>
    <row r="22" spans="1:30" ht="15.75" x14ac:dyDescent="0.25">
      <c r="A22" s="16">
        <v>41944</v>
      </c>
      <c r="B22" s="90">
        <v>30</v>
      </c>
      <c r="C22" s="77">
        <f>122.58</f>
        <v>122.58</v>
      </c>
      <c r="D22" s="77">
        <f>297.941</f>
        <v>297.94099999999997</v>
      </c>
      <c r="E22" s="85">
        <f>89.177</f>
        <v>89.177000000000007</v>
      </c>
      <c r="F22" s="77">
        <f>240.302-40</f>
        <v>200.30199999999999</v>
      </c>
      <c r="G22" s="80">
        <v>40</v>
      </c>
      <c r="H22" s="77">
        <v>0</v>
      </c>
      <c r="I22" s="77">
        <v>0</v>
      </c>
      <c r="J22" s="80">
        <v>100</v>
      </c>
      <c r="K22" s="80">
        <v>300</v>
      </c>
      <c r="L22" s="77">
        <f t="shared" si="0"/>
        <v>1150</v>
      </c>
      <c r="M22" s="87"/>
      <c r="N22" s="77">
        <f>100</f>
        <v>100</v>
      </c>
      <c r="O22" s="80">
        <v>240</v>
      </c>
      <c r="P22" s="80">
        <v>0</v>
      </c>
      <c r="Q22" s="80">
        <f t="shared" si="1"/>
        <v>355</v>
      </c>
      <c r="R22" s="80">
        <f t="shared" si="2"/>
        <v>100</v>
      </c>
      <c r="S22" s="77">
        <f t="shared" si="3"/>
        <v>695</v>
      </c>
      <c r="T22" s="77">
        <f>50</f>
        <v>50</v>
      </c>
      <c r="U22" s="78"/>
      <c r="V22" s="78"/>
      <c r="W22" s="78"/>
      <c r="X22" s="78"/>
      <c r="Y22" s="78"/>
      <c r="Z22" s="78"/>
      <c r="AA22" s="78"/>
      <c r="AB22" s="78"/>
      <c r="AC22" s="78"/>
      <c r="AD22" s="78"/>
    </row>
    <row r="23" spans="1:30" ht="15.75" x14ac:dyDescent="0.25">
      <c r="A23" s="16">
        <v>41974</v>
      </c>
      <c r="B23" s="90">
        <v>31</v>
      </c>
      <c r="C23" s="77">
        <f>122.58</f>
        <v>122.58</v>
      </c>
      <c r="D23" s="77">
        <f>297.941</f>
        <v>297.94099999999997</v>
      </c>
      <c r="E23" s="85">
        <f>89.177</f>
        <v>89.177000000000007</v>
      </c>
      <c r="F23" s="77">
        <f>240.302-40</f>
        <v>200.30199999999999</v>
      </c>
      <c r="G23" s="80">
        <v>40</v>
      </c>
      <c r="H23" s="77">
        <v>0</v>
      </c>
      <c r="I23" s="77">
        <v>0</v>
      </c>
      <c r="J23" s="80">
        <v>100</v>
      </c>
      <c r="K23" s="80">
        <v>300</v>
      </c>
      <c r="L23" s="77">
        <f t="shared" si="0"/>
        <v>1150</v>
      </c>
      <c r="M23" s="87"/>
      <c r="N23" s="77">
        <f>100</f>
        <v>100</v>
      </c>
      <c r="O23" s="80">
        <v>240</v>
      </c>
      <c r="P23" s="80">
        <v>0</v>
      </c>
      <c r="Q23" s="80">
        <f t="shared" si="1"/>
        <v>355</v>
      </c>
      <c r="R23" s="80">
        <f t="shared" si="2"/>
        <v>100</v>
      </c>
      <c r="S23" s="77">
        <f t="shared" si="3"/>
        <v>695</v>
      </c>
      <c r="T23" s="77">
        <f>50</f>
        <v>50</v>
      </c>
      <c r="U23" s="78"/>
      <c r="V23" s="78"/>
      <c r="W23" s="78"/>
      <c r="X23" s="78"/>
      <c r="Y23" s="78"/>
      <c r="Z23" s="78"/>
      <c r="AA23" s="78"/>
      <c r="AB23" s="78"/>
      <c r="AC23" s="78"/>
      <c r="AD23" s="78"/>
    </row>
    <row r="24" spans="1:30" ht="15.75" x14ac:dyDescent="0.25">
      <c r="A24" s="16">
        <v>42005</v>
      </c>
      <c r="B24" s="90">
        <v>31</v>
      </c>
      <c r="C24" s="77">
        <f>122.58</f>
        <v>122.58</v>
      </c>
      <c r="D24" s="77">
        <f>297.941</f>
        <v>297.94099999999997</v>
      </c>
      <c r="E24" s="85">
        <f>89.177</f>
        <v>89.177000000000007</v>
      </c>
      <c r="F24" s="77">
        <f>240.302-40</f>
        <v>200.30199999999999</v>
      </c>
      <c r="G24" s="80">
        <v>40</v>
      </c>
      <c r="H24" s="77">
        <v>0</v>
      </c>
      <c r="I24" s="77">
        <v>0</v>
      </c>
      <c r="J24" s="80">
        <v>100</v>
      </c>
      <c r="K24" s="80">
        <v>300</v>
      </c>
      <c r="L24" s="77">
        <f t="shared" si="0"/>
        <v>1150</v>
      </c>
      <c r="M24" s="87"/>
      <c r="N24" s="77">
        <f>100</f>
        <v>100</v>
      </c>
      <c r="O24" s="80">
        <v>240</v>
      </c>
      <c r="P24" s="80">
        <v>0</v>
      </c>
      <c r="Q24" s="80">
        <f t="shared" si="1"/>
        <v>355</v>
      </c>
      <c r="R24" s="80">
        <f t="shared" si="2"/>
        <v>100</v>
      </c>
      <c r="S24" s="77">
        <f t="shared" si="3"/>
        <v>695</v>
      </c>
      <c r="T24" s="77">
        <f>50</f>
        <v>50</v>
      </c>
      <c r="U24" s="78"/>
      <c r="V24" s="78"/>
      <c r="W24" s="78"/>
      <c r="X24" s="78"/>
      <c r="Y24" s="78"/>
      <c r="Z24" s="78"/>
      <c r="AA24" s="78"/>
      <c r="AB24" s="78"/>
      <c r="AC24" s="78"/>
      <c r="AD24" s="78"/>
    </row>
    <row r="25" spans="1:30" ht="15.75" x14ac:dyDescent="0.25">
      <c r="A25" s="16">
        <v>42036</v>
      </c>
      <c r="B25" s="90">
        <v>28</v>
      </c>
      <c r="C25" s="77">
        <f>122.58</f>
        <v>122.58</v>
      </c>
      <c r="D25" s="77">
        <f>297.941</f>
        <v>297.94099999999997</v>
      </c>
      <c r="E25" s="85">
        <f>89.177</f>
        <v>89.177000000000007</v>
      </c>
      <c r="F25" s="77">
        <f>240.302-40</f>
        <v>200.30199999999999</v>
      </c>
      <c r="G25" s="80">
        <v>40</v>
      </c>
      <c r="H25" s="77">
        <v>0</v>
      </c>
      <c r="I25" s="77">
        <v>0</v>
      </c>
      <c r="J25" s="80">
        <v>100</v>
      </c>
      <c r="K25" s="80">
        <v>300</v>
      </c>
      <c r="L25" s="77">
        <f t="shared" si="0"/>
        <v>1150</v>
      </c>
      <c r="M25" s="87"/>
      <c r="N25" s="77">
        <f>100</f>
        <v>100</v>
      </c>
      <c r="O25" s="80">
        <v>240</v>
      </c>
      <c r="P25" s="80">
        <v>0</v>
      </c>
      <c r="Q25" s="80">
        <f t="shared" si="1"/>
        <v>355</v>
      </c>
      <c r="R25" s="80">
        <f t="shared" si="2"/>
        <v>100</v>
      </c>
      <c r="S25" s="77">
        <f t="shared" si="3"/>
        <v>695</v>
      </c>
      <c r="T25" s="77">
        <f>50</f>
        <v>50</v>
      </c>
      <c r="U25" s="78"/>
      <c r="V25" s="78"/>
      <c r="W25" s="78"/>
      <c r="X25" s="78"/>
      <c r="Y25" s="78"/>
      <c r="Z25" s="78"/>
      <c r="AA25" s="78"/>
      <c r="AB25" s="78"/>
      <c r="AC25" s="78"/>
      <c r="AD25" s="78"/>
    </row>
    <row r="26" spans="1:30" ht="15.75" x14ac:dyDescent="0.25">
      <c r="A26" s="16">
        <v>42064</v>
      </c>
      <c r="B26" s="90">
        <v>31</v>
      </c>
      <c r="C26" s="77">
        <f>122.58</f>
        <v>122.58</v>
      </c>
      <c r="D26" s="77">
        <f>297.941</f>
        <v>297.94099999999997</v>
      </c>
      <c r="E26" s="85">
        <f>89.177</f>
        <v>89.177000000000007</v>
      </c>
      <c r="F26" s="77">
        <f>240.302-40</f>
        <v>200.30199999999999</v>
      </c>
      <c r="G26" s="80">
        <v>40</v>
      </c>
      <c r="H26" s="77">
        <v>0</v>
      </c>
      <c r="I26" s="77">
        <v>0</v>
      </c>
      <c r="J26" s="80">
        <v>100</v>
      </c>
      <c r="K26" s="80">
        <v>300</v>
      </c>
      <c r="L26" s="77">
        <f t="shared" si="0"/>
        <v>1150</v>
      </c>
      <c r="M26" s="87"/>
      <c r="N26" s="77">
        <f>100</f>
        <v>100</v>
      </c>
      <c r="O26" s="80">
        <v>240</v>
      </c>
      <c r="P26" s="80">
        <v>0</v>
      </c>
      <c r="Q26" s="80">
        <f t="shared" si="1"/>
        <v>355</v>
      </c>
      <c r="R26" s="80">
        <f t="shared" si="2"/>
        <v>100</v>
      </c>
      <c r="S26" s="77">
        <f t="shared" si="3"/>
        <v>695</v>
      </c>
      <c r="T26" s="77">
        <f>50</f>
        <v>50</v>
      </c>
      <c r="U26" s="78"/>
      <c r="V26" s="78"/>
      <c r="W26" s="78"/>
      <c r="X26" s="78"/>
      <c r="Y26" s="78"/>
      <c r="Z26" s="78"/>
      <c r="AA26" s="78"/>
      <c r="AB26" s="78"/>
      <c r="AC26" s="78"/>
      <c r="AD26" s="78"/>
    </row>
    <row r="27" spans="1:30" ht="15.75" x14ac:dyDescent="0.25">
      <c r="A27" s="16">
        <v>42095</v>
      </c>
      <c r="B27" s="90">
        <v>30</v>
      </c>
      <c r="C27" s="77">
        <f>141.293</f>
        <v>141.29300000000001</v>
      </c>
      <c r="D27" s="77">
        <f>267.993</f>
        <v>267.99299999999999</v>
      </c>
      <c r="E27" s="85">
        <f>115.016</f>
        <v>115.01600000000001</v>
      </c>
      <c r="F27" s="77">
        <f>314.698-40-25-60-100</f>
        <v>89.697999999999979</v>
      </c>
      <c r="G27" s="80">
        <v>40</v>
      </c>
      <c r="H27" s="77">
        <f t="shared" ref="H27:H33" si="5">25+60+100</f>
        <v>185</v>
      </c>
      <c r="I27" s="77">
        <v>0</v>
      </c>
      <c r="J27" s="80">
        <v>100</v>
      </c>
      <c r="K27" s="80">
        <v>300</v>
      </c>
      <c r="L27" s="77">
        <f t="shared" si="0"/>
        <v>1239</v>
      </c>
      <c r="M27" s="87"/>
      <c r="N27" s="77">
        <f>100</f>
        <v>100</v>
      </c>
      <c r="O27" s="80">
        <v>240</v>
      </c>
      <c r="P27" s="80">
        <f t="shared" ref="P27:P33" si="6">120+40</f>
        <v>160</v>
      </c>
      <c r="Q27" s="80">
        <f t="shared" si="1"/>
        <v>195</v>
      </c>
      <c r="R27" s="80">
        <f t="shared" si="2"/>
        <v>100</v>
      </c>
      <c r="S27" s="77">
        <f t="shared" si="3"/>
        <v>695</v>
      </c>
      <c r="T27" s="77">
        <f>50</f>
        <v>50</v>
      </c>
      <c r="U27" s="78"/>
      <c r="V27" s="78"/>
      <c r="W27" s="78"/>
      <c r="X27" s="78"/>
      <c r="Y27" s="78"/>
      <c r="Z27" s="78"/>
      <c r="AA27" s="78"/>
      <c r="AB27" s="78"/>
      <c r="AC27" s="78"/>
      <c r="AD27" s="78"/>
    </row>
    <row r="28" spans="1:30" ht="15.75" x14ac:dyDescent="0.25">
      <c r="A28" s="16">
        <v>42125</v>
      </c>
      <c r="B28" s="90">
        <v>31</v>
      </c>
      <c r="C28" s="77">
        <f>194.205</f>
        <v>194.20500000000001</v>
      </c>
      <c r="D28" s="77">
        <f>267.466</f>
        <v>267.46600000000001</v>
      </c>
      <c r="E28" s="85">
        <f>133.845</f>
        <v>133.845</v>
      </c>
      <c r="F28" s="77">
        <f>278.484-40-25-60-100</f>
        <v>53.48399999999998</v>
      </c>
      <c r="G28" s="80">
        <v>40</v>
      </c>
      <c r="H28" s="77">
        <f t="shared" si="5"/>
        <v>185</v>
      </c>
      <c r="I28" s="91">
        <v>50</v>
      </c>
      <c r="J28" s="80">
        <v>100</v>
      </c>
      <c r="K28" s="80">
        <v>300</v>
      </c>
      <c r="L28" s="77">
        <f t="shared" si="0"/>
        <v>1324</v>
      </c>
      <c r="M28" s="87"/>
      <c r="N28" s="77">
        <f>75</f>
        <v>75</v>
      </c>
      <c r="O28" s="80">
        <v>240</v>
      </c>
      <c r="P28" s="80">
        <f t="shared" si="6"/>
        <v>160</v>
      </c>
      <c r="Q28" s="80">
        <f t="shared" si="1"/>
        <v>195</v>
      </c>
      <c r="R28" s="80">
        <f t="shared" si="2"/>
        <v>100</v>
      </c>
      <c r="S28" s="77">
        <f t="shared" si="3"/>
        <v>695</v>
      </c>
      <c r="T28" s="77">
        <f>50</f>
        <v>50</v>
      </c>
      <c r="U28" s="78"/>
      <c r="V28" s="78"/>
      <c r="W28" s="78"/>
      <c r="X28" s="78"/>
      <c r="Y28" s="78"/>
      <c r="Z28" s="78"/>
      <c r="AA28" s="78"/>
      <c r="AB28" s="78"/>
      <c r="AC28" s="78"/>
      <c r="AD28" s="78"/>
    </row>
    <row r="29" spans="1:30" ht="15.75" x14ac:dyDescent="0.25">
      <c r="A29" s="16">
        <v>42156</v>
      </c>
      <c r="B29" s="90">
        <v>30</v>
      </c>
      <c r="C29" s="77">
        <f>194.205</f>
        <v>194.20500000000001</v>
      </c>
      <c r="D29" s="77">
        <f>267.466</f>
        <v>267.46600000000001</v>
      </c>
      <c r="E29" s="85">
        <f>133.845</f>
        <v>133.845</v>
      </c>
      <c r="F29" s="77">
        <f>278.484-40-25-60-100</f>
        <v>53.48399999999998</v>
      </c>
      <c r="G29" s="80">
        <v>40</v>
      </c>
      <c r="H29" s="77">
        <f t="shared" si="5"/>
        <v>185</v>
      </c>
      <c r="I29" s="91">
        <v>50</v>
      </c>
      <c r="J29" s="80">
        <v>100</v>
      </c>
      <c r="K29" s="80">
        <v>300</v>
      </c>
      <c r="L29" s="77">
        <f t="shared" si="0"/>
        <v>1324</v>
      </c>
      <c r="M29" s="87"/>
      <c r="N29" s="77">
        <f>30</f>
        <v>30</v>
      </c>
      <c r="O29" s="80">
        <v>240</v>
      </c>
      <c r="P29" s="80">
        <f t="shared" si="6"/>
        <v>160</v>
      </c>
      <c r="Q29" s="80">
        <f t="shared" si="1"/>
        <v>195</v>
      </c>
      <c r="R29" s="80">
        <f t="shared" si="2"/>
        <v>100</v>
      </c>
      <c r="S29" s="77">
        <f t="shared" si="3"/>
        <v>695</v>
      </c>
      <c r="T29" s="77">
        <f>50</f>
        <v>50</v>
      </c>
      <c r="U29" s="78"/>
      <c r="V29" s="78"/>
      <c r="W29" s="78"/>
      <c r="X29" s="78"/>
      <c r="Y29" s="78"/>
      <c r="Z29" s="78"/>
      <c r="AA29" s="78"/>
      <c r="AB29" s="78"/>
      <c r="AC29" s="78"/>
      <c r="AD29" s="78"/>
    </row>
    <row r="30" spans="1:30" ht="15.75" x14ac:dyDescent="0.25">
      <c r="A30" s="16">
        <v>42186</v>
      </c>
      <c r="B30" s="90">
        <v>31</v>
      </c>
      <c r="C30" s="77">
        <f>194.205</f>
        <v>194.20500000000001</v>
      </c>
      <c r="D30" s="77">
        <f>267.466</f>
        <v>267.46600000000001</v>
      </c>
      <c r="E30" s="85">
        <f>133.845</f>
        <v>133.845</v>
      </c>
      <c r="F30" s="77">
        <f>278.484-40-25-60-100</f>
        <v>53.48399999999998</v>
      </c>
      <c r="G30" s="80">
        <v>40</v>
      </c>
      <c r="H30" s="77">
        <f t="shared" si="5"/>
        <v>185</v>
      </c>
      <c r="I30" s="91">
        <v>50</v>
      </c>
      <c r="J30" s="80">
        <v>100</v>
      </c>
      <c r="K30" s="80">
        <v>300</v>
      </c>
      <c r="L30" s="77">
        <f t="shared" si="0"/>
        <v>1324</v>
      </c>
      <c r="M30" s="87"/>
      <c r="N30" s="77">
        <f>30</f>
        <v>30</v>
      </c>
      <c r="O30" s="80">
        <v>240</v>
      </c>
      <c r="P30" s="80">
        <f t="shared" si="6"/>
        <v>160</v>
      </c>
      <c r="Q30" s="80">
        <f t="shared" si="1"/>
        <v>195</v>
      </c>
      <c r="R30" s="80">
        <f t="shared" si="2"/>
        <v>100</v>
      </c>
      <c r="S30" s="77">
        <f t="shared" si="3"/>
        <v>695</v>
      </c>
      <c r="T30" s="77">
        <f>0</f>
        <v>0</v>
      </c>
      <c r="U30" s="78"/>
      <c r="V30" s="78"/>
      <c r="W30" s="78"/>
      <c r="X30" s="78"/>
      <c r="Y30" s="78"/>
      <c r="Z30" s="78"/>
      <c r="AA30" s="78"/>
      <c r="AB30" s="78"/>
      <c r="AC30" s="78"/>
      <c r="AD30" s="78"/>
    </row>
    <row r="31" spans="1:30" ht="15.75" x14ac:dyDescent="0.25">
      <c r="A31" s="16">
        <v>42217</v>
      </c>
      <c r="B31" s="90">
        <v>31</v>
      </c>
      <c r="C31" s="77">
        <f>194.205</f>
        <v>194.20500000000001</v>
      </c>
      <c r="D31" s="77">
        <f>267.466</f>
        <v>267.46600000000001</v>
      </c>
      <c r="E31" s="85">
        <f>133.845</f>
        <v>133.845</v>
      </c>
      <c r="F31" s="77">
        <f>278.484-40-25-60-100</f>
        <v>53.48399999999998</v>
      </c>
      <c r="G31" s="80">
        <v>40</v>
      </c>
      <c r="H31" s="77">
        <f t="shared" si="5"/>
        <v>185</v>
      </c>
      <c r="I31" s="91">
        <v>50</v>
      </c>
      <c r="J31" s="80">
        <v>100</v>
      </c>
      <c r="K31" s="80">
        <v>300</v>
      </c>
      <c r="L31" s="77">
        <f t="shared" si="0"/>
        <v>1324</v>
      </c>
      <c r="M31" s="87"/>
      <c r="N31" s="77">
        <f>30</f>
        <v>30</v>
      </c>
      <c r="O31" s="80">
        <v>240</v>
      </c>
      <c r="P31" s="80">
        <f t="shared" si="6"/>
        <v>160</v>
      </c>
      <c r="Q31" s="80">
        <f t="shared" si="1"/>
        <v>195</v>
      </c>
      <c r="R31" s="80">
        <f t="shared" si="2"/>
        <v>100</v>
      </c>
      <c r="S31" s="77">
        <f t="shared" si="3"/>
        <v>695</v>
      </c>
      <c r="T31" s="77">
        <f>0</f>
        <v>0</v>
      </c>
      <c r="U31" s="78"/>
      <c r="V31" s="78"/>
      <c r="W31" s="78"/>
      <c r="X31" s="78"/>
      <c r="Y31" s="78"/>
      <c r="Z31" s="78"/>
      <c r="AA31" s="78"/>
      <c r="AB31" s="78"/>
      <c r="AC31" s="78"/>
      <c r="AD31" s="78"/>
    </row>
    <row r="32" spans="1:30" ht="15.75" x14ac:dyDescent="0.25">
      <c r="A32" s="16">
        <v>42248</v>
      </c>
      <c r="B32" s="90">
        <v>30</v>
      </c>
      <c r="C32" s="77">
        <f>194.205</f>
        <v>194.20500000000001</v>
      </c>
      <c r="D32" s="77">
        <f>267.466</f>
        <v>267.46600000000001</v>
      </c>
      <c r="E32" s="85">
        <f>133.845</f>
        <v>133.845</v>
      </c>
      <c r="F32" s="77">
        <f>278.484-40-25-60-100</f>
        <v>53.48399999999998</v>
      </c>
      <c r="G32" s="80">
        <v>40</v>
      </c>
      <c r="H32" s="77">
        <f t="shared" si="5"/>
        <v>185</v>
      </c>
      <c r="I32" s="91">
        <v>50</v>
      </c>
      <c r="J32" s="80">
        <v>100</v>
      </c>
      <c r="K32" s="80">
        <v>300</v>
      </c>
      <c r="L32" s="77">
        <f t="shared" si="0"/>
        <v>1324</v>
      </c>
      <c r="M32" s="87"/>
      <c r="N32" s="77">
        <f>30</f>
        <v>30</v>
      </c>
      <c r="O32" s="80">
        <v>240</v>
      </c>
      <c r="P32" s="80">
        <f t="shared" si="6"/>
        <v>160</v>
      </c>
      <c r="Q32" s="80">
        <f t="shared" si="1"/>
        <v>195</v>
      </c>
      <c r="R32" s="80">
        <f t="shared" si="2"/>
        <v>100</v>
      </c>
      <c r="S32" s="77">
        <f t="shared" si="3"/>
        <v>695</v>
      </c>
      <c r="T32" s="77">
        <f>0</f>
        <v>0</v>
      </c>
      <c r="U32" s="78"/>
      <c r="V32" s="78"/>
      <c r="W32" s="78"/>
      <c r="X32" s="78"/>
      <c r="Y32" s="78"/>
      <c r="Z32" s="78"/>
      <c r="AA32" s="78"/>
      <c r="AB32" s="78"/>
      <c r="AC32" s="78"/>
      <c r="AD32" s="78"/>
    </row>
    <row r="33" spans="1:30" ht="15.75" x14ac:dyDescent="0.25">
      <c r="A33" s="16">
        <v>42278</v>
      </c>
      <c r="B33" s="90">
        <v>31</v>
      </c>
      <c r="C33" s="77">
        <f>131.881</f>
        <v>131.881</v>
      </c>
      <c r="D33" s="77">
        <f>277.167</f>
        <v>277.16699999999997</v>
      </c>
      <c r="E33" s="85">
        <f>79.08</f>
        <v>79.08</v>
      </c>
      <c r="F33" s="77">
        <f>350.872-40-25-60-100</f>
        <v>125.87200000000001</v>
      </c>
      <c r="G33" s="80">
        <v>40</v>
      </c>
      <c r="H33" s="77">
        <f t="shared" si="5"/>
        <v>185</v>
      </c>
      <c r="I33" s="77">
        <v>0</v>
      </c>
      <c r="J33" s="80">
        <v>100</v>
      </c>
      <c r="K33" s="80">
        <v>300</v>
      </c>
      <c r="L33" s="77">
        <f t="shared" si="0"/>
        <v>1239</v>
      </c>
      <c r="M33" s="87"/>
      <c r="N33" s="77">
        <f>75</f>
        <v>75</v>
      </c>
      <c r="O33" s="80">
        <v>240</v>
      </c>
      <c r="P33" s="80">
        <f t="shared" si="6"/>
        <v>160</v>
      </c>
      <c r="Q33" s="80">
        <f t="shared" si="1"/>
        <v>195</v>
      </c>
      <c r="R33" s="80">
        <f t="shared" si="2"/>
        <v>100</v>
      </c>
      <c r="S33" s="77">
        <f t="shared" si="3"/>
        <v>695</v>
      </c>
      <c r="T33" s="77">
        <f>0</f>
        <v>0</v>
      </c>
      <c r="U33" s="78"/>
      <c r="V33" s="78"/>
      <c r="W33" s="78"/>
      <c r="X33" s="78"/>
      <c r="Y33" s="78"/>
      <c r="Z33" s="78"/>
      <c r="AA33" s="78"/>
      <c r="AB33" s="78"/>
      <c r="AC33" s="78"/>
      <c r="AD33" s="78"/>
    </row>
    <row r="34" spans="1:30" ht="15.75" x14ac:dyDescent="0.25">
      <c r="A34" s="16">
        <v>42309</v>
      </c>
      <c r="B34" s="90">
        <v>30</v>
      </c>
      <c r="C34" s="77">
        <f>122.58</f>
        <v>122.58</v>
      </c>
      <c r="D34" s="77">
        <f>297.941</f>
        <v>297.94099999999997</v>
      </c>
      <c r="E34" s="85">
        <f>89.177</f>
        <v>89.177000000000007</v>
      </c>
      <c r="F34" s="77">
        <f>240.302-40-60-100</f>
        <v>40.301999999999992</v>
      </c>
      <c r="G34" s="80">
        <v>40</v>
      </c>
      <c r="H34" s="77">
        <f>60+100</f>
        <v>160</v>
      </c>
      <c r="I34" s="77">
        <v>0</v>
      </c>
      <c r="J34" s="80">
        <v>100</v>
      </c>
      <c r="K34" s="80">
        <v>300</v>
      </c>
      <c r="L34" s="77">
        <f t="shared" si="0"/>
        <v>1150</v>
      </c>
      <c r="M34" s="87"/>
      <c r="N34" s="77">
        <f>100</f>
        <v>100</v>
      </c>
      <c r="O34" s="80">
        <v>240</v>
      </c>
      <c r="P34" s="80">
        <v>40</v>
      </c>
      <c r="Q34" s="80">
        <f t="shared" si="1"/>
        <v>315</v>
      </c>
      <c r="R34" s="80">
        <f t="shared" si="2"/>
        <v>100</v>
      </c>
      <c r="S34" s="77">
        <f t="shared" si="3"/>
        <v>695</v>
      </c>
      <c r="T34" s="77">
        <f>50</f>
        <v>50</v>
      </c>
      <c r="U34" s="78"/>
      <c r="V34" s="78"/>
      <c r="W34" s="78"/>
      <c r="X34" s="78"/>
      <c r="Y34" s="78"/>
      <c r="Z34" s="78"/>
      <c r="AA34" s="78"/>
      <c r="AB34" s="78"/>
      <c r="AC34" s="78"/>
      <c r="AD34" s="78"/>
    </row>
    <row r="35" spans="1:30" ht="15.75" x14ac:dyDescent="0.25">
      <c r="A35" s="16">
        <v>42339</v>
      </c>
      <c r="B35" s="90">
        <v>31</v>
      </c>
      <c r="C35" s="77">
        <f>122.58</f>
        <v>122.58</v>
      </c>
      <c r="D35" s="77">
        <f>297.941</f>
        <v>297.94099999999997</v>
      </c>
      <c r="E35" s="85">
        <f>89.177</f>
        <v>89.177000000000007</v>
      </c>
      <c r="F35" s="77">
        <f>240.302-40-60-100</f>
        <v>40.301999999999992</v>
      </c>
      <c r="G35" s="80">
        <v>40</v>
      </c>
      <c r="H35" s="77">
        <f>60+100</f>
        <v>160</v>
      </c>
      <c r="I35" s="77">
        <v>0</v>
      </c>
      <c r="J35" s="80">
        <v>100</v>
      </c>
      <c r="K35" s="80">
        <v>300</v>
      </c>
      <c r="L35" s="77">
        <f t="shared" si="0"/>
        <v>1150</v>
      </c>
      <c r="M35" s="87"/>
      <c r="N35" s="77">
        <f>100</f>
        <v>100</v>
      </c>
      <c r="O35" s="80">
        <v>240</v>
      </c>
      <c r="P35" s="80">
        <v>40</v>
      </c>
      <c r="Q35" s="80">
        <f t="shared" si="1"/>
        <v>315</v>
      </c>
      <c r="R35" s="80">
        <f t="shared" si="2"/>
        <v>100</v>
      </c>
      <c r="S35" s="77">
        <f t="shared" si="3"/>
        <v>695</v>
      </c>
      <c r="T35" s="77">
        <f>50</f>
        <v>50</v>
      </c>
      <c r="U35" s="78"/>
      <c r="V35" s="78"/>
      <c r="W35" s="78"/>
      <c r="X35" s="78"/>
      <c r="Y35" s="78"/>
      <c r="Z35" s="78"/>
      <c r="AA35" s="78"/>
      <c r="AB35" s="78"/>
      <c r="AC35" s="78"/>
      <c r="AD35" s="78"/>
    </row>
    <row r="36" spans="1:30" ht="15.75" x14ac:dyDescent="0.25">
      <c r="A36" s="16">
        <v>42370</v>
      </c>
      <c r="B36" s="90">
        <v>31</v>
      </c>
      <c r="C36" s="77">
        <f>122.58</f>
        <v>122.58</v>
      </c>
      <c r="D36" s="77">
        <f>297.941</f>
        <v>297.94099999999997</v>
      </c>
      <c r="E36" s="85">
        <f>89.177</f>
        <v>89.177000000000007</v>
      </c>
      <c r="F36" s="77">
        <f>240.302-40-60-100</f>
        <v>40.301999999999992</v>
      </c>
      <c r="G36" s="80">
        <v>40</v>
      </c>
      <c r="H36" s="77">
        <f>60+100</f>
        <v>160</v>
      </c>
      <c r="I36" s="77">
        <v>0</v>
      </c>
      <c r="J36" s="80">
        <v>100</v>
      </c>
      <c r="K36" s="80">
        <v>300</v>
      </c>
      <c r="L36" s="77">
        <f t="shared" si="0"/>
        <v>1150</v>
      </c>
      <c r="M36" s="87"/>
      <c r="N36" s="77">
        <f>100</f>
        <v>100</v>
      </c>
      <c r="O36" s="80">
        <v>240</v>
      </c>
      <c r="P36" s="80">
        <v>40</v>
      </c>
      <c r="Q36" s="80">
        <f t="shared" si="1"/>
        <v>315</v>
      </c>
      <c r="R36" s="80">
        <f t="shared" si="2"/>
        <v>100</v>
      </c>
      <c r="S36" s="77">
        <f t="shared" si="3"/>
        <v>695</v>
      </c>
      <c r="T36" s="77">
        <f>50</f>
        <v>50</v>
      </c>
      <c r="U36" s="78"/>
      <c r="V36" s="78"/>
      <c r="W36" s="78"/>
      <c r="X36" s="78"/>
      <c r="Y36" s="78"/>
      <c r="Z36" s="78"/>
      <c r="AA36" s="78"/>
      <c r="AB36" s="78"/>
      <c r="AC36" s="78"/>
      <c r="AD36" s="78"/>
    </row>
    <row r="37" spans="1:30" ht="15.75" x14ac:dyDescent="0.25">
      <c r="A37" s="16">
        <v>42401</v>
      </c>
      <c r="B37" s="90">
        <v>29</v>
      </c>
      <c r="C37" s="77">
        <f>122.58</f>
        <v>122.58</v>
      </c>
      <c r="D37" s="77">
        <f>297.941</f>
        <v>297.94099999999997</v>
      </c>
      <c r="E37" s="85">
        <f>89.177</f>
        <v>89.177000000000007</v>
      </c>
      <c r="F37" s="77">
        <f>240.302-40-60-100</f>
        <v>40.301999999999992</v>
      </c>
      <c r="G37" s="80">
        <v>40</v>
      </c>
      <c r="H37" s="77">
        <f>60+100</f>
        <v>160</v>
      </c>
      <c r="I37" s="77">
        <v>0</v>
      </c>
      <c r="J37" s="80">
        <v>100</v>
      </c>
      <c r="K37" s="80">
        <v>300</v>
      </c>
      <c r="L37" s="77">
        <f t="shared" si="0"/>
        <v>1150</v>
      </c>
      <c r="M37" s="87"/>
      <c r="N37" s="77">
        <f>100</f>
        <v>100</v>
      </c>
      <c r="O37" s="80">
        <v>240</v>
      </c>
      <c r="P37" s="80">
        <v>40</v>
      </c>
      <c r="Q37" s="80">
        <f t="shared" si="1"/>
        <v>315</v>
      </c>
      <c r="R37" s="80">
        <f t="shared" si="2"/>
        <v>100</v>
      </c>
      <c r="S37" s="77">
        <f t="shared" si="3"/>
        <v>695</v>
      </c>
      <c r="T37" s="77">
        <f>50</f>
        <v>50</v>
      </c>
      <c r="U37" s="78"/>
      <c r="V37" s="78"/>
      <c r="W37" s="78"/>
      <c r="X37" s="78"/>
      <c r="Y37" s="78"/>
      <c r="Z37" s="78"/>
      <c r="AA37" s="78"/>
      <c r="AB37" s="78"/>
      <c r="AC37" s="78"/>
      <c r="AD37" s="78"/>
    </row>
    <row r="38" spans="1:30" ht="15.75" x14ac:dyDescent="0.25">
      <c r="A38" s="16">
        <v>42430</v>
      </c>
      <c r="B38" s="90">
        <v>31</v>
      </c>
      <c r="C38" s="77">
        <f>122.58</f>
        <v>122.58</v>
      </c>
      <c r="D38" s="77">
        <f>297.941</f>
        <v>297.94099999999997</v>
      </c>
      <c r="E38" s="85">
        <f>89.177</f>
        <v>89.177000000000007</v>
      </c>
      <c r="F38" s="77">
        <f>240.302-40-60-100</f>
        <v>40.301999999999992</v>
      </c>
      <c r="G38" s="80">
        <v>40</v>
      </c>
      <c r="H38" s="77">
        <f>60+100</f>
        <v>160</v>
      </c>
      <c r="I38" s="77">
        <v>0</v>
      </c>
      <c r="J38" s="80">
        <v>100</v>
      </c>
      <c r="K38" s="80">
        <v>300</v>
      </c>
      <c r="L38" s="77">
        <f t="shared" si="0"/>
        <v>1150</v>
      </c>
      <c r="M38" s="87"/>
      <c r="N38" s="77">
        <f>100</f>
        <v>100</v>
      </c>
      <c r="O38" s="80">
        <v>240</v>
      </c>
      <c r="P38" s="80">
        <v>40</v>
      </c>
      <c r="Q38" s="80">
        <f t="shared" si="1"/>
        <v>315</v>
      </c>
      <c r="R38" s="80">
        <f t="shared" si="2"/>
        <v>100</v>
      </c>
      <c r="S38" s="77">
        <f t="shared" si="3"/>
        <v>695</v>
      </c>
      <c r="T38" s="77">
        <f>50</f>
        <v>50</v>
      </c>
      <c r="U38" s="78"/>
      <c r="V38" s="78"/>
      <c r="W38" s="78"/>
      <c r="X38" s="78"/>
      <c r="Y38" s="78"/>
      <c r="Z38" s="78"/>
      <c r="AA38" s="78"/>
      <c r="AB38" s="78"/>
      <c r="AC38" s="78"/>
      <c r="AD38" s="78"/>
    </row>
    <row r="39" spans="1:30" ht="15.75" x14ac:dyDescent="0.25">
      <c r="A39" s="16">
        <v>42461</v>
      </c>
      <c r="B39" s="90">
        <v>30</v>
      </c>
      <c r="C39" s="77">
        <f>141.293</f>
        <v>141.29300000000001</v>
      </c>
      <c r="D39" s="77">
        <f>267.993</f>
        <v>267.99299999999999</v>
      </c>
      <c r="E39" s="85">
        <f>115.016</f>
        <v>115.01600000000001</v>
      </c>
      <c r="F39" s="77">
        <f>314.698-40-25-60-100</f>
        <v>89.697999999999979</v>
      </c>
      <c r="G39" s="80">
        <v>40</v>
      </c>
      <c r="H39" s="77">
        <f t="shared" ref="H39:H45" si="7">25+60+100</f>
        <v>185</v>
      </c>
      <c r="I39" s="77">
        <v>0</v>
      </c>
      <c r="J39" s="80">
        <v>100</v>
      </c>
      <c r="K39" s="80">
        <v>300</v>
      </c>
      <c r="L39" s="77">
        <f t="shared" si="0"/>
        <v>1239</v>
      </c>
      <c r="M39" s="87"/>
      <c r="N39" s="77">
        <f>100</f>
        <v>100</v>
      </c>
      <c r="O39" s="80">
        <v>240</v>
      </c>
      <c r="P39" s="80">
        <v>160</v>
      </c>
      <c r="Q39" s="80">
        <f t="shared" si="1"/>
        <v>195</v>
      </c>
      <c r="R39" s="80">
        <f t="shared" si="2"/>
        <v>100</v>
      </c>
      <c r="S39" s="77">
        <f t="shared" si="3"/>
        <v>695</v>
      </c>
      <c r="T39" s="77">
        <f>50</f>
        <v>50</v>
      </c>
      <c r="U39" s="78"/>
      <c r="V39" s="78"/>
      <c r="W39" s="78"/>
      <c r="X39" s="78"/>
      <c r="Y39" s="78"/>
      <c r="Z39" s="78"/>
      <c r="AA39" s="78"/>
      <c r="AB39" s="78"/>
      <c r="AC39" s="78"/>
      <c r="AD39" s="78"/>
    </row>
    <row r="40" spans="1:30" ht="15.75" x14ac:dyDescent="0.25">
      <c r="A40" s="16">
        <v>42491</v>
      </c>
      <c r="B40" s="90">
        <v>31</v>
      </c>
      <c r="C40" s="77">
        <f>194.205</f>
        <v>194.20500000000001</v>
      </c>
      <c r="D40" s="77">
        <f>267.466</f>
        <v>267.46600000000001</v>
      </c>
      <c r="E40" s="85">
        <f>133.845</f>
        <v>133.845</v>
      </c>
      <c r="F40" s="77">
        <f>278.484-40-25-60-100</f>
        <v>53.48399999999998</v>
      </c>
      <c r="G40" s="80">
        <v>40</v>
      </c>
      <c r="H40" s="77">
        <f t="shared" si="7"/>
        <v>185</v>
      </c>
      <c r="I40" s="77">
        <f t="shared" ref="I40:I103" si="8">400-J40-K40</f>
        <v>0</v>
      </c>
      <c r="J40" s="80">
        <v>100</v>
      </c>
      <c r="K40" s="80">
        <v>300</v>
      </c>
      <c r="L40" s="77">
        <f t="shared" si="0"/>
        <v>1274</v>
      </c>
      <c r="M40" s="87"/>
      <c r="N40" s="77">
        <f>75</f>
        <v>75</v>
      </c>
      <c r="O40" s="80">
        <v>240</v>
      </c>
      <c r="P40" s="80">
        <v>160</v>
      </c>
      <c r="Q40" s="80">
        <f t="shared" si="1"/>
        <v>195</v>
      </c>
      <c r="R40" s="80">
        <f t="shared" si="2"/>
        <v>100</v>
      </c>
      <c r="S40" s="77">
        <f t="shared" si="3"/>
        <v>695</v>
      </c>
      <c r="T40" s="77">
        <f>50</f>
        <v>50</v>
      </c>
      <c r="U40" s="78"/>
      <c r="V40" s="78"/>
      <c r="W40" s="78"/>
      <c r="X40" s="78"/>
      <c r="Y40" s="78"/>
      <c r="Z40" s="78"/>
      <c r="AA40" s="78"/>
      <c r="AB40" s="78"/>
      <c r="AC40" s="78"/>
      <c r="AD40" s="78"/>
    </row>
    <row r="41" spans="1:30" ht="15.75" x14ac:dyDescent="0.25">
      <c r="A41" s="16">
        <v>42522</v>
      </c>
      <c r="B41" s="90">
        <v>30</v>
      </c>
      <c r="C41" s="77">
        <f>194.205</f>
        <v>194.20500000000001</v>
      </c>
      <c r="D41" s="77">
        <f>267.466</f>
        <v>267.46600000000001</v>
      </c>
      <c r="E41" s="85">
        <f>133.845</f>
        <v>133.845</v>
      </c>
      <c r="F41" s="77">
        <f>278.484-40-25-60-100</f>
        <v>53.48399999999998</v>
      </c>
      <c r="G41" s="80">
        <v>40</v>
      </c>
      <c r="H41" s="77">
        <f t="shared" si="7"/>
        <v>185</v>
      </c>
      <c r="I41" s="77">
        <f t="shared" si="8"/>
        <v>0</v>
      </c>
      <c r="J41" s="80">
        <v>100</v>
      </c>
      <c r="K41" s="80">
        <v>300</v>
      </c>
      <c r="L41" s="77">
        <f t="shared" si="0"/>
        <v>1274</v>
      </c>
      <c r="M41" s="87"/>
      <c r="N41" s="77">
        <f>30</f>
        <v>30</v>
      </c>
      <c r="O41" s="80">
        <v>240</v>
      </c>
      <c r="P41" s="80">
        <v>160</v>
      </c>
      <c r="Q41" s="80">
        <f t="shared" si="1"/>
        <v>195</v>
      </c>
      <c r="R41" s="80">
        <f t="shared" si="2"/>
        <v>100</v>
      </c>
      <c r="S41" s="77">
        <f t="shared" si="3"/>
        <v>695</v>
      </c>
      <c r="T41" s="77">
        <f>50</f>
        <v>50</v>
      </c>
      <c r="U41" s="78"/>
      <c r="V41" s="78"/>
      <c r="W41" s="78"/>
      <c r="X41" s="78"/>
      <c r="Y41" s="78"/>
      <c r="Z41" s="78"/>
      <c r="AA41" s="78"/>
      <c r="AB41" s="78"/>
      <c r="AC41" s="78"/>
      <c r="AD41" s="78"/>
    </row>
    <row r="42" spans="1:30" ht="15.75" x14ac:dyDescent="0.25">
      <c r="A42" s="16">
        <v>42552</v>
      </c>
      <c r="B42" s="90">
        <v>31</v>
      </c>
      <c r="C42" s="77">
        <f>194.205</f>
        <v>194.20500000000001</v>
      </c>
      <c r="D42" s="77">
        <f>267.466</f>
        <v>267.46600000000001</v>
      </c>
      <c r="E42" s="85">
        <f>133.845</f>
        <v>133.845</v>
      </c>
      <c r="F42" s="77">
        <f>278.484-40-25-60-100</f>
        <v>53.48399999999998</v>
      </c>
      <c r="G42" s="80">
        <v>40</v>
      </c>
      <c r="H42" s="77">
        <f t="shared" si="7"/>
        <v>185</v>
      </c>
      <c r="I42" s="77">
        <f t="shared" si="8"/>
        <v>0</v>
      </c>
      <c r="J42" s="80">
        <v>100</v>
      </c>
      <c r="K42" s="80">
        <v>300</v>
      </c>
      <c r="L42" s="77">
        <f t="shared" si="0"/>
        <v>1274</v>
      </c>
      <c r="M42" s="87"/>
      <c r="N42" s="77">
        <f>30</f>
        <v>30</v>
      </c>
      <c r="O42" s="80">
        <v>240</v>
      </c>
      <c r="P42" s="80">
        <v>160</v>
      </c>
      <c r="Q42" s="80">
        <f t="shared" si="1"/>
        <v>195</v>
      </c>
      <c r="R42" s="80">
        <f t="shared" si="2"/>
        <v>100</v>
      </c>
      <c r="S42" s="77">
        <f t="shared" si="3"/>
        <v>695</v>
      </c>
      <c r="T42" s="77">
        <f>0</f>
        <v>0</v>
      </c>
      <c r="U42" s="78"/>
      <c r="V42" s="78"/>
      <c r="W42" s="78"/>
      <c r="X42" s="78"/>
      <c r="Y42" s="78"/>
      <c r="Z42" s="78"/>
      <c r="AA42" s="78"/>
      <c r="AB42" s="78"/>
      <c r="AC42" s="78"/>
      <c r="AD42" s="78"/>
    </row>
    <row r="43" spans="1:30" ht="15.75" x14ac:dyDescent="0.25">
      <c r="A43" s="16">
        <v>42583</v>
      </c>
      <c r="B43" s="90">
        <v>31</v>
      </c>
      <c r="C43" s="77">
        <f>194.205</f>
        <v>194.20500000000001</v>
      </c>
      <c r="D43" s="77">
        <f>267.466</f>
        <v>267.46600000000001</v>
      </c>
      <c r="E43" s="85">
        <f>133.845</f>
        <v>133.845</v>
      </c>
      <c r="F43" s="77">
        <f>278.484-40-25-60-100</f>
        <v>53.48399999999998</v>
      </c>
      <c r="G43" s="80">
        <v>40</v>
      </c>
      <c r="H43" s="77">
        <f t="shared" si="7"/>
        <v>185</v>
      </c>
      <c r="I43" s="77">
        <f t="shared" si="8"/>
        <v>0</v>
      </c>
      <c r="J43" s="80">
        <v>100</v>
      </c>
      <c r="K43" s="80">
        <v>300</v>
      </c>
      <c r="L43" s="77">
        <f t="shared" si="0"/>
        <v>1274</v>
      </c>
      <c r="M43" s="87"/>
      <c r="N43" s="77">
        <f>30</f>
        <v>30</v>
      </c>
      <c r="O43" s="80">
        <v>240</v>
      </c>
      <c r="P43" s="80">
        <v>160</v>
      </c>
      <c r="Q43" s="80">
        <f t="shared" si="1"/>
        <v>195</v>
      </c>
      <c r="R43" s="80">
        <f t="shared" si="2"/>
        <v>100</v>
      </c>
      <c r="S43" s="77">
        <f t="shared" si="3"/>
        <v>695</v>
      </c>
      <c r="T43" s="77">
        <f>0</f>
        <v>0</v>
      </c>
      <c r="U43" s="78"/>
      <c r="V43" s="78"/>
      <c r="W43" s="78"/>
      <c r="X43" s="78"/>
      <c r="Y43" s="78"/>
      <c r="Z43" s="78"/>
      <c r="AA43" s="78"/>
      <c r="AB43" s="78"/>
      <c r="AC43" s="78"/>
      <c r="AD43" s="78"/>
    </row>
    <row r="44" spans="1:30" ht="15.75" x14ac:dyDescent="0.25">
      <c r="A44" s="16">
        <v>42614</v>
      </c>
      <c r="B44" s="90">
        <v>30</v>
      </c>
      <c r="C44" s="77">
        <f>194.205</f>
        <v>194.20500000000001</v>
      </c>
      <c r="D44" s="77">
        <f>267.466</f>
        <v>267.46600000000001</v>
      </c>
      <c r="E44" s="85">
        <f>133.845</f>
        <v>133.845</v>
      </c>
      <c r="F44" s="77">
        <f>278.484-40-25-60-100</f>
        <v>53.48399999999998</v>
      </c>
      <c r="G44" s="80">
        <v>40</v>
      </c>
      <c r="H44" s="77">
        <f t="shared" si="7"/>
        <v>185</v>
      </c>
      <c r="I44" s="77">
        <f t="shared" si="8"/>
        <v>0</v>
      </c>
      <c r="J44" s="80">
        <v>100</v>
      </c>
      <c r="K44" s="80">
        <v>300</v>
      </c>
      <c r="L44" s="77">
        <f t="shared" si="0"/>
        <v>1274</v>
      </c>
      <c r="M44" s="87"/>
      <c r="N44" s="77">
        <f>30</f>
        <v>30</v>
      </c>
      <c r="O44" s="80">
        <v>240</v>
      </c>
      <c r="P44" s="80">
        <v>160</v>
      </c>
      <c r="Q44" s="80">
        <f t="shared" si="1"/>
        <v>195</v>
      </c>
      <c r="R44" s="80">
        <f t="shared" si="2"/>
        <v>100</v>
      </c>
      <c r="S44" s="77">
        <f t="shared" si="3"/>
        <v>695</v>
      </c>
      <c r="T44" s="77">
        <f>0</f>
        <v>0</v>
      </c>
      <c r="U44" s="78"/>
      <c r="V44" s="78"/>
      <c r="W44" s="78"/>
      <c r="X44" s="78"/>
      <c r="Y44" s="78"/>
      <c r="Z44" s="78"/>
      <c r="AA44" s="78"/>
      <c r="AB44" s="78"/>
      <c r="AC44" s="78"/>
      <c r="AD44" s="78"/>
    </row>
    <row r="45" spans="1:30" ht="15.75" x14ac:dyDescent="0.25">
      <c r="A45" s="16">
        <v>42644</v>
      </c>
      <c r="B45" s="90">
        <v>31</v>
      </c>
      <c r="C45" s="77">
        <f>131.881</f>
        <v>131.881</v>
      </c>
      <c r="D45" s="77">
        <f>277.167</f>
        <v>277.16699999999997</v>
      </c>
      <c r="E45" s="85">
        <f>79.08</f>
        <v>79.08</v>
      </c>
      <c r="F45" s="77">
        <f>350.872-40-25-60-100</f>
        <v>125.87200000000001</v>
      </c>
      <c r="G45" s="80">
        <v>40</v>
      </c>
      <c r="H45" s="77">
        <f t="shared" si="7"/>
        <v>185</v>
      </c>
      <c r="I45" s="77">
        <f t="shared" si="8"/>
        <v>0</v>
      </c>
      <c r="J45" s="80">
        <v>100</v>
      </c>
      <c r="K45" s="80">
        <v>300</v>
      </c>
      <c r="L45" s="77">
        <f t="shared" si="0"/>
        <v>1239</v>
      </c>
      <c r="M45" s="87"/>
      <c r="N45" s="77">
        <f>75</f>
        <v>75</v>
      </c>
      <c r="O45" s="80">
        <v>240</v>
      </c>
      <c r="P45" s="80">
        <v>160</v>
      </c>
      <c r="Q45" s="80">
        <f t="shared" si="1"/>
        <v>195</v>
      </c>
      <c r="R45" s="80">
        <f t="shared" si="2"/>
        <v>100</v>
      </c>
      <c r="S45" s="77">
        <f t="shared" si="3"/>
        <v>695</v>
      </c>
      <c r="T45" s="77">
        <f>0</f>
        <v>0</v>
      </c>
      <c r="U45" s="78"/>
      <c r="V45" s="78"/>
      <c r="W45" s="78"/>
      <c r="X45" s="78"/>
      <c r="Y45" s="78"/>
      <c r="Z45" s="78"/>
      <c r="AA45" s="78"/>
      <c r="AB45" s="78"/>
      <c r="AC45" s="78"/>
      <c r="AD45" s="78"/>
    </row>
    <row r="46" spans="1:30" ht="15.75" x14ac:dyDescent="0.25">
      <c r="A46" s="16">
        <v>42675</v>
      </c>
      <c r="B46" s="90">
        <v>30</v>
      </c>
      <c r="C46" s="77">
        <f>122.58</f>
        <v>122.58</v>
      </c>
      <c r="D46" s="77">
        <f>297.941</f>
        <v>297.94099999999997</v>
      </c>
      <c r="E46" s="85">
        <f>89.177</f>
        <v>89.177000000000007</v>
      </c>
      <c r="F46" s="77">
        <f>240.302-40-60-100</f>
        <v>40.301999999999992</v>
      </c>
      <c r="G46" s="80">
        <v>40</v>
      </c>
      <c r="H46" s="77">
        <f>60+100</f>
        <v>160</v>
      </c>
      <c r="I46" s="77">
        <f t="shared" si="8"/>
        <v>0</v>
      </c>
      <c r="J46" s="80">
        <v>100</v>
      </c>
      <c r="K46" s="80">
        <v>300</v>
      </c>
      <c r="L46" s="77">
        <f t="shared" si="0"/>
        <v>1150</v>
      </c>
      <c r="M46" s="87"/>
      <c r="N46" s="77">
        <f>100</f>
        <v>100</v>
      </c>
      <c r="O46" s="80">
        <v>240</v>
      </c>
      <c r="P46" s="80">
        <v>40</v>
      </c>
      <c r="Q46" s="80">
        <f t="shared" si="1"/>
        <v>315</v>
      </c>
      <c r="R46" s="80">
        <f t="shared" si="2"/>
        <v>100</v>
      </c>
      <c r="S46" s="77">
        <f t="shared" si="3"/>
        <v>695</v>
      </c>
      <c r="T46" s="77">
        <f>50</f>
        <v>50</v>
      </c>
      <c r="U46" s="78"/>
      <c r="V46" s="78"/>
      <c r="W46" s="78"/>
      <c r="X46" s="78"/>
      <c r="Y46" s="78"/>
      <c r="Z46" s="78"/>
      <c r="AA46" s="78"/>
      <c r="AB46" s="78"/>
      <c r="AC46" s="78"/>
      <c r="AD46" s="78"/>
    </row>
    <row r="47" spans="1:30" ht="15.75" x14ac:dyDescent="0.25">
      <c r="A47" s="16">
        <v>42705</v>
      </c>
      <c r="B47" s="90">
        <v>31</v>
      </c>
      <c r="C47" s="77">
        <f>122.58</f>
        <v>122.58</v>
      </c>
      <c r="D47" s="77">
        <f>297.941</f>
        <v>297.94099999999997</v>
      </c>
      <c r="E47" s="85">
        <f>89.177</f>
        <v>89.177000000000007</v>
      </c>
      <c r="F47" s="77">
        <f>240.302-40-60-100</f>
        <v>40.301999999999992</v>
      </c>
      <c r="G47" s="80">
        <v>40</v>
      </c>
      <c r="H47" s="77">
        <f>60+100</f>
        <v>160</v>
      </c>
      <c r="I47" s="77">
        <f t="shared" si="8"/>
        <v>0</v>
      </c>
      <c r="J47" s="80">
        <v>100</v>
      </c>
      <c r="K47" s="80">
        <v>300</v>
      </c>
      <c r="L47" s="77">
        <f t="shared" si="0"/>
        <v>1150</v>
      </c>
      <c r="M47" s="87"/>
      <c r="N47" s="77">
        <f>100</f>
        <v>100</v>
      </c>
      <c r="O47" s="80">
        <v>240</v>
      </c>
      <c r="P47" s="80">
        <v>40</v>
      </c>
      <c r="Q47" s="80">
        <f t="shared" si="1"/>
        <v>315</v>
      </c>
      <c r="R47" s="80">
        <f t="shared" si="2"/>
        <v>100</v>
      </c>
      <c r="S47" s="77">
        <f t="shared" si="3"/>
        <v>695</v>
      </c>
      <c r="T47" s="77">
        <f>50</f>
        <v>50</v>
      </c>
      <c r="U47" s="78"/>
      <c r="V47" s="78"/>
      <c r="W47" s="78"/>
      <c r="X47" s="78"/>
      <c r="Y47" s="78"/>
      <c r="Z47" s="78"/>
      <c r="AA47" s="78"/>
      <c r="AB47" s="78"/>
      <c r="AC47" s="78"/>
      <c r="AD47" s="78"/>
    </row>
    <row r="48" spans="1:30" ht="15.75" x14ac:dyDescent="0.25">
      <c r="A48" s="16">
        <v>42736</v>
      </c>
      <c r="B48" s="90">
        <v>31</v>
      </c>
      <c r="C48" s="77">
        <f>122.58</f>
        <v>122.58</v>
      </c>
      <c r="D48" s="77">
        <f>297.941</f>
        <v>297.94099999999997</v>
      </c>
      <c r="E48" s="85">
        <f>89.177</f>
        <v>89.177000000000007</v>
      </c>
      <c r="F48" s="77">
        <f>240.302-40-60-100</f>
        <v>40.301999999999992</v>
      </c>
      <c r="G48" s="80">
        <v>40</v>
      </c>
      <c r="H48" s="77">
        <f>60+100</f>
        <v>160</v>
      </c>
      <c r="I48" s="77">
        <f t="shared" si="8"/>
        <v>0</v>
      </c>
      <c r="J48" s="80">
        <v>100</v>
      </c>
      <c r="K48" s="80">
        <v>300</v>
      </c>
      <c r="L48" s="77">
        <f t="shared" si="0"/>
        <v>1150</v>
      </c>
      <c r="M48" s="87">
        <v>400</v>
      </c>
      <c r="N48" s="77">
        <f>100</f>
        <v>100</v>
      </c>
      <c r="O48" s="80">
        <v>240</v>
      </c>
      <c r="P48" s="80">
        <v>40</v>
      </c>
      <c r="Q48" s="80">
        <f t="shared" si="1"/>
        <v>315</v>
      </c>
      <c r="R48" s="80">
        <f t="shared" si="2"/>
        <v>100</v>
      </c>
      <c r="S48" s="77">
        <f t="shared" si="3"/>
        <v>695</v>
      </c>
      <c r="T48" s="77">
        <f>50</f>
        <v>50</v>
      </c>
      <c r="U48" s="78"/>
      <c r="V48" s="78"/>
      <c r="W48" s="78"/>
      <c r="X48" s="78"/>
      <c r="Y48" s="78"/>
      <c r="Z48" s="78"/>
      <c r="AA48" s="78"/>
      <c r="AB48" s="78"/>
      <c r="AC48" s="78"/>
      <c r="AD48" s="78"/>
    </row>
    <row r="49" spans="1:30" ht="15.75" x14ac:dyDescent="0.25">
      <c r="A49" s="16">
        <v>42767</v>
      </c>
      <c r="B49" s="90">
        <v>28</v>
      </c>
      <c r="C49" s="77">
        <f>122.58</f>
        <v>122.58</v>
      </c>
      <c r="D49" s="77">
        <f>297.941</f>
        <v>297.94099999999997</v>
      </c>
      <c r="E49" s="85">
        <f>89.177</f>
        <v>89.177000000000007</v>
      </c>
      <c r="F49" s="77">
        <f>240.302-40-60-100</f>
        <v>40.301999999999992</v>
      </c>
      <c r="G49" s="80">
        <v>40</v>
      </c>
      <c r="H49" s="77">
        <f>60+100</f>
        <v>160</v>
      </c>
      <c r="I49" s="77">
        <f t="shared" si="8"/>
        <v>0</v>
      </c>
      <c r="J49" s="80">
        <v>100</v>
      </c>
      <c r="K49" s="80">
        <v>300</v>
      </c>
      <c r="L49" s="77">
        <f t="shared" si="0"/>
        <v>1150</v>
      </c>
      <c r="M49" s="87">
        <v>400</v>
      </c>
      <c r="N49" s="77">
        <f>100</f>
        <v>100</v>
      </c>
      <c r="O49" s="80">
        <v>240</v>
      </c>
      <c r="P49" s="80">
        <v>40</v>
      </c>
      <c r="Q49" s="80">
        <f t="shared" si="1"/>
        <v>315</v>
      </c>
      <c r="R49" s="80">
        <f t="shared" si="2"/>
        <v>100</v>
      </c>
      <c r="S49" s="77">
        <f t="shared" si="3"/>
        <v>695</v>
      </c>
      <c r="T49" s="77">
        <f>50</f>
        <v>50</v>
      </c>
      <c r="U49" s="78"/>
      <c r="V49" s="78"/>
      <c r="W49" s="78"/>
      <c r="X49" s="78"/>
      <c r="Y49" s="78"/>
      <c r="Z49" s="78"/>
      <c r="AA49" s="78"/>
      <c r="AB49" s="78"/>
      <c r="AC49" s="78"/>
      <c r="AD49" s="78"/>
    </row>
    <row r="50" spans="1:30" ht="15.75" x14ac:dyDescent="0.25">
      <c r="A50" s="16">
        <v>42795</v>
      </c>
      <c r="B50" s="90">
        <v>31</v>
      </c>
      <c r="C50" s="77">
        <f>122.58</f>
        <v>122.58</v>
      </c>
      <c r="D50" s="77">
        <f>297.941</f>
        <v>297.94099999999997</v>
      </c>
      <c r="E50" s="85">
        <f>89.177</f>
        <v>89.177000000000007</v>
      </c>
      <c r="F50" s="77">
        <f>240.302-40-60-100</f>
        <v>40.301999999999992</v>
      </c>
      <c r="G50" s="80">
        <v>40</v>
      </c>
      <c r="H50" s="77">
        <f>60+100</f>
        <v>160</v>
      </c>
      <c r="I50" s="77">
        <f t="shared" si="8"/>
        <v>0</v>
      </c>
      <c r="J50" s="80">
        <v>100</v>
      </c>
      <c r="K50" s="80">
        <v>300</v>
      </c>
      <c r="L50" s="77">
        <f t="shared" si="0"/>
        <v>1150</v>
      </c>
      <c r="M50" s="87">
        <v>400</v>
      </c>
      <c r="N50" s="77">
        <f>100</f>
        <v>100</v>
      </c>
      <c r="O50" s="80">
        <v>240</v>
      </c>
      <c r="P50" s="80">
        <v>40</v>
      </c>
      <c r="Q50" s="80">
        <f t="shared" si="1"/>
        <v>315</v>
      </c>
      <c r="R50" s="80">
        <f t="shared" si="2"/>
        <v>100</v>
      </c>
      <c r="S50" s="77">
        <f t="shared" si="3"/>
        <v>695</v>
      </c>
      <c r="T50" s="77">
        <f>50</f>
        <v>50</v>
      </c>
      <c r="U50" s="78"/>
      <c r="V50" s="78"/>
      <c r="W50" s="78"/>
      <c r="X50" s="78"/>
      <c r="Y50" s="78"/>
      <c r="Z50" s="78"/>
      <c r="AA50" s="78"/>
      <c r="AB50" s="78"/>
      <c r="AC50" s="78"/>
      <c r="AD50" s="78"/>
    </row>
    <row r="51" spans="1:30" ht="15.75" x14ac:dyDescent="0.25">
      <c r="A51" s="16">
        <v>42826</v>
      </c>
      <c r="B51" s="90">
        <v>30</v>
      </c>
      <c r="C51" s="77">
        <f>141.293</f>
        <v>141.29300000000001</v>
      </c>
      <c r="D51" s="77">
        <f>267.993</f>
        <v>267.99299999999999</v>
      </c>
      <c r="E51" s="85">
        <f>115.016</f>
        <v>115.01600000000001</v>
      </c>
      <c r="F51" s="77">
        <f>314.698-40-25-60-100</f>
        <v>89.697999999999979</v>
      </c>
      <c r="G51" s="80">
        <v>40</v>
      </c>
      <c r="H51" s="77">
        <f t="shared" ref="H51:H57" si="9">25+60+100</f>
        <v>185</v>
      </c>
      <c r="I51" s="77">
        <f t="shared" si="8"/>
        <v>0</v>
      </c>
      <c r="J51" s="80">
        <v>100</v>
      </c>
      <c r="K51" s="80">
        <v>300</v>
      </c>
      <c r="L51" s="77">
        <f t="shared" si="0"/>
        <v>1239</v>
      </c>
      <c r="M51" s="87">
        <v>400</v>
      </c>
      <c r="N51" s="77">
        <f>100</f>
        <v>100</v>
      </c>
      <c r="O51" s="80">
        <v>240</v>
      </c>
      <c r="P51" s="80">
        <v>160</v>
      </c>
      <c r="Q51" s="80">
        <f t="shared" si="1"/>
        <v>195</v>
      </c>
      <c r="R51" s="80">
        <f t="shared" si="2"/>
        <v>100</v>
      </c>
      <c r="S51" s="77">
        <f t="shared" si="3"/>
        <v>695</v>
      </c>
      <c r="T51" s="77">
        <f>50</f>
        <v>50</v>
      </c>
      <c r="U51" s="78"/>
      <c r="V51" s="78"/>
      <c r="W51" s="78"/>
      <c r="X51" s="78"/>
      <c r="Y51" s="78"/>
      <c r="Z51" s="78"/>
      <c r="AA51" s="78"/>
      <c r="AB51" s="78"/>
      <c r="AC51" s="78"/>
      <c r="AD51" s="78"/>
    </row>
    <row r="52" spans="1:30" ht="15.75" x14ac:dyDescent="0.25">
      <c r="A52" s="16">
        <v>42856</v>
      </c>
      <c r="B52" s="90">
        <v>31</v>
      </c>
      <c r="C52" s="77">
        <f>194.205</f>
        <v>194.20500000000001</v>
      </c>
      <c r="D52" s="77">
        <f>267.466</f>
        <v>267.46600000000001</v>
      </c>
      <c r="E52" s="85">
        <f>133.845</f>
        <v>133.845</v>
      </c>
      <c r="F52" s="77">
        <f>278.484-40-25-60-100</f>
        <v>53.48399999999998</v>
      </c>
      <c r="G52" s="80">
        <v>40</v>
      </c>
      <c r="H52" s="77">
        <f t="shared" si="9"/>
        <v>185</v>
      </c>
      <c r="I52" s="77">
        <f t="shared" si="8"/>
        <v>0</v>
      </c>
      <c r="J52" s="80">
        <v>100</v>
      </c>
      <c r="K52" s="80">
        <v>300</v>
      </c>
      <c r="L52" s="77">
        <f t="shared" si="0"/>
        <v>1274</v>
      </c>
      <c r="M52" s="87">
        <v>400</v>
      </c>
      <c r="N52" s="77">
        <f>75</f>
        <v>75</v>
      </c>
      <c r="O52" s="80">
        <v>240</v>
      </c>
      <c r="P52" s="80">
        <v>160</v>
      </c>
      <c r="Q52" s="80">
        <f t="shared" si="1"/>
        <v>195</v>
      </c>
      <c r="R52" s="80">
        <f t="shared" si="2"/>
        <v>100</v>
      </c>
      <c r="S52" s="77">
        <f t="shared" si="3"/>
        <v>695</v>
      </c>
      <c r="T52" s="77">
        <f>50</f>
        <v>50</v>
      </c>
      <c r="U52" s="78"/>
      <c r="V52" s="78"/>
      <c r="W52" s="78"/>
      <c r="X52" s="78"/>
      <c r="Y52" s="78"/>
      <c r="Z52" s="78"/>
      <c r="AA52" s="78"/>
      <c r="AB52" s="78"/>
      <c r="AC52" s="78"/>
      <c r="AD52" s="78"/>
    </row>
    <row r="53" spans="1:30" ht="15.75" x14ac:dyDescent="0.25">
      <c r="A53" s="16">
        <v>42887</v>
      </c>
      <c r="B53" s="90">
        <v>30</v>
      </c>
      <c r="C53" s="77">
        <f>194.205</f>
        <v>194.20500000000001</v>
      </c>
      <c r="D53" s="77">
        <f>267.466</f>
        <v>267.46600000000001</v>
      </c>
      <c r="E53" s="85">
        <f>133.845</f>
        <v>133.845</v>
      </c>
      <c r="F53" s="77">
        <f>278.484-40-25-60-100</f>
        <v>53.48399999999998</v>
      </c>
      <c r="G53" s="80">
        <v>40</v>
      </c>
      <c r="H53" s="77">
        <f t="shared" si="9"/>
        <v>185</v>
      </c>
      <c r="I53" s="77">
        <f t="shared" si="8"/>
        <v>0</v>
      </c>
      <c r="J53" s="80">
        <v>100</v>
      </c>
      <c r="K53" s="80">
        <v>300</v>
      </c>
      <c r="L53" s="77">
        <f t="shared" si="0"/>
        <v>1274</v>
      </c>
      <c r="M53" s="87">
        <v>400</v>
      </c>
      <c r="N53" s="77">
        <f>30</f>
        <v>30</v>
      </c>
      <c r="O53" s="80">
        <v>240</v>
      </c>
      <c r="P53" s="80">
        <v>160</v>
      </c>
      <c r="Q53" s="80">
        <f t="shared" si="1"/>
        <v>195</v>
      </c>
      <c r="R53" s="80">
        <f t="shared" si="2"/>
        <v>100</v>
      </c>
      <c r="S53" s="77">
        <f t="shared" si="3"/>
        <v>695</v>
      </c>
      <c r="T53" s="77">
        <f>50</f>
        <v>50</v>
      </c>
      <c r="U53" s="78"/>
      <c r="V53" s="78"/>
      <c r="W53" s="78"/>
      <c r="X53" s="78"/>
      <c r="Y53" s="78"/>
      <c r="Z53" s="78"/>
      <c r="AA53" s="78"/>
      <c r="AB53" s="78"/>
      <c r="AC53" s="78"/>
      <c r="AD53" s="78"/>
    </row>
    <row r="54" spans="1:30" ht="15.75" x14ac:dyDescent="0.25">
      <c r="A54" s="16">
        <v>42917</v>
      </c>
      <c r="B54" s="90">
        <v>31</v>
      </c>
      <c r="C54" s="77">
        <f>194.205</f>
        <v>194.20500000000001</v>
      </c>
      <c r="D54" s="77">
        <f>267.466</f>
        <v>267.46600000000001</v>
      </c>
      <c r="E54" s="85">
        <f>133.845</f>
        <v>133.845</v>
      </c>
      <c r="F54" s="77">
        <f>278.484-40-25-60-100</f>
        <v>53.48399999999998</v>
      </c>
      <c r="G54" s="80">
        <v>40</v>
      </c>
      <c r="H54" s="77">
        <f t="shared" si="9"/>
        <v>185</v>
      </c>
      <c r="I54" s="77">
        <f t="shared" si="8"/>
        <v>0</v>
      </c>
      <c r="J54" s="80">
        <v>100</v>
      </c>
      <c r="K54" s="80">
        <v>300</v>
      </c>
      <c r="L54" s="77">
        <f t="shared" si="0"/>
        <v>1274</v>
      </c>
      <c r="M54" s="87">
        <v>400</v>
      </c>
      <c r="N54" s="77">
        <f>30</f>
        <v>30</v>
      </c>
      <c r="O54" s="80">
        <v>240</v>
      </c>
      <c r="P54" s="80">
        <v>160</v>
      </c>
      <c r="Q54" s="80">
        <f t="shared" si="1"/>
        <v>195</v>
      </c>
      <c r="R54" s="80">
        <f t="shared" si="2"/>
        <v>100</v>
      </c>
      <c r="S54" s="77">
        <f t="shared" si="3"/>
        <v>695</v>
      </c>
      <c r="T54" s="77">
        <f>0</f>
        <v>0</v>
      </c>
      <c r="U54" s="78"/>
      <c r="V54" s="78"/>
      <c r="W54" s="78"/>
      <c r="X54" s="78"/>
      <c r="Y54" s="78"/>
      <c r="Z54" s="78"/>
      <c r="AA54" s="78"/>
      <c r="AB54" s="78"/>
      <c r="AC54" s="78"/>
      <c r="AD54" s="78"/>
    </row>
    <row r="55" spans="1:30" ht="15.75" x14ac:dyDescent="0.25">
      <c r="A55" s="16">
        <v>42948</v>
      </c>
      <c r="B55" s="90">
        <v>31</v>
      </c>
      <c r="C55" s="77">
        <f>194.205</f>
        <v>194.20500000000001</v>
      </c>
      <c r="D55" s="77">
        <f>267.466</f>
        <v>267.46600000000001</v>
      </c>
      <c r="E55" s="85">
        <f>133.845</f>
        <v>133.845</v>
      </c>
      <c r="F55" s="77">
        <f>278.484-40-25-60-100</f>
        <v>53.48399999999998</v>
      </c>
      <c r="G55" s="80">
        <v>40</v>
      </c>
      <c r="H55" s="77">
        <f t="shared" si="9"/>
        <v>185</v>
      </c>
      <c r="I55" s="77">
        <f t="shared" si="8"/>
        <v>0</v>
      </c>
      <c r="J55" s="80">
        <v>100</v>
      </c>
      <c r="K55" s="80">
        <v>300</v>
      </c>
      <c r="L55" s="77">
        <f t="shared" si="0"/>
        <v>1274</v>
      </c>
      <c r="M55" s="87">
        <v>400</v>
      </c>
      <c r="N55" s="77">
        <f>30</f>
        <v>30</v>
      </c>
      <c r="O55" s="80">
        <v>240</v>
      </c>
      <c r="P55" s="80">
        <v>160</v>
      </c>
      <c r="Q55" s="80">
        <f t="shared" si="1"/>
        <v>195</v>
      </c>
      <c r="R55" s="80">
        <f t="shared" si="2"/>
        <v>100</v>
      </c>
      <c r="S55" s="77">
        <f t="shared" si="3"/>
        <v>695</v>
      </c>
      <c r="T55" s="77">
        <f>0</f>
        <v>0</v>
      </c>
      <c r="U55" s="78"/>
      <c r="V55" s="78"/>
      <c r="W55" s="78"/>
      <c r="X55" s="78"/>
      <c r="Y55" s="78"/>
      <c r="Z55" s="78"/>
      <c r="AA55" s="78"/>
      <c r="AB55" s="78"/>
      <c r="AC55" s="78"/>
      <c r="AD55" s="78"/>
    </row>
    <row r="56" spans="1:30" ht="15.75" x14ac:dyDescent="0.25">
      <c r="A56" s="16">
        <v>42979</v>
      </c>
      <c r="B56" s="90">
        <v>30</v>
      </c>
      <c r="C56" s="77">
        <f>194.205</f>
        <v>194.20500000000001</v>
      </c>
      <c r="D56" s="77">
        <f>267.466</f>
        <v>267.46600000000001</v>
      </c>
      <c r="E56" s="85">
        <f>133.845</f>
        <v>133.845</v>
      </c>
      <c r="F56" s="77">
        <f>278.484-40-25-60-100</f>
        <v>53.48399999999998</v>
      </c>
      <c r="G56" s="80">
        <v>40</v>
      </c>
      <c r="H56" s="77">
        <f t="shared" si="9"/>
        <v>185</v>
      </c>
      <c r="I56" s="77">
        <f t="shared" si="8"/>
        <v>0</v>
      </c>
      <c r="J56" s="80">
        <v>100</v>
      </c>
      <c r="K56" s="80">
        <v>300</v>
      </c>
      <c r="L56" s="77">
        <f t="shared" si="0"/>
        <v>1274</v>
      </c>
      <c r="M56" s="87">
        <v>400</v>
      </c>
      <c r="N56" s="77">
        <f>30</f>
        <v>30</v>
      </c>
      <c r="O56" s="80">
        <v>240</v>
      </c>
      <c r="P56" s="80">
        <v>160</v>
      </c>
      <c r="Q56" s="80">
        <f t="shared" si="1"/>
        <v>195</v>
      </c>
      <c r="R56" s="80">
        <f t="shared" si="2"/>
        <v>100</v>
      </c>
      <c r="S56" s="77">
        <f t="shared" si="3"/>
        <v>695</v>
      </c>
      <c r="T56" s="77">
        <f>0</f>
        <v>0</v>
      </c>
      <c r="U56" s="78"/>
      <c r="V56" s="78"/>
      <c r="W56" s="78"/>
      <c r="X56" s="78"/>
      <c r="Y56" s="78"/>
      <c r="Z56" s="78"/>
      <c r="AA56" s="78"/>
      <c r="AB56" s="78"/>
      <c r="AC56" s="78"/>
      <c r="AD56" s="78"/>
    </row>
    <row r="57" spans="1:30" ht="15.75" x14ac:dyDescent="0.25">
      <c r="A57" s="16">
        <v>43009</v>
      </c>
      <c r="B57" s="90">
        <v>31</v>
      </c>
      <c r="C57" s="77">
        <f>131.881</f>
        <v>131.881</v>
      </c>
      <c r="D57" s="77">
        <f>277.167</f>
        <v>277.16699999999997</v>
      </c>
      <c r="E57" s="85">
        <f>79.08</f>
        <v>79.08</v>
      </c>
      <c r="F57" s="77">
        <f>350.872-40-25-60-100</f>
        <v>125.87200000000001</v>
      </c>
      <c r="G57" s="80">
        <v>40</v>
      </c>
      <c r="H57" s="77">
        <f t="shared" si="9"/>
        <v>185</v>
      </c>
      <c r="I57" s="77">
        <f t="shared" si="8"/>
        <v>0</v>
      </c>
      <c r="J57" s="80">
        <v>100</v>
      </c>
      <c r="K57" s="80">
        <v>300</v>
      </c>
      <c r="L57" s="77">
        <f t="shared" si="0"/>
        <v>1239</v>
      </c>
      <c r="M57" s="87">
        <v>400</v>
      </c>
      <c r="N57" s="77">
        <f>75</f>
        <v>75</v>
      </c>
      <c r="O57" s="80">
        <v>240</v>
      </c>
      <c r="P57" s="80">
        <v>160</v>
      </c>
      <c r="Q57" s="80">
        <f t="shared" si="1"/>
        <v>195</v>
      </c>
      <c r="R57" s="80">
        <f t="shared" si="2"/>
        <v>100</v>
      </c>
      <c r="S57" s="77">
        <f t="shared" si="3"/>
        <v>695</v>
      </c>
      <c r="T57" s="77">
        <f>0</f>
        <v>0</v>
      </c>
      <c r="U57" s="78"/>
      <c r="V57" s="78"/>
      <c r="W57" s="78"/>
      <c r="X57" s="78"/>
      <c r="Y57" s="78"/>
      <c r="Z57" s="78"/>
      <c r="AA57" s="78"/>
      <c r="AB57" s="78"/>
      <c r="AC57" s="78"/>
      <c r="AD57" s="78"/>
    </row>
    <row r="58" spans="1:30" ht="15.75" x14ac:dyDescent="0.25">
      <c r="A58" s="16">
        <v>43040</v>
      </c>
      <c r="B58" s="90">
        <v>30</v>
      </c>
      <c r="C58" s="77">
        <f>122.58</f>
        <v>122.58</v>
      </c>
      <c r="D58" s="77">
        <f>297.941</f>
        <v>297.94099999999997</v>
      </c>
      <c r="E58" s="85">
        <f>89.177</f>
        <v>89.177000000000007</v>
      </c>
      <c r="F58" s="77">
        <f>240.302-40-60-100</f>
        <v>40.301999999999992</v>
      </c>
      <c r="G58" s="80">
        <v>40</v>
      </c>
      <c r="H58" s="77">
        <f>60+100</f>
        <v>160</v>
      </c>
      <c r="I58" s="77">
        <f t="shared" si="8"/>
        <v>0</v>
      </c>
      <c r="J58" s="80">
        <v>100</v>
      </c>
      <c r="K58" s="80">
        <v>300</v>
      </c>
      <c r="L58" s="77">
        <f t="shared" si="0"/>
        <v>1150</v>
      </c>
      <c r="M58" s="87">
        <v>400</v>
      </c>
      <c r="N58" s="77">
        <f>100</f>
        <v>100</v>
      </c>
      <c r="O58" s="80">
        <v>240</v>
      </c>
      <c r="P58" s="80">
        <v>40</v>
      </c>
      <c r="Q58" s="80">
        <f t="shared" si="1"/>
        <v>315</v>
      </c>
      <c r="R58" s="80">
        <f t="shared" si="2"/>
        <v>100</v>
      </c>
      <c r="S58" s="77">
        <f t="shared" si="3"/>
        <v>695</v>
      </c>
      <c r="T58" s="77">
        <f>50</f>
        <v>50</v>
      </c>
      <c r="U58" s="78"/>
      <c r="V58" s="78"/>
      <c r="W58" s="78"/>
      <c r="X58" s="78"/>
      <c r="Y58" s="78"/>
      <c r="Z58" s="78"/>
      <c r="AA58" s="78"/>
      <c r="AB58" s="78"/>
      <c r="AC58" s="78"/>
      <c r="AD58" s="78"/>
    </row>
    <row r="59" spans="1:30" ht="15.75" x14ac:dyDescent="0.25">
      <c r="A59" s="16">
        <v>43070</v>
      </c>
      <c r="B59" s="90">
        <v>31</v>
      </c>
      <c r="C59" s="77">
        <f>122.58</f>
        <v>122.58</v>
      </c>
      <c r="D59" s="77">
        <f>297.941</f>
        <v>297.94099999999997</v>
      </c>
      <c r="E59" s="85">
        <f>89.177</f>
        <v>89.177000000000007</v>
      </c>
      <c r="F59" s="77">
        <f>240.302-40-60-100</f>
        <v>40.301999999999992</v>
      </c>
      <c r="G59" s="80">
        <v>40</v>
      </c>
      <c r="H59" s="77">
        <f>60+100</f>
        <v>160</v>
      </c>
      <c r="I59" s="77">
        <f t="shared" si="8"/>
        <v>0</v>
      </c>
      <c r="J59" s="80">
        <v>100</v>
      </c>
      <c r="K59" s="80">
        <v>300</v>
      </c>
      <c r="L59" s="77">
        <f t="shared" si="0"/>
        <v>1150</v>
      </c>
      <c r="M59" s="87">
        <v>400</v>
      </c>
      <c r="N59" s="77">
        <f>100</f>
        <v>100</v>
      </c>
      <c r="O59" s="80">
        <v>240</v>
      </c>
      <c r="P59" s="80">
        <v>40</v>
      </c>
      <c r="Q59" s="80">
        <f t="shared" si="1"/>
        <v>315</v>
      </c>
      <c r="R59" s="80">
        <f t="shared" si="2"/>
        <v>100</v>
      </c>
      <c r="S59" s="77">
        <f t="shared" si="3"/>
        <v>695</v>
      </c>
      <c r="T59" s="77">
        <f>50</f>
        <v>50</v>
      </c>
      <c r="U59" s="78"/>
      <c r="V59" s="78"/>
      <c r="W59" s="78"/>
      <c r="X59" s="78"/>
      <c r="Y59" s="78"/>
      <c r="Z59" s="78"/>
      <c r="AA59" s="78"/>
      <c r="AB59" s="78"/>
      <c r="AC59" s="78"/>
      <c r="AD59" s="78"/>
    </row>
    <row r="60" spans="1:30" ht="15.75" x14ac:dyDescent="0.25">
      <c r="A60" s="16">
        <v>43101</v>
      </c>
      <c r="B60" s="90">
        <v>31</v>
      </c>
      <c r="C60" s="77">
        <f>122.58</f>
        <v>122.58</v>
      </c>
      <c r="D60" s="77">
        <f>297.941</f>
        <v>297.94099999999997</v>
      </c>
      <c r="E60" s="85">
        <f>89.177</f>
        <v>89.177000000000007</v>
      </c>
      <c r="F60" s="77">
        <f>240.302-40-60-100</f>
        <v>40.301999999999992</v>
      </c>
      <c r="G60" s="80">
        <v>40</v>
      </c>
      <c r="H60" s="77">
        <f>60+100</f>
        <v>160</v>
      </c>
      <c r="I60" s="77">
        <f t="shared" si="8"/>
        <v>0</v>
      </c>
      <c r="J60" s="80">
        <v>100</v>
      </c>
      <c r="K60" s="80">
        <v>300</v>
      </c>
      <c r="L60" s="77">
        <f t="shared" si="0"/>
        <v>1150</v>
      </c>
      <c r="M60" s="87">
        <v>400</v>
      </c>
      <c r="N60" s="77">
        <f>100</f>
        <v>100</v>
      </c>
      <c r="O60" s="80">
        <v>240</v>
      </c>
      <c r="P60" s="80">
        <v>40</v>
      </c>
      <c r="Q60" s="80">
        <f t="shared" si="1"/>
        <v>315</v>
      </c>
      <c r="R60" s="80">
        <f t="shared" si="2"/>
        <v>100</v>
      </c>
      <c r="S60" s="77">
        <f t="shared" si="3"/>
        <v>695</v>
      </c>
      <c r="T60" s="77">
        <f>50</f>
        <v>50</v>
      </c>
      <c r="U60" s="78"/>
      <c r="V60" s="78"/>
      <c r="W60" s="78"/>
      <c r="X60" s="78"/>
      <c r="Y60" s="78"/>
      <c r="Z60" s="78"/>
      <c r="AA60" s="78"/>
      <c r="AB60" s="78"/>
      <c r="AC60" s="78"/>
      <c r="AD60" s="78"/>
    </row>
    <row r="61" spans="1:30" ht="15.75" x14ac:dyDescent="0.25">
      <c r="A61" s="16">
        <v>43132</v>
      </c>
      <c r="B61" s="90">
        <v>28</v>
      </c>
      <c r="C61" s="77">
        <f>122.58</f>
        <v>122.58</v>
      </c>
      <c r="D61" s="77">
        <f>297.941</f>
        <v>297.94099999999997</v>
      </c>
      <c r="E61" s="85">
        <f>89.177</f>
        <v>89.177000000000007</v>
      </c>
      <c r="F61" s="77">
        <f>240.302-40-60-100</f>
        <v>40.301999999999992</v>
      </c>
      <c r="G61" s="80">
        <v>40</v>
      </c>
      <c r="H61" s="77">
        <f>60+100</f>
        <v>160</v>
      </c>
      <c r="I61" s="77">
        <f t="shared" si="8"/>
        <v>0</v>
      </c>
      <c r="J61" s="80">
        <v>100</v>
      </c>
      <c r="K61" s="80">
        <v>300</v>
      </c>
      <c r="L61" s="77">
        <f t="shared" si="0"/>
        <v>1150</v>
      </c>
      <c r="M61" s="87">
        <v>400</v>
      </c>
      <c r="N61" s="77">
        <f>100</f>
        <v>100</v>
      </c>
      <c r="O61" s="80">
        <v>240</v>
      </c>
      <c r="P61" s="80">
        <v>40</v>
      </c>
      <c r="Q61" s="80">
        <f t="shared" si="1"/>
        <v>315</v>
      </c>
      <c r="R61" s="80">
        <f t="shared" si="2"/>
        <v>100</v>
      </c>
      <c r="S61" s="77">
        <f t="shared" si="3"/>
        <v>695</v>
      </c>
      <c r="T61" s="77">
        <f>50</f>
        <v>50</v>
      </c>
      <c r="U61" s="78"/>
      <c r="V61" s="78"/>
      <c r="W61" s="78"/>
      <c r="X61" s="78"/>
      <c r="Y61" s="78"/>
      <c r="Z61" s="78"/>
      <c r="AA61" s="78"/>
      <c r="AB61" s="78"/>
      <c r="AC61" s="78"/>
      <c r="AD61" s="78"/>
    </row>
    <row r="62" spans="1:30" ht="15.75" x14ac:dyDescent="0.25">
      <c r="A62" s="16">
        <v>43160</v>
      </c>
      <c r="B62" s="90">
        <v>31</v>
      </c>
      <c r="C62" s="77">
        <f>122.58</f>
        <v>122.58</v>
      </c>
      <c r="D62" s="77">
        <f>297.941</f>
        <v>297.94099999999997</v>
      </c>
      <c r="E62" s="85">
        <f>89.177</f>
        <v>89.177000000000007</v>
      </c>
      <c r="F62" s="77">
        <f>240.302-40-60-100</f>
        <v>40.301999999999992</v>
      </c>
      <c r="G62" s="80">
        <v>40</v>
      </c>
      <c r="H62" s="77">
        <f>60+100</f>
        <v>160</v>
      </c>
      <c r="I62" s="77">
        <f t="shared" si="8"/>
        <v>0</v>
      </c>
      <c r="J62" s="80">
        <v>100</v>
      </c>
      <c r="K62" s="80">
        <v>300</v>
      </c>
      <c r="L62" s="77">
        <f t="shared" si="0"/>
        <v>1150</v>
      </c>
      <c r="M62" s="87">
        <v>400</v>
      </c>
      <c r="N62" s="77">
        <f>100</f>
        <v>100</v>
      </c>
      <c r="O62" s="80">
        <v>240</v>
      </c>
      <c r="P62" s="80">
        <v>40</v>
      </c>
      <c r="Q62" s="80">
        <f t="shared" si="1"/>
        <v>315</v>
      </c>
      <c r="R62" s="80">
        <f t="shared" si="2"/>
        <v>100</v>
      </c>
      <c r="S62" s="77">
        <f t="shared" si="3"/>
        <v>695</v>
      </c>
      <c r="T62" s="77">
        <f>50</f>
        <v>50</v>
      </c>
      <c r="U62" s="78"/>
      <c r="V62" s="78"/>
      <c r="W62" s="78"/>
      <c r="X62" s="78"/>
      <c r="Y62" s="78"/>
      <c r="Z62" s="78"/>
      <c r="AA62" s="78"/>
      <c r="AB62" s="78"/>
      <c r="AC62" s="78"/>
      <c r="AD62" s="78"/>
    </row>
    <row r="63" spans="1:30" ht="15.75" x14ac:dyDescent="0.25">
      <c r="A63" s="16">
        <v>43191</v>
      </c>
      <c r="B63" s="90">
        <v>30</v>
      </c>
      <c r="C63" s="77">
        <f>141.293</f>
        <v>141.29300000000001</v>
      </c>
      <c r="D63" s="77">
        <f>267.993</f>
        <v>267.99299999999999</v>
      </c>
      <c r="E63" s="85">
        <f>115.016</f>
        <v>115.01600000000001</v>
      </c>
      <c r="F63" s="77">
        <f>314.698-40-25-60-100</f>
        <v>89.697999999999979</v>
      </c>
      <c r="G63" s="80">
        <v>40</v>
      </c>
      <c r="H63" s="77">
        <f t="shared" ref="H63:H69" si="10">25+60+100</f>
        <v>185</v>
      </c>
      <c r="I63" s="77">
        <f t="shared" si="8"/>
        <v>0</v>
      </c>
      <c r="J63" s="80">
        <v>100</v>
      </c>
      <c r="K63" s="80">
        <v>300</v>
      </c>
      <c r="L63" s="77">
        <f t="shared" si="0"/>
        <v>1239</v>
      </c>
      <c r="M63" s="87">
        <v>400</v>
      </c>
      <c r="N63" s="77">
        <f>100</f>
        <v>100</v>
      </c>
      <c r="O63" s="80">
        <v>240</v>
      </c>
      <c r="P63" s="80">
        <v>160</v>
      </c>
      <c r="Q63" s="80">
        <f t="shared" si="1"/>
        <v>195</v>
      </c>
      <c r="R63" s="80">
        <f t="shared" si="2"/>
        <v>100</v>
      </c>
      <c r="S63" s="77">
        <f t="shared" si="3"/>
        <v>695</v>
      </c>
      <c r="T63" s="77">
        <f>50</f>
        <v>50</v>
      </c>
      <c r="U63" s="78"/>
      <c r="V63" s="78"/>
      <c r="W63" s="78"/>
      <c r="X63" s="78"/>
      <c r="Y63" s="78"/>
      <c r="Z63" s="78"/>
      <c r="AA63" s="78"/>
      <c r="AB63" s="78"/>
      <c r="AC63" s="78"/>
      <c r="AD63" s="78"/>
    </row>
    <row r="64" spans="1:30" ht="15.75" x14ac:dyDescent="0.25">
      <c r="A64" s="16">
        <v>43221</v>
      </c>
      <c r="B64" s="90">
        <v>31</v>
      </c>
      <c r="C64" s="77">
        <f>194.205</f>
        <v>194.20500000000001</v>
      </c>
      <c r="D64" s="77">
        <f>267.466</f>
        <v>267.46600000000001</v>
      </c>
      <c r="E64" s="85">
        <f>133.845</f>
        <v>133.845</v>
      </c>
      <c r="F64" s="77">
        <f>278.484-40-25-60-100</f>
        <v>53.48399999999998</v>
      </c>
      <c r="G64" s="80">
        <v>40</v>
      </c>
      <c r="H64" s="77">
        <f t="shared" si="10"/>
        <v>185</v>
      </c>
      <c r="I64" s="77">
        <f t="shared" si="8"/>
        <v>0</v>
      </c>
      <c r="J64" s="80">
        <v>100</v>
      </c>
      <c r="K64" s="80">
        <v>300</v>
      </c>
      <c r="L64" s="77">
        <f t="shared" si="0"/>
        <v>1274</v>
      </c>
      <c r="M64" s="87">
        <v>400</v>
      </c>
      <c r="N64" s="77">
        <f>75</f>
        <v>75</v>
      </c>
      <c r="O64" s="80">
        <v>240</v>
      </c>
      <c r="P64" s="80">
        <v>160</v>
      </c>
      <c r="Q64" s="80">
        <f t="shared" si="1"/>
        <v>195</v>
      </c>
      <c r="R64" s="80">
        <f t="shared" si="2"/>
        <v>100</v>
      </c>
      <c r="S64" s="77">
        <f t="shared" si="3"/>
        <v>695</v>
      </c>
      <c r="T64" s="77">
        <f>50</f>
        <v>50</v>
      </c>
      <c r="U64" s="78"/>
      <c r="V64" s="78"/>
      <c r="W64" s="78"/>
      <c r="X64" s="78"/>
      <c r="Y64" s="78"/>
      <c r="Z64" s="78"/>
      <c r="AA64" s="78"/>
      <c r="AB64" s="78"/>
      <c r="AC64" s="78"/>
      <c r="AD64" s="78"/>
    </row>
    <row r="65" spans="1:30" ht="15.75" x14ac:dyDescent="0.25">
      <c r="A65" s="16">
        <v>43252</v>
      </c>
      <c r="B65" s="90">
        <v>30</v>
      </c>
      <c r="C65" s="77">
        <f>194.205</f>
        <v>194.20500000000001</v>
      </c>
      <c r="D65" s="77">
        <f>267.466</f>
        <v>267.46600000000001</v>
      </c>
      <c r="E65" s="85">
        <f>133.845</f>
        <v>133.845</v>
      </c>
      <c r="F65" s="77">
        <f>278.484-40-25-60-100</f>
        <v>53.48399999999998</v>
      </c>
      <c r="G65" s="80">
        <v>40</v>
      </c>
      <c r="H65" s="77">
        <f t="shared" si="10"/>
        <v>185</v>
      </c>
      <c r="I65" s="77">
        <f t="shared" si="8"/>
        <v>0</v>
      </c>
      <c r="J65" s="80">
        <v>100</v>
      </c>
      <c r="K65" s="80">
        <v>300</v>
      </c>
      <c r="L65" s="77">
        <f t="shared" si="0"/>
        <v>1274</v>
      </c>
      <c r="M65" s="87">
        <v>400</v>
      </c>
      <c r="N65" s="77">
        <f>30</f>
        <v>30</v>
      </c>
      <c r="O65" s="80">
        <v>240</v>
      </c>
      <c r="P65" s="80">
        <v>160</v>
      </c>
      <c r="Q65" s="80">
        <f t="shared" si="1"/>
        <v>195</v>
      </c>
      <c r="R65" s="80">
        <f t="shared" si="2"/>
        <v>100</v>
      </c>
      <c r="S65" s="77">
        <f t="shared" si="3"/>
        <v>695</v>
      </c>
      <c r="T65" s="77">
        <f>50</f>
        <v>50</v>
      </c>
      <c r="U65" s="78"/>
      <c r="V65" s="78"/>
      <c r="W65" s="78"/>
      <c r="X65" s="78"/>
      <c r="Y65" s="78"/>
      <c r="Z65" s="78"/>
      <c r="AA65" s="78"/>
      <c r="AB65" s="78"/>
      <c r="AC65" s="78"/>
      <c r="AD65" s="78"/>
    </row>
    <row r="66" spans="1:30" ht="15.75" x14ac:dyDescent="0.25">
      <c r="A66" s="16">
        <v>43282</v>
      </c>
      <c r="B66" s="90">
        <v>31</v>
      </c>
      <c r="C66" s="77">
        <f>194.205</f>
        <v>194.20500000000001</v>
      </c>
      <c r="D66" s="77">
        <f>267.466</f>
        <v>267.46600000000001</v>
      </c>
      <c r="E66" s="85">
        <f>133.845</f>
        <v>133.845</v>
      </c>
      <c r="F66" s="77">
        <f>278.484-40-25-60-100</f>
        <v>53.48399999999998</v>
      </c>
      <c r="G66" s="80">
        <v>40</v>
      </c>
      <c r="H66" s="77">
        <f t="shared" si="10"/>
        <v>185</v>
      </c>
      <c r="I66" s="77">
        <f t="shared" si="8"/>
        <v>0</v>
      </c>
      <c r="J66" s="80">
        <v>100</v>
      </c>
      <c r="K66" s="80">
        <v>300</v>
      </c>
      <c r="L66" s="77">
        <f t="shared" si="0"/>
        <v>1274</v>
      </c>
      <c r="M66" s="87">
        <v>400</v>
      </c>
      <c r="N66" s="77">
        <f>30</f>
        <v>30</v>
      </c>
      <c r="O66" s="80">
        <v>240</v>
      </c>
      <c r="P66" s="80">
        <v>160</v>
      </c>
      <c r="Q66" s="80">
        <f t="shared" si="1"/>
        <v>195</v>
      </c>
      <c r="R66" s="80">
        <f t="shared" si="2"/>
        <v>100</v>
      </c>
      <c r="S66" s="77">
        <f t="shared" si="3"/>
        <v>695</v>
      </c>
      <c r="T66" s="77">
        <f>0</f>
        <v>0</v>
      </c>
      <c r="U66" s="78"/>
      <c r="V66" s="78"/>
      <c r="W66" s="78"/>
      <c r="X66" s="78"/>
      <c r="Y66" s="78"/>
      <c r="Z66" s="78"/>
      <c r="AA66" s="78"/>
      <c r="AB66" s="78"/>
      <c r="AC66" s="78"/>
      <c r="AD66" s="78"/>
    </row>
    <row r="67" spans="1:30" ht="15.75" x14ac:dyDescent="0.25">
      <c r="A67" s="16">
        <v>43313</v>
      </c>
      <c r="B67" s="90">
        <v>31</v>
      </c>
      <c r="C67" s="77">
        <f>194.205</f>
        <v>194.20500000000001</v>
      </c>
      <c r="D67" s="77">
        <f>267.466</f>
        <v>267.46600000000001</v>
      </c>
      <c r="E67" s="85">
        <f>133.845</f>
        <v>133.845</v>
      </c>
      <c r="F67" s="77">
        <f>278.484-40-25-60-100</f>
        <v>53.48399999999998</v>
      </c>
      <c r="G67" s="80">
        <v>40</v>
      </c>
      <c r="H67" s="77">
        <f t="shared" si="10"/>
        <v>185</v>
      </c>
      <c r="I67" s="77">
        <f t="shared" si="8"/>
        <v>0</v>
      </c>
      <c r="J67" s="80">
        <v>100</v>
      </c>
      <c r="K67" s="80">
        <v>300</v>
      </c>
      <c r="L67" s="77">
        <f t="shared" si="0"/>
        <v>1274</v>
      </c>
      <c r="M67" s="87">
        <v>400</v>
      </c>
      <c r="N67" s="77">
        <f>30</f>
        <v>30</v>
      </c>
      <c r="O67" s="80">
        <v>240</v>
      </c>
      <c r="P67" s="80">
        <v>160</v>
      </c>
      <c r="Q67" s="80">
        <f t="shared" si="1"/>
        <v>195</v>
      </c>
      <c r="R67" s="80">
        <f t="shared" si="2"/>
        <v>100</v>
      </c>
      <c r="S67" s="77">
        <f t="shared" si="3"/>
        <v>695</v>
      </c>
      <c r="T67" s="77">
        <f>0</f>
        <v>0</v>
      </c>
      <c r="U67" s="78"/>
      <c r="V67" s="78"/>
      <c r="W67" s="78"/>
      <c r="X67" s="78"/>
      <c r="Y67" s="78"/>
      <c r="Z67" s="78"/>
      <c r="AA67" s="78"/>
      <c r="AB67" s="78"/>
      <c r="AC67" s="78"/>
      <c r="AD67" s="78"/>
    </row>
    <row r="68" spans="1:30" ht="15.75" x14ac:dyDescent="0.25">
      <c r="A68" s="16">
        <v>43344</v>
      </c>
      <c r="B68" s="90">
        <v>30</v>
      </c>
      <c r="C68" s="77">
        <f>194.205</f>
        <v>194.20500000000001</v>
      </c>
      <c r="D68" s="77">
        <f>267.466</f>
        <v>267.46600000000001</v>
      </c>
      <c r="E68" s="85">
        <f>133.845</f>
        <v>133.845</v>
      </c>
      <c r="F68" s="77">
        <f>278.484-40-25-60-100</f>
        <v>53.48399999999998</v>
      </c>
      <c r="G68" s="80">
        <v>40</v>
      </c>
      <c r="H68" s="77">
        <f t="shared" si="10"/>
        <v>185</v>
      </c>
      <c r="I68" s="77">
        <f t="shared" si="8"/>
        <v>0</v>
      </c>
      <c r="J68" s="80">
        <v>100</v>
      </c>
      <c r="K68" s="80">
        <v>300</v>
      </c>
      <c r="L68" s="77">
        <f t="shared" si="0"/>
        <v>1274</v>
      </c>
      <c r="M68" s="87">
        <v>400</v>
      </c>
      <c r="N68" s="77">
        <f>30</f>
        <v>30</v>
      </c>
      <c r="O68" s="80">
        <v>240</v>
      </c>
      <c r="P68" s="80">
        <v>160</v>
      </c>
      <c r="Q68" s="80">
        <f t="shared" si="1"/>
        <v>195</v>
      </c>
      <c r="R68" s="80">
        <f t="shared" si="2"/>
        <v>100</v>
      </c>
      <c r="S68" s="77">
        <f t="shared" si="3"/>
        <v>695</v>
      </c>
      <c r="T68" s="77">
        <f>0</f>
        <v>0</v>
      </c>
      <c r="U68" s="78"/>
      <c r="V68" s="78"/>
      <c r="W68" s="78"/>
      <c r="X68" s="78"/>
      <c r="Y68" s="78"/>
      <c r="Z68" s="78"/>
      <c r="AA68" s="78"/>
      <c r="AB68" s="78"/>
      <c r="AC68" s="78"/>
      <c r="AD68" s="78"/>
    </row>
    <row r="69" spans="1:30" ht="15.75" x14ac:dyDescent="0.25">
      <c r="A69" s="16">
        <v>43374</v>
      </c>
      <c r="B69" s="90">
        <v>31</v>
      </c>
      <c r="C69" s="77">
        <f>131.881</f>
        <v>131.881</v>
      </c>
      <c r="D69" s="77">
        <f>277.167</f>
        <v>277.16699999999997</v>
      </c>
      <c r="E69" s="85">
        <f>79.08</f>
        <v>79.08</v>
      </c>
      <c r="F69" s="77">
        <f>350.872-40-25-60-100</f>
        <v>125.87200000000001</v>
      </c>
      <c r="G69" s="80">
        <v>40</v>
      </c>
      <c r="H69" s="77">
        <f t="shared" si="10"/>
        <v>185</v>
      </c>
      <c r="I69" s="77">
        <f t="shared" si="8"/>
        <v>0</v>
      </c>
      <c r="J69" s="80">
        <v>100</v>
      </c>
      <c r="K69" s="80">
        <v>300</v>
      </c>
      <c r="L69" s="77">
        <f t="shared" si="0"/>
        <v>1239</v>
      </c>
      <c r="M69" s="87">
        <v>400</v>
      </c>
      <c r="N69" s="77">
        <f>75</f>
        <v>75</v>
      </c>
      <c r="O69" s="80">
        <v>240</v>
      </c>
      <c r="P69" s="80">
        <v>160</v>
      </c>
      <c r="Q69" s="80">
        <f t="shared" si="1"/>
        <v>195</v>
      </c>
      <c r="R69" s="80">
        <f t="shared" si="2"/>
        <v>100</v>
      </c>
      <c r="S69" s="77">
        <f t="shared" si="3"/>
        <v>695</v>
      </c>
      <c r="T69" s="77">
        <f>0</f>
        <v>0</v>
      </c>
      <c r="U69" s="78"/>
      <c r="V69" s="78"/>
      <c r="W69" s="78"/>
      <c r="X69" s="78"/>
      <c r="Y69" s="78"/>
      <c r="Z69" s="78"/>
      <c r="AA69" s="78"/>
      <c r="AB69" s="78"/>
      <c r="AC69" s="78"/>
      <c r="AD69" s="78"/>
    </row>
    <row r="70" spans="1:30" ht="15.75" x14ac:dyDescent="0.25">
      <c r="A70" s="16">
        <v>43405</v>
      </c>
      <c r="B70" s="90">
        <v>30</v>
      </c>
      <c r="C70" s="77">
        <f>122.58</f>
        <v>122.58</v>
      </c>
      <c r="D70" s="77">
        <f>297.941</f>
        <v>297.94099999999997</v>
      </c>
      <c r="E70" s="85">
        <f>89.177</f>
        <v>89.177000000000007</v>
      </c>
      <c r="F70" s="77">
        <f>240.302-40-60-100</f>
        <v>40.301999999999992</v>
      </c>
      <c r="G70" s="80">
        <v>40</v>
      </c>
      <c r="H70" s="77">
        <f>60+100</f>
        <v>160</v>
      </c>
      <c r="I70" s="77">
        <f t="shared" si="8"/>
        <v>0</v>
      </c>
      <c r="J70" s="80">
        <v>100</v>
      </c>
      <c r="K70" s="80">
        <v>300</v>
      </c>
      <c r="L70" s="77">
        <f t="shared" si="0"/>
        <v>1150</v>
      </c>
      <c r="M70" s="87">
        <v>400</v>
      </c>
      <c r="N70" s="77">
        <f>100</f>
        <v>100</v>
      </c>
      <c r="O70" s="80">
        <v>240</v>
      </c>
      <c r="P70" s="80">
        <v>40</v>
      </c>
      <c r="Q70" s="80">
        <f t="shared" si="1"/>
        <v>315</v>
      </c>
      <c r="R70" s="80">
        <f t="shared" si="2"/>
        <v>100</v>
      </c>
      <c r="S70" s="77">
        <f t="shared" si="3"/>
        <v>695</v>
      </c>
      <c r="T70" s="77">
        <f>50</f>
        <v>50</v>
      </c>
      <c r="U70" s="78"/>
      <c r="V70" s="78"/>
      <c r="W70" s="78"/>
      <c r="X70" s="78"/>
      <c r="Y70" s="78"/>
      <c r="Z70" s="78"/>
      <c r="AA70" s="78"/>
      <c r="AB70" s="78"/>
      <c r="AC70" s="78"/>
      <c r="AD70" s="78"/>
    </row>
    <row r="71" spans="1:30" ht="15.75" x14ac:dyDescent="0.25">
      <c r="A71" s="16">
        <v>43435</v>
      </c>
      <c r="B71" s="90">
        <v>31</v>
      </c>
      <c r="C71" s="77">
        <f>122.58</f>
        <v>122.58</v>
      </c>
      <c r="D71" s="77">
        <f>297.941</f>
        <v>297.94099999999997</v>
      </c>
      <c r="E71" s="85">
        <f>89.177</f>
        <v>89.177000000000007</v>
      </c>
      <c r="F71" s="77">
        <f>240.302-40-60-100</f>
        <v>40.301999999999992</v>
      </c>
      <c r="G71" s="80">
        <v>40</v>
      </c>
      <c r="H71" s="77">
        <f>60+100</f>
        <v>160</v>
      </c>
      <c r="I71" s="77">
        <f t="shared" si="8"/>
        <v>0</v>
      </c>
      <c r="J71" s="80">
        <v>100</v>
      </c>
      <c r="K71" s="80">
        <v>300</v>
      </c>
      <c r="L71" s="77">
        <f t="shared" si="0"/>
        <v>1150</v>
      </c>
      <c r="M71" s="87">
        <v>400</v>
      </c>
      <c r="N71" s="77">
        <f>100</f>
        <v>100</v>
      </c>
      <c r="O71" s="80">
        <v>240</v>
      </c>
      <c r="P71" s="80">
        <v>40</v>
      </c>
      <c r="Q71" s="80">
        <f t="shared" si="1"/>
        <v>315</v>
      </c>
      <c r="R71" s="80">
        <f t="shared" si="2"/>
        <v>100</v>
      </c>
      <c r="S71" s="77">
        <f t="shared" si="3"/>
        <v>695</v>
      </c>
      <c r="T71" s="77">
        <f>50</f>
        <v>50</v>
      </c>
      <c r="U71" s="78"/>
      <c r="V71" s="78"/>
      <c r="W71" s="78"/>
      <c r="X71" s="78"/>
      <c r="Y71" s="78"/>
      <c r="Z71" s="78"/>
      <c r="AA71" s="78"/>
      <c r="AB71" s="78"/>
      <c r="AC71" s="78"/>
      <c r="AD71" s="78"/>
    </row>
    <row r="72" spans="1:30" ht="15.75" x14ac:dyDescent="0.25">
      <c r="A72" s="16">
        <v>43466</v>
      </c>
      <c r="B72" s="90">
        <v>31</v>
      </c>
      <c r="C72" s="77">
        <f>122.58</f>
        <v>122.58</v>
      </c>
      <c r="D72" s="77">
        <f>297.941</f>
        <v>297.94099999999997</v>
      </c>
      <c r="E72" s="85">
        <f>89.177</f>
        <v>89.177000000000007</v>
      </c>
      <c r="F72" s="77">
        <f>240.302-40-60-100</f>
        <v>40.301999999999992</v>
      </c>
      <c r="G72" s="80">
        <v>40</v>
      </c>
      <c r="H72" s="77">
        <f>60+100</f>
        <v>160</v>
      </c>
      <c r="I72" s="77">
        <f t="shared" si="8"/>
        <v>0</v>
      </c>
      <c r="J72" s="80">
        <v>100</v>
      </c>
      <c r="K72" s="80">
        <v>300</v>
      </c>
      <c r="L72" s="77">
        <f t="shared" si="0"/>
        <v>1150</v>
      </c>
      <c r="M72" s="87">
        <v>400</v>
      </c>
      <c r="N72" s="77">
        <f>100</f>
        <v>100</v>
      </c>
      <c r="O72" s="80">
        <v>240</v>
      </c>
      <c r="P72" s="80">
        <v>40</v>
      </c>
      <c r="Q72" s="80">
        <f t="shared" si="1"/>
        <v>315</v>
      </c>
      <c r="R72" s="80">
        <f t="shared" si="2"/>
        <v>100</v>
      </c>
      <c r="S72" s="77">
        <f t="shared" si="3"/>
        <v>695</v>
      </c>
      <c r="T72" s="77">
        <f>50</f>
        <v>50</v>
      </c>
      <c r="U72" s="78"/>
      <c r="V72" s="78"/>
      <c r="W72" s="78"/>
      <c r="X72" s="78"/>
      <c r="Y72" s="78"/>
      <c r="Z72" s="78"/>
      <c r="AA72" s="78"/>
      <c r="AB72" s="78"/>
      <c r="AC72" s="78"/>
      <c r="AD72" s="78"/>
    </row>
    <row r="73" spans="1:30" ht="15.75" x14ac:dyDescent="0.25">
      <c r="A73" s="16">
        <v>43497</v>
      </c>
      <c r="B73" s="90">
        <v>28</v>
      </c>
      <c r="C73" s="77">
        <f>122.58</f>
        <v>122.58</v>
      </c>
      <c r="D73" s="77">
        <f>297.941</f>
        <v>297.94099999999997</v>
      </c>
      <c r="E73" s="85">
        <f>89.177</f>
        <v>89.177000000000007</v>
      </c>
      <c r="F73" s="77">
        <f>240.302-40-60-100</f>
        <v>40.301999999999992</v>
      </c>
      <c r="G73" s="80">
        <v>40</v>
      </c>
      <c r="H73" s="77">
        <f>60+100</f>
        <v>160</v>
      </c>
      <c r="I73" s="77">
        <f t="shared" si="8"/>
        <v>0</v>
      </c>
      <c r="J73" s="80">
        <v>100</v>
      </c>
      <c r="K73" s="80">
        <v>300</v>
      </c>
      <c r="L73" s="77">
        <f t="shared" si="0"/>
        <v>1150</v>
      </c>
      <c r="M73" s="87">
        <v>400</v>
      </c>
      <c r="N73" s="77">
        <f>100</f>
        <v>100</v>
      </c>
      <c r="O73" s="80">
        <v>240</v>
      </c>
      <c r="P73" s="80">
        <v>40</v>
      </c>
      <c r="Q73" s="80">
        <f t="shared" si="1"/>
        <v>315</v>
      </c>
      <c r="R73" s="80">
        <f t="shared" si="2"/>
        <v>100</v>
      </c>
      <c r="S73" s="77">
        <f t="shared" si="3"/>
        <v>695</v>
      </c>
      <c r="T73" s="77">
        <f>50</f>
        <v>50</v>
      </c>
      <c r="U73" s="78"/>
      <c r="V73" s="78"/>
      <c r="W73" s="78"/>
      <c r="X73" s="78"/>
      <c r="Y73" s="78"/>
      <c r="Z73" s="78"/>
      <c r="AA73" s="78"/>
      <c r="AB73" s="78"/>
      <c r="AC73" s="78"/>
      <c r="AD73" s="78"/>
    </row>
    <row r="74" spans="1:30" ht="15.75" x14ac:dyDescent="0.25">
      <c r="A74" s="16">
        <v>43525</v>
      </c>
      <c r="B74" s="90">
        <v>31</v>
      </c>
      <c r="C74" s="77">
        <f>122.58</f>
        <v>122.58</v>
      </c>
      <c r="D74" s="77">
        <f>297.941</f>
        <v>297.94099999999997</v>
      </c>
      <c r="E74" s="85">
        <f>89.177</f>
        <v>89.177000000000007</v>
      </c>
      <c r="F74" s="77">
        <f>240.302-40-60-100</f>
        <v>40.301999999999992</v>
      </c>
      <c r="G74" s="80">
        <v>40</v>
      </c>
      <c r="H74" s="77">
        <f>60+100</f>
        <v>160</v>
      </c>
      <c r="I74" s="77">
        <f t="shared" si="8"/>
        <v>0</v>
      </c>
      <c r="J74" s="80">
        <v>100</v>
      </c>
      <c r="K74" s="80">
        <v>300</v>
      </c>
      <c r="L74" s="77">
        <f t="shared" si="0"/>
        <v>1150</v>
      </c>
      <c r="M74" s="87">
        <v>400</v>
      </c>
      <c r="N74" s="77">
        <f>100</f>
        <v>100</v>
      </c>
      <c r="O74" s="80">
        <v>240</v>
      </c>
      <c r="P74" s="80">
        <v>40</v>
      </c>
      <c r="Q74" s="80">
        <f t="shared" si="1"/>
        <v>315</v>
      </c>
      <c r="R74" s="80">
        <f t="shared" si="2"/>
        <v>100</v>
      </c>
      <c r="S74" s="77">
        <f t="shared" si="3"/>
        <v>695</v>
      </c>
      <c r="T74" s="77">
        <f>50</f>
        <v>50</v>
      </c>
      <c r="U74" s="78"/>
      <c r="V74" s="78"/>
      <c r="W74" s="78"/>
      <c r="X74" s="78"/>
      <c r="Y74" s="78"/>
      <c r="Z74" s="78"/>
      <c r="AA74" s="78"/>
      <c r="AB74" s="78"/>
      <c r="AC74" s="78"/>
      <c r="AD74" s="78"/>
    </row>
    <row r="75" spans="1:30" ht="15.75" x14ac:dyDescent="0.25">
      <c r="A75" s="16">
        <v>43556</v>
      </c>
      <c r="B75" s="90">
        <v>30</v>
      </c>
      <c r="C75" s="77">
        <f>141.293</f>
        <v>141.29300000000001</v>
      </c>
      <c r="D75" s="77">
        <f>267.993</f>
        <v>267.99299999999999</v>
      </c>
      <c r="E75" s="85">
        <f>115.016</f>
        <v>115.01600000000001</v>
      </c>
      <c r="F75" s="77">
        <f>314.698-40-25-60-100</f>
        <v>89.697999999999979</v>
      </c>
      <c r="G75" s="80">
        <v>40</v>
      </c>
      <c r="H75" s="77">
        <f t="shared" ref="H75:H81" si="11">25+60+100</f>
        <v>185</v>
      </c>
      <c r="I75" s="77">
        <f t="shared" si="8"/>
        <v>0</v>
      </c>
      <c r="J75" s="80">
        <v>100</v>
      </c>
      <c r="K75" s="80">
        <v>300</v>
      </c>
      <c r="L75" s="77">
        <f t="shared" si="0"/>
        <v>1239</v>
      </c>
      <c r="M75" s="87">
        <v>400</v>
      </c>
      <c r="N75" s="77">
        <f>100</f>
        <v>100</v>
      </c>
      <c r="O75" s="80">
        <v>240</v>
      </c>
      <c r="P75" s="80">
        <v>160</v>
      </c>
      <c r="Q75" s="80">
        <f t="shared" si="1"/>
        <v>195</v>
      </c>
      <c r="R75" s="80">
        <f t="shared" si="2"/>
        <v>100</v>
      </c>
      <c r="S75" s="77">
        <f t="shared" si="3"/>
        <v>695</v>
      </c>
      <c r="T75" s="77">
        <f>50</f>
        <v>50</v>
      </c>
      <c r="U75" s="78"/>
      <c r="V75" s="78"/>
      <c r="W75" s="78"/>
      <c r="X75" s="78"/>
      <c r="Y75" s="78"/>
      <c r="Z75" s="78"/>
      <c r="AA75" s="78"/>
      <c r="AB75" s="78"/>
      <c r="AC75" s="78"/>
      <c r="AD75" s="78"/>
    </row>
    <row r="76" spans="1:30" ht="15.75" x14ac:dyDescent="0.25">
      <c r="A76" s="16">
        <v>43586</v>
      </c>
      <c r="B76" s="90">
        <v>31</v>
      </c>
      <c r="C76" s="77">
        <f>194.205</f>
        <v>194.20500000000001</v>
      </c>
      <c r="D76" s="77">
        <f>267.466</f>
        <v>267.46600000000001</v>
      </c>
      <c r="E76" s="85">
        <f>133.845</f>
        <v>133.845</v>
      </c>
      <c r="F76" s="77">
        <f>278.484-40-25-60-100</f>
        <v>53.48399999999998</v>
      </c>
      <c r="G76" s="80">
        <v>40</v>
      </c>
      <c r="H76" s="77">
        <f t="shared" si="11"/>
        <v>185</v>
      </c>
      <c r="I76" s="77">
        <f t="shared" si="8"/>
        <v>0</v>
      </c>
      <c r="J76" s="80">
        <v>100</v>
      </c>
      <c r="K76" s="80">
        <v>300</v>
      </c>
      <c r="L76" s="77">
        <f t="shared" si="0"/>
        <v>1274</v>
      </c>
      <c r="M76" s="87">
        <v>400</v>
      </c>
      <c r="N76" s="77">
        <f>75</f>
        <v>75</v>
      </c>
      <c r="O76" s="80">
        <v>240</v>
      </c>
      <c r="P76" s="80">
        <v>160</v>
      </c>
      <c r="Q76" s="80">
        <f t="shared" si="1"/>
        <v>195</v>
      </c>
      <c r="R76" s="80">
        <f t="shared" si="2"/>
        <v>100</v>
      </c>
      <c r="S76" s="77">
        <f t="shared" si="3"/>
        <v>695</v>
      </c>
      <c r="T76" s="77">
        <f>50</f>
        <v>50</v>
      </c>
      <c r="U76" s="78"/>
      <c r="V76" s="78"/>
      <c r="W76" s="78"/>
      <c r="X76" s="78"/>
      <c r="Y76" s="78"/>
      <c r="Z76" s="78"/>
      <c r="AA76" s="78"/>
      <c r="AB76" s="78"/>
      <c r="AC76" s="78"/>
      <c r="AD76" s="78"/>
    </row>
    <row r="77" spans="1:30" ht="15.75" x14ac:dyDescent="0.25">
      <c r="A77" s="16">
        <v>43617</v>
      </c>
      <c r="B77" s="90">
        <v>30</v>
      </c>
      <c r="C77" s="77">
        <f>194.205</f>
        <v>194.20500000000001</v>
      </c>
      <c r="D77" s="77">
        <f>267.466</f>
        <v>267.46600000000001</v>
      </c>
      <c r="E77" s="85">
        <f>133.845</f>
        <v>133.845</v>
      </c>
      <c r="F77" s="77">
        <f>278.484-40-25-60-100</f>
        <v>53.48399999999998</v>
      </c>
      <c r="G77" s="80">
        <v>40</v>
      </c>
      <c r="H77" s="77">
        <f t="shared" si="11"/>
        <v>185</v>
      </c>
      <c r="I77" s="77">
        <f t="shared" si="8"/>
        <v>0</v>
      </c>
      <c r="J77" s="80">
        <v>100</v>
      </c>
      <c r="K77" s="80">
        <v>300</v>
      </c>
      <c r="L77" s="77">
        <f t="shared" si="0"/>
        <v>1274</v>
      </c>
      <c r="M77" s="87">
        <v>400</v>
      </c>
      <c r="N77" s="77">
        <f>30</f>
        <v>30</v>
      </c>
      <c r="O77" s="80">
        <v>240</v>
      </c>
      <c r="P77" s="80">
        <v>160</v>
      </c>
      <c r="Q77" s="80">
        <f t="shared" si="1"/>
        <v>195</v>
      </c>
      <c r="R77" s="80">
        <f t="shared" si="2"/>
        <v>100</v>
      </c>
      <c r="S77" s="77">
        <f t="shared" si="3"/>
        <v>695</v>
      </c>
      <c r="T77" s="77">
        <f>50</f>
        <v>50</v>
      </c>
      <c r="U77" s="78"/>
      <c r="V77" s="78"/>
      <c r="W77" s="78"/>
      <c r="X77" s="78"/>
      <c r="Y77" s="78"/>
      <c r="Z77" s="78"/>
      <c r="AA77" s="78"/>
      <c r="AB77" s="78"/>
      <c r="AC77" s="78"/>
      <c r="AD77" s="78"/>
    </row>
    <row r="78" spans="1:30" ht="15.75" x14ac:dyDescent="0.25">
      <c r="A78" s="16">
        <v>43647</v>
      </c>
      <c r="B78" s="90">
        <v>31</v>
      </c>
      <c r="C78" s="77">
        <f>194.205</f>
        <v>194.20500000000001</v>
      </c>
      <c r="D78" s="77">
        <f>267.466</f>
        <v>267.46600000000001</v>
      </c>
      <c r="E78" s="85">
        <f>133.845</f>
        <v>133.845</v>
      </c>
      <c r="F78" s="77">
        <f>278.484-40-25-60-100</f>
        <v>53.48399999999998</v>
      </c>
      <c r="G78" s="80">
        <v>40</v>
      </c>
      <c r="H78" s="77">
        <f t="shared" si="11"/>
        <v>185</v>
      </c>
      <c r="I78" s="77">
        <f t="shared" si="8"/>
        <v>0</v>
      </c>
      <c r="J78" s="80">
        <v>100</v>
      </c>
      <c r="K78" s="80">
        <v>300</v>
      </c>
      <c r="L78" s="77">
        <f t="shared" ref="L78:L141" si="12">SUM(C78:K78)</f>
        <v>1274</v>
      </c>
      <c r="M78" s="87">
        <v>400</v>
      </c>
      <c r="N78" s="77">
        <f>30</f>
        <v>30</v>
      </c>
      <c r="O78" s="80">
        <v>240</v>
      </c>
      <c r="P78" s="80">
        <v>160</v>
      </c>
      <c r="Q78" s="80">
        <f t="shared" ref="Q78:Q141" si="13">695-R78-O78-P78</f>
        <v>195</v>
      </c>
      <c r="R78" s="80">
        <f t="shared" ref="R78:R141" si="14">200-J78</f>
        <v>100</v>
      </c>
      <c r="S78" s="77">
        <f t="shared" ref="S78:S141" si="15">SUM(O78:R78)</f>
        <v>695</v>
      </c>
      <c r="T78" s="77">
        <f>0</f>
        <v>0</v>
      </c>
      <c r="U78" s="78"/>
      <c r="V78" s="78"/>
      <c r="W78" s="78"/>
      <c r="X78" s="78"/>
      <c r="Y78" s="78"/>
      <c r="Z78" s="78"/>
      <c r="AA78" s="78"/>
      <c r="AB78" s="78"/>
      <c r="AC78" s="78"/>
      <c r="AD78" s="78"/>
    </row>
    <row r="79" spans="1:30" ht="15.75" x14ac:dyDescent="0.25">
      <c r="A79" s="16">
        <v>43678</v>
      </c>
      <c r="B79" s="90">
        <v>31</v>
      </c>
      <c r="C79" s="77">
        <f>194.205</f>
        <v>194.20500000000001</v>
      </c>
      <c r="D79" s="77">
        <f>267.466</f>
        <v>267.46600000000001</v>
      </c>
      <c r="E79" s="85">
        <f>133.845</f>
        <v>133.845</v>
      </c>
      <c r="F79" s="77">
        <f>278.484-40-25-60-100</f>
        <v>53.48399999999998</v>
      </c>
      <c r="G79" s="80">
        <v>40</v>
      </c>
      <c r="H79" s="77">
        <f t="shared" si="11"/>
        <v>185</v>
      </c>
      <c r="I79" s="77">
        <f t="shared" si="8"/>
        <v>0</v>
      </c>
      <c r="J79" s="80">
        <v>100</v>
      </c>
      <c r="K79" s="80">
        <v>300</v>
      </c>
      <c r="L79" s="77">
        <f t="shared" si="12"/>
        <v>1274</v>
      </c>
      <c r="M79" s="87">
        <v>400</v>
      </c>
      <c r="N79" s="77">
        <f>30</f>
        <v>30</v>
      </c>
      <c r="O79" s="80">
        <v>240</v>
      </c>
      <c r="P79" s="80">
        <v>160</v>
      </c>
      <c r="Q79" s="80">
        <f t="shared" si="13"/>
        <v>195</v>
      </c>
      <c r="R79" s="80">
        <f t="shared" si="14"/>
        <v>100</v>
      </c>
      <c r="S79" s="77">
        <f t="shared" si="15"/>
        <v>695</v>
      </c>
      <c r="T79" s="77">
        <f>0</f>
        <v>0</v>
      </c>
      <c r="U79" s="78"/>
      <c r="V79" s="78"/>
      <c r="W79" s="78"/>
      <c r="X79" s="78"/>
      <c r="Y79" s="78"/>
      <c r="Z79" s="78"/>
      <c r="AA79" s="78"/>
      <c r="AB79" s="78"/>
      <c r="AC79" s="78"/>
      <c r="AD79" s="78"/>
    </row>
    <row r="80" spans="1:30" ht="15.75" x14ac:dyDescent="0.25">
      <c r="A80" s="16">
        <v>43709</v>
      </c>
      <c r="B80" s="90">
        <v>30</v>
      </c>
      <c r="C80" s="77">
        <f>194.205</f>
        <v>194.20500000000001</v>
      </c>
      <c r="D80" s="77">
        <f>267.466</f>
        <v>267.46600000000001</v>
      </c>
      <c r="E80" s="85">
        <f>133.845</f>
        <v>133.845</v>
      </c>
      <c r="F80" s="77">
        <f>278.484-40-25-60-100</f>
        <v>53.48399999999998</v>
      </c>
      <c r="G80" s="80">
        <v>40</v>
      </c>
      <c r="H80" s="77">
        <f t="shared" si="11"/>
        <v>185</v>
      </c>
      <c r="I80" s="77">
        <f t="shared" si="8"/>
        <v>0</v>
      </c>
      <c r="J80" s="80">
        <v>100</v>
      </c>
      <c r="K80" s="80">
        <v>300</v>
      </c>
      <c r="L80" s="77">
        <f t="shared" si="12"/>
        <v>1274</v>
      </c>
      <c r="M80" s="87">
        <v>400</v>
      </c>
      <c r="N80" s="77">
        <f>30</f>
        <v>30</v>
      </c>
      <c r="O80" s="80">
        <v>240</v>
      </c>
      <c r="P80" s="80">
        <v>160</v>
      </c>
      <c r="Q80" s="80">
        <f t="shared" si="13"/>
        <v>195</v>
      </c>
      <c r="R80" s="80">
        <f t="shared" si="14"/>
        <v>100</v>
      </c>
      <c r="S80" s="77">
        <f t="shared" si="15"/>
        <v>695</v>
      </c>
      <c r="T80" s="77">
        <f>0</f>
        <v>0</v>
      </c>
      <c r="U80" s="78"/>
      <c r="V80" s="78"/>
      <c r="W80" s="78"/>
      <c r="X80" s="78"/>
      <c r="Y80" s="78"/>
      <c r="Z80" s="78"/>
      <c r="AA80" s="78"/>
      <c r="AB80" s="78"/>
      <c r="AC80" s="78"/>
      <c r="AD80" s="78"/>
    </row>
    <row r="81" spans="1:30" ht="15.75" x14ac:dyDescent="0.25">
      <c r="A81" s="16">
        <v>43739</v>
      </c>
      <c r="B81" s="90">
        <v>31</v>
      </c>
      <c r="C81" s="77">
        <f>131.881</f>
        <v>131.881</v>
      </c>
      <c r="D81" s="77">
        <f>277.167</f>
        <v>277.16699999999997</v>
      </c>
      <c r="E81" s="85">
        <f>79.08</f>
        <v>79.08</v>
      </c>
      <c r="F81" s="77">
        <f>350.872-40-25-60-100</f>
        <v>125.87200000000001</v>
      </c>
      <c r="G81" s="80">
        <v>40</v>
      </c>
      <c r="H81" s="77">
        <f t="shared" si="11"/>
        <v>185</v>
      </c>
      <c r="I81" s="77">
        <f t="shared" si="8"/>
        <v>0</v>
      </c>
      <c r="J81" s="80">
        <v>100</v>
      </c>
      <c r="K81" s="80">
        <v>300</v>
      </c>
      <c r="L81" s="77">
        <f t="shared" si="12"/>
        <v>1239</v>
      </c>
      <c r="M81" s="87">
        <v>400</v>
      </c>
      <c r="N81" s="77">
        <f>75</f>
        <v>75</v>
      </c>
      <c r="O81" s="80">
        <v>240</v>
      </c>
      <c r="P81" s="80">
        <v>160</v>
      </c>
      <c r="Q81" s="80">
        <f t="shared" si="13"/>
        <v>195</v>
      </c>
      <c r="R81" s="80">
        <f t="shared" si="14"/>
        <v>100</v>
      </c>
      <c r="S81" s="77">
        <f t="shared" si="15"/>
        <v>695</v>
      </c>
      <c r="T81" s="77">
        <f>0</f>
        <v>0</v>
      </c>
      <c r="U81" s="78"/>
      <c r="V81" s="78"/>
      <c r="W81" s="78"/>
      <c r="X81" s="78"/>
      <c r="Y81" s="78"/>
      <c r="Z81" s="78"/>
      <c r="AA81" s="78"/>
      <c r="AB81" s="78"/>
      <c r="AC81" s="78"/>
      <c r="AD81" s="78"/>
    </row>
    <row r="82" spans="1:30" ht="15.75" x14ac:dyDescent="0.25">
      <c r="A82" s="16">
        <v>43770</v>
      </c>
      <c r="B82" s="90">
        <v>30</v>
      </c>
      <c r="C82" s="77">
        <f>122.58</f>
        <v>122.58</v>
      </c>
      <c r="D82" s="77">
        <f>297.941</f>
        <v>297.94099999999997</v>
      </c>
      <c r="E82" s="85">
        <f>89.177</f>
        <v>89.177000000000007</v>
      </c>
      <c r="F82" s="77">
        <f>240.302-40-60-100</f>
        <v>40.301999999999992</v>
      </c>
      <c r="G82" s="80">
        <v>40</v>
      </c>
      <c r="H82" s="77">
        <f>60+100</f>
        <v>160</v>
      </c>
      <c r="I82" s="77">
        <f t="shared" si="8"/>
        <v>0</v>
      </c>
      <c r="J82" s="80">
        <v>100</v>
      </c>
      <c r="K82" s="80">
        <v>300</v>
      </c>
      <c r="L82" s="77">
        <f t="shared" si="12"/>
        <v>1150</v>
      </c>
      <c r="M82" s="87">
        <v>400</v>
      </c>
      <c r="N82" s="77">
        <f>100</f>
        <v>100</v>
      </c>
      <c r="O82" s="80">
        <v>240</v>
      </c>
      <c r="P82" s="80">
        <v>40</v>
      </c>
      <c r="Q82" s="80">
        <f t="shared" si="13"/>
        <v>315</v>
      </c>
      <c r="R82" s="80">
        <f t="shared" si="14"/>
        <v>100</v>
      </c>
      <c r="S82" s="77">
        <f t="shared" si="15"/>
        <v>695</v>
      </c>
      <c r="T82" s="77">
        <f>50</f>
        <v>50</v>
      </c>
      <c r="U82" s="78"/>
      <c r="V82" s="78"/>
      <c r="W82" s="78"/>
      <c r="X82" s="78"/>
      <c r="Y82" s="78"/>
      <c r="Z82" s="78"/>
      <c r="AA82" s="78"/>
      <c r="AB82" s="78"/>
      <c r="AC82" s="78"/>
      <c r="AD82" s="78"/>
    </row>
    <row r="83" spans="1:30" ht="15.75" x14ac:dyDescent="0.25">
      <c r="A83" s="16">
        <v>43800</v>
      </c>
      <c r="B83" s="90">
        <v>31</v>
      </c>
      <c r="C83" s="77">
        <f>122.58</f>
        <v>122.58</v>
      </c>
      <c r="D83" s="77">
        <f>297.941</f>
        <v>297.94099999999997</v>
      </c>
      <c r="E83" s="85">
        <f>89.177</f>
        <v>89.177000000000007</v>
      </c>
      <c r="F83" s="77">
        <f>240.302-40-60-100</f>
        <v>40.301999999999992</v>
      </c>
      <c r="G83" s="80">
        <v>40</v>
      </c>
      <c r="H83" s="77">
        <f>60+100</f>
        <v>160</v>
      </c>
      <c r="I83" s="77">
        <f t="shared" si="8"/>
        <v>0</v>
      </c>
      <c r="J83" s="80">
        <v>100</v>
      </c>
      <c r="K83" s="80">
        <v>300</v>
      </c>
      <c r="L83" s="77">
        <f t="shared" si="12"/>
        <v>1150</v>
      </c>
      <c r="M83" s="87">
        <v>400</v>
      </c>
      <c r="N83" s="77">
        <f>100</f>
        <v>100</v>
      </c>
      <c r="O83" s="80">
        <v>240</v>
      </c>
      <c r="P83" s="80">
        <v>40</v>
      </c>
      <c r="Q83" s="80">
        <f t="shared" si="13"/>
        <v>315</v>
      </c>
      <c r="R83" s="80">
        <f t="shared" si="14"/>
        <v>100</v>
      </c>
      <c r="S83" s="77">
        <f t="shared" si="15"/>
        <v>695</v>
      </c>
      <c r="T83" s="77">
        <f>50</f>
        <v>50</v>
      </c>
      <c r="U83" s="78"/>
      <c r="V83" s="78"/>
      <c r="W83" s="78"/>
      <c r="X83" s="78"/>
      <c r="Y83" s="78"/>
      <c r="Z83" s="78"/>
      <c r="AA83" s="78"/>
      <c r="AB83" s="78"/>
      <c r="AC83" s="78"/>
      <c r="AD83" s="78"/>
    </row>
    <row r="84" spans="1:30" ht="15.75" x14ac:dyDescent="0.25">
      <c r="A84" s="16">
        <v>43831</v>
      </c>
      <c r="B84" s="90">
        <v>31</v>
      </c>
      <c r="C84" s="77">
        <f>122.58</f>
        <v>122.58</v>
      </c>
      <c r="D84" s="77">
        <f>297.941</f>
        <v>297.94099999999997</v>
      </c>
      <c r="E84" s="85">
        <f>89.177</f>
        <v>89.177000000000007</v>
      </c>
      <c r="F84" s="77">
        <f>240.302-40-60-100</f>
        <v>40.301999999999992</v>
      </c>
      <c r="G84" s="80">
        <v>40</v>
      </c>
      <c r="H84" s="77">
        <f>60+100</f>
        <v>160</v>
      </c>
      <c r="I84" s="77">
        <f t="shared" si="8"/>
        <v>0</v>
      </c>
      <c r="J84" s="80">
        <v>100</v>
      </c>
      <c r="K84" s="80">
        <v>300</v>
      </c>
      <c r="L84" s="77">
        <f t="shared" si="12"/>
        <v>1150</v>
      </c>
      <c r="M84" s="87">
        <v>400</v>
      </c>
      <c r="N84" s="77">
        <f>100</f>
        <v>100</v>
      </c>
      <c r="O84" s="80">
        <v>240</v>
      </c>
      <c r="P84" s="80">
        <v>40</v>
      </c>
      <c r="Q84" s="80">
        <f t="shared" si="13"/>
        <v>315</v>
      </c>
      <c r="R84" s="80">
        <f t="shared" si="14"/>
        <v>100</v>
      </c>
      <c r="S84" s="77">
        <f t="shared" si="15"/>
        <v>695</v>
      </c>
      <c r="T84" s="77">
        <f>50</f>
        <v>50</v>
      </c>
      <c r="U84" s="78"/>
      <c r="V84" s="78"/>
      <c r="W84" s="78"/>
      <c r="X84" s="78"/>
      <c r="Y84" s="78"/>
      <c r="Z84" s="78"/>
      <c r="AA84" s="78"/>
      <c r="AB84" s="78"/>
      <c r="AC84" s="78"/>
      <c r="AD84" s="78"/>
    </row>
    <row r="85" spans="1:30" ht="15.75" x14ac:dyDescent="0.25">
      <c r="A85" s="16">
        <v>43862</v>
      </c>
      <c r="B85" s="90">
        <v>29</v>
      </c>
      <c r="C85" s="77">
        <f>122.58</f>
        <v>122.58</v>
      </c>
      <c r="D85" s="77">
        <f>297.941</f>
        <v>297.94099999999997</v>
      </c>
      <c r="E85" s="85">
        <f>89.177</f>
        <v>89.177000000000007</v>
      </c>
      <c r="F85" s="77">
        <f>240.302-40-60-100</f>
        <v>40.301999999999992</v>
      </c>
      <c r="G85" s="80">
        <v>40</v>
      </c>
      <c r="H85" s="77">
        <f>60+100</f>
        <v>160</v>
      </c>
      <c r="I85" s="77">
        <f t="shared" si="8"/>
        <v>0</v>
      </c>
      <c r="J85" s="80">
        <v>100</v>
      </c>
      <c r="K85" s="80">
        <v>300</v>
      </c>
      <c r="L85" s="77">
        <f t="shared" si="12"/>
        <v>1150</v>
      </c>
      <c r="M85" s="87">
        <v>400</v>
      </c>
      <c r="N85" s="77">
        <f>100</f>
        <v>100</v>
      </c>
      <c r="O85" s="80">
        <v>240</v>
      </c>
      <c r="P85" s="80">
        <v>40</v>
      </c>
      <c r="Q85" s="80">
        <f t="shared" si="13"/>
        <v>315</v>
      </c>
      <c r="R85" s="80">
        <f t="shared" si="14"/>
        <v>100</v>
      </c>
      <c r="S85" s="77">
        <f t="shared" si="15"/>
        <v>695</v>
      </c>
      <c r="T85" s="77">
        <f>50</f>
        <v>50</v>
      </c>
      <c r="U85" s="78"/>
      <c r="V85" s="78"/>
      <c r="W85" s="78"/>
      <c r="X85" s="78"/>
      <c r="Y85" s="78"/>
      <c r="Z85" s="78"/>
      <c r="AA85" s="78"/>
      <c r="AB85" s="78"/>
      <c r="AC85" s="78"/>
      <c r="AD85" s="78"/>
    </row>
    <row r="86" spans="1:30" ht="15.75" x14ac:dyDescent="0.25">
      <c r="A86" s="16">
        <v>43891</v>
      </c>
      <c r="B86" s="90">
        <v>31</v>
      </c>
      <c r="C86" s="77">
        <f>122.58</f>
        <v>122.58</v>
      </c>
      <c r="D86" s="77">
        <f>297.941</f>
        <v>297.94099999999997</v>
      </c>
      <c r="E86" s="85">
        <f>89.177</f>
        <v>89.177000000000007</v>
      </c>
      <c r="F86" s="77">
        <f>240.302-40-60-100</f>
        <v>40.301999999999992</v>
      </c>
      <c r="G86" s="80">
        <v>40</v>
      </c>
      <c r="H86" s="77">
        <f>60+100</f>
        <v>160</v>
      </c>
      <c r="I86" s="77">
        <f t="shared" si="8"/>
        <v>0</v>
      </c>
      <c r="J86" s="80">
        <v>100</v>
      </c>
      <c r="K86" s="80">
        <v>300</v>
      </c>
      <c r="L86" s="77">
        <f t="shared" si="12"/>
        <v>1150</v>
      </c>
      <c r="M86" s="87">
        <v>400</v>
      </c>
      <c r="N86" s="77">
        <f>100</f>
        <v>100</v>
      </c>
      <c r="O86" s="80">
        <v>240</v>
      </c>
      <c r="P86" s="80">
        <v>40</v>
      </c>
      <c r="Q86" s="80">
        <f t="shared" si="13"/>
        <v>315</v>
      </c>
      <c r="R86" s="80">
        <f t="shared" si="14"/>
        <v>100</v>
      </c>
      <c r="S86" s="77">
        <f t="shared" si="15"/>
        <v>695</v>
      </c>
      <c r="T86" s="77">
        <f>50</f>
        <v>50</v>
      </c>
      <c r="U86" s="78"/>
      <c r="V86" s="78"/>
      <c r="W86" s="78"/>
      <c r="X86" s="78"/>
      <c r="Y86" s="78"/>
      <c r="Z86" s="78"/>
      <c r="AA86" s="78"/>
      <c r="AB86" s="78"/>
      <c r="AC86" s="78"/>
      <c r="AD86" s="78"/>
    </row>
    <row r="87" spans="1:30" ht="15.75" x14ac:dyDescent="0.25">
      <c r="A87" s="16">
        <v>43922</v>
      </c>
      <c r="B87" s="90">
        <v>30</v>
      </c>
      <c r="C87" s="77">
        <f>141.293</f>
        <v>141.29300000000001</v>
      </c>
      <c r="D87" s="77">
        <f>267.993</f>
        <v>267.99299999999999</v>
      </c>
      <c r="E87" s="85">
        <f>115.016</f>
        <v>115.01600000000001</v>
      </c>
      <c r="F87" s="77">
        <f>314.698-40-25-60-100</f>
        <v>89.697999999999979</v>
      </c>
      <c r="G87" s="80">
        <v>40</v>
      </c>
      <c r="H87" s="77">
        <f t="shared" ref="H87:H93" si="16">25+60+100</f>
        <v>185</v>
      </c>
      <c r="I87" s="77">
        <f t="shared" si="8"/>
        <v>0</v>
      </c>
      <c r="J87" s="80">
        <v>100</v>
      </c>
      <c r="K87" s="80">
        <v>300</v>
      </c>
      <c r="L87" s="77">
        <f t="shared" si="12"/>
        <v>1239</v>
      </c>
      <c r="M87" s="87">
        <v>400</v>
      </c>
      <c r="N87" s="77">
        <f>100</f>
        <v>100</v>
      </c>
      <c r="O87" s="80">
        <v>240</v>
      </c>
      <c r="P87" s="80">
        <v>160</v>
      </c>
      <c r="Q87" s="80">
        <f t="shared" si="13"/>
        <v>195</v>
      </c>
      <c r="R87" s="80">
        <f t="shared" si="14"/>
        <v>100</v>
      </c>
      <c r="S87" s="77">
        <f t="shared" si="15"/>
        <v>695</v>
      </c>
      <c r="T87" s="77">
        <f>50</f>
        <v>50</v>
      </c>
      <c r="U87" s="78"/>
      <c r="V87" s="78"/>
      <c r="W87" s="78"/>
      <c r="X87" s="78"/>
      <c r="Y87" s="78"/>
      <c r="Z87" s="78"/>
      <c r="AA87" s="78"/>
      <c r="AB87" s="78"/>
      <c r="AC87" s="78"/>
      <c r="AD87" s="78"/>
    </row>
    <row r="88" spans="1:30" ht="15.75" x14ac:dyDescent="0.25">
      <c r="A88" s="16">
        <v>43952</v>
      </c>
      <c r="B88" s="90">
        <v>31</v>
      </c>
      <c r="C88" s="77">
        <f>194.205</f>
        <v>194.20500000000001</v>
      </c>
      <c r="D88" s="77">
        <f>267.466</f>
        <v>267.46600000000001</v>
      </c>
      <c r="E88" s="85">
        <f>133.845</f>
        <v>133.845</v>
      </c>
      <c r="F88" s="77">
        <f>278.484-40-25-60-100</f>
        <v>53.48399999999998</v>
      </c>
      <c r="G88" s="80">
        <v>40</v>
      </c>
      <c r="H88" s="77">
        <f t="shared" si="16"/>
        <v>185</v>
      </c>
      <c r="I88" s="77">
        <f t="shared" si="8"/>
        <v>0</v>
      </c>
      <c r="J88" s="80">
        <v>100</v>
      </c>
      <c r="K88" s="80">
        <v>300</v>
      </c>
      <c r="L88" s="77">
        <f t="shared" si="12"/>
        <v>1274</v>
      </c>
      <c r="M88" s="87">
        <v>600</v>
      </c>
      <c r="N88" s="77">
        <f>75</f>
        <v>75</v>
      </c>
      <c r="O88" s="80">
        <v>240</v>
      </c>
      <c r="P88" s="80">
        <v>160</v>
      </c>
      <c r="Q88" s="80">
        <f t="shared" si="13"/>
        <v>195</v>
      </c>
      <c r="R88" s="80">
        <f t="shared" si="14"/>
        <v>100</v>
      </c>
      <c r="S88" s="77">
        <f t="shared" si="15"/>
        <v>695</v>
      </c>
      <c r="T88" s="77">
        <f>50</f>
        <v>50</v>
      </c>
      <c r="U88" s="78"/>
      <c r="V88" s="78"/>
      <c r="W88" s="78"/>
      <c r="X88" s="78"/>
      <c r="Y88" s="78"/>
      <c r="Z88" s="78"/>
      <c r="AA88" s="78"/>
      <c r="AB88" s="78"/>
      <c r="AC88" s="78"/>
      <c r="AD88" s="78"/>
    </row>
    <row r="89" spans="1:30" ht="15.75" x14ac:dyDescent="0.25">
      <c r="A89" s="16">
        <v>43983</v>
      </c>
      <c r="B89" s="90">
        <v>30</v>
      </c>
      <c r="C89" s="77">
        <f>194.205</f>
        <v>194.20500000000001</v>
      </c>
      <c r="D89" s="77">
        <f>267.466</f>
        <v>267.46600000000001</v>
      </c>
      <c r="E89" s="85">
        <f>133.845</f>
        <v>133.845</v>
      </c>
      <c r="F89" s="77">
        <f>278.484-40-25-60-100</f>
        <v>53.48399999999998</v>
      </c>
      <c r="G89" s="80">
        <v>40</v>
      </c>
      <c r="H89" s="77">
        <f t="shared" si="16"/>
        <v>185</v>
      </c>
      <c r="I89" s="77">
        <f t="shared" si="8"/>
        <v>0</v>
      </c>
      <c r="J89" s="80">
        <v>100</v>
      </c>
      <c r="K89" s="80">
        <v>300</v>
      </c>
      <c r="L89" s="77">
        <f t="shared" si="12"/>
        <v>1274</v>
      </c>
      <c r="M89" s="87">
        <v>600</v>
      </c>
      <c r="N89" s="77">
        <f>30</f>
        <v>30</v>
      </c>
      <c r="O89" s="80">
        <v>240</v>
      </c>
      <c r="P89" s="80">
        <v>160</v>
      </c>
      <c r="Q89" s="80">
        <f t="shared" si="13"/>
        <v>195</v>
      </c>
      <c r="R89" s="80">
        <f t="shared" si="14"/>
        <v>100</v>
      </c>
      <c r="S89" s="77">
        <f t="shared" si="15"/>
        <v>695</v>
      </c>
      <c r="T89" s="77">
        <f>50</f>
        <v>50</v>
      </c>
      <c r="U89" s="78"/>
      <c r="V89" s="78"/>
      <c r="W89" s="78"/>
      <c r="X89" s="78"/>
      <c r="Y89" s="78"/>
      <c r="Z89" s="78"/>
      <c r="AA89" s="78"/>
      <c r="AB89" s="78"/>
      <c r="AC89" s="78"/>
      <c r="AD89" s="78"/>
    </row>
    <row r="90" spans="1:30" ht="15.75" x14ac:dyDescent="0.25">
      <c r="A90" s="16">
        <v>44013</v>
      </c>
      <c r="B90" s="90">
        <v>31</v>
      </c>
      <c r="C90" s="77">
        <f>194.205</f>
        <v>194.20500000000001</v>
      </c>
      <c r="D90" s="77">
        <f>267.466</f>
        <v>267.46600000000001</v>
      </c>
      <c r="E90" s="85">
        <f>133.845</f>
        <v>133.845</v>
      </c>
      <c r="F90" s="77">
        <f>278.484-40-25-60-100</f>
        <v>53.48399999999998</v>
      </c>
      <c r="G90" s="80">
        <v>40</v>
      </c>
      <c r="H90" s="77">
        <f t="shared" si="16"/>
        <v>185</v>
      </c>
      <c r="I90" s="77">
        <f t="shared" si="8"/>
        <v>0</v>
      </c>
      <c r="J90" s="80">
        <v>100</v>
      </c>
      <c r="K90" s="80">
        <v>300</v>
      </c>
      <c r="L90" s="77">
        <f t="shared" si="12"/>
        <v>1274</v>
      </c>
      <c r="M90" s="87">
        <v>600</v>
      </c>
      <c r="N90" s="77">
        <f>30</f>
        <v>30</v>
      </c>
      <c r="O90" s="80">
        <v>240</v>
      </c>
      <c r="P90" s="80">
        <v>160</v>
      </c>
      <c r="Q90" s="80">
        <f t="shared" si="13"/>
        <v>195</v>
      </c>
      <c r="R90" s="80">
        <f t="shared" si="14"/>
        <v>100</v>
      </c>
      <c r="S90" s="77">
        <f t="shared" si="15"/>
        <v>695</v>
      </c>
      <c r="T90" s="77">
        <f>0</f>
        <v>0</v>
      </c>
      <c r="U90" s="78"/>
      <c r="V90" s="78"/>
      <c r="W90" s="78"/>
      <c r="X90" s="78"/>
      <c r="Y90" s="78"/>
      <c r="Z90" s="78"/>
      <c r="AA90" s="78"/>
      <c r="AB90" s="78"/>
      <c r="AC90" s="78"/>
      <c r="AD90" s="78"/>
    </row>
    <row r="91" spans="1:30" ht="15.75" x14ac:dyDescent="0.25">
      <c r="A91" s="16">
        <v>44044</v>
      </c>
      <c r="B91" s="90">
        <v>31</v>
      </c>
      <c r="C91" s="77">
        <f>194.205</f>
        <v>194.20500000000001</v>
      </c>
      <c r="D91" s="77">
        <f>267.466</f>
        <v>267.46600000000001</v>
      </c>
      <c r="E91" s="85">
        <f>133.845</f>
        <v>133.845</v>
      </c>
      <c r="F91" s="77">
        <f>278.484-40-25-60-100</f>
        <v>53.48399999999998</v>
      </c>
      <c r="G91" s="80">
        <v>40</v>
      </c>
      <c r="H91" s="77">
        <f t="shared" si="16"/>
        <v>185</v>
      </c>
      <c r="I91" s="77">
        <f t="shared" si="8"/>
        <v>0</v>
      </c>
      <c r="J91" s="80">
        <v>100</v>
      </c>
      <c r="K91" s="80">
        <v>300</v>
      </c>
      <c r="L91" s="77">
        <f t="shared" si="12"/>
        <v>1274</v>
      </c>
      <c r="M91" s="87">
        <v>600</v>
      </c>
      <c r="N91" s="77">
        <f>30</f>
        <v>30</v>
      </c>
      <c r="O91" s="80">
        <v>240</v>
      </c>
      <c r="P91" s="80">
        <v>160</v>
      </c>
      <c r="Q91" s="80">
        <f t="shared" si="13"/>
        <v>195</v>
      </c>
      <c r="R91" s="80">
        <f t="shared" si="14"/>
        <v>100</v>
      </c>
      <c r="S91" s="77">
        <f t="shared" si="15"/>
        <v>695</v>
      </c>
      <c r="T91" s="77">
        <f>0</f>
        <v>0</v>
      </c>
      <c r="U91" s="78"/>
      <c r="V91" s="78"/>
      <c r="W91" s="78"/>
      <c r="X91" s="78"/>
      <c r="Y91" s="78"/>
      <c r="Z91" s="78"/>
      <c r="AA91" s="78"/>
      <c r="AB91" s="78"/>
      <c r="AC91" s="78"/>
      <c r="AD91" s="78"/>
    </row>
    <row r="92" spans="1:30" ht="15.75" x14ac:dyDescent="0.25">
      <c r="A92" s="16">
        <v>44075</v>
      </c>
      <c r="B92" s="90">
        <v>30</v>
      </c>
      <c r="C92" s="77">
        <f>194.205</f>
        <v>194.20500000000001</v>
      </c>
      <c r="D92" s="77">
        <f>267.466</f>
        <v>267.46600000000001</v>
      </c>
      <c r="E92" s="85">
        <f>133.845</f>
        <v>133.845</v>
      </c>
      <c r="F92" s="77">
        <f>278.484-40-25-60-100</f>
        <v>53.48399999999998</v>
      </c>
      <c r="G92" s="80">
        <v>40</v>
      </c>
      <c r="H92" s="77">
        <f t="shared" si="16"/>
        <v>185</v>
      </c>
      <c r="I92" s="77">
        <f t="shared" si="8"/>
        <v>0</v>
      </c>
      <c r="J92" s="80">
        <v>100</v>
      </c>
      <c r="K92" s="80">
        <v>300</v>
      </c>
      <c r="L92" s="77">
        <f t="shared" si="12"/>
        <v>1274</v>
      </c>
      <c r="M92" s="87">
        <v>600</v>
      </c>
      <c r="N92" s="77">
        <f>30</f>
        <v>30</v>
      </c>
      <c r="O92" s="80">
        <v>240</v>
      </c>
      <c r="P92" s="80">
        <v>160</v>
      </c>
      <c r="Q92" s="80">
        <f t="shared" si="13"/>
        <v>195</v>
      </c>
      <c r="R92" s="80">
        <f t="shared" si="14"/>
        <v>100</v>
      </c>
      <c r="S92" s="77">
        <f t="shared" si="15"/>
        <v>695</v>
      </c>
      <c r="T92" s="77">
        <f>0</f>
        <v>0</v>
      </c>
      <c r="U92" s="78"/>
      <c r="V92" s="78"/>
      <c r="W92" s="78"/>
      <c r="X92" s="78"/>
      <c r="Y92" s="78"/>
      <c r="Z92" s="78"/>
      <c r="AA92" s="78"/>
      <c r="AB92" s="78"/>
      <c r="AC92" s="78"/>
      <c r="AD92" s="78"/>
    </row>
    <row r="93" spans="1:30" ht="15.75" x14ac:dyDescent="0.25">
      <c r="A93" s="16">
        <v>44105</v>
      </c>
      <c r="B93" s="90">
        <v>31</v>
      </c>
      <c r="C93" s="77">
        <f>131.881</f>
        <v>131.881</v>
      </c>
      <c r="D93" s="77">
        <f>277.167</f>
        <v>277.16699999999997</v>
      </c>
      <c r="E93" s="85">
        <f>79.08</f>
        <v>79.08</v>
      </c>
      <c r="F93" s="77">
        <f>350.872-40-25-60-100</f>
        <v>125.87200000000001</v>
      </c>
      <c r="G93" s="80">
        <v>40</v>
      </c>
      <c r="H93" s="77">
        <f t="shared" si="16"/>
        <v>185</v>
      </c>
      <c r="I93" s="77">
        <f t="shared" si="8"/>
        <v>0</v>
      </c>
      <c r="J93" s="80">
        <v>100</v>
      </c>
      <c r="K93" s="80">
        <v>300</v>
      </c>
      <c r="L93" s="77">
        <f t="shared" si="12"/>
        <v>1239</v>
      </c>
      <c r="M93" s="87">
        <v>600</v>
      </c>
      <c r="N93" s="77">
        <f>75</f>
        <v>75</v>
      </c>
      <c r="O93" s="80">
        <v>240</v>
      </c>
      <c r="P93" s="80">
        <v>160</v>
      </c>
      <c r="Q93" s="80">
        <f t="shared" si="13"/>
        <v>195</v>
      </c>
      <c r="R93" s="80">
        <f t="shared" si="14"/>
        <v>100</v>
      </c>
      <c r="S93" s="77">
        <f t="shared" si="15"/>
        <v>695</v>
      </c>
      <c r="T93" s="77">
        <f>0</f>
        <v>0</v>
      </c>
      <c r="U93" s="78"/>
      <c r="V93" s="78"/>
      <c r="W93" s="78"/>
      <c r="X93" s="78"/>
      <c r="Y93" s="78"/>
      <c r="Z93" s="78"/>
      <c r="AA93" s="78"/>
      <c r="AB93" s="78"/>
      <c r="AC93" s="78"/>
      <c r="AD93" s="78"/>
    </row>
    <row r="94" spans="1:30" ht="15.75" x14ac:dyDescent="0.25">
      <c r="A94" s="16">
        <v>44136</v>
      </c>
      <c r="B94" s="90">
        <v>30</v>
      </c>
      <c r="C94" s="77">
        <f>122.58</f>
        <v>122.58</v>
      </c>
      <c r="D94" s="77">
        <f>297.941</f>
        <v>297.94099999999997</v>
      </c>
      <c r="E94" s="85">
        <f>89.177</f>
        <v>89.177000000000007</v>
      </c>
      <c r="F94" s="77">
        <f>240.302-40-60-100</f>
        <v>40.301999999999992</v>
      </c>
      <c r="G94" s="80">
        <v>40</v>
      </c>
      <c r="H94" s="77">
        <f>60+100</f>
        <v>160</v>
      </c>
      <c r="I94" s="77">
        <f t="shared" si="8"/>
        <v>0</v>
      </c>
      <c r="J94" s="80">
        <v>100</v>
      </c>
      <c r="K94" s="80">
        <v>300</v>
      </c>
      <c r="L94" s="77">
        <f t="shared" si="12"/>
        <v>1150</v>
      </c>
      <c r="M94" s="87">
        <v>600</v>
      </c>
      <c r="N94" s="77">
        <f>100</f>
        <v>100</v>
      </c>
      <c r="O94" s="80">
        <v>240</v>
      </c>
      <c r="P94" s="80">
        <v>40</v>
      </c>
      <c r="Q94" s="80">
        <f t="shared" si="13"/>
        <v>315</v>
      </c>
      <c r="R94" s="80">
        <f t="shared" si="14"/>
        <v>100</v>
      </c>
      <c r="S94" s="77">
        <f t="shared" si="15"/>
        <v>695</v>
      </c>
      <c r="T94" s="77">
        <f>50</f>
        <v>50</v>
      </c>
      <c r="U94" s="78"/>
      <c r="V94" s="78"/>
      <c r="W94" s="78"/>
      <c r="X94" s="78"/>
      <c r="Y94" s="78"/>
      <c r="Z94" s="78"/>
      <c r="AA94" s="78"/>
      <c r="AB94" s="78"/>
      <c r="AC94" s="78"/>
      <c r="AD94" s="78"/>
    </row>
    <row r="95" spans="1:30" ht="15.75" x14ac:dyDescent="0.25">
      <c r="A95" s="16">
        <v>44166</v>
      </c>
      <c r="B95" s="90">
        <v>31</v>
      </c>
      <c r="C95" s="77">
        <f>122.58</f>
        <v>122.58</v>
      </c>
      <c r="D95" s="77">
        <f>297.941</f>
        <v>297.94099999999997</v>
      </c>
      <c r="E95" s="85">
        <f>89.177</f>
        <v>89.177000000000007</v>
      </c>
      <c r="F95" s="77">
        <f>240.302-40-60-100</f>
        <v>40.301999999999992</v>
      </c>
      <c r="G95" s="80">
        <v>40</v>
      </c>
      <c r="H95" s="77">
        <f>60+100</f>
        <v>160</v>
      </c>
      <c r="I95" s="77">
        <f t="shared" si="8"/>
        <v>0</v>
      </c>
      <c r="J95" s="80">
        <v>100</v>
      </c>
      <c r="K95" s="80">
        <v>300</v>
      </c>
      <c r="L95" s="77">
        <f t="shared" si="12"/>
        <v>1150</v>
      </c>
      <c r="M95" s="87">
        <v>600</v>
      </c>
      <c r="N95" s="77">
        <f>100</f>
        <v>100</v>
      </c>
      <c r="O95" s="80">
        <v>240</v>
      </c>
      <c r="P95" s="80">
        <v>40</v>
      </c>
      <c r="Q95" s="80">
        <f t="shared" si="13"/>
        <v>315</v>
      </c>
      <c r="R95" s="80">
        <f t="shared" si="14"/>
        <v>100</v>
      </c>
      <c r="S95" s="77">
        <f t="shared" si="15"/>
        <v>695</v>
      </c>
      <c r="T95" s="77">
        <f>50</f>
        <v>50</v>
      </c>
      <c r="U95" s="78"/>
      <c r="V95" s="78"/>
      <c r="W95" s="78"/>
      <c r="X95" s="78"/>
      <c r="Y95" s="78"/>
      <c r="Z95" s="78"/>
      <c r="AA95" s="78"/>
      <c r="AB95" s="78"/>
      <c r="AC95" s="78"/>
      <c r="AD95" s="78"/>
    </row>
    <row r="96" spans="1:30" ht="15.75" x14ac:dyDescent="0.25">
      <c r="A96" s="16">
        <v>44197</v>
      </c>
      <c r="B96" s="90">
        <v>31</v>
      </c>
      <c r="C96" s="77">
        <f>122.58</f>
        <v>122.58</v>
      </c>
      <c r="D96" s="77">
        <f>297.941</f>
        <v>297.94099999999997</v>
      </c>
      <c r="E96" s="85">
        <f>89.177</f>
        <v>89.177000000000007</v>
      </c>
      <c r="F96" s="77">
        <f>240.302-40-60-100</f>
        <v>40.301999999999992</v>
      </c>
      <c r="G96" s="80">
        <v>40</v>
      </c>
      <c r="H96" s="77">
        <f>60+100</f>
        <v>160</v>
      </c>
      <c r="I96" s="77">
        <f t="shared" si="8"/>
        <v>0</v>
      </c>
      <c r="J96" s="80">
        <v>100</v>
      </c>
      <c r="K96" s="80">
        <v>300</v>
      </c>
      <c r="L96" s="77">
        <f t="shared" si="12"/>
        <v>1150</v>
      </c>
      <c r="M96" s="87">
        <v>600</v>
      </c>
      <c r="N96" s="77">
        <f>100</f>
        <v>100</v>
      </c>
      <c r="O96" s="80">
        <v>240</v>
      </c>
      <c r="P96" s="80">
        <v>40</v>
      </c>
      <c r="Q96" s="80">
        <f t="shared" si="13"/>
        <v>315</v>
      </c>
      <c r="R96" s="80">
        <f t="shared" si="14"/>
        <v>100</v>
      </c>
      <c r="S96" s="77">
        <f t="shared" si="15"/>
        <v>695</v>
      </c>
      <c r="T96" s="77">
        <f>50</f>
        <v>50</v>
      </c>
      <c r="U96" s="78"/>
      <c r="V96" s="78"/>
      <c r="W96" s="78"/>
      <c r="X96" s="78"/>
      <c r="Y96" s="78"/>
      <c r="Z96" s="78"/>
      <c r="AA96" s="78"/>
      <c r="AB96" s="78"/>
      <c r="AC96" s="78"/>
      <c r="AD96" s="78"/>
    </row>
    <row r="97" spans="1:30" ht="15.75" x14ac:dyDescent="0.25">
      <c r="A97" s="16">
        <v>44228</v>
      </c>
      <c r="B97" s="90">
        <v>28</v>
      </c>
      <c r="C97" s="77">
        <f>122.58</f>
        <v>122.58</v>
      </c>
      <c r="D97" s="77">
        <f>297.941</f>
        <v>297.94099999999997</v>
      </c>
      <c r="E97" s="85">
        <f>89.177</f>
        <v>89.177000000000007</v>
      </c>
      <c r="F97" s="77">
        <f>240.302-40-60-100</f>
        <v>40.301999999999992</v>
      </c>
      <c r="G97" s="80">
        <v>40</v>
      </c>
      <c r="H97" s="77">
        <f>60+100</f>
        <v>160</v>
      </c>
      <c r="I97" s="77">
        <f t="shared" si="8"/>
        <v>0</v>
      </c>
      <c r="J97" s="80">
        <v>100</v>
      </c>
      <c r="K97" s="80">
        <v>300</v>
      </c>
      <c r="L97" s="77">
        <f t="shared" si="12"/>
        <v>1150</v>
      </c>
      <c r="M97" s="87">
        <v>600</v>
      </c>
      <c r="N97" s="77">
        <f>100</f>
        <v>100</v>
      </c>
      <c r="O97" s="80">
        <v>240</v>
      </c>
      <c r="P97" s="80">
        <v>40</v>
      </c>
      <c r="Q97" s="80">
        <f t="shared" si="13"/>
        <v>315</v>
      </c>
      <c r="R97" s="80">
        <f t="shared" si="14"/>
        <v>100</v>
      </c>
      <c r="S97" s="77">
        <f t="shared" si="15"/>
        <v>695</v>
      </c>
      <c r="T97" s="77">
        <f>50</f>
        <v>50</v>
      </c>
      <c r="U97" s="78"/>
      <c r="V97" s="78"/>
      <c r="W97" s="78"/>
      <c r="X97" s="78"/>
      <c r="Y97" s="78"/>
      <c r="Z97" s="78"/>
      <c r="AA97" s="78"/>
      <c r="AB97" s="78"/>
      <c r="AC97" s="78"/>
      <c r="AD97" s="78"/>
    </row>
    <row r="98" spans="1:30" ht="15.75" x14ac:dyDescent="0.25">
      <c r="A98" s="16">
        <v>44256</v>
      </c>
      <c r="B98" s="90">
        <v>31</v>
      </c>
      <c r="C98" s="77">
        <f>122.58</f>
        <v>122.58</v>
      </c>
      <c r="D98" s="77">
        <f>297.941</f>
        <v>297.94099999999997</v>
      </c>
      <c r="E98" s="85">
        <f>89.177</f>
        <v>89.177000000000007</v>
      </c>
      <c r="F98" s="77">
        <f>240.302-40-60-100</f>
        <v>40.301999999999992</v>
      </c>
      <c r="G98" s="80">
        <v>40</v>
      </c>
      <c r="H98" s="77">
        <f>60+100</f>
        <v>160</v>
      </c>
      <c r="I98" s="77">
        <f t="shared" si="8"/>
        <v>0</v>
      </c>
      <c r="J98" s="80">
        <v>100</v>
      </c>
      <c r="K98" s="80">
        <v>300</v>
      </c>
      <c r="L98" s="77">
        <f t="shared" si="12"/>
        <v>1150</v>
      </c>
      <c r="M98" s="87">
        <v>600</v>
      </c>
      <c r="N98" s="77">
        <f>100</f>
        <v>100</v>
      </c>
      <c r="O98" s="80">
        <v>240</v>
      </c>
      <c r="P98" s="80">
        <v>40</v>
      </c>
      <c r="Q98" s="80">
        <f t="shared" si="13"/>
        <v>315</v>
      </c>
      <c r="R98" s="80">
        <f t="shared" si="14"/>
        <v>100</v>
      </c>
      <c r="S98" s="77">
        <f t="shared" si="15"/>
        <v>695</v>
      </c>
      <c r="T98" s="77">
        <f>50</f>
        <v>50</v>
      </c>
      <c r="U98" s="78"/>
      <c r="V98" s="78"/>
      <c r="W98" s="78"/>
      <c r="X98" s="78"/>
      <c r="Y98" s="78"/>
      <c r="Z98" s="78"/>
      <c r="AA98" s="78"/>
      <c r="AB98" s="78"/>
      <c r="AC98" s="78"/>
      <c r="AD98" s="78"/>
    </row>
    <row r="99" spans="1:30" ht="15.75" x14ac:dyDescent="0.25">
      <c r="A99" s="16">
        <v>44287</v>
      </c>
      <c r="B99" s="90">
        <v>30</v>
      </c>
      <c r="C99" s="77">
        <f>141.293</f>
        <v>141.29300000000001</v>
      </c>
      <c r="D99" s="77">
        <f>267.993</f>
        <v>267.99299999999999</v>
      </c>
      <c r="E99" s="85">
        <f>115.016</f>
        <v>115.01600000000001</v>
      </c>
      <c r="F99" s="77">
        <f>314.698-40-25-60-100</f>
        <v>89.697999999999979</v>
      </c>
      <c r="G99" s="80">
        <v>40</v>
      </c>
      <c r="H99" s="77">
        <f t="shared" ref="H99:H105" si="17">25+60+100</f>
        <v>185</v>
      </c>
      <c r="I99" s="77">
        <f t="shared" si="8"/>
        <v>0</v>
      </c>
      <c r="J99" s="80">
        <v>100</v>
      </c>
      <c r="K99" s="80">
        <v>300</v>
      </c>
      <c r="L99" s="77">
        <f t="shared" si="12"/>
        <v>1239</v>
      </c>
      <c r="M99" s="87">
        <v>600</v>
      </c>
      <c r="N99" s="77">
        <f>100</f>
        <v>100</v>
      </c>
      <c r="O99" s="80">
        <v>240</v>
      </c>
      <c r="P99" s="80">
        <v>160</v>
      </c>
      <c r="Q99" s="80">
        <f t="shared" si="13"/>
        <v>195</v>
      </c>
      <c r="R99" s="80">
        <f t="shared" si="14"/>
        <v>100</v>
      </c>
      <c r="S99" s="77">
        <f t="shared" si="15"/>
        <v>695</v>
      </c>
      <c r="T99" s="77">
        <f>50</f>
        <v>50</v>
      </c>
      <c r="U99" s="78"/>
      <c r="V99" s="78"/>
      <c r="W99" s="78"/>
      <c r="X99" s="78"/>
      <c r="Y99" s="78"/>
      <c r="Z99" s="78"/>
      <c r="AA99" s="78"/>
      <c r="AB99" s="78"/>
      <c r="AC99" s="78"/>
      <c r="AD99" s="78"/>
    </row>
    <row r="100" spans="1:30" ht="15.75" x14ac:dyDescent="0.25">
      <c r="A100" s="16">
        <v>44317</v>
      </c>
      <c r="B100" s="90">
        <v>31</v>
      </c>
      <c r="C100" s="77">
        <f>194.205</f>
        <v>194.20500000000001</v>
      </c>
      <c r="D100" s="77">
        <f>267.466</f>
        <v>267.46600000000001</v>
      </c>
      <c r="E100" s="85">
        <f>133.845</f>
        <v>133.845</v>
      </c>
      <c r="F100" s="77">
        <f>278.484-40-25-60-100</f>
        <v>53.48399999999998</v>
      </c>
      <c r="G100" s="80">
        <v>40</v>
      </c>
      <c r="H100" s="77">
        <f t="shared" si="17"/>
        <v>185</v>
      </c>
      <c r="I100" s="77">
        <f t="shared" si="8"/>
        <v>0</v>
      </c>
      <c r="J100" s="80">
        <v>100</v>
      </c>
      <c r="K100" s="80">
        <v>300</v>
      </c>
      <c r="L100" s="77">
        <f t="shared" si="12"/>
        <v>1274</v>
      </c>
      <c r="M100" s="87">
        <v>600</v>
      </c>
      <c r="N100" s="77">
        <f>75</f>
        <v>75</v>
      </c>
      <c r="O100" s="80">
        <v>240</v>
      </c>
      <c r="P100" s="80">
        <v>160</v>
      </c>
      <c r="Q100" s="80">
        <f t="shared" si="13"/>
        <v>195</v>
      </c>
      <c r="R100" s="80">
        <f t="shared" si="14"/>
        <v>100</v>
      </c>
      <c r="S100" s="77">
        <f t="shared" si="15"/>
        <v>695</v>
      </c>
      <c r="T100" s="77">
        <f>50</f>
        <v>50</v>
      </c>
      <c r="U100" s="78"/>
      <c r="V100" s="78"/>
      <c r="W100" s="78"/>
      <c r="X100" s="78"/>
      <c r="Y100" s="78"/>
      <c r="Z100" s="78"/>
      <c r="AA100" s="78"/>
      <c r="AB100" s="78"/>
      <c r="AC100" s="78"/>
      <c r="AD100" s="78"/>
    </row>
    <row r="101" spans="1:30" ht="15.75" x14ac:dyDescent="0.25">
      <c r="A101" s="16">
        <v>44348</v>
      </c>
      <c r="B101" s="90">
        <v>30</v>
      </c>
      <c r="C101" s="77">
        <f>194.205</f>
        <v>194.20500000000001</v>
      </c>
      <c r="D101" s="77">
        <f>267.466</f>
        <v>267.46600000000001</v>
      </c>
      <c r="E101" s="85">
        <f>133.845</f>
        <v>133.845</v>
      </c>
      <c r="F101" s="77">
        <f>278.484-40-25-60-100</f>
        <v>53.48399999999998</v>
      </c>
      <c r="G101" s="80">
        <v>40</v>
      </c>
      <c r="H101" s="77">
        <f t="shared" si="17"/>
        <v>185</v>
      </c>
      <c r="I101" s="77">
        <f t="shared" si="8"/>
        <v>0</v>
      </c>
      <c r="J101" s="80">
        <v>100</v>
      </c>
      <c r="K101" s="80">
        <v>300</v>
      </c>
      <c r="L101" s="77">
        <f t="shared" si="12"/>
        <v>1274</v>
      </c>
      <c r="M101" s="87">
        <v>600</v>
      </c>
      <c r="N101" s="77">
        <f>30</f>
        <v>30</v>
      </c>
      <c r="O101" s="80">
        <v>240</v>
      </c>
      <c r="P101" s="80">
        <v>160</v>
      </c>
      <c r="Q101" s="80">
        <f t="shared" si="13"/>
        <v>195</v>
      </c>
      <c r="R101" s="80">
        <f t="shared" si="14"/>
        <v>100</v>
      </c>
      <c r="S101" s="77">
        <f t="shared" si="15"/>
        <v>695</v>
      </c>
      <c r="T101" s="77">
        <f>50</f>
        <v>50</v>
      </c>
      <c r="U101" s="78"/>
      <c r="V101" s="78"/>
      <c r="W101" s="78"/>
      <c r="X101" s="78"/>
      <c r="Y101" s="78"/>
      <c r="Z101" s="78"/>
      <c r="AA101" s="78"/>
      <c r="AB101" s="78"/>
      <c r="AC101" s="78"/>
      <c r="AD101" s="78"/>
    </row>
    <row r="102" spans="1:30" ht="15.75" x14ac:dyDescent="0.25">
      <c r="A102" s="16">
        <v>44378</v>
      </c>
      <c r="B102" s="90">
        <v>31</v>
      </c>
      <c r="C102" s="77">
        <f>194.205</f>
        <v>194.20500000000001</v>
      </c>
      <c r="D102" s="77">
        <f>267.466</f>
        <v>267.46600000000001</v>
      </c>
      <c r="E102" s="85">
        <f>133.845</f>
        <v>133.845</v>
      </c>
      <c r="F102" s="77">
        <f>278.484-40-25-60-100</f>
        <v>53.48399999999998</v>
      </c>
      <c r="G102" s="80">
        <v>40</v>
      </c>
      <c r="H102" s="77">
        <f t="shared" si="17"/>
        <v>185</v>
      </c>
      <c r="I102" s="77">
        <f t="shared" si="8"/>
        <v>0</v>
      </c>
      <c r="J102" s="80">
        <v>100</v>
      </c>
      <c r="K102" s="80">
        <v>300</v>
      </c>
      <c r="L102" s="77">
        <f t="shared" si="12"/>
        <v>1274</v>
      </c>
      <c r="M102" s="87">
        <v>600</v>
      </c>
      <c r="N102" s="77">
        <f>30</f>
        <v>30</v>
      </c>
      <c r="O102" s="80">
        <v>240</v>
      </c>
      <c r="P102" s="80">
        <v>160</v>
      </c>
      <c r="Q102" s="80">
        <f t="shared" si="13"/>
        <v>195</v>
      </c>
      <c r="R102" s="80">
        <f t="shared" si="14"/>
        <v>100</v>
      </c>
      <c r="S102" s="77">
        <f t="shared" si="15"/>
        <v>695</v>
      </c>
      <c r="T102" s="77">
        <f>0</f>
        <v>0</v>
      </c>
      <c r="U102" s="78"/>
      <c r="V102" s="78"/>
      <c r="W102" s="78"/>
      <c r="X102" s="78"/>
      <c r="Y102" s="78"/>
      <c r="Z102" s="78"/>
      <c r="AA102" s="78"/>
      <c r="AB102" s="78"/>
      <c r="AC102" s="78"/>
      <c r="AD102" s="78"/>
    </row>
    <row r="103" spans="1:30" ht="15.75" x14ac:dyDescent="0.25">
      <c r="A103" s="16">
        <v>44409</v>
      </c>
      <c r="B103" s="90">
        <v>31</v>
      </c>
      <c r="C103" s="77">
        <f>194.205</f>
        <v>194.20500000000001</v>
      </c>
      <c r="D103" s="77">
        <f>267.466</f>
        <v>267.46600000000001</v>
      </c>
      <c r="E103" s="85">
        <f>133.845</f>
        <v>133.845</v>
      </c>
      <c r="F103" s="77">
        <f>278.484-40-25-60-100</f>
        <v>53.48399999999998</v>
      </c>
      <c r="G103" s="80">
        <v>40</v>
      </c>
      <c r="H103" s="77">
        <f t="shared" si="17"/>
        <v>185</v>
      </c>
      <c r="I103" s="77">
        <f t="shared" si="8"/>
        <v>0</v>
      </c>
      <c r="J103" s="80">
        <v>100</v>
      </c>
      <c r="K103" s="80">
        <v>300</v>
      </c>
      <c r="L103" s="77">
        <f t="shared" si="12"/>
        <v>1274</v>
      </c>
      <c r="M103" s="87">
        <v>600</v>
      </c>
      <c r="N103" s="77">
        <f>30</f>
        <v>30</v>
      </c>
      <c r="O103" s="80">
        <v>240</v>
      </c>
      <c r="P103" s="80">
        <v>160</v>
      </c>
      <c r="Q103" s="80">
        <f t="shared" si="13"/>
        <v>195</v>
      </c>
      <c r="R103" s="80">
        <f t="shared" si="14"/>
        <v>100</v>
      </c>
      <c r="S103" s="77">
        <f t="shared" si="15"/>
        <v>695</v>
      </c>
      <c r="T103" s="77">
        <f>0</f>
        <v>0</v>
      </c>
      <c r="U103" s="78"/>
      <c r="V103" s="78"/>
      <c r="W103" s="78"/>
      <c r="X103" s="78"/>
      <c r="Y103" s="78"/>
      <c r="Z103" s="78"/>
      <c r="AA103" s="78"/>
      <c r="AB103" s="78"/>
      <c r="AC103" s="78"/>
      <c r="AD103" s="78"/>
    </row>
    <row r="104" spans="1:30" ht="15.75" x14ac:dyDescent="0.25">
      <c r="A104" s="16">
        <v>44440</v>
      </c>
      <c r="B104" s="90">
        <v>30</v>
      </c>
      <c r="C104" s="77">
        <f>194.205</f>
        <v>194.20500000000001</v>
      </c>
      <c r="D104" s="77">
        <f>267.466</f>
        <v>267.46600000000001</v>
      </c>
      <c r="E104" s="85">
        <f>133.845</f>
        <v>133.845</v>
      </c>
      <c r="F104" s="77">
        <f>278.484-40-25-60-100</f>
        <v>53.48399999999998</v>
      </c>
      <c r="G104" s="80">
        <v>40</v>
      </c>
      <c r="H104" s="77">
        <f t="shared" si="17"/>
        <v>185</v>
      </c>
      <c r="I104" s="77">
        <f t="shared" ref="I104:I167" si="18">400-J104-K104</f>
        <v>0</v>
      </c>
      <c r="J104" s="80">
        <v>100</v>
      </c>
      <c r="K104" s="80">
        <v>300</v>
      </c>
      <c r="L104" s="77">
        <f t="shared" si="12"/>
        <v>1274</v>
      </c>
      <c r="M104" s="87">
        <v>600</v>
      </c>
      <c r="N104" s="77">
        <f>30</f>
        <v>30</v>
      </c>
      <c r="O104" s="80">
        <v>240</v>
      </c>
      <c r="P104" s="80">
        <v>160</v>
      </c>
      <c r="Q104" s="80">
        <f t="shared" si="13"/>
        <v>195</v>
      </c>
      <c r="R104" s="80">
        <f t="shared" si="14"/>
        <v>100</v>
      </c>
      <c r="S104" s="77">
        <f t="shared" si="15"/>
        <v>695</v>
      </c>
      <c r="T104" s="77">
        <f>0</f>
        <v>0</v>
      </c>
      <c r="U104" s="78"/>
      <c r="V104" s="78"/>
      <c r="W104" s="78"/>
      <c r="X104" s="78"/>
      <c r="Y104" s="78"/>
      <c r="Z104" s="78"/>
      <c r="AA104" s="78"/>
      <c r="AB104" s="78"/>
      <c r="AC104" s="78"/>
      <c r="AD104" s="78"/>
    </row>
    <row r="105" spans="1:30" ht="15.75" x14ac:dyDescent="0.25">
      <c r="A105" s="16">
        <v>44470</v>
      </c>
      <c r="B105" s="90">
        <v>31</v>
      </c>
      <c r="C105" s="77">
        <f>131.881</f>
        <v>131.881</v>
      </c>
      <c r="D105" s="77">
        <f>277.167</f>
        <v>277.16699999999997</v>
      </c>
      <c r="E105" s="85">
        <f>79.08</f>
        <v>79.08</v>
      </c>
      <c r="F105" s="77">
        <f>350.872-40-25-60-100</f>
        <v>125.87200000000001</v>
      </c>
      <c r="G105" s="80">
        <v>40</v>
      </c>
      <c r="H105" s="77">
        <f t="shared" si="17"/>
        <v>185</v>
      </c>
      <c r="I105" s="77">
        <f t="shared" si="18"/>
        <v>0</v>
      </c>
      <c r="J105" s="80">
        <v>100</v>
      </c>
      <c r="K105" s="80">
        <v>300</v>
      </c>
      <c r="L105" s="77">
        <f t="shared" si="12"/>
        <v>1239</v>
      </c>
      <c r="M105" s="87">
        <v>600</v>
      </c>
      <c r="N105" s="77">
        <f>75</f>
        <v>75</v>
      </c>
      <c r="O105" s="80">
        <v>240</v>
      </c>
      <c r="P105" s="80">
        <v>160</v>
      </c>
      <c r="Q105" s="80">
        <f t="shared" si="13"/>
        <v>195</v>
      </c>
      <c r="R105" s="80">
        <f t="shared" si="14"/>
        <v>100</v>
      </c>
      <c r="S105" s="77">
        <f t="shared" si="15"/>
        <v>695</v>
      </c>
      <c r="T105" s="77">
        <f>0</f>
        <v>0</v>
      </c>
      <c r="U105" s="78"/>
      <c r="V105" s="78"/>
      <c r="W105" s="78"/>
      <c r="X105" s="78"/>
      <c r="Y105" s="78"/>
      <c r="Z105" s="78"/>
      <c r="AA105" s="78"/>
      <c r="AB105" s="78"/>
      <c r="AC105" s="78"/>
      <c r="AD105" s="78"/>
    </row>
    <row r="106" spans="1:30" ht="15.75" x14ac:dyDescent="0.25">
      <c r="A106" s="16">
        <v>44501</v>
      </c>
      <c r="B106" s="90">
        <v>30</v>
      </c>
      <c r="C106" s="77">
        <f>122.58</f>
        <v>122.58</v>
      </c>
      <c r="D106" s="77">
        <f>297.941</f>
        <v>297.94099999999997</v>
      </c>
      <c r="E106" s="85">
        <f>89.177</f>
        <v>89.177000000000007</v>
      </c>
      <c r="F106" s="77">
        <f>240.302-40-60-100</f>
        <v>40.301999999999992</v>
      </c>
      <c r="G106" s="80">
        <v>40</v>
      </c>
      <c r="H106" s="77">
        <f>60+100</f>
        <v>160</v>
      </c>
      <c r="I106" s="77">
        <f t="shared" si="18"/>
        <v>0</v>
      </c>
      <c r="J106" s="80">
        <v>100</v>
      </c>
      <c r="K106" s="80">
        <v>300</v>
      </c>
      <c r="L106" s="77">
        <f t="shared" si="12"/>
        <v>1150</v>
      </c>
      <c r="M106" s="87">
        <v>600</v>
      </c>
      <c r="N106" s="77">
        <f>100</f>
        <v>100</v>
      </c>
      <c r="O106" s="80">
        <v>240</v>
      </c>
      <c r="P106" s="80">
        <v>40</v>
      </c>
      <c r="Q106" s="80">
        <f t="shared" si="13"/>
        <v>315</v>
      </c>
      <c r="R106" s="80">
        <f t="shared" si="14"/>
        <v>100</v>
      </c>
      <c r="S106" s="77">
        <f t="shared" si="15"/>
        <v>695</v>
      </c>
      <c r="T106" s="77">
        <f>50</f>
        <v>50</v>
      </c>
      <c r="U106" s="78"/>
      <c r="V106" s="78"/>
      <c r="W106" s="78"/>
      <c r="X106" s="78"/>
      <c r="Y106" s="78"/>
      <c r="Z106" s="78"/>
      <c r="AA106" s="78"/>
      <c r="AB106" s="78"/>
      <c r="AC106" s="78"/>
      <c r="AD106" s="78"/>
    </row>
    <row r="107" spans="1:30" ht="15.75" x14ac:dyDescent="0.25">
      <c r="A107" s="16">
        <v>44531</v>
      </c>
      <c r="B107" s="90">
        <v>31</v>
      </c>
      <c r="C107" s="77">
        <f>122.58</f>
        <v>122.58</v>
      </c>
      <c r="D107" s="77">
        <f>297.941</f>
        <v>297.94099999999997</v>
      </c>
      <c r="E107" s="85">
        <f>89.177</f>
        <v>89.177000000000007</v>
      </c>
      <c r="F107" s="77">
        <f>240.302-40-60-100</f>
        <v>40.301999999999992</v>
      </c>
      <c r="G107" s="80">
        <v>40</v>
      </c>
      <c r="H107" s="77">
        <f>60+100</f>
        <v>160</v>
      </c>
      <c r="I107" s="77">
        <f t="shared" si="18"/>
        <v>0</v>
      </c>
      <c r="J107" s="80">
        <v>100</v>
      </c>
      <c r="K107" s="80">
        <v>300</v>
      </c>
      <c r="L107" s="77">
        <f t="shared" si="12"/>
        <v>1150</v>
      </c>
      <c r="M107" s="87">
        <v>600</v>
      </c>
      <c r="N107" s="77">
        <f>100</f>
        <v>100</v>
      </c>
      <c r="O107" s="80">
        <v>240</v>
      </c>
      <c r="P107" s="80">
        <v>40</v>
      </c>
      <c r="Q107" s="80">
        <f t="shared" si="13"/>
        <v>315</v>
      </c>
      <c r="R107" s="80">
        <f t="shared" si="14"/>
        <v>100</v>
      </c>
      <c r="S107" s="77">
        <f t="shared" si="15"/>
        <v>695</v>
      </c>
      <c r="T107" s="77">
        <f>50</f>
        <v>50</v>
      </c>
      <c r="U107" s="78"/>
      <c r="V107" s="78"/>
      <c r="W107" s="78"/>
      <c r="X107" s="78"/>
      <c r="Y107" s="78"/>
      <c r="Z107" s="78"/>
      <c r="AA107" s="78"/>
      <c r="AB107" s="78"/>
      <c r="AC107" s="78"/>
      <c r="AD107" s="78"/>
    </row>
    <row r="108" spans="1:30" ht="15.75" x14ac:dyDescent="0.25">
      <c r="A108" s="16">
        <v>44562</v>
      </c>
      <c r="B108" s="90">
        <v>31</v>
      </c>
      <c r="C108" s="77">
        <f>122.58</f>
        <v>122.58</v>
      </c>
      <c r="D108" s="77">
        <f>297.941</f>
        <v>297.94099999999997</v>
      </c>
      <c r="E108" s="85">
        <f>89.177</f>
        <v>89.177000000000007</v>
      </c>
      <c r="F108" s="77">
        <f>240.302-40-60-100</f>
        <v>40.301999999999992</v>
      </c>
      <c r="G108" s="80">
        <v>40</v>
      </c>
      <c r="H108" s="77">
        <f>60+100</f>
        <v>160</v>
      </c>
      <c r="I108" s="77">
        <f t="shared" si="18"/>
        <v>0</v>
      </c>
      <c r="J108" s="80">
        <v>100</v>
      </c>
      <c r="K108" s="80">
        <v>300</v>
      </c>
      <c r="L108" s="77">
        <f t="shared" si="12"/>
        <v>1150</v>
      </c>
      <c r="M108" s="87">
        <v>600</v>
      </c>
      <c r="N108" s="77">
        <f>100</f>
        <v>100</v>
      </c>
      <c r="O108" s="80">
        <v>240</v>
      </c>
      <c r="P108" s="80">
        <v>40</v>
      </c>
      <c r="Q108" s="80">
        <f t="shared" si="13"/>
        <v>315</v>
      </c>
      <c r="R108" s="80">
        <f t="shared" si="14"/>
        <v>100</v>
      </c>
      <c r="S108" s="77">
        <f t="shared" si="15"/>
        <v>695</v>
      </c>
      <c r="T108" s="77">
        <f>50</f>
        <v>50</v>
      </c>
      <c r="U108" s="78"/>
      <c r="V108" s="78"/>
      <c r="W108" s="78"/>
      <c r="X108" s="78"/>
      <c r="Y108" s="78"/>
      <c r="Z108" s="78"/>
      <c r="AA108" s="78"/>
      <c r="AB108" s="78"/>
      <c r="AC108" s="78"/>
      <c r="AD108" s="78"/>
    </row>
    <row r="109" spans="1:30" ht="15.75" x14ac:dyDescent="0.25">
      <c r="A109" s="16">
        <v>44593</v>
      </c>
      <c r="B109" s="90">
        <v>28</v>
      </c>
      <c r="C109" s="77">
        <f>122.58</f>
        <v>122.58</v>
      </c>
      <c r="D109" s="77">
        <f>297.941</f>
        <v>297.94099999999997</v>
      </c>
      <c r="E109" s="85">
        <f>89.177</f>
        <v>89.177000000000007</v>
      </c>
      <c r="F109" s="77">
        <f>240.302-40-60-100</f>
        <v>40.301999999999992</v>
      </c>
      <c r="G109" s="80">
        <v>40</v>
      </c>
      <c r="H109" s="77">
        <f>60+100</f>
        <v>160</v>
      </c>
      <c r="I109" s="77">
        <f t="shared" si="18"/>
        <v>0</v>
      </c>
      <c r="J109" s="80">
        <v>100</v>
      </c>
      <c r="K109" s="80">
        <v>300</v>
      </c>
      <c r="L109" s="77">
        <f t="shared" si="12"/>
        <v>1150</v>
      </c>
      <c r="M109" s="87">
        <v>600</v>
      </c>
      <c r="N109" s="77">
        <f>100</f>
        <v>100</v>
      </c>
      <c r="O109" s="80">
        <v>240</v>
      </c>
      <c r="P109" s="80">
        <v>40</v>
      </c>
      <c r="Q109" s="80">
        <f t="shared" si="13"/>
        <v>315</v>
      </c>
      <c r="R109" s="80">
        <f t="shared" si="14"/>
        <v>100</v>
      </c>
      <c r="S109" s="77">
        <f t="shared" si="15"/>
        <v>695</v>
      </c>
      <c r="T109" s="77">
        <f>50</f>
        <v>50</v>
      </c>
      <c r="U109" s="78"/>
      <c r="V109" s="78"/>
      <c r="W109" s="78"/>
      <c r="X109" s="78"/>
      <c r="Y109" s="78"/>
      <c r="Z109" s="78"/>
      <c r="AA109" s="78"/>
      <c r="AB109" s="78"/>
      <c r="AC109" s="78"/>
      <c r="AD109" s="78"/>
    </row>
    <row r="110" spans="1:30" ht="15.75" x14ac:dyDescent="0.25">
      <c r="A110" s="16">
        <v>44621</v>
      </c>
      <c r="B110" s="90">
        <v>31</v>
      </c>
      <c r="C110" s="77">
        <f>122.58</f>
        <v>122.58</v>
      </c>
      <c r="D110" s="77">
        <f>297.941</f>
        <v>297.94099999999997</v>
      </c>
      <c r="E110" s="85">
        <f>89.177</f>
        <v>89.177000000000007</v>
      </c>
      <c r="F110" s="77">
        <f>240.302-40-60-100</f>
        <v>40.301999999999992</v>
      </c>
      <c r="G110" s="80">
        <v>40</v>
      </c>
      <c r="H110" s="77">
        <f>60+100</f>
        <v>160</v>
      </c>
      <c r="I110" s="77">
        <f t="shared" si="18"/>
        <v>0</v>
      </c>
      <c r="J110" s="80">
        <v>100</v>
      </c>
      <c r="K110" s="80">
        <v>300</v>
      </c>
      <c r="L110" s="77">
        <f t="shared" si="12"/>
        <v>1150</v>
      </c>
      <c r="M110" s="87">
        <v>600</v>
      </c>
      <c r="N110" s="77">
        <f>100</f>
        <v>100</v>
      </c>
      <c r="O110" s="80">
        <v>240</v>
      </c>
      <c r="P110" s="80">
        <v>40</v>
      </c>
      <c r="Q110" s="80">
        <f t="shared" si="13"/>
        <v>315</v>
      </c>
      <c r="R110" s="80">
        <f t="shared" si="14"/>
        <v>100</v>
      </c>
      <c r="S110" s="77">
        <f t="shared" si="15"/>
        <v>695</v>
      </c>
      <c r="T110" s="77">
        <f>50</f>
        <v>50</v>
      </c>
      <c r="U110" s="78"/>
      <c r="V110" s="78"/>
      <c r="W110" s="78"/>
      <c r="X110" s="78"/>
      <c r="Y110" s="78"/>
      <c r="Z110" s="78"/>
      <c r="AA110" s="78"/>
      <c r="AB110" s="78"/>
      <c r="AC110" s="78"/>
      <c r="AD110" s="78"/>
    </row>
    <row r="111" spans="1:30" ht="15.75" x14ac:dyDescent="0.25">
      <c r="A111" s="16">
        <v>44652</v>
      </c>
      <c r="B111" s="90">
        <v>30</v>
      </c>
      <c r="C111" s="77">
        <f>141.293</f>
        <v>141.29300000000001</v>
      </c>
      <c r="D111" s="77">
        <f>267.993</f>
        <v>267.99299999999999</v>
      </c>
      <c r="E111" s="85">
        <f>115.016</f>
        <v>115.01600000000001</v>
      </c>
      <c r="F111" s="77">
        <f>314.698-40-25-60-100</f>
        <v>89.697999999999979</v>
      </c>
      <c r="G111" s="80">
        <v>40</v>
      </c>
      <c r="H111" s="77">
        <f t="shared" ref="H111:H117" si="19">25+60+100</f>
        <v>185</v>
      </c>
      <c r="I111" s="77">
        <f t="shared" si="18"/>
        <v>0</v>
      </c>
      <c r="J111" s="80">
        <v>100</v>
      </c>
      <c r="K111" s="80">
        <v>300</v>
      </c>
      <c r="L111" s="77">
        <f t="shared" si="12"/>
        <v>1239</v>
      </c>
      <c r="M111" s="87">
        <v>600</v>
      </c>
      <c r="N111" s="77">
        <f>100</f>
        <v>100</v>
      </c>
      <c r="O111" s="80">
        <v>240</v>
      </c>
      <c r="P111" s="80">
        <v>160</v>
      </c>
      <c r="Q111" s="80">
        <f t="shared" si="13"/>
        <v>195</v>
      </c>
      <c r="R111" s="80">
        <f t="shared" si="14"/>
        <v>100</v>
      </c>
      <c r="S111" s="77">
        <f t="shared" si="15"/>
        <v>695</v>
      </c>
      <c r="T111" s="77">
        <f>50</f>
        <v>50</v>
      </c>
      <c r="U111" s="78"/>
      <c r="V111" s="78"/>
      <c r="W111" s="78"/>
      <c r="X111" s="78"/>
      <c r="Y111" s="78"/>
      <c r="Z111" s="78"/>
      <c r="AA111" s="78"/>
      <c r="AB111" s="78"/>
      <c r="AC111" s="78"/>
      <c r="AD111" s="78"/>
    </row>
    <row r="112" spans="1:30" ht="15.75" x14ac:dyDescent="0.25">
      <c r="A112" s="16">
        <v>44682</v>
      </c>
      <c r="B112" s="90">
        <v>31</v>
      </c>
      <c r="C112" s="77">
        <f>194.205</f>
        <v>194.20500000000001</v>
      </c>
      <c r="D112" s="77">
        <f>267.466</f>
        <v>267.46600000000001</v>
      </c>
      <c r="E112" s="85">
        <f>133.845</f>
        <v>133.845</v>
      </c>
      <c r="F112" s="77">
        <f>278.484-40-25-60-100</f>
        <v>53.48399999999998</v>
      </c>
      <c r="G112" s="80">
        <v>40</v>
      </c>
      <c r="H112" s="77">
        <f t="shared" si="19"/>
        <v>185</v>
      </c>
      <c r="I112" s="77">
        <f t="shared" si="18"/>
        <v>0</v>
      </c>
      <c r="J112" s="80">
        <v>100</v>
      </c>
      <c r="K112" s="80">
        <v>300</v>
      </c>
      <c r="L112" s="77">
        <f t="shared" si="12"/>
        <v>1274</v>
      </c>
      <c r="M112" s="87">
        <v>600</v>
      </c>
      <c r="N112" s="77">
        <f>75</f>
        <v>75</v>
      </c>
      <c r="O112" s="80">
        <v>240</v>
      </c>
      <c r="P112" s="80">
        <v>160</v>
      </c>
      <c r="Q112" s="80">
        <f t="shared" si="13"/>
        <v>195</v>
      </c>
      <c r="R112" s="80">
        <f t="shared" si="14"/>
        <v>100</v>
      </c>
      <c r="S112" s="77">
        <f t="shared" si="15"/>
        <v>695</v>
      </c>
      <c r="T112" s="77">
        <f>50</f>
        <v>50</v>
      </c>
      <c r="U112" s="78"/>
      <c r="V112" s="78"/>
      <c r="W112" s="78"/>
      <c r="X112" s="78"/>
      <c r="Y112" s="78"/>
      <c r="Z112" s="78"/>
      <c r="AA112" s="78"/>
      <c r="AB112" s="78"/>
      <c r="AC112" s="78"/>
      <c r="AD112" s="78"/>
    </row>
    <row r="113" spans="1:30" ht="15.75" x14ac:dyDescent="0.25">
      <c r="A113" s="16">
        <v>44713</v>
      </c>
      <c r="B113" s="90">
        <v>30</v>
      </c>
      <c r="C113" s="77">
        <f>194.205</f>
        <v>194.20500000000001</v>
      </c>
      <c r="D113" s="77">
        <f>267.466</f>
        <v>267.46600000000001</v>
      </c>
      <c r="E113" s="85">
        <f>133.845</f>
        <v>133.845</v>
      </c>
      <c r="F113" s="77">
        <f>278.484-40-25-60-100</f>
        <v>53.48399999999998</v>
      </c>
      <c r="G113" s="80">
        <v>40</v>
      </c>
      <c r="H113" s="77">
        <f t="shared" si="19"/>
        <v>185</v>
      </c>
      <c r="I113" s="77">
        <f t="shared" si="18"/>
        <v>0</v>
      </c>
      <c r="J113" s="80">
        <v>100</v>
      </c>
      <c r="K113" s="80">
        <v>300</v>
      </c>
      <c r="L113" s="77">
        <f t="shared" si="12"/>
        <v>1274</v>
      </c>
      <c r="M113" s="87">
        <v>600</v>
      </c>
      <c r="N113" s="77">
        <f>30</f>
        <v>30</v>
      </c>
      <c r="O113" s="80">
        <v>240</v>
      </c>
      <c r="P113" s="80">
        <v>160</v>
      </c>
      <c r="Q113" s="80">
        <f t="shared" si="13"/>
        <v>195</v>
      </c>
      <c r="R113" s="80">
        <f t="shared" si="14"/>
        <v>100</v>
      </c>
      <c r="S113" s="77">
        <f t="shared" si="15"/>
        <v>695</v>
      </c>
      <c r="T113" s="77">
        <f>50</f>
        <v>50</v>
      </c>
      <c r="U113" s="78"/>
      <c r="V113" s="78"/>
      <c r="W113" s="78"/>
      <c r="X113" s="78"/>
      <c r="Y113" s="78"/>
      <c r="Z113" s="78"/>
      <c r="AA113" s="78"/>
      <c r="AB113" s="78"/>
      <c r="AC113" s="78"/>
      <c r="AD113" s="78"/>
    </row>
    <row r="114" spans="1:30" ht="15.75" x14ac:dyDescent="0.25">
      <c r="A114" s="16">
        <v>44743</v>
      </c>
      <c r="B114" s="90">
        <v>31</v>
      </c>
      <c r="C114" s="77">
        <f>194.205</f>
        <v>194.20500000000001</v>
      </c>
      <c r="D114" s="77">
        <f>267.466</f>
        <v>267.46600000000001</v>
      </c>
      <c r="E114" s="85">
        <f>133.845</f>
        <v>133.845</v>
      </c>
      <c r="F114" s="77">
        <f>278.484-40-25-60-100</f>
        <v>53.48399999999998</v>
      </c>
      <c r="G114" s="80">
        <v>40</v>
      </c>
      <c r="H114" s="77">
        <f t="shared" si="19"/>
        <v>185</v>
      </c>
      <c r="I114" s="77">
        <f t="shared" si="18"/>
        <v>0</v>
      </c>
      <c r="J114" s="80">
        <v>100</v>
      </c>
      <c r="K114" s="80">
        <v>300</v>
      </c>
      <c r="L114" s="77">
        <f t="shared" si="12"/>
        <v>1274</v>
      </c>
      <c r="M114" s="87">
        <v>600</v>
      </c>
      <c r="N114" s="77">
        <f>30</f>
        <v>30</v>
      </c>
      <c r="O114" s="80">
        <v>240</v>
      </c>
      <c r="P114" s="80">
        <v>160</v>
      </c>
      <c r="Q114" s="80">
        <f t="shared" si="13"/>
        <v>195</v>
      </c>
      <c r="R114" s="80">
        <f t="shared" si="14"/>
        <v>100</v>
      </c>
      <c r="S114" s="77">
        <f t="shared" si="15"/>
        <v>695</v>
      </c>
      <c r="T114" s="77">
        <f>0</f>
        <v>0</v>
      </c>
      <c r="U114" s="78"/>
      <c r="V114" s="78"/>
      <c r="W114" s="78"/>
      <c r="X114" s="78"/>
      <c r="Y114" s="78"/>
      <c r="Z114" s="78"/>
      <c r="AA114" s="78"/>
      <c r="AB114" s="78"/>
      <c r="AC114" s="78"/>
      <c r="AD114" s="78"/>
    </row>
    <row r="115" spans="1:30" ht="15.75" x14ac:dyDescent="0.25">
      <c r="A115" s="16">
        <v>44774</v>
      </c>
      <c r="B115" s="90">
        <v>31</v>
      </c>
      <c r="C115" s="77">
        <f>194.205</f>
        <v>194.20500000000001</v>
      </c>
      <c r="D115" s="77">
        <f>267.466</f>
        <v>267.46600000000001</v>
      </c>
      <c r="E115" s="85">
        <f>133.845</f>
        <v>133.845</v>
      </c>
      <c r="F115" s="77">
        <f>278.484-40-25-60-100</f>
        <v>53.48399999999998</v>
      </c>
      <c r="G115" s="80">
        <v>40</v>
      </c>
      <c r="H115" s="77">
        <f t="shared" si="19"/>
        <v>185</v>
      </c>
      <c r="I115" s="77">
        <f t="shared" si="18"/>
        <v>0</v>
      </c>
      <c r="J115" s="80">
        <v>100</v>
      </c>
      <c r="K115" s="80">
        <v>300</v>
      </c>
      <c r="L115" s="77">
        <f t="shared" si="12"/>
        <v>1274</v>
      </c>
      <c r="M115" s="87">
        <v>600</v>
      </c>
      <c r="N115" s="77">
        <f>30</f>
        <v>30</v>
      </c>
      <c r="O115" s="80">
        <v>240</v>
      </c>
      <c r="P115" s="80">
        <v>160</v>
      </c>
      <c r="Q115" s="80">
        <f t="shared" si="13"/>
        <v>195</v>
      </c>
      <c r="R115" s="80">
        <f t="shared" si="14"/>
        <v>100</v>
      </c>
      <c r="S115" s="77">
        <f t="shared" si="15"/>
        <v>695</v>
      </c>
      <c r="T115" s="77">
        <f>0</f>
        <v>0</v>
      </c>
      <c r="U115" s="78"/>
      <c r="V115" s="78"/>
      <c r="W115" s="78"/>
      <c r="X115" s="78"/>
      <c r="Y115" s="78"/>
      <c r="Z115" s="78"/>
      <c r="AA115" s="78"/>
      <c r="AB115" s="78"/>
      <c r="AC115" s="78"/>
      <c r="AD115" s="78"/>
    </row>
    <row r="116" spans="1:30" ht="15.75" x14ac:dyDescent="0.25">
      <c r="A116" s="16">
        <v>44805</v>
      </c>
      <c r="B116" s="90">
        <v>30</v>
      </c>
      <c r="C116" s="77">
        <f>194.205</f>
        <v>194.20500000000001</v>
      </c>
      <c r="D116" s="77">
        <f>267.466</f>
        <v>267.46600000000001</v>
      </c>
      <c r="E116" s="85">
        <f>133.845</f>
        <v>133.845</v>
      </c>
      <c r="F116" s="77">
        <f>278.484-40-25-60-100</f>
        <v>53.48399999999998</v>
      </c>
      <c r="G116" s="80">
        <v>40</v>
      </c>
      <c r="H116" s="77">
        <f t="shared" si="19"/>
        <v>185</v>
      </c>
      <c r="I116" s="77">
        <f t="shared" si="18"/>
        <v>0</v>
      </c>
      <c r="J116" s="80">
        <v>100</v>
      </c>
      <c r="K116" s="80">
        <v>300</v>
      </c>
      <c r="L116" s="77">
        <f t="shared" si="12"/>
        <v>1274</v>
      </c>
      <c r="M116" s="87">
        <v>600</v>
      </c>
      <c r="N116" s="77">
        <f>30</f>
        <v>30</v>
      </c>
      <c r="O116" s="80">
        <v>240</v>
      </c>
      <c r="P116" s="80">
        <v>160</v>
      </c>
      <c r="Q116" s="80">
        <f t="shared" si="13"/>
        <v>195</v>
      </c>
      <c r="R116" s="80">
        <f t="shared" si="14"/>
        <v>100</v>
      </c>
      <c r="S116" s="77">
        <f t="shared" si="15"/>
        <v>695</v>
      </c>
      <c r="T116" s="77">
        <f>0</f>
        <v>0</v>
      </c>
      <c r="U116" s="78"/>
      <c r="V116" s="78"/>
      <c r="W116" s="78"/>
      <c r="X116" s="78"/>
      <c r="Y116" s="78"/>
      <c r="Z116" s="78"/>
      <c r="AA116" s="78"/>
      <c r="AB116" s="78"/>
      <c r="AC116" s="78"/>
      <c r="AD116" s="78"/>
    </row>
    <row r="117" spans="1:30" ht="15.75" x14ac:dyDescent="0.25">
      <c r="A117" s="16">
        <v>44835</v>
      </c>
      <c r="B117" s="90">
        <v>31</v>
      </c>
      <c r="C117" s="77">
        <f>131.881</f>
        <v>131.881</v>
      </c>
      <c r="D117" s="77">
        <f>277.167</f>
        <v>277.16699999999997</v>
      </c>
      <c r="E117" s="85">
        <f>79.08</f>
        <v>79.08</v>
      </c>
      <c r="F117" s="77">
        <f>350.872-40-25-60-100</f>
        <v>125.87200000000001</v>
      </c>
      <c r="G117" s="80">
        <v>40</v>
      </c>
      <c r="H117" s="77">
        <f t="shared" si="19"/>
        <v>185</v>
      </c>
      <c r="I117" s="77">
        <f t="shared" si="18"/>
        <v>0</v>
      </c>
      <c r="J117" s="80">
        <v>100</v>
      </c>
      <c r="K117" s="80">
        <v>300</v>
      </c>
      <c r="L117" s="77">
        <f t="shared" si="12"/>
        <v>1239</v>
      </c>
      <c r="M117" s="87">
        <v>600</v>
      </c>
      <c r="N117" s="77">
        <f>75</f>
        <v>75</v>
      </c>
      <c r="O117" s="80">
        <v>240</v>
      </c>
      <c r="P117" s="80">
        <v>160</v>
      </c>
      <c r="Q117" s="80">
        <f t="shared" si="13"/>
        <v>195</v>
      </c>
      <c r="R117" s="80">
        <f t="shared" si="14"/>
        <v>100</v>
      </c>
      <c r="S117" s="77">
        <f t="shared" si="15"/>
        <v>695</v>
      </c>
      <c r="T117" s="77">
        <f>0</f>
        <v>0</v>
      </c>
      <c r="U117" s="78"/>
      <c r="V117" s="78"/>
      <c r="W117" s="78"/>
      <c r="X117" s="78"/>
      <c r="Y117" s="78"/>
      <c r="Z117" s="78"/>
      <c r="AA117" s="78"/>
      <c r="AB117" s="78"/>
      <c r="AC117" s="78"/>
      <c r="AD117" s="78"/>
    </row>
    <row r="118" spans="1:30" ht="15.75" x14ac:dyDescent="0.25">
      <c r="A118" s="16">
        <v>44866</v>
      </c>
      <c r="B118" s="90">
        <v>30</v>
      </c>
      <c r="C118" s="77">
        <f>122.58</f>
        <v>122.58</v>
      </c>
      <c r="D118" s="77">
        <f>297.941</f>
        <v>297.94099999999997</v>
      </c>
      <c r="E118" s="85">
        <f>89.177</f>
        <v>89.177000000000007</v>
      </c>
      <c r="F118" s="77">
        <f>240.302-40-60-100</f>
        <v>40.301999999999992</v>
      </c>
      <c r="G118" s="80">
        <v>40</v>
      </c>
      <c r="H118" s="77">
        <f>60+100</f>
        <v>160</v>
      </c>
      <c r="I118" s="77">
        <f t="shared" si="18"/>
        <v>0</v>
      </c>
      <c r="J118" s="80">
        <v>100</v>
      </c>
      <c r="K118" s="80">
        <v>300</v>
      </c>
      <c r="L118" s="77">
        <f t="shared" si="12"/>
        <v>1150</v>
      </c>
      <c r="M118" s="87">
        <v>600</v>
      </c>
      <c r="N118" s="77">
        <f>100</f>
        <v>100</v>
      </c>
      <c r="O118" s="80">
        <v>240</v>
      </c>
      <c r="P118" s="80">
        <v>40</v>
      </c>
      <c r="Q118" s="80">
        <f t="shared" si="13"/>
        <v>315</v>
      </c>
      <c r="R118" s="80">
        <f t="shared" si="14"/>
        <v>100</v>
      </c>
      <c r="S118" s="77">
        <f t="shared" si="15"/>
        <v>695</v>
      </c>
      <c r="T118" s="77">
        <f>50</f>
        <v>50</v>
      </c>
      <c r="U118" s="78"/>
      <c r="V118" s="78"/>
      <c r="W118" s="78"/>
      <c r="X118" s="78"/>
      <c r="Y118" s="78"/>
      <c r="Z118" s="78"/>
      <c r="AA118" s="78"/>
      <c r="AB118" s="78"/>
      <c r="AC118" s="78"/>
      <c r="AD118" s="78"/>
    </row>
    <row r="119" spans="1:30" ht="15.75" x14ac:dyDescent="0.25">
      <c r="A119" s="16">
        <v>44896</v>
      </c>
      <c r="B119" s="90">
        <v>31</v>
      </c>
      <c r="C119" s="77">
        <f>122.58</f>
        <v>122.58</v>
      </c>
      <c r="D119" s="77">
        <f>297.941</f>
        <v>297.94099999999997</v>
      </c>
      <c r="E119" s="85">
        <f>89.177</f>
        <v>89.177000000000007</v>
      </c>
      <c r="F119" s="77">
        <f>240.302-40-60-100</f>
        <v>40.301999999999992</v>
      </c>
      <c r="G119" s="80">
        <v>40</v>
      </c>
      <c r="H119" s="77">
        <f>60+100</f>
        <v>160</v>
      </c>
      <c r="I119" s="77">
        <f t="shared" si="18"/>
        <v>0</v>
      </c>
      <c r="J119" s="80">
        <v>100</v>
      </c>
      <c r="K119" s="80">
        <v>300</v>
      </c>
      <c r="L119" s="77">
        <f t="shared" si="12"/>
        <v>1150</v>
      </c>
      <c r="M119" s="87">
        <v>600</v>
      </c>
      <c r="N119" s="77">
        <f>100</f>
        <v>100</v>
      </c>
      <c r="O119" s="80">
        <v>240</v>
      </c>
      <c r="P119" s="80">
        <v>40</v>
      </c>
      <c r="Q119" s="80">
        <f t="shared" si="13"/>
        <v>315</v>
      </c>
      <c r="R119" s="80">
        <f t="shared" si="14"/>
        <v>100</v>
      </c>
      <c r="S119" s="77">
        <f t="shared" si="15"/>
        <v>695</v>
      </c>
      <c r="T119" s="77">
        <f>50</f>
        <v>50</v>
      </c>
      <c r="U119" s="78"/>
      <c r="V119" s="78"/>
      <c r="W119" s="78"/>
      <c r="X119" s="78"/>
      <c r="Y119" s="78"/>
      <c r="Z119" s="78"/>
      <c r="AA119" s="78"/>
      <c r="AB119" s="78"/>
      <c r="AC119" s="78"/>
      <c r="AD119" s="78"/>
    </row>
    <row r="120" spans="1:30" ht="15.75" x14ac:dyDescent="0.25">
      <c r="A120" s="16">
        <v>44927</v>
      </c>
      <c r="B120" s="90">
        <v>31</v>
      </c>
      <c r="C120" s="77">
        <f>122.58</f>
        <v>122.58</v>
      </c>
      <c r="D120" s="77">
        <f>297.941</f>
        <v>297.94099999999997</v>
      </c>
      <c r="E120" s="85">
        <f>89.177</f>
        <v>89.177000000000007</v>
      </c>
      <c r="F120" s="77">
        <f>240.302-40-60-100</f>
        <v>40.301999999999992</v>
      </c>
      <c r="G120" s="80">
        <v>40</v>
      </c>
      <c r="H120" s="77">
        <f>60+100</f>
        <v>160</v>
      </c>
      <c r="I120" s="77">
        <f t="shared" si="18"/>
        <v>0</v>
      </c>
      <c r="J120" s="80">
        <v>100</v>
      </c>
      <c r="K120" s="80">
        <v>300</v>
      </c>
      <c r="L120" s="77">
        <f t="shared" si="12"/>
        <v>1150</v>
      </c>
      <c r="M120" s="87">
        <v>600</v>
      </c>
      <c r="N120" s="77">
        <f>100</f>
        <v>100</v>
      </c>
      <c r="O120" s="80">
        <v>240</v>
      </c>
      <c r="P120" s="80">
        <v>40</v>
      </c>
      <c r="Q120" s="80">
        <f t="shared" si="13"/>
        <v>315</v>
      </c>
      <c r="R120" s="80">
        <f t="shared" si="14"/>
        <v>100</v>
      </c>
      <c r="S120" s="77">
        <f t="shared" si="15"/>
        <v>695</v>
      </c>
      <c r="T120" s="77">
        <f>50</f>
        <v>50</v>
      </c>
      <c r="U120" s="78"/>
      <c r="V120" s="78"/>
      <c r="W120" s="78"/>
      <c r="X120" s="78"/>
      <c r="Y120" s="78"/>
      <c r="Z120" s="78"/>
      <c r="AA120" s="78"/>
      <c r="AB120" s="78"/>
      <c r="AC120" s="78"/>
      <c r="AD120" s="78"/>
    </row>
    <row r="121" spans="1:30" ht="15.75" x14ac:dyDescent="0.25">
      <c r="A121" s="16">
        <v>44958</v>
      </c>
      <c r="B121" s="90">
        <v>28</v>
      </c>
      <c r="C121" s="77">
        <f>122.58</f>
        <v>122.58</v>
      </c>
      <c r="D121" s="77">
        <f>297.941</f>
        <v>297.94099999999997</v>
      </c>
      <c r="E121" s="85">
        <f>89.177</f>
        <v>89.177000000000007</v>
      </c>
      <c r="F121" s="77">
        <f>240.302-40-60-100</f>
        <v>40.301999999999992</v>
      </c>
      <c r="G121" s="80">
        <v>40</v>
      </c>
      <c r="H121" s="77">
        <f>60+100</f>
        <v>160</v>
      </c>
      <c r="I121" s="77">
        <f t="shared" si="18"/>
        <v>0</v>
      </c>
      <c r="J121" s="80">
        <v>100</v>
      </c>
      <c r="K121" s="80">
        <v>300</v>
      </c>
      <c r="L121" s="77">
        <f t="shared" si="12"/>
        <v>1150</v>
      </c>
      <c r="M121" s="87">
        <v>600</v>
      </c>
      <c r="N121" s="77">
        <f>100</f>
        <v>100</v>
      </c>
      <c r="O121" s="80">
        <v>240</v>
      </c>
      <c r="P121" s="80">
        <v>40</v>
      </c>
      <c r="Q121" s="80">
        <f t="shared" si="13"/>
        <v>315</v>
      </c>
      <c r="R121" s="80">
        <f t="shared" si="14"/>
        <v>100</v>
      </c>
      <c r="S121" s="77">
        <f t="shared" si="15"/>
        <v>695</v>
      </c>
      <c r="T121" s="77">
        <f>50</f>
        <v>50</v>
      </c>
      <c r="U121" s="78"/>
      <c r="V121" s="78"/>
      <c r="W121" s="78"/>
      <c r="X121" s="78"/>
      <c r="Y121" s="78"/>
      <c r="Z121" s="78"/>
      <c r="AA121" s="78"/>
      <c r="AB121" s="78"/>
      <c r="AC121" s="78"/>
      <c r="AD121" s="78"/>
    </row>
    <row r="122" spans="1:30" ht="15.75" x14ac:dyDescent="0.25">
      <c r="A122" s="16">
        <v>44986</v>
      </c>
      <c r="B122" s="90">
        <v>31</v>
      </c>
      <c r="C122" s="77">
        <f>122.58</f>
        <v>122.58</v>
      </c>
      <c r="D122" s="77">
        <f>297.941</f>
        <v>297.94099999999997</v>
      </c>
      <c r="E122" s="85">
        <f>89.177</f>
        <v>89.177000000000007</v>
      </c>
      <c r="F122" s="77">
        <f>240.302-40-60-100</f>
        <v>40.301999999999992</v>
      </c>
      <c r="G122" s="80">
        <v>40</v>
      </c>
      <c r="H122" s="77">
        <f>60+100</f>
        <v>160</v>
      </c>
      <c r="I122" s="77">
        <f t="shared" si="18"/>
        <v>0</v>
      </c>
      <c r="J122" s="80">
        <v>100</v>
      </c>
      <c r="K122" s="80">
        <v>300</v>
      </c>
      <c r="L122" s="77">
        <f t="shared" si="12"/>
        <v>1150</v>
      </c>
      <c r="M122" s="87">
        <v>600</v>
      </c>
      <c r="N122" s="77">
        <f>100</f>
        <v>100</v>
      </c>
      <c r="O122" s="80">
        <v>240</v>
      </c>
      <c r="P122" s="80">
        <v>40</v>
      </c>
      <c r="Q122" s="80">
        <f t="shared" si="13"/>
        <v>315</v>
      </c>
      <c r="R122" s="80">
        <f t="shared" si="14"/>
        <v>100</v>
      </c>
      <c r="S122" s="77">
        <f t="shared" si="15"/>
        <v>695</v>
      </c>
      <c r="T122" s="77">
        <f>50</f>
        <v>50</v>
      </c>
      <c r="U122" s="78"/>
      <c r="V122" s="78"/>
      <c r="W122" s="78"/>
      <c r="X122" s="78"/>
      <c r="Y122" s="78"/>
      <c r="Z122" s="78"/>
      <c r="AA122" s="78"/>
      <c r="AB122" s="78"/>
      <c r="AC122" s="78"/>
      <c r="AD122" s="78"/>
    </row>
    <row r="123" spans="1:30" ht="15.75" x14ac:dyDescent="0.25">
      <c r="A123" s="16">
        <v>45017</v>
      </c>
      <c r="B123" s="90">
        <v>30</v>
      </c>
      <c r="C123" s="77">
        <f>141.293</f>
        <v>141.29300000000001</v>
      </c>
      <c r="D123" s="77">
        <f>267.993</f>
        <v>267.99299999999999</v>
      </c>
      <c r="E123" s="85">
        <f>115.016</f>
        <v>115.01600000000001</v>
      </c>
      <c r="F123" s="77">
        <f>314.698-40-25-60-100</f>
        <v>89.697999999999979</v>
      </c>
      <c r="G123" s="80">
        <v>40</v>
      </c>
      <c r="H123" s="77">
        <f t="shared" ref="H123:H129" si="20">25+60+100</f>
        <v>185</v>
      </c>
      <c r="I123" s="77">
        <f t="shared" si="18"/>
        <v>0</v>
      </c>
      <c r="J123" s="80">
        <v>100</v>
      </c>
      <c r="K123" s="80">
        <v>300</v>
      </c>
      <c r="L123" s="77">
        <f t="shared" si="12"/>
        <v>1239</v>
      </c>
      <c r="M123" s="87">
        <v>600</v>
      </c>
      <c r="N123" s="77">
        <f>100</f>
        <v>100</v>
      </c>
      <c r="O123" s="80">
        <v>240</v>
      </c>
      <c r="P123" s="80">
        <v>160</v>
      </c>
      <c r="Q123" s="80">
        <f t="shared" si="13"/>
        <v>195</v>
      </c>
      <c r="R123" s="80">
        <f t="shared" si="14"/>
        <v>100</v>
      </c>
      <c r="S123" s="77">
        <f t="shared" si="15"/>
        <v>695</v>
      </c>
      <c r="T123" s="77">
        <f>50</f>
        <v>50</v>
      </c>
      <c r="U123" s="78"/>
      <c r="V123" s="78"/>
      <c r="W123" s="78"/>
      <c r="X123" s="78"/>
      <c r="Y123" s="78"/>
      <c r="Z123" s="78"/>
      <c r="AA123" s="78"/>
      <c r="AB123" s="78"/>
      <c r="AC123" s="78"/>
      <c r="AD123" s="78"/>
    </row>
    <row r="124" spans="1:30" ht="15.75" x14ac:dyDescent="0.25">
      <c r="A124" s="16">
        <v>45047</v>
      </c>
      <c r="B124" s="90">
        <v>31</v>
      </c>
      <c r="C124" s="77">
        <f>194.205</f>
        <v>194.20500000000001</v>
      </c>
      <c r="D124" s="77">
        <f>267.466</f>
        <v>267.46600000000001</v>
      </c>
      <c r="E124" s="85">
        <f>133.845</f>
        <v>133.845</v>
      </c>
      <c r="F124" s="77">
        <f>278.484-40-25-60-100</f>
        <v>53.48399999999998</v>
      </c>
      <c r="G124" s="80">
        <v>40</v>
      </c>
      <c r="H124" s="77">
        <f t="shared" si="20"/>
        <v>185</v>
      </c>
      <c r="I124" s="77">
        <f t="shared" si="18"/>
        <v>0</v>
      </c>
      <c r="J124" s="80">
        <v>100</v>
      </c>
      <c r="K124" s="80">
        <v>300</v>
      </c>
      <c r="L124" s="77">
        <f t="shared" si="12"/>
        <v>1274</v>
      </c>
      <c r="M124" s="87">
        <v>600</v>
      </c>
      <c r="N124" s="77">
        <f>75</f>
        <v>75</v>
      </c>
      <c r="O124" s="80">
        <v>240</v>
      </c>
      <c r="P124" s="80">
        <v>160</v>
      </c>
      <c r="Q124" s="80">
        <f t="shared" si="13"/>
        <v>195</v>
      </c>
      <c r="R124" s="80">
        <f t="shared" si="14"/>
        <v>100</v>
      </c>
      <c r="S124" s="77">
        <f t="shared" si="15"/>
        <v>695</v>
      </c>
      <c r="T124" s="77">
        <f>50</f>
        <v>50</v>
      </c>
      <c r="U124" s="78"/>
      <c r="V124" s="78"/>
      <c r="W124" s="78"/>
      <c r="X124" s="78"/>
      <c r="Y124" s="78"/>
      <c r="Z124" s="78"/>
      <c r="AA124" s="78"/>
      <c r="AB124" s="78"/>
      <c r="AC124" s="78"/>
      <c r="AD124" s="78"/>
    </row>
    <row r="125" spans="1:30" ht="15.75" x14ac:dyDescent="0.25">
      <c r="A125" s="16">
        <v>45078</v>
      </c>
      <c r="B125" s="90">
        <v>30</v>
      </c>
      <c r="C125" s="77">
        <f>194.205</f>
        <v>194.20500000000001</v>
      </c>
      <c r="D125" s="77">
        <f>267.466</f>
        <v>267.46600000000001</v>
      </c>
      <c r="E125" s="85">
        <f>133.845</f>
        <v>133.845</v>
      </c>
      <c r="F125" s="77">
        <f>278.484-40-25-60-100</f>
        <v>53.48399999999998</v>
      </c>
      <c r="G125" s="80">
        <v>40</v>
      </c>
      <c r="H125" s="77">
        <f t="shared" si="20"/>
        <v>185</v>
      </c>
      <c r="I125" s="77">
        <f t="shared" si="18"/>
        <v>0</v>
      </c>
      <c r="J125" s="80">
        <v>100</v>
      </c>
      <c r="K125" s="80">
        <v>300</v>
      </c>
      <c r="L125" s="77">
        <f t="shared" si="12"/>
        <v>1274</v>
      </c>
      <c r="M125" s="87">
        <v>600</v>
      </c>
      <c r="N125" s="77">
        <f>30</f>
        <v>30</v>
      </c>
      <c r="O125" s="80">
        <v>240</v>
      </c>
      <c r="P125" s="80">
        <v>160</v>
      </c>
      <c r="Q125" s="80">
        <f t="shared" si="13"/>
        <v>195</v>
      </c>
      <c r="R125" s="80">
        <f t="shared" si="14"/>
        <v>100</v>
      </c>
      <c r="S125" s="77">
        <f t="shared" si="15"/>
        <v>695</v>
      </c>
      <c r="T125" s="77">
        <f>50</f>
        <v>50</v>
      </c>
      <c r="U125" s="78"/>
      <c r="V125" s="78"/>
      <c r="W125" s="78"/>
      <c r="X125" s="78"/>
      <c r="Y125" s="78"/>
      <c r="Z125" s="78"/>
      <c r="AA125" s="78"/>
      <c r="AB125" s="78"/>
      <c r="AC125" s="78"/>
      <c r="AD125" s="78"/>
    </row>
    <row r="126" spans="1:30" ht="15.75" x14ac:dyDescent="0.25">
      <c r="A126" s="16">
        <v>45108</v>
      </c>
      <c r="B126" s="90">
        <v>31</v>
      </c>
      <c r="C126" s="77">
        <f>194.205</f>
        <v>194.20500000000001</v>
      </c>
      <c r="D126" s="77">
        <f>267.466</f>
        <v>267.46600000000001</v>
      </c>
      <c r="E126" s="85">
        <f>133.845</f>
        <v>133.845</v>
      </c>
      <c r="F126" s="77">
        <f>278.484-40-25-60-100</f>
        <v>53.48399999999998</v>
      </c>
      <c r="G126" s="80">
        <v>40</v>
      </c>
      <c r="H126" s="77">
        <f t="shared" si="20"/>
        <v>185</v>
      </c>
      <c r="I126" s="77">
        <f t="shared" si="18"/>
        <v>0</v>
      </c>
      <c r="J126" s="80">
        <v>100</v>
      </c>
      <c r="K126" s="80">
        <v>300</v>
      </c>
      <c r="L126" s="77">
        <f t="shared" si="12"/>
        <v>1274</v>
      </c>
      <c r="M126" s="87">
        <v>600</v>
      </c>
      <c r="N126" s="77">
        <f>30</f>
        <v>30</v>
      </c>
      <c r="O126" s="80">
        <v>240</v>
      </c>
      <c r="P126" s="80">
        <v>160</v>
      </c>
      <c r="Q126" s="80">
        <f t="shared" si="13"/>
        <v>195</v>
      </c>
      <c r="R126" s="80">
        <f t="shared" si="14"/>
        <v>100</v>
      </c>
      <c r="S126" s="77">
        <f t="shared" si="15"/>
        <v>695</v>
      </c>
      <c r="T126" s="77">
        <f>0</f>
        <v>0</v>
      </c>
      <c r="U126" s="78"/>
      <c r="V126" s="78"/>
      <c r="W126" s="78"/>
      <c r="X126" s="78"/>
      <c r="Y126" s="78"/>
      <c r="Z126" s="78"/>
      <c r="AA126" s="78"/>
      <c r="AB126" s="78"/>
      <c r="AC126" s="78"/>
      <c r="AD126" s="78"/>
    </row>
    <row r="127" spans="1:30" ht="15.75" x14ac:dyDescent="0.25">
      <c r="A127" s="16">
        <v>45139</v>
      </c>
      <c r="B127" s="90">
        <v>31</v>
      </c>
      <c r="C127" s="77">
        <f>194.205</f>
        <v>194.20500000000001</v>
      </c>
      <c r="D127" s="77">
        <f>267.466</f>
        <v>267.46600000000001</v>
      </c>
      <c r="E127" s="85">
        <f>133.845</f>
        <v>133.845</v>
      </c>
      <c r="F127" s="77">
        <f>278.484-40-25-60-100</f>
        <v>53.48399999999998</v>
      </c>
      <c r="G127" s="80">
        <v>40</v>
      </c>
      <c r="H127" s="77">
        <f t="shared" si="20"/>
        <v>185</v>
      </c>
      <c r="I127" s="77">
        <f t="shared" si="18"/>
        <v>0</v>
      </c>
      <c r="J127" s="80">
        <v>100</v>
      </c>
      <c r="K127" s="80">
        <v>300</v>
      </c>
      <c r="L127" s="77">
        <f t="shared" si="12"/>
        <v>1274</v>
      </c>
      <c r="M127" s="87">
        <v>600</v>
      </c>
      <c r="N127" s="77">
        <f>30</f>
        <v>30</v>
      </c>
      <c r="O127" s="80">
        <v>240</v>
      </c>
      <c r="P127" s="80">
        <v>160</v>
      </c>
      <c r="Q127" s="80">
        <f t="shared" si="13"/>
        <v>195</v>
      </c>
      <c r="R127" s="80">
        <f t="shared" si="14"/>
        <v>100</v>
      </c>
      <c r="S127" s="77">
        <f t="shared" si="15"/>
        <v>695</v>
      </c>
      <c r="T127" s="77">
        <f>0</f>
        <v>0</v>
      </c>
      <c r="U127" s="78"/>
      <c r="V127" s="78"/>
      <c r="W127" s="78"/>
      <c r="X127" s="78"/>
      <c r="Y127" s="78"/>
      <c r="Z127" s="78"/>
      <c r="AA127" s="78"/>
      <c r="AB127" s="78"/>
      <c r="AC127" s="78"/>
      <c r="AD127" s="78"/>
    </row>
    <row r="128" spans="1:30" ht="15.75" x14ac:dyDescent="0.25">
      <c r="A128" s="16">
        <v>45170</v>
      </c>
      <c r="B128" s="90">
        <v>30</v>
      </c>
      <c r="C128" s="77">
        <f>194.205</f>
        <v>194.20500000000001</v>
      </c>
      <c r="D128" s="77">
        <f>267.466</f>
        <v>267.46600000000001</v>
      </c>
      <c r="E128" s="85">
        <f>133.845</f>
        <v>133.845</v>
      </c>
      <c r="F128" s="77">
        <f>278.484-40-25-60-100</f>
        <v>53.48399999999998</v>
      </c>
      <c r="G128" s="80">
        <v>40</v>
      </c>
      <c r="H128" s="77">
        <f t="shared" si="20"/>
        <v>185</v>
      </c>
      <c r="I128" s="77">
        <f t="shared" si="18"/>
        <v>0</v>
      </c>
      <c r="J128" s="80">
        <v>100</v>
      </c>
      <c r="K128" s="80">
        <v>300</v>
      </c>
      <c r="L128" s="77">
        <f t="shared" si="12"/>
        <v>1274</v>
      </c>
      <c r="M128" s="87">
        <v>600</v>
      </c>
      <c r="N128" s="77">
        <f>30</f>
        <v>30</v>
      </c>
      <c r="O128" s="80">
        <v>240</v>
      </c>
      <c r="P128" s="80">
        <v>160</v>
      </c>
      <c r="Q128" s="80">
        <f t="shared" si="13"/>
        <v>195</v>
      </c>
      <c r="R128" s="80">
        <f t="shared" si="14"/>
        <v>100</v>
      </c>
      <c r="S128" s="77">
        <f t="shared" si="15"/>
        <v>695</v>
      </c>
      <c r="T128" s="77">
        <f>0</f>
        <v>0</v>
      </c>
      <c r="U128" s="78"/>
      <c r="V128" s="78"/>
      <c r="W128" s="78"/>
      <c r="X128" s="78"/>
      <c r="Y128" s="78"/>
      <c r="Z128" s="78"/>
      <c r="AA128" s="78"/>
      <c r="AB128" s="78"/>
      <c r="AC128" s="78"/>
      <c r="AD128" s="78"/>
    </row>
    <row r="129" spans="1:30" ht="15.75" x14ac:dyDescent="0.25">
      <c r="A129" s="16">
        <v>45200</v>
      </c>
      <c r="B129" s="90">
        <v>31</v>
      </c>
      <c r="C129" s="77">
        <f>131.881</f>
        <v>131.881</v>
      </c>
      <c r="D129" s="77">
        <f>277.167</f>
        <v>277.16699999999997</v>
      </c>
      <c r="E129" s="85">
        <f>79.08</f>
        <v>79.08</v>
      </c>
      <c r="F129" s="77">
        <f>350.872-40-25-60-100</f>
        <v>125.87200000000001</v>
      </c>
      <c r="G129" s="80">
        <v>40</v>
      </c>
      <c r="H129" s="77">
        <f t="shared" si="20"/>
        <v>185</v>
      </c>
      <c r="I129" s="77">
        <f t="shared" si="18"/>
        <v>0</v>
      </c>
      <c r="J129" s="80">
        <v>100</v>
      </c>
      <c r="K129" s="80">
        <v>300</v>
      </c>
      <c r="L129" s="77">
        <f t="shared" si="12"/>
        <v>1239</v>
      </c>
      <c r="M129" s="87">
        <v>600</v>
      </c>
      <c r="N129" s="77">
        <f>75</f>
        <v>75</v>
      </c>
      <c r="O129" s="80">
        <v>240</v>
      </c>
      <c r="P129" s="80">
        <v>160</v>
      </c>
      <c r="Q129" s="80">
        <f t="shared" si="13"/>
        <v>195</v>
      </c>
      <c r="R129" s="80">
        <f t="shared" si="14"/>
        <v>100</v>
      </c>
      <c r="S129" s="77">
        <f t="shared" si="15"/>
        <v>695</v>
      </c>
      <c r="T129" s="77">
        <f>0</f>
        <v>0</v>
      </c>
      <c r="U129" s="78"/>
      <c r="V129" s="78"/>
      <c r="W129" s="78"/>
      <c r="X129" s="78"/>
      <c r="Y129" s="78"/>
      <c r="Z129" s="78"/>
      <c r="AA129" s="78"/>
      <c r="AB129" s="78"/>
      <c r="AC129" s="78"/>
      <c r="AD129" s="78"/>
    </row>
    <row r="130" spans="1:30" ht="15.75" x14ac:dyDescent="0.25">
      <c r="A130" s="16">
        <v>45231</v>
      </c>
      <c r="B130" s="90">
        <v>30</v>
      </c>
      <c r="C130" s="77">
        <f>122.58</f>
        <v>122.58</v>
      </c>
      <c r="D130" s="77">
        <f>297.941</f>
        <v>297.94099999999997</v>
      </c>
      <c r="E130" s="85">
        <f>89.177</f>
        <v>89.177000000000007</v>
      </c>
      <c r="F130" s="77">
        <f>240.302-40-60-100</f>
        <v>40.301999999999992</v>
      </c>
      <c r="G130" s="80">
        <v>40</v>
      </c>
      <c r="H130" s="77">
        <f>60+100</f>
        <v>160</v>
      </c>
      <c r="I130" s="77">
        <f t="shared" si="18"/>
        <v>0</v>
      </c>
      <c r="J130" s="80">
        <v>100</v>
      </c>
      <c r="K130" s="80">
        <v>300</v>
      </c>
      <c r="L130" s="77">
        <f t="shared" si="12"/>
        <v>1150</v>
      </c>
      <c r="M130" s="87">
        <v>600</v>
      </c>
      <c r="N130" s="77">
        <f>100</f>
        <v>100</v>
      </c>
      <c r="O130" s="80">
        <v>240</v>
      </c>
      <c r="P130" s="80">
        <v>40</v>
      </c>
      <c r="Q130" s="80">
        <f t="shared" si="13"/>
        <v>315</v>
      </c>
      <c r="R130" s="80">
        <f t="shared" si="14"/>
        <v>100</v>
      </c>
      <c r="S130" s="77">
        <f t="shared" si="15"/>
        <v>695</v>
      </c>
      <c r="T130" s="77">
        <f>50</f>
        <v>50</v>
      </c>
      <c r="U130" s="78"/>
      <c r="V130" s="78"/>
      <c r="W130" s="78"/>
      <c r="X130" s="78"/>
      <c r="Y130" s="78"/>
      <c r="Z130" s="78"/>
      <c r="AA130" s="78"/>
      <c r="AB130" s="78"/>
      <c r="AC130" s="78"/>
      <c r="AD130" s="78"/>
    </row>
    <row r="131" spans="1:30" ht="15.75" x14ac:dyDescent="0.25">
      <c r="A131" s="16">
        <v>45261</v>
      </c>
      <c r="B131" s="90">
        <v>31</v>
      </c>
      <c r="C131" s="77">
        <f>122.58</f>
        <v>122.58</v>
      </c>
      <c r="D131" s="77">
        <f>297.941</f>
        <v>297.94099999999997</v>
      </c>
      <c r="E131" s="85">
        <f>89.177</f>
        <v>89.177000000000007</v>
      </c>
      <c r="F131" s="77">
        <f>240.302-40-60-100</f>
        <v>40.301999999999992</v>
      </c>
      <c r="G131" s="80">
        <v>40</v>
      </c>
      <c r="H131" s="77">
        <f>60+100</f>
        <v>160</v>
      </c>
      <c r="I131" s="77">
        <f t="shared" si="18"/>
        <v>0</v>
      </c>
      <c r="J131" s="80">
        <v>100</v>
      </c>
      <c r="K131" s="80">
        <v>300</v>
      </c>
      <c r="L131" s="77">
        <f t="shared" si="12"/>
        <v>1150</v>
      </c>
      <c r="M131" s="87">
        <v>600</v>
      </c>
      <c r="N131" s="77">
        <f>100</f>
        <v>100</v>
      </c>
      <c r="O131" s="80">
        <v>240</v>
      </c>
      <c r="P131" s="80">
        <v>40</v>
      </c>
      <c r="Q131" s="80">
        <f t="shared" si="13"/>
        <v>315</v>
      </c>
      <c r="R131" s="80">
        <f t="shared" si="14"/>
        <v>100</v>
      </c>
      <c r="S131" s="77">
        <f t="shared" si="15"/>
        <v>695</v>
      </c>
      <c r="T131" s="77">
        <f>50</f>
        <v>50</v>
      </c>
      <c r="U131" s="78"/>
      <c r="V131" s="78"/>
      <c r="W131" s="78"/>
      <c r="X131" s="78"/>
      <c r="Y131" s="78"/>
      <c r="Z131" s="78"/>
      <c r="AA131" s="78"/>
      <c r="AB131" s="78"/>
      <c r="AC131" s="78"/>
      <c r="AD131" s="78"/>
    </row>
    <row r="132" spans="1:30" ht="15.75" x14ac:dyDescent="0.25">
      <c r="A132" s="16">
        <v>45292</v>
      </c>
      <c r="B132" s="90">
        <v>31</v>
      </c>
      <c r="C132" s="77">
        <f>122.58</f>
        <v>122.58</v>
      </c>
      <c r="D132" s="77">
        <f>297.941</f>
        <v>297.94099999999997</v>
      </c>
      <c r="E132" s="85">
        <f>89.177</f>
        <v>89.177000000000007</v>
      </c>
      <c r="F132" s="77">
        <f>240.302-40-60-100</f>
        <v>40.301999999999992</v>
      </c>
      <c r="G132" s="80">
        <v>40</v>
      </c>
      <c r="H132" s="77">
        <f>60+100</f>
        <v>160</v>
      </c>
      <c r="I132" s="77">
        <f t="shared" si="18"/>
        <v>0</v>
      </c>
      <c r="J132" s="80">
        <v>100</v>
      </c>
      <c r="K132" s="80">
        <v>300</v>
      </c>
      <c r="L132" s="77">
        <f t="shared" si="12"/>
        <v>1150</v>
      </c>
      <c r="M132" s="87">
        <v>600</v>
      </c>
      <c r="N132" s="77">
        <f>100</f>
        <v>100</v>
      </c>
      <c r="O132" s="80">
        <v>240</v>
      </c>
      <c r="P132" s="80">
        <v>40</v>
      </c>
      <c r="Q132" s="80">
        <f t="shared" si="13"/>
        <v>315</v>
      </c>
      <c r="R132" s="80">
        <f t="shared" si="14"/>
        <v>100</v>
      </c>
      <c r="S132" s="77">
        <f t="shared" si="15"/>
        <v>695</v>
      </c>
      <c r="T132" s="77">
        <f>50</f>
        <v>50</v>
      </c>
      <c r="U132" s="78"/>
      <c r="V132" s="78"/>
      <c r="W132" s="78"/>
      <c r="X132" s="78"/>
      <c r="Y132" s="78"/>
      <c r="Z132" s="78"/>
      <c r="AA132" s="78"/>
      <c r="AB132" s="78"/>
      <c r="AC132" s="78"/>
      <c r="AD132" s="78"/>
    </row>
    <row r="133" spans="1:30" ht="15.75" x14ac:dyDescent="0.25">
      <c r="A133" s="16">
        <v>45323</v>
      </c>
      <c r="B133" s="90">
        <v>29</v>
      </c>
      <c r="C133" s="77">
        <f>122.58</f>
        <v>122.58</v>
      </c>
      <c r="D133" s="77">
        <f>297.941</f>
        <v>297.94099999999997</v>
      </c>
      <c r="E133" s="85">
        <f>89.177</f>
        <v>89.177000000000007</v>
      </c>
      <c r="F133" s="77">
        <f>240.302-40-60-100</f>
        <v>40.301999999999992</v>
      </c>
      <c r="G133" s="80">
        <v>40</v>
      </c>
      <c r="H133" s="77">
        <f>60+100</f>
        <v>160</v>
      </c>
      <c r="I133" s="77">
        <f t="shared" si="18"/>
        <v>0</v>
      </c>
      <c r="J133" s="80">
        <v>100</v>
      </c>
      <c r="K133" s="80">
        <v>300</v>
      </c>
      <c r="L133" s="77">
        <f t="shared" si="12"/>
        <v>1150</v>
      </c>
      <c r="M133" s="87">
        <v>600</v>
      </c>
      <c r="N133" s="77">
        <f>100</f>
        <v>100</v>
      </c>
      <c r="O133" s="80">
        <v>240</v>
      </c>
      <c r="P133" s="80">
        <v>40</v>
      </c>
      <c r="Q133" s="80">
        <f t="shared" si="13"/>
        <v>315</v>
      </c>
      <c r="R133" s="80">
        <f t="shared" si="14"/>
        <v>100</v>
      </c>
      <c r="S133" s="77">
        <f t="shared" si="15"/>
        <v>695</v>
      </c>
      <c r="T133" s="77">
        <f>50</f>
        <v>50</v>
      </c>
      <c r="U133" s="78"/>
      <c r="V133" s="78"/>
      <c r="W133" s="78"/>
      <c r="X133" s="78"/>
      <c r="Y133" s="78"/>
      <c r="Z133" s="78"/>
      <c r="AA133" s="78"/>
      <c r="AB133" s="78"/>
      <c r="AC133" s="78"/>
      <c r="AD133" s="78"/>
    </row>
    <row r="134" spans="1:30" ht="15.75" x14ac:dyDescent="0.25">
      <c r="A134" s="16">
        <v>45352</v>
      </c>
      <c r="B134" s="90">
        <v>31</v>
      </c>
      <c r="C134" s="77">
        <f>122.58</f>
        <v>122.58</v>
      </c>
      <c r="D134" s="77">
        <f>297.941</f>
        <v>297.94099999999997</v>
      </c>
      <c r="E134" s="85">
        <f>89.177</f>
        <v>89.177000000000007</v>
      </c>
      <c r="F134" s="77">
        <f>240.302-40-60-100</f>
        <v>40.301999999999992</v>
      </c>
      <c r="G134" s="80">
        <v>40</v>
      </c>
      <c r="H134" s="77">
        <f>60+100</f>
        <v>160</v>
      </c>
      <c r="I134" s="77">
        <f t="shared" si="18"/>
        <v>0</v>
      </c>
      <c r="J134" s="80">
        <v>100</v>
      </c>
      <c r="K134" s="80">
        <v>300</v>
      </c>
      <c r="L134" s="77">
        <f t="shared" si="12"/>
        <v>1150</v>
      </c>
      <c r="M134" s="87">
        <v>600</v>
      </c>
      <c r="N134" s="77">
        <f>100</f>
        <v>100</v>
      </c>
      <c r="O134" s="80">
        <v>240</v>
      </c>
      <c r="P134" s="80">
        <v>40</v>
      </c>
      <c r="Q134" s="80">
        <f t="shared" si="13"/>
        <v>315</v>
      </c>
      <c r="R134" s="80">
        <f t="shared" si="14"/>
        <v>100</v>
      </c>
      <c r="S134" s="77">
        <f t="shared" si="15"/>
        <v>695</v>
      </c>
      <c r="T134" s="77">
        <f>50</f>
        <v>50</v>
      </c>
      <c r="U134" s="78"/>
      <c r="V134" s="78"/>
      <c r="W134" s="78"/>
      <c r="X134" s="78"/>
      <c r="Y134" s="78"/>
      <c r="Z134" s="78"/>
      <c r="AA134" s="78"/>
      <c r="AB134" s="78"/>
      <c r="AC134" s="78"/>
      <c r="AD134" s="78"/>
    </row>
    <row r="135" spans="1:30" ht="15.75" x14ac:dyDescent="0.25">
      <c r="A135" s="16">
        <v>45383</v>
      </c>
      <c r="B135" s="90">
        <v>30</v>
      </c>
      <c r="C135" s="77">
        <f>141.293</f>
        <v>141.29300000000001</v>
      </c>
      <c r="D135" s="77">
        <f>267.993</f>
        <v>267.99299999999999</v>
      </c>
      <c r="E135" s="85">
        <f>115.016</f>
        <v>115.01600000000001</v>
      </c>
      <c r="F135" s="77">
        <f>314.698-40-25-60-100</f>
        <v>89.697999999999979</v>
      </c>
      <c r="G135" s="80">
        <v>40</v>
      </c>
      <c r="H135" s="77">
        <f t="shared" ref="H135:H141" si="21">25+60+100</f>
        <v>185</v>
      </c>
      <c r="I135" s="77">
        <f t="shared" si="18"/>
        <v>0</v>
      </c>
      <c r="J135" s="80">
        <v>100</v>
      </c>
      <c r="K135" s="80">
        <v>300</v>
      </c>
      <c r="L135" s="77">
        <f t="shared" si="12"/>
        <v>1239</v>
      </c>
      <c r="M135" s="87">
        <v>600</v>
      </c>
      <c r="N135" s="77">
        <f>100</f>
        <v>100</v>
      </c>
      <c r="O135" s="80">
        <v>240</v>
      </c>
      <c r="P135" s="80">
        <v>160</v>
      </c>
      <c r="Q135" s="80">
        <f t="shared" si="13"/>
        <v>195</v>
      </c>
      <c r="R135" s="80">
        <f t="shared" si="14"/>
        <v>100</v>
      </c>
      <c r="S135" s="77">
        <f t="shared" si="15"/>
        <v>695</v>
      </c>
      <c r="T135" s="77">
        <f>50</f>
        <v>50</v>
      </c>
      <c r="U135" s="78"/>
      <c r="V135" s="78"/>
      <c r="W135" s="78"/>
      <c r="X135" s="78"/>
      <c r="Y135" s="78"/>
      <c r="Z135" s="78"/>
      <c r="AA135" s="78"/>
      <c r="AB135" s="78"/>
      <c r="AC135" s="78"/>
      <c r="AD135" s="78"/>
    </row>
    <row r="136" spans="1:30" ht="15.75" x14ac:dyDescent="0.25">
      <c r="A136" s="16">
        <v>45413</v>
      </c>
      <c r="B136" s="90">
        <v>31</v>
      </c>
      <c r="C136" s="77">
        <f>194.205</f>
        <v>194.20500000000001</v>
      </c>
      <c r="D136" s="77">
        <f>267.466</f>
        <v>267.46600000000001</v>
      </c>
      <c r="E136" s="85">
        <f>133.845</f>
        <v>133.845</v>
      </c>
      <c r="F136" s="77">
        <f>278.484-40-25-60-100</f>
        <v>53.48399999999998</v>
      </c>
      <c r="G136" s="80">
        <v>40</v>
      </c>
      <c r="H136" s="77">
        <f t="shared" si="21"/>
        <v>185</v>
      </c>
      <c r="I136" s="77">
        <f t="shared" si="18"/>
        <v>0</v>
      </c>
      <c r="J136" s="80">
        <v>100</v>
      </c>
      <c r="K136" s="80">
        <v>300</v>
      </c>
      <c r="L136" s="77">
        <f t="shared" si="12"/>
        <v>1274</v>
      </c>
      <c r="M136" s="87">
        <v>600</v>
      </c>
      <c r="N136" s="77">
        <f>75</f>
        <v>75</v>
      </c>
      <c r="O136" s="80">
        <v>240</v>
      </c>
      <c r="P136" s="80">
        <v>160</v>
      </c>
      <c r="Q136" s="80">
        <f t="shared" si="13"/>
        <v>195</v>
      </c>
      <c r="R136" s="80">
        <f t="shared" si="14"/>
        <v>100</v>
      </c>
      <c r="S136" s="77">
        <f t="shared" si="15"/>
        <v>695</v>
      </c>
      <c r="T136" s="77">
        <f>50</f>
        <v>50</v>
      </c>
      <c r="U136" s="78"/>
      <c r="V136" s="78"/>
      <c r="W136" s="78"/>
      <c r="X136" s="78"/>
      <c r="Y136" s="78"/>
      <c r="Z136" s="78"/>
      <c r="AA136" s="78"/>
      <c r="AB136" s="78"/>
      <c r="AC136" s="78"/>
      <c r="AD136" s="78"/>
    </row>
    <row r="137" spans="1:30" ht="15.75" x14ac:dyDescent="0.25">
      <c r="A137" s="16">
        <v>45444</v>
      </c>
      <c r="B137" s="90">
        <v>30</v>
      </c>
      <c r="C137" s="77">
        <f>194.205</f>
        <v>194.20500000000001</v>
      </c>
      <c r="D137" s="77">
        <f>267.466</f>
        <v>267.46600000000001</v>
      </c>
      <c r="E137" s="85">
        <f>133.845</f>
        <v>133.845</v>
      </c>
      <c r="F137" s="77">
        <f>278.484-40-25-60-100</f>
        <v>53.48399999999998</v>
      </c>
      <c r="G137" s="80">
        <v>40</v>
      </c>
      <c r="H137" s="77">
        <f t="shared" si="21"/>
        <v>185</v>
      </c>
      <c r="I137" s="77">
        <f t="shared" si="18"/>
        <v>0</v>
      </c>
      <c r="J137" s="80">
        <v>100</v>
      </c>
      <c r="K137" s="80">
        <v>300</v>
      </c>
      <c r="L137" s="77">
        <f t="shared" si="12"/>
        <v>1274</v>
      </c>
      <c r="M137" s="87">
        <v>600</v>
      </c>
      <c r="N137" s="77">
        <f>30</f>
        <v>30</v>
      </c>
      <c r="O137" s="80">
        <v>240</v>
      </c>
      <c r="P137" s="80">
        <v>160</v>
      </c>
      <c r="Q137" s="80">
        <f t="shared" si="13"/>
        <v>195</v>
      </c>
      <c r="R137" s="80">
        <f t="shared" si="14"/>
        <v>100</v>
      </c>
      <c r="S137" s="77">
        <f t="shared" si="15"/>
        <v>695</v>
      </c>
      <c r="T137" s="77">
        <f>50</f>
        <v>50</v>
      </c>
      <c r="U137" s="78"/>
      <c r="V137" s="78"/>
      <c r="W137" s="78"/>
      <c r="X137" s="78"/>
      <c r="Y137" s="78"/>
      <c r="Z137" s="78"/>
      <c r="AA137" s="78"/>
      <c r="AB137" s="78"/>
      <c r="AC137" s="78"/>
      <c r="AD137" s="78"/>
    </row>
    <row r="138" spans="1:30" ht="15.75" x14ac:dyDescent="0.25">
      <c r="A138" s="16">
        <v>45474</v>
      </c>
      <c r="B138" s="90">
        <v>31</v>
      </c>
      <c r="C138" s="77">
        <f>194.205</f>
        <v>194.20500000000001</v>
      </c>
      <c r="D138" s="77">
        <f>267.466</f>
        <v>267.46600000000001</v>
      </c>
      <c r="E138" s="85">
        <f>133.845</f>
        <v>133.845</v>
      </c>
      <c r="F138" s="77">
        <f>278.484-40-25-60-100</f>
        <v>53.48399999999998</v>
      </c>
      <c r="G138" s="80">
        <v>40</v>
      </c>
      <c r="H138" s="77">
        <f t="shared" si="21"/>
        <v>185</v>
      </c>
      <c r="I138" s="77">
        <f t="shared" si="18"/>
        <v>0</v>
      </c>
      <c r="J138" s="80">
        <v>100</v>
      </c>
      <c r="K138" s="80">
        <v>300</v>
      </c>
      <c r="L138" s="77">
        <f t="shared" si="12"/>
        <v>1274</v>
      </c>
      <c r="M138" s="87">
        <v>600</v>
      </c>
      <c r="N138" s="77">
        <f>30</f>
        <v>30</v>
      </c>
      <c r="O138" s="80">
        <v>240</v>
      </c>
      <c r="P138" s="80">
        <v>160</v>
      </c>
      <c r="Q138" s="80">
        <f t="shared" si="13"/>
        <v>195</v>
      </c>
      <c r="R138" s="80">
        <f t="shared" si="14"/>
        <v>100</v>
      </c>
      <c r="S138" s="77">
        <f t="shared" si="15"/>
        <v>695</v>
      </c>
      <c r="T138" s="77">
        <f>0</f>
        <v>0</v>
      </c>
      <c r="U138" s="78"/>
      <c r="V138" s="78"/>
      <c r="W138" s="78"/>
      <c r="X138" s="78"/>
      <c r="Y138" s="78"/>
      <c r="Z138" s="78"/>
      <c r="AA138" s="78"/>
      <c r="AB138" s="78"/>
      <c r="AC138" s="78"/>
      <c r="AD138" s="78"/>
    </row>
    <row r="139" spans="1:30" ht="15.75" x14ac:dyDescent="0.25">
      <c r="A139" s="16">
        <v>45505</v>
      </c>
      <c r="B139" s="90">
        <v>31</v>
      </c>
      <c r="C139" s="77">
        <f>194.205</f>
        <v>194.20500000000001</v>
      </c>
      <c r="D139" s="77">
        <f>267.466</f>
        <v>267.46600000000001</v>
      </c>
      <c r="E139" s="85">
        <f>133.845</f>
        <v>133.845</v>
      </c>
      <c r="F139" s="77">
        <f>278.484-40-25-60-100</f>
        <v>53.48399999999998</v>
      </c>
      <c r="G139" s="80">
        <v>40</v>
      </c>
      <c r="H139" s="77">
        <f t="shared" si="21"/>
        <v>185</v>
      </c>
      <c r="I139" s="77">
        <f t="shared" si="18"/>
        <v>0</v>
      </c>
      <c r="J139" s="80">
        <v>100</v>
      </c>
      <c r="K139" s="80">
        <v>300</v>
      </c>
      <c r="L139" s="77">
        <f t="shared" si="12"/>
        <v>1274</v>
      </c>
      <c r="M139" s="87">
        <v>600</v>
      </c>
      <c r="N139" s="77">
        <f>30</f>
        <v>30</v>
      </c>
      <c r="O139" s="80">
        <v>240</v>
      </c>
      <c r="P139" s="80">
        <v>160</v>
      </c>
      <c r="Q139" s="80">
        <f t="shared" si="13"/>
        <v>195</v>
      </c>
      <c r="R139" s="80">
        <f t="shared" si="14"/>
        <v>100</v>
      </c>
      <c r="S139" s="77">
        <f t="shared" si="15"/>
        <v>695</v>
      </c>
      <c r="T139" s="77">
        <f>0</f>
        <v>0</v>
      </c>
      <c r="U139" s="78"/>
      <c r="V139" s="78"/>
      <c r="W139" s="78"/>
      <c r="X139" s="78"/>
      <c r="Y139" s="78"/>
      <c r="Z139" s="78"/>
      <c r="AA139" s="78"/>
      <c r="AB139" s="78"/>
      <c r="AC139" s="78"/>
      <c r="AD139" s="78"/>
    </row>
    <row r="140" spans="1:30" ht="15.75" x14ac:dyDescent="0.25">
      <c r="A140" s="16">
        <v>45536</v>
      </c>
      <c r="B140" s="90">
        <v>30</v>
      </c>
      <c r="C140" s="77">
        <f>194.205</f>
        <v>194.20500000000001</v>
      </c>
      <c r="D140" s="77">
        <f>267.466</f>
        <v>267.46600000000001</v>
      </c>
      <c r="E140" s="85">
        <f>133.845</f>
        <v>133.845</v>
      </c>
      <c r="F140" s="77">
        <f>278.484-40-25-60-100</f>
        <v>53.48399999999998</v>
      </c>
      <c r="G140" s="80">
        <v>40</v>
      </c>
      <c r="H140" s="77">
        <f t="shared" si="21"/>
        <v>185</v>
      </c>
      <c r="I140" s="77">
        <f t="shared" si="18"/>
        <v>0</v>
      </c>
      <c r="J140" s="80">
        <v>100</v>
      </c>
      <c r="K140" s="80">
        <v>300</v>
      </c>
      <c r="L140" s="77">
        <f t="shared" si="12"/>
        <v>1274</v>
      </c>
      <c r="M140" s="87">
        <v>600</v>
      </c>
      <c r="N140" s="77">
        <f>30</f>
        <v>30</v>
      </c>
      <c r="O140" s="80">
        <v>240</v>
      </c>
      <c r="P140" s="80">
        <v>160</v>
      </c>
      <c r="Q140" s="80">
        <f t="shared" si="13"/>
        <v>195</v>
      </c>
      <c r="R140" s="80">
        <f t="shared" si="14"/>
        <v>100</v>
      </c>
      <c r="S140" s="77">
        <f t="shared" si="15"/>
        <v>695</v>
      </c>
      <c r="T140" s="77">
        <f>0</f>
        <v>0</v>
      </c>
      <c r="U140" s="78"/>
      <c r="V140" s="78"/>
      <c r="W140" s="78"/>
      <c r="X140" s="78"/>
      <c r="Y140" s="78"/>
      <c r="Z140" s="78"/>
      <c r="AA140" s="78"/>
      <c r="AB140" s="78"/>
      <c r="AC140" s="78"/>
      <c r="AD140" s="78"/>
    </row>
    <row r="141" spans="1:30" ht="15.75" x14ac:dyDescent="0.25">
      <c r="A141" s="16">
        <v>45566</v>
      </c>
      <c r="B141" s="90">
        <v>31</v>
      </c>
      <c r="C141" s="77">
        <f>131.881</f>
        <v>131.881</v>
      </c>
      <c r="D141" s="77">
        <f>277.167</f>
        <v>277.16699999999997</v>
      </c>
      <c r="E141" s="85">
        <f>79.08</f>
        <v>79.08</v>
      </c>
      <c r="F141" s="77">
        <f>350.872-40-25-60-100</f>
        <v>125.87200000000001</v>
      </c>
      <c r="G141" s="80">
        <v>40</v>
      </c>
      <c r="H141" s="77">
        <f t="shared" si="21"/>
        <v>185</v>
      </c>
      <c r="I141" s="77">
        <f t="shared" si="18"/>
        <v>0</v>
      </c>
      <c r="J141" s="80">
        <v>100</v>
      </c>
      <c r="K141" s="80">
        <v>300</v>
      </c>
      <c r="L141" s="77">
        <f t="shared" si="12"/>
        <v>1239</v>
      </c>
      <c r="M141" s="87">
        <v>600</v>
      </c>
      <c r="N141" s="77">
        <f>75</f>
        <v>75</v>
      </c>
      <c r="O141" s="80">
        <v>240</v>
      </c>
      <c r="P141" s="80">
        <v>160</v>
      </c>
      <c r="Q141" s="80">
        <f t="shared" si="13"/>
        <v>195</v>
      </c>
      <c r="R141" s="80">
        <f t="shared" si="14"/>
        <v>100</v>
      </c>
      <c r="S141" s="77">
        <f t="shared" si="15"/>
        <v>695</v>
      </c>
      <c r="T141" s="77">
        <f>0</f>
        <v>0</v>
      </c>
      <c r="U141" s="78"/>
      <c r="V141" s="78"/>
      <c r="W141" s="78"/>
      <c r="X141" s="78"/>
      <c r="Y141" s="78"/>
      <c r="Z141" s="78"/>
      <c r="AA141" s="78"/>
      <c r="AB141" s="78"/>
      <c r="AC141" s="78"/>
      <c r="AD141" s="78"/>
    </row>
    <row r="142" spans="1:30" ht="15.75" x14ac:dyDescent="0.25">
      <c r="A142" s="16">
        <v>45597</v>
      </c>
      <c r="B142" s="90">
        <v>30</v>
      </c>
      <c r="C142" s="77">
        <f>122.58</f>
        <v>122.58</v>
      </c>
      <c r="D142" s="77">
        <f>297.941</f>
        <v>297.94099999999997</v>
      </c>
      <c r="E142" s="85">
        <f>89.177</f>
        <v>89.177000000000007</v>
      </c>
      <c r="F142" s="77">
        <f>240.302-40-60-100</f>
        <v>40.301999999999992</v>
      </c>
      <c r="G142" s="80">
        <v>40</v>
      </c>
      <c r="H142" s="77">
        <f>60+100</f>
        <v>160</v>
      </c>
      <c r="I142" s="77">
        <f t="shared" si="18"/>
        <v>0</v>
      </c>
      <c r="J142" s="80">
        <v>100</v>
      </c>
      <c r="K142" s="80">
        <v>300</v>
      </c>
      <c r="L142" s="77">
        <f t="shared" ref="L142:L205" si="22">SUM(C142:K142)</f>
        <v>1150</v>
      </c>
      <c r="M142" s="87">
        <v>600</v>
      </c>
      <c r="N142" s="77">
        <f>100</f>
        <v>100</v>
      </c>
      <c r="O142" s="80">
        <v>240</v>
      </c>
      <c r="P142" s="80">
        <v>40</v>
      </c>
      <c r="Q142" s="80">
        <f t="shared" ref="Q142:Q205" si="23">695-R142-O142-P142</f>
        <v>315</v>
      </c>
      <c r="R142" s="80">
        <f t="shared" ref="R142:R205" si="24">200-J142</f>
        <v>100</v>
      </c>
      <c r="S142" s="77">
        <f t="shared" ref="S142:S205" si="25">SUM(O142:R142)</f>
        <v>695</v>
      </c>
      <c r="T142" s="77">
        <f>50</f>
        <v>50</v>
      </c>
      <c r="U142" s="78"/>
      <c r="V142" s="78"/>
      <c r="W142" s="78"/>
      <c r="X142" s="78"/>
      <c r="Y142" s="78"/>
      <c r="Z142" s="78"/>
      <c r="AA142" s="78"/>
      <c r="AB142" s="78"/>
      <c r="AC142" s="78"/>
      <c r="AD142" s="78"/>
    </row>
    <row r="143" spans="1:30" ht="15.75" x14ac:dyDescent="0.25">
      <c r="A143" s="16">
        <v>45627</v>
      </c>
      <c r="B143" s="90">
        <v>31</v>
      </c>
      <c r="C143" s="77">
        <f>122.58</f>
        <v>122.58</v>
      </c>
      <c r="D143" s="77">
        <f>297.941</f>
        <v>297.94099999999997</v>
      </c>
      <c r="E143" s="85">
        <f>89.177</f>
        <v>89.177000000000007</v>
      </c>
      <c r="F143" s="77">
        <f>240.302-40-60-100</f>
        <v>40.301999999999992</v>
      </c>
      <c r="G143" s="80">
        <v>40</v>
      </c>
      <c r="H143" s="77">
        <f>60+100</f>
        <v>160</v>
      </c>
      <c r="I143" s="77">
        <f t="shared" si="18"/>
        <v>0</v>
      </c>
      <c r="J143" s="80">
        <v>100</v>
      </c>
      <c r="K143" s="80">
        <v>300</v>
      </c>
      <c r="L143" s="77">
        <f t="shared" si="22"/>
        <v>1150</v>
      </c>
      <c r="M143" s="87">
        <v>600</v>
      </c>
      <c r="N143" s="77">
        <f>100</f>
        <v>100</v>
      </c>
      <c r="O143" s="80">
        <v>240</v>
      </c>
      <c r="P143" s="80">
        <v>40</v>
      </c>
      <c r="Q143" s="80">
        <f t="shared" si="23"/>
        <v>315</v>
      </c>
      <c r="R143" s="80">
        <f t="shared" si="24"/>
        <v>100</v>
      </c>
      <c r="S143" s="77">
        <f t="shared" si="25"/>
        <v>695</v>
      </c>
      <c r="T143" s="77">
        <f>50</f>
        <v>50</v>
      </c>
      <c r="U143" s="78"/>
      <c r="V143" s="78"/>
      <c r="W143" s="78"/>
      <c r="X143" s="78"/>
      <c r="Y143" s="78"/>
      <c r="Z143" s="78"/>
      <c r="AA143" s="78"/>
      <c r="AB143" s="78"/>
      <c r="AC143" s="78"/>
      <c r="AD143" s="78"/>
    </row>
    <row r="144" spans="1:30" ht="15.75" x14ac:dyDescent="0.25">
      <c r="A144" s="16">
        <v>45658</v>
      </c>
      <c r="B144" s="90">
        <v>31</v>
      </c>
      <c r="C144" s="77">
        <f>122.58</f>
        <v>122.58</v>
      </c>
      <c r="D144" s="77">
        <f>297.941</f>
        <v>297.94099999999997</v>
      </c>
      <c r="E144" s="85">
        <f>89.177</f>
        <v>89.177000000000007</v>
      </c>
      <c r="F144" s="77">
        <f>240.302-40-60-100</f>
        <v>40.301999999999992</v>
      </c>
      <c r="G144" s="80">
        <v>40</v>
      </c>
      <c r="H144" s="77">
        <f>60+100</f>
        <v>160</v>
      </c>
      <c r="I144" s="77">
        <f t="shared" si="18"/>
        <v>0</v>
      </c>
      <c r="J144" s="80">
        <v>100</v>
      </c>
      <c r="K144" s="80">
        <v>300</v>
      </c>
      <c r="L144" s="77">
        <f t="shared" si="22"/>
        <v>1150</v>
      </c>
      <c r="M144" s="87">
        <v>600</v>
      </c>
      <c r="N144" s="77">
        <f>100</f>
        <v>100</v>
      </c>
      <c r="O144" s="80">
        <v>240</v>
      </c>
      <c r="P144" s="80">
        <v>40</v>
      </c>
      <c r="Q144" s="80">
        <f t="shared" si="23"/>
        <v>315</v>
      </c>
      <c r="R144" s="80">
        <f t="shared" si="24"/>
        <v>100</v>
      </c>
      <c r="S144" s="77">
        <f t="shared" si="25"/>
        <v>695</v>
      </c>
      <c r="T144" s="77">
        <f>50</f>
        <v>50</v>
      </c>
      <c r="U144" s="78"/>
      <c r="V144" s="78"/>
      <c r="W144" s="78"/>
      <c r="X144" s="78"/>
      <c r="Y144" s="78"/>
      <c r="Z144" s="78"/>
      <c r="AA144" s="78"/>
      <c r="AB144" s="78"/>
      <c r="AC144" s="78"/>
      <c r="AD144" s="78"/>
    </row>
    <row r="145" spans="1:30" ht="15.75" x14ac:dyDescent="0.25">
      <c r="A145" s="16">
        <v>45689</v>
      </c>
      <c r="B145" s="90">
        <v>28</v>
      </c>
      <c r="C145" s="77">
        <f>122.58</f>
        <v>122.58</v>
      </c>
      <c r="D145" s="77">
        <f>297.941</f>
        <v>297.94099999999997</v>
      </c>
      <c r="E145" s="85">
        <f>89.177</f>
        <v>89.177000000000007</v>
      </c>
      <c r="F145" s="77">
        <f>240.302-40-60-100</f>
        <v>40.301999999999992</v>
      </c>
      <c r="G145" s="80">
        <v>40</v>
      </c>
      <c r="H145" s="77">
        <f>60+100</f>
        <v>160</v>
      </c>
      <c r="I145" s="77">
        <f t="shared" si="18"/>
        <v>0</v>
      </c>
      <c r="J145" s="80">
        <v>100</v>
      </c>
      <c r="K145" s="80">
        <v>300</v>
      </c>
      <c r="L145" s="77">
        <f t="shared" si="22"/>
        <v>1150</v>
      </c>
      <c r="M145" s="87">
        <v>600</v>
      </c>
      <c r="N145" s="77">
        <f>100</f>
        <v>100</v>
      </c>
      <c r="O145" s="80">
        <v>240</v>
      </c>
      <c r="P145" s="80">
        <v>40</v>
      </c>
      <c r="Q145" s="80">
        <f t="shared" si="23"/>
        <v>315</v>
      </c>
      <c r="R145" s="80">
        <f t="shared" si="24"/>
        <v>100</v>
      </c>
      <c r="S145" s="77">
        <f t="shared" si="25"/>
        <v>695</v>
      </c>
      <c r="T145" s="77">
        <f>50</f>
        <v>50</v>
      </c>
      <c r="U145" s="78"/>
      <c r="V145" s="78"/>
      <c r="W145" s="78"/>
      <c r="X145" s="78"/>
      <c r="Y145" s="78"/>
      <c r="Z145" s="78"/>
      <c r="AA145" s="78"/>
      <c r="AB145" s="78"/>
      <c r="AC145" s="78"/>
      <c r="AD145" s="78"/>
    </row>
    <row r="146" spans="1:30" ht="15.75" x14ac:dyDescent="0.25">
      <c r="A146" s="16">
        <v>45717</v>
      </c>
      <c r="B146" s="90">
        <v>31</v>
      </c>
      <c r="C146" s="77">
        <f>122.58</f>
        <v>122.58</v>
      </c>
      <c r="D146" s="77">
        <f>297.941</f>
        <v>297.94099999999997</v>
      </c>
      <c r="E146" s="85">
        <f>89.177</f>
        <v>89.177000000000007</v>
      </c>
      <c r="F146" s="77">
        <f>240.302-40-60-100</f>
        <v>40.301999999999992</v>
      </c>
      <c r="G146" s="80">
        <v>40</v>
      </c>
      <c r="H146" s="77">
        <f>60+100</f>
        <v>160</v>
      </c>
      <c r="I146" s="77">
        <f t="shared" si="18"/>
        <v>0</v>
      </c>
      <c r="J146" s="80">
        <v>100</v>
      </c>
      <c r="K146" s="80">
        <v>300</v>
      </c>
      <c r="L146" s="77">
        <f t="shared" si="22"/>
        <v>1150</v>
      </c>
      <c r="M146" s="87">
        <v>600</v>
      </c>
      <c r="N146" s="77">
        <f>100</f>
        <v>100</v>
      </c>
      <c r="O146" s="80">
        <v>240</v>
      </c>
      <c r="P146" s="80">
        <v>40</v>
      </c>
      <c r="Q146" s="80">
        <f t="shared" si="23"/>
        <v>315</v>
      </c>
      <c r="R146" s="80">
        <f t="shared" si="24"/>
        <v>100</v>
      </c>
      <c r="S146" s="77">
        <f t="shared" si="25"/>
        <v>695</v>
      </c>
      <c r="T146" s="77">
        <f>50</f>
        <v>50</v>
      </c>
      <c r="U146" s="78"/>
      <c r="V146" s="78"/>
      <c r="W146" s="78"/>
      <c r="X146" s="78"/>
      <c r="Y146" s="78"/>
      <c r="Z146" s="78"/>
      <c r="AA146" s="78"/>
      <c r="AB146" s="78"/>
      <c r="AC146" s="78"/>
      <c r="AD146" s="78"/>
    </row>
    <row r="147" spans="1:30" ht="15.75" x14ac:dyDescent="0.25">
      <c r="A147" s="16">
        <v>45748</v>
      </c>
      <c r="B147" s="90">
        <v>30</v>
      </c>
      <c r="C147" s="77">
        <f>141.293</f>
        <v>141.29300000000001</v>
      </c>
      <c r="D147" s="77">
        <f>267.993</f>
        <v>267.99299999999999</v>
      </c>
      <c r="E147" s="85">
        <f>115.016</f>
        <v>115.01600000000001</v>
      </c>
      <c r="F147" s="77">
        <f>314.698-40-25-60-100</f>
        <v>89.697999999999979</v>
      </c>
      <c r="G147" s="80">
        <v>40</v>
      </c>
      <c r="H147" s="77">
        <f t="shared" ref="H147:H153" si="26">25+60+100</f>
        <v>185</v>
      </c>
      <c r="I147" s="77">
        <f t="shared" si="18"/>
        <v>0</v>
      </c>
      <c r="J147" s="80">
        <v>100</v>
      </c>
      <c r="K147" s="80">
        <v>300</v>
      </c>
      <c r="L147" s="77">
        <f t="shared" si="22"/>
        <v>1239</v>
      </c>
      <c r="M147" s="87">
        <v>600</v>
      </c>
      <c r="N147" s="77">
        <f>100</f>
        <v>100</v>
      </c>
      <c r="O147" s="80">
        <v>240</v>
      </c>
      <c r="P147" s="80">
        <v>160</v>
      </c>
      <c r="Q147" s="80">
        <f t="shared" si="23"/>
        <v>195</v>
      </c>
      <c r="R147" s="80">
        <f t="shared" si="24"/>
        <v>100</v>
      </c>
      <c r="S147" s="77">
        <f t="shared" si="25"/>
        <v>695</v>
      </c>
      <c r="T147" s="77">
        <f>50</f>
        <v>50</v>
      </c>
      <c r="U147" s="78"/>
      <c r="V147" s="78"/>
      <c r="W147" s="78"/>
      <c r="X147" s="78"/>
      <c r="Y147" s="78"/>
      <c r="Z147" s="78"/>
      <c r="AA147" s="78"/>
      <c r="AB147" s="78"/>
      <c r="AC147" s="78"/>
      <c r="AD147" s="78"/>
    </row>
    <row r="148" spans="1:30" ht="15.75" x14ac:dyDescent="0.25">
      <c r="A148" s="16">
        <v>45778</v>
      </c>
      <c r="B148" s="90">
        <v>31</v>
      </c>
      <c r="C148" s="77">
        <f>194.205</f>
        <v>194.20500000000001</v>
      </c>
      <c r="D148" s="77">
        <f>267.466</f>
        <v>267.46600000000001</v>
      </c>
      <c r="E148" s="85">
        <f>133.845</f>
        <v>133.845</v>
      </c>
      <c r="F148" s="77">
        <f>278.484-40-25-60-100</f>
        <v>53.48399999999998</v>
      </c>
      <c r="G148" s="80">
        <v>40</v>
      </c>
      <c r="H148" s="77">
        <f t="shared" si="26"/>
        <v>185</v>
      </c>
      <c r="I148" s="77">
        <f t="shared" si="18"/>
        <v>0</v>
      </c>
      <c r="J148" s="80">
        <v>100</v>
      </c>
      <c r="K148" s="80">
        <v>300</v>
      </c>
      <c r="L148" s="77">
        <f t="shared" si="22"/>
        <v>1274</v>
      </c>
      <c r="M148" s="87">
        <v>600</v>
      </c>
      <c r="N148" s="77">
        <f>75</f>
        <v>75</v>
      </c>
      <c r="O148" s="80">
        <v>240</v>
      </c>
      <c r="P148" s="80">
        <v>160</v>
      </c>
      <c r="Q148" s="80">
        <f t="shared" si="23"/>
        <v>195</v>
      </c>
      <c r="R148" s="80">
        <f t="shared" si="24"/>
        <v>100</v>
      </c>
      <c r="S148" s="77">
        <f t="shared" si="25"/>
        <v>695</v>
      </c>
      <c r="T148" s="77">
        <f>50</f>
        <v>50</v>
      </c>
      <c r="U148" s="78"/>
      <c r="V148" s="78"/>
      <c r="W148" s="78"/>
      <c r="X148" s="78"/>
      <c r="Y148" s="78"/>
      <c r="Z148" s="78"/>
      <c r="AA148" s="78"/>
      <c r="AB148" s="78"/>
      <c r="AC148" s="78"/>
      <c r="AD148" s="78"/>
    </row>
    <row r="149" spans="1:30" ht="15.75" x14ac:dyDescent="0.25">
      <c r="A149" s="16">
        <v>45809</v>
      </c>
      <c r="B149" s="90">
        <v>30</v>
      </c>
      <c r="C149" s="77">
        <f>194.205</f>
        <v>194.20500000000001</v>
      </c>
      <c r="D149" s="77">
        <f>267.466</f>
        <v>267.46600000000001</v>
      </c>
      <c r="E149" s="85">
        <f>133.845</f>
        <v>133.845</v>
      </c>
      <c r="F149" s="77">
        <f>278.484-40-25-60-100</f>
        <v>53.48399999999998</v>
      </c>
      <c r="G149" s="80">
        <v>40</v>
      </c>
      <c r="H149" s="77">
        <f t="shared" si="26"/>
        <v>185</v>
      </c>
      <c r="I149" s="77">
        <f t="shared" si="18"/>
        <v>0</v>
      </c>
      <c r="J149" s="80">
        <v>100</v>
      </c>
      <c r="K149" s="80">
        <v>300</v>
      </c>
      <c r="L149" s="77">
        <f t="shared" si="22"/>
        <v>1274</v>
      </c>
      <c r="M149" s="87">
        <v>600</v>
      </c>
      <c r="N149" s="77">
        <f>30</f>
        <v>30</v>
      </c>
      <c r="O149" s="80">
        <v>240</v>
      </c>
      <c r="P149" s="80">
        <v>160</v>
      </c>
      <c r="Q149" s="80">
        <f t="shared" si="23"/>
        <v>195</v>
      </c>
      <c r="R149" s="80">
        <f t="shared" si="24"/>
        <v>100</v>
      </c>
      <c r="S149" s="77">
        <f t="shared" si="25"/>
        <v>695</v>
      </c>
      <c r="T149" s="77">
        <f>50</f>
        <v>50</v>
      </c>
      <c r="U149" s="78"/>
      <c r="V149" s="78"/>
      <c r="W149" s="78"/>
      <c r="X149" s="78"/>
      <c r="Y149" s="78"/>
      <c r="Z149" s="78"/>
      <c r="AA149" s="78"/>
      <c r="AB149" s="78"/>
      <c r="AC149" s="78"/>
      <c r="AD149" s="78"/>
    </row>
    <row r="150" spans="1:30" ht="15.75" x14ac:dyDescent="0.25">
      <c r="A150" s="16">
        <v>45839</v>
      </c>
      <c r="B150" s="90">
        <v>31</v>
      </c>
      <c r="C150" s="77">
        <f>194.205</f>
        <v>194.20500000000001</v>
      </c>
      <c r="D150" s="77">
        <f>267.466</f>
        <v>267.46600000000001</v>
      </c>
      <c r="E150" s="85">
        <f>133.845</f>
        <v>133.845</v>
      </c>
      <c r="F150" s="77">
        <f>278.484-40-25-60-100</f>
        <v>53.48399999999998</v>
      </c>
      <c r="G150" s="80">
        <v>40</v>
      </c>
      <c r="H150" s="77">
        <f t="shared" si="26"/>
        <v>185</v>
      </c>
      <c r="I150" s="77">
        <f t="shared" si="18"/>
        <v>0</v>
      </c>
      <c r="J150" s="80">
        <v>100</v>
      </c>
      <c r="K150" s="80">
        <v>300</v>
      </c>
      <c r="L150" s="77">
        <f t="shared" si="22"/>
        <v>1274</v>
      </c>
      <c r="M150" s="87">
        <v>600</v>
      </c>
      <c r="N150" s="77">
        <f>30</f>
        <v>30</v>
      </c>
      <c r="O150" s="80">
        <v>240</v>
      </c>
      <c r="P150" s="80">
        <v>160</v>
      </c>
      <c r="Q150" s="80">
        <f t="shared" si="23"/>
        <v>195</v>
      </c>
      <c r="R150" s="80">
        <f t="shared" si="24"/>
        <v>100</v>
      </c>
      <c r="S150" s="77">
        <f t="shared" si="25"/>
        <v>695</v>
      </c>
      <c r="T150" s="77">
        <f>0</f>
        <v>0</v>
      </c>
      <c r="U150" s="78"/>
      <c r="V150" s="78"/>
      <c r="W150" s="78"/>
      <c r="X150" s="78"/>
      <c r="Y150" s="78"/>
      <c r="Z150" s="78"/>
      <c r="AA150" s="78"/>
      <c r="AB150" s="78"/>
      <c r="AC150" s="78"/>
      <c r="AD150" s="78"/>
    </row>
    <row r="151" spans="1:30" ht="15.75" x14ac:dyDescent="0.25">
      <c r="A151" s="16">
        <v>45870</v>
      </c>
      <c r="B151" s="90">
        <v>31</v>
      </c>
      <c r="C151" s="77">
        <f>194.205</f>
        <v>194.20500000000001</v>
      </c>
      <c r="D151" s="77">
        <f>267.466</f>
        <v>267.46600000000001</v>
      </c>
      <c r="E151" s="85">
        <f>133.845</f>
        <v>133.845</v>
      </c>
      <c r="F151" s="77">
        <f>278.484-40-25-60-100</f>
        <v>53.48399999999998</v>
      </c>
      <c r="G151" s="80">
        <v>40</v>
      </c>
      <c r="H151" s="77">
        <f t="shared" si="26"/>
        <v>185</v>
      </c>
      <c r="I151" s="77">
        <f t="shared" si="18"/>
        <v>0</v>
      </c>
      <c r="J151" s="80">
        <v>100</v>
      </c>
      <c r="K151" s="80">
        <v>300</v>
      </c>
      <c r="L151" s="77">
        <f t="shared" si="22"/>
        <v>1274</v>
      </c>
      <c r="M151" s="87">
        <v>600</v>
      </c>
      <c r="N151" s="77">
        <f>30</f>
        <v>30</v>
      </c>
      <c r="O151" s="80">
        <v>240</v>
      </c>
      <c r="P151" s="80">
        <v>160</v>
      </c>
      <c r="Q151" s="80">
        <f t="shared" si="23"/>
        <v>195</v>
      </c>
      <c r="R151" s="80">
        <f t="shared" si="24"/>
        <v>100</v>
      </c>
      <c r="S151" s="77">
        <f t="shared" si="25"/>
        <v>695</v>
      </c>
      <c r="T151" s="77">
        <f>0</f>
        <v>0</v>
      </c>
      <c r="U151" s="78"/>
      <c r="V151" s="78"/>
      <c r="W151" s="78"/>
      <c r="X151" s="78"/>
      <c r="Y151" s="78"/>
      <c r="Z151" s="78"/>
      <c r="AA151" s="78"/>
      <c r="AB151" s="78"/>
      <c r="AC151" s="78"/>
      <c r="AD151" s="78"/>
    </row>
    <row r="152" spans="1:30" ht="15.75" x14ac:dyDescent="0.25">
      <c r="A152" s="16">
        <v>45901</v>
      </c>
      <c r="B152" s="90">
        <v>30</v>
      </c>
      <c r="C152" s="77">
        <f>194.205</f>
        <v>194.20500000000001</v>
      </c>
      <c r="D152" s="77">
        <f>267.466</f>
        <v>267.46600000000001</v>
      </c>
      <c r="E152" s="85">
        <f>133.845</f>
        <v>133.845</v>
      </c>
      <c r="F152" s="77">
        <f>278.484-40-25-60-100</f>
        <v>53.48399999999998</v>
      </c>
      <c r="G152" s="80">
        <v>40</v>
      </c>
      <c r="H152" s="77">
        <f t="shared" si="26"/>
        <v>185</v>
      </c>
      <c r="I152" s="77">
        <f t="shared" si="18"/>
        <v>0</v>
      </c>
      <c r="J152" s="80">
        <v>100</v>
      </c>
      <c r="K152" s="80">
        <v>300</v>
      </c>
      <c r="L152" s="77">
        <f t="shared" si="22"/>
        <v>1274</v>
      </c>
      <c r="M152" s="87">
        <v>600</v>
      </c>
      <c r="N152" s="77">
        <f>30</f>
        <v>30</v>
      </c>
      <c r="O152" s="80">
        <v>240</v>
      </c>
      <c r="P152" s="80">
        <v>160</v>
      </c>
      <c r="Q152" s="80">
        <f t="shared" si="23"/>
        <v>195</v>
      </c>
      <c r="R152" s="80">
        <f t="shared" si="24"/>
        <v>100</v>
      </c>
      <c r="S152" s="77">
        <f t="shared" si="25"/>
        <v>695</v>
      </c>
      <c r="T152" s="77">
        <f>0</f>
        <v>0</v>
      </c>
      <c r="U152" s="78"/>
      <c r="V152" s="78"/>
      <c r="W152" s="78"/>
      <c r="X152" s="78"/>
      <c r="Y152" s="78"/>
      <c r="Z152" s="78"/>
      <c r="AA152" s="78"/>
      <c r="AB152" s="78"/>
      <c r="AC152" s="78"/>
      <c r="AD152" s="78"/>
    </row>
    <row r="153" spans="1:30" ht="15.75" x14ac:dyDescent="0.25">
      <c r="A153" s="16">
        <v>45931</v>
      </c>
      <c r="B153" s="90">
        <v>31</v>
      </c>
      <c r="C153" s="77">
        <f>131.881</f>
        <v>131.881</v>
      </c>
      <c r="D153" s="77">
        <f>277.167</f>
        <v>277.16699999999997</v>
      </c>
      <c r="E153" s="85">
        <f>79.08</f>
        <v>79.08</v>
      </c>
      <c r="F153" s="77">
        <f>350.872-40-25-60-100</f>
        <v>125.87200000000001</v>
      </c>
      <c r="G153" s="80">
        <v>40</v>
      </c>
      <c r="H153" s="77">
        <f t="shared" si="26"/>
        <v>185</v>
      </c>
      <c r="I153" s="77">
        <f t="shared" si="18"/>
        <v>0</v>
      </c>
      <c r="J153" s="80">
        <v>100</v>
      </c>
      <c r="K153" s="80">
        <v>300</v>
      </c>
      <c r="L153" s="77">
        <f t="shared" si="22"/>
        <v>1239</v>
      </c>
      <c r="M153" s="87">
        <v>600</v>
      </c>
      <c r="N153" s="77">
        <f>75</f>
        <v>75</v>
      </c>
      <c r="O153" s="80">
        <v>240</v>
      </c>
      <c r="P153" s="80">
        <v>160</v>
      </c>
      <c r="Q153" s="80">
        <f t="shared" si="23"/>
        <v>195</v>
      </c>
      <c r="R153" s="80">
        <f t="shared" si="24"/>
        <v>100</v>
      </c>
      <c r="S153" s="77">
        <f t="shared" si="25"/>
        <v>695</v>
      </c>
      <c r="T153" s="77">
        <f>0</f>
        <v>0</v>
      </c>
      <c r="U153" s="78"/>
      <c r="V153" s="78"/>
      <c r="W153" s="78"/>
      <c r="X153" s="78"/>
      <c r="Y153" s="78"/>
      <c r="Z153" s="78"/>
      <c r="AA153" s="78"/>
      <c r="AB153" s="78"/>
      <c r="AC153" s="78"/>
      <c r="AD153" s="78"/>
    </row>
    <row r="154" spans="1:30" ht="15.75" x14ac:dyDescent="0.25">
      <c r="A154" s="16">
        <v>45962</v>
      </c>
      <c r="B154" s="90">
        <v>30</v>
      </c>
      <c r="C154" s="77">
        <f>122.58</f>
        <v>122.58</v>
      </c>
      <c r="D154" s="77">
        <f>297.941</f>
        <v>297.94099999999997</v>
      </c>
      <c r="E154" s="85">
        <f>89.177</f>
        <v>89.177000000000007</v>
      </c>
      <c r="F154" s="77">
        <f>240.302-40-60-100</f>
        <v>40.301999999999992</v>
      </c>
      <c r="G154" s="80">
        <v>40</v>
      </c>
      <c r="H154" s="77">
        <f>60+100</f>
        <v>160</v>
      </c>
      <c r="I154" s="77">
        <f t="shared" si="18"/>
        <v>0</v>
      </c>
      <c r="J154" s="80">
        <v>100</v>
      </c>
      <c r="K154" s="80">
        <v>300</v>
      </c>
      <c r="L154" s="77">
        <f t="shared" si="22"/>
        <v>1150</v>
      </c>
      <c r="M154" s="87">
        <v>600</v>
      </c>
      <c r="N154" s="77">
        <f>100</f>
        <v>100</v>
      </c>
      <c r="O154" s="80">
        <v>240</v>
      </c>
      <c r="P154" s="80">
        <v>40</v>
      </c>
      <c r="Q154" s="80">
        <f t="shared" si="23"/>
        <v>315</v>
      </c>
      <c r="R154" s="80">
        <f t="shared" si="24"/>
        <v>100</v>
      </c>
      <c r="S154" s="77">
        <f t="shared" si="25"/>
        <v>695</v>
      </c>
      <c r="T154" s="77">
        <f>50</f>
        <v>50</v>
      </c>
      <c r="U154" s="78"/>
      <c r="V154" s="78"/>
      <c r="W154" s="78"/>
      <c r="X154" s="78"/>
      <c r="Y154" s="78"/>
      <c r="Z154" s="78"/>
      <c r="AA154" s="78"/>
      <c r="AB154" s="78"/>
      <c r="AC154" s="78"/>
      <c r="AD154" s="78"/>
    </row>
    <row r="155" spans="1:30" ht="15.75" x14ac:dyDescent="0.25">
      <c r="A155" s="16">
        <v>45992</v>
      </c>
      <c r="B155" s="90">
        <v>31</v>
      </c>
      <c r="C155" s="77">
        <f>122.58</f>
        <v>122.58</v>
      </c>
      <c r="D155" s="77">
        <f>297.941</f>
        <v>297.94099999999997</v>
      </c>
      <c r="E155" s="85">
        <f>89.177</f>
        <v>89.177000000000007</v>
      </c>
      <c r="F155" s="77">
        <f>240.302-40-60-100</f>
        <v>40.301999999999992</v>
      </c>
      <c r="G155" s="80">
        <v>40</v>
      </c>
      <c r="H155" s="77">
        <f>60+100</f>
        <v>160</v>
      </c>
      <c r="I155" s="77">
        <f t="shared" si="18"/>
        <v>0</v>
      </c>
      <c r="J155" s="80">
        <v>100</v>
      </c>
      <c r="K155" s="80">
        <v>300</v>
      </c>
      <c r="L155" s="77">
        <f t="shared" si="22"/>
        <v>1150</v>
      </c>
      <c r="M155" s="87">
        <v>600</v>
      </c>
      <c r="N155" s="77">
        <f>100</f>
        <v>100</v>
      </c>
      <c r="O155" s="80">
        <v>240</v>
      </c>
      <c r="P155" s="80">
        <v>40</v>
      </c>
      <c r="Q155" s="80">
        <f t="shared" si="23"/>
        <v>315</v>
      </c>
      <c r="R155" s="80">
        <f t="shared" si="24"/>
        <v>100</v>
      </c>
      <c r="S155" s="77">
        <f t="shared" si="25"/>
        <v>695</v>
      </c>
      <c r="T155" s="77">
        <f>50</f>
        <v>50</v>
      </c>
      <c r="U155" s="78"/>
      <c r="V155" s="78"/>
      <c r="W155" s="78"/>
      <c r="X155" s="78"/>
      <c r="Y155" s="78"/>
      <c r="Z155" s="78"/>
      <c r="AA155" s="78"/>
      <c r="AB155" s="78"/>
      <c r="AC155" s="78"/>
      <c r="AD155" s="78"/>
    </row>
    <row r="156" spans="1:30" ht="15.75" x14ac:dyDescent="0.25">
      <c r="A156" s="16">
        <v>46023</v>
      </c>
      <c r="B156" s="90">
        <v>31</v>
      </c>
      <c r="C156" s="77">
        <f>122.58</f>
        <v>122.58</v>
      </c>
      <c r="D156" s="77">
        <f>297.941</f>
        <v>297.94099999999997</v>
      </c>
      <c r="E156" s="85">
        <f>89.177</f>
        <v>89.177000000000007</v>
      </c>
      <c r="F156" s="77">
        <f>240.302-40-60-100</f>
        <v>40.301999999999992</v>
      </c>
      <c r="G156" s="80">
        <v>40</v>
      </c>
      <c r="H156" s="77">
        <f>60+100</f>
        <v>160</v>
      </c>
      <c r="I156" s="77">
        <f t="shared" si="18"/>
        <v>0</v>
      </c>
      <c r="J156" s="80">
        <v>100</v>
      </c>
      <c r="K156" s="80">
        <v>300</v>
      </c>
      <c r="L156" s="77">
        <f t="shared" si="22"/>
        <v>1150</v>
      </c>
      <c r="M156" s="87">
        <v>600</v>
      </c>
      <c r="N156" s="77">
        <f>100</f>
        <v>100</v>
      </c>
      <c r="O156" s="80">
        <v>240</v>
      </c>
      <c r="P156" s="80">
        <v>40</v>
      </c>
      <c r="Q156" s="80">
        <f t="shared" si="23"/>
        <v>315</v>
      </c>
      <c r="R156" s="80">
        <f t="shared" si="24"/>
        <v>100</v>
      </c>
      <c r="S156" s="77">
        <f t="shared" si="25"/>
        <v>695</v>
      </c>
      <c r="T156" s="77">
        <f>50</f>
        <v>50</v>
      </c>
      <c r="U156" s="78"/>
      <c r="V156" s="78"/>
      <c r="W156" s="78"/>
      <c r="X156" s="78"/>
      <c r="Y156" s="78"/>
      <c r="Z156" s="78"/>
      <c r="AA156" s="78"/>
      <c r="AB156" s="78"/>
      <c r="AC156" s="78"/>
      <c r="AD156" s="78"/>
    </row>
    <row r="157" spans="1:30" ht="15.75" x14ac:dyDescent="0.25">
      <c r="A157" s="16">
        <v>46054</v>
      </c>
      <c r="B157" s="90">
        <v>28</v>
      </c>
      <c r="C157" s="77">
        <f>122.58</f>
        <v>122.58</v>
      </c>
      <c r="D157" s="77">
        <f>297.941</f>
        <v>297.94099999999997</v>
      </c>
      <c r="E157" s="85">
        <f>89.177</f>
        <v>89.177000000000007</v>
      </c>
      <c r="F157" s="77">
        <f>240.302-40-60-100</f>
        <v>40.301999999999992</v>
      </c>
      <c r="G157" s="80">
        <v>40</v>
      </c>
      <c r="H157" s="77">
        <f>60+100</f>
        <v>160</v>
      </c>
      <c r="I157" s="77">
        <f t="shared" si="18"/>
        <v>0</v>
      </c>
      <c r="J157" s="80">
        <v>100</v>
      </c>
      <c r="K157" s="80">
        <v>300</v>
      </c>
      <c r="L157" s="77">
        <f t="shared" si="22"/>
        <v>1150</v>
      </c>
      <c r="M157" s="87">
        <v>600</v>
      </c>
      <c r="N157" s="77">
        <f>100</f>
        <v>100</v>
      </c>
      <c r="O157" s="80">
        <v>240</v>
      </c>
      <c r="P157" s="80">
        <v>40</v>
      </c>
      <c r="Q157" s="80">
        <f t="shared" si="23"/>
        <v>315</v>
      </c>
      <c r="R157" s="80">
        <f t="shared" si="24"/>
        <v>100</v>
      </c>
      <c r="S157" s="77">
        <f t="shared" si="25"/>
        <v>695</v>
      </c>
      <c r="T157" s="77">
        <f>50</f>
        <v>50</v>
      </c>
      <c r="U157" s="78"/>
      <c r="V157" s="78"/>
      <c r="W157" s="78"/>
      <c r="X157" s="78"/>
      <c r="Y157" s="78"/>
      <c r="Z157" s="78"/>
      <c r="AA157" s="78"/>
      <c r="AB157" s="78"/>
      <c r="AC157" s="78"/>
      <c r="AD157" s="78"/>
    </row>
    <row r="158" spans="1:30" ht="15.75" x14ac:dyDescent="0.25">
      <c r="A158" s="16">
        <v>46082</v>
      </c>
      <c r="B158" s="90">
        <v>31</v>
      </c>
      <c r="C158" s="77">
        <f>122.58</f>
        <v>122.58</v>
      </c>
      <c r="D158" s="77">
        <f>297.941</f>
        <v>297.94099999999997</v>
      </c>
      <c r="E158" s="85">
        <f>89.177</f>
        <v>89.177000000000007</v>
      </c>
      <c r="F158" s="77">
        <f>240.302-40-60-100</f>
        <v>40.301999999999992</v>
      </c>
      <c r="G158" s="80">
        <v>40</v>
      </c>
      <c r="H158" s="77">
        <f>60+100</f>
        <v>160</v>
      </c>
      <c r="I158" s="77">
        <f t="shared" si="18"/>
        <v>0</v>
      </c>
      <c r="J158" s="80">
        <v>100</v>
      </c>
      <c r="K158" s="80">
        <v>300</v>
      </c>
      <c r="L158" s="77">
        <f t="shared" si="22"/>
        <v>1150</v>
      </c>
      <c r="M158" s="87">
        <v>600</v>
      </c>
      <c r="N158" s="77">
        <f>100</f>
        <v>100</v>
      </c>
      <c r="O158" s="80">
        <v>240</v>
      </c>
      <c r="P158" s="80">
        <v>40</v>
      </c>
      <c r="Q158" s="80">
        <f t="shared" si="23"/>
        <v>315</v>
      </c>
      <c r="R158" s="80">
        <f t="shared" si="24"/>
        <v>100</v>
      </c>
      <c r="S158" s="77">
        <f t="shared" si="25"/>
        <v>695</v>
      </c>
      <c r="T158" s="77">
        <f>50</f>
        <v>50</v>
      </c>
      <c r="U158" s="78"/>
      <c r="V158" s="78"/>
      <c r="W158" s="78"/>
      <c r="X158" s="78"/>
      <c r="Y158" s="78"/>
      <c r="Z158" s="78"/>
      <c r="AA158" s="78"/>
      <c r="AB158" s="78"/>
      <c r="AC158" s="78"/>
      <c r="AD158" s="78"/>
    </row>
    <row r="159" spans="1:30" ht="15.75" x14ac:dyDescent="0.25">
      <c r="A159" s="16">
        <v>46113</v>
      </c>
      <c r="B159" s="90">
        <v>30</v>
      </c>
      <c r="C159" s="77">
        <f>141.293</f>
        <v>141.29300000000001</v>
      </c>
      <c r="D159" s="77">
        <f>267.993</f>
        <v>267.99299999999999</v>
      </c>
      <c r="E159" s="85">
        <f>115.016</f>
        <v>115.01600000000001</v>
      </c>
      <c r="F159" s="77">
        <f>314.698-40-25-60-100</f>
        <v>89.697999999999979</v>
      </c>
      <c r="G159" s="80">
        <v>40</v>
      </c>
      <c r="H159" s="77">
        <f t="shared" ref="H159:H165" si="27">25+60+100</f>
        <v>185</v>
      </c>
      <c r="I159" s="77">
        <f t="shared" si="18"/>
        <v>0</v>
      </c>
      <c r="J159" s="80">
        <v>100</v>
      </c>
      <c r="K159" s="80">
        <v>300</v>
      </c>
      <c r="L159" s="77">
        <f t="shared" si="22"/>
        <v>1239</v>
      </c>
      <c r="M159" s="87">
        <v>600</v>
      </c>
      <c r="N159" s="77">
        <f>100</f>
        <v>100</v>
      </c>
      <c r="O159" s="80">
        <v>240</v>
      </c>
      <c r="P159" s="80">
        <v>160</v>
      </c>
      <c r="Q159" s="80">
        <f t="shared" si="23"/>
        <v>195</v>
      </c>
      <c r="R159" s="80">
        <f t="shared" si="24"/>
        <v>100</v>
      </c>
      <c r="S159" s="77">
        <f t="shared" si="25"/>
        <v>695</v>
      </c>
      <c r="T159" s="77">
        <f>50</f>
        <v>50</v>
      </c>
      <c r="U159" s="78"/>
      <c r="V159" s="78"/>
      <c r="W159" s="78"/>
      <c r="X159" s="78"/>
      <c r="Y159" s="78"/>
      <c r="Z159" s="78"/>
      <c r="AA159" s="78"/>
      <c r="AB159" s="78"/>
      <c r="AC159" s="78"/>
      <c r="AD159" s="78"/>
    </row>
    <row r="160" spans="1:30" ht="15.75" x14ac:dyDescent="0.25">
      <c r="A160" s="16">
        <v>46143</v>
      </c>
      <c r="B160" s="90">
        <v>31</v>
      </c>
      <c r="C160" s="77">
        <f>194.205</f>
        <v>194.20500000000001</v>
      </c>
      <c r="D160" s="77">
        <f>267.466</f>
        <v>267.46600000000001</v>
      </c>
      <c r="E160" s="85">
        <f>133.845</f>
        <v>133.845</v>
      </c>
      <c r="F160" s="77">
        <f>278.484-40-25-60-100</f>
        <v>53.48399999999998</v>
      </c>
      <c r="G160" s="80">
        <v>40</v>
      </c>
      <c r="H160" s="77">
        <f t="shared" si="27"/>
        <v>185</v>
      </c>
      <c r="I160" s="77">
        <f t="shared" si="18"/>
        <v>0</v>
      </c>
      <c r="J160" s="80">
        <v>100</v>
      </c>
      <c r="K160" s="80">
        <v>300</v>
      </c>
      <c r="L160" s="77">
        <f t="shared" si="22"/>
        <v>1274</v>
      </c>
      <c r="M160" s="87">
        <v>600</v>
      </c>
      <c r="N160" s="77">
        <f>75</f>
        <v>75</v>
      </c>
      <c r="O160" s="80">
        <v>240</v>
      </c>
      <c r="P160" s="80">
        <v>160</v>
      </c>
      <c r="Q160" s="80">
        <f t="shared" si="23"/>
        <v>195</v>
      </c>
      <c r="R160" s="80">
        <f t="shared" si="24"/>
        <v>100</v>
      </c>
      <c r="S160" s="77">
        <f t="shared" si="25"/>
        <v>695</v>
      </c>
      <c r="T160" s="77">
        <f>50</f>
        <v>50</v>
      </c>
      <c r="U160" s="78"/>
      <c r="V160" s="78"/>
      <c r="W160" s="78"/>
      <c r="X160" s="78"/>
      <c r="Y160" s="78"/>
      <c r="Z160" s="78"/>
      <c r="AA160" s="78"/>
      <c r="AB160" s="78"/>
      <c r="AC160" s="78"/>
      <c r="AD160" s="78"/>
    </row>
    <row r="161" spans="1:30" ht="15.75" x14ac:dyDescent="0.25">
      <c r="A161" s="16">
        <v>46174</v>
      </c>
      <c r="B161" s="90">
        <v>30</v>
      </c>
      <c r="C161" s="77">
        <f>194.205</f>
        <v>194.20500000000001</v>
      </c>
      <c r="D161" s="77">
        <f>267.466</f>
        <v>267.46600000000001</v>
      </c>
      <c r="E161" s="85">
        <f>133.845</f>
        <v>133.845</v>
      </c>
      <c r="F161" s="77">
        <f>278.484-40-25-60-100</f>
        <v>53.48399999999998</v>
      </c>
      <c r="G161" s="80">
        <v>40</v>
      </c>
      <c r="H161" s="77">
        <f t="shared" si="27"/>
        <v>185</v>
      </c>
      <c r="I161" s="77">
        <f t="shared" si="18"/>
        <v>0</v>
      </c>
      <c r="J161" s="80">
        <v>100</v>
      </c>
      <c r="K161" s="80">
        <v>300</v>
      </c>
      <c r="L161" s="77">
        <f t="shared" si="22"/>
        <v>1274</v>
      </c>
      <c r="M161" s="87">
        <v>600</v>
      </c>
      <c r="N161" s="77">
        <f>30</f>
        <v>30</v>
      </c>
      <c r="O161" s="80">
        <v>240</v>
      </c>
      <c r="P161" s="80">
        <v>160</v>
      </c>
      <c r="Q161" s="80">
        <f t="shared" si="23"/>
        <v>195</v>
      </c>
      <c r="R161" s="80">
        <f t="shared" si="24"/>
        <v>100</v>
      </c>
      <c r="S161" s="77">
        <f t="shared" si="25"/>
        <v>695</v>
      </c>
      <c r="T161" s="77">
        <f>50</f>
        <v>50</v>
      </c>
      <c r="U161" s="78"/>
      <c r="V161" s="78"/>
      <c r="W161" s="78"/>
      <c r="X161" s="78"/>
      <c r="Y161" s="78"/>
      <c r="Z161" s="78"/>
      <c r="AA161" s="78"/>
      <c r="AB161" s="78"/>
      <c r="AC161" s="78"/>
      <c r="AD161" s="78"/>
    </row>
    <row r="162" spans="1:30" ht="15.75" x14ac:dyDescent="0.25">
      <c r="A162" s="16">
        <v>46204</v>
      </c>
      <c r="B162" s="90">
        <v>31</v>
      </c>
      <c r="C162" s="77">
        <f>194.205</f>
        <v>194.20500000000001</v>
      </c>
      <c r="D162" s="77">
        <f>267.466</f>
        <v>267.46600000000001</v>
      </c>
      <c r="E162" s="85">
        <f>133.845</f>
        <v>133.845</v>
      </c>
      <c r="F162" s="77">
        <f>278.484-40-25-60-100</f>
        <v>53.48399999999998</v>
      </c>
      <c r="G162" s="80">
        <v>40</v>
      </c>
      <c r="H162" s="77">
        <f t="shared" si="27"/>
        <v>185</v>
      </c>
      <c r="I162" s="77">
        <f t="shared" si="18"/>
        <v>0</v>
      </c>
      <c r="J162" s="80">
        <v>100</v>
      </c>
      <c r="K162" s="80">
        <v>300</v>
      </c>
      <c r="L162" s="77">
        <f t="shared" si="22"/>
        <v>1274</v>
      </c>
      <c r="M162" s="87">
        <v>600</v>
      </c>
      <c r="N162" s="77">
        <f>30</f>
        <v>30</v>
      </c>
      <c r="O162" s="80">
        <v>240</v>
      </c>
      <c r="P162" s="80">
        <v>160</v>
      </c>
      <c r="Q162" s="80">
        <f t="shared" si="23"/>
        <v>195</v>
      </c>
      <c r="R162" s="80">
        <f t="shared" si="24"/>
        <v>100</v>
      </c>
      <c r="S162" s="77">
        <f t="shared" si="25"/>
        <v>695</v>
      </c>
      <c r="T162" s="77">
        <f>0</f>
        <v>0</v>
      </c>
      <c r="U162" s="78"/>
      <c r="V162" s="78"/>
      <c r="W162" s="78"/>
      <c r="X162" s="78"/>
      <c r="Y162" s="78"/>
      <c r="Z162" s="78"/>
      <c r="AA162" s="78"/>
      <c r="AB162" s="78"/>
      <c r="AC162" s="78"/>
      <c r="AD162" s="78"/>
    </row>
    <row r="163" spans="1:30" ht="15.75" x14ac:dyDescent="0.25">
      <c r="A163" s="16">
        <v>46235</v>
      </c>
      <c r="B163" s="90">
        <v>31</v>
      </c>
      <c r="C163" s="77">
        <f>194.205</f>
        <v>194.20500000000001</v>
      </c>
      <c r="D163" s="77">
        <f>267.466</f>
        <v>267.46600000000001</v>
      </c>
      <c r="E163" s="85">
        <f>133.845</f>
        <v>133.845</v>
      </c>
      <c r="F163" s="77">
        <f>278.484-40-25-60-100</f>
        <v>53.48399999999998</v>
      </c>
      <c r="G163" s="80">
        <v>40</v>
      </c>
      <c r="H163" s="77">
        <f t="shared" si="27"/>
        <v>185</v>
      </c>
      <c r="I163" s="77">
        <f t="shared" si="18"/>
        <v>0</v>
      </c>
      <c r="J163" s="80">
        <v>100</v>
      </c>
      <c r="K163" s="80">
        <v>300</v>
      </c>
      <c r="L163" s="77">
        <f t="shared" si="22"/>
        <v>1274</v>
      </c>
      <c r="M163" s="87">
        <v>600</v>
      </c>
      <c r="N163" s="77">
        <f>30</f>
        <v>30</v>
      </c>
      <c r="O163" s="80">
        <v>240</v>
      </c>
      <c r="P163" s="80">
        <v>160</v>
      </c>
      <c r="Q163" s="80">
        <f t="shared" si="23"/>
        <v>195</v>
      </c>
      <c r="R163" s="80">
        <f t="shared" si="24"/>
        <v>100</v>
      </c>
      <c r="S163" s="77">
        <f t="shared" si="25"/>
        <v>695</v>
      </c>
      <c r="T163" s="77">
        <f>0</f>
        <v>0</v>
      </c>
      <c r="U163" s="78"/>
      <c r="V163" s="78"/>
      <c r="W163" s="78"/>
      <c r="X163" s="78"/>
      <c r="Y163" s="78"/>
      <c r="Z163" s="78"/>
      <c r="AA163" s="78"/>
      <c r="AB163" s="78"/>
      <c r="AC163" s="78"/>
      <c r="AD163" s="78"/>
    </row>
    <row r="164" spans="1:30" ht="15.75" x14ac:dyDescent="0.25">
      <c r="A164" s="16">
        <v>46266</v>
      </c>
      <c r="B164" s="90">
        <v>30</v>
      </c>
      <c r="C164" s="77">
        <f>194.205</f>
        <v>194.20500000000001</v>
      </c>
      <c r="D164" s="77">
        <f>267.466</f>
        <v>267.46600000000001</v>
      </c>
      <c r="E164" s="85">
        <f>133.845</f>
        <v>133.845</v>
      </c>
      <c r="F164" s="77">
        <f>278.484-40-25-60-100</f>
        <v>53.48399999999998</v>
      </c>
      <c r="G164" s="80">
        <v>40</v>
      </c>
      <c r="H164" s="77">
        <f t="shared" si="27"/>
        <v>185</v>
      </c>
      <c r="I164" s="77">
        <f t="shared" si="18"/>
        <v>0</v>
      </c>
      <c r="J164" s="80">
        <v>100</v>
      </c>
      <c r="K164" s="80">
        <v>300</v>
      </c>
      <c r="L164" s="77">
        <f t="shared" si="22"/>
        <v>1274</v>
      </c>
      <c r="M164" s="87">
        <v>600</v>
      </c>
      <c r="N164" s="77">
        <f>30</f>
        <v>30</v>
      </c>
      <c r="O164" s="80">
        <v>240</v>
      </c>
      <c r="P164" s="80">
        <v>160</v>
      </c>
      <c r="Q164" s="80">
        <f t="shared" si="23"/>
        <v>195</v>
      </c>
      <c r="R164" s="80">
        <f t="shared" si="24"/>
        <v>100</v>
      </c>
      <c r="S164" s="77">
        <f t="shared" si="25"/>
        <v>695</v>
      </c>
      <c r="T164" s="77">
        <f>0</f>
        <v>0</v>
      </c>
      <c r="U164" s="78"/>
      <c r="V164" s="78"/>
      <c r="W164" s="78"/>
      <c r="X164" s="78"/>
      <c r="Y164" s="78"/>
      <c r="Z164" s="78"/>
      <c r="AA164" s="78"/>
      <c r="AB164" s="78"/>
      <c r="AC164" s="78"/>
      <c r="AD164" s="78"/>
    </row>
    <row r="165" spans="1:30" ht="15.75" x14ac:dyDescent="0.25">
      <c r="A165" s="16">
        <v>46296</v>
      </c>
      <c r="B165" s="90">
        <v>31</v>
      </c>
      <c r="C165" s="77">
        <f>131.881</f>
        <v>131.881</v>
      </c>
      <c r="D165" s="77">
        <f>277.167</f>
        <v>277.16699999999997</v>
      </c>
      <c r="E165" s="85">
        <f>79.08</f>
        <v>79.08</v>
      </c>
      <c r="F165" s="77">
        <f>350.872-40-25-60-100</f>
        <v>125.87200000000001</v>
      </c>
      <c r="G165" s="80">
        <v>40</v>
      </c>
      <c r="H165" s="77">
        <f t="shared" si="27"/>
        <v>185</v>
      </c>
      <c r="I165" s="77">
        <f t="shared" si="18"/>
        <v>0</v>
      </c>
      <c r="J165" s="80">
        <v>100</v>
      </c>
      <c r="K165" s="80">
        <v>300</v>
      </c>
      <c r="L165" s="77">
        <f t="shared" si="22"/>
        <v>1239</v>
      </c>
      <c r="M165" s="87">
        <v>600</v>
      </c>
      <c r="N165" s="77">
        <f>75</f>
        <v>75</v>
      </c>
      <c r="O165" s="80">
        <v>240</v>
      </c>
      <c r="P165" s="80">
        <v>160</v>
      </c>
      <c r="Q165" s="80">
        <f t="shared" si="23"/>
        <v>195</v>
      </c>
      <c r="R165" s="80">
        <f t="shared" si="24"/>
        <v>100</v>
      </c>
      <c r="S165" s="77">
        <f t="shared" si="25"/>
        <v>695</v>
      </c>
      <c r="T165" s="77">
        <f>0</f>
        <v>0</v>
      </c>
      <c r="U165" s="78"/>
      <c r="V165" s="78"/>
      <c r="W165" s="78"/>
      <c r="X165" s="78"/>
      <c r="Y165" s="78"/>
      <c r="Z165" s="78"/>
      <c r="AA165" s="78"/>
      <c r="AB165" s="78"/>
      <c r="AC165" s="78"/>
      <c r="AD165" s="78"/>
    </row>
    <row r="166" spans="1:30" ht="15.75" x14ac:dyDescent="0.25">
      <c r="A166" s="16">
        <v>46327</v>
      </c>
      <c r="B166" s="90">
        <v>30</v>
      </c>
      <c r="C166" s="77">
        <f>122.58</f>
        <v>122.58</v>
      </c>
      <c r="D166" s="77">
        <f>297.941</f>
        <v>297.94099999999997</v>
      </c>
      <c r="E166" s="85">
        <f>89.177</f>
        <v>89.177000000000007</v>
      </c>
      <c r="F166" s="77">
        <f>240.302-40-60-100</f>
        <v>40.301999999999992</v>
      </c>
      <c r="G166" s="80">
        <v>40</v>
      </c>
      <c r="H166" s="77">
        <f>60+100</f>
        <v>160</v>
      </c>
      <c r="I166" s="77">
        <f t="shared" si="18"/>
        <v>0</v>
      </c>
      <c r="J166" s="80">
        <v>100</v>
      </c>
      <c r="K166" s="80">
        <v>300</v>
      </c>
      <c r="L166" s="77">
        <f t="shared" si="22"/>
        <v>1150</v>
      </c>
      <c r="M166" s="87">
        <v>600</v>
      </c>
      <c r="N166" s="77">
        <f>100</f>
        <v>100</v>
      </c>
      <c r="O166" s="80">
        <v>240</v>
      </c>
      <c r="P166" s="80">
        <v>40</v>
      </c>
      <c r="Q166" s="80">
        <f t="shared" si="23"/>
        <v>315</v>
      </c>
      <c r="R166" s="80">
        <f t="shared" si="24"/>
        <v>100</v>
      </c>
      <c r="S166" s="77">
        <f t="shared" si="25"/>
        <v>695</v>
      </c>
      <c r="T166" s="77">
        <f>50</f>
        <v>50</v>
      </c>
      <c r="U166" s="78"/>
      <c r="V166" s="78"/>
      <c r="W166" s="78"/>
      <c r="X166" s="78"/>
      <c r="Y166" s="78"/>
      <c r="Z166" s="78"/>
      <c r="AA166" s="78"/>
      <c r="AB166" s="78"/>
      <c r="AC166" s="78"/>
      <c r="AD166" s="78"/>
    </row>
    <row r="167" spans="1:30" ht="15.75" x14ac:dyDescent="0.25">
      <c r="A167" s="16">
        <v>46357</v>
      </c>
      <c r="B167" s="90">
        <v>31</v>
      </c>
      <c r="C167" s="77">
        <f>122.58</f>
        <v>122.58</v>
      </c>
      <c r="D167" s="77">
        <f>297.941</f>
        <v>297.94099999999997</v>
      </c>
      <c r="E167" s="85">
        <f>89.177</f>
        <v>89.177000000000007</v>
      </c>
      <c r="F167" s="77">
        <f>240.302-40-60-100</f>
        <v>40.301999999999992</v>
      </c>
      <c r="G167" s="80">
        <v>40</v>
      </c>
      <c r="H167" s="77">
        <f>60+100</f>
        <v>160</v>
      </c>
      <c r="I167" s="77">
        <f t="shared" si="18"/>
        <v>0</v>
      </c>
      <c r="J167" s="80">
        <v>100</v>
      </c>
      <c r="K167" s="80">
        <v>300</v>
      </c>
      <c r="L167" s="77">
        <f t="shared" si="22"/>
        <v>1150</v>
      </c>
      <c r="M167" s="87">
        <v>600</v>
      </c>
      <c r="N167" s="77">
        <f>100</f>
        <v>100</v>
      </c>
      <c r="O167" s="80">
        <v>240</v>
      </c>
      <c r="P167" s="80">
        <v>40</v>
      </c>
      <c r="Q167" s="80">
        <f t="shared" si="23"/>
        <v>315</v>
      </c>
      <c r="R167" s="80">
        <f t="shared" si="24"/>
        <v>100</v>
      </c>
      <c r="S167" s="77">
        <f t="shared" si="25"/>
        <v>695</v>
      </c>
      <c r="T167" s="77">
        <f>50</f>
        <v>50</v>
      </c>
      <c r="U167" s="78"/>
      <c r="V167" s="78"/>
      <c r="W167" s="78"/>
      <c r="X167" s="78"/>
      <c r="Y167" s="78"/>
      <c r="Z167" s="78"/>
      <c r="AA167" s="78"/>
      <c r="AB167" s="78"/>
      <c r="AC167" s="78"/>
      <c r="AD167" s="78"/>
    </row>
    <row r="168" spans="1:30" ht="15.75" x14ac:dyDescent="0.25">
      <c r="A168" s="16">
        <v>46388</v>
      </c>
      <c r="B168" s="90">
        <v>31</v>
      </c>
      <c r="C168" s="77">
        <f>122.58</f>
        <v>122.58</v>
      </c>
      <c r="D168" s="77">
        <f>297.941</f>
        <v>297.94099999999997</v>
      </c>
      <c r="E168" s="85">
        <f>89.177</f>
        <v>89.177000000000007</v>
      </c>
      <c r="F168" s="77">
        <f>240.302-40-60-100</f>
        <v>40.301999999999992</v>
      </c>
      <c r="G168" s="80">
        <v>40</v>
      </c>
      <c r="H168" s="77">
        <f>60+100</f>
        <v>160</v>
      </c>
      <c r="I168" s="77">
        <f t="shared" ref="I168:I231" si="28">400-J168-K168</f>
        <v>0</v>
      </c>
      <c r="J168" s="80">
        <v>100</v>
      </c>
      <c r="K168" s="80">
        <v>300</v>
      </c>
      <c r="L168" s="77">
        <f t="shared" si="22"/>
        <v>1150</v>
      </c>
      <c r="M168" s="87">
        <v>600</v>
      </c>
      <c r="N168" s="77">
        <f>100</f>
        <v>100</v>
      </c>
      <c r="O168" s="80">
        <v>240</v>
      </c>
      <c r="P168" s="80">
        <v>40</v>
      </c>
      <c r="Q168" s="80">
        <f t="shared" si="23"/>
        <v>315</v>
      </c>
      <c r="R168" s="80">
        <f t="shared" si="24"/>
        <v>100</v>
      </c>
      <c r="S168" s="77">
        <f t="shared" si="25"/>
        <v>695</v>
      </c>
      <c r="T168" s="77">
        <f>50</f>
        <v>50</v>
      </c>
      <c r="U168" s="78"/>
      <c r="V168" s="78"/>
      <c r="W168" s="78"/>
      <c r="X168" s="78"/>
      <c r="Y168" s="78"/>
      <c r="Z168" s="78"/>
      <c r="AA168" s="78"/>
      <c r="AB168" s="78"/>
      <c r="AC168" s="78"/>
      <c r="AD168" s="78"/>
    </row>
    <row r="169" spans="1:30" ht="15.75" x14ac:dyDescent="0.25">
      <c r="A169" s="16">
        <v>46419</v>
      </c>
      <c r="B169" s="90">
        <v>28</v>
      </c>
      <c r="C169" s="77">
        <f>122.58</f>
        <v>122.58</v>
      </c>
      <c r="D169" s="77">
        <f>297.941</f>
        <v>297.94099999999997</v>
      </c>
      <c r="E169" s="85">
        <f>89.177</f>
        <v>89.177000000000007</v>
      </c>
      <c r="F169" s="77">
        <f>240.302-40-60-100</f>
        <v>40.301999999999992</v>
      </c>
      <c r="G169" s="80">
        <v>40</v>
      </c>
      <c r="H169" s="77">
        <f>60+100</f>
        <v>160</v>
      </c>
      <c r="I169" s="77">
        <f t="shared" si="28"/>
        <v>0</v>
      </c>
      <c r="J169" s="80">
        <v>100</v>
      </c>
      <c r="K169" s="80">
        <v>300</v>
      </c>
      <c r="L169" s="77">
        <f t="shared" si="22"/>
        <v>1150</v>
      </c>
      <c r="M169" s="87">
        <v>600</v>
      </c>
      <c r="N169" s="77">
        <f>100</f>
        <v>100</v>
      </c>
      <c r="O169" s="80">
        <v>240</v>
      </c>
      <c r="P169" s="80">
        <v>40</v>
      </c>
      <c r="Q169" s="80">
        <f t="shared" si="23"/>
        <v>315</v>
      </c>
      <c r="R169" s="80">
        <f t="shared" si="24"/>
        <v>100</v>
      </c>
      <c r="S169" s="77">
        <f t="shared" si="25"/>
        <v>695</v>
      </c>
      <c r="T169" s="77">
        <f>50</f>
        <v>50</v>
      </c>
      <c r="U169" s="78"/>
      <c r="V169" s="78"/>
      <c r="W169" s="78"/>
      <c r="X169" s="78"/>
      <c r="Y169" s="78"/>
      <c r="Z169" s="78"/>
      <c r="AA169" s="78"/>
      <c r="AB169" s="78"/>
      <c r="AC169" s="78"/>
      <c r="AD169" s="78"/>
    </row>
    <row r="170" spans="1:30" ht="15.75" x14ac:dyDescent="0.25">
      <c r="A170" s="16">
        <v>46447</v>
      </c>
      <c r="B170" s="90">
        <v>31</v>
      </c>
      <c r="C170" s="77">
        <f>122.58</f>
        <v>122.58</v>
      </c>
      <c r="D170" s="77">
        <f>297.941</f>
        <v>297.94099999999997</v>
      </c>
      <c r="E170" s="85">
        <f>89.177</f>
        <v>89.177000000000007</v>
      </c>
      <c r="F170" s="77">
        <f>240.302-40-60-100</f>
        <v>40.301999999999992</v>
      </c>
      <c r="G170" s="80">
        <v>40</v>
      </c>
      <c r="H170" s="77">
        <f>60+100</f>
        <v>160</v>
      </c>
      <c r="I170" s="77">
        <f t="shared" si="28"/>
        <v>0</v>
      </c>
      <c r="J170" s="80">
        <v>100</v>
      </c>
      <c r="K170" s="80">
        <v>300</v>
      </c>
      <c r="L170" s="77">
        <f t="shared" si="22"/>
        <v>1150</v>
      </c>
      <c r="M170" s="87">
        <v>600</v>
      </c>
      <c r="N170" s="77">
        <f>100</f>
        <v>100</v>
      </c>
      <c r="O170" s="80">
        <v>240</v>
      </c>
      <c r="P170" s="80">
        <v>40</v>
      </c>
      <c r="Q170" s="80">
        <f t="shared" si="23"/>
        <v>315</v>
      </c>
      <c r="R170" s="80">
        <f t="shared" si="24"/>
        <v>100</v>
      </c>
      <c r="S170" s="77">
        <f t="shared" si="25"/>
        <v>695</v>
      </c>
      <c r="T170" s="77">
        <f>50</f>
        <v>50</v>
      </c>
      <c r="U170" s="78"/>
      <c r="V170" s="78"/>
      <c r="W170" s="78"/>
      <c r="X170" s="78"/>
      <c r="Y170" s="78"/>
      <c r="Z170" s="78"/>
      <c r="AA170" s="78"/>
      <c r="AB170" s="78"/>
      <c r="AC170" s="78"/>
      <c r="AD170" s="78"/>
    </row>
    <row r="171" spans="1:30" ht="15.75" x14ac:dyDescent="0.25">
      <c r="A171" s="16">
        <v>46478</v>
      </c>
      <c r="B171" s="90">
        <v>30</v>
      </c>
      <c r="C171" s="77">
        <f>141.293</f>
        <v>141.29300000000001</v>
      </c>
      <c r="D171" s="77">
        <f>267.993</f>
        <v>267.99299999999999</v>
      </c>
      <c r="E171" s="85">
        <f>115.016</f>
        <v>115.01600000000001</v>
      </c>
      <c r="F171" s="77">
        <f>314.698-40-25-60-100</f>
        <v>89.697999999999979</v>
      </c>
      <c r="G171" s="80">
        <v>40</v>
      </c>
      <c r="H171" s="77">
        <f t="shared" ref="H171:H177" si="29">25+60+100</f>
        <v>185</v>
      </c>
      <c r="I171" s="77">
        <f t="shared" si="28"/>
        <v>0</v>
      </c>
      <c r="J171" s="80">
        <v>100</v>
      </c>
      <c r="K171" s="80">
        <v>300</v>
      </c>
      <c r="L171" s="77">
        <f t="shared" si="22"/>
        <v>1239</v>
      </c>
      <c r="M171" s="87">
        <v>600</v>
      </c>
      <c r="N171" s="77">
        <f>100</f>
        <v>100</v>
      </c>
      <c r="O171" s="80">
        <v>240</v>
      </c>
      <c r="P171" s="80">
        <v>160</v>
      </c>
      <c r="Q171" s="80">
        <f t="shared" si="23"/>
        <v>195</v>
      </c>
      <c r="R171" s="80">
        <f t="shared" si="24"/>
        <v>100</v>
      </c>
      <c r="S171" s="77">
        <f t="shared" si="25"/>
        <v>695</v>
      </c>
      <c r="T171" s="77">
        <f>50</f>
        <v>50</v>
      </c>
      <c r="U171" s="78"/>
      <c r="V171" s="78"/>
      <c r="W171" s="78"/>
      <c r="X171" s="78"/>
      <c r="Y171" s="78"/>
      <c r="Z171" s="78"/>
      <c r="AA171" s="78"/>
      <c r="AB171" s="78"/>
      <c r="AC171" s="78"/>
      <c r="AD171" s="78"/>
    </row>
    <row r="172" spans="1:30" ht="15.75" x14ac:dyDescent="0.25">
      <c r="A172" s="16">
        <v>46508</v>
      </c>
      <c r="B172" s="90">
        <v>31</v>
      </c>
      <c r="C172" s="77">
        <f>194.205</f>
        <v>194.20500000000001</v>
      </c>
      <c r="D172" s="77">
        <f>267.466</f>
        <v>267.46600000000001</v>
      </c>
      <c r="E172" s="85">
        <f>133.845</f>
        <v>133.845</v>
      </c>
      <c r="F172" s="77">
        <f>278.484-40-25-60-100</f>
        <v>53.48399999999998</v>
      </c>
      <c r="G172" s="80">
        <v>40</v>
      </c>
      <c r="H172" s="77">
        <f t="shared" si="29"/>
        <v>185</v>
      </c>
      <c r="I172" s="77">
        <f t="shared" si="28"/>
        <v>0</v>
      </c>
      <c r="J172" s="80">
        <v>100</v>
      </c>
      <c r="K172" s="80">
        <v>300</v>
      </c>
      <c r="L172" s="77">
        <f t="shared" si="22"/>
        <v>1274</v>
      </c>
      <c r="M172" s="87">
        <v>600</v>
      </c>
      <c r="N172" s="77">
        <f>75</f>
        <v>75</v>
      </c>
      <c r="O172" s="80">
        <v>240</v>
      </c>
      <c r="P172" s="80">
        <v>160</v>
      </c>
      <c r="Q172" s="80">
        <f t="shared" si="23"/>
        <v>195</v>
      </c>
      <c r="R172" s="80">
        <f t="shared" si="24"/>
        <v>100</v>
      </c>
      <c r="S172" s="77">
        <f t="shared" si="25"/>
        <v>695</v>
      </c>
      <c r="T172" s="77">
        <f>50</f>
        <v>50</v>
      </c>
      <c r="U172" s="78"/>
      <c r="V172" s="78"/>
      <c r="W172" s="78"/>
      <c r="X172" s="78"/>
      <c r="Y172" s="78"/>
      <c r="Z172" s="78"/>
      <c r="AA172" s="78"/>
      <c r="AB172" s="78"/>
      <c r="AC172" s="78"/>
      <c r="AD172" s="78"/>
    </row>
    <row r="173" spans="1:30" ht="15.75" x14ac:dyDescent="0.25">
      <c r="A173" s="16">
        <v>46539</v>
      </c>
      <c r="B173" s="90">
        <v>30</v>
      </c>
      <c r="C173" s="77">
        <f>194.205</f>
        <v>194.20500000000001</v>
      </c>
      <c r="D173" s="77">
        <f>267.466</f>
        <v>267.46600000000001</v>
      </c>
      <c r="E173" s="85">
        <f>133.845</f>
        <v>133.845</v>
      </c>
      <c r="F173" s="77">
        <f>278.484-40-25-60-100</f>
        <v>53.48399999999998</v>
      </c>
      <c r="G173" s="80">
        <v>40</v>
      </c>
      <c r="H173" s="77">
        <f t="shared" si="29"/>
        <v>185</v>
      </c>
      <c r="I173" s="77">
        <f t="shared" si="28"/>
        <v>0</v>
      </c>
      <c r="J173" s="80">
        <v>100</v>
      </c>
      <c r="K173" s="80">
        <v>300</v>
      </c>
      <c r="L173" s="77">
        <f t="shared" si="22"/>
        <v>1274</v>
      </c>
      <c r="M173" s="87">
        <v>600</v>
      </c>
      <c r="N173" s="77">
        <f>30</f>
        <v>30</v>
      </c>
      <c r="O173" s="80">
        <v>240</v>
      </c>
      <c r="P173" s="80">
        <v>160</v>
      </c>
      <c r="Q173" s="80">
        <f t="shared" si="23"/>
        <v>195</v>
      </c>
      <c r="R173" s="80">
        <f t="shared" si="24"/>
        <v>100</v>
      </c>
      <c r="S173" s="77">
        <f t="shared" si="25"/>
        <v>695</v>
      </c>
      <c r="T173" s="77">
        <f>50</f>
        <v>50</v>
      </c>
      <c r="U173" s="78"/>
      <c r="V173" s="78"/>
      <c r="W173" s="78"/>
      <c r="X173" s="78"/>
      <c r="Y173" s="78"/>
      <c r="Z173" s="78"/>
      <c r="AA173" s="78"/>
      <c r="AB173" s="78"/>
      <c r="AC173" s="78"/>
      <c r="AD173" s="78"/>
    </row>
    <row r="174" spans="1:30" ht="15.75" x14ac:dyDescent="0.25">
      <c r="A174" s="16">
        <v>46569</v>
      </c>
      <c r="B174" s="90">
        <v>31</v>
      </c>
      <c r="C174" s="77">
        <f>194.205</f>
        <v>194.20500000000001</v>
      </c>
      <c r="D174" s="77">
        <f>267.466</f>
        <v>267.46600000000001</v>
      </c>
      <c r="E174" s="85">
        <f>133.845</f>
        <v>133.845</v>
      </c>
      <c r="F174" s="77">
        <f>278.484-40-25-60-100</f>
        <v>53.48399999999998</v>
      </c>
      <c r="G174" s="80">
        <v>40</v>
      </c>
      <c r="H174" s="77">
        <f t="shared" si="29"/>
        <v>185</v>
      </c>
      <c r="I174" s="77">
        <f t="shared" si="28"/>
        <v>0</v>
      </c>
      <c r="J174" s="80">
        <v>100</v>
      </c>
      <c r="K174" s="80">
        <v>300</v>
      </c>
      <c r="L174" s="77">
        <f t="shared" si="22"/>
        <v>1274</v>
      </c>
      <c r="M174" s="87">
        <v>600</v>
      </c>
      <c r="N174" s="77">
        <f>30</f>
        <v>30</v>
      </c>
      <c r="O174" s="80">
        <v>240</v>
      </c>
      <c r="P174" s="80">
        <v>160</v>
      </c>
      <c r="Q174" s="80">
        <f t="shared" si="23"/>
        <v>195</v>
      </c>
      <c r="R174" s="80">
        <f t="shared" si="24"/>
        <v>100</v>
      </c>
      <c r="S174" s="77">
        <f t="shared" si="25"/>
        <v>695</v>
      </c>
      <c r="T174" s="77">
        <f>0</f>
        <v>0</v>
      </c>
      <c r="U174" s="78"/>
      <c r="V174" s="78"/>
      <c r="W174" s="78"/>
      <c r="X174" s="78"/>
      <c r="Y174" s="78"/>
      <c r="Z174" s="78"/>
      <c r="AA174" s="78"/>
      <c r="AB174" s="78"/>
      <c r="AC174" s="78"/>
      <c r="AD174" s="78"/>
    </row>
    <row r="175" spans="1:30" ht="15.75" x14ac:dyDescent="0.25">
      <c r="A175" s="16">
        <v>46600</v>
      </c>
      <c r="B175" s="90">
        <v>31</v>
      </c>
      <c r="C175" s="77">
        <f>194.205</f>
        <v>194.20500000000001</v>
      </c>
      <c r="D175" s="77">
        <f>267.466</f>
        <v>267.46600000000001</v>
      </c>
      <c r="E175" s="85">
        <f>133.845</f>
        <v>133.845</v>
      </c>
      <c r="F175" s="77">
        <f>278.484-40-25-60-100</f>
        <v>53.48399999999998</v>
      </c>
      <c r="G175" s="80">
        <v>40</v>
      </c>
      <c r="H175" s="77">
        <f t="shared" si="29"/>
        <v>185</v>
      </c>
      <c r="I175" s="77">
        <f t="shared" si="28"/>
        <v>0</v>
      </c>
      <c r="J175" s="80">
        <v>100</v>
      </c>
      <c r="K175" s="80">
        <v>300</v>
      </c>
      <c r="L175" s="77">
        <f t="shared" si="22"/>
        <v>1274</v>
      </c>
      <c r="M175" s="87">
        <v>600</v>
      </c>
      <c r="N175" s="77">
        <f>30</f>
        <v>30</v>
      </c>
      <c r="O175" s="80">
        <v>240</v>
      </c>
      <c r="P175" s="80">
        <v>160</v>
      </c>
      <c r="Q175" s="80">
        <f t="shared" si="23"/>
        <v>195</v>
      </c>
      <c r="R175" s="80">
        <f t="shared" si="24"/>
        <v>100</v>
      </c>
      <c r="S175" s="77">
        <f t="shared" si="25"/>
        <v>695</v>
      </c>
      <c r="T175" s="77">
        <f>0</f>
        <v>0</v>
      </c>
      <c r="U175" s="78"/>
      <c r="V175" s="78"/>
      <c r="W175" s="78"/>
      <c r="X175" s="78"/>
      <c r="Y175" s="78"/>
      <c r="Z175" s="78"/>
      <c r="AA175" s="78"/>
      <c r="AB175" s="78"/>
      <c r="AC175" s="78"/>
      <c r="AD175" s="78"/>
    </row>
    <row r="176" spans="1:30" ht="15.75" x14ac:dyDescent="0.25">
      <c r="A176" s="16">
        <v>46631</v>
      </c>
      <c r="B176" s="90">
        <v>30</v>
      </c>
      <c r="C176" s="77">
        <f>194.205</f>
        <v>194.20500000000001</v>
      </c>
      <c r="D176" s="77">
        <f>267.466</f>
        <v>267.46600000000001</v>
      </c>
      <c r="E176" s="85">
        <f>133.845</f>
        <v>133.845</v>
      </c>
      <c r="F176" s="77">
        <f>278.484-40-25-60-100</f>
        <v>53.48399999999998</v>
      </c>
      <c r="G176" s="80">
        <v>40</v>
      </c>
      <c r="H176" s="77">
        <f t="shared" si="29"/>
        <v>185</v>
      </c>
      <c r="I176" s="77">
        <f t="shared" si="28"/>
        <v>0</v>
      </c>
      <c r="J176" s="80">
        <v>100</v>
      </c>
      <c r="K176" s="80">
        <v>300</v>
      </c>
      <c r="L176" s="77">
        <f t="shared" si="22"/>
        <v>1274</v>
      </c>
      <c r="M176" s="87">
        <v>600</v>
      </c>
      <c r="N176" s="77">
        <f>30</f>
        <v>30</v>
      </c>
      <c r="O176" s="80">
        <v>240</v>
      </c>
      <c r="P176" s="80">
        <v>160</v>
      </c>
      <c r="Q176" s="80">
        <f t="shared" si="23"/>
        <v>195</v>
      </c>
      <c r="R176" s="80">
        <f t="shared" si="24"/>
        <v>100</v>
      </c>
      <c r="S176" s="77">
        <f t="shared" si="25"/>
        <v>695</v>
      </c>
      <c r="T176" s="77">
        <f>0</f>
        <v>0</v>
      </c>
      <c r="U176" s="78"/>
      <c r="V176" s="78"/>
      <c r="W176" s="78"/>
      <c r="X176" s="78"/>
      <c r="Y176" s="78"/>
      <c r="Z176" s="78"/>
      <c r="AA176" s="78"/>
      <c r="AB176" s="78"/>
      <c r="AC176" s="78"/>
      <c r="AD176" s="78"/>
    </row>
    <row r="177" spans="1:30" ht="15.75" x14ac:dyDescent="0.25">
      <c r="A177" s="16">
        <v>46661</v>
      </c>
      <c r="B177" s="90">
        <v>31</v>
      </c>
      <c r="C177" s="77">
        <f>131.881</f>
        <v>131.881</v>
      </c>
      <c r="D177" s="77">
        <f>277.167</f>
        <v>277.16699999999997</v>
      </c>
      <c r="E177" s="85">
        <f>79.08</f>
        <v>79.08</v>
      </c>
      <c r="F177" s="77">
        <f>350.872-40-25-60-100</f>
        <v>125.87200000000001</v>
      </c>
      <c r="G177" s="80">
        <v>40</v>
      </c>
      <c r="H177" s="77">
        <f t="shared" si="29"/>
        <v>185</v>
      </c>
      <c r="I177" s="77">
        <f t="shared" si="28"/>
        <v>0</v>
      </c>
      <c r="J177" s="80">
        <v>100</v>
      </c>
      <c r="K177" s="80">
        <v>300</v>
      </c>
      <c r="L177" s="77">
        <f t="shared" si="22"/>
        <v>1239</v>
      </c>
      <c r="M177" s="87">
        <v>600</v>
      </c>
      <c r="N177" s="77">
        <f>75</f>
        <v>75</v>
      </c>
      <c r="O177" s="80">
        <v>240</v>
      </c>
      <c r="P177" s="80">
        <v>160</v>
      </c>
      <c r="Q177" s="80">
        <f t="shared" si="23"/>
        <v>195</v>
      </c>
      <c r="R177" s="80">
        <f t="shared" si="24"/>
        <v>100</v>
      </c>
      <c r="S177" s="77">
        <f t="shared" si="25"/>
        <v>695</v>
      </c>
      <c r="T177" s="77">
        <f>0</f>
        <v>0</v>
      </c>
      <c r="U177" s="78"/>
      <c r="V177" s="78"/>
      <c r="W177" s="78"/>
      <c r="X177" s="78"/>
      <c r="Y177" s="78"/>
      <c r="Z177" s="78"/>
      <c r="AA177" s="78"/>
      <c r="AB177" s="78"/>
      <c r="AC177" s="78"/>
      <c r="AD177" s="78"/>
    </row>
    <row r="178" spans="1:30" ht="15.75" x14ac:dyDescent="0.25">
      <c r="A178" s="16">
        <v>46692</v>
      </c>
      <c r="B178" s="90">
        <v>30</v>
      </c>
      <c r="C178" s="77">
        <f>122.58</f>
        <v>122.58</v>
      </c>
      <c r="D178" s="77">
        <f>297.941</f>
        <v>297.94099999999997</v>
      </c>
      <c r="E178" s="85">
        <f>89.177</f>
        <v>89.177000000000007</v>
      </c>
      <c r="F178" s="77">
        <f>240.302-40-60-100</f>
        <v>40.301999999999992</v>
      </c>
      <c r="G178" s="80">
        <v>40</v>
      </c>
      <c r="H178" s="77">
        <f>60+100</f>
        <v>160</v>
      </c>
      <c r="I178" s="77">
        <f t="shared" si="28"/>
        <v>0</v>
      </c>
      <c r="J178" s="80">
        <v>100</v>
      </c>
      <c r="K178" s="80">
        <v>300</v>
      </c>
      <c r="L178" s="77">
        <f t="shared" si="22"/>
        <v>1150</v>
      </c>
      <c r="M178" s="87">
        <v>600</v>
      </c>
      <c r="N178" s="77">
        <f>100</f>
        <v>100</v>
      </c>
      <c r="O178" s="80">
        <v>240</v>
      </c>
      <c r="P178" s="80">
        <v>40</v>
      </c>
      <c r="Q178" s="80">
        <f t="shared" si="23"/>
        <v>315</v>
      </c>
      <c r="R178" s="80">
        <f t="shared" si="24"/>
        <v>100</v>
      </c>
      <c r="S178" s="77">
        <f t="shared" si="25"/>
        <v>695</v>
      </c>
      <c r="T178" s="77">
        <f>50</f>
        <v>50</v>
      </c>
      <c r="U178" s="78"/>
      <c r="V178" s="78"/>
      <c r="W178" s="78"/>
      <c r="X178" s="78"/>
      <c r="Y178" s="78"/>
      <c r="Z178" s="78"/>
      <c r="AA178" s="78"/>
      <c r="AB178" s="78"/>
      <c r="AC178" s="78"/>
      <c r="AD178" s="78"/>
    </row>
    <row r="179" spans="1:30" ht="15.75" x14ac:dyDescent="0.25">
      <c r="A179" s="16">
        <v>46722</v>
      </c>
      <c r="B179" s="90">
        <v>31</v>
      </c>
      <c r="C179" s="77">
        <f>122.58</f>
        <v>122.58</v>
      </c>
      <c r="D179" s="77">
        <f>297.941</f>
        <v>297.94099999999997</v>
      </c>
      <c r="E179" s="85">
        <f>89.177</f>
        <v>89.177000000000007</v>
      </c>
      <c r="F179" s="77">
        <f>240.302-40-60-100</f>
        <v>40.301999999999992</v>
      </c>
      <c r="G179" s="80">
        <v>40</v>
      </c>
      <c r="H179" s="77">
        <f>60+100</f>
        <v>160</v>
      </c>
      <c r="I179" s="77">
        <f t="shared" si="28"/>
        <v>0</v>
      </c>
      <c r="J179" s="80">
        <v>100</v>
      </c>
      <c r="K179" s="80">
        <v>300</v>
      </c>
      <c r="L179" s="77">
        <f t="shared" si="22"/>
        <v>1150</v>
      </c>
      <c r="M179" s="87">
        <v>600</v>
      </c>
      <c r="N179" s="77">
        <f>100</f>
        <v>100</v>
      </c>
      <c r="O179" s="80">
        <v>240</v>
      </c>
      <c r="P179" s="80">
        <v>40</v>
      </c>
      <c r="Q179" s="80">
        <f t="shared" si="23"/>
        <v>315</v>
      </c>
      <c r="R179" s="80">
        <f t="shared" si="24"/>
        <v>100</v>
      </c>
      <c r="S179" s="77">
        <f t="shared" si="25"/>
        <v>695</v>
      </c>
      <c r="T179" s="77">
        <f>50</f>
        <v>50</v>
      </c>
      <c r="U179" s="78"/>
      <c r="V179" s="78"/>
      <c r="W179" s="78"/>
      <c r="X179" s="78"/>
      <c r="Y179" s="78"/>
      <c r="Z179" s="78"/>
      <c r="AA179" s="78"/>
      <c r="AB179" s="78"/>
      <c r="AC179" s="78"/>
      <c r="AD179" s="78"/>
    </row>
    <row r="180" spans="1:30" ht="15.75" x14ac:dyDescent="0.25">
      <c r="A180" s="16">
        <v>46753</v>
      </c>
      <c r="B180" s="90">
        <v>31</v>
      </c>
      <c r="C180" s="77">
        <f>122.58</f>
        <v>122.58</v>
      </c>
      <c r="D180" s="77">
        <f>297.941</f>
        <v>297.94099999999997</v>
      </c>
      <c r="E180" s="85">
        <f>89.177</f>
        <v>89.177000000000007</v>
      </c>
      <c r="F180" s="77">
        <f>240.302-40-60-100</f>
        <v>40.301999999999992</v>
      </c>
      <c r="G180" s="80">
        <v>40</v>
      </c>
      <c r="H180" s="77">
        <f>60+100</f>
        <v>160</v>
      </c>
      <c r="I180" s="77">
        <f t="shared" si="28"/>
        <v>0</v>
      </c>
      <c r="J180" s="80">
        <v>100</v>
      </c>
      <c r="K180" s="80">
        <v>300</v>
      </c>
      <c r="L180" s="77">
        <f t="shared" si="22"/>
        <v>1150</v>
      </c>
      <c r="M180" s="87">
        <v>600</v>
      </c>
      <c r="N180" s="77">
        <f>100</f>
        <v>100</v>
      </c>
      <c r="O180" s="80">
        <v>240</v>
      </c>
      <c r="P180" s="80">
        <v>40</v>
      </c>
      <c r="Q180" s="80">
        <f t="shared" si="23"/>
        <v>315</v>
      </c>
      <c r="R180" s="80">
        <f t="shared" si="24"/>
        <v>100</v>
      </c>
      <c r="S180" s="77">
        <f t="shared" si="25"/>
        <v>695</v>
      </c>
      <c r="T180" s="77">
        <f>50</f>
        <v>50</v>
      </c>
      <c r="U180" s="78"/>
      <c r="V180" s="78"/>
      <c r="W180" s="78"/>
      <c r="X180" s="78"/>
      <c r="Y180" s="78"/>
      <c r="Z180" s="78"/>
      <c r="AA180" s="78"/>
      <c r="AB180" s="78"/>
      <c r="AC180" s="78"/>
      <c r="AD180" s="78"/>
    </row>
    <row r="181" spans="1:30" ht="15.75" x14ac:dyDescent="0.25">
      <c r="A181" s="16">
        <v>46784</v>
      </c>
      <c r="B181" s="90">
        <v>29</v>
      </c>
      <c r="C181" s="77">
        <f>122.58</f>
        <v>122.58</v>
      </c>
      <c r="D181" s="77">
        <f>297.941</f>
        <v>297.94099999999997</v>
      </c>
      <c r="E181" s="85">
        <f>89.177</f>
        <v>89.177000000000007</v>
      </c>
      <c r="F181" s="77">
        <f>240.302-40-60-100</f>
        <v>40.301999999999992</v>
      </c>
      <c r="G181" s="80">
        <v>40</v>
      </c>
      <c r="H181" s="77">
        <f>60+100</f>
        <v>160</v>
      </c>
      <c r="I181" s="77">
        <f t="shared" si="28"/>
        <v>0</v>
      </c>
      <c r="J181" s="80">
        <v>100</v>
      </c>
      <c r="K181" s="80">
        <v>300</v>
      </c>
      <c r="L181" s="77">
        <f t="shared" si="22"/>
        <v>1150</v>
      </c>
      <c r="M181" s="87">
        <v>600</v>
      </c>
      <c r="N181" s="77">
        <f>100</f>
        <v>100</v>
      </c>
      <c r="O181" s="80">
        <v>240</v>
      </c>
      <c r="P181" s="80">
        <v>40</v>
      </c>
      <c r="Q181" s="80">
        <f t="shared" si="23"/>
        <v>315</v>
      </c>
      <c r="R181" s="80">
        <f t="shared" si="24"/>
        <v>100</v>
      </c>
      <c r="S181" s="77">
        <f t="shared" si="25"/>
        <v>695</v>
      </c>
      <c r="T181" s="77">
        <f>50</f>
        <v>50</v>
      </c>
      <c r="U181" s="78"/>
      <c r="V181" s="78"/>
      <c r="W181" s="78"/>
      <c r="X181" s="78"/>
      <c r="Y181" s="78"/>
      <c r="Z181" s="78"/>
      <c r="AA181" s="78"/>
      <c r="AB181" s="78"/>
      <c r="AC181" s="78"/>
      <c r="AD181" s="78"/>
    </row>
    <row r="182" spans="1:30" ht="15.75" x14ac:dyDescent="0.25">
      <c r="A182" s="16">
        <v>46813</v>
      </c>
      <c r="B182" s="90">
        <v>31</v>
      </c>
      <c r="C182" s="77">
        <f>122.58</f>
        <v>122.58</v>
      </c>
      <c r="D182" s="77">
        <f>297.941</f>
        <v>297.94099999999997</v>
      </c>
      <c r="E182" s="85">
        <f>89.177</f>
        <v>89.177000000000007</v>
      </c>
      <c r="F182" s="77">
        <f>240.302-40-60-100</f>
        <v>40.301999999999992</v>
      </c>
      <c r="G182" s="80">
        <v>40</v>
      </c>
      <c r="H182" s="77">
        <f>60+100</f>
        <v>160</v>
      </c>
      <c r="I182" s="77">
        <f t="shared" si="28"/>
        <v>0</v>
      </c>
      <c r="J182" s="80">
        <v>100</v>
      </c>
      <c r="K182" s="80">
        <v>300</v>
      </c>
      <c r="L182" s="77">
        <f t="shared" si="22"/>
        <v>1150</v>
      </c>
      <c r="M182" s="87">
        <v>600</v>
      </c>
      <c r="N182" s="77">
        <f>100</f>
        <v>100</v>
      </c>
      <c r="O182" s="80">
        <v>240</v>
      </c>
      <c r="P182" s="80">
        <v>40</v>
      </c>
      <c r="Q182" s="80">
        <f t="shared" si="23"/>
        <v>315</v>
      </c>
      <c r="R182" s="80">
        <f t="shared" si="24"/>
        <v>100</v>
      </c>
      <c r="S182" s="77">
        <f t="shared" si="25"/>
        <v>695</v>
      </c>
      <c r="T182" s="77">
        <f>50</f>
        <v>50</v>
      </c>
      <c r="U182" s="78"/>
      <c r="V182" s="78"/>
      <c r="W182" s="78"/>
      <c r="X182" s="78"/>
      <c r="Y182" s="78"/>
      <c r="Z182" s="78"/>
      <c r="AA182" s="78"/>
      <c r="AB182" s="78"/>
      <c r="AC182" s="78"/>
      <c r="AD182" s="78"/>
    </row>
    <row r="183" spans="1:30" ht="15.75" x14ac:dyDescent="0.25">
      <c r="A183" s="16">
        <v>46844</v>
      </c>
      <c r="B183" s="90">
        <v>30</v>
      </c>
      <c r="C183" s="77">
        <f>141.293</f>
        <v>141.29300000000001</v>
      </c>
      <c r="D183" s="77">
        <f>267.993</f>
        <v>267.99299999999999</v>
      </c>
      <c r="E183" s="85">
        <f>115.016</f>
        <v>115.01600000000001</v>
      </c>
      <c r="F183" s="77">
        <f>314.698-40-25-60-100</f>
        <v>89.697999999999979</v>
      </c>
      <c r="G183" s="80">
        <v>40</v>
      </c>
      <c r="H183" s="77">
        <f t="shared" ref="H183:H189" si="30">25+60+100</f>
        <v>185</v>
      </c>
      <c r="I183" s="77">
        <f t="shared" si="28"/>
        <v>0</v>
      </c>
      <c r="J183" s="80">
        <v>100</v>
      </c>
      <c r="K183" s="80">
        <v>300</v>
      </c>
      <c r="L183" s="77">
        <f t="shared" si="22"/>
        <v>1239</v>
      </c>
      <c r="M183" s="87">
        <v>600</v>
      </c>
      <c r="N183" s="77">
        <f>100</f>
        <v>100</v>
      </c>
      <c r="O183" s="80">
        <v>240</v>
      </c>
      <c r="P183" s="80">
        <v>160</v>
      </c>
      <c r="Q183" s="80">
        <f t="shared" si="23"/>
        <v>195</v>
      </c>
      <c r="R183" s="80">
        <f t="shared" si="24"/>
        <v>100</v>
      </c>
      <c r="S183" s="77">
        <f t="shared" si="25"/>
        <v>695</v>
      </c>
      <c r="T183" s="77">
        <f>50</f>
        <v>50</v>
      </c>
      <c r="U183" s="78"/>
      <c r="V183" s="78"/>
      <c r="W183" s="78"/>
      <c r="X183" s="78"/>
      <c r="Y183" s="78"/>
      <c r="Z183" s="78"/>
      <c r="AA183" s="78"/>
      <c r="AB183" s="78"/>
      <c r="AC183" s="78"/>
      <c r="AD183" s="78"/>
    </row>
    <row r="184" spans="1:30" ht="15.75" x14ac:dyDescent="0.25">
      <c r="A184" s="16">
        <v>46874</v>
      </c>
      <c r="B184" s="90">
        <v>31</v>
      </c>
      <c r="C184" s="77">
        <f>194.205</f>
        <v>194.20500000000001</v>
      </c>
      <c r="D184" s="77">
        <f>267.466</f>
        <v>267.46600000000001</v>
      </c>
      <c r="E184" s="85">
        <f>133.845</f>
        <v>133.845</v>
      </c>
      <c r="F184" s="77">
        <f>278.484-40-25-60-100</f>
        <v>53.48399999999998</v>
      </c>
      <c r="G184" s="80">
        <v>40</v>
      </c>
      <c r="H184" s="77">
        <f t="shared" si="30"/>
        <v>185</v>
      </c>
      <c r="I184" s="77">
        <f t="shared" si="28"/>
        <v>0</v>
      </c>
      <c r="J184" s="80">
        <v>100</v>
      </c>
      <c r="K184" s="80">
        <v>300</v>
      </c>
      <c r="L184" s="77">
        <f t="shared" si="22"/>
        <v>1274</v>
      </c>
      <c r="M184" s="87">
        <v>600</v>
      </c>
      <c r="N184" s="77">
        <f>75</f>
        <v>75</v>
      </c>
      <c r="O184" s="80">
        <v>240</v>
      </c>
      <c r="P184" s="80">
        <v>160</v>
      </c>
      <c r="Q184" s="80">
        <f t="shared" si="23"/>
        <v>195</v>
      </c>
      <c r="R184" s="80">
        <f t="shared" si="24"/>
        <v>100</v>
      </c>
      <c r="S184" s="77">
        <f t="shared" si="25"/>
        <v>695</v>
      </c>
      <c r="T184" s="77">
        <f>50</f>
        <v>50</v>
      </c>
      <c r="U184" s="78"/>
      <c r="V184" s="78"/>
      <c r="W184" s="78"/>
      <c r="X184" s="78"/>
      <c r="Y184" s="78"/>
      <c r="Z184" s="78"/>
      <c r="AA184" s="78"/>
      <c r="AB184" s="78"/>
      <c r="AC184" s="78"/>
      <c r="AD184" s="78"/>
    </row>
    <row r="185" spans="1:30" ht="15.75" x14ac:dyDescent="0.25">
      <c r="A185" s="16">
        <v>46905</v>
      </c>
      <c r="B185" s="90">
        <v>30</v>
      </c>
      <c r="C185" s="77">
        <f>194.205</f>
        <v>194.20500000000001</v>
      </c>
      <c r="D185" s="77">
        <f>267.466</f>
        <v>267.46600000000001</v>
      </c>
      <c r="E185" s="85">
        <f>133.845</f>
        <v>133.845</v>
      </c>
      <c r="F185" s="77">
        <f>278.484-40-25-60-100</f>
        <v>53.48399999999998</v>
      </c>
      <c r="G185" s="80">
        <v>40</v>
      </c>
      <c r="H185" s="77">
        <f t="shared" si="30"/>
        <v>185</v>
      </c>
      <c r="I185" s="77">
        <f t="shared" si="28"/>
        <v>0</v>
      </c>
      <c r="J185" s="80">
        <v>100</v>
      </c>
      <c r="K185" s="80">
        <v>300</v>
      </c>
      <c r="L185" s="77">
        <f t="shared" si="22"/>
        <v>1274</v>
      </c>
      <c r="M185" s="87">
        <v>600</v>
      </c>
      <c r="N185" s="77">
        <f>30</f>
        <v>30</v>
      </c>
      <c r="O185" s="80">
        <v>240</v>
      </c>
      <c r="P185" s="80">
        <v>160</v>
      </c>
      <c r="Q185" s="80">
        <f t="shared" si="23"/>
        <v>195</v>
      </c>
      <c r="R185" s="80">
        <f t="shared" si="24"/>
        <v>100</v>
      </c>
      <c r="S185" s="77">
        <f t="shared" si="25"/>
        <v>695</v>
      </c>
      <c r="T185" s="77">
        <f>50</f>
        <v>50</v>
      </c>
      <c r="U185" s="78"/>
      <c r="V185" s="78"/>
      <c r="W185" s="78"/>
      <c r="X185" s="78"/>
      <c r="Y185" s="78"/>
      <c r="Z185" s="78"/>
      <c r="AA185" s="78"/>
      <c r="AB185" s="78"/>
      <c r="AC185" s="78"/>
      <c r="AD185" s="78"/>
    </row>
    <row r="186" spans="1:30" ht="15.75" x14ac:dyDescent="0.25">
      <c r="A186" s="16">
        <v>46935</v>
      </c>
      <c r="B186" s="90">
        <v>31</v>
      </c>
      <c r="C186" s="77">
        <f>194.205</f>
        <v>194.20500000000001</v>
      </c>
      <c r="D186" s="77">
        <f>267.466</f>
        <v>267.46600000000001</v>
      </c>
      <c r="E186" s="85">
        <f>133.845</f>
        <v>133.845</v>
      </c>
      <c r="F186" s="77">
        <f>278.484-40-25-60-100</f>
        <v>53.48399999999998</v>
      </c>
      <c r="G186" s="80">
        <v>40</v>
      </c>
      <c r="H186" s="77">
        <f t="shared" si="30"/>
        <v>185</v>
      </c>
      <c r="I186" s="77">
        <f t="shared" si="28"/>
        <v>0</v>
      </c>
      <c r="J186" s="80">
        <v>100</v>
      </c>
      <c r="K186" s="80">
        <v>300</v>
      </c>
      <c r="L186" s="77">
        <f t="shared" si="22"/>
        <v>1274</v>
      </c>
      <c r="M186" s="87">
        <v>600</v>
      </c>
      <c r="N186" s="77">
        <f>30</f>
        <v>30</v>
      </c>
      <c r="O186" s="80">
        <v>240</v>
      </c>
      <c r="P186" s="80">
        <v>160</v>
      </c>
      <c r="Q186" s="80">
        <f t="shared" si="23"/>
        <v>195</v>
      </c>
      <c r="R186" s="80">
        <f t="shared" si="24"/>
        <v>100</v>
      </c>
      <c r="S186" s="77">
        <f t="shared" si="25"/>
        <v>695</v>
      </c>
      <c r="T186" s="77">
        <f>0</f>
        <v>0</v>
      </c>
      <c r="U186" s="78"/>
      <c r="V186" s="78"/>
      <c r="W186" s="78"/>
      <c r="X186" s="78"/>
      <c r="Y186" s="78"/>
      <c r="Z186" s="78"/>
      <c r="AA186" s="78"/>
      <c r="AB186" s="78"/>
      <c r="AC186" s="78"/>
      <c r="AD186" s="78"/>
    </row>
    <row r="187" spans="1:30" ht="15.75" x14ac:dyDescent="0.25">
      <c r="A187" s="16">
        <v>46966</v>
      </c>
      <c r="B187" s="90">
        <v>31</v>
      </c>
      <c r="C187" s="77">
        <f>194.205</f>
        <v>194.20500000000001</v>
      </c>
      <c r="D187" s="77">
        <f>267.466</f>
        <v>267.46600000000001</v>
      </c>
      <c r="E187" s="85">
        <f>133.845</f>
        <v>133.845</v>
      </c>
      <c r="F187" s="77">
        <f>278.484-40-25-60-100</f>
        <v>53.48399999999998</v>
      </c>
      <c r="G187" s="80">
        <v>40</v>
      </c>
      <c r="H187" s="77">
        <f t="shared" si="30"/>
        <v>185</v>
      </c>
      <c r="I187" s="77">
        <f t="shared" si="28"/>
        <v>0</v>
      </c>
      <c r="J187" s="80">
        <v>100</v>
      </c>
      <c r="K187" s="80">
        <v>300</v>
      </c>
      <c r="L187" s="77">
        <f t="shared" si="22"/>
        <v>1274</v>
      </c>
      <c r="M187" s="87">
        <v>600</v>
      </c>
      <c r="N187" s="77">
        <f>30</f>
        <v>30</v>
      </c>
      <c r="O187" s="80">
        <v>240</v>
      </c>
      <c r="P187" s="80">
        <v>160</v>
      </c>
      <c r="Q187" s="80">
        <f t="shared" si="23"/>
        <v>195</v>
      </c>
      <c r="R187" s="80">
        <f t="shared" si="24"/>
        <v>100</v>
      </c>
      <c r="S187" s="77">
        <f t="shared" si="25"/>
        <v>695</v>
      </c>
      <c r="T187" s="77">
        <f>0</f>
        <v>0</v>
      </c>
      <c r="U187" s="78"/>
      <c r="V187" s="78"/>
      <c r="W187" s="78"/>
      <c r="X187" s="78"/>
      <c r="Y187" s="78"/>
      <c r="Z187" s="78"/>
      <c r="AA187" s="78"/>
      <c r="AB187" s="78"/>
      <c r="AC187" s="78"/>
      <c r="AD187" s="78"/>
    </row>
    <row r="188" spans="1:30" ht="15.75" x14ac:dyDescent="0.25">
      <c r="A188" s="16">
        <v>46997</v>
      </c>
      <c r="B188" s="90">
        <v>30</v>
      </c>
      <c r="C188" s="77">
        <f>194.205</f>
        <v>194.20500000000001</v>
      </c>
      <c r="D188" s="77">
        <f>267.466</f>
        <v>267.46600000000001</v>
      </c>
      <c r="E188" s="85">
        <f>133.845</f>
        <v>133.845</v>
      </c>
      <c r="F188" s="77">
        <f>278.484-40-25-60-100</f>
        <v>53.48399999999998</v>
      </c>
      <c r="G188" s="80">
        <v>40</v>
      </c>
      <c r="H188" s="77">
        <f t="shared" si="30"/>
        <v>185</v>
      </c>
      <c r="I188" s="77">
        <f t="shared" si="28"/>
        <v>0</v>
      </c>
      <c r="J188" s="80">
        <v>100</v>
      </c>
      <c r="K188" s="80">
        <v>300</v>
      </c>
      <c r="L188" s="77">
        <f t="shared" si="22"/>
        <v>1274</v>
      </c>
      <c r="M188" s="87">
        <v>600</v>
      </c>
      <c r="N188" s="77">
        <f>30</f>
        <v>30</v>
      </c>
      <c r="O188" s="80">
        <v>240</v>
      </c>
      <c r="P188" s="80">
        <v>160</v>
      </c>
      <c r="Q188" s="80">
        <f t="shared" si="23"/>
        <v>195</v>
      </c>
      <c r="R188" s="80">
        <f t="shared" si="24"/>
        <v>100</v>
      </c>
      <c r="S188" s="77">
        <f t="shared" si="25"/>
        <v>695</v>
      </c>
      <c r="T188" s="77">
        <f>0</f>
        <v>0</v>
      </c>
      <c r="U188" s="78"/>
      <c r="V188" s="78"/>
      <c r="W188" s="78"/>
      <c r="X188" s="78"/>
      <c r="Y188" s="78"/>
      <c r="Z188" s="78"/>
      <c r="AA188" s="78"/>
      <c r="AB188" s="78"/>
      <c r="AC188" s="78"/>
      <c r="AD188" s="78"/>
    </row>
    <row r="189" spans="1:30" ht="15.75" x14ac:dyDescent="0.25">
      <c r="A189" s="16">
        <v>47027</v>
      </c>
      <c r="B189" s="90">
        <v>31</v>
      </c>
      <c r="C189" s="77">
        <f>131.881</f>
        <v>131.881</v>
      </c>
      <c r="D189" s="77">
        <f>277.167</f>
        <v>277.16699999999997</v>
      </c>
      <c r="E189" s="85">
        <f>79.08</f>
        <v>79.08</v>
      </c>
      <c r="F189" s="77">
        <f>350.872-40-25-60-100</f>
        <v>125.87200000000001</v>
      </c>
      <c r="G189" s="80">
        <v>40</v>
      </c>
      <c r="H189" s="77">
        <f t="shared" si="30"/>
        <v>185</v>
      </c>
      <c r="I189" s="77">
        <f t="shared" si="28"/>
        <v>0</v>
      </c>
      <c r="J189" s="80">
        <v>100</v>
      </c>
      <c r="K189" s="80">
        <v>300</v>
      </c>
      <c r="L189" s="77">
        <f t="shared" si="22"/>
        <v>1239</v>
      </c>
      <c r="M189" s="87">
        <v>600</v>
      </c>
      <c r="N189" s="77">
        <f>75</f>
        <v>75</v>
      </c>
      <c r="O189" s="80">
        <v>240</v>
      </c>
      <c r="P189" s="80">
        <v>160</v>
      </c>
      <c r="Q189" s="80">
        <f t="shared" si="23"/>
        <v>195</v>
      </c>
      <c r="R189" s="80">
        <f t="shared" si="24"/>
        <v>100</v>
      </c>
      <c r="S189" s="77">
        <f t="shared" si="25"/>
        <v>695</v>
      </c>
      <c r="T189" s="77">
        <f>0</f>
        <v>0</v>
      </c>
      <c r="U189" s="78"/>
      <c r="V189" s="78"/>
      <c r="W189" s="78"/>
      <c r="X189" s="78"/>
      <c r="Y189" s="78"/>
      <c r="Z189" s="78"/>
      <c r="AA189" s="78"/>
      <c r="AB189" s="78"/>
      <c r="AC189" s="78"/>
      <c r="AD189" s="78"/>
    </row>
    <row r="190" spans="1:30" ht="15.75" x14ac:dyDescent="0.25">
      <c r="A190" s="16">
        <v>47058</v>
      </c>
      <c r="B190" s="90">
        <v>30</v>
      </c>
      <c r="C190" s="77">
        <f>122.58</f>
        <v>122.58</v>
      </c>
      <c r="D190" s="77">
        <f>297.941</f>
        <v>297.94099999999997</v>
      </c>
      <c r="E190" s="85">
        <f>89.177</f>
        <v>89.177000000000007</v>
      </c>
      <c r="F190" s="77">
        <f>240.302-40-60-100</f>
        <v>40.301999999999992</v>
      </c>
      <c r="G190" s="80">
        <v>40</v>
      </c>
      <c r="H190" s="77">
        <f>60+100</f>
        <v>160</v>
      </c>
      <c r="I190" s="77">
        <f t="shared" si="28"/>
        <v>0</v>
      </c>
      <c r="J190" s="80">
        <v>100</v>
      </c>
      <c r="K190" s="80">
        <v>300</v>
      </c>
      <c r="L190" s="77">
        <f t="shared" si="22"/>
        <v>1150</v>
      </c>
      <c r="M190" s="87">
        <v>600</v>
      </c>
      <c r="N190" s="77">
        <f>100</f>
        <v>100</v>
      </c>
      <c r="O190" s="80">
        <v>240</v>
      </c>
      <c r="P190" s="80">
        <v>40</v>
      </c>
      <c r="Q190" s="80">
        <f t="shared" si="23"/>
        <v>315</v>
      </c>
      <c r="R190" s="80">
        <f t="shared" si="24"/>
        <v>100</v>
      </c>
      <c r="S190" s="77">
        <f t="shared" si="25"/>
        <v>695</v>
      </c>
      <c r="T190" s="77">
        <f>50</f>
        <v>50</v>
      </c>
      <c r="U190" s="78"/>
      <c r="V190" s="78"/>
      <c r="W190" s="78"/>
      <c r="X190" s="78"/>
      <c r="Y190" s="78"/>
      <c r="Z190" s="78"/>
      <c r="AA190" s="78"/>
      <c r="AB190" s="78"/>
      <c r="AC190" s="78"/>
      <c r="AD190" s="78"/>
    </row>
    <row r="191" spans="1:30" ht="15.75" x14ac:dyDescent="0.25">
      <c r="A191" s="16">
        <v>47088</v>
      </c>
      <c r="B191" s="90">
        <v>31</v>
      </c>
      <c r="C191" s="77">
        <f>122.58</f>
        <v>122.58</v>
      </c>
      <c r="D191" s="77">
        <f>297.941</f>
        <v>297.94099999999997</v>
      </c>
      <c r="E191" s="85">
        <f>89.177</f>
        <v>89.177000000000007</v>
      </c>
      <c r="F191" s="77">
        <f>240.302-40-60-100</f>
        <v>40.301999999999992</v>
      </c>
      <c r="G191" s="80">
        <v>40</v>
      </c>
      <c r="H191" s="77">
        <f>60+100</f>
        <v>160</v>
      </c>
      <c r="I191" s="77">
        <f t="shared" si="28"/>
        <v>0</v>
      </c>
      <c r="J191" s="80">
        <v>100</v>
      </c>
      <c r="K191" s="80">
        <v>300</v>
      </c>
      <c r="L191" s="77">
        <f t="shared" si="22"/>
        <v>1150</v>
      </c>
      <c r="M191" s="87">
        <v>600</v>
      </c>
      <c r="N191" s="77">
        <f>100</f>
        <v>100</v>
      </c>
      <c r="O191" s="80">
        <v>240</v>
      </c>
      <c r="P191" s="80">
        <v>40</v>
      </c>
      <c r="Q191" s="80">
        <f t="shared" si="23"/>
        <v>315</v>
      </c>
      <c r="R191" s="80">
        <f t="shared" si="24"/>
        <v>100</v>
      </c>
      <c r="S191" s="77">
        <f t="shared" si="25"/>
        <v>695</v>
      </c>
      <c r="T191" s="77">
        <f>50</f>
        <v>50</v>
      </c>
      <c r="U191" s="78"/>
      <c r="V191" s="78"/>
      <c r="W191" s="78"/>
      <c r="X191" s="78"/>
      <c r="Y191" s="78"/>
      <c r="Z191" s="78"/>
      <c r="AA191" s="78"/>
      <c r="AB191" s="78"/>
      <c r="AC191" s="78"/>
      <c r="AD191" s="78"/>
    </row>
    <row r="192" spans="1:30" ht="15.75" x14ac:dyDescent="0.25">
      <c r="A192" s="16">
        <v>47119</v>
      </c>
      <c r="B192" s="90">
        <v>31</v>
      </c>
      <c r="C192" s="77">
        <f>122.58</f>
        <v>122.58</v>
      </c>
      <c r="D192" s="77">
        <f>297.941</f>
        <v>297.94099999999997</v>
      </c>
      <c r="E192" s="85">
        <f>89.177</f>
        <v>89.177000000000007</v>
      </c>
      <c r="F192" s="77">
        <f>240.302-40-60-100</f>
        <v>40.301999999999992</v>
      </c>
      <c r="G192" s="80">
        <v>40</v>
      </c>
      <c r="H192" s="77">
        <f>60+100</f>
        <v>160</v>
      </c>
      <c r="I192" s="77">
        <f t="shared" si="28"/>
        <v>0</v>
      </c>
      <c r="J192" s="80">
        <v>100</v>
      </c>
      <c r="K192" s="80">
        <v>300</v>
      </c>
      <c r="L192" s="77">
        <f t="shared" si="22"/>
        <v>1150</v>
      </c>
      <c r="M192" s="87">
        <v>600</v>
      </c>
      <c r="N192" s="77">
        <f>100</f>
        <v>100</v>
      </c>
      <c r="O192" s="80">
        <v>240</v>
      </c>
      <c r="P192" s="80">
        <v>40</v>
      </c>
      <c r="Q192" s="80">
        <f t="shared" si="23"/>
        <v>315</v>
      </c>
      <c r="R192" s="80">
        <f t="shared" si="24"/>
        <v>100</v>
      </c>
      <c r="S192" s="77">
        <f t="shared" si="25"/>
        <v>695</v>
      </c>
      <c r="T192" s="77">
        <f>50</f>
        <v>50</v>
      </c>
      <c r="U192" s="78"/>
      <c r="V192" s="78"/>
      <c r="W192" s="78"/>
      <c r="X192" s="78"/>
      <c r="Y192" s="78"/>
      <c r="Z192" s="78"/>
      <c r="AA192" s="78"/>
      <c r="AB192" s="78"/>
      <c r="AC192" s="78"/>
      <c r="AD192" s="78"/>
    </row>
    <row r="193" spans="1:30" ht="15.75" x14ac:dyDescent="0.25">
      <c r="A193" s="16">
        <v>47150</v>
      </c>
      <c r="B193" s="90">
        <v>28</v>
      </c>
      <c r="C193" s="77">
        <f>122.58</f>
        <v>122.58</v>
      </c>
      <c r="D193" s="77">
        <f>297.941</f>
        <v>297.94099999999997</v>
      </c>
      <c r="E193" s="85">
        <f>89.177</f>
        <v>89.177000000000007</v>
      </c>
      <c r="F193" s="77">
        <f>240.302-40-60-100</f>
        <v>40.301999999999992</v>
      </c>
      <c r="G193" s="80">
        <v>40</v>
      </c>
      <c r="H193" s="77">
        <f>60+100</f>
        <v>160</v>
      </c>
      <c r="I193" s="77">
        <f t="shared" si="28"/>
        <v>0</v>
      </c>
      <c r="J193" s="80">
        <v>100</v>
      </c>
      <c r="K193" s="80">
        <v>300</v>
      </c>
      <c r="L193" s="77">
        <f t="shared" si="22"/>
        <v>1150</v>
      </c>
      <c r="M193" s="87">
        <v>600</v>
      </c>
      <c r="N193" s="77">
        <f>100</f>
        <v>100</v>
      </c>
      <c r="O193" s="80">
        <v>240</v>
      </c>
      <c r="P193" s="80">
        <v>40</v>
      </c>
      <c r="Q193" s="80">
        <f t="shared" si="23"/>
        <v>315</v>
      </c>
      <c r="R193" s="80">
        <f t="shared" si="24"/>
        <v>100</v>
      </c>
      <c r="S193" s="77">
        <f t="shared" si="25"/>
        <v>695</v>
      </c>
      <c r="T193" s="77">
        <f>50</f>
        <v>50</v>
      </c>
      <c r="U193" s="78"/>
      <c r="V193" s="78"/>
      <c r="W193" s="78"/>
      <c r="X193" s="78"/>
      <c r="Y193" s="78"/>
      <c r="Z193" s="78"/>
      <c r="AA193" s="78"/>
      <c r="AB193" s="78"/>
      <c r="AC193" s="78"/>
      <c r="AD193" s="78"/>
    </row>
    <row r="194" spans="1:30" ht="15.75" x14ac:dyDescent="0.25">
      <c r="A194" s="16">
        <v>47178</v>
      </c>
      <c r="B194" s="90">
        <v>31</v>
      </c>
      <c r="C194" s="77">
        <f>122.58</f>
        <v>122.58</v>
      </c>
      <c r="D194" s="77">
        <f>297.941</f>
        <v>297.94099999999997</v>
      </c>
      <c r="E194" s="85">
        <f>89.177</f>
        <v>89.177000000000007</v>
      </c>
      <c r="F194" s="77">
        <f>240.302-40-60-100</f>
        <v>40.301999999999992</v>
      </c>
      <c r="G194" s="80">
        <v>40</v>
      </c>
      <c r="H194" s="77">
        <f>60+100</f>
        <v>160</v>
      </c>
      <c r="I194" s="77">
        <f t="shared" si="28"/>
        <v>0</v>
      </c>
      <c r="J194" s="80">
        <v>100</v>
      </c>
      <c r="K194" s="80">
        <v>300</v>
      </c>
      <c r="L194" s="77">
        <f t="shared" si="22"/>
        <v>1150</v>
      </c>
      <c r="M194" s="87">
        <v>600</v>
      </c>
      <c r="N194" s="77">
        <f>100</f>
        <v>100</v>
      </c>
      <c r="O194" s="80">
        <v>240</v>
      </c>
      <c r="P194" s="80">
        <v>40</v>
      </c>
      <c r="Q194" s="80">
        <f t="shared" si="23"/>
        <v>315</v>
      </c>
      <c r="R194" s="80">
        <f t="shared" si="24"/>
        <v>100</v>
      </c>
      <c r="S194" s="77">
        <f t="shared" si="25"/>
        <v>695</v>
      </c>
      <c r="T194" s="77">
        <f>50</f>
        <v>50</v>
      </c>
      <c r="U194" s="78"/>
      <c r="V194" s="78"/>
      <c r="W194" s="78"/>
      <c r="X194" s="78"/>
      <c r="Y194" s="78"/>
      <c r="Z194" s="78"/>
      <c r="AA194" s="78"/>
      <c r="AB194" s="78"/>
      <c r="AC194" s="78"/>
      <c r="AD194" s="78"/>
    </row>
    <row r="195" spans="1:30" ht="15.75" x14ac:dyDescent="0.25">
      <c r="A195" s="16">
        <v>47209</v>
      </c>
      <c r="B195" s="90">
        <v>30</v>
      </c>
      <c r="C195" s="77">
        <f>141.293</f>
        <v>141.29300000000001</v>
      </c>
      <c r="D195" s="77">
        <f>267.993</f>
        <v>267.99299999999999</v>
      </c>
      <c r="E195" s="85">
        <f>115.016</f>
        <v>115.01600000000001</v>
      </c>
      <c r="F195" s="77">
        <f>314.698-40-25-60-100</f>
        <v>89.697999999999979</v>
      </c>
      <c r="G195" s="80">
        <v>40</v>
      </c>
      <c r="H195" s="77">
        <f t="shared" ref="H195:H201" si="31">25+60+100</f>
        <v>185</v>
      </c>
      <c r="I195" s="77">
        <f t="shared" si="28"/>
        <v>0</v>
      </c>
      <c r="J195" s="80">
        <v>100</v>
      </c>
      <c r="K195" s="80">
        <v>300</v>
      </c>
      <c r="L195" s="77">
        <f t="shared" si="22"/>
        <v>1239</v>
      </c>
      <c r="M195" s="87">
        <v>600</v>
      </c>
      <c r="N195" s="77">
        <f>100</f>
        <v>100</v>
      </c>
      <c r="O195" s="80">
        <v>240</v>
      </c>
      <c r="P195" s="80">
        <v>160</v>
      </c>
      <c r="Q195" s="80">
        <f t="shared" si="23"/>
        <v>195</v>
      </c>
      <c r="R195" s="80">
        <f t="shared" si="24"/>
        <v>100</v>
      </c>
      <c r="S195" s="77">
        <f t="shared" si="25"/>
        <v>695</v>
      </c>
      <c r="T195" s="77">
        <f>50</f>
        <v>50</v>
      </c>
      <c r="U195" s="78"/>
      <c r="V195" s="78"/>
      <c r="W195" s="78"/>
      <c r="X195" s="78"/>
      <c r="Y195" s="78"/>
      <c r="Z195" s="78"/>
      <c r="AA195" s="78"/>
      <c r="AB195" s="78"/>
      <c r="AC195" s="78"/>
      <c r="AD195" s="78"/>
    </row>
    <row r="196" spans="1:30" ht="15.75" x14ac:dyDescent="0.25">
      <c r="A196" s="16">
        <v>47239</v>
      </c>
      <c r="B196" s="90">
        <v>31</v>
      </c>
      <c r="C196" s="77">
        <f>194.205</f>
        <v>194.20500000000001</v>
      </c>
      <c r="D196" s="77">
        <f>267.466</f>
        <v>267.46600000000001</v>
      </c>
      <c r="E196" s="85">
        <f>133.845</f>
        <v>133.845</v>
      </c>
      <c r="F196" s="77">
        <f>278.484-40-25-60-100</f>
        <v>53.48399999999998</v>
      </c>
      <c r="G196" s="80">
        <v>40</v>
      </c>
      <c r="H196" s="77">
        <f t="shared" si="31"/>
        <v>185</v>
      </c>
      <c r="I196" s="77">
        <f t="shared" si="28"/>
        <v>0</v>
      </c>
      <c r="J196" s="80">
        <v>100</v>
      </c>
      <c r="K196" s="80">
        <v>300</v>
      </c>
      <c r="L196" s="77">
        <f t="shared" si="22"/>
        <v>1274</v>
      </c>
      <c r="M196" s="87">
        <v>600</v>
      </c>
      <c r="N196" s="77">
        <f>75</f>
        <v>75</v>
      </c>
      <c r="O196" s="80">
        <v>240</v>
      </c>
      <c r="P196" s="80">
        <v>160</v>
      </c>
      <c r="Q196" s="80">
        <f t="shared" si="23"/>
        <v>195</v>
      </c>
      <c r="R196" s="80">
        <f t="shared" si="24"/>
        <v>100</v>
      </c>
      <c r="S196" s="77">
        <f t="shared" si="25"/>
        <v>695</v>
      </c>
      <c r="T196" s="77">
        <f>50</f>
        <v>50</v>
      </c>
      <c r="U196" s="78"/>
      <c r="V196" s="78"/>
      <c r="W196" s="78"/>
      <c r="X196" s="78"/>
      <c r="Y196" s="78"/>
      <c r="Z196" s="78"/>
      <c r="AA196" s="78"/>
      <c r="AB196" s="78"/>
      <c r="AC196" s="78"/>
      <c r="AD196" s="78"/>
    </row>
    <row r="197" spans="1:30" ht="15.75" x14ac:dyDescent="0.25">
      <c r="A197" s="16">
        <v>47270</v>
      </c>
      <c r="B197" s="90">
        <v>30</v>
      </c>
      <c r="C197" s="77">
        <f>194.205</f>
        <v>194.20500000000001</v>
      </c>
      <c r="D197" s="77">
        <f>267.466</f>
        <v>267.46600000000001</v>
      </c>
      <c r="E197" s="85">
        <f>133.845</f>
        <v>133.845</v>
      </c>
      <c r="F197" s="77">
        <f>278.484-40-25-60-100</f>
        <v>53.48399999999998</v>
      </c>
      <c r="G197" s="80">
        <v>40</v>
      </c>
      <c r="H197" s="77">
        <f t="shared" si="31"/>
        <v>185</v>
      </c>
      <c r="I197" s="77">
        <f t="shared" si="28"/>
        <v>0</v>
      </c>
      <c r="J197" s="80">
        <v>100</v>
      </c>
      <c r="K197" s="80">
        <v>300</v>
      </c>
      <c r="L197" s="77">
        <f t="shared" si="22"/>
        <v>1274</v>
      </c>
      <c r="M197" s="87">
        <v>600</v>
      </c>
      <c r="N197" s="77">
        <f>30</f>
        <v>30</v>
      </c>
      <c r="O197" s="80">
        <v>240</v>
      </c>
      <c r="P197" s="80">
        <v>160</v>
      </c>
      <c r="Q197" s="80">
        <f t="shared" si="23"/>
        <v>195</v>
      </c>
      <c r="R197" s="80">
        <f t="shared" si="24"/>
        <v>100</v>
      </c>
      <c r="S197" s="77">
        <f t="shared" si="25"/>
        <v>695</v>
      </c>
      <c r="T197" s="77">
        <f>50</f>
        <v>50</v>
      </c>
      <c r="U197" s="78"/>
      <c r="V197" s="78"/>
      <c r="W197" s="78"/>
      <c r="X197" s="78"/>
      <c r="Y197" s="78"/>
      <c r="Z197" s="78"/>
      <c r="AA197" s="78"/>
      <c r="AB197" s="78"/>
      <c r="AC197" s="78"/>
      <c r="AD197" s="78"/>
    </row>
    <row r="198" spans="1:30" ht="15.75" x14ac:dyDescent="0.25">
      <c r="A198" s="16">
        <v>47300</v>
      </c>
      <c r="B198" s="90">
        <v>31</v>
      </c>
      <c r="C198" s="77">
        <f>194.205</f>
        <v>194.20500000000001</v>
      </c>
      <c r="D198" s="77">
        <f>267.466</f>
        <v>267.46600000000001</v>
      </c>
      <c r="E198" s="85">
        <f>133.845</f>
        <v>133.845</v>
      </c>
      <c r="F198" s="77">
        <f>278.484-40-25-60-100</f>
        <v>53.48399999999998</v>
      </c>
      <c r="G198" s="80">
        <v>40</v>
      </c>
      <c r="H198" s="77">
        <f t="shared" si="31"/>
        <v>185</v>
      </c>
      <c r="I198" s="77">
        <f t="shared" si="28"/>
        <v>0</v>
      </c>
      <c r="J198" s="80">
        <v>100</v>
      </c>
      <c r="K198" s="80">
        <v>300</v>
      </c>
      <c r="L198" s="77">
        <f t="shared" si="22"/>
        <v>1274</v>
      </c>
      <c r="M198" s="87">
        <v>600</v>
      </c>
      <c r="N198" s="77">
        <f>30</f>
        <v>30</v>
      </c>
      <c r="O198" s="80">
        <v>240</v>
      </c>
      <c r="P198" s="80">
        <v>160</v>
      </c>
      <c r="Q198" s="80">
        <f t="shared" si="23"/>
        <v>195</v>
      </c>
      <c r="R198" s="80">
        <f t="shared" si="24"/>
        <v>100</v>
      </c>
      <c r="S198" s="77">
        <f t="shared" si="25"/>
        <v>695</v>
      </c>
      <c r="T198" s="77">
        <f>0</f>
        <v>0</v>
      </c>
      <c r="U198" s="78"/>
      <c r="V198" s="78"/>
      <c r="W198" s="78"/>
      <c r="X198" s="78"/>
      <c r="Y198" s="78"/>
      <c r="Z198" s="78"/>
      <c r="AA198" s="78"/>
      <c r="AB198" s="78"/>
      <c r="AC198" s="78"/>
      <c r="AD198" s="78"/>
    </row>
    <row r="199" spans="1:30" ht="15.75" x14ac:dyDescent="0.25">
      <c r="A199" s="16">
        <v>47331</v>
      </c>
      <c r="B199" s="90">
        <v>31</v>
      </c>
      <c r="C199" s="77">
        <f>194.205</f>
        <v>194.20500000000001</v>
      </c>
      <c r="D199" s="77">
        <f>267.466</f>
        <v>267.46600000000001</v>
      </c>
      <c r="E199" s="85">
        <f>133.845</f>
        <v>133.845</v>
      </c>
      <c r="F199" s="77">
        <f>278.484-40-25-60-100</f>
        <v>53.48399999999998</v>
      </c>
      <c r="G199" s="80">
        <v>40</v>
      </c>
      <c r="H199" s="77">
        <f t="shared" si="31"/>
        <v>185</v>
      </c>
      <c r="I199" s="77">
        <f t="shared" si="28"/>
        <v>0</v>
      </c>
      <c r="J199" s="80">
        <v>100</v>
      </c>
      <c r="K199" s="80">
        <v>300</v>
      </c>
      <c r="L199" s="77">
        <f t="shared" si="22"/>
        <v>1274</v>
      </c>
      <c r="M199" s="87">
        <v>600</v>
      </c>
      <c r="N199" s="77">
        <f>30</f>
        <v>30</v>
      </c>
      <c r="O199" s="80">
        <v>240</v>
      </c>
      <c r="P199" s="80">
        <v>160</v>
      </c>
      <c r="Q199" s="80">
        <f t="shared" si="23"/>
        <v>195</v>
      </c>
      <c r="R199" s="80">
        <f t="shared" si="24"/>
        <v>100</v>
      </c>
      <c r="S199" s="77">
        <f t="shared" si="25"/>
        <v>695</v>
      </c>
      <c r="T199" s="77">
        <f>0</f>
        <v>0</v>
      </c>
      <c r="U199" s="78"/>
      <c r="V199" s="78"/>
      <c r="W199" s="78"/>
      <c r="X199" s="78"/>
      <c r="Y199" s="78"/>
      <c r="Z199" s="78"/>
      <c r="AA199" s="78"/>
      <c r="AB199" s="78"/>
      <c r="AC199" s="78"/>
      <c r="AD199" s="78"/>
    </row>
    <row r="200" spans="1:30" ht="15.75" x14ac:dyDescent="0.25">
      <c r="A200" s="16">
        <v>47362</v>
      </c>
      <c r="B200" s="90">
        <v>30</v>
      </c>
      <c r="C200" s="77">
        <f>194.205</f>
        <v>194.20500000000001</v>
      </c>
      <c r="D200" s="77">
        <f>267.466</f>
        <v>267.46600000000001</v>
      </c>
      <c r="E200" s="85">
        <f>133.845</f>
        <v>133.845</v>
      </c>
      <c r="F200" s="77">
        <f>278.484-40-25-60-100</f>
        <v>53.48399999999998</v>
      </c>
      <c r="G200" s="80">
        <v>40</v>
      </c>
      <c r="H200" s="77">
        <f t="shared" si="31"/>
        <v>185</v>
      </c>
      <c r="I200" s="77">
        <f t="shared" si="28"/>
        <v>0</v>
      </c>
      <c r="J200" s="80">
        <v>100</v>
      </c>
      <c r="K200" s="80">
        <v>300</v>
      </c>
      <c r="L200" s="77">
        <f t="shared" si="22"/>
        <v>1274</v>
      </c>
      <c r="M200" s="87">
        <v>600</v>
      </c>
      <c r="N200" s="77">
        <f>30</f>
        <v>30</v>
      </c>
      <c r="O200" s="80">
        <v>240</v>
      </c>
      <c r="P200" s="80">
        <v>160</v>
      </c>
      <c r="Q200" s="80">
        <f t="shared" si="23"/>
        <v>195</v>
      </c>
      <c r="R200" s="80">
        <f t="shared" si="24"/>
        <v>100</v>
      </c>
      <c r="S200" s="77">
        <f t="shared" si="25"/>
        <v>695</v>
      </c>
      <c r="T200" s="77">
        <f>0</f>
        <v>0</v>
      </c>
      <c r="U200" s="78"/>
      <c r="V200" s="78"/>
      <c r="W200" s="78"/>
      <c r="X200" s="78"/>
      <c r="Y200" s="78"/>
      <c r="Z200" s="78"/>
      <c r="AA200" s="78"/>
      <c r="AB200" s="78"/>
      <c r="AC200" s="78"/>
      <c r="AD200" s="78"/>
    </row>
    <row r="201" spans="1:30" ht="15.75" x14ac:dyDescent="0.25">
      <c r="A201" s="16">
        <v>47392</v>
      </c>
      <c r="B201" s="90">
        <v>31</v>
      </c>
      <c r="C201" s="77">
        <f>131.881</f>
        <v>131.881</v>
      </c>
      <c r="D201" s="77">
        <f>277.167</f>
        <v>277.16699999999997</v>
      </c>
      <c r="E201" s="85">
        <f>79.08</f>
        <v>79.08</v>
      </c>
      <c r="F201" s="77">
        <f>350.872-40-25-60-100</f>
        <v>125.87200000000001</v>
      </c>
      <c r="G201" s="80">
        <v>40</v>
      </c>
      <c r="H201" s="77">
        <f t="shared" si="31"/>
        <v>185</v>
      </c>
      <c r="I201" s="77">
        <f t="shared" si="28"/>
        <v>0</v>
      </c>
      <c r="J201" s="80">
        <v>100</v>
      </c>
      <c r="K201" s="80">
        <v>300</v>
      </c>
      <c r="L201" s="77">
        <f t="shared" si="22"/>
        <v>1239</v>
      </c>
      <c r="M201" s="87">
        <v>600</v>
      </c>
      <c r="N201" s="77">
        <f>75</f>
        <v>75</v>
      </c>
      <c r="O201" s="80">
        <v>240</v>
      </c>
      <c r="P201" s="80">
        <v>160</v>
      </c>
      <c r="Q201" s="80">
        <f t="shared" si="23"/>
        <v>195</v>
      </c>
      <c r="R201" s="80">
        <f t="shared" si="24"/>
        <v>100</v>
      </c>
      <c r="S201" s="77">
        <f t="shared" si="25"/>
        <v>695</v>
      </c>
      <c r="T201" s="77">
        <f>0</f>
        <v>0</v>
      </c>
      <c r="U201" s="78"/>
      <c r="V201" s="78"/>
      <c r="W201" s="78"/>
      <c r="X201" s="78"/>
      <c r="Y201" s="78"/>
      <c r="Z201" s="78"/>
      <c r="AA201" s="78"/>
      <c r="AB201" s="78"/>
      <c r="AC201" s="78"/>
      <c r="AD201" s="78"/>
    </row>
    <row r="202" spans="1:30" ht="15.75" x14ac:dyDescent="0.25">
      <c r="A202" s="16">
        <v>47423</v>
      </c>
      <c r="B202" s="90">
        <v>30</v>
      </c>
      <c r="C202" s="77">
        <f>122.58</f>
        <v>122.58</v>
      </c>
      <c r="D202" s="77">
        <f>297.941</f>
        <v>297.94099999999997</v>
      </c>
      <c r="E202" s="85">
        <f>89.177</f>
        <v>89.177000000000007</v>
      </c>
      <c r="F202" s="77">
        <f>240.302-40-60-100</f>
        <v>40.301999999999992</v>
      </c>
      <c r="G202" s="80">
        <v>40</v>
      </c>
      <c r="H202" s="77">
        <f>60+100</f>
        <v>160</v>
      </c>
      <c r="I202" s="77">
        <f t="shared" si="28"/>
        <v>0</v>
      </c>
      <c r="J202" s="80">
        <v>100</v>
      </c>
      <c r="K202" s="80">
        <v>300</v>
      </c>
      <c r="L202" s="77">
        <f t="shared" si="22"/>
        <v>1150</v>
      </c>
      <c r="M202" s="87">
        <v>600</v>
      </c>
      <c r="N202" s="77">
        <f>100</f>
        <v>100</v>
      </c>
      <c r="O202" s="80">
        <v>240</v>
      </c>
      <c r="P202" s="80">
        <v>40</v>
      </c>
      <c r="Q202" s="80">
        <f t="shared" si="23"/>
        <v>315</v>
      </c>
      <c r="R202" s="80">
        <f t="shared" si="24"/>
        <v>100</v>
      </c>
      <c r="S202" s="77">
        <f t="shared" si="25"/>
        <v>695</v>
      </c>
      <c r="T202" s="77">
        <f>50</f>
        <v>50</v>
      </c>
      <c r="U202" s="78"/>
      <c r="V202" s="78"/>
      <c r="W202" s="78"/>
      <c r="X202" s="78"/>
      <c r="Y202" s="78"/>
      <c r="Z202" s="78"/>
      <c r="AA202" s="78"/>
      <c r="AB202" s="78"/>
      <c r="AC202" s="78"/>
      <c r="AD202" s="78"/>
    </row>
    <row r="203" spans="1:30" ht="15.75" x14ac:dyDescent="0.25">
      <c r="A203" s="16">
        <v>47453</v>
      </c>
      <c r="B203" s="90">
        <v>31</v>
      </c>
      <c r="C203" s="77">
        <f>122.58</f>
        <v>122.58</v>
      </c>
      <c r="D203" s="77">
        <f>297.941</f>
        <v>297.94099999999997</v>
      </c>
      <c r="E203" s="85">
        <f>89.177</f>
        <v>89.177000000000007</v>
      </c>
      <c r="F203" s="77">
        <f>240.302-40-60-100</f>
        <v>40.301999999999992</v>
      </c>
      <c r="G203" s="80">
        <v>40</v>
      </c>
      <c r="H203" s="77">
        <f>60+100</f>
        <v>160</v>
      </c>
      <c r="I203" s="77">
        <f t="shared" si="28"/>
        <v>0</v>
      </c>
      <c r="J203" s="80">
        <v>100</v>
      </c>
      <c r="K203" s="80">
        <v>300</v>
      </c>
      <c r="L203" s="77">
        <f t="shared" si="22"/>
        <v>1150</v>
      </c>
      <c r="M203" s="87">
        <v>600</v>
      </c>
      <c r="N203" s="77">
        <f>100</f>
        <v>100</v>
      </c>
      <c r="O203" s="80">
        <v>240</v>
      </c>
      <c r="P203" s="80">
        <v>40</v>
      </c>
      <c r="Q203" s="80">
        <f t="shared" si="23"/>
        <v>315</v>
      </c>
      <c r="R203" s="80">
        <f t="shared" si="24"/>
        <v>100</v>
      </c>
      <c r="S203" s="77">
        <f t="shared" si="25"/>
        <v>695</v>
      </c>
      <c r="T203" s="77">
        <f>50</f>
        <v>50</v>
      </c>
      <c r="U203" s="78"/>
      <c r="V203" s="78"/>
      <c r="W203" s="78"/>
      <c r="X203" s="78"/>
      <c r="Y203" s="78"/>
      <c r="Z203" s="78"/>
      <c r="AA203" s="78"/>
      <c r="AB203" s="78"/>
      <c r="AC203" s="78"/>
      <c r="AD203" s="78"/>
    </row>
    <row r="204" spans="1:30" ht="15.75" x14ac:dyDescent="0.25">
      <c r="A204" s="16">
        <v>47484</v>
      </c>
      <c r="B204" s="90">
        <v>31</v>
      </c>
      <c r="C204" s="77">
        <f>122.58</f>
        <v>122.58</v>
      </c>
      <c r="D204" s="77">
        <f>297.941</f>
        <v>297.94099999999997</v>
      </c>
      <c r="E204" s="85">
        <f>89.177</f>
        <v>89.177000000000007</v>
      </c>
      <c r="F204" s="77">
        <f>240.302-40-60-100</f>
        <v>40.301999999999992</v>
      </c>
      <c r="G204" s="80">
        <v>40</v>
      </c>
      <c r="H204" s="77">
        <f>60+100</f>
        <v>160</v>
      </c>
      <c r="I204" s="77">
        <f t="shared" si="28"/>
        <v>0</v>
      </c>
      <c r="J204" s="80">
        <v>100</v>
      </c>
      <c r="K204" s="80">
        <v>300</v>
      </c>
      <c r="L204" s="77">
        <f t="shared" si="22"/>
        <v>1150</v>
      </c>
      <c r="M204" s="87">
        <v>600</v>
      </c>
      <c r="N204" s="77">
        <f>100</f>
        <v>100</v>
      </c>
      <c r="O204" s="80">
        <v>240</v>
      </c>
      <c r="P204" s="80">
        <v>40</v>
      </c>
      <c r="Q204" s="80">
        <f t="shared" si="23"/>
        <v>315</v>
      </c>
      <c r="R204" s="80">
        <f t="shared" si="24"/>
        <v>100</v>
      </c>
      <c r="S204" s="77">
        <f t="shared" si="25"/>
        <v>695</v>
      </c>
      <c r="T204" s="77">
        <f>50</f>
        <v>50</v>
      </c>
      <c r="U204" s="78"/>
      <c r="V204" s="78"/>
      <c r="W204" s="78"/>
      <c r="X204" s="78"/>
      <c r="Y204" s="78"/>
      <c r="Z204" s="78"/>
      <c r="AA204" s="78"/>
      <c r="AB204" s="78"/>
      <c r="AC204" s="78"/>
      <c r="AD204" s="78"/>
    </row>
    <row r="205" spans="1:30" ht="15.75" x14ac:dyDescent="0.25">
      <c r="A205" s="16">
        <v>47515</v>
      </c>
      <c r="B205" s="90">
        <v>28</v>
      </c>
      <c r="C205" s="77">
        <f>122.58</f>
        <v>122.58</v>
      </c>
      <c r="D205" s="77">
        <f>297.941</f>
        <v>297.94099999999997</v>
      </c>
      <c r="E205" s="85">
        <f>89.177</f>
        <v>89.177000000000007</v>
      </c>
      <c r="F205" s="77">
        <f>240.302-40-60-100</f>
        <v>40.301999999999992</v>
      </c>
      <c r="G205" s="80">
        <v>40</v>
      </c>
      <c r="H205" s="77">
        <f>60+100</f>
        <v>160</v>
      </c>
      <c r="I205" s="77">
        <f t="shared" si="28"/>
        <v>0</v>
      </c>
      <c r="J205" s="80">
        <v>100</v>
      </c>
      <c r="K205" s="80">
        <v>300</v>
      </c>
      <c r="L205" s="77">
        <f t="shared" si="22"/>
        <v>1150</v>
      </c>
      <c r="M205" s="87">
        <v>600</v>
      </c>
      <c r="N205" s="77">
        <f>100</f>
        <v>100</v>
      </c>
      <c r="O205" s="80">
        <v>240</v>
      </c>
      <c r="P205" s="80">
        <v>40</v>
      </c>
      <c r="Q205" s="80">
        <f t="shared" si="23"/>
        <v>315</v>
      </c>
      <c r="R205" s="80">
        <f t="shared" si="24"/>
        <v>100</v>
      </c>
      <c r="S205" s="77">
        <f t="shared" si="25"/>
        <v>695</v>
      </c>
      <c r="T205" s="77">
        <f>50</f>
        <v>50</v>
      </c>
      <c r="U205" s="78"/>
      <c r="V205" s="78"/>
      <c r="W205" s="78"/>
      <c r="X205" s="78"/>
      <c r="Y205" s="78"/>
      <c r="Z205" s="78"/>
      <c r="AA205" s="78"/>
      <c r="AB205" s="78"/>
      <c r="AC205" s="78"/>
      <c r="AD205" s="78"/>
    </row>
    <row r="206" spans="1:30" ht="15.75" x14ac:dyDescent="0.25">
      <c r="A206" s="16">
        <v>47543</v>
      </c>
      <c r="B206" s="90">
        <v>31</v>
      </c>
      <c r="C206" s="77">
        <f>122.58</f>
        <v>122.58</v>
      </c>
      <c r="D206" s="77">
        <f>297.941</f>
        <v>297.94099999999997</v>
      </c>
      <c r="E206" s="85">
        <f>89.177</f>
        <v>89.177000000000007</v>
      </c>
      <c r="F206" s="77">
        <f>240.302-40-60-100</f>
        <v>40.301999999999992</v>
      </c>
      <c r="G206" s="80">
        <v>40</v>
      </c>
      <c r="H206" s="77">
        <f>60+100</f>
        <v>160</v>
      </c>
      <c r="I206" s="77">
        <f t="shared" si="28"/>
        <v>0</v>
      </c>
      <c r="J206" s="80">
        <v>100</v>
      </c>
      <c r="K206" s="80">
        <v>300</v>
      </c>
      <c r="L206" s="77">
        <f t="shared" ref="L206:L269" si="32">SUM(C206:K206)</f>
        <v>1150</v>
      </c>
      <c r="M206" s="87">
        <v>600</v>
      </c>
      <c r="N206" s="77">
        <f>100</f>
        <v>100</v>
      </c>
      <c r="O206" s="80">
        <v>240</v>
      </c>
      <c r="P206" s="80">
        <v>40</v>
      </c>
      <c r="Q206" s="80">
        <f t="shared" ref="Q206:Q269" si="33">695-R206-O206-P206</f>
        <v>315</v>
      </c>
      <c r="R206" s="80">
        <f t="shared" ref="R206:R269" si="34">200-J206</f>
        <v>100</v>
      </c>
      <c r="S206" s="77">
        <f t="shared" ref="S206:S269" si="35">SUM(O206:R206)</f>
        <v>695</v>
      </c>
      <c r="T206" s="77">
        <f>50</f>
        <v>50</v>
      </c>
      <c r="U206" s="78"/>
      <c r="V206" s="78"/>
      <c r="W206" s="78"/>
      <c r="X206" s="78"/>
      <c r="Y206" s="78"/>
      <c r="Z206" s="78"/>
      <c r="AA206" s="78"/>
      <c r="AB206" s="78"/>
      <c r="AC206" s="78"/>
      <c r="AD206" s="78"/>
    </row>
    <row r="207" spans="1:30" ht="15.75" x14ac:dyDescent="0.25">
      <c r="A207" s="16">
        <v>47574</v>
      </c>
      <c r="B207" s="90">
        <v>30</v>
      </c>
      <c r="C207" s="77">
        <f>141.293</f>
        <v>141.29300000000001</v>
      </c>
      <c r="D207" s="77">
        <f>267.993</f>
        <v>267.99299999999999</v>
      </c>
      <c r="E207" s="85">
        <f>115.016</f>
        <v>115.01600000000001</v>
      </c>
      <c r="F207" s="77">
        <f>314.698-40-25-60-100</f>
        <v>89.697999999999979</v>
      </c>
      <c r="G207" s="80">
        <v>40</v>
      </c>
      <c r="H207" s="77">
        <f t="shared" ref="H207:H213" si="36">25+60+100</f>
        <v>185</v>
      </c>
      <c r="I207" s="77">
        <f t="shared" si="28"/>
        <v>0</v>
      </c>
      <c r="J207" s="80">
        <v>100</v>
      </c>
      <c r="K207" s="80">
        <v>300</v>
      </c>
      <c r="L207" s="77">
        <f t="shared" si="32"/>
        <v>1239</v>
      </c>
      <c r="M207" s="87">
        <v>600</v>
      </c>
      <c r="N207" s="77">
        <f>100</f>
        <v>100</v>
      </c>
      <c r="O207" s="80">
        <v>240</v>
      </c>
      <c r="P207" s="80">
        <v>160</v>
      </c>
      <c r="Q207" s="80">
        <f t="shared" si="33"/>
        <v>195</v>
      </c>
      <c r="R207" s="80">
        <f t="shared" si="34"/>
        <v>100</v>
      </c>
      <c r="S207" s="77">
        <f t="shared" si="35"/>
        <v>695</v>
      </c>
      <c r="T207" s="77">
        <f>50</f>
        <v>50</v>
      </c>
      <c r="U207" s="78"/>
      <c r="V207" s="78"/>
      <c r="W207" s="78"/>
      <c r="X207" s="78"/>
      <c r="Y207" s="78"/>
      <c r="Z207" s="78"/>
      <c r="AA207" s="78"/>
      <c r="AB207" s="78"/>
      <c r="AC207" s="78"/>
      <c r="AD207" s="78"/>
    </row>
    <row r="208" spans="1:30" ht="15.75" x14ac:dyDescent="0.25">
      <c r="A208" s="16">
        <v>47604</v>
      </c>
      <c r="B208" s="90">
        <v>31</v>
      </c>
      <c r="C208" s="77">
        <f>194.205</f>
        <v>194.20500000000001</v>
      </c>
      <c r="D208" s="77">
        <f>267.466</f>
        <v>267.46600000000001</v>
      </c>
      <c r="E208" s="85">
        <f>133.845</f>
        <v>133.845</v>
      </c>
      <c r="F208" s="77">
        <f>278.484-40-25-60-100</f>
        <v>53.48399999999998</v>
      </c>
      <c r="G208" s="80">
        <v>40</v>
      </c>
      <c r="H208" s="77">
        <f t="shared" si="36"/>
        <v>185</v>
      </c>
      <c r="I208" s="77">
        <f t="shared" si="28"/>
        <v>0</v>
      </c>
      <c r="J208" s="80">
        <v>100</v>
      </c>
      <c r="K208" s="80">
        <v>300</v>
      </c>
      <c r="L208" s="77">
        <f t="shared" si="32"/>
        <v>1274</v>
      </c>
      <c r="M208" s="87">
        <v>600</v>
      </c>
      <c r="N208" s="77">
        <f>75</f>
        <v>75</v>
      </c>
      <c r="O208" s="80">
        <v>240</v>
      </c>
      <c r="P208" s="80">
        <v>160</v>
      </c>
      <c r="Q208" s="80">
        <f t="shared" si="33"/>
        <v>195</v>
      </c>
      <c r="R208" s="80">
        <f t="shared" si="34"/>
        <v>100</v>
      </c>
      <c r="S208" s="77">
        <f t="shared" si="35"/>
        <v>695</v>
      </c>
      <c r="T208" s="77">
        <f>50</f>
        <v>50</v>
      </c>
      <c r="U208" s="78"/>
      <c r="V208" s="78"/>
      <c r="W208" s="78"/>
      <c r="X208" s="78"/>
      <c r="Y208" s="78"/>
      <c r="Z208" s="78"/>
      <c r="AA208" s="78"/>
      <c r="AB208" s="78"/>
      <c r="AC208" s="78"/>
      <c r="AD208" s="78"/>
    </row>
    <row r="209" spans="1:30" ht="15.75" x14ac:dyDescent="0.25">
      <c r="A209" s="16">
        <v>47635</v>
      </c>
      <c r="B209" s="90">
        <v>30</v>
      </c>
      <c r="C209" s="77">
        <f>194.205</f>
        <v>194.20500000000001</v>
      </c>
      <c r="D209" s="77">
        <f>267.466</f>
        <v>267.46600000000001</v>
      </c>
      <c r="E209" s="85">
        <f>133.845</f>
        <v>133.845</v>
      </c>
      <c r="F209" s="77">
        <f>278.484-40-25-60-100</f>
        <v>53.48399999999998</v>
      </c>
      <c r="G209" s="80">
        <v>40</v>
      </c>
      <c r="H209" s="77">
        <f t="shared" si="36"/>
        <v>185</v>
      </c>
      <c r="I209" s="77">
        <f t="shared" si="28"/>
        <v>0</v>
      </c>
      <c r="J209" s="80">
        <v>100</v>
      </c>
      <c r="K209" s="80">
        <v>300</v>
      </c>
      <c r="L209" s="77">
        <f t="shared" si="32"/>
        <v>1274</v>
      </c>
      <c r="M209" s="87">
        <v>600</v>
      </c>
      <c r="N209" s="77">
        <f>30</f>
        <v>30</v>
      </c>
      <c r="O209" s="80">
        <v>240</v>
      </c>
      <c r="P209" s="80">
        <v>160</v>
      </c>
      <c r="Q209" s="80">
        <f t="shared" si="33"/>
        <v>195</v>
      </c>
      <c r="R209" s="80">
        <f t="shared" si="34"/>
        <v>100</v>
      </c>
      <c r="S209" s="77">
        <f t="shared" si="35"/>
        <v>695</v>
      </c>
      <c r="T209" s="77">
        <f>50</f>
        <v>50</v>
      </c>
      <c r="U209" s="78"/>
      <c r="V209" s="78"/>
      <c r="W209" s="78"/>
      <c r="X209" s="78"/>
      <c r="Y209" s="78"/>
      <c r="Z209" s="78"/>
      <c r="AA209" s="78"/>
      <c r="AB209" s="78"/>
      <c r="AC209" s="78"/>
      <c r="AD209" s="78"/>
    </row>
    <row r="210" spans="1:30" ht="15.75" x14ac:dyDescent="0.25">
      <c r="A210" s="16">
        <v>47665</v>
      </c>
      <c r="B210" s="90">
        <v>31</v>
      </c>
      <c r="C210" s="77">
        <f>194.205</f>
        <v>194.20500000000001</v>
      </c>
      <c r="D210" s="77">
        <f>267.466</f>
        <v>267.46600000000001</v>
      </c>
      <c r="E210" s="85">
        <f>133.845</f>
        <v>133.845</v>
      </c>
      <c r="F210" s="77">
        <f>278.484-40-25-60-100</f>
        <v>53.48399999999998</v>
      </c>
      <c r="G210" s="80">
        <v>40</v>
      </c>
      <c r="H210" s="77">
        <f t="shared" si="36"/>
        <v>185</v>
      </c>
      <c r="I210" s="77">
        <f t="shared" si="28"/>
        <v>0</v>
      </c>
      <c r="J210" s="80">
        <v>100</v>
      </c>
      <c r="K210" s="80">
        <v>300</v>
      </c>
      <c r="L210" s="77">
        <f t="shared" si="32"/>
        <v>1274</v>
      </c>
      <c r="M210" s="87">
        <v>600</v>
      </c>
      <c r="N210" s="77">
        <f>30</f>
        <v>30</v>
      </c>
      <c r="O210" s="80">
        <v>240</v>
      </c>
      <c r="P210" s="80">
        <v>160</v>
      </c>
      <c r="Q210" s="80">
        <f t="shared" si="33"/>
        <v>195</v>
      </c>
      <c r="R210" s="80">
        <f t="shared" si="34"/>
        <v>100</v>
      </c>
      <c r="S210" s="77">
        <f t="shared" si="35"/>
        <v>695</v>
      </c>
      <c r="T210" s="77">
        <f>0</f>
        <v>0</v>
      </c>
      <c r="U210" s="78"/>
      <c r="V210" s="78"/>
      <c r="W210" s="78"/>
      <c r="X210" s="78"/>
      <c r="Y210" s="78"/>
      <c r="Z210" s="78"/>
      <c r="AA210" s="78"/>
      <c r="AB210" s="78"/>
      <c r="AC210" s="78"/>
      <c r="AD210" s="78"/>
    </row>
    <row r="211" spans="1:30" ht="15.75" x14ac:dyDescent="0.25">
      <c r="A211" s="16">
        <v>47696</v>
      </c>
      <c r="B211" s="90">
        <v>31</v>
      </c>
      <c r="C211" s="77">
        <f>194.205</f>
        <v>194.20500000000001</v>
      </c>
      <c r="D211" s="77">
        <f>267.466</f>
        <v>267.46600000000001</v>
      </c>
      <c r="E211" s="85">
        <f>133.845</f>
        <v>133.845</v>
      </c>
      <c r="F211" s="77">
        <f>278.484-40-25-60-100</f>
        <v>53.48399999999998</v>
      </c>
      <c r="G211" s="80">
        <v>40</v>
      </c>
      <c r="H211" s="77">
        <f t="shared" si="36"/>
        <v>185</v>
      </c>
      <c r="I211" s="77">
        <f t="shared" si="28"/>
        <v>0</v>
      </c>
      <c r="J211" s="80">
        <v>100</v>
      </c>
      <c r="K211" s="80">
        <v>300</v>
      </c>
      <c r="L211" s="77">
        <f t="shared" si="32"/>
        <v>1274</v>
      </c>
      <c r="M211" s="87">
        <v>600</v>
      </c>
      <c r="N211" s="77">
        <f>30</f>
        <v>30</v>
      </c>
      <c r="O211" s="80">
        <v>240</v>
      </c>
      <c r="P211" s="80">
        <v>160</v>
      </c>
      <c r="Q211" s="80">
        <f t="shared" si="33"/>
        <v>195</v>
      </c>
      <c r="R211" s="80">
        <f t="shared" si="34"/>
        <v>100</v>
      </c>
      <c r="S211" s="77">
        <f t="shared" si="35"/>
        <v>695</v>
      </c>
      <c r="T211" s="77">
        <f>0</f>
        <v>0</v>
      </c>
      <c r="U211" s="78"/>
      <c r="V211" s="78"/>
      <c r="W211" s="78"/>
      <c r="X211" s="78"/>
      <c r="Y211" s="78"/>
      <c r="Z211" s="78"/>
      <c r="AA211" s="78"/>
      <c r="AB211" s="78"/>
      <c r="AC211" s="78"/>
      <c r="AD211" s="78"/>
    </row>
    <row r="212" spans="1:30" ht="15.75" x14ac:dyDescent="0.25">
      <c r="A212" s="16">
        <v>47727</v>
      </c>
      <c r="B212" s="90">
        <v>30</v>
      </c>
      <c r="C212" s="77">
        <f>194.205</f>
        <v>194.20500000000001</v>
      </c>
      <c r="D212" s="77">
        <f>267.466</f>
        <v>267.46600000000001</v>
      </c>
      <c r="E212" s="85">
        <f>133.845</f>
        <v>133.845</v>
      </c>
      <c r="F212" s="77">
        <f>278.484-40-25-60-100</f>
        <v>53.48399999999998</v>
      </c>
      <c r="G212" s="80">
        <v>40</v>
      </c>
      <c r="H212" s="77">
        <f t="shared" si="36"/>
        <v>185</v>
      </c>
      <c r="I212" s="77">
        <f t="shared" si="28"/>
        <v>0</v>
      </c>
      <c r="J212" s="80">
        <v>100</v>
      </c>
      <c r="K212" s="80">
        <v>300</v>
      </c>
      <c r="L212" s="77">
        <f t="shared" si="32"/>
        <v>1274</v>
      </c>
      <c r="M212" s="87">
        <v>600</v>
      </c>
      <c r="N212" s="77">
        <f>30</f>
        <v>30</v>
      </c>
      <c r="O212" s="80">
        <v>240</v>
      </c>
      <c r="P212" s="80">
        <v>160</v>
      </c>
      <c r="Q212" s="80">
        <f t="shared" si="33"/>
        <v>195</v>
      </c>
      <c r="R212" s="80">
        <f t="shared" si="34"/>
        <v>100</v>
      </c>
      <c r="S212" s="77">
        <f t="shared" si="35"/>
        <v>695</v>
      </c>
      <c r="T212" s="77">
        <f>0</f>
        <v>0</v>
      </c>
      <c r="U212" s="78"/>
      <c r="V212" s="78"/>
      <c r="W212" s="78"/>
      <c r="X212" s="78"/>
      <c r="Y212" s="78"/>
      <c r="Z212" s="78"/>
      <c r="AA212" s="78"/>
      <c r="AB212" s="78"/>
      <c r="AC212" s="78"/>
      <c r="AD212" s="78"/>
    </row>
    <row r="213" spans="1:30" ht="15.75" x14ac:dyDescent="0.25">
      <c r="A213" s="16">
        <v>47757</v>
      </c>
      <c r="B213" s="90">
        <v>31</v>
      </c>
      <c r="C213" s="77">
        <f>131.881</f>
        <v>131.881</v>
      </c>
      <c r="D213" s="77">
        <f>277.167</f>
        <v>277.16699999999997</v>
      </c>
      <c r="E213" s="85">
        <f>79.08</f>
        <v>79.08</v>
      </c>
      <c r="F213" s="77">
        <f>350.872-40-25-60-100</f>
        <v>125.87200000000001</v>
      </c>
      <c r="G213" s="80">
        <v>40</v>
      </c>
      <c r="H213" s="77">
        <f t="shared" si="36"/>
        <v>185</v>
      </c>
      <c r="I213" s="77">
        <f t="shared" si="28"/>
        <v>0</v>
      </c>
      <c r="J213" s="80">
        <v>100</v>
      </c>
      <c r="K213" s="80">
        <v>300</v>
      </c>
      <c r="L213" s="77">
        <f t="shared" si="32"/>
        <v>1239</v>
      </c>
      <c r="M213" s="87">
        <v>600</v>
      </c>
      <c r="N213" s="77">
        <f>75</f>
        <v>75</v>
      </c>
      <c r="O213" s="80">
        <v>240</v>
      </c>
      <c r="P213" s="80">
        <v>160</v>
      </c>
      <c r="Q213" s="80">
        <f t="shared" si="33"/>
        <v>195</v>
      </c>
      <c r="R213" s="80">
        <f t="shared" si="34"/>
        <v>100</v>
      </c>
      <c r="S213" s="77">
        <f t="shared" si="35"/>
        <v>695</v>
      </c>
      <c r="T213" s="77">
        <f>0</f>
        <v>0</v>
      </c>
      <c r="U213" s="78"/>
      <c r="V213" s="78"/>
      <c r="W213" s="78"/>
      <c r="X213" s="78"/>
      <c r="Y213" s="78"/>
      <c r="Z213" s="78"/>
      <c r="AA213" s="78"/>
      <c r="AB213" s="78"/>
      <c r="AC213" s="78"/>
      <c r="AD213" s="78"/>
    </row>
    <row r="214" spans="1:30" ht="15.75" x14ac:dyDescent="0.25">
      <c r="A214" s="16">
        <v>47788</v>
      </c>
      <c r="B214" s="90">
        <v>30</v>
      </c>
      <c r="C214" s="77">
        <f>122.58</f>
        <v>122.58</v>
      </c>
      <c r="D214" s="77">
        <f>297.941</f>
        <v>297.94099999999997</v>
      </c>
      <c r="E214" s="85">
        <f>89.177</f>
        <v>89.177000000000007</v>
      </c>
      <c r="F214" s="77">
        <f>240.302-40-60-100</f>
        <v>40.301999999999992</v>
      </c>
      <c r="G214" s="80">
        <v>40</v>
      </c>
      <c r="H214" s="77">
        <f>60+100</f>
        <v>160</v>
      </c>
      <c r="I214" s="77">
        <f t="shared" si="28"/>
        <v>0</v>
      </c>
      <c r="J214" s="80">
        <v>100</v>
      </c>
      <c r="K214" s="80">
        <v>300</v>
      </c>
      <c r="L214" s="77">
        <f t="shared" si="32"/>
        <v>1150</v>
      </c>
      <c r="M214" s="87">
        <v>600</v>
      </c>
      <c r="N214" s="77">
        <f>100</f>
        <v>100</v>
      </c>
      <c r="O214" s="80">
        <v>240</v>
      </c>
      <c r="P214" s="80">
        <v>40</v>
      </c>
      <c r="Q214" s="80">
        <f t="shared" si="33"/>
        <v>315</v>
      </c>
      <c r="R214" s="80">
        <f t="shared" si="34"/>
        <v>100</v>
      </c>
      <c r="S214" s="77">
        <f t="shared" si="35"/>
        <v>695</v>
      </c>
      <c r="T214" s="77">
        <f>50</f>
        <v>50</v>
      </c>
      <c r="U214" s="78"/>
      <c r="V214" s="78"/>
      <c r="W214" s="78"/>
      <c r="X214" s="78"/>
      <c r="Y214" s="78"/>
      <c r="Z214" s="78"/>
      <c r="AA214" s="78"/>
      <c r="AB214" s="78"/>
      <c r="AC214" s="78"/>
      <c r="AD214" s="78"/>
    </row>
    <row r="215" spans="1:30" ht="15.75" x14ac:dyDescent="0.25">
      <c r="A215" s="16">
        <v>47818</v>
      </c>
      <c r="B215" s="90">
        <v>31</v>
      </c>
      <c r="C215" s="77">
        <f>122.58</f>
        <v>122.58</v>
      </c>
      <c r="D215" s="77">
        <f>297.941</f>
        <v>297.94099999999997</v>
      </c>
      <c r="E215" s="85">
        <f>89.177</f>
        <v>89.177000000000007</v>
      </c>
      <c r="F215" s="77">
        <f>240.302-40-60-100</f>
        <v>40.301999999999992</v>
      </c>
      <c r="G215" s="80">
        <v>40</v>
      </c>
      <c r="H215" s="77">
        <f>60+100</f>
        <v>160</v>
      </c>
      <c r="I215" s="77">
        <f t="shared" si="28"/>
        <v>0</v>
      </c>
      <c r="J215" s="80">
        <v>100</v>
      </c>
      <c r="K215" s="80">
        <v>300</v>
      </c>
      <c r="L215" s="77">
        <f t="shared" si="32"/>
        <v>1150</v>
      </c>
      <c r="M215" s="87">
        <v>600</v>
      </c>
      <c r="N215" s="77">
        <f>100</f>
        <v>100</v>
      </c>
      <c r="O215" s="80">
        <v>240</v>
      </c>
      <c r="P215" s="80">
        <v>40</v>
      </c>
      <c r="Q215" s="80">
        <f t="shared" si="33"/>
        <v>315</v>
      </c>
      <c r="R215" s="80">
        <f t="shared" si="34"/>
        <v>100</v>
      </c>
      <c r="S215" s="77">
        <f t="shared" si="35"/>
        <v>695</v>
      </c>
      <c r="T215" s="77">
        <f>50</f>
        <v>50</v>
      </c>
      <c r="U215" s="78"/>
      <c r="V215" s="78"/>
      <c r="W215" s="78"/>
      <c r="X215" s="78"/>
      <c r="Y215" s="78"/>
      <c r="Z215" s="78"/>
      <c r="AA215" s="78"/>
      <c r="AB215" s="78"/>
      <c r="AC215" s="78"/>
      <c r="AD215" s="78"/>
    </row>
    <row r="216" spans="1:30" ht="15.75" x14ac:dyDescent="0.25">
      <c r="A216" s="16">
        <v>47849</v>
      </c>
      <c r="B216" s="90">
        <v>31</v>
      </c>
      <c r="C216" s="77">
        <f>122.58</f>
        <v>122.58</v>
      </c>
      <c r="D216" s="77">
        <f>297.941</f>
        <v>297.94099999999997</v>
      </c>
      <c r="E216" s="85">
        <f>89.177</f>
        <v>89.177000000000007</v>
      </c>
      <c r="F216" s="77">
        <f>240.302-40-60-100</f>
        <v>40.301999999999992</v>
      </c>
      <c r="G216" s="80">
        <v>40</v>
      </c>
      <c r="H216" s="77">
        <f>60+100</f>
        <v>160</v>
      </c>
      <c r="I216" s="77">
        <f t="shared" si="28"/>
        <v>0</v>
      </c>
      <c r="J216" s="80">
        <v>100</v>
      </c>
      <c r="K216" s="80">
        <v>300</v>
      </c>
      <c r="L216" s="77">
        <f t="shared" si="32"/>
        <v>1150</v>
      </c>
      <c r="M216" s="87">
        <v>600</v>
      </c>
      <c r="N216" s="77">
        <f>100</f>
        <v>100</v>
      </c>
      <c r="O216" s="80">
        <v>240</v>
      </c>
      <c r="P216" s="80">
        <v>40</v>
      </c>
      <c r="Q216" s="80">
        <f t="shared" si="33"/>
        <v>315</v>
      </c>
      <c r="R216" s="80">
        <f t="shared" si="34"/>
        <v>100</v>
      </c>
      <c r="S216" s="77">
        <f t="shared" si="35"/>
        <v>695</v>
      </c>
      <c r="T216" s="77">
        <f>50</f>
        <v>50</v>
      </c>
      <c r="U216" s="78"/>
      <c r="V216" s="78"/>
      <c r="W216" s="78"/>
      <c r="X216" s="78"/>
      <c r="Y216" s="78"/>
      <c r="Z216" s="78"/>
      <c r="AA216" s="78"/>
      <c r="AB216" s="78"/>
      <c r="AC216" s="78"/>
      <c r="AD216" s="78"/>
    </row>
    <row r="217" spans="1:30" ht="15.75" x14ac:dyDescent="0.25">
      <c r="A217" s="16">
        <v>47880</v>
      </c>
      <c r="B217" s="90">
        <v>28</v>
      </c>
      <c r="C217" s="77">
        <f>122.58</f>
        <v>122.58</v>
      </c>
      <c r="D217" s="77">
        <f>297.941</f>
        <v>297.94099999999997</v>
      </c>
      <c r="E217" s="85">
        <f>89.177</f>
        <v>89.177000000000007</v>
      </c>
      <c r="F217" s="77">
        <f>240.302-40-60-100</f>
        <v>40.301999999999992</v>
      </c>
      <c r="G217" s="80">
        <v>40</v>
      </c>
      <c r="H217" s="77">
        <f>60+100</f>
        <v>160</v>
      </c>
      <c r="I217" s="77">
        <f t="shared" si="28"/>
        <v>0</v>
      </c>
      <c r="J217" s="80">
        <v>100</v>
      </c>
      <c r="K217" s="80">
        <v>300</v>
      </c>
      <c r="L217" s="77">
        <f t="shared" si="32"/>
        <v>1150</v>
      </c>
      <c r="M217" s="87">
        <v>600</v>
      </c>
      <c r="N217" s="77">
        <f>100</f>
        <v>100</v>
      </c>
      <c r="O217" s="80">
        <v>240</v>
      </c>
      <c r="P217" s="80">
        <v>40</v>
      </c>
      <c r="Q217" s="80">
        <f t="shared" si="33"/>
        <v>315</v>
      </c>
      <c r="R217" s="80">
        <f t="shared" si="34"/>
        <v>100</v>
      </c>
      <c r="S217" s="77">
        <f t="shared" si="35"/>
        <v>695</v>
      </c>
      <c r="T217" s="77">
        <f>50</f>
        <v>50</v>
      </c>
      <c r="U217" s="78"/>
      <c r="V217" s="78"/>
      <c r="W217" s="78"/>
      <c r="X217" s="78"/>
      <c r="Y217" s="78"/>
      <c r="Z217" s="78"/>
      <c r="AA217" s="78"/>
      <c r="AB217" s="78"/>
      <c r="AC217" s="78"/>
      <c r="AD217" s="78"/>
    </row>
    <row r="218" spans="1:30" ht="15.75" x14ac:dyDescent="0.25">
      <c r="A218" s="16">
        <v>47908</v>
      </c>
      <c r="B218" s="90">
        <v>31</v>
      </c>
      <c r="C218" s="77">
        <f>122.58</f>
        <v>122.58</v>
      </c>
      <c r="D218" s="77">
        <f>297.941</f>
        <v>297.94099999999997</v>
      </c>
      <c r="E218" s="85">
        <f>89.177</f>
        <v>89.177000000000007</v>
      </c>
      <c r="F218" s="77">
        <f>240.302-40-60-100</f>
        <v>40.301999999999992</v>
      </c>
      <c r="G218" s="80">
        <v>40</v>
      </c>
      <c r="H218" s="77">
        <f>60+100</f>
        <v>160</v>
      </c>
      <c r="I218" s="77">
        <f t="shared" si="28"/>
        <v>0</v>
      </c>
      <c r="J218" s="80">
        <v>100</v>
      </c>
      <c r="K218" s="80">
        <v>300</v>
      </c>
      <c r="L218" s="77">
        <f t="shared" si="32"/>
        <v>1150</v>
      </c>
      <c r="M218" s="87">
        <v>600</v>
      </c>
      <c r="N218" s="77">
        <f>100</f>
        <v>100</v>
      </c>
      <c r="O218" s="80">
        <v>240</v>
      </c>
      <c r="P218" s="80">
        <v>40</v>
      </c>
      <c r="Q218" s="80">
        <f t="shared" si="33"/>
        <v>315</v>
      </c>
      <c r="R218" s="80">
        <f t="shared" si="34"/>
        <v>100</v>
      </c>
      <c r="S218" s="77">
        <f t="shared" si="35"/>
        <v>695</v>
      </c>
      <c r="T218" s="77">
        <f>50</f>
        <v>50</v>
      </c>
      <c r="U218" s="78"/>
      <c r="V218" s="78"/>
      <c r="W218" s="78"/>
      <c r="X218" s="78"/>
      <c r="Y218" s="78"/>
      <c r="Z218" s="78"/>
      <c r="AA218" s="78"/>
      <c r="AB218" s="78"/>
      <c r="AC218" s="78"/>
      <c r="AD218" s="78"/>
    </row>
    <row r="219" spans="1:30" ht="15.75" x14ac:dyDescent="0.25">
      <c r="A219" s="16">
        <v>47939</v>
      </c>
      <c r="B219" s="90">
        <v>30</v>
      </c>
      <c r="C219" s="77">
        <f>141.293</f>
        <v>141.29300000000001</v>
      </c>
      <c r="D219" s="77">
        <f>267.993</f>
        <v>267.99299999999999</v>
      </c>
      <c r="E219" s="85">
        <f>115.016</f>
        <v>115.01600000000001</v>
      </c>
      <c r="F219" s="77">
        <f>314.698-40-25-60-100</f>
        <v>89.697999999999979</v>
      </c>
      <c r="G219" s="80">
        <v>40</v>
      </c>
      <c r="H219" s="77">
        <f t="shared" ref="H219:H225" si="37">25+60+100</f>
        <v>185</v>
      </c>
      <c r="I219" s="77">
        <f t="shared" si="28"/>
        <v>0</v>
      </c>
      <c r="J219" s="80">
        <v>100</v>
      </c>
      <c r="K219" s="80">
        <v>300</v>
      </c>
      <c r="L219" s="77">
        <f t="shared" si="32"/>
        <v>1239</v>
      </c>
      <c r="M219" s="87">
        <v>600</v>
      </c>
      <c r="N219" s="77">
        <f>100</f>
        <v>100</v>
      </c>
      <c r="O219" s="80">
        <v>240</v>
      </c>
      <c r="P219" s="80">
        <v>160</v>
      </c>
      <c r="Q219" s="80">
        <f t="shared" si="33"/>
        <v>195</v>
      </c>
      <c r="R219" s="80">
        <f t="shared" si="34"/>
        <v>100</v>
      </c>
      <c r="S219" s="77">
        <f t="shared" si="35"/>
        <v>695</v>
      </c>
      <c r="T219" s="77">
        <f>50</f>
        <v>50</v>
      </c>
      <c r="U219" s="78"/>
      <c r="V219" s="78"/>
      <c r="W219" s="78"/>
      <c r="X219" s="78"/>
      <c r="Y219" s="78"/>
      <c r="Z219" s="78"/>
      <c r="AA219" s="78"/>
      <c r="AB219" s="78"/>
      <c r="AC219" s="78"/>
      <c r="AD219" s="78"/>
    </row>
    <row r="220" spans="1:30" ht="15.75" x14ac:dyDescent="0.25">
      <c r="A220" s="16">
        <v>47969</v>
      </c>
      <c r="B220" s="90">
        <v>31</v>
      </c>
      <c r="C220" s="77">
        <f>194.205</f>
        <v>194.20500000000001</v>
      </c>
      <c r="D220" s="77">
        <f>267.466</f>
        <v>267.46600000000001</v>
      </c>
      <c r="E220" s="85">
        <f>133.845</f>
        <v>133.845</v>
      </c>
      <c r="F220" s="77">
        <f>278.484-40-25-60-100</f>
        <v>53.48399999999998</v>
      </c>
      <c r="G220" s="80">
        <v>40</v>
      </c>
      <c r="H220" s="77">
        <f t="shared" si="37"/>
        <v>185</v>
      </c>
      <c r="I220" s="77">
        <f t="shared" si="28"/>
        <v>0</v>
      </c>
      <c r="J220" s="80">
        <v>100</v>
      </c>
      <c r="K220" s="80">
        <v>300</v>
      </c>
      <c r="L220" s="77">
        <f t="shared" si="32"/>
        <v>1274</v>
      </c>
      <c r="M220" s="87">
        <v>600</v>
      </c>
      <c r="N220" s="77">
        <f>75</f>
        <v>75</v>
      </c>
      <c r="O220" s="80">
        <v>240</v>
      </c>
      <c r="P220" s="80">
        <v>160</v>
      </c>
      <c r="Q220" s="80">
        <f t="shared" si="33"/>
        <v>195</v>
      </c>
      <c r="R220" s="80">
        <f t="shared" si="34"/>
        <v>100</v>
      </c>
      <c r="S220" s="77">
        <f t="shared" si="35"/>
        <v>695</v>
      </c>
      <c r="T220" s="77">
        <f>50</f>
        <v>50</v>
      </c>
      <c r="U220" s="78"/>
      <c r="V220" s="78"/>
      <c r="W220" s="78"/>
      <c r="X220" s="78"/>
      <c r="Y220" s="78"/>
      <c r="Z220" s="78"/>
      <c r="AA220" s="78"/>
      <c r="AB220" s="78"/>
      <c r="AC220" s="78"/>
      <c r="AD220" s="78"/>
    </row>
    <row r="221" spans="1:30" ht="15.75" x14ac:dyDescent="0.25">
      <c r="A221" s="16">
        <v>48000</v>
      </c>
      <c r="B221" s="90">
        <v>30</v>
      </c>
      <c r="C221" s="77">
        <f>194.205</f>
        <v>194.20500000000001</v>
      </c>
      <c r="D221" s="77">
        <f>267.466</f>
        <v>267.46600000000001</v>
      </c>
      <c r="E221" s="85">
        <f>133.845</f>
        <v>133.845</v>
      </c>
      <c r="F221" s="77">
        <f>278.484-40-25-60-100</f>
        <v>53.48399999999998</v>
      </c>
      <c r="G221" s="80">
        <v>40</v>
      </c>
      <c r="H221" s="77">
        <f t="shared" si="37"/>
        <v>185</v>
      </c>
      <c r="I221" s="77">
        <f t="shared" si="28"/>
        <v>0</v>
      </c>
      <c r="J221" s="80">
        <v>100</v>
      </c>
      <c r="K221" s="80">
        <v>300</v>
      </c>
      <c r="L221" s="77">
        <f t="shared" si="32"/>
        <v>1274</v>
      </c>
      <c r="M221" s="87">
        <v>600</v>
      </c>
      <c r="N221" s="77">
        <f>30</f>
        <v>30</v>
      </c>
      <c r="O221" s="80">
        <v>240</v>
      </c>
      <c r="P221" s="80">
        <v>160</v>
      </c>
      <c r="Q221" s="80">
        <f t="shared" si="33"/>
        <v>195</v>
      </c>
      <c r="R221" s="80">
        <f t="shared" si="34"/>
        <v>100</v>
      </c>
      <c r="S221" s="77">
        <f t="shared" si="35"/>
        <v>695</v>
      </c>
      <c r="T221" s="77">
        <f>50</f>
        <v>50</v>
      </c>
      <c r="U221" s="78"/>
      <c r="V221" s="78"/>
      <c r="W221" s="78"/>
      <c r="X221" s="78"/>
      <c r="Y221" s="78"/>
      <c r="Z221" s="78"/>
      <c r="AA221" s="78"/>
      <c r="AB221" s="78"/>
      <c r="AC221" s="78"/>
      <c r="AD221" s="78"/>
    </row>
    <row r="222" spans="1:30" ht="15.75" x14ac:dyDescent="0.25">
      <c r="A222" s="16">
        <v>48030</v>
      </c>
      <c r="B222" s="90">
        <v>31</v>
      </c>
      <c r="C222" s="77">
        <f>194.205</f>
        <v>194.20500000000001</v>
      </c>
      <c r="D222" s="77">
        <f>267.466</f>
        <v>267.46600000000001</v>
      </c>
      <c r="E222" s="85">
        <f>133.845</f>
        <v>133.845</v>
      </c>
      <c r="F222" s="77">
        <f>278.484-40-25-60-100</f>
        <v>53.48399999999998</v>
      </c>
      <c r="G222" s="80">
        <v>40</v>
      </c>
      <c r="H222" s="77">
        <f t="shared" si="37"/>
        <v>185</v>
      </c>
      <c r="I222" s="77">
        <f t="shared" si="28"/>
        <v>0</v>
      </c>
      <c r="J222" s="80">
        <v>100</v>
      </c>
      <c r="K222" s="80">
        <v>300</v>
      </c>
      <c r="L222" s="77">
        <f t="shared" si="32"/>
        <v>1274</v>
      </c>
      <c r="M222" s="87">
        <v>600</v>
      </c>
      <c r="N222" s="77">
        <f>30</f>
        <v>30</v>
      </c>
      <c r="O222" s="80">
        <v>240</v>
      </c>
      <c r="P222" s="80">
        <v>160</v>
      </c>
      <c r="Q222" s="80">
        <f t="shared" si="33"/>
        <v>195</v>
      </c>
      <c r="R222" s="80">
        <f t="shared" si="34"/>
        <v>100</v>
      </c>
      <c r="S222" s="77">
        <f t="shared" si="35"/>
        <v>695</v>
      </c>
      <c r="T222" s="77">
        <f>0</f>
        <v>0</v>
      </c>
      <c r="U222" s="78"/>
      <c r="V222" s="78"/>
      <c r="W222" s="78"/>
      <c r="X222" s="78"/>
      <c r="Y222" s="78"/>
      <c r="Z222" s="78"/>
      <c r="AA222" s="78"/>
      <c r="AB222" s="78"/>
      <c r="AC222" s="78"/>
      <c r="AD222" s="78"/>
    </row>
    <row r="223" spans="1:30" ht="15.75" x14ac:dyDescent="0.25">
      <c r="A223" s="16">
        <v>48061</v>
      </c>
      <c r="B223" s="90">
        <v>31</v>
      </c>
      <c r="C223" s="77">
        <f>194.205</f>
        <v>194.20500000000001</v>
      </c>
      <c r="D223" s="77">
        <f>267.466</f>
        <v>267.46600000000001</v>
      </c>
      <c r="E223" s="85">
        <f>133.845</f>
        <v>133.845</v>
      </c>
      <c r="F223" s="77">
        <f>278.484-40-25-60-100</f>
        <v>53.48399999999998</v>
      </c>
      <c r="G223" s="80">
        <v>40</v>
      </c>
      <c r="H223" s="77">
        <f t="shared" si="37"/>
        <v>185</v>
      </c>
      <c r="I223" s="77">
        <f t="shared" si="28"/>
        <v>0</v>
      </c>
      <c r="J223" s="80">
        <v>100</v>
      </c>
      <c r="K223" s="80">
        <v>300</v>
      </c>
      <c r="L223" s="77">
        <f t="shared" si="32"/>
        <v>1274</v>
      </c>
      <c r="M223" s="87">
        <v>600</v>
      </c>
      <c r="N223" s="77">
        <f>30</f>
        <v>30</v>
      </c>
      <c r="O223" s="80">
        <v>240</v>
      </c>
      <c r="P223" s="80">
        <v>160</v>
      </c>
      <c r="Q223" s="80">
        <f t="shared" si="33"/>
        <v>195</v>
      </c>
      <c r="R223" s="80">
        <f t="shared" si="34"/>
        <v>100</v>
      </c>
      <c r="S223" s="77">
        <f t="shared" si="35"/>
        <v>695</v>
      </c>
      <c r="T223" s="77">
        <f>0</f>
        <v>0</v>
      </c>
      <c r="U223" s="78"/>
      <c r="V223" s="78"/>
      <c r="W223" s="78"/>
      <c r="X223" s="78"/>
      <c r="Y223" s="78"/>
      <c r="Z223" s="78"/>
      <c r="AA223" s="78"/>
      <c r="AB223" s="78"/>
      <c r="AC223" s="78"/>
      <c r="AD223" s="78"/>
    </row>
    <row r="224" spans="1:30" ht="15.75" x14ac:dyDescent="0.25">
      <c r="A224" s="16">
        <v>48092</v>
      </c>
      <c r="B224" s="90">
        <v>30</v>
      </c>
      <c r="C224" s="77">
        <f>194.205</f>
        <v>194.20500000000001</v>
      </c>
      <c r="D224" s="77">
        <f>267.466</f>
        <v>267.46600000000001</v>
      </c>
      <c r="E224" s="85">
        <f>133.845</f>
        <v>133.845</v>
      </c>
      <c r="F224" s="77">
        <f>278.484-40-25-60-100</f>
        <v>53.48399999999998</v>
      </c>
      <c r="G224" s="80">
        <v>40</v>
      </c>
      <c r="H224" s="77">
        <f t="shared" si="37"/>
        <v>185</v>
      </c>
      <c r="I224" s="77">
        <f t="shared" si="28"/>
        <v>0</v>
      </c>
      <c r="J224" s="80">
        <v>100</v>
      </c>
      <c r="K224" s="80">
        <v>300</v>
      </c>
      <c r="L224" s="77">
        <f t="shared" si="32"/>
        <v>1274</v>
      </c>
      <c r="M224" s="87">
        <v>600</v>
      </c>
      <c r="N224" s="77">
        <f>30</f>
        <v>30</v>
      </c>
      <c r="O224" s="80">
        <v>240</v>
      </c>
      <c r="P224" s="80">
        <v>160</v>
      </c>
      <c r="Q224" s="80">
        <f t="shared" si="33"/>
        <v>195</v>
      </c>
      <c r="R224" s="80">
        <f t="shared" si="34"/>
        <v>100</v>
      </c>
      <c r="S224" s="77">
        <f t="shared" si="35"/>
        <v>695</v>
      </c>
      <c r="T224" s="77">
        <f>0</f>
        <v>0</v>
      </c>
      <c r="U224" s="78"/>
      <c r="V224" s="78"/>
      <c r="W224" s="78"/>
      <c r="X224" s="78"/>
      <c r="Y224" s="78"/>
      <c r="Z224" s="78"/>
      <c r="AA224" s="78"/>
      <c r="AB224" s="78"/>
      <c r="AC224" s="78"/>
      <c r="AD224" s="78"/>
    </row>
    <row r="225" spans="1:30" ht="15.75" x14ac:dyDescent="0.25">
      <c r="A225" s="16">
        <v>48122</v>
      </c>
      <c r="B225" s="90">
        <v>31</v>
      </c>
      <c r="C225" s="77">
        <f>131.881</f>
        <v>131.881</v>
      </c>
      <c r="D225" s="77">
        <f>277.167</f>
        <v>277.16699999999997</v>
      </c>
      <c r="E225" s="85">
        <f>79.08</f>
        <v>79.08</v>
      </c>
      <c r="F225" s="77">
        <f>350.872-40-25-60-100</f>
        <v>125.87200000000001</v>
      </c>
      <c r="G225" s="80">
        <v>40</v>
      </c>
      <c r="H225" s="77">
        <f t="shared" si="37"/>
        <v>185</v>
      </c>
      <c r="I225" s="77">
        <f t="shared" si="28"/>
        <v>0</v>
      </c>
      <c r="J225" s="80">
        <v>100</v>
      </c>
      <c r="K225" s="80">
        <v>300</v>
      </c>
      <c r="L225" s="77">
        <f t="shared" si="32"/>
        <v>1239</v>
      </c>
      <c r="M225" s="87">
        <v>600</v>
      </c>
      <c r="N225" s="77">
        <f>75</f>
        <v>75</v>
      </c>
      <c r="O225" s="80">
        <v>240</v>
      </c>
      <c r="P225" s="80">
        <v>160</v>
      </c>
      <c r="Q225" s="80">
        <f t="shared" si="33"/>
        <v>195</v>
      </c>
      <c r="R225" s="80">
        <f t="shared" si="34"/>
        <v>100</v>
      </c>
      <c r="S225" s="77">
        <f t="shared" si="35"/>
        <v>695</v>
      </c>
      <c r="T225" s="77">
        <f>0</f>
        <v>0</v>
      </c>
      <c r="U225" s="78"/>
      <c r="V225" s="78"/>
      <c r="W225" s="78"/>
      <c r="X225" s="78"/>
      <c r="Y225" s="78"/>
      <c r="Z225" s="78"/>
      <c r="AA225" s="78"/>
      <c r="AB225" s="78"/>
      <c r="AC225" s="78"/>
      <c r="AD225" s="78"/>
    </row>
    <row r="226" spans="1:30" ht="15.75" x14ac:dyDescent="0.25">
      <c r="A226" s="16">
        <v>48153</v>
      </c>
      <c r="B226" s="90">
        <v>30</v>
      </c>
      <c r="C226" s="77">
        <f>122.58</f>
        <v>122.58</v>
      </c>
      <c r="D226" s="77">
        <f>297.941</f>
        <v>297.94099999999997</v>
      </c>
      <c r="E226" s="85">
        <f>89.177</f>
        <v>89.177000000000007</v>
      </c>
      <c r="F226" s="77">
        <f>240.302-40-60-100</f>
        <v>40.301999999999992</v>
      </c>
      <c r="G226" s="80">
        <v>40</v>
      </c>
      <c r="H226" s="77">
        <f>60+100</f>
        <v>160</v>
      </c>
      <c r="I226" s="77">
        <f t="shared" si="28"/>
        <v>0</v>
      </c>
      <c r="J226" s="80">
        <v>100</v>
      </c>
      <c r="K226" s="80">
        <v>300</v>
      </c>
      <c r="L226" s="77">
        <f t="shared" si="32"/>
        <v>1150</v>
      </c>
      <c r="M226" s="87">
        <v>600</v>
      </c>
      <c r="N226" s="77">
        <f>100</f>
        <v>100</v>
      </c>
      <c r="O226" s="80">
        <v>240</v>
      </c>
      <c r="P226" s="80">
        <v>40</v>
      </c>
      <c r="Q226" s="80">
        <f t="shared" si="33"/>
        <v>315</v>
      </c>
      <c r="R226" s="80">
        <f t="shared" si="34"/>
        <v>100</v>
      </c>
      <c r="S226" s="77">
        <f t="shared" si="35"/>
        <v>695</v>
      </c>
      <c r="T226" s="77">
        <f>50</f>
        <v>50</v>
      </c>
      <c r="U226" s="78"/>
      <c r="V226" s="78"/>
      <c r="W226" s="78"/>
      <c r="X226" s="78"/>
      <c r="Y226" s="78"/>
      <c r="Z226" s="78"/>
      <c r="AA226" s="78"/>
      <c r="AB226" s="78"/>
      <c r="AC226" s="78"/>
      <c r="AD226" s="78"/>
    </row>
    <row r="227" spans="1:30" ht="15.75" x14ac:dyDescent="0.25">
      <c r="A227" s="16">
        <v>48183</v>
      </c>
      <c r="B227" s="90">
        <v>31</v>
      </c>
      <c r="C227" s="77">
        <f>122.58</f>
        <v>122.58</v>
      </c>
      <c r="D227" s="77">
        <f>297.941</f>
        <v>297.94099999999997</v>
      </c>
      <c r="E227" s="85">
        <f>89.177</f>
        <v>89.177000000000007</v>
      </c>
      <c r="F227" s="77">
        <f>240.302-40-60-100</f>
        <v>40.301999999999992</v>
      </c>
      <c r="G227" s="80">
        <v>40</v>
      </c>
      <c r="H227" s="77">
        <f>60+100</f>
        <v>160</v>
      </c>
      <c r="I227" s="77">
        <f t="shared" si="28"/>
        <v>0</v>
      </c>
      <c r="J227" s="80">
        <v>100</v>
      </c>
      <c r="K227" s="80">
        <v>300</v>
      </c>
      <c r="L227" s="77">
        <f t="shared" si="32"/>
        <v>1150</v>
      </c>
      <c r="M227" s="87">
        <v>600</v>
      </c>
      <c r="N227" s="77">
        <f>100</f>
        <v>100</v>
      </c>
      <c r="O227" s="80">
        <v>240</v>
      </c>
      <c r="P227" s="80">
        <v>40</v>
      </c>
      <c r="Q227" s="80">
        <f t="shared" si="33"/>
        <v>315</v>
      </c>
      <c r="R227" s="80">
        <f t="shared" si="34"/>
        <v>100</v>
      </c>
      <c r="S227" s="77">
        <f t="shared" si="35"/>
        <v>695</v>
      </c>
      <c r="T227" s="77">
        <f>50</f>
        <v>50</v>
      </c>
      <c r="U227" s="78"/>
      <c r="V227" s="78"/>
      <c r="W227" s="78"/>
      <c r="X227" s="78"/>
      <c r="Y227" s="78"/>
      <c r="Z227" s="78"/>
      <c r="AA227" s="78"/>
      <c r="AB227" s="78"/>
      <c r="AC227" s="78"/>
      <c r="AD227" s="78"/>
    </row>
    <row r="228" spans="1:30" ht="15.75" x14ac:dyDescent="0.25">
      <c r="A228" s="16">
        <v>48214</v>
      </c>
      <c r="B228" s="90">
        <v>31</v>
      </c>
      <c r="C228" s="77">
        <f>122.58</f>
        <v>122.58</v>
      </c>
      <c r="D228" s="77">
        <f>297.941</f>
        <v>297.94099999999997</v>
      </c>
      <c r="E228" s="85">
        <f>89.177</f>
        <v>89.177000000000007</v>
      </c>
      <c r="F228" s="77">
        <f>240.302-40-60-100</f>
        <v>40.301999999999992</v>
      </c>
      <c r="G228" s="80">
        <v>40</v>
      </c>
      <c r="H228" s="77">
        <f>60+100</f>
        <v>160</v>
      </c>
      <c r="I228" s="77">
        <f t="shared" si="28"/>
        <v>0</v>
      </c>
      <c r="J228" s="80">
        <v>100</v>
      </c>
      <c r="K228" s="80">
        <v>300</v>
      </c>
      <c r="L228" s="77">
        <f t="shared" si="32"/>
        <v>1150</v>
      </c>
      <c r="M228" s="87">
        <v>600</v>
      </c>
      <c r="N228" s="77">
        <f>100</f>
        <v>100</v>
      </c>
      <c r="O228" s="80">
        <v>240</v>
      </c>
      <c r="P228" s="80">
        <v>40</v>
      </c>
      <c r="Q228" s="80">
        <f t="shared" si="33"/>
        <v>315</v>
      </c>
      <c r="R228" s="80">
        <f t="shared" si="34"/>
        <v>100</v>
      </c>
      <c r="S228" s="77">
        <f t="shared" si="35"/>
        <v>695</v>
      </c>
      <c r="T228" s="77">
        <f>50</f>
        <v>50</v>
      </c>
      <c r="U228" s="78"/>
      <c r="V228" s="78"/>
      <c r="W228" s="78"/>
      <c r="X228" s="78"/>
      <c r="Y228" s="78"/>
      <c r="Z228" s="78"/>
      <c r="AA228" s="78"/>
      <c r="AB228" s="78"/>
      <c r="AC228" s="78"/>
      <c r="AD228" s="78"/>
    </row>
    <row r="229" spans="1:30" ht="15.75" x14ac:dyDescent="0.25">
      <c r="A229" s="16">
        <v>48245</v>
      </c>
      <c r="B229" s="90">
        <v>29</v>
      </c>
      <c r="C229" s="77">
        <f>122.58</f>
        <v>122.58</v>
      </c>
      <c r="D229" s="77">
        <f>297.941</f>
        <v>297.94099999999997</v>
      </c>
      <c r="E229" s="85">
        <f>89.177</f>
        <v>89.177000000000007</v>
      </c>
      <c r="F229" s="77">
        <f>240.302-40-60-100</f>
        <v>40.301999999999992</v>
      </c>
      <c r="G229" s="80">
        <v>40</v>
      </c>
      <c r="H229" s="77">
        <f>60+100</f>
        <v>160</v>
      </c>
      <c r="I229" s="77">
        <f t="shared" si="28"/>
        <v>0</v>
      </c>
      <c r="J229" s="80">
        <v>100</v>
      </c>
      <c r="K229" s="80">
        <v>300</v>
      </c>
      <c r="L229" s="77">
        <f t="shared" si="32"/>
        <v>1150</v>
      </c>
      <c r="M229" s="87">
        <v>600</v>
      </c>
      <c r="N229" s="77">
        <f>100</f>
        <v>100</v>
      </c>
      <c r="O229" s="80">
        <v>240</v>
      </c>
      <c r="P229" s="80">
        <v>40</v>
      </c>
      <c r="Q229" s="80">
        <f t="shared" si="33"/>
        <v>315</v>
      </c>
      <c r="R229" s="80">
        <f t="shared" si="34"/>
        <v>100</v>
      </c>
      <c r="S229" s="77">
        <f t="shared" si="35"/>
        <v>695</v>
      </c>
      <c r="T229" s="77">
        <f>50</f>
        <v>50</v>
      </c>
      <c r="U229" s="78"/>
      <c r="V229" s="78"/>
      <c r="W229" s="78"/>
      <c r="X229" s="78"/>
      <c r="Y229" s="78"/>
      <c r="Z229" s="78"/>
      <c r="AA229" s="78"/>
      <c r="AB229" s="78"/>
      <c r="AC229" s="78"/>
      <c r="AD229" s="78"/>
    </row>
    <row r="230" spans="1:30" ht="15.75" x14ac:dyDescent="0.25">
      <c r="A230" s="16">
        <v>48274</v>
      </c>
      <c r="B230" s="90">
        <v>31</v>
      </c>
      <c r="C230" s="77">
        <f>122.58</f>
        <v>122.58</v>
      </c>
      <c r="D230" s="77">
        <f>297.941</f>
        <v>297.94099999999997</v>
      </c>
      <c r="E230" s="85">
        <f>89.177</f>
        <v>89.177000000000007</v>
      </c>
      <c r="F230" s="77">
        <f>240.302-40-60-100</f>
        <v>40.301999999999992</v>
      </c>
      <c r="G230" s="80">
        <v>40</v>
      </c>
      <c r="H230" s="77">
        <f>60+100</f>
        <v>160</v>
      </c>
      <c r="I230" s="77">
        <f t="shared" si="28"/>
        <v>0</v>
      </c>
      <c r="J230" s="80">
        <v>100</v>
      </c>
      <c r="K230" s="80">
        <v>300</v>
      </c>
      <c r="L230" s="77">
        <f t="shared" si="32"/>
        <v>1150</v>
      </c>
      <c r="M230" s="87">
        <v>600</v>
      </c>
      <c r="N230" s="77">
        <f>100</f>
        <v>100</v>
      </c>
      <c r="O230" s="80">
        <v>240</v>
      </c>
      <c r="P230" s="80">
        <v>40</v>
      </c>
      <c r="Q230" s="80">
        <f t="shared" si="33"/>
        <v>315</v>
      </c>
      <c r="R230" s="80">
        <f t="shared" si="34"/>
        <v>100</v>
      </c>
      <c r="S230" s="77">
        <f t="shared" si="35"/>
        <v>695</v>
      </c>
      <c r="T230" s="77">
        <f>50</f>
        <v>50</v>
      </c>
      <c r="U230" s="78"/>
      <c r="V230" s="78"/>
      <c r="W230" s="78"/>
      <c r="X230" s="78"/>
      <c r="Y230" s="78"/>
      <c r="Z230" s="78"/>
      <c r="AA230" s="78"/>
      <c r="AB230" s="78"/>
      <c r="AC230" s="78"/>
      <c r="AD230" s="78"/>
    </row>
    <row r="231" spans="1:30" ht="15.75" x14ac:dyDescent="0.25">
      <c r="A231" s="16">
        <v>48305</v>
      </c>
      <c r="B231" s="90">
        <v>30</v>
      </c>
      <c r="C231" s="77">
        <f>141.293</f>
        <v>141.29300000000001</v>
      </c>
      <c r="D231" s="77">
        <f>267.993</f>
        <v>267.99299999999999</v>
      </c>
      <c r="E231" s="85">
        <f>115.016</f>
        <v>115.01600000000001</v>
      </c>
      <c r="F231" s="77">
        <f>314.698-40-25-60-100</f>
        <v>89.697999999999979</v>
      </c>
      <c r="G231" s="80">
        <v>40</v>
      </c>
      <c r="H231" s="77">
        <f t="shared" ref="H231:H237" si="38">25+60+100</f>
        <v>185</v>
      </c>
      <c r="I231" s="77">
        <f t="shared" si="28"/>
        <v>0</v>
      </c>
      <c r="J231" s="80">
        <v>100</v>
      </c>
      <c r="K231" s="80">
        <v>300</v>
      </c>
      <c r="L231" s="77">
        <f t="shared" si="32"/>
        <v>1239</v>
      </c>
      <c r="M231" s="87">
        <v>600</v>
      </c>
      <c r="N231" s="77">
        <f>100</f>
        <v>100</v>
      </c>
      <c r="O231" s="80">
        <v>240</v>
      </c>
      <c r="P231" s="80">
        <v>160</v>
      </c>
      <c r="Q231" s="80">
        <f t="shared" si="33"/>
        <v>195</v>
      </c>
      <c r="R231" s="80">
        <f t="shared" si="34"/>
        <v>100</v>
      </c>
      <c r="S231" s="77">
        <f t="shared" si="35"/>
        <v>695</v>
      </c>
      <c r="T231" s="77">
        <f>50</f>
        <v>50</v>
      </c>
      <c r="U231" s="78"/>
      <c r="V231" s="78"/>
      <c r="W231" s="78"/>
      <c r="X231" s="78"/>
      <c r="Y231" s="78"/>
      <c r="Z231" s="78"/>
      <c r="AA231" s="78"/>
      <c r="AB231" s="78"/>
      <c r="AC231" s="78"/>
      <c r="AD231" s="78"/>
    </row>
    <row r="232" spans="1:30" ht="15.75" x14ac:dyDescent="0.25">
      <c r="A232" s="16">
        <v>48335</v>
      </c>
      <c r="B232" s="90">
        <v>31</v>
      </c>
      <c r="C232" s="77">
        <f>194.205</f>
        <v>194.20500000000001</v>
      </c>
      <c r="D232" s="77">
        <f>267.466</f>
        <v>267.46600000000001</v>
      </c>
      <c r="E232" s="85">
        <f>133.845</f>
        <v>133.845</v>
      </c>
      <c r="F232" s="77">
        <f>278.484-40-25-60-100</f>
        <v>53.48399999999998</v>
      </c>
      <c r="G232" s="80">
        <v>40</v>
      </c>
      <c r="H232" s="77">
        <f t="shared" si="38"/>
        <v>185</v>
      </c>
      <c r="I232" s="77">
        <f t="shared" ref="I232:I295" si="39">400-J232-K232</f>
        <v>0</v>
      </c>
      <c r="J232" s="80">
        <v>100</v>
      </c>
      <c r="K232" s="80">
        <v>300</v>
      </c>
      <c r="L232" s="77">
        <f t="shared" si="32"/>
        <v>1274</v>
      </c>
      <c r="M232" s="87">
        <v>600</v>
      </c>
      <c r="N232" s="77">
        <f>75</f>
        <v>75</v>
      </c>
      <c r="O232" s="80">
        <v>240</v>
      </c>
      <c r="P232" s="80">
        <v>160</v>
      </c>
      <c r="Q232" s="80">
        <f t="shared" si="33"/>
        <v>195</v>
      </c>
      <c r="R232" s="80">
        <f t="shared" si="34"/>
        <v>100</v>
      </c>
      <c r="S232" s="77">
        <f t="shared" si="35"/>
        <v>695</v>
      </c>
      <c r="T232" s="77">
        <f>50</f>
        <v>50</v>
      </c>
      <c r="U232" s="78"/>
      <c r="V232" s="78"/>
      <c r="W232" s="78"/>
      <c r="X232" s="78"/>
      <c r="Y232" s="78"/>
      <c r="Z232" s="78"/>
      <c r="AA232" s="78"/>
      <c r="AB232" s="78"/>
      <c r="AC232" s="78"/>
      <c r="AD232" s="78"/>
    </row>
    <row r="233" spans="1:30" ht="15.75" x14ac:dyDescent="0.25">
      <c r="A233" s="16">
        <v>48366</v>
      </c>
      <c r="B233" s="90">
        <v>30</v>
      </c>
      <c r="C233" s="77">
        <f>194.205</f>
        <v>194.20500000000001</v>
      </c>
      <c r="D233" s="77">
        <f>267.466</f>
        <v>267.46600000000001</v>
      </c>
      <c r="E233" s="85">
        <f>133.845</f>
        <v>133.845</v>
      </c>
      <c r="F233" s="77">
        <f>278.484-40-25-60-100</f>
        <v>53.48399999999998</v>
      </c>
      <c r="G233" s="80">
        <v>40</v>
      </c>
      <c r="H233" s="77">
        <f t="shared" si="38"/>
        <v>185</v>
      </c>
      <c r="I233" s="77">
        <f t="shared" si="39"/>
        <v>0</v>
      </c>
      <c r="J233" s="80">
        <v>100</v>
      </c>
      <c r="K233" s="80">
        <v>300</v>
      </c>
      <c r="L233" s="77">
        <f t="shared" si="32"/>
        <v>1274</v>
      </c>
      <c r="M233" s="87">
        <v>600</v>
      </c>
      <c r="N233" s="77">
        <f>30</f>
        <v>30</v>
      </c>
      <c r="O233" s="80">
        <v>240</v>
      </c>
      <c r="P233" s="80">
        <v>160</v>
      </c>
      <c r="Q233" s="80">
        <f t="shared" si="33"/>
        <v>195</v>
      </c>
      <c r="R233" s="80">
        <f t="shared" si="34"/>
        <v>100</v>
      </c>
      <c r="S233" s="77">
        <f t="shared" si="35"/>
        <v>695</v>
      </c>
      <c r="T233" s="77">
        <f>50</f>
        <v>50</v>
      </c>
      <c r="U233" s="78"/>
      <c r="V233" s="78"/>
      <c r="W233" s="78"/>
      <c r="X233" s="78"/>
      <c r="Y233" s="78"/>
      <c r="Z233" s="78"/>
      <c r="AA233" s="78"/>
      <c r="AB233" s="78"/>
      <c r="AC233" s="78"/>
      <c r="AD233" s="78"/>
    </row>
    <row r="234" spans="1:30" ht="15.75" x14ac:dyDescent="0.25">
      <c r="A234" s="16">
        <v>48396</v>
      </c>
      <c r="B234" s="90">
        <v>31</v>
      </c>
      <c r="C234" s="77">
        <f>194.205</f>
        <v>194.20500000000001</v>
      </c>
      <c r="D234" s="77">
        <f>267.466</f>
        <v>267.46600000000001</v>
      </c>
      <c r="E234" s="85">
        <f>133.845</f>
        <v>133.845</v>
      </c>
      <c r="F234" s="77">
        <f>278.484-40-25-60-100</f>
        <v>53.48399999999998</v>
      </c>
      <c r="G234" s="80">
        <v>40</v>
      </c>
      <c r="H234" s="77">
        <f t="shared" si="38"/>
        <v>185</v>
      </c>
      <c r="I234" s="77">
        <f t="shared" si="39"/>
        <v>0</v>
      </c>
      <c r="J234" s="80">
        <v>100</v>
      </c>
      <c r="K234" s="80">
        <v>300</v>
      </c>
      <c r="L234" s="77">
        <f t="shared" si="32"/>
        <v>1274</v>
      </c>
      <c r="M234" s="87">
        <v>600</v>
      </c>
      <c r="N234" s="77">
        <f>30</f>
        <v>30</v>
      </c>
      <c r="O234" s="80">
        <v>240</v>
      </c>
      <c r="P234" s="80">
        <v>160</v>
      </c>
      <c r="Q234" s="80">
        <f t="shared" si="33"/>
        <v>195</v>
      </c>
      <c r="R234" s="80">
        <f t="shared" si="34"/>
        <v>100</v>
      </c>
      <c r="S234" s="77">
        <f t="shared" si="35"/>
        <v>695</v>
      </c>
      <c r="T234" s="77">
        <f>0</f>
        <v>0</v>
      </c>
      <c r="U234" s="78"/>
      <c r="V234" s="78"/>
      <c r="W234" s="78"/>
      <c r="X234" s="78"/>
      <c r="Y234" s="78"/>
      <c r="Z234" s="78"/>
      <c r="AA234" s="78"/>
      <c r="AB234" s="78"/>
      <c r="AC234" s="78"/>
      <c r="AD234" s="78"/>
    </row>
    <row r="235" spans="1:30" ht="15.75" x14ac:dyDescent="0.25">
      <c r="A235" s="16">
        <v>48427</v>
      </c>
      <c r="B235" s="90">
        <v>31</v>
      </c>
      <c r="C235" s="77">
        <f>194.205</f>
        <v>194.20500000000001</v>
      </c>
      <c r="D235" s="77">
        <f>267.466</f>
        <v>267.46600000000001</v>
      </c>
      <c r="E235" s="85">
        <f>133.845</f>
        <v>133.845</v>
      </c>
      <c r="F235" s="77">
        <f>278.484-40-25-60-100</f>
        <v>53.48399999999998</v>
      </c>
      <c r="G235" s="80">
        <v>40</v>
      </c>
      <c r="H235" s="77">
        <f t="shared" si="38"/>
        <v>185</v>
      </c>
      <c r="I235" s="77">
        <f t="shared" si="39"/>
        <v>0</v>
      </c>
      <c r="J235" s="80">
        <v>100</v>
      </c>
      <c r="K235" s="80">
        <v>300</v>
      </c>
      <c r="L235" s="77">
        <f t="shared" si="32"/>
        <v>1274</v>
      </c>
      <c r="M235" s="87">
        <v>600</v>
      </c>
      <c r="N235" s="77">
        <f>30</f>
        <v>30</v>
      </c>
      <c r="O235" s="80">
        <v>240</v>
      </c>
      <c r="P235" s="80">
        <v>160</v>
      </c>
      <c r="Q235" s="80">
        <f t="shared" si="33"/>
        <v>195</v>
      </c>
      <c r="R235" s="80">
        <f t="shared" si="34"/>
        <v>100</v>
      </c>
      <c r="S235" s="77">
        <f t="shared" si="35"/>
        <v>695</v>
      </c>
      <c r="T235" s="77">
        <f>0</f>
        <v>0</v>
      </c>
      <c r="U235" s="78"/>
      <c r="V235" s="78"/>
      <c r="W235" s="78"/>
      <c r="X235" s="78"/>
      <c r="Y235" s="78"/>
      <c r="Z235" s="78"/>
      <c r="AA235" s="78"/>
      <c r="AB235" s="78"/>
      <c r="AC235" s="78"/>
      <c r="AD235" s="78"/>
    </row>
    <row r="236" spans="1:30" ht="15.75" x14ac:dyDescent="0.25">
      <c r="A236" s="16">
        <v>48458</v>
      </c>
      <c r="B236" s="90">
        <v>30</v>
      </c>
      <c r="C236" s="77">
        <f>194.205</f>
        <v>194.20500000000001</v>
      </c>
      <c r="D236" s="77">
        <f>267.466</f>
        <v>267.46600000000001</v>
      </c>
      <c r="E236" s="85">
        <f>133.845</f>
        <v>133.845</v>
      </c>
      <c r="F236" s="77">
        <f>278.484-40-25-60-100</f>
        <v>53.48399999999998</v>
      </c>
      <c r="G236" s="80">
        <v>40</v>
      </c>
      <c r="H236" s="77">
        <f t="shared" si="38"/>
        <v>185</v>
      </c>
      <c r="I236" s="77">
        <f t="shared" si="39"/>
        <v>0</v>
      </c>
      <c r="J236" s="80">
        <v>100</v>
      </c>
      <c r="K236" s="80">
        <v>300</v>
      </c>
      <c r="L236" s="77">
        <f t="shared" si="32"/>
        <v>1274</v>
      </c>
      <c r="M236" s="87">
        <v>600</v>
      </c>
      <c r="N236" s="77">
        <f>30</f>
        <v>30</v>
      </c>
      <c r="O236" s="80">
        <v>240</v>
      </c>
      <c r="P236" s="80">
        <v>160</v>
      </c>
      <c r="Q236" s="80">
        <f t="shared" si="33"/>
        <v>195</v>
      </c>
      <c r="R236" s="80">
        <f t="shared" si="34"/>
        <v>100</v>
      </c>
      <c r="S236" s="77">
        <f t="shared" si="35"/>
        <v>695</v>
      </c>
      <c r="T236" s="77">
        <f>0</f>
        <v>0</v>
      </c>
      <c r="U236" s="78"/>
      <c r="V236" s="78"/>
      <c r="W236" s="78"/>
      <c r="X236" s="78"/>
      <c r="Y236" s="78"/>
      <c r="Z236" s="78"/>
      <c r="AA236" s="78"/>
      <c r="AB236" s="78"/>
      <c r="AC236" s="78"/>
      <c r="AD236" s="78"/>
    </row>
    <row r="237" spans="1:30" ht="15.75" x14ac:dyDescent="0.25">
      <c r="A237" s="16">
        <v>48488</v>
      </c>
      <c r="B237" s="90">
        <v>31</v>
      </c>
      <c r="C237" s="77">
        <f>131.881</f>
        <v>131.881</v>
      </c>
      <c r="D237" s="77">
        <f>277.167</f>
        <v>277.16699999999997</v>
      </c>
      <c r="E237" s="85">
        <f>79.08</f>
        <v>79.08</v>
      </c>
      <c r="F237" s="77">
        <f>350.872-40-25-60-100</f>
        <v>125.87200000000001</v>
      </c>
      <c r="G237" s="80">
        <v>40</v>
      </c>
      <c r="H237" s="77">
        <f t="shared" si="38"/>
        <v>185</v>
      </c>
      <c r="I237" s="77">
        <f t="shared" si="39"/>
        <v>0</v>
      </c>
      <c r="J237" s="80">
        <v>100</v>
      </c>
      <c r="K237" s="80">
        <v>300</v>
      </c>
      <c r="L237" s="77">
        <f t="shared" si="32"/>
        <v>1239</v>
      </c>
      <c r="M237" s="87">
        <v>600</v>
      </c>
      <c r="N237" s="77">
        <f>75</f>
        <v>75</v>
      </c>
      <c r="O237" s="80">
        <v>240</v>
      </c>
      <c r="P237" s="80">
        <v>160</v>
      </c>
      <c r="Q237" s="80">
        <f t="shared" si="33"/>
        <v>195</v>
      </c>
      <c r="R237" s="80">
        <f t="shared" si="34"/>
        <v>100</v>
      </c>
      <c r="S237" s="77">
        <f t="shared" si="35"/>
        <v>695</v>
      </c>
      <c r="T237" s="77">
        <f>0</f>
        <v>0</v>
      </c>
      <c r="U237" s="78"/>
      <c r="V237" s="78"/>
      <c r="W237" s="78"/>
      <c r="X237" s="78"/>
      <c r="Y237" s="78"/>
      <c r="Z237" s="78"/>
      <c r="AA237" s="78"/>
      <c r="AB237" s="78"/>
      <c r="AC237" s="78"/>
      <c r="AD237" s="78"/>
    </row>
    <row r="238" spans="1:30" ht="15.75" x14ac:dyDescent="0.25">
      <c r="A238" s="16">
        <v>48519</v>
      </c>
      <c r="B238" s="90">
        <v>30</v>
      </c>
      <c r="C238" s="77">
        <f>122.58</f>
        <v>122.58</v>
      </c>
      <c r="D238" s="77">
        <f>297.941</f>
        <v>297.94099999999997</v>
      </c>
      <c r="E238" s="85">
        <f>89.177</f>
        <v>89.177000000000007</v>
      </c>
      <c r="F238" s="77">
        <f>240.302-40-60-100</f>
        <v>40.301999999999992</v>
      </c>
      <c r="G238" s="80">
        <v>40</v>
      </c>
      <c r="H238" s="77">
        <f>60+100</f>
        <v>160</v>
      </c>
      <c r="I238" s="77">
        <f t="shared" si="39"/>
        <v>0</v>
      </c>
      <c r="J238" s="80">
        <v>100</v>
      </c>
      <c r="K238" s="80">
        <v>300</v>
      </c>
      <c r="L238" s="77">
        <f t="shared" si="32"/>
        <v>1150</v>
      </c>
      <c r="M238" s="87">
        <v>600</v>
      </c>
      <c r="N238" s="77">
        <f>100</f>
        <v>100</v>
      </c>
      <c r="O238" s="80">
        <v>240</v>
      </c>
      <c r="P238" s="80">
        <v>40</v>
      </c>
      <c r="Q238" s="80">
        <f t="shared" si="33"/>
        <v>315</v>
      </c>
      <c r="R238" s="80">
        <f t="shared" si="34"/>
        <v>100</v>
      </c>
      <c r="S238" s="77">
        <f t="shared" si="35"/>
        <v>695</v>
      </c>
      <c r="T238" s="77">
        <f>50</f>
        <v>50</v>
      </c>
      <c r="U238" s="78"/>
      <c r="V238" s="78"/>
      <c r="W238" s="78"/>
      <c r="X238" s="78"/>
      <c r="Y238" s="78"/>
      <c r="Z238" s="78"/>
      <c r="AA238" s="78"/>
      <c r="AB238" s="78"/>
      <c r="AC238" s="78"/>
      <c r="AD238" s="78"/>
    </row>
    <row r="239" spans="1:30" ht="15.75" x14ac:dyDescent="0.25">
      <c r="A239" s="16">
        <v>48549</v>
      </c>
      <c r="B239" s="90">
        <v>31</v>
      </c>
      <c r="C239" s="77">
        <f>122.58</f>
        <v>122.58</v>
      </c>
      <c r="D239" s="77">
        <f>297.941</f>
        <v>297.94099999999997</v>
      </c>
      <c r="E239" s="85">
        <f>89.177</f>
        <v>89.177000000000007</v>
      </c>
      <c r="F239" s="77">
        <f>240.302-40-60-100</f>
        <v>40.301999999999992</v>
      </c>
      <c r="G239" s="80">
        <v>40</v>
      </c>
      <c r="H239" s="77">
        <f>60+100</f>
        <v>160</v>
      </c>
      <c r="I239" s="77">
        <f t="shared" si="39"/>
        <v>0</v>
      </c>
      <c r="J239" s="80">
        <v>100</v>
      </c>
      <c r="K239" s="80">
        <v>300</v>
      </c>
      <c r="L239" s="77">
        <f t="shared" si="32"/>
        <v>1150</v>
      </c>
      <c r="M239" s="87">
        <v>600</v>
      </c>
      <c r="N239" s="77">
        <f>100</f>
        <v>100</v>
      </c>
      <c r="O239" s="80">
        <v>240</v>
      </c>
      <c r="P239" s="80">
        <v>40</v>
      </c>
      <c r="Q239" s="80">
        <f t="shared" si="33"/>
        <v>315</v>
      </c>
      <c r="R239" s="80">
        <f t="shared" si="34"/>
        <v>100</v>
      </c>
      <c r="S239" s="77">
        <f t="shared" si="35"/>
        <v>695</v>
      </c>
      <c r="T239" s="77">
        <f>50</f>
        <v>50</v>
      </c>
      <c r="U239" s="78"/>
      <c r="V239" s="78"/>
      <c r="W239" s="78"/>
      <c r="X239" s="78"/>
      <c r="Y239" s="78"/>
      <c r="Z239" s="78"/>
      <c r="AA239" s="78"/>
      <c r="AB239" s="78"/>
      <c r="AC239" s="78"/>
      <c r="AD239" s="78"/>
    </row>
    <row r="240" spans="1:30" ht="15.75" x14ac:dyDescent="0.25">
      <c r="A240" s="16">
        <v>48580</v>
      </c>
      <c r="B240" s="90">
        <v>31</v>
      </c>
      <c r="C240" s="77">
        <f>122.58</f>
        <v>122.58</v>
      </c>
      <c r="D240" s="77">
        <f>297.941</f>
        <v>297.94099999999997</v>
      </c>
      <c r="E240" s="85">
        <f>89.177</f>
        <v>89.177000000000007</v>
      </c>
      <c r="F240" s="77">
        <f>240.302-40-60-100</f>
        <v>40.301999999999992</v>
      </c>
      <c r="G240" s="80">
        <v>40</v>
      </c>
      <c r="H240" s="77">
        <f>60+100</f>
        <v>160</v>
      </c>
      <c r="I240" s="77">
        <f t="shared" si="39"/>
        <v>0</v>
      </c>
      <c r="J240" s="80">
        <v>100</v>
      </c>
      <c r="K240" s="80">
        <v>300</v>
      </c>
      <c r="L240" s="77">
        <f t="shared" si="32"/>
        <v>1150</v>
      </c>
      <c r="M240" s="87">
        <v>600</v>
      </c>
      <c r="N240" s="77">
        <f>100</f>
        <v>100</v>
      </c>
      <c r="O240" s="80">
        <v>240</v>
      </c>
      <c r="P240" s="80">
        <v>40</v>
      </c>
      <c r="Q240" s="80">
        <f t="shared" si="33"/>
        <v>315</v>
      </c>
      <c r="R240" s="80">
        <f t="shared" si="34"/>
        <v>100</v>
      </c>
      <c r="S240" s="77">
        <f t="shared" si="35"/>
        <v>695</v>
      </c>
      <c r="T240" s="77">
        <f>50</f>
        <v>50</v>
      </c>
      <c r="U240" s="78"/>
      <c r="V240" s="78"/>
      <c r="W240" s="78"/>
      <c r="X240" s="78"/>
      <c r="Y240" s="78"/>
      <c r="Z240" s="78"/>
      <c r="AA240" s="78"/>
      <c r="AB240" s="78"/>
      <c r="AC240" s="78"/>
      <c r="AD240" s="78"/>
    </row>
    <row r="241" spans="1:30" ht="15.75" x14ac:dyDescent="0.25">
      <c r="A241" s="16">
        <v>48611</v>
      </c>
      <c r="B241" s="90">
        <v>28</v>
      </c>
      <c r="C241" s="77">
        <f>122.58</f>
        <v>122.58</v>
      </c>
      <c r="D241" s="77">
        <f>297.941</f>
        <v>297.94099999999997</v>
      </c>
      <c r="E241" s="85">
        <f>89.177</f>
        <v>89.177000000000007</v>
      </c>
      <c r="F241" s="77">
        <f>240.302-40-60-100</f>
        <v>40.301999999999992</v>
      </c>
      <c r="G241" s="80">
        <v>40</v>
      </c>
      <c r="H241" s="77">
        <f>60+100</f>
        <v>160</v>
      </c>
      <c r="I241" s="77">
        <f t="shared" si="39"/>
        <v>0</v>
      </c>
      <c r="J241" s="80">
        <v>100</v>
      </c>
      <c r="K241" s="80">
        <v>300</v>
      </c>
      <c r="L241" s="77">
        <f t="shared" si="32"/>
        <v>1150</v>
      </c>
      <c r="M241" s="87">
        <v>600</v>
      </c>
      <c r="N241" s="77">
        <f>100</f>
        <v>100</v>
      </c>
      <c r="O241" s="80">
        <v>240</v>
      </c>
      <c r="P241" s="80">
        <v>40</v>
      </c>
      <c r="Q241" s="80">
        <f t="shared" si="33"/>
        <v>315</v>
      </c>
      <c r="R241" s="80">
        <f t="shared" si="34"/>
        <v>100</v>
      </c>
      <c r="S241" s="77">
        <f t="shared" si="35"/>
        <v>695</v>
      </c>
      <c r="T241" s="77">
        <f>50</f>
        <v>50</v>
      </c>
      <c r="U241" s="78"/>
      <c r="V241" s="78"/>
      <c r="W241" s="78"/>
      <c r="X241" s="78"/>
      <c r="Y241" s="78"/>
      <c r="Z241" s="78"/>
      <c r="AA241" s="78"/>
      <c r="AB241" s="78"/>
      <c r="AC241" s="78"/>
      <c r="AD241" s="78"/>
    </row>
    <row r="242" spans="1:30" ht="15.75" x14ac:dyDescent="0.25">
      <c r="A242" s="16">
        <v>48639</v>
      </c>
      <c r="B242" s="90">
        <v>31</v>
      </c>
      <c r="C242" s="77">
        <f>122.58</f>
        <v>122.58</v>
      </c>
      <c r="D242" s="77">
        <f>297.941</f>
        <v>297.94099999999997</v>
      </c>
      <c r="E242" s="85">
        <f>89.177</f>
        <v>89.177000000000007</v>
      </c>
      <c r="F242" s="77">
        <f>240.302-40-60-100</f>
        <v>40.301999999999992</v>
      </c>
      <c r="G242" s="80">
        <v>40</v>
      </c>
      <c r="H242" s="77">
        <f>60+100</f>
        <v>160</v>
      </c>
      <c r="I242" s="77">
        <f t="shared" si="39"/>
        <v>0</v>
      </c>
      <c r="J242" s="80">
        <v>100</v>
      </c>
      <c r="K242" s="80">
        <v>300</v>
      </c>
      <c r="L242" s="77">
        <f t="shared" si="32"/>
        <v>1150</v>
      </c>
      <c r="M242" s="87">
        <v>600</v>
      </c>
      <c r="N242" s="77">
        <f>100</f>
        <v>100</v>
      </c>
      <c r="O242" s="80">
        <v>240</v>
      </c>
      <c r="P242" s="80">
        <v>40</v>
      </c>
      <c r="Q242" s="80">
        <f t="shared" si="33"/>
        <v>315</v>
      </c>
      <c r="R242" s="80">
        <f t="shared" si="34"/>
        <v>100</v>
      </c>
      <c r="S242" s="77">
        <f t="shared" si="35"/>
        <v>695</v>
      </c>
      <c r="T242" s="77">
        <f>50</f>
        <v>50</v>
      </c>
      <c r="U242" s="78"/>
      <c r="V242" s="78"/>
      <c r="W242" s="78"/>
      <c r="X242" s="78"/>
      <c r="Y242" s="78"/>
      <c r="Z242" s="78"/>
      <c r="AA242" s="78"/>
      <c r="AB242" s="78"/>
      <c r="AC242" s="78"/>
      <c r="AD242" s="78"/>
    </row>
    <row r="243" spans="1:30" ht="15.75" x14ac:dyDescent="0.25">
      <c r="A243" s="16">
        <v>48670</v>
      </c>
      <c r="B243" s="90">
        <v>30</v>
      </c>
      <c r="C243" s="77">
        <f>141.293</f>
        <v>141.29300000000001</v>
      </c>
      <c r="D243" s="77">
        <f>267.993</f>
        <v>267.99299999999999</v>
      </c>
      <c r="E243" s="85">
        <f>115.016</f>
        <v>115.01600000000001</v>
      </c>
      <c r="F243" s="77">
        <f>314.698-40-25-60-100</f>
        <v>89.697999999999979</v>
      </c>
      <c r="G243" s="80">
        <v>40</v>
      </c>
      <c r="H243" s="77">
        <f t="shared" ref="H243:H249" si="40">25+60+100</f>
        <v>185</v>
      </c>
      <c r="I243" s="77">
        <f t="shared" si="39"/>
        <v>0</v>
      </c>
      <c r="J243" s="80">
        <v>100</v>
      </c>
      <c r="K243" s="80">
        <v>300</v>
      </c>
      <c r="L243" s="77">
        <f t="shared" si="32"/>
        <v>1239</v>
      </c>
      <c r="M243" s="87">
        <v>600</v>
      </c>
      <c r="N243" s="77">
        <f>100</f>
        <v>100</v>
      </c>
      <c r="O243" s="80">
        <v>240</v>
      </c>
      <c r="P243" s="80">
        <v>160</v>
      </c>
      <c r="Q243" s="80">
        <f t="shared" si="33"/>
        <v>195</v>
      </c>
      <c r="R243" s="80">
        <f t="shared" si="34"/>
        <v>100</v>
      </c>
      <c r="S243" s="77">
        <f t="shared" si="35"/>
        <v>695</v>
      </c>
      <c r="T243" s="77">
        <f>50</f>
        <v>50</v>
      </c>
      <c r="U243" s="78"/>
      <c r="V243" s="78"/>
      <c r="W243" s="78"/>
      <c r="X243" s="78"/>
      <c r="Y243" s="78"/>
      <c r="Z243" s="78"/>
      <c r="AA243" s="78"/>
      <c r="AB243" s="78"/>
      <c r="AC243" s="78"/>
      <c r="AD243" s="78"/>
    </row>
    <row r="244" spans="1:30" ht="15.75" x14ac:dyDescent="0.25">
      <c r="A244" s="16">
        <v>48700</v>
      </c>
      <c r="B244" s="90">
        <v>31</v>
      </c>
      <c r="C244" s="77">
        <f>194.205</f>
        <v>194.20500000000001</v>
      </c>
      <c r="D244" s="77">
        <f>267.466</f>
        <v>267.46600000000001</v>
      </c>
      <c r="E244" s="85">
        <f>133.845</f>
        <v>133.845</v>
      </c>
      <c r="F244" s="77">
        <f>278.484-40-25-60-100</f>
        <v>53.48399999999998</v>
      </c>
      <c r="G244" s="80">
        <v>40</v>
      </c>
      <c r="H244" s="77">
        <f t="shared" si="40"/>
        <v>185</v>
      </c>
      <c r="I244" s="77">
        <f t="shared" si="39"/>
        <v>0</v>
      </c>
      <c r="J244" s="80">
        <v>100</v>
      </c>
      <c r="K244" s="80">
        <v>300</v>
      </c>
      <c r="L244" s="77">
        <f t="shared" si="32"/>
        <v>1274</v>
      </c>
      <c r="M244" s="87">
        <v>600</v>
      </c>
      <c r="N244" s="77">
        <f>75</f>
        <v>75</v>
      </c>
      <c r="O244" s="80">
        <v>240</v>
      </c>
      <c r="P244" s="80">
        <v>160</v>
      </c>
      <c r="Q244" s="80">
        <f t="shared" si="33"/>
        <v>195</v>
      </c>
      <c r="R244" s="80">
        <f t="shared" si="34"/>
        <v>100</v>
      </c>
      <c r="S244" s="77">
        <f t="shared" si="35"/>
        <v>695</v>
      </c>
      <c r="T244" s="77">
        <f>50</f>
        <v>50</v>
      </c>
      <c r="U244" s="78"/>
      <c r="V244" s="78"/>
      <c r="W244" s="78"/>
      <c r="X244" s="78"/>
      <c r="Y244" s="78"/>
      <c r="Z244" s="78"/>
      <c r="AA244" s="78"/>
      <c r="AB244" s="78"/>
      <c r="AC244" s="78"/>
      <c r="AD244" s="78"/>
    </row>
    <row r="245" spans="1:30" ht="15.75" x14ac:dyDescent="0.25">
      <c r="A245" s="16">
        <v>48731</v>
      </c>
      <c r="B245" s="90">
        <v>30</v>
      </c>
      <c r="C245" s="77">
        <f>194.205</f>
        <v>194.20500000000001</v>
      </c>
      <c r="D245" s="77">
        <f>267.466</f>
        <v>267.46600000000001</v>
      </c>
      <c r="E245" s="85">
        <f>133.845</f>
        <v>133.845</v>
      </c>
      <c r="F245" s="77">
        <f>278.484-40-25-60-100</f>
        <v>53.48399999999998</v>
      </c>
      <c r="G245" s="80">
        <v>40</v>
      </c>
      <c r="H245" s="77">
        <f t="shared" si="40"/>
        <v>185</v>
      </c>
      <c r="I245" s="77">
        <f t="shared" si="39"/>
        <v>0</v>
      </c>
      <c r="J245" s="80">
        <v>100</v>
      </c>
      <c r="K245" s="80">
        <v>300</v>
      </c>
      <c r="L245" s="77">
        <f t="shared" si="32"/>
        <v>1274</v>
      </c>
      <c r="M245" s="87">
        <v>600</v>
      </c>
      <c r="N245" s="77">
        <f>30</f>
        <v>30</v>
      </c>
      <c r="O245" s="80">
        <v>240</v>
      </c>
      <c r="P245" s="80">
        <v>160</v>
      </c>
      <c r="Q245" s="80">
        <f t="shared" si="33"/>
        <v>195</v>
      </c>
      <c r="R245" s="80">
        <f t="shared" si="34"/>
        <v>100</v>
      </c>
      <c r="S245" s="77">
        <f t="shared" si="35"/>
        <v>695</v>
      </c>
      <c r="T245" s="77">
        <f>50</f>
        <v>50</v>
      </c>
      <c r="U245" s="78"/>
      <c r="V245" s="78"/>
      <c r="W245" s="78"/>
      <c r="X245" s="78"/>
      <c r="Y245" s="78"/>
      <c r="Z245" s="78"/>
      <c r="AA245" s="78"/>
      <c r="AB245" s="78"/>
      <c r="AC245" s="78"/>
      <c r="AD245" s="78"/>
    </row>
    <row r="246" spans="1:30" ht="15.75" x14ac:dyDescent="0.25">
      <c r="A246" s="16">
        <v>48761</v>
      </c>
      <c r="B246" s="90">
        <v>31</v>
      </c>
      <c r="C246" s="77">
        <f>194.205</f>
        <v>194.20500000000001</v>
      </c>
      <c r="D246" s="77">
        <f>267.466</f>
        <v>267.46600000000001</v>
      </c>
      <c r="E246" s="85">
        <f>133.845</f>
        <v>133.845</v>
      </c>
      <c r="F246" s="77">
        <f>278.484-40-25-60-100</f>
        <v>53.48399999999998</v>
      </c>
      <c r="G246" s="80">
        <v>40</v>
      </c>
      <c r="H246" s="77">
        <f t="shared" si="40"/>
        <v>185</v>
      </c>
      <c r="I246" s="77">
        <f t="shared" si="39"/>
        <v>0</v>
      </c>
      <c r="J246" s="80">
        <v>100</v>
      </c>
      <c r="K246" s="80">
        <v>300</v>
      </c>
      <c r="L246" s="77">
        <f t="shared" si="32"/>
        <v>1274</v>
      </c>
      <c r="M246" s="87">
        <v>600</v>
      </c>
      <c r="N246" s="77">
        <f>30</f>
        <v>30</v>
      </c>
      <c r="O246" s="80">
        <v>240</v>
      </c>
      <c r="P246" s="80">
        <v>160</v>
      </c>
      <c r="Q246" s="80">
        <f t="shared" si="33"/>
        <v>195</v>
      </c>
      <c r="R246" s="80">
        <f t="shared" si="34"/>
        <v>100</v>
      </c>
      <c r="S246" s="77">
        <f t="shared" si="35"/>
        <v>695</v>
      </c>
      <c r="T246" s="77">
        <f>0</f>
        <v>0</v>
      </c>
      <c r="U246" s="78"/>
      <c r="V246" s="78"/>
      <c r="W246" s="78"/>
      <c r="X246" s="78"/>
      <c r="Y246" s="78"/>
      <c r="Z246" s="78"/>
      <c r="AA246" s="78"/>
      <c r="AB246" s="78"/>
      <c r="AC246" s="78"/>
      <c r="AD246" s="78"/>
    </row>
    <row r="247" spans="1:30" ht="15.75" x14ac:dyDescent="0.25">
      <c r="A247" s="16">
        <v>48792</v>
      </c>
      <c r="B247" s="90">
        <v>31</v>
      </c>
      <c r="C247" s="77">
        <f>194.205</f>
        <v>194.20500000000001</v>
      </c>
      <c r="D247" s="77">
        <f>267.466</f>
        <v>267.46600000000001</v>
      </c>
      <c r="E247" s="85">
        <f>133.845</f>
        <v>133.845</v>
      </c>
      <c r="F247" s="77">
        <f>278.484-40-25-60-100</f>
        <v>53.48399999999998</v>
      </c>
      <c r="G247" s="80">
        <v>40</v>
      </c>
      <c r="H247" s="77">
        <f t="shared" si="40"/>
        <v>185</v>
      </c>
      <c r="I247" s="77">
        <f t="shared" si="39"/>
        <v>0</v>
      </c>
      <c r="J247" s="80">
        <v>100</v>
      </c>
      <c r="K247" s="80">
        <v>300</v>
      </c>
      <c r="L247" s="77">
        <f t="shared" si="32"/>
        <v>1274</v>
      </c>
      <c r="M247" s="87">
        <v>600</v>
      </c>
      <c r="N247" s="77">
        <f>30</f>
        <v>30</v>
      </c>
      <c r="O247" s="80">
        <v>240</v>
      </c>
      <c r="P247" s="80">
        <v>160</v>
      </c>
      <c r="Q247" s="80">
        <f t="shared" si="33"/>
        <v>195</v>
      </c>
      <c r="R247" s="80">
        <f t="shared" si="34"/>
        <v>100</v>
      </c>
      <c r="S247" s="77">
        <f t="shared" si="35"/>
        <v>695</v>
      </c>
      <c r="T247" s="77">
        <f>0</f>
        <v>0</v>
      </c>
      <c r="U247" s="78"/>
      <c r="V247" s="78"/>
      <c r="W247" s="78"/>
      <c r="X247" s="78"/>
      <c r="Y247" s="78"/>
      <c r="Z247" s="78"/>
      <c r="AA247" s="78"/>
      <c r="AB247" s="78"/>
      <c r="AC247" s="78"/>
      <c r="AD247" s="78"/>
    </row>
    <row r="248" spans="1:30" ht="15.75" x14ac:dyDescent="0.25">
      <c r="A248" s="16">
        <v>48823</v>
      </c>
      <c r="B248" s="90">
        <v>30</v>
      </c>
      <c r="C248" s="77">
        <f>194.205</f>
        <v>194.20500000000001</v>
      </c>
      <c r="D248" s="77">
        <f>267.466</f>
        <v>267.46600000000001</v>
      </c>
      <c r="E248" s="85">
        <f>133.845</f>
        <v>133.845</v>
      </c>
      <c r="F248" s="77">
        <f>278.484-40-25-60-100</f>
        <v>53.48399999999998</v>
      </c>
      <c r="G248" s="80">
        <v>40</v>
      </c>
      <c r="H248" s="77">
        <f t="shared" si="40"/>
        <v>185</v>
      </c>
      <c r="I248" s="77">
        <f t="shared" si="39"/>
        <v>0</v>
      </c>
      <c r="J248" s="80">
        <v>100</v>
      </c>
      <c r="K248" s="80">
        <v>300</v>
      </c>
      <c r="L248" s="77">
        <f t="shared" si="32"/>
        <v>1274</v>
      </c>
      <c r="M248" s="87">
        <v>600</v>
      </c>
      <c r="N248" s="77">
        <f>30</f>
        <v>30</v>
      </c>
      <c r="O248" s="80">
        <v>240</v>
      </c>
      <c r="P248" s="80">
        <v>160</v>
      </c>
      <c r="Q248" s="80">
        <f t="shared" si="33"/>
        <v>195</v>
      </c>
      <c r="R248" s="80">
        <f t="shared" si="34"/>
        <v>100</v>
      </c>
      <c r="S248" s="77">
        <f t="shared" si="35"/>
        <v>695</v>
      </c>
      <c r="T248" s="77">
        <f>0</f>
        <v>0</v>
      </c>
      <c r="U248" s="78"/>
      <c r="V248" s="78"/>
      <c r="W248" s="78"/>
      <c r="X248" s="78"/>
      <c r="Y248" s="78"/>
      <c r="Z248" s="78"/>
      <c r="AA248" s="78"/>
      <c r="AB248" s="78"/>
      <c r="AC248" s="78"/>
      <c r="AD248" s="78"/>
    </row>
    <row r="249" spans="1:30" ht="15.75" x14ac:dyDescent="0.25">
      <c r="A249" s="16">
        <v>48853</v>
      </c>
      <c r="B249" s="90">
        <v>31</v>
      </c>
      <c r="C249" s="77">
        <f>131.881</f>
        <v>131.881</v>
      </c>
      <c r="D249" s="77">
        <f>277.167</f>
        <v>277.16699999999997</v>
      </c>
      <c r="E249" s="85">
        <f>79.08</f>
        <v>79.08</v>
      </c>
      <c r="F249" s="77">
        <f>350.872-40-25-60-100</f>
        <v>125.87200000000001</v>
      </c>
      <c r="G249" s="80">
        <v>40</v>
      </c>
      <c r="H249" s="77">
        <f t="shared" si="40"/>
        <v>185</v>
      </c>
      <c r="I249" s="77">
        <f t="shared" si="39"/>
        <v>0</v>
      </c>
      <c r="J249" s="80">
        <v>100</v>
      </c>
      <c r="K249" s="80">
        <v>300</v>
      </c>
      <c r="L249" s="77">
        <f t="shared" si="32"/>
        <v>1239</v>
      </c>
      <c r="M249" s="87">
        <v>600</v>
      </c>
      <c r="N249" s="77">
        <f>75</f>
        <v>75</v>
      </c>
      <c r="O249" s="80">
        <v>240</v>
      </c>
      <c r="P249" s="80">
        <v>160</v>
      </c>
      <c r="Q249" s="80">
        <f t="shared" si="33"/>
        <v>195</v>
      </c>
      <c r="R249" s="80">
        <f t="shared" si="34"/>
        <v>100</v>
      </c>
      <c r="S249" s="77">
        <f t="shared" si="35"/>
        <v>695</v>
      </c>
      <c r="T249" s="77">
        <f>0</f>
        <v>0</v>
      </c>
      <c r="U249" s="78"/>
      <c r="V249" s="78"/>
      <c r="W249" s="78"/>
      <c r="X249" s="78"/>
      <c r="Y249" s="78"/>
      <c r="Z249" s="78"/>
      <c r="AA249" s="78"/>
      <c r="AB249" s="78"/>
      <c r="AC249" s="78"/>
      <c r="AD249" s="78"/>
    </row>
    <row r="250" spans="1:30" ht="15.75" x14ac:dyDescent="0.25">
      <c r="A250" s="16">
        <v>48884</v>
      </c>
      <c r="B250" s="90">
        <v>30</v>
      </c>
      <c r="C250" s="77">
        <f>122.58</f>
        <v>122.58</v>
      </c>
      <c r="D250" s="77">
        <f>297.941</f>
        <v>297.94099999999997</v>
      </c>
      <c r="E250" s="85">
        <f>89.177</f>
        <v>89.177000000000007</v>
      </c>
      <c r="F250" s="77">
        <f>240.302-40-60-100</f>
        <v>40.301999999999992</v>
      </c>
      <c r="G250" s="80">
        <v>40</v>
      </c>
      <c r="H250" s="77">
        <f>60+100</f>
        <v>160</v>
      </c>
      <c r="I250" s="77">
        <f t="shared" si="39"/>
        <v>0</v>
      </c>
      <c r="J250" s="80">
        <v>100</v>
      </c>
      <c r="K250" s="80">
        <v>300</v>
      </c>
      <c r="L250" s="77">
        <f t="shared" si="32"/>
        <v>1150</v>
      </c>
      <c r="M250" s="87">
        <v>600</v>
      </c>
      <c r="N250" s="77">
        <f>100</f>
        <v>100</v>
      </c>
      <c r="O250" s="80">
        <v>240</v>
      </c>
      <c r="P250" s="80">
        <v>40</v>
      </c>
      <c r="Q250" s="80">
        <f t="shared" si="33"/>
        <v>315</v>
      </c>
      <c r="R250" s="80">
        <f t="shared" si="34"/>
        <v>100</v>
      </c>
      <c r="S250" s="77">
        <f t="shared" si="35"/>
        <v>695</v>
      </c>
      <c r="T250" s="77">
        <f>50</f>
        <v>50</v>
      </c>
      <c r="U250" s="78"/>
      <c r="V250" s="78"/>
      <c r="W250" s="78"/>
      <c r="X250" s="78"/>
      <c r="Y250" s="78"/>
      <c r="Z250" s="78"/>
      <c r="AA250" s="78"/>
      <c r="AB250" s="78"/>
      <c r="AC250" s="78"/>
      <c r="AD250" s="78"/>
    </row>
    <row r="251" spans="1:30" ht="15.75" x14ac:dyDescent="0.25">
      <c r="A251" s="16">
        <v>48914</v>
      </c>
      <c r="B251" s="90">
        <v>31</v>
      </c>
      <c r="C251" s="77">
        <f>122.58</f>
        <v>122.58</v>
      </c>
      <c r="D251" s="77">
        <f>297.941</f>
        <v>297.94099999999997</v>
      </c>
      <c r="E251" s="85">
        <f>89.177</f>
        <v>89.177000000000007</v>
      </c>
      <c r="F251" s="77">
        <f>240.302-40-60-100</f>
        <v>40.301999999999992</v>
      </c>
      <c r="G251" s="80">
        <v>40</v>
      </c>
      <c r="H251" s="77">
        <f>60+100</f>
        <v>160</v>
      </c>
      <c r="I251" s="77">
        <f t="shared" si="39"/>
        <v>0</v>
      </c>
      <c r="J251" s="80">
        <v>100</v>
      </c>
      <c r="K251" s="80">
        <v>300</v>
      </c>
      <c r="L251" s="77">
        <f t="shared" si="32"/>
        <v>1150</v>
      </c>
      <c r="M251" s="87">
        <v>600</v>
      </c>
      <c r="N251" s="77">
        <f>100</f>
        <v>100</v>
      </c>
      <c r="O251" s="80">
        <v>240</v>
      </c>
      <c r="P251" s="80">
        <v>40</v>
      </c>
      <c r="Q251" s="80">
        <f t="shared" si="33"/>
        <v>315</v>
      </c>
      <c r="R251" s="80">
        <f t="shared" si="34"/>
        <v>100</v>
      </c>
      <c r="S251" s="77">
        <f t="shared" si="35"/>
        <v>695</v>
      </c>
      <c r="T251" s="77">
        <f>50</f>
        <v>50</v>
      </c>
      <c r="U251" s="78"/>
      <c r="V251" s="78"/>
      <c r="W251" s="78"/>
      <c r="X251" s="78"/>
      <c r="Y251" s="78"/>
      <c r="Z251" s="78"/>
      <c r="AA251" s="78"/>
      <c r="AB251" s="78"/>
      <c r="AC251" s="78"/>
      <c r="AD251" s="78"/>
    </row>
    <row r="252" spans="1:30" ht="15.75" x14ac:dyDescent="0.25">
      <c r="A252" s="16">
        <v>48945</v>
      </c>
      <c r="B252" s="90">
        <v>31</v>
      </c>
      <c r="C252" s="77">
        <f>122.58</f>
        <v>122.58</v>
      </c>
      <c r="D252" s="77">
        <f>297.941</f>
        <v>297.94099999999997</v>
      </c>
      <c r="E252" s="85">
        <f>89.177</f>
        <v>89.177000000000007</v>
      </c>
      <c r="F252" s="77">
        <f>240.302-40-60-100</f>
        <v>40.301999999999992</v>
      </c>
      <c r="G252" s="80">
        <v>40</v>
      </c>
      <c r="H252" s="77">
        <f>60+100</f>
        <v>160</v>
      </c>
      <c r="I252" s="77">
        <f t="shared" si="39"/>
        <v>0</v>
      </c>
      <c r="J252" s="80">
        <v>100</v>
      </c>
      <c r="K252" s="80">
        <v>300</v>
      </c>
      <c r="L252" s="77">
        <f t="shared" si="32"/>
        <v>1150</v>
      </c>
      <c r="M252" s="87">
        <v>600</v>
      </c>
      <c r="N252" s="77">
        <f>100</f>
        <v>100</v>
      </c>
      <c r="O252" s="80">
        <v>240</v>
      </c>
      <c r="P252" s="80">
        <v>40</v>
      </c>
      <c r="Q252" s="80">
        <f t="shared" si="33"/>
        <v>315</v>
      </c>
      <c r="R252" s="80">
        <f t="shared" si="34"/>
        <v>100</v>
      </c>
      <c r="S252" s="77">
        <f t="shared" si="35"/>
        <v>695</v>
      </c>
      <c r="T252" s="77">
        <f>50</f>
        <v>50</v>
      </c>
      <c r="U252" s="78"/>
      <c r="V252" s="78"/>
      <c r="W252" s="78"/>
      <c r="X252" s="78"/>
      <c r="Y252" s="78"/>
      <c r="Z252" s="78"/>
      <c r="AA252" s="78"/>
      <c r="AB252" s="78"/>
      <c r="AC252" s="78"/>
      <c r="AD252" s="78"/>
    </row>
    <row r="253" spans="1:30" ht="15.75" x14ac:dyDescent="0.25">
      <c r="A253" s="16">
        <v>48976</v>
      </c>
      <c r="B253" s="90">
        <v>28</v>
      </c>
      <c r="C253" s="77">
        <f>122.58</f>
        <v>122.58</v>
      </c>
      <c r="D253" s="77">
        <f>297.941</f>
        <v>297.94099999999997</v>
      </c>
      <c r="E253" s="85">
        <f>89.177</f>
        <v>89.177000000000007</v>
      </c>
      <c r="F253" s="77">
        <f>240.302-40-60-100</f>
        <v>40.301999999999992</v>
      </c>
      <c r="G253" s="80">
        <v>40</v>
      </c>
      <c r="H253" s="77">
        <f>60+100</f>
        <v>160</v>
      </c>
      <c r="I253" s="77">
        <f t="shared" si="39"/>
        <v>0</v>
      </c>
      <c r="J253" s="80">
        <v>100</v>
      </c>
      <c r="K253" s="80">
        <v>300</v>
      </c>
      <c r="L253" s="77">
        <f t="shared" si="32"/>
        <v>1150</v>
      </c>
      <c r="M253" s="87">
        <v>600</v>
      </c>
      <c r="N253" s="77">
        <f>100</f>
        <v>100</v>
      </c>
      <c r="O253" s="80">
        <v>240</v>
      </c>
      <c r="P253" s="80">
        <v>40</v>
      </c>
      <c r="Q253" s="80">
        <f t="shared" si="33"/>
        <v>315</v>
      </c>
      <c r="R253" s="80">
        <f t="shared" si="34"/>
        <v>100</v>
      </c>
      <c r="S253" s="77">
        <f t="shared" si="35"/>
        <v>695</v>
      </c>
      <c r="T253" s="77">
        <f>50</f>
        <v>50</v>
      </c>
      <c r="U253" s="78"/>
      <c r="V253" s="78"/>
      <c r="W253" s="78"/>
      <c r="X253" s="78"/>
      <c r="Y253" s="78"/>
      <c r="Z253" s="78"/>
      <c r="AA253" s="78"/>
      <c r="AB253" s="78"/>
      <c r="AC253" s="78"/>
      <c r="AD253" s="78"/>
    </row>
    <row r="254" spans="1:30" ht="15.75" x14ac:dyDescent="0.25">
      <c r="A254" s="16">
        <v>49004</v>
      </c>
      <c r="B254" s="90">
        <v>31</v>
      </c>
      <c r="C254" s="77">
        <f>122.58</f>
        <v>122.58</v>
      </c>
      <c r="D254" s="77">
        <f>297.941</f>
        <v>297.94099999999997</v>
      </c>
      <c r="E254" s="85">
        <f>89.177</f>
        <v>89.177000000000007</v>
      </c>
      <c r="F254" s="77">
        <f>240.302-40-60-100</f>
        <v>40.301999999999992</v>
      </c>
      <c r="G254" s="80">
        <v>40</v>
      </c>
      <c r="H254" s="77">
        <f>60+100</f>
        <v>160</v>
      </c>
      <c r="I254" s="77">
        <f t="shared" si="39"/>
        <v>0</v>
      </c>
      <c r="J254" s="80">
        <v>100</v>
      </c>
      <c r="K254" s="80">
        <v>300</v>
      </c>
      <c r="L254" s="77">
        <f t="shared" si="32"/>
        <v>1150</v>
      </c>
      <c r="M254" s="87">
        <v>600</v>
      </c>
      <c r="N254" s="77">
        <f>100</f>
        <v>100</v>
      </c>
      <c r="O254" s="80">
        <v>240</v>
      </c>
      <c r="P254" s="80">
        <v>40</v>
      </c>
      <c r="Q254" s="80">
        <f t="shared" si="33"/>
        <v>315</v>
      </c>
      <c r="R254" s="80">
        <f t="shared" si="34"/>
        <v>100</v>
      </c>
      <c r="S254" s="77">
        <f t="shared" si="35"/>
        <v>695</v>
      </c>
      <c r="T254" s="77">
        <f>50</f>
        <v>50</v>
      </c>
      <c r="U254" s="78"/>
      <c r="V254" s="78"/>
      <c r="W254" s="78"/>
      <c r="X254" s="78"/>
      <c r="Y254" s="78"/>
      <c r="Z254" s="78"/>
      <c r="AA254" s="78"/>
      <c r="AB254" s="78"/>
      <c r="AC254" s="78"/>
      <c r="AD254" s="78"/>
    </row>
    <row r="255" spans="1:30" ht="15.75" x14ac:dyDescent="0.25">
      <c r="A255" s="16">
        <v>49035</v>
      </c>
      <c r="B255" s="90">
        <v>30</v>
      </c>
      <c r="C255" s="77">
        <f>141.293</f>
        <v>141.29300000000001</v>
      </c>
      <c r="D255" s="77">
        <f>267.993</f>
        <v>267.99299999999999</v>
      </c>
      <c r="E255" s="85">
        <f>115.016</f>
        <v>115.01600000000001</v>
      </c>
      <c r="F255" s="77">
        <f>314.698-40-25-60-100</f>
        <v>89.697999999999979</v>
      </c>
      <c r="G255" s="80">
        <v>40</v>
      </c>
      <c r="H255" s="77">
        <f t="shared" ref="H255:H261" si="41">25+60+100</f>
        <v>185</v>
      </c>
      <c r="I255" s="77">
        <f t="shared" si="39"/>
        <v>0</v>
      </c>
      <c r="J255" s="80">
        <v>100</v>
      </c>
      <c r="K255" s="80">
        <v>300</v>
      </c>
      <c r="L255" s="77">
        <f t="shared" si="32"/>
        <v>1239</v>
      </c>
      <c r="M255" s="87">
        <v>600</v>
      </c>
      <c r="N255" s="77">
        <f>100</f>
        <v>100</v>
      </c>
      <c r="O255" s="80">
        <v>240</v>
      </c>
      <c r="P255" s="80">
        <v>160</v>
      </c>
      <c r="Q255" s="80">
        <f t="shared" si="33"/>
        <v>195</v>
      </c>
      <c r="R255" s="80">
        <f t="shared" si="34"/>
        <v>100</v>
      </c>
      <c r="S255" s="77">
        <f t="shared" si="35"/>
        <v>695</v>
      </c>
      <c r="T255" s="77">
        <f>50</f>
        <v>50</v>
      </c>
      <c r="U255" s="78"/>
      <c r="V255" s="78"/>
      <c r="W255" s="78"/>
      <c r="X255" s="78"/>
      <c r="Y255" s="78"/>
      <c r="Z255" s="78"/>
      <c r="AA255" s="78"/>
      <c r="AB255" s="78"/>
      <c r="AC255" s="78"/>
      <c r="AD255" s="78"/>
    </row>
    <row r="256" spans="1:30" ht="15.75" x14ac:dyDescent="0.25">
      <c r="A256" s="16">
        <v>49065</v>
      </c>
      <c r="B256" s="90">
        <v>31</v>
      </c>
      <c r="C256" s="77">
        <f>194.205</f>
        <v>194.20500000000001</v>
      </c>
      <c r="D256" s="77">
        <f>267.466</f>
        <v>267.46600000000001</v>
      </c>
      <c r="E256" s="85">
        <f>133.845</f>
        <v>133.845</v>
      </c>
      <c r="F256" s="77">
        <f>278.484-40-25-60-100</f>
        <v>53.48399999999998</v>
      </c>
      <c r="G256" s="80">
        <v>40</v>
      </c>
      <c r="H256" s="77">
        <f t="shared" si="41"/>
        <v>185</v>
      </c>
      <c r="I256" s="77">
        <f t="shared" si="39"/>
        <v>0</v>
      </c>
      <c r="J256" s="80">
        <v>100</v>
      </c>
      <c r="K256" s="80">
        <v>300</v>
      </c>
      <c r="L256" s="77">
        <f t="shared" si="32"/>
        <v>1274</v>
      </c>
      <c r="M256" s="87">
        <v>600</v>
      </c>
      <c r="N256" s="77">
        <f>75</f>
        <v>75</v>
      </c>
      <c r="O256" s="80">
        <v>240</v>
      </c>
      <c r="P256" s="80">
        <v>160</v>
      </c>
      <c r="Q256" s="80">
        <f t="shared" si="33"/>
        <v>195</v>
      </c>
      <c r="R256" s="80">
        <f t="shared" si="34"/>
        <v>100</v>
      </c>
      <c r="S256" s="77">
        <f t="shared" si="35"/>
        <v>695</v>
      </c>
      <c r="T256" s="77">
        <f>50</f>
        <v>50</v>
      </c>
      <c r="U256" s="78"/>
      <c r="V256" s="78"/>
      <c r="W256" s="78"/>
      <c r="X256" s="78"/>
      <c r="Y256" s="78"/>
      <c r="Z256" s="78"/>
      <c r="AA256" s="78"/>
      <c r="AB256" s="78"/>
      <c r="AC256" s="78"/>
      <c r="AD256" s="78"/>
    </row>
    <row r="257" spans="1:30" ht="15.75" x14ac:dyDescent="0.25">
      <c r="A257" s="16">
        <v>49096</v>
      </c>
      <c r="B257" s="90">
        <v>30</v>
      </c>
      <c r="C257" s="77">
        <f>194.205</f>
        <v>194.20500000000001</v>
      </c>
      <c r="D257" s="77">
        <f>267.466</f>
        <v>267.46600000000001</v>
      </c>
      <c r="E257" s="85">
        <f>133.845</f>
        <v>133.845</v>
      </c>
      <c r="F257" s="77">
        <f>278.484-40-25-60-100</f>
        <v>53.48399999999998</v>
      </c>
      <c r="G257" s="80">
        <v>40</v>
      </c>
      <c r="H257" s="77">
        <f t="shared" si="41"/>
        <v>185</v>
      </c>
      <c r="I257" s="77">
        <f t="shared" si="39"/>
        <v>0</v>
      </c>
      <c r="J257" s="80">
        <v>100</v>
      </c>
      <c r="K257" s="80">
        <v>300</v>
      </c>
      <c r="L257" s="77">
        <f t="shared" si="32"/>
        <v>1274</v>
      </c>
      <c r="M257" s="87">
        <v>600</v>
      </c>
      <c r="N257" s="77">
        <f>30</f>
        <v>30</v>
      </c>
      <c r="O257" s="80">
        <v>240</v>
      </c>
      <c r="P257" s="80">
        <v>160</v>
      </c>
      <c r="Q257" s="80">
        <f t="shared" si="33"/>
        <v>195</v>
      </c>
      <c r="R257" s="80">
        <f t="shared" si="34"/>
        <v>100</v>
      </c>
      <c r="S257" s="77">
        <f t="shared" si="35"/>
        <v>695</v>
      </c>
      <c r="T257" s="77">
        <f>50</f>
        <v>50</v>
      </c>
      <c r="U257" s="78"/>
      <c r="V257" s="78"/>
      <c r="W257" s="78"/>
      <c r="X257" s="78"/>
      <c r="Y257" s="78"/>
      <c r="Z257" s="78"/>
      <c r="AA257" s="78"/>
      <c r="AB257" s="78"/>
      <c r="AC257" s="78"/>
      <c r="AD257" s="78"/>
    </row>
    <row r="258" spans="1:30" ht="15.75" x14ac:dyDescent="0.25">
      <c r="A258" s="16">
        <v>49126</v>
      </c>
      <c r="B258" s="90">
        <v>31</v>
      </c>
      <c r="C258" s="77">
        <f>194.205</f>
        <v>194.20500000000001</v>
      </c>
      <c r="D258" s="77">
        <f>267.466</f>
        <v>267.46600000000001</v>
      </c>
      <c r="E258" s="85">
        <f>133.845</f>
        <v>133.845</v>
      </c>
      <c r="F258" s="77">
        <f>278.484-40-25-60-100</f>
        <v>53.48399999999998</v>
      </c>
      <c r="G258" s="80">
        <v>40</v>
      </c>
      <c r="H258" s="77">
        <f t="shared" si="41"/>
        <v>185</v>
      </c>
      <c r="I258" s="77">
        <f t="shared" si="39"/>
        <v>0</v>
      </c>
      <c r="J258" s="80">
        <v>100</v>
      </c>
      <c r="K258" s="80">
        <v>300</v>
      </c>
      <c r="L258" s="77">
        <f t="shared" si="32"/>
        <v>1274</v>
      </c>
      <c r="M258" s="87">
        <v>600</v>
      </c>
      <c r="N258" s="77">
        <f>30</f>
        <v>30</v>
      </c>
      <c r="O258" s="80">
        <v>240</v>
      </c>
      <c r="P258" s="80">
        <v>160</v>
      </c>
      <c r="Q258" s="80">
        <f t="shared" si="33"/>
        <v>195</v>
      </c>
      <c r="R258" s="80">
        <f t="shared" si="34"/>
        <v>100</v>
      </c>
      <c r="S258" s="77">
        <f t="shared" si="35"/>
        <v>695</v>
      </c>
      <c r="T258" s="77">
        <f>0</f>
        <v>0</v>
      </c>
      <c r="U258" s="78"/>
      <c r="V258" s="78"/>
      <c r="W258" s="78"/>
      <c r="X258" s="78"/>
      <c r="Y258" s="78"/>
      <c r="Z258" s="78"/>
      <c r="AA258" s="78"/>
      <c r="AB258" s="78"/>
      <c r="AC258" s="78"/>
      <c r="AD258" s="78"/>
    </row>
    <row r="259" spans="1:30" ht="15.75" x14ac:dyDescent="0.25">
      <c r="A259" s="16">
        <v>49157</v>
      </c>
      <c r="B259" s="90">
        <v>31</v>
      </c>
      <c r="C259" s="77">
        <f>194.205</f>
        <v>194.20500000000001</v>
      </c>
      <c r="D259" s="77">
        <f>267.466</f>
        <v>267.46600000000001</v>
      </c>
      <c r="E259" s="85">
        <f>133.845</f>
        <v>133.845</v>
      </c>
      <c r="F259" s="77">
        <f>278.484-40-25-60-100</f>
        <v>53.48399999999998</v>
      </c>
      <c r="G259" s="80">
        <v>40</v>
      </c>
      <c r="H259" s="77">
        <f t="shared" si="41"/>
        <v>185</v>
      </c>
      <c r="I259" s="77">
        <f t="shared" si="39"/>
        <v>0</v>
      </c>
      <c r="J259" s="80">
        <v>100</v>
      </c>
      <c r="K259" s="80">
        <v>300</v>
      </c>
      <c r="L259" s="77">
        <f t="shared" si="32"/>
        <v>1274</v>
      </c>
      <c r="M259" s="87">
        <v>600</v>
      </c>
      <c r="N259" s="77">
        <f>30</f>
        <v>30</v>
      </c>
      <c r="O259" s="80">
        <v>240</v>
      </c>
      <c r="P259" s="80">
        <v>160</v>
      </c>
      <c r="Q259" s="80">
        <f t="shared" si="33"/>
        <v>195</v>
      </c>
      <c r="R259" s="80">
        <f t="shared" si="34"/>
        <v>100</v>
      </c>
      <c r="S259" s="77">
        <f t="shared" si="35"/>
        <v>695</v>
      </c>
      <c r="T259" s="77">
        <f>0</f>
        <v>0</v>
      </c>
      <c r="U259" s="78"/>
      <c r="V259" s="78"/>
      <c r="W259" s="78"/>
      <c r="X259" s="78"/>
      <c r="Y259" s="78"/>
      <c r="Z259" s="78"/>
      <c r="AA259" s="78"/>
      <c r="AB259" s="78"/>
      <c r="AC259" s="78"/>
      <c r="AD259" s="78"/>
    </row>
    <row r="260" spans="1:30" ht="15.75" x14ac:dyDescent="0.25">
      <c r="A260" s="16">
        <v>49188</v>
      </c>
      <c r="B260" s="90">
        <v>30</v>
      </c>
      <c r="C260" s="77">
        <f>194.205</f>
        <v>194.20500000000001</v>
      </c>
      <c r="D260" s="77">
        <f>267.466</f>
        <v>267.46600000000001</v>
      </c>
      <c r="E260" s="85">
        <f>133.845</f>
        <v>133.845</v>
      </c>
      <c r="F260" s="77">
        <f>278.484-40-25-60-100</f>
        <v>53.48399999999998</v>
      </c>
      <c r="G260" s="80">
        <v>40</v>
      </c>
      <c r="H260" s="77">
        <f t="shared" si="41"/>
        <v>185</v>
      </c>
      <c r="I260" s="77">
        <f t="shared" si="39"/>
        <v>0</v>
      </c>
      <c r="J260" s="80">
        <v>100</v>
      </c>
      <c r="K260" s="80">
        <v>300</v>
      </c>
      <c r="L260" s="77">
        <f t="shared" si="32"/>
        <v>1274</v>
      </c>
      <c r="M260" s="87">
        <v>600</v>
      </c>
      <c r="N260" s="77">
        <f>30</f>
        <v>30</v>
      </c>
      <c r="O260" s="80">
        <v>240</v>
      </c>
      <c r="P260" s="80">
        <v>160</v>
      </c>
      <c r="Q260" s="80">
        <f t="shared" si="33"/>
        <v>195</v>
      </c>
      <c r="R260" s="80">
        <f t="shared" si="34"/>
        <v>100</v>
      </c>
      <c r="S260" s="77">
        <f t="shared" si="35"/>
        <v>695</v>
      </c>
      <c r="T260" s="77">
        <f>0</f>
        <v>0</v>
      </c>
      <c r="U260" s="78"/>
      <c r="V260" s="78"/>
      <c r="W260" s="78"/>
      <c r="X260" s="78"/>
      <c r="Y260" s="78"/>
      <c r="Z260" s="78"/>
      <c r="AA260" s="78"/>
      <c r="AB260" s="78"/>
      <c r="AC260" s="78"/>
      <c r="AD260" s="78"/>
    </row>
    <row r="261" spans="1:30" ht="15.75" x14ac:dyDescent="0.25">
      <c r="A261" s="16">
        <v>49218</v>
      </c>
      <c r="B261" s="90">
        <v>31</v>
      </c>
      <c r="C261" s="77">
        <f>131.881</f>
        <v>131.881</v>
      </c>
      <c r="D261" s="77">
        <f>277.167</f>
        <v>277.16699999999997</v>
      </c>
      <c r="E261" s="85">
        <f>79.08</f>
        <v>79.08</v>
      </c>
      <c r="F261" s="77">
        <f>350.872-40-25-60-100</f>
        <v>125.87200000000001</v>
      </c>
      <c r="G261" s="80">
        <v>40</v>
      </c>
      <c r="H261" s="77">
        <f t="shared" si="41"/>
        <v>185</v>
      </c>
      <c r="I261" s="77">
        <f t="shared" si="39"/>
        <v>0</v>
      </c>
      <c r="J261" s="80">
        <v>100</v>
      </c>
      <c r="K261" s="80">
        <v>300</v>
      </c>
      <c r="L261" s="77">
        <f t="shared" si="32"/>
        <v>1239</v>
      </c>
      <c r="M261" s="87">
        <v>600</v>
      </c>
      <c r="N261" s="77">
        <f>75</f>
        <v>75</v>
      </c>
      <c r="O261" s="80">
        <v>240</v>
      </c>
      <c r="P261" s="80">
        <v>160</v>
      </c>
      <c r="Q261" s="80">
        <f t="shared" si="33"/>
        <v>195</v>
      </c>
      <c r="R261" s="80">
        <f t="shared" si="34"/>
        <v>100</v>
      </c>
      <c r="S261" s="77">
        <f t="shared" si="35"/>
        <v>695</v>
      </c>
      <c r="T261" s="77">
        <f>0</f>
        <v>0</v>
      </c>
      <c r="U261" s="78"/>
      <c r="V261" s="78"/>
      <c r="W261" s="78"/>
      <c r="X261" s="78"/>
      <c r="Y261" s="78"/>
      <c r="Z261" s="78"/>
      <c r="AA261" s="78"/>
      <c r="AB261" s="78"/>
      <c r="AC261" s="78"/>
      <c r="AD261" s="78"/>
    </row>
    <row r="262" spans="1:30" ht="15.75" x14ac:dyDescent="0.25">
      <c r="A262" s="16">
        <v>49249</v>
      </c>
      <c r="B262" s="90">
        <v>30</v>
      </c>
      <c r="C262" s="77">
        <f>122.58</f>
        <v>122.58</v>
      </c>
      <c r="D262" s="77">
        <f>297.941</f>
        <v>297.94099999999997</v>
      </c>
      <c r="E262" s="85">
        <f>89.177</f>
        <v>89.177000000000007</v>
      </c>
      <c r="F262" s="77">
        <f>240.302-40-60-100</f>
        <v>40.301999999999992</v>
      </c>
      <c r="G262" s="80">
        <v>40</v>
      </c>
      <c r="H262" s="77">
        <f>60+100</f>
        <v>160</v>
      </c>
      <c r="I262" s="77">
        <f t="shared" si="39"/>
        <v>0</v>
      </c>
      <c r="J262" s="80">
        <v>100</v>
      </c>
      <c r="K262" s="80">
        <v>300</v>
      </c>
      <c r="L262" s="77">
        <f t="shared" si="32"/>
        <v>1150</v>
      </c>
      <c r="M262" s="87">
        <v>600</v>
      </c>
      <c r="N262" s="77">
        <f>100</f>
        <v>100</v>
      </c>
      <c r="O262" s="80">
        <v>240</v>
      </c>
      <c r="P262" s="80">
        <v>40</v>
      </c>
      <c r="Q262" s="80">
        <f t="shared" si="33"/>
        <v>315</v>
      </c>
      <c r="R262" s="80">
        <f t="shared" si="34"/>
        <v>100</v>
      </c>
      <c r="S262" s="77">
        <f t="shared" si="35"/>
        <v>695</v>
      </c>
      <c r="T262" s="77">
        <f>50</f>
        <v>50</v>
      </c>
      <c r="U262" s="78"/>
      <c r="V262" s="78"/>
      <c r="W262" s="78"/>
      <c r="X262" s="78"/>
      <c r="Y262" s="78"/>
      <c r="Z262" s="78"/>
      <c r="AA262" s="78"/>
      <c r="AB262" s="78"/>
      <c r="AC262" s="78"/>
      <c r="AD262" s="78"/>
    </row>
    <row r="263" spans="1:30" ht="15.75" x14ac:dyDescent="0.25">
      <c r="A263" s="16">
        <v>49279</v>
      </c>
      <c r="B263" s="90">
        <v>31</v>
      </c>
      <c r="C263" s="77">
        <f>122.58</f>
        <v>122.58</v>
      </c>
      <c r="D263" s="77">
        <f>297.941</f>
        <v>297.94099999999997</v>
      </c>
      <c r="E263" s="85">
        <f>89.177</f>
        <v>89.177000000000007</v>
      </c>
      <c r="F263" s="77">
        <f>240.302-40-60-100</f>
        <v>40.301999999999992</v>
      </c>
      <c r="G263" s="80">
        <v>40</v>
      </c>
      <c r="H263" s="77">
        <f>60+100</f>
        <v>160</v>
      </c>
      <c r="I263" s="77">
        <f t="shared" si="39"/>
        <v>0</v>
      </c>
      <c r="J263" s="80">
        <v>100</v>
      </c>
      <c r="K263" s="80">
        <v>300</v>
      </c>
      <c r="L263" s="77">
        <f t="shared" si="32"/>
        <v>1150</v>
      </c>
      <c r="M263" s="87">
        <v>600</v>
      </c>
      <c r="N263" s="77">
        <f>100</f>
        <v>100</v>
      </c>
      <c r="O263" s="80">
        <v>240</v>
      </c>
      <c r="P263" s="80">
        <v>40</v>
      </c>
      <c r="Q263" s="80">
        <f t="shared" si="33"/>
        <v>315</v>
      </c>
      <c r="R263" s="80">
        <f t="shared" si="34"/>
        <v>100</v>
      </c>
      <c r="S263" s="77">
        <f t="shared" si="35"/>
        <v>695</v>
      </c>
      <c r="T263" s="77">
        <f>50</f>
        <v>50</v>
      </c>
      <c r="U263" s="78"/>
      <c r="V263" s="78"/>
      <c r="W263" s="78"/>
      <c r="X263" s="78"/>
      <c r="Y263" s="78"/>
      <c r="Z263" s="78"/>
      <c r="AA263" s="78"/>
      <c r="AB263" s="78"/>
      <c r="AC263" s="78"/>
      <c r="AD263" s="78"/>
    </row>
    <row r="264" spans="1:30" ht="15.75" x14ac:dyDescent="0.25">
      <c r="A264" s="16">
        <v>49310</v>
      </c>
      <c r="B264" s="90">
        <v>31</v>
      </c>
      <c r="C264" s="77">
        <f>122.58</f>
        <v>122.58</v>
      </c>
      <c r="D264" s="77">
        <f>297.941</f>
        <v>297.94099999999997</v>
      </c>
      <c r="E264" s="85">
        <f>89.177</f>
        <v>89.177000000000007</v>
      </c>
      <c r="F264" s="77">
        <f>240.302-40-60-100</f>
        <v>40.301999999999992</v>
      </c>
      <c r="G264" s="80">
        <v>40</v>
      </c>
      <c r="H264" s="77">
        <f>60+100</f>
        <v>160</v>
      </c>
      <c r="I264" s="77">
        <f t="shared" si="39"/>
        <v>0</v>
      </c>
      <c r="J264" s="80">
        <v>100</v>
      </c>
      <c r="K264" s="80">
        <v>300</v>
      </c>
      <c r="L264" s="77">
        <f t="shared" si="32"/>
        <v>1150</v>
      </c>
      <c r="M264" s="87">
        <v>600</v>
      </c>
      <c r="N264" s="77">
        <f>100</f>
        <v>100</v>
      </c>
      <c r="O264" s="80">
        <v>240</v>
      </c>
      <c r="P264" s="80">
        <v>40</v>
      </c>
      <c r="Q264" s="80">
        <f t="shared" si="33"/>
        <v>315</v>
      </c>
      <c r="R264" s="80">
        <f t="shared" si="34"/>
        <v>100</v>
      </c>
      <c r="S264" s="77">
        <f t="shared" si="35"/>
        <v>695</v>
      </c>
      <c r="T264" s="77">
        <f>50</f>
        <v>50</v>
      </c>
      <c r="U264" s="78"/>
      <c r="V264" s="78"/>
      <c r="W264" s="78"/>
      <c r="X264" s="78"/>
      <c r="Y264" s="78"/>
      <c r="Z264" s="78"/>
      <c r="AA264" s="78"/>
      <c r="AB264" s="78"/>
      <c r="AC264" s="78"/>
      <c r="AD264" s="78"/>
    </row>
    <row r="265" spans="1:30" ht="15.75" x14ac:dyDescent="0.25">
      <c r="A265" s="16">
        <v>49341</v>
      </c>
      <c r="B265" s="90">
        <v>28</v>
      </c>
      <c r="C265" s="77">
        <f>122.58</f>
        <v>122.58</v>
      </c>
      <c r="D265" s="77">
        <f>297.941</f>
        <v>297.94099999999997</v>
      </c>
      <c r="E265" s="85">
        <f>89.177</f>
        <v>89.177000000000007</v>
      </c>
      <c r="F265" s="77">
        <f>240.302-40-60-100</f>
        <v>40.301999999999992</v>
      </c>
      <c r="G265" s="80">
        <v>40</v>
      </c>
      <c r="H265" s="77">
        <f>60+100</f>
        <v>160</v>
      </c>
      <c r="I265" s="77">
        <f t="shared" si="39"/>
        <v>0</v>
      </c>
      <c r="J265" s="80">
        <v>100</v>
      </c>
      <c r="K265" s="80">
        <v>300</v>
      </c>
      <c r="L265" s="77">
        <f t="shared" si="32"/>
        <v>1150</v>
      </c>
      <c r="M265" s="87">
        <v>600</v>
      </c>
      <c r="N265" s="77">
        <f>100</f>
        <v>100</v>
      </c>
      <c r="O265" s="80">
        <v>240</v>
      </c>
      <c r="P265" s="80">
        <v>40</v>
      </c>
      <c r="Q265" s="80">
        <f t="shared" si="33"/>
        <v>315</v>
      </c>
      <c r="R265" s="80">
        <f t="shared" si="34"/>
        <v>100</v>
      </c>
      <c r="S265" s="77">
        <f t="shared" si="35"/>
        <v>695</v>
      </c>
      <c r="T265" s="77">
        <f>50</f>
        <v>50</v>
      </c>
      <c r="U265" s="78"/>
      <c r="V265" s="78"/>
      <c r="W265" s="78"/>
      <c r="X265" s="78"/>
      <c r="Y265" s="78"/>
      <c r="Z265" s="78"/>
      <c r="AA265" s="78"/>
      <c r="AB265" s="78"/>
      <c r="AC265" s="78"/>
      <c r="AD265" s="78"/>
    </row>
    <row r="266" spans="1:30" ht="15.75" x14ac:dyDescent="0.25">
      <c r="A266" s="16">
        <v>49369</v>
      </c>
      <c r="B266" s="90">
        <v>31</v>
      </c>
      <c r="C266" s="77">
        <f>122.58</f>
        <v>122.58</v>
      </c>
      <c r="D266" s="77">
        <f>297.941</f>
        <v>297.94099999999997</v>
      </c>
      <c r="E266" s="85">
        <f>89.177</f>
        <v>89.177000000000007</v>
      </c>
      <c r="F266" s="77">
        <f>240.302-40-60-100</f>
        <v>40.301999999999992</v>
      </c>
      <c r="G266" s="80">
        <v>40</v>
      </c>
      <c r="H266" s="77">
        <f>60+100</f>
        <v>160</v>
      </c>
      <c r="I266" s="77">
        <f t="shared" si="39"/>
        <v>0</v>
      </c>
      <c r="J266" s="80">
        <v>100</v>
      </c>
      <c r="K266" s="80">
        <v>300</v>
      </c>
      <c r="L266" s="77">
        <f t="shared" si="32"/>
        <v>1150</v>
      </c>
      <c r="M266" s="87">
        <v>600</v>
      </c>
      <c r="N266" s="77">
        <f>100</f>
        <v>100</v>
      </c>
      <c r="O266" s="80">
        <v>240</v>
      </c>
      <c r="P266" s="80">
        <v>40</v>
      </c>
      <c r="Q266" s="80">
        <f t="shared" si="33"/>
        <v>315</v>
      </c>
      <c r="R266" s="80">
        <f t="shared" si="34"/>
        <v>100</v>
      </c>
      <c r="S266" s="77">
        <f t="shared" si="35"/>
        <v>695</v>
      </c>
      <c r="T266" s="77">
        <f>50</f>
        <v>50</v>
      </c>
      <c r="U266" s="78"/>
      <c r="V266" s="78"/>
      <c r="W266" s="78"/>
      <c r="X266" s="78"/>
      <c r="Y266" s="78"/>
      <c r="Z266" s="78"/>
      <c r="AA266" s="78"/>
      <c r="AB266" s="78"/>
      <c r="AC266" s="78"/>
      <c r="AD266" s="78"/>
    </row>
    <row r="267" spans="1:30" ht="15.75" x14ac:dyDescent="0.25">
      <c r="A267" s="16">
        <v>49400</v>
      </c>
      <c r="B267" s="90">
        <v>30</v>
      </c>
      <c r="C267" s="77">
        <f>141.293</f>
        <v>141.29300000000001</v>
      </c>
      <c r="D267" s="77">
        <f>267.993</f>
        <v>267.99299999999999</v>
      </c>
      <c r="E267" s="85">
        <f>115.016</f>
        <v>115.01600000000001</v>
      </c>
      <c r="F267" s="77">
        <f>314.698-40-25-60-100</f>
        <v>89.697999999999979</v>
      </c>
      <c r="G267" s="80">
        <v>40</v>
      </c>
      <c r="H267" s="77">
        <f t="shared" ref="H267:H273" si="42">25+60+100</f>
        <v>185</v>
      </c>
      <c r="I267" s="77">
        <f t="shared" si="39"/>
        <v>0</v>
      </c>
      <c r="J267" s="80">
        <v>100</v>
      </c>
      <c r="K267" s="80">
        <v>300</v>
      </c>
      <c r="L267" s="77">
        <f t="shared" si="32"/>
        <v>1239</v>
      </c>
      <c r="M267" s="87">
        <v>600</v>
      </c>
      <c r="N267" s="77">
        <f>100</f>
        <v>100</v>
      </c>
      <c r="O267" s="80">
        <v>240</v>
      </c>
      <c r="P267" s="80">
        <v>160</v>
      </c>
      <c r="Q267" s="80">
        <f t="shared" si="33"/>
        <v>195</v>
      </c>
      <c r="R267" s="80">
        <f t="shared" si="34"/>
        <v>100</v>
      </c>
      <c r="S267" s="77">
        <f t="shared" si="35"/>
        <v>695</v>
      </c>
      <c r="T267" s="77">
        <f>50</f>
        <v>50</v>
      </c>
      <c r="U267" s="78"/>
      <c r="V267" s="78"/>
      <c r="W267" s="78"/>
      <c r="X267" s="78"/>
      <c r="Y267" s="78"/>
      <c r="Z267" s="78"/>
      <c r="AA267" s="78"/>
      <c r="AB267" s="78"/>
      <c r="AC267" s="78"/>
      <c r="AD267" s="78"/>
    </row>
    <row r="268" spans="1:30" ht="15.75" x14ac:dyDescent="0.25">
      <c r="A268" s="16">
        <v>49430</v>
      </c>
      <c r="B268" s="90">
        <v>31</v>
      </c>
      <c r="C268" s="77">
        <f>194.205</f>
        <v>194.20500000000001</v>
      </c>
      <c r="D268" s="77">
        <f>267.466</f>
        <v>267.46600000000001</v>
      </c>
      <c r="E268" s="85">
        <f>133.845</f>
        <v>133.845</v>
      </c>
      <c r="F268" s="77">
        <f>278.484-40-25-60-100</f>
        <v>53.48399999999998</v>
      </c>
      <c r="G268" s="80">
        <v>40</v>
      </c>
      <c r="H268" s="77">
        <f t="shared" si="42"/>
        <v>185</v>
      </c>
      <c r="I268" s="77">
        <f t="shared" si="39"/>
        <v>0</v>
      </c>
      <c r="J268" s="80">
        <v>100</v>
      </c>
      <c r="K268" s="80">
        <v>300</v>
      </c>
      <c r="L268" s="77">
        <f t="shared" si="32"/>
        <v>1274</v>
      </c>
      <c r="M268" s="87">
        <v>600</v>
      </c>
      <c r="N268" s="77">
        <f>75</f>
        <v>75</v>
      </c>
      <c r="O268" s="80">
        <v>240</v>
      </c>
      <c r="P268" s="80">
        <v>160</v>
      </c>
      <c r="Q268" s="80">
        <f t="shared" si="33"/>
        <v>195</v>
      </c>
      <c r="R268" s="80">
        <f t="shared" si="34"/>
        <v>100</v>
      </c>
      <c r="S268" s="77">
        <f t="shared" si="35"/>
        <v>695</v>
      </c>
      <c r="T268" s="77">
        <f>50</f>
        <v>50</v>
      </c>
      <c r="U268" s="78"/>
      <c r="V268" s="78"/>
      <c r="W268" s="78"/>
      <c r="X268" s="78"/>
      <c r="Y268" s="78"/>
      <c r="Z268" s="78"/>
      <c r="AA268" s="78"/>
      <c r="AB268" s="78"/>
      <c r="AC268" s="78"/>
      <c r="AD268" s="78"/>
    </row>
    <row r="269" spans="1:30" ht="15.75" x14ac:dyDescent="0.25">
      <c r="A269" s="15">
        <v>49461</v>
      </c>
      <c r="B269" s="90">
        <v>30</v>
      </c>
      <c r="C269" s="77">
        <f>194.205</f>
        <v>194.20500000000001</v>
      </c>
      <c r="D269" s="77">
        <f>267.466</f>
        <v>267.46600000000001</v>
      </c>
      <c r="E269" s="85">
        <f>133.845</f>
        <v>133.845</v>
      </c>
      <c r="F269" s="77">
        <f>278.484-40-25-60-100</f>
        <v>53.48399999999998</v>
      </c>
      <c r="G269" s="80">
        <v>40</v>
      </c>
      <c r="H269" s="77">
        <f t="shared" si="42"/>
        <v>185</v>
      </c>
      <c r="I269" s="77">
        <f t="shared" si="39"/>
        <v>0</v>
      </c>
      <c r="J269" s="80">
        <v>100</v>
      </c>
      <c r="K269" s="80">
        <v>300</v>
      </c>
      <c r="L269" s="77">
        <f t="shared" si="32"/>
        <v>1274</v>
      </c>
      <c r="M269" s="87">
        <v>600</v>
      </c>
      <c r="N269" s="77">
        <f>30</f>
        <v>30</v>
      </c>
      <c r="O269" s="80">
        <v>240</v>
      </c>
      <c r="P269" s="80">
        <v>160</v>
      </c>
      <c r="Q269" s="80">
        <f t="shared" si="33"/>
        <v>195</v>
      </c>
      <c r="R269" s="80">
        <f t="shared" si="34"/>
        <v>100</v>
      </c>
      <c r="S269" s="77">
        <f t="shared" si="35"/>
        <v>695</v>
      </c>
      <c r="T269" s="77">
        <f>50</f>
        <v>50</v>
      </c>
      <c r="U269" s="78"/>
      <c r="V269" s="78"/>
      <c r="W269" s="78"/>
      <c r="X269" s="78"/>
      <c r="Y269" s="78"/>
      <c r="Z269" s="78"/>
      <c r="AA269" s="78"/>
      <c r="AB269" s="78"/>
      <c r="AC269" s="78"/>
      <c r="AD269" s="78"/>
    </row>
    <row r="270" spans="1:30" ht="15.75" x14ac:dyDescent="0.25">
      <c r="A270" s="15">
        <v>49491</v>
      </c>
      <c r="B270" s="90">
        <v>31</v>
      </c>
      <c r="C270" s="77">
        <f>194.205</f>
        <v>194.20500000000001</v>
      </c>
      <c r="D270" s="77">
        <f>267.466</f>
        <v>267.46600000000001</v>
      </c>
      <c r="E270" s="85">
        <f>133.845</f>
        <v>133.845</v>
      </c>
      <c r="F270" s="77">
        <f>278.484-40-25-60-100</f>
        <v>53.48399999999998</v>
      </c>
      <c r="G270" s="80">
        <v>40</v>
      </c>
      <c r="H270" s="77">
        <f t="shared" si="42"/>
        <v>185</v>
      </c>
      <c r="I270" s="77">
        <f t="shared" si="39"/>
        <v>0</v>
      </c>
      <c r="J270" s="80">
        <v>100</v>
      </c>
      <c r="K270" s="80">
        <v>300</v>
      </c>
      <c r="L270" s="77">
        <f t="shared" ref="L270:L333" si="43">SUM(C270:K270)</f>
        <v>1274</v>
      </c>
      <c r="M270" s="87">
        <v>600</v>
      </c>
      <c r="N270" s="77">
        <f>30</f>
        <v>30</v>
      </c>
      <c r="O270" s="80">
        <v>240</v>
      </c>
      <c r="P270" s="80">
        <v>160</v>
      </c>
      <c r="Q270" s="80">
        <f t="shared" ref="Q270:Q333" si="44">695-R270-O270-P270</f>
        <v>195</v>
      </c>
      <c r="R270" s="80">
        <f t="shared" ref="R270:R333" si="45">200-J270</f>
        <v>100</v>
      </c>
      <c r="S270" s="77">
        <f t="shared" ref="S270:S333" si="46">SUM(O270:R270)</f>
        <v>695</v>
      </c>
      <c r="T270" s="77">
        <f>0</f>
        <v>0</v>
      </c>
      <c r="U270" s="78"/>
      <c r="V270" s="78"/>
      <c r="W270" s="78"/>
      <c r="X270" s="78"/>
      <c r="Y270" s="78"/>
      <c r="Z270" s="78"/>
      <c r="AA270" s="78"/>
      <c r="AB270" s="78"/>
      <c r="AC270" s="78"/>
      <c r="AD270" s="78"/>
    </row>
    <row r="271" spans="1:30" ht="15.75" x14ac:dyDescent="0.25">
      <c r="A271" s="15">
        <v>49522</v>
      </c>
      <c r="B271" s="90">
        <v>31</v>
      </c>
      <c r="C271" s="77">
        <f>194.205</f>
        <v>194.20500000000001</v>
      </c>
      <c r="D271" s="77">
        <f>267.466</f>
        <v>267.46600000000001</v>
      </c>
      <c r="E271" s="85">
        <f>133.845</f>
        <v>133.845</v>
      </c>
      <c r="F271" s="77">
        <f>278.484-40-25-60-100</f>
        <v>53.48399999999998</v>
      </c>
      <c r="G271" s="80">
        <v>40</v>
      </c>
      <c r="H271" s="77">
        <f t="shared" si="42"/>
        <v>185</v>
      </c>
      <c r="I271" s="77">
        <f t="shared" si="39"/>
        <v>0</v>
      </c>
      <c r="J271" s="80">
        <v>100</v>
      </c>
      <c r="K271" s="80">
        <v>300</v>
      </c>
      <c r="L271" s="77">
        <f t="shared" si="43"/>
        <v>1274</v>
      </c>
      <c r="M271" s="87">
        <v>600</v>
      </c>
      <c r="N271" s="77">
        <f>30</f>
        <v>30</v>
      </c>
      <c r="O271" s="80">
        <v>240</v>
      </c>
      <c r="P271" s="80">
        <v>160</v>
      </c>
      <c r="Q271" s="80">
        <f t="shared" si="44"/>
        <v>195</v>
      </c>
      <c r="R271" s="80">
        <f t="shared" si="45"/>
        <v>100</v>
      </c>
      <c r="S271" s="77">
        <f t="shared" si="46"/>
        <v>695</v>
      </c>
      <c r="T271" s="77">
        <f>0</f>
        <v>0</v>
      </c>
      <c r="U271" s="78"/>
      <c r="V271" s="78"/>
      <c r="W271" s="78"/>
      <c r="X271" s="78"/>
      <c r="Y271" s="78"/>
      <c r="Z271" s="78"/>
      <c r="AA271" s="78"/>
      <c r="AB271" s="78"/>
      <c r="AC271" s="78"/>
      <c r="AD271" s="78"/>
    </row>
    <row r="272" spans="1:30" ht="15.75" x14ac:dyDescent="0.25">
      <c r="A272" s="15">
        <v>49553</v>
      </c>
      <c r="B272" s="90">
        <v>30</v>
      </c>
      <c r="C272" s="77">
        <f>194.205</f>
        <v>194.20500000000001</v>
      </c>
      <c r="D272" s="77">
        <f>267.466</f>
        <v>267.46600000000001</v>
      </c>
      <c r="E272" s="85">
        <f>133.845</f>
        <v>133.845</v>
      </c>
      <c r="F272" s="77">
        <f>278.484-40-25-60-100</f>
        <v>53.48399999999998</v>
      </c>
      <c r="G272" s="80">
        <v>40</v>
      </c>
      <c r="H272" s="77">
        <f t="shared" si="42"/>
        <v>185</v>
      </c>
      <c r="I272" s="77">
        <f t="shared" si="39"/>
        <v>0</v>
      </c>
      <c r="J272" s="80">
        <v>100</v>
      </c>
      <c r="K272" s="80">
        <v>300</v>
      </c>
      <c r="L272" s="77">
        <f t="shared" si="43"/>
        <v>1274</v>
      </c>
      <c r="M272" s="87">
        <v>600</v>
      </c>
      <c r="N272" s="77">
        <f>30</f>
        <v>30</v>
      </c>
      <c r="O272" s="80">
        <v>240</v>
      </c>
      <c r="P272" s="80">
        <v>160</v>
      </c>
      <c r="Q272" s="80">
        <f t="shared" si="44"/>
        <v>195</v>
      </c>
      <c r="R272" s="80">
        <f t="shared" si="45"/>
        <v>100</v>
      </c>
      <c r="S272" s="77">
        <f t="shared" si="46"/>
        <v>695</v>
      </c>
      <c r="T272" s="77">
        <f>0</f>
        <v>0</v>
      </c>
      <c r="U272" s="78"/>
      <c r="V272" s="78"/>
      <c r="W272" s="78"/>
      <c r="X272" s="78"/>
      <c r="Y272" s="78"/>
      <c r="Z272" s="78"/>
      <c r="AA272" s="78"/>
      <c r="AB272" s="78"/>
      <c r="AC272" s="78"/>
      <c r="AD272" s="78"/>
    </row>
    <row r="273" spans="1:30" ht="15.75" x14ac:dyDescent="0.25">
      <c r="A273" s="15">
        <v>49583</v>
      </c>
      <c r="B273" s="90">
        <v>31</v>
      </c>
      <c r="C273" s="77">
        <f>131.881</f>
        <v>131.881</v>
      </c>
      <c r="D273" s="77">
        <f>277.167</f>
        <v>277.16699999999997</v>
      </c>
      <c r="E273" s="85">
        <f>79.08</f>
        <v>79.08</v>
      </c>
      <c r="F273" s="77">
        <f>350.872-40-25-60-100</f>
        <v>125.87200000000001</v>
      </c>
      <c r="G273" s="80">
        <v>40</v>
      </c>
      <c r="H273" s="77">
        <f t="shared" si="42"/>
        <v>185</v>
      </c>
      <c r="I273" s="77">
        <f t="shared" si="39"/>
        <v>0</v>
      </c>
      <c r="J273" s="80">
        <v>100</v>
      </c>
      <c r="K273" s="80">
        <v>300</v>
      </c>
      <c r="L273" s="77">
        <f t="shared" si="43"/>
        <v>1239</v>
      </c>
      <c r="M273" s="87">
        <v>600</v>
      </c>
      <c r="N273" s="77">
        <f>75</f>
        <v>75</v>
      </c>
      <c r="O273" s="80">
        <v>240</v>
      </c>
      <c r="P273" s="80">
        <v>160</v>
      </c>
      <c r="Q273" s="80">
        <f t="shared" si="44"/>
        <v>195</v>
      </c>
      <c r="R273" s="80">
        <f t="shared" si="45"/>
        <v>100</v>
      </c>
      <c r="S273" s="77">
        <f t="shared" si="46"/>
        <v>695</v>
      </c>
      <c r="T273" s="77">
        <f>0</f>
        <v>0</v>
      </c>
      <c r="U273" s="78"/>
      <c r="V273" s="78"/>
      <c r="W273" s="78"/>
      <c r="X273" s="78"/>
      <c r="Y273" s="78"/>
      <c r="Z273" s="78"/>
      <c r="AA273" s="78"/>
      <c r="AB273" s="78"/>
      <c r="AC273" s="78"/>
      <c r="AD273" s="78"/>
    </row>
    <row r="274" spans="1:30" ht="15.75" x14ac:dyDescent="0.25">
      <c r="A274" s="15">
        <v>49614</v>
      </c>
      <c r="B274" s="90">
        <v>30</v>
      </c>
      <c r="C274" s="77">
        <f>122.58</f>
        <v>122.58</v>
      </c>
      <c r="D274" s="77">
        <f>297.941</f>
        <v>297.94099999999997</v>
      </c>
      <c r="E274" s="85">
        <f>89.177</f>
        <v>89.177000000000007</v>
      </c>
      <c r="F274" s="77">
        <f>240.302-40-60-100</f>
        <v>40.301999999999992</v>
      </c>
      <c r="G274" s="80">
        <v>40</v>
      </c>
      <c r="H274" s="77">
        <f>60+100</f>
        <v>160</v>
      </c>
      <c r="I274" s="77">
        <f t="shared" si="39"/>
        <v>0</v>
      </c>
      <c r="J274" s="80">
        <v>100</v>
      </c>
      <c r="K274" s="80">
        <v>300</v>
      </c>
      <c r="L274" s="77">
        <f t="shared" si="43"/>
        <v>1150</v>
      </c>
      <c r="M274" s="87">
        <v>600</v>
      </c>
      <c r="N274" s="77">
        <f>100</f>
        <v>100</v>
      </c>
      <c r="O274" s="80">
        <v>240</v>
      </c>
      <c r="P274" s="80">
        <v>40</v>
      </c>
      <c r="Q274" s="80">
        <f t="shared" si="44"/>
        <v>315</v>
      </c>
      <c r="R274" s="80">
        <f t="shared" si="45"/>
        <v>100</v>
      </c>
      <c r="S274" s="77">
        <f t="shared" si="46"/>
        <v>695</v>
      </c>
      <c r="T274" s="77">
        <f>50</f>
        <v>50</v>
      </c>
      <c r="U274" s="78"/>
      <c r="V274" s="78"/>
      <c r="W274" s="78"/>
      <c r="X274" s="78"/>
      <c r="Y274" s="78"/>
      <c r="Z274" s="78"/>
      <c r="AA274" s="78"/>
      <c r="AB274" s="78"/>
      <c r="AC274" s="78"/>
      <c r="AD274" s="78"/>
    </row>
    <row r="275" spans="1:30" ht="15.75" x14ac:dyDescent="0.25">
      <c r="A275" s="15">
        <v>49644</v>
      </c>
      <c r="B275" s="90">
        <v>31</v>
      </c>
      <c r="C275" s="77">
        <f>122.58</f>
        <v>122.58</v>
      </c>
      <c r="D275" s="77">
        <f>297.941</f>
        <v>297.94099999999997</v>
      </c>
      <c r="E275" s="85">
        <f>89.177</f>
        <v>89.177000000000007</v>
      </c>
      <c r="F275" s="77">
        <f>240.302-40-60-100</f>
        <v>40.301999999999992</v>
      </c>
      <c r="G275" s="80">
        <v>40</v>
      </c>
      <c r="H275" s="77">
        <f>60+100</f>
        <v>160</v>
      </c>
      <c r="I275" s="77">
        <f t="shared" si="39"/>
        <v>0</v>
      </c>
      <c r="J275" s="80">
        <v>100</v>
      </c>
      <c r="K275" s="80">
        <v>300</v>
      </c>
      <c r="L275" s="77">
        <f t="shared" si="43"/>
        <v>1150</v>
      </c>
      <c r="M275" s="87">
        <v>600</v>
      </c>
      <c r="N275" s="77">
        <f>100</f>
        <v>100</v>
      </c>
      <c r="O275" s="80">
        <v>240</v>
      </c>
      <c r="P275" s="80">
        <v>40</v>
      </c>
      <c r="Q275" s="80">
        <f t="shared" si="44"/>
        <v>315</v>
      </c>
      <c r="R275" s="80">
        <f t="shared" si="45"/>
        <v>100</v>
      </c>
      <c r="S275" s="77">
        <f t="shared" si="46"/>
        <v>695</v>
      </c>
      <c r="T275" s="77">
        <f>50</f>
        <v>50</v>
      </c>
      <c r="U275" s="78"/>
      <c r="V275" s="78"/>
      <c r="W275" s="78"/>
      <c r="X275" s="78"/>
      <c r="Y275" s="78"/>
      <c r="Z275" s="78"/>
      <c r="AA275" s="78"/>
      <c r="AB275" s="78"/>
      <c r="AC275" s="78"/>
      <c r="AD275" s="78"/>
    </row>
    <row r="276" spans="1:30" ht="15.75" x14ac:dyDescent="0.25">
      <c r="A276" s="15">
        <v>49675</v>
      </c>
      <c r="B276" s="90">
        <v>31</v>
      </c>
      <c r="C276" s="77">
        <f>122.58</f>
        <v>122.58</v>
      </c>
      <c r="D276" s="77">
        <f>297.941</f>
        <v>297.94099999999997</v>
      </c>
      <c r="E276" s="85">
        <f>89.177</f>
        <v>89.177000000000007</v>
      </c>
      <c r="F276" s="77">
        <f>240.302-40-60-100</f>
        <v>40.301999999999992</v>
      </c>
      <c r="G276" s="80">
        <v>40</v>
      </c>
      <c r="H276" s="77">
        <f>60+100</f>
        <v>160</v>
      </c>
      <c r="I276" s="77">
        <f t="shared" si="39"/>
        <v>0</v>
      </c>
      <c r="J276" s="80">
        <v>100</v>
      </c>
      <c r="K276" s="80">
        <v>300</v>
      </c>
      <c r="L276" s="77">
        <f t="shared" si="43"/>
        <v>1150</v>
      </c>
      <c r="M276" s="87">
        <v>600</v>
      </c>
      <c r="N276" s="77">
        <f>100</f>
        <v>100</v>
      </c>
      <c r="O276" s="80">
        <v>240</v>
      </c>
      <c r="P276" s="80">
        <v>40</v>
      </c>
      <c r="Q276" s="80">
        <f t="shared" si="44"/>
        <v>315</v>
      </c>
      <c r="R276" s="80">
        <f t="shared" si="45"/>
        <v>100</v>
      </c>
      <c r="S276" s="77">
        <f t="shared" si="46"/>
        <v>695</v>
      </c>
      <c r="T276" s="77">
        <f>50</f>
        <v>50</v>
      </c>
      <c r="U276" s="78"/>
      <c r="V276" s="78"/>
      <c r="W276" s="78"/>
      <c r="X276" s="78"/>
      <c r="Y276" s="78"/>
      <c r="Z276" s="78"/>
      <c r="AA276" s="78"/>
      <c r="AB276" s="78"/>
      <c r="AC276" s="78"/>
      <c r="AD276" s="78"/>
    </row>
    <row r="277" spans="1:30" ht="15.75" x14ac:dyDescent="0.25">
      <c r="A277" s="15">
        <v>49706</v>
      </c>
      <c r="B277" s="90">
        <v>29</v>
      </c>
      <c r="C277" s="77">
        <f>122.58</f>
        <v>122.58</v>
      </c>
      <c r="D277" s="77">
        <f>297.941</f>
        <v>297.94099999999997</v>
      </c>
      <c r="E277" s="85">
        <f>89.177</f>
        <v>89.177000000000007</v>
      </c>
      <c r="F277" s="77">
        <f>240.302-40-60-100</f>
        <v>40.301999999999992</v>
      </c>
      <c r="G277" s="80">
        <v>40</v>
      </c>
      <c r="H277" s="77">
        <f>60+100</f>
        <v>160</v>
      </c>
      <c r="I277" s="77">
        <f t="shared" si="39"/>
        <v>0</v>
      </c>
      <c r="J277" s="80">
        <v>100</v>
      </c>
      <c r="K277" s="80">
        <v>300</v>
      </c>
      <c r="L277" s="77">
        <f t="shared" si="43"/>
        <v>1150</v>
      </c>
      <c r="M277" s="87">
        <v>600</v>
      </c>
      <c r="N277" s="77">
        <f>100</f>
        <v>100</v>
      </c>
      <c r="O277" s="80">
        <v>240</v>
      </c>
      <c r="P277" s="80">
        <v>40</v>
      </c>
      <c r="Q277" s="80">
        <f t="shared" si="44"/>
        <v>315</v>
      </c>
      <c r="R277" s="80">
        <f t="shared" si="45"/>
        <v>100</v>
      </c>
      <c r="S277" s="77">
        <f t="shared" si="46"/>
        <v>695</v>
      </c>
      <c r="T277" s="77">
        <f>50</f>
        <v>50</v>
      </c>
      <c r="U277" s="78"/>
      <c r="V277" s="78"/>
      <c r="W277" s="78"/>
      <c r="X277" s="78"/>
      <c r="Y277" s="78"/>
      <c r="Z277" s="78"/>
      <c r="AA277" s="78"/>
      <c r="AB277" s="78"/>
      <c r="AC277" s="78"/>
      <c r="AD277" s="78"/>
    </row>
    <row r="278" spans="1:30" ht="15.75" x14ac:dyDescent="0.25">
      <c r="A278" s="15">
        <v>49735</v>
      </c>
      <c r="B278" s="90">
        <v>31</v>
      </c>
      <c r="C278" s="77">
        <f>122.58</f>
        <v>122.58</v>
      </c>
      <c r="D278" s="77">
        <f>297.941</f>
        <v>297.94099999999997</v>
      </c>
      <c r="E278" s="85">
        <f>89.177</f>
        <v>89.177000000000007</v>
      </c>
      <c r="F278" s="77">
        <f>240.302-40-60-100</f>
        <v>40.301999999999992</v>
      </c>
      <c r="G278" s="80">
        <v>40</v>
      </c>
      <c r="H278" s="77">
        <f>60+100</f>
        <v>160</v>
      </c>
      <c r="I278" s="77">
        <f t="shared" si="39"/>
        <v>0</v>
      </c>
      <c r="J278" s="80">
        <v>100</v>
      </c>
      <c r="K278" s="80">
        <v>300</v>
      </c>
      <c r="L278" s="77">
        <f t="shared" si="43"/>
        <v>1150</v>
      </c>
      <c r="M278" s="87">
        <v>600</v>
      </c>
      <c r="N278" s="77">
        <f>100</f>
        <v>100</v>
      </c>
      <c r="O278" s="80">
        <v>240</v>
      </c>
      <c r="P278" s="80">
        <v>40</v>
      </c>
      <c r="Q278" s="80">
        <f t="shared" si="44"/>
        <v>315</v>
      </c>
      <c r="R278" s="80">
        <f t="shared" si="45"/>
        <v>100</v>
      </c>
      <c r="S278" s="77">
        <f t="shared" si="46"/>
        <v>695</v>
      </c>
      <c r="T278" s="77">
        <f>50</f>
        <v>50</v>
      </c>
      <c r="U278" s="78"/>
      <c r="V278" s="78"/>
      <c r="W278" s="78"/>
      <c r="X278" s="78"/>
      <c r="Y278" s="78"/>
      <c r="Z278" s="78"/>
      <c r="AA278" s="78"/>
      <c r="AB278" s="78"/>
      <c r="AC278" s="78"/>
      <c r="AD278" s="78"/>
    </row>
    <row r="279" spans="1:30" ht="15.75" x14ac:dyDescent="0.25">
      <c r="A279" s="15">
        <v>49766</v>
      </c>
      <c r="B279" s="90">
        <v>30</v>
      </c>
      <c r="C279" s="77">
        <f>141.293</f>
        <v>141.29300000000001</v>
      </c>
      <c r="D279" s="77">
        <f>267.993</f>
        <v>267.99299999999999</v>
      </c>
      <c r="E279" s="85">
        <f>115.016</f>
        <v>115.01600000000001</v>
      </c>
      <c r="F279" s="77">
        <f>314.698-40-25-60-100</f>
        <v>89.697999999999979</v>
      </c>
      <c r="G279" s="80">
        <v>40</v>
      </c>
      <c r="H279" s="77">
        <f t="shared" ref="H279:H285" si="47">25+60+100</f>
        <v>185</v>
      </c>
      <c r="I279" s="77">
        <f t="shared" si="39"/>
        <v>0</v>
      </c>
      <c r="J279" s="80">
        <v>100</v>
      </c>
      <c r="K279" s="80">
        <v>300</v>
      </c>
      <c r="L279" s="77">
        <f t="shared" si="43"/>
        <v>1239</v>
      </c>
      <c r="M279" s="87">
        <v>600</v>
      </c>
      <c r="N279" s="77">
        <f>100</f>
        <v>100</v>
      </c>
      <c r="O279" s="80">
        <v>240</v>
      </c>
      <c r="P279" s="80">
        <v>160</v>
      </c>
      <c r="Q279" s="80">
        <f t="shared" si="44"/>
        <v>195</v>
      </c>
      <c r="R279" s="80">
        <f t="shared" si="45"/>
        <v>100</v>
      </c>
      <c r="S279" s="77">
        <f t="shared" si="46"/>
        <v>695</v>
      </c>
      <c r="T279" s="77">
        <f>50</f>
        <v>50</v>
      </c>
      <c r="U279" s="78"/>
      <c r="V279" s="78"/>
      <c r="W279" s="78"/>
      <c r="X279" s="78"/>
      <c r="Y279" s="78"/>
      <c r="Z279" s="78"/>
      <c r="AA279" s="78"/>
      <c r="AB279" s="78"/>
      <c r="AC279" s="78"/>
      <c r="AD279" s="78"/>
    </row>
    <row r="280" spans="1:30" ht="15.75" x14ac:dyDescent="0.25">
      <c r="A280" s="15">
        <v>49796</v>
      </c>
      <c r="B280" s="90">
        <v>31</v>
      </c>
      <c r="C280" s="77">
        <f>194.205</f>
        <v>194.20500000000001</v>
      </c>
      <c r="D280" s="77">
        <f>267.466</f>
        <v>267.46600000000001</v>
      </c>
      <c r="E280" s="85">
        <f>133.845</f>
        <v>133.845</v>
      </c>
      <c r="F280" s="77">
        <f>278.484-40-25-60-100</f>
        <v>53.48399999999998</v>
      </c>
      <c r="G280" s="80">
        <v>40</v>
      </c>
      <c r="H280" s="77">
        <f t="shared" si="47"/>
        <v>185</v>
      </c>
      <c r="I280" s="77">
        <f t="shared" si="39"/>
        <v>0</v>
      </c>
      <c r="J280" s="80">
        <v>100</v>
      </c>
      <c r="K280" s="80">
        <v>300</v>
      </c>
      <c r="L280" s="77">
        <f t="shared" si="43"/>
        <v>1274</v>
      </c>
      <c r="M280" s="87">
        <v>600</v>
      </c>
      <c r="N280" s="77">
        <f>75</f>
        <v>75</v>
      </c>
      <c r="O280" s="80">
        <v>240</v>
      </c>
      <c r="P280" s="80">
        <v>160</v>
      </c>
      <c r="Q280" s="80">
        <f t="shared" si="44"/>
        <v>195</v>
      </c>
      <c r="R280" s="80">
        <f t="shared" si="45"/>
        <v>100</v>
      </c>
      <c r="S280" s="77">
        <f t="shared" si="46"/>
        <v>695</v>
      </c>
      <c r="T280" s="77">
        <f>50</f>
        <v>50</v>
      </c>
      <c r="U280" s="78"/>
      <c r="V280" s="78"/>
      <c r="W280" s="78"/>
      <c r="X280" s="78"/>
      <c r="Y280" s="78"/>
      <c r="Z280" s="78"/>
      <c r="AA280" s="78"/>
      <c r="AB280" s="78"/>
      <c r="AC280" s="78"/>
      <c r="AD280" s="78"/>
    </row>
    <row r="281" spans="1:30" ht="15.75" x14ac:dyDescent="0.25">
      <c r="A281" s="15">
        <v>49827</v>
      </c>
      <c r="B281" s="90">
        <v>30</v>
      </c>
      <c r="C281" s="77">
        <f>194.205</f>
        <v>194.20500000000001</v>
      </c>
      <c r="D281" s="77">
        <f>267.466</f>
        <v>267.46600000000001</v>
      </c>
      <c r="E281" s="85">
        <f>133.845</f>
        <v>133.845</v>
      </c>
      <c r="F281" s="77">
        <f>278.484-40-25-60-100</f>
        <v>53.48399999999998</v>
      </c>
      <c r="G281" s="80">
        <v>40</v>
      </c>
      <c r="H281" s="77">
        <f t="shared" si="47"/>
        <v>185</v>
      </c>
      <c r="I281" s="77">
        <f t="shared" si="39"/>
        <v>0</v>
      </c>
      <c r="J281" s="80">
        <v>100</v>
      </c>
      <c r="K281" s="80">
        <v>300</v>
      </c>
      <c r="L281" s="77">
        <f t="shared" si="43"/>
        <v>1274</v>
      </c>
      <c r="M281" s="87">
        <v>600</v>
      </c>
      <c r="N281" s="77">
        <f>30</f>
        <v>30</v>
      </c>
      <c r="O281" s="80">
        <v>240</v>
      </c>
      <c r="P281" s="80">
        <v>160</v>
      </c>
      <c r="Q281" s="80">
        <f t="shared" si="44"/>
        <v>195</v>
      </c>
      <c r="R281" s="80">
        <f t="shared" si="45"/>
        <v>100</v>
      </c>
      <c r="S281" s="77">
        <f t="shared" si="46"/>
        <v>695</v>
      </c>
      <c r="T281" s="77">
        <f>50</f>
        <v>50</v>
      </c>
      <c r="U281" s="78"/>
      <c r="V281" s="78"/>
      <c r="W281" s="78"/>
      <c r="X281" s="78"/>
      <c r="Y281" s="78"/>
      <c r="Z281" s="78"/>
      <c r="AA281" s="78"/>
      <c r="AB281" s="78"/>
      <c r="AC281" s="78"/>
      <c r="AD281" s="78"/>
    </row>
    <row r="282" spans="1:30" ht="15.75" x14ac:dyDescent="0.25">
      <c r="A282" s="15">
        <v>49857</v>
      </c>
      <c r="B282" s="90">
        <v>31</v>
      </c>
      <c r="C282" s="77">
        <f>194.205</f>
        <v>194.20500000000001</v>
      </c>
      <c r="D282" s="77">
        <f>267.466</f>
        <v>267.46600000000001</v>
      </c>
      <c r="E282" s="85">
        <f>133.845</f>
        <v>133.845</v>
      </c>
      <c r="F282" s="77">
        <f>278.484-40-25-60-100</f>
        <v>53.48399999999998</v>
      </c>
      <c r="G282" s="80">
        <v>40</v>
      </c>
      <c r="H282" s="77">
        <f t="shared" si="47"/>
        <v>185</v>
      </c>
      <c r="I282" s="77">
        <f t="shared" si="39"/>
        <v>0</v>
      </c>
      <c r="J282" s="80">
        <v>100</v>
      </c>
      <c r="K282" s="80">
        <v>300</v>
      </c>
      <c r="L282" s="77">
        <f t="shared" si="43"/>
        <v>1274</v>
      </c>
      <c r="M282" s="87">
        <v>600</v>
      </c>
      <c r="N282" s="77">
        <f>30</f>
        <v>30</v>
      </c>
      <c r="O282" s="80">
        <v>240</v>
      </c>
      <c r="P282" s="80">
        <v>160</v>
      </c>
      <c r="Q282" s="80">
        <f t="shared" si="44"/>
        <v>195</v>
      </c>
      <c r="R282" s="80">
        <f t="shared" si="45"/>
        <v>100</v>
      </c>
      <c r="S282" s="77">
        <f t="shared" si="46"/>
        <v>695</v>
      </c>
      <c r="T282" s="77">
        <f>0</f>
        <v>0</v>
      </c>
      <c r="U282" s="78"/>
      <c r="V282" s="78"/>
      <c r="W282" s="78"/>
      <c r="X282" s="78"/>
      <c r="Y282" s="78"/>
      <c r="Z282" s="78"/>
      <c r="AA282" s="78"/>
      <c r="AB282" s="78"/>
      <c r="AC282" s="78"/>
      <c r="AD282" s="78"/>
    </row>
    <row r="283" spans="1:30" ht="15.75" x14ac:dyDescent="0.25">
      <c r="A283" s="15">
        <v>49888</v>
      </c>
      <c r="B283" s="90">
        <v>31</v>
      </c>
      <c r="C283" s="77">
        <f>194.205</f>
        <v>194.20500000000001</v>
      </c>
      <c r="D283" s="77">
        <f>267.466</f>
        <v>267.46600000000001</v>
      </c>
      <c r="E283" s="85">
        <f>133.845</f>
        <v>133.845</v>
      </c>
      <c r="F283" s="77">
        <f>278.484-40-25-60-100</f>
        <v>53.48399999999998</v>
      </c>
      <c r="G283" s="80">
        <v>40</v>
      </c>
      <c r="H283" s="77">
        <f t="shared" si="47"/>
        <v>185</v>
      </c>
      <c r="I283" s="77">
        <f t="shared" si="39"/>
        <v>0</v>
      </c>
      <c r="J283" s="80">
        <v>100</v>
      </c>
      <c r="K283" s="80">
        <v>300</v>
      </c>
      <c r="L283" s="77">
        <f t="shared" si="43"/>
        <v>1274</v>
      </c>
      <c r="M283" s="87">
        <v>600</v>
      </c>
      <c r="N283" s="77">
        <f>30</f>
        <v>30</v>
      </c>
      <c r="O283" s="80">
        <v>240</v>
      </c>
      <c r="P283" s="80">
        <v>160</v>
      </c>
      <c r="Q283" s="80">
        <f t="shared" si="44"/>
        <v>195</v>
      </c>
      <c r="R283" s="80">
        <f t="shared" si="45"/>
        <v>100</v>
      </c>
      <c r="S283" s="77">
        <f t="shared" si="46"/>
        <v>695</v>
      </c>
      <c r="T283" s="77">
        <f>0</f>
        <v>0</v>
      </c>
      <c r="U283" s="78"/>
      <c r="V283" s="78"/>
      <c r="W283" s="78"/>
      <c r="X283" s="78"/>
      <c r="Y283" s="78"/>
      <c r="Z283" s="78"/>
      <c r="AA283" s="78"/>
      <c r="AB283" s="78"/>
      <c r="AC283" s="78"/>
      <c r="AD283" s="78"/>
    </row>
    <row r="284" spans="1:30" ht="15.75" x14ac:dyDescent="0.25">
      <c r="A284" s="15">
        <v>49919</v>
      </c>
      <c r="B284" s="90">
        <v>30</v>
      </c>
      <c r="C284" s="77">
        <f>194.205</f>
        <v>194.20500000000001</v>
      </c>
      <c r="D284" s="77">
        <f>267.466</f>
        <v>267.46600000000001</v>
      </c>
      <c r="E284" s="85">
        <f>133.845</f>
        <v>133.845</v>
      </c>
      <c r="F284" s="77">
        <f>278.484-40-25-60-100</f>
        <v>53.48399999999998</v>
      </c>
      <c r="G284" s="80">
        <v>40</v>
      </c>
      <c r="H284" s="77">
        <f t="shared" si="47"/>
        <v>185</v>
      </c>
      <c r="I284" s="77">
        <f t="shared" si="39"/>
        <v>0</v>
      </c>
      <c r="J284" s="80">
        <v>100</v>
      </c>
      <c r="K284" s="80">
        <v>300</v>
      </c>
      <c r="L284" s="77">
        <f t="shared" si="43"/>
        <v>1274</v>
      </c>
      <c r="M284" s="87">
        <v>600</v>
      </c>
      <c r="N284" s="77">
        <f>30</f>
        <v>30</v>
      </c>
      <c r="O284" s="80">
        <v>240</v>
      </c>
      <c r="P284" s="80">
        <v>160</v>
      </c>
      <c r="Q284" s="80">
        <f t="shared" si="44"/>
        <v>195</v>
      </c>
      <c r="R284" s="80">
        <f t="shared" si="45"/>
        <v>100</v>
      </c>
      <c r="S284" s="77">
        <f t="shared" si="46"/>
        <v>695</v>
      </c>
      <c r="T284" s="77">
        <f>0</f>
        <v>0</v>
      </c>
      <c r="U284" s="78"/>
      <c r="V284" s="78"/>
      <c r="W284" s="78"/>
      <c r="X284" s="78"/>
      <c r="Y284" s="78"/>
      <c r="Z284" s="78"/>
      <c r="AA284" s="78"/>
      <c r="AB284" s="78"/>
      <c r="AC284" s="78"/>
      <c r="AD284" s="78"/>
    </row>
    <row r="285" spans="1:30" ht="15.75" x14ac:dyDescent="0.25">
      <c r="A285" s="15">
        <v>49949</v>
      </c>
      <c r="B285" s="90">
        <v>31</v>
      </c>
      <c r="C285" s="77">
        <f>131.881</f>
        <v>131.881</v>
      </c>
      <c r="D285" s="77">
        <f>277.167</f>
        <v>277.16699999999997</v>
      </c>
      <c r="E285" s="85">
        <f>79.08</f>
        <v>79.08</v>
      </c>
      <c r="F285" s="77">
        <f>350.872-40-25-60-100</f>
        <v>125.87200000000001</v>
      </c>
      <c r="G285" s="80">
        <v>40</v>
      </c>
      <c r="H285" s="77">
        <f t="shared" si="47"/>
        <v>185</v>
      </c>
      <c r="I285" s="77">
        <f t="shared" si="39"/>
        <v>0</v>
      </c>
      <c r="J285" s="80">
        <v>100</v>
      </c>
      <c r="K285" s="80">
        <v>300</v>
      </c>
      <c r="L285" s="77">
        <f t="shared" si="43"/>
        <v>1239</v>
      </c>
      <c r="M285" s="87">
        <v>600</v>
      </c>
      <c r="N285" s="77">
        <f>75</f>
        <v>75</v>
      </c>
      <c r="O285" s="80">
        <v>240</v>
      </c>
      <c r="P285" s="80">
        <v>160</v>
      </c>
      <c r="Q285" s="80">
        <f t="shared" si="44"/>
        <v>195</v>
      </c>
      <c r="R285" s="80">
        <f t="shared" si="45"/>
        <v>100</v>
      </c>
      <c r="S285" s="77">
        <f t="shared" si="46"/>
        <v>695</v>
      </c>
      <c r="T285" s="77">
        <f>0</f>
        <v>0</v>
      </c>
      <c r="U285" s="78"/>
      <c r="V285" s="78"/>
      <c r="W285" s="78"/>
      <c r="X285" s="78"/>
      <c r="Y285" s="78"/>
      <c r="Z285" s="78"/>
      <c r="AA285" s="78"/>
      <c r="AB285" s="78"/>
      <c r="AC285" s="78"/>
      <c r="AD285" s="78"/>
    </row>
    <row r="286" spans="1:30" ht="15.75" x14ac:dyDescent="0.25">
      <c r="A286" s="15">
        <v>49980</v>
      </c>
      <c r="B286" s="90">
        <v>30</v>
      </c>
      <c r="C286" s="77">
        <f>122.58</f>
        <v>122.58</v>
      </c>
      <c r="D286" s="77">
        <f>297.941</f>
        <v>297.94099999999997</v>
      </c>
      <c r="E286" s="85">
        <f>89.177</f>
        <v>89.177000000000007</v>
      </c>
      <c r="F286" s="77">
        <f>240.302-40-60-100</f>
        <v>40.301999999999992</v>
      </c>
      <c r="G286" s="80">
        <v>40</v>
      </c>
      <c r="H286" s="77">
        <f>60+100</f>
        <v>160</v>
      </c>
      <c r="I286" s="77">
        <f t="shared" si="39"/>
        <v>0</v>
      </c>
      <c r="J286" s="80">
        <v>100</v>
      </c>
      <c r="K286" s="80">
        <v>300</v>
      </c>
      <c r="L286" s="77">
        <f t="shared" si="43"/>
        <v>1150</v>
      </c>
      <c r="M286" s="87">
        <v>600</v>
      </c>
      <c r="N286" s="77">
        <f>100</f>
        <v>100</v>
      </c>
      <c r="O286" s="80">
        <v>240</v>
      </c>
      <c r="P286" s="80">
        <v>40</v>
      </c>
      <c r="Q286" s="80">
        <f t="shared" si="44"/>
        <v>315</v>
      </c>
      <c r="R286" s="80">
        <f t="shared" si="45"/>
        <v>100</v>
      </c>
      <c r="S286" s="77">
        <f t="shared" si="46"/>
        <v>695</v>
      </c>
      <c r="T286" s="77">
        <f>50</f>
        <v>50</v>
      </c>
      <c r="U286" s="78"/>
      <c r="V286" s="78"/>
      <c r="W286" s="78"/>
      <c r="X286" s="78"/>
      <c r="Y286" s="78"/>
      <c r="Z286" s="78"/>
      <c r="AA286" s="78"/>
      <c r="AB286" s="78"/>
      <c r="AC286" s="78"/>
      <c r="AD286" s="78"/>
    </row>
    <row r="287" spans="1:30" ht="15.75" x14ac:dyDescent="0.25">
      <c r="A287" s="15">
        <v>50010</v>
      </c>
      <c r="B287" s="90">
        <v>31</v>
      </c>
      <c r="C287" s="77">
        <f>122.58</f>
        <v>122.58</v>
      </c>
      <c r="D287" s="77">
        <f>297.941</f>
        <v>297.94099999999997</v>
      </c>
      <c r="E287" s="85">
        <f>89.177</f>
        <v>89.177000000000007</v>
      </c>
      <c r="F287" s="77">
        <f>240.302-40-60-100</f>
        <v>40.301999999999992</v>
      </c>
      <c r="G287" s="80">
        <v>40</v>
      </c>
      <c r="H287" s="77">
        <f>60+100</f>
        <v>160</v>
      </c>
      <c r="I287" s="77">
        <f t="shared" si="39"/>
        <v>0</v>
      </c>
      <c r="J287" s="80">
        <v>100</v>
      </c>
      <c r="K287" s="80">
        <v>300</v>
      </c>
      <c r="L287" s="77">
        <f t="shared" si="43"/>
        <v>1150</v>
      </c>
      <c r="M287" s="87">
        <v>600</v>
      </c>
      <c r="N287" s="77">
        <f>100</f>
        <v>100</v>
      </c>
      <c r="O287" s="80">
        <v>240</v>
      </c>
      <c r="P287" s="80">
        <v>40</v>
      </c>
      <c r="Q287" s="80">
        <f t="shared" si="44"/>
        <v>315</v>
      </c>
      <c r="R287" s="80">
        <f t="shared" si="45"/>
        <v>100</v>
      </c>
      <c r="S287" s="77">
        <f t="shared" si="46"/>
        <v>695</v>
      </c>
      <c r="T287" s="77">
        <f>50</f>
        <v>50</v>
      </c>
      <c r="U287" s="78"/>
      <c r="V287" s="78"/>
      <c r="W287" s="78"/>
      <c r="X287" s="78"/>
      <c r="Y287" s="78"/>
      <c r="Z287" s="78"/>
      <c r="AA287" s="78"/>
      <c r="AB287" s="78"/>
      <c r="AC287" s="78"/>
      <c r="AD287" s="78"/>
    </row>
    <row r="288" spans="1:30" ht="15.75" x14ac:dyDescent="0.25">
      <c r="A288" s="15">
        <v>50041</v>
      </c>
      <c r="B288" s="90">
        <v>31</v>
      </c>
      <c r="C288" s="77">
        <f>122.58</f>
        <v>122.58</v>
      </c>
      <c r="D288" s="77">
        <f>297.941</f>
        <v>297.94099999999997</v>
      </c>
      <c r="E288" s="85">
        <f>89.177</f>
        <v>89.177000000000007</v>
      </c>
      <c r="F288" s="77">
        <f>240.302-40-60-100</f>
        <v>40.301999999999992</v>
      </c>
      <c r="G288" s="80">
        <v>40</v>
      </c>
      <c r="H288" s="77">
        <f>60+100</f>
        <v>160</v>
      </c>
      <c r="I288" s="77">
        <f t="shared" si="39"/>
        <v>0</v>
      </c>
      <c r="J288" s="80">
        <v>100</v>
      </c>
      <c r="K288" s="80">
        <v>300</v>
      </c>
      <c r="L288" s="77">
        <f t="shared" si="43"/>
        <v>1150</v>
      </c>
      <c r="M288" s="87">
        <v>600</v>
      </c>
      <c r="N288" s="77">
        <f>100</f>
        <v>100</v>
      </c>
      <c r="O288" s="80">
        <v>240</v>
      </c>
      <c r="P288" s="80">
        <v>40</v>
      </c>
      <c r="Q288" s="80">
        <f t="shared" si="44"/>
        <v>315</v>
      </c>
      <c r="R288" s="80">
        <f t="shared" si="45"/>
        <v>100</v>
      </c>
      <c r="S288" s="77">
        <f t="shared" si="46"/>
        <v>695</v>
      </c>
      <c r="T288" s="77">
        <f>50</f>
        <v>50</v>
      </c>
      <c r="U288" s="78"/>
      <c r="V288" s="78"/>
      <c r="W288" s="78"/>
      <c r="X288" s="78"/>
      <c r="Y288" s="78"/>
      <c r="Z288" s="78"/>
      <c r="AA288" s="78"/>
      <c r="AB288" s="78"/>
      <c r="AC288" s="78"/>
      <c r="AD288" s="78"/>
    </row>
    <row r="289" spans="1:30" ht="15.75" x14ac:dyDescent="0.25">
      <c r="A289" s="15">
        <v>50072</v>
      </c>
      <c r="B289" s="90">
        <v>28</v>
      </c>
      <c r="C289" s="77">
        <f>122.58</f>
        <v>122.58</v>
      </c>
      <c r="D289" s="77">
        <f>297.941</f>
        <v>297.94099999999997</v>
      </c>
      <c r="E289" s="85">
        <f>89.177</f>
        <v>89.177000000000007</v>
      </c>
      <c r="F289" s="77">
        <f>240.302-40-60-100</f>
        <v>40.301999999999992</v>
      </c>
      <c r="G289" s="80">
        <v>40</v>
      </c>
      <c r="H289" s="77">
        <f>60+100</f>
        <v>160</v>
      </c>
      <c r="I289" s="77">
        <f t="shared" si="39"/>
        <v>0</v>
      </c>
      <c r="J289" s="80">
        <v>100</v>
      </c>
      <c r="K289" s="80">
        <v>300</v>
      </c>
      <c r="L289" s="77">
        <f t="shared" si="43"/>
        <v>1150</v>
      </c>
      <c r="M289" s="87">
        <v>600</v>
      </c>
      <c r="N289" s="77">
        <f>100</f>
        <v>100</v>
      </c>
      <c r="O289" s="80">
        <v>240</v>
      </c>
      <c r="P289" s="80">
        <v>40</v>
      </c>
      <c r="Q289" s="80">
        <f t="shared" si="44"/>
        <v>315</v>
      </c>
      <c r="R289" s="80">
        <f t="shared" si="45"/>
        <v>100</v>
      </c>
      <c r="S289" s="77">
        <f t="shared" si="46"/>
        <v>695</v>
      </c>
      <c r="T289" s="77">
        <f>50</f>
        <v>50</v>
      </c>
      <c r="U289" s="78"/>
      <c r="V289" s="78"/>
      <c r="W289" s="78"/>
      <c r="X289" s="78"/>
      <c r="Y289" s="78"/>
      <c r="Z289" s="78"/>
      <c r="AA289" s="78"/>
      <c r="AB289" s="78"/>
      <c r="AC289" s="78"/>
      <c r="AD289" s="78"/>
    </row>
    <row r="290" spans="1:30" ht="15.75" x14ac:dyDescent="0.25">
      <c r="A290" s="15">
        <v>50100</v>
      </c>
      <c r="B290" s="90">
        <v>31</v>
      </c>
      <c r="C290" s="77">
        <f>122.58</f>
        <v>122.58</v>
      </c>
      <c r="D290" s="77">
        <f>297.941</f>
        <v>297.94099999999997</v>
      </c>
      <c r="E290" s="85">
        <f>89.177</f>
        <v>89.177000000000007</v>
      </c>
      <c r="F290" s="77">
        <f>240.302-40-60-100</f>
        <v>40.301999999999992</v>
      </c>
      <c r="G290" s="80">
        <v>40</v>
      </c>
      <c r="H290" s="77">
        <f>60+100</f>
        <v>160</v>
      </c>
      <c r="I290" s="77">
        <f t="shared" si="39"/>
        <v>0</v>
      </c>
      <c r="J290" s="80">
        <v>100</v>
      </c>
      <c r="K290" s="80">
        <v>300</v>
      </c>
      <c r="L290" s="77">
        <f t="shared" si="43"/>
        <v>1150</v>
      </c>
      <c r="M290" s="87">
        <v>600</v>
      </c>
      <c r="N290" s="77">
        <f>100</f>
        <v>100</v>
      </c>
      <c r="O290" s="80">
        <v>240</v>
      </c>
      <c r="P290" s="80">
        <v>40</v>
      </c>
      <c r="Q290" s="80">
        <f t="shared" si="44"/>
        <v>315</v>
      </c>
      <c r="R290" s="80">
        <f t="shared" si="45"/>
        <v>100</v>
      </c>
      <c r="S290" s="77">
        <f t="shared" si="46"/>
        <v>695</v>
      </c>
      <c r="T290" s="77">
        <f>50</f>
        <v>50</v>
      </c>
      <c r="U290" s="78"/>
      <c r="V290" s="78"/>
      <c r="W290" s="78"/>
      <c r="X290" s="78"/>
      <c r="Y290" s="78"/>
      <c r="Z290" s="78"/>
      <c r="AA290" s="78"/>
      <c r="AB290" s="78"/>
      <c r="AC290" s="78"/>
      <c r="AD290" s="78"/>
    </row>
    <row r="291" spans="1:30" ht="15.75" x14ac:dyDescent="0.25">
      <c r="A291" s="15">
        <v>50131</v>
      </c>
      <c r="B291" s="90">
        <v>30</v>
      </c>
      <c r="C291" s="77">
        <f>141.293</f>
        <v>141.29300000000001</v>
      </c>
      <c r="D291" s="77">
        <f>267.993</f>
        <v>267.99299999999999</v>
      </c>
      <c r="E291" s="85">
        <f>115.016</f>
        <v>115.01600000000001</v>
      </c>
      <c r="F291" s="77">
        <f>314.698-40-25-60-100</f>
        <v>89.697999999999979</v>
      </c>
      <c r="G291" s="80">
        <v>40</v>
      </c>
      <c r="H291" s="77">
        <f t="shared" ref="H291:H297" si="48">25+60+100</f>
        <v>185</v>
      </c>
      <c r="I291" s="77">
        <f t="shared" si="39"/>
        <v>0</v>
      </c>
      <c r="J291" s="80">
        <v>100</v>
      </c>
      <c r="K291" s="80">
        <v>300</v>
      </c>
      <c r="L291" s="77">
        <f t="shared" si="43"/>
        <v>1239</v>
      </c>
      <c r="M291" s="87">
        <v>600</v>
      </c>
      <c r="N291" s="77">
        <f>100</f>
        <v>100</v>
      </c>
      <c r="O291" s="80">
        <v>240</v>
      </c>
      <c r="P291" s="80">
        <v>160</v>
      </c>
      <c r="Q291" s="80">
        <f t="shared" si="44"/>
        <v>195</v>
      </c>
      <c r="R291" s="80">
        <f t="shared" si="45"/>
        <v>100</v>
      </c>
      <c r="S291" s="77">
        <f t="shared" si="46"/>
        <v>695</v>
      </c>
      <c r="T291" s="77">
        <f>50</f>
        <v>50</v>
      </c>
      <c r="U291" s="78"/>
      <c r="V291" s="78"/>
      <c r="W291" s="78"/>
      <c r="X291" s="78"/>
      <c r="Y291" s="78"/>
      <c r="Z291" s="78"/>
      <c r="AA291" s="78"/>
      <c r="AB291" s="78"/>
      <c r="AC291" s="78"/>
      <c r="AD291" s="78"/>
    </row>
    <row r="292" spans="1:30" ht="15.75" x14ac:dyDescent="0.25">
      <c r="A292" s="15">
        <v>50161</v>
      </c>
      <c r="B292" s="90">
        <v>31</v>
      </c>
      <c r="C292" s="77">
        <f>194.205</f>
        <v>194.20500000000001</v>
      </c>
      <c r="D292" s="77">
        <f>267.466</f>
        <v>267.46600000000001</v>
      </c>
      <c r="E292" s="85">
        <f>133.845</f>
        <v>133.845</v>
      </c>
      <c r="F292" s="77">
        <f>278.484-40-25-60-100</f>
        <v>53.48399999999998</v>
      </c>
      <c r="G292" s="80">
        <v>40</v>
      </c>
      <c r="H292" s="77">
        <f t="shared" si="48"/>
        <v>185</v>
      </c>
      <c r="I292" s="77">
        <f t="shared" si="39"/>
        <v>0</v>
      </c>
      <c r="J292" s="80">
        <v>100</v>
      </c>
      <c r="K292" s="80">
        <v>300</v>
      </c>
      <c r="L292" s="77">
        <f t="shared" si="43"/>
        <v>1274</v>
      </c>
      <c r="M292" s="87">
        <v>600</v>
      </c>
      <c r="N292" s="77">
        <f>75</f>
        <v>75</v>
      </c>
      <c r="O292" s="80">
        <v>240</v>
      </c>
      <c r="P292" s="80">
        <v>160</v>
      </c>
      <c r="Q292" s="80">
        <f t="shared" si="44"/>
        <v>195</v>
      </c>
      <c r="R292" s="80">
        <f t="shared" si="45"/>
        <v>100</v>
      </c>
      <c r="S292" s="77">
        <f t="shared" si="46"/>
        <v>695</v>
      </c>
      <c r="T292" s="77">
        <f>50</f>
        <v>50</v>
      </c>
      <c r="U292" s="78"/>
      <c r="V292" s="78"/>
      <c r="W292" s="78"/>
      <c r="X292" s="78"/>
      <c r="Y292" s="78"/>
      <c r="Z292" s="78"/>
      <c r="AA292" s="78"/>
      <c r="AB292" s="78"/>
      <c r="AC292" s="78"/>
      <c r="AD292" s="78"/>
    </row>
    <row r="293" spans="1:30" ht="15.75" x14ac:dyDescent="0.25">
      <c r="A293" s="15">
        <v>50192</v>
      </c>
      <c r="B293" s="90">
        <v>30</v>
      </c>
      <c r="C293" s="77">
        <f>194.205</f>
        <v>194.20500000000001</v>
      </c>
      <c r="D293" s="77">
        <f>267.466</f>
        <v>267.46600000000001</v>
      </c>
      <c r="E293" s="85">
        <f>133.845</f>
        <v>133.845</v>
      </c>
      <c r="F293" s="77">
        <f>278.484-40-25-60-100</f>
        <v>53.48399999999998</v>
      </c>
      <c r="G293" s="80">
        <v>40</v>
      </c>
      <c r="H293" s="77">
        <f t="shared" si="48"/>
        <v>185</v>
      </c>
      <c r="I293" s="77">
        <f t="shared" si="39"/>
        <v>0</v>
      </c>
      <c r="J293" s="80">
        <v>100</v>
      </c>
      <c r="K293" s="80">
        <v>300</v>
      </c>
      <c r="L293" s="77">
        <f t="shared" si="43"/>
        <v>1274</v>
      </c>
      <c r="M293" s="87">
        <v>600</v>
      </c>
      <c r="N293" s="77">
        <f>30</f>
        <v>30</v>
      </c>
      <c r="O293" s="80">
        <v>240</v>
      </c>
      <c r="P293" s="80">
        <v>160</v>
      </c>
      <c r="Q293" s="80">
        <f t="shared" si="44"/>
        <v>195</v>
      </c>
      <c r="R293" s="80">
        <f t="shared" si="45"/>
        <v>100</v>
      </c>
      <c r="S293" s="77">
        <f t="shared" si="46"/>
        <v>695</v>
      </c>
      <c r="T293" s="77">
        <f>50</f>
        <v>50</v>
      </c>
      <c r="U293" s="78"/>
      <c r="V293" s="78"/>
      <c r="W293" s="78"/>
      <c r="X293" s="78"/>
      <c r="Y293" s="78"/>
      <c r="Z293" s="78"/>
      <c r="AA293" s="78"/>
      <c r="AB293" s="78"/>
      <c r="AC293" s="78"/>
      <c r="AD293" s="78"/>
    </row>
    <row r="294" spans="1:30" ht="15.75" x14ac:dyDescent="0.25">
      <c r="A294" s="15">
        <v>50222</v>
      </c>
      <c r="B294" s="90">
        <v>31</v>
      </c>
      <c r="C294" s="77">
        <f>194.205</f>
        <v>194.20500000000001</v>
      </c>
      <c r="D294" s="77">
        <f>267.466</f>
        <v>267.46600000000001</v>
      </c>
      <c r="E294" s="85">
        <f>133.845</f>
        <v>133.845</v>
      </c>
      <c r="F294" s="77">
        <f>278.484-40-25-60-100</f>
        <v>53.48399999999998</v>
      </c>
      <c r="G294" s="80">
        <v>40</v>
      </c>
      <c r="H294" s="77">
        <f t="shared" si="48"/>
        <v>185</v>
      </c>
      <c r="I294" s="77">
        <f t="shared" si="39"/>
        <v>0</v>
      </c>
      <c r="J294" s="80">
        <v>100</v>
      </c>
      <c r="K294" s="80">
        <v>300</v>
      </c>
      <c r="L294" s="77">
        <f t="shared" si="43"/>
        <v>1274</v>
      </c>
      <c r="M294" s="87">
        <v>600</v>
      </c>
      <c r="N294" s="77">
        <f>30</f>
        <v>30</v>
      </c>
      <c r="O294" s="80">
        <v>240</v>
      </c>
      <c r="P294" s="80">
        <v>160</v>
      </c>
      <c r="Q294" s="80">
        <f t="shared" si="44"/>
        <v>195</v>
      </c>
      <c r="R294" s="80">
        <f t="shared" si="45"/>
        <v>100</v>
      </c>
      <c r="S294" s="77">
        <f t="shared" si="46"/>
        <v>695</v>
      </c>
      <c r="T294" s="77">
        <f>0</f>
        <v>0</v>
      </c>
      <c r="U294" s="78"/>
      <c r="V294" s="78"/>
      <c r="W294" s="78"/>
      <c r="X294" s="78"/>
      <c r="Y294" s="78"/>
      <c r="Z294" s="78"/>
      <c r="AA294" s="78"/>
      <c r="AB294" s="78"/>
      <c r="AC294" s="78"/>
      <c r="AD294" s="78"/>
    </row>
    <row r="295" spans="1:30" ht="15.75" x14ac:dyDescent="0.25">
      <c r="A295" s="15">
        <v>50253</v>
      </c>
      <c r="B295" s="90">
        <v>31</v>
      </c>
      <c r="C295" s="77">
        <f>194.205</f>
        <v>194.20500000000001</v>
      </c>
      <c r="D295" s="77">
        <f>267.466</f>
        <v>267.46600000000001</v>
      </c>
      <c r="E295" s="85">
        <f>133.845</f>
        <v>133.845</v>
      </c>
      <c r="F295" s="77">
        <f>278.484-40-25-60-100</f>
        <v>53.48399999999998</v>
      </c>
      <c r="G295" s="80">
        <v>40</v>
      </c>
      <c r="H295" s="77">
        <f t="shared" si="48"/>
        <v>185</v>
      </c>
      <c r="I295" s="77">
        <f t="shared" si="39"/>
        <v>0</v>
      </c>
      <c r="J295" s="80">
        <v>100</v>
      </c>
      <c r="K295" s="80">
        <v>300</v>
      </c>
      <c r="L295" s="77">
        <f t="shared" si="43"/>
        <v>1274</v>
      </c>
      <c r="M295" s="87">
        <v>600</v>
      </c>
      <c r="N295" s="77">
        <f>30</f>
        <v>30</v>
      </c>
      <c r="O295" s="80">
        <v>240</v>
      </c>
      <c r="P295" s="80">
        <v>160</v>
      </c>
      <c r="Q295" s="80">
        <f t="shared" si="44"/>
        <v>195</v>
      </c>
      <c r="R295" s="80">
        <f t="shared" si="45"/>
        <v>100</v>
      </c>
      <c r="S295" s="77">
        <f t="shared" si="46"/>
        <v>695</v>
      </c>
      <c r="T295" s="77">
        <f>0</f>
        <v>0</v>
      </c>
      <c r="U295" s="78"/>
      <c r="V295" s="78"/>
      <c r="W295" s="78"/>
      <c r="X295" s="78"/>
      <c r="Y295" s="78"/>
      <c r="Z295" s="78"/>
      <c r="AA295" s="78"/>
      <c r="AB295" s="78"/>
      <c r="AC295" s="78"/>
      <c r="AD295" s="78"/>
    </row>
    <row r="296" spans="1:30" ht="15.75" x14ac:dyDescent="0.25">
      <c r="A296" s="15">
        <v>50284</v>
      </c>
      <c r="B296" s="90">
        <v>30</v>
      </c>
      <c r="C296" s="77">
        <f>194.205</f>
        <v>194.20500000000001</v>
      </c>
      <c r="D296" s="77">
        <f>267.466</f>
        <v>267.46600000000001</v>
      </c>
      <c r="E296" s="85">
        <f>133.845</f>
        <v>133.845</v>
      </c>
      <c r="F296" s="77">
        <f>278.484-40-25-60-100</f>
        <v>53.48399999999998</v>
      </c>
      <c r="G296" s="80">
        <v>40</v>
      </c>
      <c r="H296" s="77">
        <f t="shared" si="48"/>
        <v>185</v>
      </c>
      <c r="I296" s="77">
        <f t="shared" ref="I296:I359" si="49">400-J296-K296</f>
        <v>0</v>
      </c>
      <c r="J296" s="80">
        <v>100</v>
      </c>
      <c r="K296" s="80">
        <v>300</v>
      </c>
      <c r="L296" s="77">
        <f t="shared" si="43"/>
        <v>1274</v>
      </c>
      <c r="M296" s="87">
        <v>600</v>
      </c>
      <c r="N296" s="77">
        <f>30</f>
        <v>30</v>
      </c>
      <c r="O296" s="80">
        <v>240</v>
      </c>
      <c r="P296" s="80">
        <v>160</v>
      </c>
      <c r="Q296" s="80">
        <f t="shared" si="44"/>
        <v>195</v>
      </c>
      <c r="R296" s="80">
        <f t="shared" si="45"/>
        <v>100</v>
      </c>
      <c r="S296" s="77">
        <f t="shared" si="46"/>
        <v>695</v>
      </c>
      <c r="T296" s="77">
        <f>0</f>
        <v>0</v>
      </c>
      <c r="U296" s="78"/>
      <c r="V296" s="78"/>
      <c r="W296" s="78"/>
      <c r="X296" s="78"/>
      <c r="Y296" s="78"/>
      <c r="Z296" s="78"/>
      <c r="AA296" s="78"/>
      <c r="AB296" s="78"/>
      <c r="AC296" s="78"/>
      <c r="AD296" s="78"/>
    </row>
    <row r="297" spans="1:30" ht="15.75" x14ac:dyDescent="0.25">
      <c r="A297" s="15">
        <v>50314</v>
      </c>
      <c r="B297" s="90">
        <v>31</v>
      </c>
      <c r="C297" s="77">
        <f>131.881</f>
        <v>131.881</v>
      </c>
      <c r="D297" s="77">
        <f>277.167</f>
        <v>277.16699999999997</v>
      </c>
      <c r="E297" s="85">
        <f>79.08</f>
        <v>79.08</v>
      </c>
      <c r="F297" s="77">
        <f>350.872-40-25-60-100</f>
        <v>125.87200000000001</v>
      </c>
      <c r="G297" s="80">
        <v>40</v>
      </c>
      <c r="H297" s="77">
        <f t="shared" si="48"/>
        <v>185</v>
      </c>
      <c r="I297" s="77">
        <f t="shared" si="49"/>
        <v>0</v>
      </c>
      <c r="J297" s="80">
        <v>100</v>
      </c>
      <c r="K297" s="80">
        <v>300</v>
      </c>
      <c r="L297" s="77">
        <f t="shared" si="43"/>
        <v>1239</v>
      </c>
      <c r="M297" s="87">
        <v>600</v>
      </c>
      <c r="N297" s="77">
        <f>75</f>
        <v>75</v>
      </c>
      <c r="O297" s="80">
        <v>240</v>
      </c>
      <c r="P297" s="80">
        <v>160</v>
      </c>
      <c r="Q297" s="80">
        <f t="shared" si="44"/>
        <v>195</v>
      </c>
      <c r="R297" s="80">
        <f t="shared" si="45"/>
        <v>100</v>
      </c>
      <c r="S297" s="77">
        <f t="shared" si="46"/>
        <v>695</v>
      </c>
      <c r="T297" s="77">
        <f>0</f>
        <v>0</v>
      </c>
      <c r="U297" s="78"/>
      <c r="V297" s="78"/>
      <c r="W297" s="78"/>
      <c r="X297" s="78"/>
      <c r="Y297" s="78"/>
      <c r="Z297" s="78"/>
      <c r="AA297" s="78"/>
      <c r="AB297" s="78"/>
      <c r="AC297" s="78"/>
      <c r="AD297" s="78"/>
    </row>
    <row r="298" spans="1:30" ht="15.75" x14ac:dyDescent="0.25">
      <c r="A298" s="15">
        <v>50345</v>
      </c>
      <c r="B298" s="90">
        <v>30</v>
      </c>
      <c r="C298" s="77">
        <f>122.58</f>
        <v>122.58</v>
      </c>
      <c r="D298" s="77">
        <f>297.941</f>
        <v>297.94099999999997</v>
      </c>
      <c r="E298" s="85">
        <f>89.177</f>
        <v>89.177000000000007</v>
      </c>
      <c r="F298" s="77">
        <f>240.302-40-60-100</f>
        <v>40.301999999999992</v>
      </c>
      <c r="G298" s="80">
        <v>40</v>
      </c>
      <c r="H298" s="77">
        <f>60+100</f>
        <v>160</v>
      </c>
      <c r="I298" s="77">
        <f t="shared" si="49"/>
        <v>0</v>
      </c>
      <c r="J298" s="80">
        <v>100</v>
      </c>
      <c r="K298" s="80">
        <v>300</v>
      </c>
      <c r="L298" s="77">
        <f t="shared" si="43"/>
        <v>1150</v>
      </c>
      <c r="M298" s="87">
        <v>600</v>
      </c>
      <c r="N298" s="77">
        <f>100</f>
        <v>100</v>
      </c>
      <c r="O298" s="80">
        <v>240</v>
      </c>
      <c r="P298" s="80">
        <v>40</v>
      </c>
      <c r="Q298" s="80">
        <f t="shared" si="44"/>
        <v>315</v>
      </c>
      <c r="R298" s="80">
        <f t="shared" si="45"/>
        <v>100</v>
      </c>
      <c r="S298" s="77">
        <f t="shared" si="46"/>
        <v>695</v>
      </c>
      <c r="T298" s="77">
        <f>50</f>
        <v>50</v>
      </c>
      <c r="U298" s="78"/>
      <c r="V298" s="78"/>
      <c r="W298" s="78"/>
      <c r="X298" s="78"/>
      <c r="Y298" s="78"/>
      <c r="Z298" s="78"/>
      <c r="AA298" s="78"/>
      <c r="AB298" s="78"/>
      <c r="AC298" s="78"/>
      <c r="AD298" s="78"/>
    </row>
    <row r="299" spans="1:30" ht="15.75" x14ac:dyDescent="0.25">
      <c r="A299" s="15">
        <v>50375</v>
      </c>
      <c r="B299" s="90">
        <v>31</v>
      </c>
      <c r="C299" s="77">
        <f>122.58</f>
        <v>122.58</v>
      </c>
      <c r="D299" s="77">
        <f>297.941</f>
        <v>297.94099999999997</v>
      </c>
      <c r="E299" s="85">
        <f>89.177</f>
        <v>89.177000000000007</v>
      </c>
      <c r="F299" s="77">
        <f>240.302-40-60-100</f>
        <v>40.301999999999992</v>
      </c>
      <c r="G299" s="80">
        <v>40</v>
      </c>
      <c r="H299" s="77">
        <f>60+100</f>
        <v>160</v>
      </c>
      <c r="I299" s="77">
        <f t="shared" si="49"/>
        <v>0</v>
      </c>
      <c r="J299" s="80">
        <v>100</v>
      </c>
      <c r="K299" s="80">
        <v>300</v>
      </c>
      <c r="L299" s="77">
        <f t="shared" si="43"/>
        <v>1150</v>
      </c>
      <c r="M299" s="87">
        <v>600</v>
      </c>
      <c r="N299" s="77">
        <f>100</f>
        <v>100</v>
      </c>
      <c r="O299" s="80">
        <v>240</v>
      </c>
      <c r="P299" s="80">
        <v>40</v>
      </c>
      <c r="Q299" s="80">
        <f t="shared" si="44"/>
        <v>315</v>
      </c>
      <c r="R299" s="80">
        <f t="shared" si="45"/>
        <v>100</v>
      </c>
      <c r="S299" s="77">
        <f t="shared" si="46"/>
        <v>695</v>
      </c>
      <c r="T299" s="77">
        <f>50</f>
        <v>50</v>
      </c>
      <c r="U299" s="78"/>
      <c r="V299" s="78"/>
      <c r="W299" s="78"/>
      <c r="X299" s="78"/>
      <c r="Y299" s="78"/>
      <c r="Z299" s="78"/>
      <c r="AA299" s="78"/>
      <c r="AB299" s="78"/>
      <c r="AC299" s="78"/>
      <c r="AD299" s="78"/>
    </row>
    <row r="300" spans="1:30" ht="15.75" x14ac:dyDescent="0.25">
      <c r="A300" s="14">
        <v>50436</v>
      </c>
      <c r="B300" s="89">
        <v>31</v>
      </c>
      <c r="C300" s="77">
        <f>122.58</f>
        <v>122.58</v>
      </c>
      <c r="D300" s="77">
        <f>297.941</f>
        <v>297.94099999999997</v>
      </c>
      <c r="E300" s="85">
        <f>89.177</f>
        <v>89.177000000000007</v>
      </c>
      <c r="F300" s="77">
        <f>240.302-40-60-100</f>
        <v>40.301999999999992</v>
      </c>
      <c r="G300" s="80">
        <v>40</v>
      </c>
      <c r="H300" s="77">
        <f>60+100</f>
        <v>160</v>
      </c>
      <c r="I300" s="77">
        <f t="shared" si="49"/>
        <v>0</v>
      </c>
      <c r="J300" s="80">
        <v>100</v>
      </c>
      <c r="K300" s="80">
        <v>300</v>
      </c>
      <c r="L300" s="77">
        <f t="shared" si="43"/>
        <v>1150</v>
      </c>
      <c r="M300" s="87">
        <v>600</v>
      </c>
      <c r="N300" s="77">
        <f>100</f>
        <v>100</v>
      </c>
      <c r="O300" s="80">
        <v>240</v>
      </c>
      <c r="P300" s="80">
        <v>40</v>
      </c>
      <c r="Q300" s="80">
        <f t="shared" si="44"/>
        <v>315</v>
      </c>
      <c r="R300" s="80">
        <f t="shared" si="45"/>
        <v>100</v>
      </c>
      <c r="S300" s="77">
        <f t="shared" si="46"/>
        <v>695</v>
      </c>
      <c r="T300" s="77">
        <f>50</f>
        <v>50</v>
      </c>
      <c r="U300" s="78"/>
      <c r="V300" s="78"/>
      <c r="W300" s="78"/>
      <c r="X300" s="78"/>
      <c r="Y300" s="78"/>
      <c r="Z300" s="78"/>
      <c r="AA300" s="78"/>
      <c r="AB300" s="78"/>
      <c r="AC300" s="78"/>
      <c r="AD300" s="78"/>
    </row>
    <row r="301" spans="1:30" ht="15.75" x14ac:dyDescent="0.25">
      <c r="A301" s="14">
        <v>50464</v>
      </c>
      <c r="B301" s="89">
        <v>28</v>
      </c>
      <c r="C301" s="77">
        <f>122.58</f>
        <v>122.58</v>
      </c>
      <c r="D301" s="77">
        <f>297.941</f>
        <v>297.94099999999997</v>
      </c>
      <c r="E301" s="85">
        <f>89.177</f>
        <v>89.177000000000007</v>
      </c>
      <c r="F301" s="77">
        <f>240.302-40-60-100</f>
        <v>40.301999999999992</v>
      </c>
      <c r="G301" s="80">
        <v>40</v>
      </c>
      <c r="H301" s="77">
        <f>60+100</f>
        <v>160</v>
      </c>
      <c r="I301" s="77">
        <f t="shared" si="49"/>
        <v>0</v>
      </c>
      <c r="J301" s="80">
        <v>100</v>
      </c>
      <c r="K301" s="80">
        <v>300</v>
      </c>
      <c r="L301" s="77">
        <f t="shared" si="43"/>
        <v>1150</v>
      </c>
      <c r="M301" s="87">
        <v>600</v>
      </c>
      <c r="N301" s="77">
        <f>100</f>
        <v>100</v>
      </c>
      <c r="O301" s="80">
        <v>240</v>
      </c>
      <c r="P301" s="80">
        <v>40</v>
      </c>
      <c r="Q301" s="80">
        <f t="shared" si="44"/>
        <v>315</v>
      </c>
      <c r="R301" s="80">
        <f t="shared" si="45"/>
        <v>100</v>
      </c>
      <c r="S301" s="77">
        <f t="shared" si="46"/>
        <v>695</v>
      </c>
      <c r="T301" s="77">
        <f>50</f>
        <v>50</v>
      </c>
      <c r="U301" s="78"/>
      <c r="V301" s="78"/>
      <c r="W301" s="78"/>
      <c r="X301" s="78"/>
      <c r="Y301" s="78"/>
      <c r="Z301" s="78"/>
      <c r="AA301" s="78"/>
      <c r="AB301" s="78"/>
      <c r="AC301" s="78"/>
      <c r="AD301" s="78"/>
    </row>
    <row r="302" spans="1:30" ht="15.75" x14ac:dyDescent="0.25">
      <c r="A302" s="14">
        <v>50495</v>
      </c>
      <c r="B302" s="89">
        <v>31</v>
      </c>
      <c r="C302" s="77">
        <f>122.58</f>
        <v>122.58</v>
      </c>
      <c r="D302" s="77">
        <f>297.941</f>
        <v>297.94099999999997</v>
      </c>
      <c r="E302" s="85">
        <f>89.177</f>
        <v>89.177000000000007</v>
      </c>
      <c r="F302" s="77">
        <f>240.302-40-60-100</f>
        <v>40.301999999999992</v>
      </c>
      <c r="G302" s="80">
        <v>40</v>
      </c>
      <c r="H302" s="77">
        <f>60+100</f>
        <v>160</v>
      </c>
      <c r="I302" s="77">
        <f t="shared" si="49"/>
        <v>0</v>
      </c>
      <c r="J302" s="80">
        <v>100</v>
      </c>
      <c r="K302" s="80">
        <v>300</v>
      </c>
      <c r="L302" s="77">
        <f t="shared" si="43"/>
        <v>1150</v>
      </c>
      <c r="M302" s="87">
        <v>600</v>
      </c>
      <c r="N302" s="77">
        <f>100</f>
        <v>100</v>
      </c>
      <c r="O302" s="80">
        <v>240</v>
      </c>
      <c r="P302" s="80">
        <v>40</v>
      </c>
      <c r="Q302" s="80">
        <f t="shared" si="44"/>
        <v>315</v>
      </c>
      <c r="R302" s="80">
        <f t="shared" si="45"/>
        <v>100</v>
      </c>
      <c r="S302" s="77">
        <f t="shared" si="46"/>
        <v>695</v>
      </c>
      <c r="T302" s="77">
        <f>50</f>
        <v>50</v>
      </c>
      <c r="U302" s="78"/>
      <c r="V302" s="78"/>
      <c r="W302" s="78"/>
      <c r="X302" s="78"/>
      <c r="Y302" s="78"/>
      <c r="Z302" s="78"/>
      <c r="AA302" s="78"/>
      <c r="AB302" s="78"/>
      <c r="AC302" s="78"/>
      <c r="AD302" s="78"/>
    </row>
    <row r="303" spans="1:30" ht="15.75" x14ac:dyDescent="0.25">
      <c r="A303" s="14">
        <v>50525</v>
      </c>
      <c r="B303" s="89">
        <v>30</v>
      </c>
      <c r="C303" s="77">
        <f>141.293</f>
        <v>141.29300000000001</v>
      </c>
      <c r="D303" s="77">
        <f>267.993</f>
        <v>267.99299999999999</v>
      </c>
      <c r="E303" s="85">
        <f>115.016</f>
        <v>115.01600000000001</v>
      </c>
      <c r="F303" s="77">
        <f>314.698-40-25-60-100</f>
        <v>89.697999999999979</v>
      </c>
      <c r="G303" s="80">
        <v>40</v>
      </c>
      <c r="H303" s="77">
        <f t="shared" ref="H303:H309" si="50">25+60+100</f>
        <v>185</v>
      </c>
      <c r="I303" s="77">
        <f t="shared" si="49"/>
        <v>0</v>
      </c>
      <c r="J303" s="80">
        <v>100</v>
      </c>
      <c r="K303" s="80">
        <v>300</v>
      </c>
      <c r="L303" s="77">
        <f t="shared" si="43"/>
        <v>1239</v>
      </c>
      <c r="M303" s="87">
        <v>600</v>
      </c>
      <c r="N303" s="77">
        <f>100</f>
        <v>100</v>
      </c>
      <c r="O303" s="80">
        <v>240</v>
      </c>
      <c r="P303" s="80">
        <v>160</v>
      </c>
      <c r="Q303" s="80">
        <f t="shared" si="44"/>
        <v>195</v>
      </c>
      <c r="R303" s="80">
        <f t="shared" si="45"/>
        <v>100</v>
      </c>
      <c r="S303" s="77">
        <f t="shared" si="46"/>
        <v>695</v>
      </c>
      <c r="T303" s="77">
        <f>50</f>
        <v>50</v>
      </c>
      <c r="U303" s="78"/>
      <c r="V303" s="78"/>
      <c r="W303" s="78"/>
      <c r="X303" s="78"/>
      <c r="Y303" s="78"/>
      <c r="Z303" s="78"/>
      <c r="AA303" s="78"/>
      <c r="AB303" s="78"/>
      <c r="AC303" s="78"/>
      <c r="AD303" s="78"/>
    </row>
    <row r="304" spans="1:30" ht="15.75" x14ac:dyDescent="0.25">
      <c r="A304" s="14">
        <v>50556</v>
      </c>
      <c r="B304" s="89">
        <v>31</v>
      </c>
      <c r="C304" s="77">
        <f>194.205</f>
        <v>194.20500000000001</v>
      </c>
      <c r="D304" s="77">
        <f>267.466</f>
        <v>267.46600000000001</v>
      </c>
      <c r="E304" s="85">
        <f>133.845</f>
        <v>133.845</v>
      </c>
      <c r="F304" s="77">
        <f>278.484-40-25-60-100</f>
        <v>53.48399999999998</v>
      </c>
      <c r="G304" s="80">
        <v>40</v>
      </c>
      <c r="H304" s="77">
        <f t="shared" si="50"/>
        <v>185</v>
      </c>
      <c r="I304" s="77">
        <f t="shared" si="49"/>
        <v>0</v>
      </c>
      <c r="J304" s="80">
        <v>100</v>
      </c>
      <c r="K304" s="80">
        <v>300</v>
      </c>
      <c r="L304" s="77">
        <f t="shared" si="43"/>
        <v>1274</v>
      </c>
      <c r="M304" s="87">
        <v>600</v>
      </c>
      <c r="N304" s="77">
        <f>75</f>
        <v>75</v>
      </c>
      <c r="O304" s="80">
        <v>240</v>
      </c>
      <c r="P304" s="80">
        <v>160</v>
      </c>
      <c r="Q304" s="80">
        <f t="shared" si="44"/>
        <v>195</v>
      </c>
      <c r="R304" s="80">
        <f t="shared" si="45"/>
        <v>100</v>
      </c>
      <c r="S304" s="77">
        <f t="shared" si="46"/>
        <v>695</v>
      </c>
      <c r="T304" s="77">
        <f>50</f>
        <v>50</v>
      </c>
      <c r="U304" s="78"/>
      <c r="V304" s="78"/>
      <c r="W304" s="78"/>
      <c r="X304" s="78"/>
      <c r="Y304" s="78"/>
      <c r="Z304" s="78"/>
      <c r="AA304" s="78"/>
      <c r="AB304" s="78"/>
      <c r="AC304" s="78"/>
      <c r="AD304" s="78"/>
    </row>
    <row r="305" spans="1:30" ht="15.75" x14ac:dyDescent="0.25">
      <c r="A305" s="14">
        <v>50586</v>
      </c>
      <c r="B305" s="89">
        <v>30</v>
      </c>
      <c r="C305" s="77">
        <f>194.205</f>
        <v>194.20500000000001</v>
      </c>
      <c r="D305" s="77">
        <f>267.466</f>
        <v>267.46600000000001</v>
      </c>
      <c r="E305" s="85">
        <f>133.845</f>
        <v>133.845</v>
      </c>
      <c r="F305" s="77">
        <f>278.484-40-25-60-100</f>
        <v>53.48399999999998</v>
      </c>
      <c r="G305" s="80">
        <v>40</v>
      </c>
      <c r="H305" s="77">
        <f t="shared" si="50"/>
        <v>185</v>
      </c>
      <c r="I305" s="77">
        <f t="shared" si="49"/>
        <v>0</v>
      </c>
      <c r="J305" s="80">
        <v>100</v>
      </c>
      <c r="K305" s="80">
        <v>300</v>
      </c>
      <c r="L305" s="77">
        <f t="shared" si="43"/>
        <v>1274</v>
      </c>
      <c r="M305" s="87">
        <v>600</v>
      </c>
      <c r="N305" s="77">
        <f>30</f>
        <v>30</v>
      </c>
      <c r="O305" s="80">
        <v>240</v>
      </c>
      <c r="P305" s="80">
        <v>160</v>
      </c>
      <c r="Q305" s="80">
        <f t="shared" si="44"/>
        <v>195</v>
      </c>
      <c r="R305" s="80">
        <f t="shared" si="45"/>
        <v>100</v>
      </c>
      <c r="S305" s="77">
        <f t="shared" si="46"/>
        <v>695</v>
      </c>
      <c r="T305" s="77">
        <f>50</f>
        <v>50</v>
      </c>
      <c r="U305" s="78"/>
      <c r="V305" s="78"/>
      <c r="W305" s="78"/>
      <c r="X305" s="78"/>
      <c r="Y305" s="78"/>
      <c r="Z305" s="78"/>
      <c r="AA305" s="78"/>
      <c r="AB305" s="78"/>
      <c r="AC305" s="78"/>
      <c r="AD305" s="78"/>
    </row>
    <row r="306" spans="1:30" ht="15.75" x14ac:dyDescent="0.25">
      <c r="A306" s="14">
        <v>50617</v>
      </c>
      <c r="B306" s="89">
        <v>31</v>
      </c>
      <c r="C306" s="77">
        <f>194.205</f>
        <v>194.20500000000001</v>
      </c>
      <c r="D306" s="77">
        <f>267.466</f>
        <v>267.46600000000001</v>
      </c>
      <c r="E306" s="85">
        <f>133.845</f>
        <v>133.845</v>
      </c>
      <c r="F306" s="77">
        <f>278.484-40-25-60-100</f>
        <v>53.48399999999998</v>
      </c>
      <c r="G306" s="80">
        <v>40</v>
      </c>
      <c r="H306" s="77">
        <f t="shared" si="50"/>
        <v>185</v>
      </c>
      <c r="I306" s="77">
        <f t="shared" si="49"/>
        <v>0</v>
      </c>
      <c r="J306" s="80">
        <v>100</v>
      </c>
      <c r="K306" s="80">
        <v>300</v>
      </c>
      <c r="L306" s="77">
        <f t="shared" si="43"/>
        <v>1274</v>
      </c>
      <c r="M306" s="87">
        <v>600</v>
      </c>
      <c r="N306" s="77">
        <f>30</f>
        <v>30</v>
      </c>
      <c r="O306" s="80">
        <v>240</v>
      </c>
      <c r="P306" s="80">
        <v>160</v>
      </c>
      <c r="Q306" s="80">
        <f t="shared" si="44"/>
        <v>195</v>
      </c>
      <c r="R306" s="80">
        <f t="shared" si="45"/>
        <v>100</v>
      </c>
      <c r="S306" s="77">
        <f t="shared" si="46"/>
        <v>695</v>
      </c>
      <c r="T306" s="77">
        <f>0</f>
        <v>0</v>
      </c>
      <c r="U306" s="78"/>
      <c r="V306" s="78"/>
      <c r="W306" s="78"/>
      <c r="X306" s="78"/>
      <c r="Y306" s="78"/>
      <c r="Z306" s="78"/>
      <c r="AA306" s="78"/>
      <c r="AB306" s="78"/>
      <c r="AC306" s="78"/>
      <c r="AD306" s="78"/>
    </row>
    <row r="307" spans="1:30" ht="15.75" x14ac:dyDescent="0.25">
      <c r="A307" s="14">
        <v>50648</v>
      </c>
      <c r="B307" s="89">
        <v>31</v>
      </c>
      <c r="C307" s="77">
        <f>194.205</f>
        <v>194.20500000000001</v>
      </c>
      <c r="D307" s="77">
        <f>267.466</f>
        <v>267.46600000000001</v>
      </c>
      <c r="E307" s="85">
        <f>133.845</f>
        <v>133.845</v>
      </c>
      <c r="F307" s="77">
        <f>278.484-40-25-60-100</f>
        <v>53.48399999999998</v>
      </c>
      <c r="G307" s="80">
        <v>40</v>
      </c>
      <c r="H307" s="77">
        <f t="shared" si="50"/>
        <v>185</v>
      </c>
      <c r="I307" s="77">
        <f t="shared" si="49"/>
        <v>0</v>
      </c>
      <c r="J307" s="80">
        <v>100</v>
      </c>
      <c r="K307" s="80">
        <v>300</v>
      </c>
      <c r="L307" s="77">
        <f t="shared" si="43"/>
        <v>1274</v>
      </c>
      <c r="M307" s="87">
        <v>600</v>
      </c>
      <c r="N307" s="77">
        <f>30</f>
        <v>30</v>
      </c>
      <c r="O307" s="80">
        <v>240</v>
      </c>
      <c r="P307" s="80">
        <v>160</v>
      </c>
      <c r="Q307" s="80">
        <f t="shared" si="44"/>
        <v>195</v>
      </c>
      <c r="R307" s="80">
        <f t="shared" si="45"/>
        <v>100</v>
      </c>
      <c r="S307" s="77">
        <f t="shared" si="46"/>
        <v>695</v>
      </c>
      <c r="T307" s="77">
        <f>0</f>
        <v>0</v>
      </c>
      <c r="U307" s="78"/>
      <c r="V307" s="78"/>
      <c r="W307" s="78"/>
      <c r="X307" s="78"/>
      <c r="Y307" s="78"/>
      <c r="Z307" s="78"/>
      <c r="AA307" s="78"/>
      <c r="AB307" s="78"/>
      <c r="AC307" s="78"/>
      <c r="AD307" s="78"/>
    </row>
    <row r="308" spans="1:30" ht="15.75" x14ac:dyDescent="0.25">
      <c r="A308" s="14">
        <v>50678</v>
      </c>
      <c r="B308" s="89">
        <v>30</v>
      </c>
      <c r="C308" s="77">
        <f>194.205</f>
        <v>194.20500000000001</v>
      </c>
      <c r="D308" s="77">
        <f>267.466</f>
        <v>267.46600000000001</v>
      </c>
      <c r="E308" s="85">
        <f>133.845</f>
        <v>133.845</v>
      </c>
      <c r="F308" s="77">
        <f>278.484-40-25-60-100</f>
        <v>53.48399999999998</v>
      </c>
      <c r="G308" s="80">
        <v>40</v>
      </c>
      <c r="H308" s="77">
        <f t="shared" si="50"/>
        <v>185</v>
      </c>
      <c r="I308" s="77">
        <f t="shared" si="49"/>
        <v>0</v>
      </c>
      <c r="J308" s="80">
        <v>100</v>
      </c>
      <c r="K308" s="80">
        <v>300</v>
      </c>
      <c r="L308" s="77">
        <f t="shared" si="43"/>
        <v>1274</v>
      </c>
      <c r="M308" s="87">
        <v>600</v>
      </c>
      <c r="N308" s="77">
        <f>30</f>
        <v>30</v>
      </c>
      <c r="O308" s="80">
        <v>240</v>
      </c>
      <c r="P308" s="80">
        <v>160</v>
      </c>
      <c r="Q308" s="80">
        <f t="shared" si="44"/>
        <v>195</v>
      </c>
      <c r="R308" s="80">
        <f t="shared" si="45"/>
        <v>100</v>
      </c>
      <c r="S308" s="77">
        <f t="shared" si="46"/>
        <v>695</v>
      </c>
      <c r="T308" s="77">
        <f>0</f>
        <v>0</v>
      </c>
      <c r="U308" s="78"/>
      <c r="V308" s="78"/>
      <c r="W308" s="78"/>
      <c r="X308" s="78"/>
      <c r="Y308" s="78"/>
      <c r="Z308" s="78"/>
      <c r="AA308" s="78"/>
      <c r="AB308" s="78"/>
      <c r="AC308" s="78"/>
      <c r="AD308" s="78"/>
    </row>
    <row r="309" spans="1:30" ht="15.75" x14ac:dyDescent="0.25">
      <c r="A309" s="14">
        <v>50709</v>
      </c>
      <c r="B309" s="89">
        <v>31</v>
      </c>
      <c r="C309" s="77">
        <f>131.881</f>
        <v>131.881</v>
      </c>
      <c r="D309" s="77">
        <f>277.167</f>
        <v>277.16699999999997</v>
      </c>
      <c r="E309" s="85">
        <f>79.08</f>
        <v>79.08</v>
      </c>
      <c r="F309" s="77">
        <f>350.872-40-25-60-100</f>
        <v>125.87200000000001</v>
      </c>
      <c r="G309" s="80">
        <v>40</v>
      </c>
      <c r="H309" s="77">
        <f t="shared" si="50"/>
        <v>185</v>
      </c>
      <c r="I309" s="77">
        <f t="shared" si="49"/>
        <v>0</v>
      </c>
      <c r="J309" s="80">
        <v>100</v>
      </c>
      <c r="K309" s="80">
        <v>300</v>
      </c>
      <c r="L309" s="77">
        <f t="shared" si="43"/>
        <v>1239</v>
      </c>
      <c r="M309" s="87">
        <v>600</v>
      </c>
      <c r="N309" s="77">
        <f>75</f>
        <v>75</v>
      </c>
      <c r="O309" s="80">
        <v>240</v>
      </c>
      <c r="P309" s="80">
        <v>160</v>
      </c>
      <c r="Q309" s="80">
        <f t="shared" si="44"/>
        <v>195</v>
      </c>
      <c r="R309" s="80">
        <f t="shared" si="45"/>
        <v>100</v>
      </c>
      <c r="S309" s="77">
        <f t="shared" si="46"/>
        <v>695</v>
      </c>
      <c r="T309" s="77">
        <f>0</f>
        <v>0</v>
      </c>
      <c r="U309" s="78"/>
      <c r="V309" s="78"/>
      <c r="W309" s="78"/>
      <c r="X309" s="78"/>
      <c r="Y309" s="78"/>
      <c r="Z309" s="78"/>
      <c r="AA309" s="78"/>
      <c r="AB309" s="78"/>
      <c r="AC309" s="78"/>
      <c r="AD309" s="78"/>
    </row>
    <row r="310" spans="1:30" ht="15.75" x14ac:dyDescent="0.25">
      <c r="A310" s="14">
        <v>50739</v>
      </c>
      <c r="B310" s="89">
        <v>30</v>
      </c>
      <c r="C310" s="77">
        <f>122.58</f>
        <v>122.58</v>
      </c>
      <c r="D310" s="77">
        <f>297.941</f>
        <v>297.94099999999997</v>
      </c>
      <c r="E310" s="85">
        <f>89.177</f>
        <v>89.177000000000007</v>
      </c>
      <c r="F310" s="77">
        <f>240.302-40-60-100</f>
        <v>40.301999999999992</v>
      </c>
      <c r="G310" s="80">
        <v>40</v>
      </c>
      <c r="H310" s="77">
        <f>60+100</f>
        <v>160</v>
      </c>
      <c r="I310" s="77">
        <f t="shared" si="49"/>
        <v>0</v>
      </c>
      <c r="J310" s="80">
        <v>100</v>
      </c>
      <c r="K310" s="80">
        <v>300</v>
      </c>
      <c r="L310" s="77">
        <f t="shared" si="43"/>
        <v>1150</v>
      </c>
      <c r="M310" s="87">
        <v>600</v>
      </c>
      <c r="N310" s="77">
        <f>100</f>
        <v>100</v>
      </c>
      <c r="O310" s="80">
        <v>240</v>
      </c>
      <c r="P310" s="80">
        <v>40</v>
      </c>
      <c r="Q310" s="80">
        <f t="shared" si="44"/>
        <v>315</v>
      </c>
      <c r="R310" s="80">
        <f t="shared" si="45"/>
        <v>100</v>
      </c>
      <c r="S310" s="77">
        <f t="shared" si="46"/>
        <v>695</v>
      </c>
      <c r="T310" s="77">
        <f>50</f>
        <v>50</v>
      </c>
      <c r="U310" s="78"/>
      <c r="V310" s="78"/>
      <c r="W310" s="78"/>
      <c r="X310" s="78"/>
      <c r="Y310" s="78"/>
      <c r="Z310" s="78"/>
      <c r="AA310" s="78"/>
      <c r="AB310" s="78"/>
      <c r="AC310" s="78"/>
      <c r="AD310" s="78"/>
    </row>
    <row r="311" spans="1:30" ht="15.75" x14ac:dyDescent="0.25">
      <c r="A311" s="14">
        <v>50770</v>
      </c>
      <c r="B311" s="89">
        <v>31</v>
      </c>
      <c r="C311" s="77">
        <f>122.58</f>
        <v>122.58</v>
      </c>
      <c r="D311" s="77">
        <f>297.941</f>
        <v>297.94099999999997</v>
      </c>
      <c r="E311" s="85">
        <f>89.177</f>
        <v>89.177000000000007</v>
      </c>
      <c r="F311" s="77">
        <f>240.302-40-60-100</f>
        <v>40.301999999999992</v>
      </c>
      <c r="G311" s="80">
        <v>40</v>
      </c>
      <c r="H311" s="77">
        <f>60+100</f>
        <v>160</v>
      </c>
      <c r="I311" s="77">
        <f t="shared" si="49"/>
        <v>0</v>
      </c>
      <c r="J311" s="80">
        <v>100</v>
      </c>
      <c r="K311" s="80">
        <v>300</v>
      </c>
      <c r="L311" s="77">
        <f t="shared" si="43"/>
        <v>1150</v>
      </c>
      <c r="M311" s="87">
        <v>600</v>
      </c>
      <c r="N311" s="77">
        <f>100</f>
        <v>100</v>
      </c>
      <c r="O311" s="80">
        <v>240</v>
      </c>
      <c r="P311" s="80">
        <v>40</v>
      </c>
      <c r="Q311" s="80">
        <f t="shared" si="44"/>
        <v>315</v>
      </c>
      <c r="R311" s="80">
        <f t="shared" si="45"/>
        <v>100</v>
      </c>
      <c r="S311" s="77">
        <f t="shared" si="46"/>
        <v>695</v>
      </c>
      <c r="T311" s="77">
        <f>50</f>
        <v>50</v>
      </c>
      <c r="U311" s="78"/>
      <c r="V311" s="78"/>
      <c r="W311" s="78"/>
      <c r="X311" s="78"/>
      <c r="Y311" s="78"/>
      <c r="Z311" s="78"/>
      <c r="AA311" s="78"/>
      <c r="AB311" s="78"/>
      <c r="AC311" s="78"/>
      <c r="AD311" s="78"/>
    </row>
    <row r="312" spans="1:30" ht="15.75" x14ac:dyDescent="0.25">
      <c r="A312" s="14">
        <v>50801</v>
      </c>
      <c r="B312" s="89">
        <v>31</v>
      </c>
      <c r="C312" s="77">
        <f>122.58</f>
        <v>122.58</v>
      </c>
      <c r="D312" s="77">
        <f>297.941</f>
        <v>297.94099999999997</v>
      </c>
      <c r="E312" s="85">
        <f>89.177</f>
        <v>89.177000000000007</v>
      </c>
      <c r="F312" s="77">
        <f>240.302-40-60-100</f>
        <v>40.301999999999992</v>
      </c>
      <c r="G312" s="80">
        <v>40</v>
      </c>
      <c r="H312" s="77">
        <f>60+100</f>
        <v>160</v>
      </c>
      <c r="I312" s="77">
        <f t="shared" si="49"/>
        <v>0</v>
      </c>
      <c r="J312" s="80">
        <v>100</v>
      </c>
      <c r="K312" s="80">
        <v>300</v>
      </c>
      <c r="L312" s="77">
        <f t="shared" si="43"/>
        <v>1150</v>
      </c>
      <c r="M312" s="87">
        <v>600</v>
      </c>
      <c r="N312" s="77">
        <f>100</f>
        <v>100</v>
      </c>
      <c r="O312" s="80">
        <v>240</v>
      </c>
      <c r="P312" s="80">
        <v>40</v>
      </c>
      <c r="Q312" s="80">
        <f t="shared" si="44"/>
        <v>315</v>
      </c>
      <c r="R312" s="80">
        <f t="shared" si="45"/>
        <v>100</v>
      </c>
      <c r="S312" s="77">
        <f t="shared" si="46"/>
        <v>695</v>
      </c>
      <c r="T312" s="77">
        <f>50</f>
        <v>50</v>
      </c>
      <c r="U312" s="78"/>
      <c r="V312" s="78"/>
      <c r="W312" s="78"/>
      <c r="X312" s="78"/>
      <c r="Y312" s="78"/>
      <c r="Z312" s="78"/>
      <c r="AA312" s="78"/>
      <c r="AB312" s="78"/>
      <c r="AC312" s="78"/>
      <c r="AD312" s="78"/>
    </row>
    <row r="313" spans="1:30" ht="15.75" x14ac:dyDescent="0.25">
      <c r="A313" s="14">
        <v>50829</v>
      </c>
      <c r="B313" s="89">
        <v>28</v>
      </c>
      <c r="C313" s="77">
        <f>122.58</f>
        <v>122.58</v>
      </c>
      <c r="D313" s="77">
        <f>297.941</f>
        <v>297.94099999999997</v>
      </c>
      <c r="E313" s="85">
        <f>89.177</f>
        <v>89.177000000000007</v>
      </c>
      <c r="F313" s="77">
        <f>240.302-40-60-100</f>
        <v>40.301999999999992</v>
      </c>
      <c r="G313" s="80">
        <v>40</v>
      </c>
      <c r="H313" s="77">
        <f>60+100</f>
        <v>160</v>
      </c>
      <c r="I313" s="77">
        <f t="shared" si="49"/>
        <v>0</v>
      </c>
      <c r="J313" s="80">
        <v>100</v>
      </c>
      <c r="K313" s="80">
        <v>300</v>
      </c>
      <c r="L313" s="77">
        <f t="shared" si="43"/>
        <v>1150</v>
      </c>
      <c r="M313" s="87">
        <v>600</v>
      </c>
      <c r="N313" s="77">
        <f>100</f>
        <v>100</v>
      </c>
      <c r="O313" s="80">
        <v>240</v>
      </c>
      <c r="P313" s="80">
        <v>40</v>
      </c>
      <c r="Q313" s="80">
        <f t="shared" si="44"/>
        <v>315</v>
      </c>
      <c r="R313" s="80">
        <f t="shared" si="45"/>
        <v>100</v>
      </c>
      <c r="S313" s="77">
        <f t="shared" si="46"/>
        <v>695</v>
      </c>
      <c r="T313" s="77">
        <f>50</f>
        <v>50</v>
      </c>
      <c r="U313" s="78"/>
      <c r="V313" s="78"/>
      <c r="W313" s="78"/>
      <c r="X313" s="78"/>
      <c r="Y313" s="78"/>
      <c r="Z313" s="78"/>
      <c r="AA313" s="78"/>
      <c r="AB313" s="78"/>
      <c r="AC313" s="78"/>
      <c r="AD313" s="78"/>
    </row>
    <row r="314" spans="1:30" ht="15.75" x14ac:dyDescent="0.25">
      <c r="A314" s="14">
        <v>50860</v>
      </c>
      <c r="B314" s="89">
        <v>31</v>
      </c>
      <c r="C314" s="77">
        <f>122.58</f>
        <v>122.58</v>
      </c>
      <c r="D314" s="77">
        <f>297.941</f>
        <v>297.94099999999997</v>
      </c>
      <c r="E314" s="85">
        <f>89.177</f>
        <v>89.177000000000007</v>
      </c>
      <c r="F314" s="77">
        <f>240.302-40-60-100</f>
        <v>40.301999999999992</v>
      </c>
      <c r="G314" s="80">
        <v>40</v>
      </c>
      <c r="H314" s="77">
        <f>60+100</f>
        <v>160</v>
      </c>
      <c r="I314" s="77">
        <f t="shared" si="49"/>
        <v>0</v>
      </c>
      <c r="J314" s="80">
        <v>100</v>
      </c>
      <c r="K314" s="80">
        <v>300</v>
      </c>
      <c r="L314" s="77">
        <f t="shared" si="43"/>
        <v>1150</v>
      </c>
      <c r="M314" s="87">
        <v>600</v>
      </c>
      <c r="N314" s="77">
        <f>100</f>
        <v>100</v>
      </c>
      <c r="O314" s="80">
        <v>240</v>
      </c>
      <c r="P314" s="80">
        <v>40</v>
      </c>
      <c r="Q314" s="80">
        <f t="shared" si="44"/>
        <v>315</v>
      </c>
      <c r="R314" s="80">
        <f t="shared" si="45"/>
        <v>100</v>
      </c>
      <c r="S314" s="77">
        <f t="shared" si="46"/>
        <v>695</v>
      </c>
      <c r="T314" s="77">
        <f>50</f>
        <v>50</v>
      </c>
      <c r="U314" s="78"/>
      <c r="V314" s="78"/>
      <c r="W314" s="78"/>
      <c r="X314" s="78"/>
      <c r="Y314" s="78"/>
      <c r="Z314" s="78"/>
      <c r="AA314" s="78"/>
      <c r="AB314" s="78"/>
      <c r="AC314" s="78"/>
      <c r="AD314" s="78"/>
    </row>
    <row r="315" spans="1:30" ht="15.75" x14ac:dyDescent="0.25">
      <c r="A315" s="14">
        <v>50890</v>
      </c>
      <c r="B315" s="89">
        <v>30</v>
      </c>
      <c r="C315" s="77">
        <f>141.293</f>
        <v>141.29300000000001</v>
      </c>
      <c r="D315" s="77">
        <f>267.993</f>
        <v>267.99299999999999</v>
      </c>
      <c r="E315" s="85">
        <f>115.016</f>
        <v>115.01600000000001</v>
      </c>
      <c r="F315" s="77">
        <f>314.698-40-25-60-100</f>
        <v>89.697999999999979</v>
      </c>
      <c r="G315" s="80">
        <v>40</v>
      </c>
      <c r="H315" s="77">
        <f t="shared" ref="H315:H321" si="51">25+60+100</f>
        <v>185</v>
      </c>
      <c r="I315" s="77">
        <f t="shared" si="49"/>
        <v>0</v>
      </c>
      <c r="J315" s="80">
        <v>100</v>
      </c>
      <c r="K315" s="80">
        <v>300</v>
      </c>
      <c r="L315" s="77">
        <f t="shared" si="43"/>
        <v>1239</v>
      </c>
      <c r="M315" s="87">
        <v>600</v>
      </c>
      <c r="N315" s="77">
        <f>100</f>
        <v>100</v>
      </c>
      <c r="O315" s="80">
        <v>240</v>
      </c>
      <c r="P315" s="80">
        <v>160</v>
      </c>
      <c r="Q315" s="80">
        <f t="shared" si="44"/>
        <v>195</v>
      </c>
      <c r="R315" s="80">
        <f t="shared" si="45"/>
        <v>100</v>
      </c>
      <c r="S315" s="77">
        <f t="shared" si="46"/>
        <v>695</v>
      </c>
      <c r="T315" s="77">
        <f>50</f>
        <v>50</v>
      </c>
      <c r="U315" s="78"/>
      <c r="V315" s="78"/>
      <c r="W315" s="78"/>
      <c r="X315" s="78"/>
      <c r="Y315" s="78"/>
      <c r="Z315" s="78"/>
      <c r="AA315" s="78"/>
      <c r="AB315" s="78"/>
      <c r="AC315" s="78"/>
      <c r="AD315" s="78"/>
    </row>
    <row r="316" spans="1:30" ht="15.75" x14ac:dyDescent="0.25">
      <c r="A316" s="14">
        <v>50921</v>
      </c>
      <c r="B316" s="89">
        <v>31</v>
      </c>
      <c r="C316" s="77">
        <f>194.205</f>
        <v>194.20500000000001</v>
      </c>
      <c r="D316" s="77">
        <f>267.466</f>
        <v>267.46600000000001</v>
      </c>
      <c r="E316" s="85">
        <f>133.845</f>
        <v>133.845</v>
      </c>
      <c r="F316" s="77">
        <f>278.484-40-25-60-100</f>
        <v>53.48399999999998</v>
      </c>
      <c r="G316" s="80">
        <v>40</v>
      </c>
      <c r="H316" s="77">
        <f t="shared" si="51"/>
        <v>185</v>
      </c>
      <c r="I316" s="77">
        <f t="shared" si="49"/>
        <v>0</v>
      </c>
      <c r="J316" s="80">
        <v>100</v>
      </c>
      <c r="K316" s="80">
        <v>300</v>
      </c>
      <c r="L316" s="77">
        <f t="shared" si="43"/>
        <v>1274</v>
      </c>
      <c r="M316" s="87">
        <v>600</v>
      </c>
      <c r="N316" s="77">
        <f>75</f>
        <v>75</v>
      </c>
      <c r="O316" s="80">
        <v>240</v>
      </c>
      <c r="P316" s="80">
        <v>160</v>
      </c>
      <c r="Q316" s="80">
        <f t="shared" si="44"/>
        <v>195</v>
      </c>
      <c r="R316" s="80">
        <f t="shared" si="45"/>
        <v>100</v>
      </c>
      <c r="S316" s="77">
        <f t="shared" si="46"/>
        <v>695</v>
      </c>
      <c r="T316" s="77">
        <f>50</f>
        <v>50</v>
      </c>
      <c r="U316" s="78"/>
      <c r="V316" s="78"/>
      <c r="W316" s="78"/>
      <c r="X316" s="78"/>
      <c r="Y316" s="78"/>
      <c r="Z316" s="78"/>
      <c r="AA316" s="78"/>
      <c r="AB316" s="78"/>
      <c r="AC316" s="78"/>
      <c r="AD316" s="78"/>
    </row>
    <row r="317" spans="1:30" ht="15.75" x14ac:dyDescent="0.25">
      <c r="A317" s="14">
        <v>50951</v>
      </c>
      <c r="B317" s="89">
        <v>30</v>
      </c>
      <c r="C317" s="77">
        <f>194.205</f>
        <v>194.20500000000001</v>
      </c>
      <c r="D317" s="77">
        <f>267.466</f>
        <v>267.46600000000001</v>
      </c>
      <c r="E317" s="85">
        <f>133.845</f>
        <v>133.845</v>
      </c>
      <c r="F317" s="77">
        <f>278.484-40-25-60-100</f>
        <v>53.48399999999998</v>
      </c>
      <c r="G317" s="80">
        <v>40</v>
      </c>
      <c r="H317" s="77">
        <f t="shared" si="51"/>
        <v>185</v>
      </c>
      <c r="I317" s="77">
        <f t="shared" si="49"/>
        <v>0</v>
      </c>
      <c r="J317" s="80">
        <v>100</v>
      </c>
      <c r="K317" s="80">
        <v>300</v>
      </c>
      <c r="L317" s="77">
        <f t="shared" si="43"/>
        <v>1274</v>
      </c>
      <c r="M317" s="87">
        <v>600</v>
      </c>
      <c r="N317" s="77">
        <f>30</f>
        <v>30</v>
      </c>
      <c r="O317" s="80">
        <v>240</v>
      </c>
      <c r="P317" s="80">
        <v>160</v>
      </c>
      <c r="Q317" s="80">
        <f t="shared" si="44"/>
        <v>195</v>
      </c>
      <c r="R317" s="80">
        <f t="shared" si="45"/>
        <v>100</v>
      </c>
      <c r="S317" s="77">
        <f t="shared" si="46"/>
        <v>695</v>
      </c>
      <c r="T317" s="77">
        <f>50</f>
        <v>50</v>
      </c>
      <c r="U317" s="78"/>
      <c r="V317" s="78"/>
      <c r="W317" s="78"/>
      <c r="X317" s="78"/>
      <c r="Y317" s="78"/>
      <c r="Z317" s="78"/>
      <c r="AA317" s="78"/>
      <c r="AB317" s="78"/>
      <c r="AC317" s="78"/>
      <c r="AD317" s="78"/>
    </row>
    <row r="318" spans="1:30" ht="15.75" x14ac:dyDescent="0.25">
      <c r="A318" s="14">
        <v>50982</v>
      </c>
      <c r="B318" s="89">
        <v>31</v>
      </c>
      <c r="C318" s="77">
        <f>194.205</f>
        <v>194.20500000000001</v>
      </c>
      <c r="D318" s="77">
        <f>267.466</f>
        <v>267.46600000000001</v>
      </c>
      <c r="E318" s="85">
        <f>133.845</f>
        <v>133.845</v>
      </c>
      <c r="F318" s="77">
        <f>278.484-40-25-60-100</f>
        <v>53.48399999999998</v>
      </c>
      <c r="G318" s="80">
        <v>40</v>
      </c>
      <c r="H318" s="77">
        <f t="shared" si="51"/>
        <v>185</v>
      </c>
      <c r="I318" s="77">
        <f t="shared" si="49"/>
        <v>0</v>
      </c>
      <c r="J318" s="80">
        <v>100</v>
      </c>
      <c r="K318" s="80">
        <v>300</v>
      </c>
      <c r="L318" s="77">
        <f t="shared" si="43"/>
        <v>1274</v>
      </c>
      <c r="M318" s="87">
        <v>600</v>
      </c>
      <c r="N318" s="77">
        <f>30</f>
        <v>30</v>
      </c>
      <c r="O318" s="80">
        <v>240</v>
      </c>
      <c r="P318" s="80">
        <v>160</v>
      </c>
      <c r="Q318" s="80">
        <f t="shared" si="44"/>
        <v>195</v>
      </c>
      <c r="R318" s="80">
        <f t="shared" si="45"/>
        <v>100</v>
      </c>
      <c r="S318" s="77">
        <f t="shared" si="46"/>
        <v>695</v>
      </c>
      <c r="T318" s="77">
        <f>0</f>
        <v>0</v>
      </c>
      <c r="U318" s="78"/>
      <c r="V318" s="78"/>
      <c r="W318" s="78"/>
      <c r="X318" s="78"/>
      <c r="Y318" s="78"/>
      <c r="Z318" s="78"/>
      <c r="AA318" s="78"/>
      <c r="AB318" s="78"/>
      <c r="AC318" s="78"/>
      <c r="AD318" s="78"/>
    </row>
    <row r="319" spans="1:30" ht="15.75" x14ac:dyDescent="0.25">
      <c r="A319" s="14">
        <v>51013</v>
      </c>
      <c r="B319" s="89">
        <v>31</v>
      </c>
      <c r="C319" s="77">
        <f>194.205</f>
        <v>194.20500000000001</v>
      </c>
      <c r="D319" s="77">
        <f>267.466</f>
        <v>267.46600000000001</v>
      </c>
      <c r="E319" s="85">
        <f>133.845</f>
        <v>133.845</v>
      </c>
      <c r="F319" s="77">
        <f>278.484-40-25-60-100</f>
        <v>53.48399999999998</v>
      </c>
      <c r="G319" s="80">
        <v>40</v>
      </c>
      <c r="H319" s="77">
        <f t="shared" si="51"/>
        <v>185</v>
      </c>
      <c r="I319" s="77">
        <f t="shared" si="49"/>
        <v>0</v>
      </c>
      <c r="J319" s="80">
        <v>100</v>
      </c>
      <c r="K319" s="80">
        <v>300</v>
      </c>
      <c r="L319" s="77">
        <f t="shared" si="43"/>
        <v>1274</v>
      </c>
      <c r="M319" s="87">
        <v>600</v>
      </c>
      <c r="N319" s="77">
        <f>30</f>
        <v>30</v>
      </c>
      <c r="O319" s="80">
        <v>240</v>
      </c>
      <c r="P319" s="80">
        <v>160</v>
      </c>
      <c r="Q319" s="80">
        <f t="shared" si="44"/>
        <v>195</v>
      </c>
      <c r="R319" s="80">
        <f t="shared" si="45"/>
        <v>100</v>
      </c>
      <c r="S319" s="77">
        <f t="shared" si="46"/>
        <v>695</v>
      </c>
      <c r="T319" s="77">
        <f>0</f>
        <v>0</v>
      </c>
      <c r="U319" s="78"/>
      <c r="V319" s="78"/>
      <c r="W319" s="78"/>
      <c r="X319" s="78"/>
      <c r="Y319" s="78"/>
      <c r="Z319" s="78"/>
      <c r="AA319" s="78"/>
      <c r="AB319" s="78"/>
      <c r="AC319" s="78"/>
      <c r="AD319" s="78"/>
    </row>
    <row r="320" spans="1:30" ht="15.75" x14ac:dyDescent="0.25">
      <c r="A320" s="14">
        <v>51043</v>
      </c>
      <c r="B320" s="89">
        <v>30</v>
      </c>
      <c r="C320" s="77">
        <f>194.205</f>
        <v>194.20500000000001</v>
      </c>
      <c r="D320" s="77">
        <f>267.466</f>
        <v>267.46600000000001</v>
      </c>
      <c r="E320" s="85">
        <f>133.845</f>
        <v>133.845</v>
      </c>
      <c r="F320" s="77">
        <f>278.484-40-25-60-100</f>
        <v>53.48399999999998</v>
      </c>
      <c r="G320" s="80">
        <v>40</v>
      </c>
      <c r="H320" s="77">
        <f t="shared" si="51"/>
        <v>185</v>
      </c>
      <c r="I320" s="77">
        <f t="shared" si="49"/>
        <v>0</v>
      </c>
      <c r="J320" s="80">
        <v>100</v>
      </c>
      <c r="K320" s="80">
        <v>300</v>
      </c>
      <c r="L320" s="77">
        <f t="shared" si="43"/>
        <v>1274</v>
      </c>
      <c r="M320" s="87">
        <v>600</v>
      </c>
      <c r="N320" s="77">
        <f>30</f>
        <v>30</v>
      </c>
      <c r="O320" s="80">
        <v>240</v>
      </c>
      <c r="P320" s="80">
        <v>160</v>
      </c>
      <c r="Q320" s="80">
        <f t="shared" si="44"/>
        <v>195</v>
      </c>
      <c r="R320" s="80">
        <f t="shared" si="45"/>
        <v>100</v>
      </c>
      <c r="S320" s="77">
        <f t="shared" si="46"/>
        <v>695</v>
      </c>
      <c r="T320" s="77">
        <f>0</f>
        <v>0</v>
      </c>
      <c r="U320" s="78"/>
      <c r="V320" s="78"/>
      <c r="W320" s="78"/>
      <c r="X320" s="78"/>
      <c r="Y320" s="78"/>
      <c r="Z320" s="78"/>
      <c r="AA320" s="78"/>
      <c r="AB320" s="78"/>
      <c r="AC320" s="78"/>
      <c r="AD320" s="78"/>
    </row>
    <row r="321" spans="1:30" ht="15.75" x14ac:dyDescent="0.25">
      <c r="A321" s="14">
        <v>51074</v>
      </c>
      <c r="B321" s="89">
        <v>31</v>
      </c>
      <c r="C321" s="77">
        <f>131.881</f>
        <v>131.881</v>
      </c>
      <c r="D321" s="77">
        <f>277.167</f>
        <v>277.16699999999997</v>
      </c>
      <c r="E321" s="85">
        <f>79.08</f>
        <v>79.08</v>
      </c>
      <c r="F321" s="77">
        <f>350.872-40-25-60-100</f>
        <v>125.87200000000001</v>
      </c>
      <c r="G321" s="80">
        <v>40</v>
      </c>
      <c r="H321" s="77">
        <f t="shared" si="51"/>
        <v>185</v>
      </c>
      <c r="I321" s="77">
        <f t="shared" si="49"/>
        <v>0</v>
      </c>
      <c r="J321" s="80">
        <v>100</v>
      </c>
      <c r="K321" s="80">
        <v>300</v>
      </c>
      <c r="L321" s="77">
        <f t="shared" si="43"/>
        <v>1239</v>
      </c>
      <c r="M321" s="87">
        <v>600</v>
      </c>
      <c r="N321" s="77">
        <f>75</f>
        <v>75</v>
      </c>
      <c r="O321" s="80">
        <v>240</v>
      </c>
      <c r="P321" s="80">
        <v>160</v>
      </c>
      <c r="Q321" s="80">
        <f t="shared" si="44"/>
        <v>195</v>
      </c>
      <c r="R321" s="80">
        <f t="shared" si="45"/>
        <v>100</v>
      </c>
      <c r="S321" s="77">
        <f t="shared" si="46"/>
        <v>695</v>
      </c>
      <c r="T321" s="77">
        <f>0</f>
        <v>0</v>
      </c>
      <c r="U321" s="78"/>
      <c r="V321" s="78"/>
      <c r="W321" s="78"/>
      <c r="X321" s="78"/>
      <c r="Y321" s="78"/>
      <c r="Z321" s="78"/>
      <c r="AA321" s="78"/>
      <c r="AB321" s="78"/>
      <c r="AC321" s="78"/>
      <c r="AD321" s="78"/>
    </row>
    <row r="322" spans="1:30" ht="15.75" x14ac:dyDescent="0.25">
      <c r="A322" s="14">
        <v>51104</v>
      </c>
      <c r="B322" s="89">
        <v>30</v>
      </c>
      <c r="C322" s="77">
        <f>122.58</f>
        <v>122.58</v>
      </c>
      <c r="D322" s="77">
        <f>297.941</f>
        <v>297.94099999999997</v>
      </c>
      <c r="E322" s="85">
        <f>89.177</f>
        <v>89.177000000000007</v>
      </c>
      <c r="F322" s="77">
        <f>240.302-40-60-100</f>
        <v>40.301999999999992</v>
      </c>
      <c r="G322" s="80">
        <v>40</v>
      </c>
      <c r="H322" s="77">
        <f>60+100</f>
        <v>160</v>
      </c>
      <c r="I322" s="77">
        <f t="shared" si="49"/>
        <v>0</v>
      </c>
      <c r="J322" s="80">
        <v>100</v>
      </c>
      <c r="K322" s="80">
        <v>300</v>
      </c>
      <c r="L322" s="77">
        <f t="shared" si="43"/>
        <v>1150</v>
      </c>
      <c r="M322" s="87">
        <v>600</v>
      </c>
      <c r="N322" s="77">
        <f>100</f>
        <v>100</v>
      </c>
      <c r="O322" s="80">
        <v>240</v>
      </c>
      <c r="P322" s="80">
        <v>40</v>
      </c>
      <c r="Q322" s="80">
        <f t="shared" si="44"/>
        <v>315</v>
      </c>
      <c r="R322" s="80">
        <f t="shared" si="45"/>
        <v>100</v>
      </c>
      <c r="S322" s="77">
        <f t="shared" si="46"/>
        <v>695</v>
      </c>
      <c r="T322" s="77">
        <f>50</f>
        <v>50</v>
      </c>
      <c r="U322" s="78"/>
      <c r="V322" s="78"/>
      <c r="W322" s="78"/>
      <c r="X322" s="78"/>
      <c r="Y322" s="78"/>
      <c r="Z322" s="78"/>
      <c r="AA322" s="78"/>
      <c r="AB322" s="78"/>
      <c r="AC322" s="78"/>
      <c r="AD322" s="78"/>
    </row>
    <row r="323" spans="1:30" ht="15.75" x14ac:dyDescent="0.25">
      <c r="A323" s="14">
        <v>51135</v>
      </c>
      <c r="B323" s="89">
        <v>31</v>
      </c>
      <c r="C323" s="77">
        <f>122.58</f>
        <v>122.58</v>
      </c>
      <c r="D323" s="77">
        <f>297.941</f>
        <v>297.94099999999997</v>
      </c>
      <c r="E323" s="85">
        <f>89.177</f>
        <v>89.177000000000007</v>
      </c>
      <c r="F323" s="77">
        <f>240.302-40-60-100</f>
        <v>40.301999999999992</v>
      </c>
      <c r="G323" s="80">
        <v>40</v>
      </c>
      <c r="H323" s="77">
        <f>60+100</f>
        <v>160</v>
      </c>
      <c r="I323" s="77">
        <f t="shared" si="49"/>
        <v>0</v>
      </c>
      <c r="J323" s="80">
        <v>100</v>
      </c>
      <c r="K323" s="80">
        <v>300</v>
      </c>
      <c r="L323" s="77">
        <f t="shared" si="43"/>
        <v>1150</v>
      </c>
      <c r="M323" s="87">
        <v>600</v>
      </c>
      <c r="N323" s="77">
        <f>100</f>
        <v>100</v>
      </c>
      <c r="O323" s="80">
        <v>240</v>
      </c>
      <c r="P323" s="80">
        <v>40</v>
      </c>
      <c r="Q323" s="80">
        <f t="shared" si="44"/>
        <v>315</v>
      </c>
      <c r="R323" s="80">
        <f t="shared" si="45"/>
        <v>100</v>
      </c>
      <c r="S323" s="77">
        <f t="shared" si="46"/>
        <v>695</v>
      </c>
      <c r="T323" s="77">
        <f>50</f>
        <v>50</v>
      </c>
      <c r="U323" s="78"/>
      <c r="V323" s="78"/>
      <c r="W323" s="78"/>
      <c r="X323" s="78"/>
      <c r="Y323" s="78"/>
      <c r="Z323" s="78"/>
      <c r="AA323" s="78"/>
      <c r="AB323" s="78"/>
      <c r="AC323" s="78"/>
      <c r="AD323" s="78"/>
    </row>
    <row r="324" spans="1:30" ht="15.75" x14ac:dyDescent="0.25">
      <c r="A324" s="14">
        <v>51166</v>
      </c>
      <c r="B324" s="89">
        <v>31</v>
      </c>
      <c r="C324" s="77">
        <f>122.58</f>
        <v>122.58</v>
      </c>
      <c r="D324" s="77">
        <f>297.941</f>
        <v>297.94099999999997</v>
      </c>
      <c r="E324" s="85">
        <f>89.177</f>
        <v>89.177000000000007</v>
      </c>
      <c r="F324" s="77">
        <f>240.302-40-60-100</f>
        <v>40.301999999999992</v>
      </c>
      <c r="G324" s="80">
        <v>40</v>
      </c>
      <c r="H324" s="77">
        <f>60+100</f>
        <v>160</v>
      </c>
      <c r="I324" s="77">
        <f t="shared" si="49"/>
        <v>0</v>
      </c>
      <c r="J324" s="80">
        <v>100</v>
      </c>
      <c r="K324" s="80">
        <v>300</v>
      </c>
      <c r="L324" s="77">
        <f t="shared" si="43"/>
        <v>1150</v>
      </c>
      <c r="M324" s="87">
        <v>600</v>
      </c>
      <c r="N324" s="77">
        <f>100</f>
        <v>100</v>
      </c>
      <c r="O324" s="80">
        <v>240</v>
      </c>
      <c r="P324" s="80">
        <v>40</v>
      </c>
      <c r="Q324" s="80">
        <f t="shared" si="44"/>
        <v>315</v>
      </c>
      <c r="R324" s="80">
        <f t="shared" si="45"/>
        <v>100</v>
      </c>
      <c r="S324" s="77">
        <f t="shared" si="46"/>
        <v>695</v>
      </c>
      <c r="T324" s="77">
        <f>50</f>
        <v>50</v>
      </c>
      <c r="U324" s="78"/>
      <c r="V324" s="78"/>
      <c r="W324" s="78"/>
      <c r="X324" s="78"/>
      <c r="Y324" s="78"/>
      <c r="Z324" s="78"/>
      <c r="AA324" s="78"/>
      <c r="AB324" s="78"/>
      <c r="AC324" s="78"/>
      <c r="AD324" s="78"/>
    </row>
    <row r="325" spans="1:30" ht="15.75" x14ac:dyDescent="0.25">
      <c r="A325" s="14">
        <v>51194</v>
      </c>
      <c r="B325" s="89">
        <v>29</v>
      </c>
      <c r="C325" s="77">
        <f>122.58</f>
        <v>122.58</v>
      </c>
      <c r="D325" s="77">
        <f>297.941</f>
        <v>297.94099999999997</v>
      </c>
      <c r="E325" s="85">
        <f>89.177</f>
        <v>89.177000000000007</v>
      </c>
      <c r="F325" s="77">
        <f>240.302-40-60-100</f>
        <v>40.301999999999992</v>
      </c>
      <c r="G325" s="80">
        <v>40</v>
      </c>
      <c r="H325" s="77">
        <f>60+100</f>
        <v>160</v>
      </c>
      <c r="I325" s="77">
        <f t="shared" si="49"/>
        <v>0</v>
      </c>
      <c r="J325" s="80">
        <v>100</v>
      </c>
      <c r="K325" s="80">
        <v>300</v>
      </c>
      <c r="L325" s="77">
        <f t="shared" si="43"/>
        <v>1150</v>
      </c>
      <c r="M325" s="87">
        <v>600</v>
      </c>
      <c r="N325" s="77">
        <f>100</f>
        <v>100</v>
      </c>
      <c r="O325" s="80">
        <v>240</v>
      </c>
      <c r="P325" s="80">
        <v>40</v>
      </c>
      <c r="Q325" s="80">
        <f t="shared" si="44"/>
        <v>315</v>
      </c>
      <c r="R325" s="80">
        <f t="shared" si="45"/>
        <v>100</v>
      </c>
      <c r="S325" s="77">
        <f t="shared" si="46"/>
        <v>695</v>
      </c>
      <c r="T325" s="77">
        <f>50</f>
        <v>50</v>
      </c>
      <c r="U325" s="78"/>
      <c r="V325" s="78"/>
      <c r="W325" s="78"/>
      <c r="X325" s="78"/>
      <c r="Y325" s="78"/>
      <c r="Z325" s="78"/>
      <c r="AA325" s="78"/>
      <c r="AB325" s="78"/>
      <c r="AC325" s="78"/>
      <c r="AD325" s="78"/>
    </row>
    <row r="326" spans="1:30" ht="15.75" x14ac:dyDescent="0.25">
      <c r="A326" s="14">
        <v>51226</v>
      </c>
      <c r="B326" s="89">
        <v>31</v>
      </c>
      <c r="C326" s="77">
        <f>122.58</f>
        <v>122.58</v>
      </c>
      <c r="D326" s="77">
        <f>297.941</f>
        <v>297.94099999999997</v>
      </c>
      <c r="E326" s="85">
        <f>89.177</f>
        <v>89.177000000000007</v>
      </c>
      <c r="F326" s="77">
        <f>240.302-40-60-100</f>
        <v>40.301999999999992</v>
      </c>
      <c r="G326" s="80">
        <v>40</v>
      </c>
      <c r="H326" s="77">
        <f>60+100</f>
        <v>160</v>
      </c>
      <c r="I326" s="77">
        <f t="shared" si="49"/>
        <v>0</v>
      </c>
      <c r="J326" s="80">
        <v>100</v>
      </c>
      <c r="K326" s="80">
        <v>300</v>
      </c>
      <c r="L326" s="77">
        <f t="shared" si="43"/>
        <v>1150</v>
      </c>
      <c r="M326" s="87">
        <v>600</v>
      </c>
      <c r="N326" s="77">
        <f>100</f>
        <v>100</v>
      </c>
      <c r="O326" s="80">
        <v>240</v>
      </c>
      <c r="P326" s="80">
        <v>40</v>
      </c>
      <c r="Q326" s="80">
        <f t="shared" si="44"/>
        <v>315</v>
      </c>
      <c r="R326" s="80">
        <f t="shared" si="45"/>
        <v>100</v>
      </c>
      <c r="S326" s="77">
        <f t="shared" si="46"/>
        <v>695</v>
      </c>
      <c r="T326" s="77">
        <f>50</f>
        <v>50</v>
      </c>
      <c r="U326" s="78"/>
      <c r="V326" s="78"/>
      <c r="W326" s="78"/>
      <c r="X326" s="78"/>
      <c r="Y326" s="78"/>
      <c r="Z326" s="78"/>
      <c r="AA326" s="78"/>
      <c r="AB326" s="78"/>
      <c r="AC326" s="78"/>
      <c r="AD326" s="78"/>
    </row>
    <row r="327" spans="1:30" ht="15.75" x14ac:dyDescent="0.25">
      <c r="A327" s="14">
        <v>51256</v>
      </c>
      <c r="B327" s="89">
        <v>30</v>
      </c>
      <c r="C327" s="77">
        <f>141.293</f>
        <v>141.29300000000001</v>
      </c>
      <c r="D327" s="77">
        <f>267.993</f>
        <v>267.99299999999999</v>
      </c>
      <c r="E327" s="85">
        <f>115.016</f>
        <v>115.01600000000001</v>
      </c>
      <c r="F327" s="77">
        <f>314.698-40-25-60-100</f>
        <v>89.697999999999979</v>
      </c>
      <c r="G327" s="80">
        <v>40</v>
      </c>
      <c r="H327" s="77">
        <f t="shared" ref="H327:H333" si="52">25+60+100</f>
        <v>185</v>
      </c>
      <c r="I327" s="77">
        <f t="shared" si="49"/>
        <v>0</v>
      </c>
      <c r="J327" s="80">
        <v>100</v>
      </c>
      <c r="K327" s="80">
        <v>300</v>
      </c>
      <c r="L327" s="77">
        <f t="shared" si="43"/>
        <v>1239</v>
      </c>
      <c r="M327" s="87">
        <v>600</v>
      </c>
      <c r="N327" s="77">
        <f>100</f>
        <v>100</v>
      </c>
      <c r="O327" s="80">
        <v>240</v>
      </c>
      <c r="P327" s="80">
        <v>160</v>
      </c>
      <c r="Q327" s="80">
        <f t="shared" si="44"/>
        <v>195</v>
      </c>
      <c r="R327" s="80">
        <f t="shared" si="45"/>
        <v>100</v>
      </c>
      <c r="S327" s="77">
        <f t="shared" si="46"/>
        <v>695</v>
      </c>
      <c r="T327" s="77">
        <f>50</f>
        <v>50</v>
      </c>
      <c r="U327" s="78"/>
      <c r="V327" s="78"/>
      <c r="W327" s="78"/>
      <c r="X327" s="78"/>
      <c r="Y327" s="78"/>
      <c r="Z327" s="78"/>
      <c r="AA327" s="78"/>
      <c r="AB327" s="78"/>
      <c r="AC327" s="78"/>
      <c r="AD327" s="78"/>
    </row>
    <row r="328" spans="1:30" ht="15.75" x14ac:dyDescent="0.25">
      <c r="A328" s="14">
        <v>51287</v>
      </c>
      <c r="B328" s="89">
        <v>31</v>
      </c>
      <c r="C328" s="77">
        <f>194.205</f>
        <v>194.20500000000001</v>
      </c>
      <c r="D328" s="77">
        <f>267.466</f>
        <v>267.46600000000001</v>
      </c>
      <c r="E328" s="85">
        <f>133.845</f>
        <v>133.845</v>
      </c>
      <c r="F328" s="77">
        <f>278.484-40-25-60-100</f>
        <v>53.48399999999998</v>
      </c>
      <c r="G328" s="80">
        <v>40</v>
      </c>
      <c r="H328" s="77">
        <f t="shared" si="52"/>
        <v>185</v>
      </c>
      <c r="I328" s="77">
        <f t="shared" si="49"/>
        <v>0</v>
      </c>
      <c r="J328" s="80">
        <v>100</v>
      </c>
      <c r="K328" s="80">
        <v>300</v>
      </c>
      <c r="L328" s="77">
        <f t="shared" si="43"/>
        <v>1274</v>
      </c>
      <c r="M328" s="87">
        <v>600</v>
      </c>
      <c r="N328" s="77">
        <f>75</f>
        <v>75</v>
      </c>
      <c r="O328" s="80">
        <v>240</v>
      </c>
      <c r="P328" s="80">
        <v>160</v>
      </c>
      <c r="Q328" s="80">
        <f t="shared" si="44"/>
        <v>195</v>
      </c>
      <c r="R328" s="80">
        <f t="shared" si="45"/>
        <v>100</v>
      </c>
      <c r="S328" s="77">
        <f t="shared" si="46"/>
        <v>695</v>
      </c>
      <c r="T328" s="77">
        <f>50</f>
        <v>50</v>
      </c>
      <c r="U328" s="78"/>
      <c r="V328" s="78"/>
      <c r="W328" s="78"/>
      <c r="X328" s="78"/>
      <c r="Y328" s="78"/>
      <c r="Z328" s="78"/>
      <c r="AA328" s="78"/>
      <c r="AB328" s="78"/>
      <c r="AC328" s="78"/>
      <c r="AD328" s="78"/>
    </row>
    <row r="329" spans="1:30" ht="15.75" x14ac:dyDescent="0.25">
      <c r="A329" s="14">
        <v>51317</v>
      </c>
      <c r="B329" s="89">
        <v>30</v>
      </c>
      <c r="C329" s="77">
        <f>194.205</f>
        <v>194.20500000000001</v>
      </c>
      <c r="D329" s="77">
        <f>267.466</f>
        <v>267.46600000000001</v>
      </c>
      <c r="E329" s="85">
        <f>133.845</f>
        <v>133.845</v>
      </c>
      <c r="F329" s="77">
        <f>278.484-40-25-60-100</f>
        <v>53.48399999999998</v>
      </c>
      <c r="G329" s="80">
        <v>40</v>
      </c>
      <c r="H329" s="77">
        <f t="shared" si="52"/>
        <v>185</v>
      </c>
      <c r="I329" s="77">
        <f t="shared" si="49"/>
        <v>0</v>
      </c>
      <c r="J329" s="80">
        <v>100</v>
      </c>
      <c r="K329" s="80">
        <v>300</v>
      </c>
      <c r="L329" s="77">
        <f t="shared" si="43"/>
        <v>1274</v>
      </c>
      <c r="M329" s="87">
        <v>600</v>
      </c>
      <c r="N329" s="77">
        <f>30</f>
        <v>30</v>
      </c>
      <c r="O329" s="80">
        <v>240</v>
      </c>
      <c r="P329" s="80">
        <v>160</v>
      </c>
      <c r="Q329" s="80">
        <f t="shared" si="44"/>
        <v>195</v>
      </c>
      <c r="R329" s="80">
        <f t="shared" si="45"/>
        <v>100</v>
      </c>
      <c r="S329" s="77">
        <f t="shared" si="46"/>
        <v>695</v>
      </c>
      <c r="T329" s="77">
        <f>50</f>
        <v>50</v>
      </c>
      <c r="U329" s="78"/>
      <c r="V329" s="78"/>
      <c r="W329" s="78"/>
      <c r="X329" s="78"/>
      <c r="Y329" s="78"/>
      <c r="Z329" s="78"/>
      <c r="AA329" s="78"/>
      <c r="AB329" s="78"/>
      <c r="AC329" s="78"/>
      <c r="AD329" s="78"/>
    </row>
    <row r="330" spans="1:30" ht="15.75" x14ac:dyDescent="0.25">
      <c r="A330" s="14">
        <v>51348</v>
      </c>
      <c r="B330" s="89">
        <v>31</v>
      </c>
      <c r="C330" s="77">
        <f>194.205</f>
        <v>194.20500000000001</v>
      </c>
      <c r="D330" s="77">
        <f>267.466</f>
        <v>267.46600000000001</v>
      </c>
      <c r="E330" s="85">
        <f>133.845</f>
        <v>133.845</v>
      </c>
      <c r="F330" s="77">
        <f>278.484-40-25-60-100</f>
        <v>53.48399999999998</v>
      </c>
      <c r="G330" s="80">
        <v>40</v>
      </c>
      <c r="H330" s="77">
        <f t="shared" si="52"/>
        <v>185</v>
      </c>
      <c r="I330" s="77">
        <f t="shared" si="49"/>
        <v>0</v>
      </c>
      <c r="J330" s="80">
        <v>100</v>
      </c>
      <c r="K330" s="80">
        <v>300</v>
      </c>
      <c r="L330" s="77">
        <f t="shared" si="43"/>
        <v>1274</v>
      </c>
      <c r="M330" s="87">
        <v>600</v>
      </c>
      <c r="N330" s="77">
        <f>30</f>
        <v>30</v>
      </c>
      <c r="O330" s="80">
        <v>240</v>
      </c>
      <c r="P330" s="80">
        <v>160</v>
      </c>
      <c r="Q330" s="80">
        <f t="shared" si="44"/>
        <v>195</v>
      </c>
      <c r="R330" s="80">
        <f t="shared" si="45"/>
        <v>100</v>
      </c>
      <c r="S330" s="77">
        <f t="shared" si="46"/>
        <v>695</v>
      </c>
      <c r="T330" s="77">
        <f>0</f>
        <v>0</v>
      </c>
      <c r="U330" s="78"/>
      <c r="V330" s="78"/>
      <c r="W330" s="78"/>
      <c r="X330" s="78"/>
      <c r="Y330" s="78"/>
      <c r="Z330" s="78"/>
      <c r="AA330" s="78"/>
      <c r="AB330" s="78"/>
      <c r="AC330" s="78"/>
      <c r="AD330" s="78"/>
    </row>
    <row r="331" spans="1:30" ht="15.75" x14ac:dyDescent="0.25">
      <c r="A331" s="14">
        <v>51379</v>
      </c>
      <c r="B331" s="89">
        <v>31</v>
      </c>
      <c r="C331" s="77">
        <f>194.205</f>
        <v>194.20500000000001</v>
      </c>
      <c r="D331" s="77">
        <f>267.466</f>
        <v>267.46600000000001</v>
      </c>
      <c r="E331" s="85">
        <f>133.845</f>
        <v>133.845</v>
      </c>
      <c r="F331" s="77">
        <f>278.484-40-25-60-100</f>
        <v>53.48399999999998</v>
      </c>
      <c r="G331" s="80">
        <v>40</v>
      </c>
      <c r="H331" s="77">
        <f t="shared" si="52"/>
        <v>185</v>
      </c>
      <c r="I331" s="77">
        <f t="shared" si="49"/>
        <v>0</v>
      </c>
      <c r="J331" s="80">
        <v>100</v>
      </c>
      <c r="K331" s="80">
        <v>300</v>
      </c>
      <c r="L331" s="77">
        <f t="shared" si="43"/>
        <v>1274</v>
      </c>
      <c r="M331" s="87">
        <v>600</v>
      </c>
      <c r="N331" s="77">
        <f>30</f>
        <v>30</v>
      </c>
      <c r="O331" s="80">
        <v>240</v>
      </c>
      <c r="P331" s="80">
        <v>160</v>
      </c>
      <c r="Q331" s="80">
        <f t="shared" si="44"/>
        <v>195</v>
      </c>
      <c r="R331" s="80">
        <f t="shared" si="45"/>
        <v>100</v>
      </c>
      <c r="S331" s="77">
        <f t="shared" si="46"/>
        <v>695</v>
      </c>
      <c r="T331" s="77">
        <f>0</f>
        <v>0</v>
      </c>
      <c r="U331" s="78"/>
      <c r="V331" s="78"/>
      <c r="W331" s="78"/>
      <c r="X331" s="78"/>
      <c r="Y331" s="78"/>
      <c r="Z331" s="78"/>
      <c r="AA331" s="78"/>
      <c r="AB331" s="78"/>
      <c r="AC331" s="78"/>
      <c r="AD331" s="78"/>
    </row>
    <row r="332" spans="1:30" ht="15.75" x14ac:dyDescent="0.25">
      <c r="A332" s="14">
        <v>51409</v>
      </c>
      <c r="B332" s="89">
        <v>30</v>
      </c>
      <c r="C332" s="77">
        <f>194.205</f>
        <v>194.20500000000001</v>
      </c>
      <c r="D332" s="77">
        <f>267.466</f>
        <v>267.46600000000001</v>
      </c>
      <c r="E332" s="85">
        <f>133.845</f>
        <v>133.845</v>
      </c>
      <c r="F332" s="77">
        <f>278.484-40-25-60-100</f>
        <v>53.48399999999998</v>
      </c>
      <c r="G332" s="80">
        <v>40</v>
      </c>
      <c r="H332" s="77">
        <f t="shared" si="52"/>
        <v>185</v>
      </c>
      <c r="I332" s="77">
        <f t="shared" si="49"/>
        <v>0</v>
      </c>
      <c r="J332" s="80">
        <v>100</v>
      </c>
      <c r="K332" s="80">
        <v>300</v>
      </c>
      <c r="L332" s="77">
        <f t="shared" si="43"/>
        <v>1274</v>
      </c>
      <c r="M332" s="87">
        <v>600</v>
      </c>
      <c r="N332" s="77">
        <f>30</f>
        <v>30</v>
      </c>
      <c r="O332" s="80">
        <v>240</v>
      </c>
      <c r="P332" s="80">
        <v>160</v>
      </c>
      <c r="Q332" s="80">
        <f t="shared" si="44"/>
        <v>195</v>
      </c>
      <c r="R332" s="80">
        <f t="shared" si="45"/>
        <v>100</v>
      </c>
      <c r="S332" s="77">
        <f t="shared" si="46"/>
        <v>695</v>
      </c>
      <c r="T332" s="77">
        <f>0</f>
        <v>0</v>
      </c>
      <c r="U332" s="78"/>
      <c r="V332" s="78"/>
      <c r="W332" s="78"/>
      <c r="X332" s="78"/>
      <c r="Y332" s="78"/>
      <c r="Z332" s="78"/>
      <c r="AA332" s="78"/>
      <c r="AB332" s="78"/>
      <c r="AC332" s="78"/>
      <c r="AD332" s="78"/>
    </row>
    <row r="333" spans="1:30" ht="15.75" x14ac:dyDescent="0.25">
      <c r="A333" s="14">
        <v>51440</v>
      </c>
      <c r="B333" s="89">
        <v>31</v>
      </c>
      <c r="C333" s="77">
        <f>131.881</f>
        <v>131.881</v>
      </c>
      <c r="D333" s="77">
        <f>277.167</f>
        <v>277.16699999999997</v>
      </c>
      <c r="E333" s="85">
        <f>79.08</f>
        <v>79.08</v>
      </c>
      <c r="F333" s="77">
        <f>350.872-40-25-60-100</f>
        <v>125.87200000000001</v>
      </c>
      <c r="G333" s="80">
        <v>40</v>
      </c>
      <c r="H333" s="77">
        <f t="shared" si="52"/>
        <v>185</v>
      </c>
      <c r="I333" s="77">
        <f t="shared" si="49"/>
        <v>0</v>
      </c>
      <c r="J333" s="80">
        <v>100</v>
      </c>
      <c r="K333" s="80">
        <v>300</v>
      </c>
      <c r="L333" s="77">
        <f t="shared" si="43"/>
        <v>1239</v>
      </c>
      <c r="M333" s="87">
        <v>600</v>
      </c>
      <c r="N333" s="77">
        <f>75</f>
        <v>75</v>
      </c>
      <c r="O333" s="80">
        <v>240</v>
      </c>
      <c r="P333" s="80">
        <v>160</v>
      </c>
      <c r="Q333" s="80">
        <f t="shared" si="44"/>
        <v>195</v>
      </c>
      <c r="R333" s="80">
        <f t="shared" si="45"/>
        <v>100</v>
      </c>
      <c r="S333" s="77">
        <f t="shared" si="46"/>
        <v>695</v>
      </c>
      <c r="T333" s="77">
        <f>0</f>
        <v>0</v>
      </c>
      <c r="U333" s="78"/>
      <c r="V333" s="78"/>
      <c r="W333" s="78"/>
      <c r="X333" s="78"/>
      <c r="Y333" s="78"/>
      <c r="Z333" s="78"/>
      <c r="AA333" s="78"/>
      <c r="AB333" s="78"/>
      <c r="AC333" s="78"/>
      <c r="AD333" s="78"/>
    </row>
    <row r="334" spans="1:30" ht="15.75" x14ac:dyDescent="0.25">
      <c r="A334" s="14">
        <v>51470</v>
      </c>
      <c r="B334" s="89">
        <v>30</v>
      </c>
      <c r="C334" s="77">
        <f>122.58</f>
        <v>122.58</v>
      </c>
      <c r="D334" s="77">
        <f>297.941</f>
        <v>297.94099999999997</v>
      </c>
      <c r="E334" s="85">
        <f>89.177</f>
        <v>89.177000000000007</v>
      </c>
      <c r="F334" s="77">
        <f>240.302-40-60-100</f>
        <v>40.301999999999992</v>
      </c>
      <c r="G334" s="80">
        <v>40</v>
      </c>
      <c r="H334" s="77">
        <f>60+100</f>
        <v>160</v>
      </c>
      <c r="I334" s="77">
        <f t="shared" si="49"/>
        <v>0</v>
      </c>
      <c r="J334" s="80">
        <v>100</v>
      </c>
      <c r="K334" s="80">
        <v>300</v>
      </c>
      <c r="L334" s="77">
        <f t="shared" ref="L334:L397" si="53">SUM(C334:K334)</f>
        <v>1150</v>
      </c>
      <c r="M334" s="87">
        <v>600</v>
      </c>
      <c r="N334" s="77">
        <f>100</f>
        <v>100</v>
      </c>
      <c r="O334" s="80">
        <v>240</v>
      </c>
      <c r="P334" s="80">
        <v>40</v>
      </c>
      <c r="Q334" s="80">
        <f t="shared" ref="Q334:Q397" si="54">695-R334-O334-P334</f>
        <v>315</v>
      </c>
      <c r="R334" s="80">
        <f t="shared" ref="R334:R397" si="55">200-J334</f>
        <v>100</v>
      </c>
      <c r="S334" s="77">
        <f t="shared" ref="S334:S397" si="56">SUM(O334:R334)</f>
        <v>695</v>
      </c>
      <c r="T334" s="77">
        <f>50</f>
        <v>50</v>
      </c>
      <c r="U334" s="78"/>
      <c r="V334" s="78"/>
      <c r="W334" s="78"/>
      <c r="X334" s="78"/>
      <c r="Y334" s="78"/>
      <c r="Z334" s="78"/>
      <c r="AA334" s="78"/>
      <c r="AB334" s="78"/>
      <c r="AC334" s="78"/>
      <c r="AD334" s="78"/>
    </row>
    <row r="335" spans="1:30" ht="15.75" x14ac:dyDescent="0.25">
      <c r="A335" s="14">
        <v>51501</v>
      </c>
      <c r="B335" s="89">
        <v>31</v>
      </c>
      <c r="C335" s="77">
        <f>122.58</f>
        <v>122.58</v>
      </c>
      <c r="D335" s="77">
        <f>297.941</f>
        <v>297.94099999999997</v>
      </c>
      <c r="E335" s="85">
        <f>89.177</f>
        <v>89.177000000000007</v>
      </c>
      <c r="F335" s="77">
        <f>240.302-40-60-100</f>
        <v>40.301999999999992</v>
      </c>
      <c r="G335" s="80">
        <v>40</v>
      </c>
      <c r="H335" s="77">
        <f>60+100</f>
        <v>160</v>
      </c>
      <c r="I335" s="77">
        <f t="shared" si="49"/>
        <v>0</v>
      </c>
      <c r="J335" s="80">
        <v>100</v>
      </c>
      <c r="K335" s="80">
        <v>300</v>
      </c>
      <c r="L335" s="77">
        <f t="shared" si="53"/>
        <v>1150</v>
      </c>
      <c r="M335" s="87">
        <v>600</v>
      </c>
      <c r="N335" s="77">
        <f>100</f>
        <v>100</v>
      </c>
      <c r="O335" s="80">
        <v>240</v>
      </c>
      <c r="P335" s="80">
        <v>40</v>
      </c>
      <c r="Q335" s="80">
        <f t="shared" si="54"/>
        <v>315</v>
      </c>
      <c r="R335" s="80">
        <f t="shared" si="55"/>
        <v>100</v>
      </c>
      <c r="S335" s="77">
        <f t="shared" si="56"/>
        <v>695</v>
      </c>
      <c r="T335" s="77">
        <f>50</f>
        <v>50</v>
      </c>
      <c r="U335" s="78"/>
      <c r="V335" s="78"/>
      <c r="W335" s="78"/>
      <c r="X335" s="78"/>
      <c r="Y335" s="78"/>
      <c r="Z335" s="78"/>
      <c r="AA335" s="78"/>
      <c r="AB335" s="78"/>
      <c r="AC335" s="78"/>
      <c r="AD335" s="78"/>
    </row>
    <row r="336" spans="1:30" ht="15.75" x14ac:dyDescent="0.25">
      <c r="A336" s="14">
        <v>51532</v>
      </c>
      <c r="B336" s="89">
        <v>31</v>
      </c>
      <c r="C336" s="77">
        <f>122.58</f>
        <v>122.58</v>
      </c>
      <c r="D336" s="77">
        <f>297.941</f>
        <v>297.94099999999997</v>
      </c>
      <c r="E336" s="85">
        <f>89.177</f>
        <v>89.177000000000007</v>
      </c>
      <c r="F336" s="77">
        <f>240.302-40-60-100</f>
        <v>40.301999999999992</v>
      </c>
      <c r="G336" s="80">
        <v>40</v>
      </c>
      <c r="H336" s="77">
        <f>60+100</f>
        <v>160</v>
      </c>
      <c r="I336" s="77">
        <f t="shared" si="49"/>
        <v>0</v>
      </c>
      <c r="J336" s="80">
        <v>100</v>
      </c>
      <c r="K336" s="80">
        <v>300</v>
      </c>
      <c r="L336" s="77">
        <f t="shared" si="53"/>
        <v>1150</v>
      </c>
      <c r="M336" s="87">
        <v>600</v>
      </c>
      <c r="N336" s="77">
        <f>100</f>
        <v>100</v>
      </c>
      <c r="O336" s="80">
        <v>240</v>
      </c>
      <c r="P336" s="80">
        <v>40</v>
      </c>
      <c r="Q336" s="80">
        <f t="shared" si="54"/>
        <v>315</v>
      </c>
      <c r="R336" s="80">
        <f t="shared" si="55"/>
        <v>100</v>
      </c>
      <c r="S336" s="77">
        <f t="shared" si="56"/>
        <v>695</v>
      </c>
      <c r="T336" s="77">
        <f>50</f>
        <v>50</v>
      </c>
      <c r="U336" s="78"/>
      <c r="V336" s="78"/>
      <c r="W336" s="78"/>
      <c r="X336" s="78"/>
      <c r="Y336" s="78"/>
      <c r="Z336" s="78"/>
      <c r="AA336" s="78"/>
      <c r="AB336" s="78"/>
      <c r="AC336" s="78"/>
      <c r="AD336" s="78"/>
    </row>
    <row r="337" spans="1:30" ht="15.75" x14ac:dyDescent="0.25">
      <c r="A337" s="14">
        <v>51560</v>
      </c>
      <c r="B337" s="89">
        <v>28</v>
      </c>
      <c r="C337" s="77">
        <f>122.58</f>
        <v>122.58</v>
      </c>
      <c r="D337" s="77">
        <f>297.941</f>
        <v>297.94099999999997</v>
      </c>
      <c r="E337" s="85">
        <f>89.177</f>
        <v>89.177000000000007</v>
      </c>
      <c r="F337" s="77">
        <f>240.302-40-60-100</f>
        <v>40.301999999999992</v>
      </c>
      <c r="G337" s="80">
        <v>40</v>
      </c>
      <c r="H337" s="77">
        <f>60+100</f>
        <v>160</v>
      </c>
      <c r="I337" s="77">
        <f t="shared" si="49"/>
        <v>0</v>
      </c>
      <c r="J337" s="80">
        <v>100</v>
      </c>
      <c r="K337" s="80">
        <v>300</v>
      </c>
      <c r="L337" s="77">
        <f t="shared" si="53"/>
        <v>1150</v>
      </c>
      <c r="M337" s="87">
        <v>600</v>
      </c>
      <c r="N337" s="77">
        <f>100</f>
        <v>100</v>
      </c>
      <c r="O337" s="80">
        <v>240</v>
      </c>
      <c r="P337" s="80">
        <v>40</v>
      </c>
      <c r="Q337" s="80">
        <f t="shared" si="54"/>
        <v>315</v>
      </c>
      <c r="R337" s="80">
        <f t="shared" si="55"/>
        <v>100</v>
      </c>
      <c r="S337" s="77">
        <f t="shared" si="56"/>
        <v>695</v>
      </c>
      <c r="T337" s="77">
        <f>50</f>
        <v>50</v>
      </c>
      <c r="U337" s="78"/>
      <c r="V337" s="78"/>
      <c r="W337" s="78"/>
      <c r="X337" s="78"/>
      <c r="Y337" s="78"/>
      <c r="Z337" s="78"/>
      <c r="AA337" s="78"/>
      <c r="AB337" s="78"/>
      <c r="AC337" s="78"/>
      <c r="AD337" s="78"/>
    </row>
    <row r="338" spans="1:30" ht="15.75" x14ac:dyDescent="0.25">
      <c r="A338" s="14">
        <v>51591</v>
      </c>
      <c r="B338" s="89">
        <v>31</v>
      </c>
      <c r="C338" s="77">
        <f>122.58</f>
        <v>122.58</v>
      </c>
      <c r="D338" s="77">
        <f>297.941</f>
        <v>297.94099999999997</v>
      </c>
      <c r="E338" s="85">
        <f>89.177</f>
        <v>89.177000000000007</v>
      </c>
      <c r="F338" s="77">
        <f>240.302-40-60-100</f>
        <v>40.301999999999992</v>
      </c>
      <c r="G338" s="80">
        <v>40</v>
      </c>
      <c r="H338" s="77">
        <f>60+100</f>
        <v>160</v>
      </c>
      <c r="I338" s="77">
        <f t="shared" si="49"/>
        <v>0</v>
      </c>
      <c r="J338" s="80">
        <v>100</v>
      </c>
      <c r="K338" s="80">
        <v>300</v>
      </c>
      <c r="L338" s="77">
        <f t="shared" si="53"/>
        <v>1150</v>
      </c>
      <c r="M338" s="87">
        <v>600</v>
      </c>
      <c r="N338" s="77">
        <f>100</f>
        <v>100</v>
      </c>
      <c r="O338" s="80">
        <v>240</v>
      </c>
      <c r="P338" s="80">
        <v>40</v>
      </c>
      <c r="Q338" s="80">
        <f t="shared" si="54"/>
        <v>315</v>
      </c>
      <c r="R338" s="80">
        <f t="shared" si="55"/>
        <v>100</v>
      </c>
      <c r="S338" s="77">
        <f t="shared" si="56"/>
        <v>695</v>
      </c>
      <c r="T338" s="77">
        <f>50</f>
        <v>50</v>
      </c>
      <c r="U338" s="78"/>
      <c r="V338" s="78"/>
      <c r="W338" s="78"/>
      <c r="X338" s="78"/>
      <c r="Y338" s="78"/>
      <c r="Z338" s="78"/>
      <c r="AA338" s="78"/>
      <c r="AB338" s="78"/>
      <c r="AC338" s="78"/>
      <c r="AD338" s="78"/>
    </row>
    <row r="339" spans="1:30" ht="15.75" x14ac:dyDescent="0.25">
      <c r="A339" s="14">
        <v>51621</v>
      </c>
      <c r="B339" s="89">
        <v>30</v>
      </c>
      <c r="C339" s="77">
        <f>141.293</f>
        <v>141.29300000000001</v>
      </c>
      <c r="D339" s="77">
        <f>267.993</f>
        <v>267.99299999999999</v>
      </c>
      <c r="E339" s="85">
        <f>115.016</f>
        <v>115.01600000000001</v>
      </c>
      <c r="F339" s="77">
        <f>314.698-40-25-60-100</f>
        <v>89.697999999999979</v>
      </c>
      <c r="G339" s="80">
        <v>40</v>
      </c>
      <c r="H339" s="77">
        <f t="shared" ref="H339:H345" si="57">25+60+100</f>
        <v>185</v>
      </c>
      <c r="I339" s="77">
        <f t="shared" si="49"/>
        <v>0</v>
      </c>
      <c r="J339" s="80">
        <v>100</v>
      </c>
      <c r="K339" s="80">
        <v>300</v>
      </c>
      <c r="L339" s="77">
        <f t="shared" si="53"/>
        <v>1239</v>
      </c>
      <c r="M339" s="87">
        <v>600</v>
      </c>
      <c r="N339" s="77">
        <f>100</f>
        <v>100</v>
      </c>
      <c r="O339" s="80">
        <v>240</v>
      </c>
      <c r="P339" s="80">
        <v>160</v>
      </c>
      <c r="Q339" s="80">
        <f t="shared" si="54"/>
        <v>195</v>
      </c>
      <c r="R339" s="80">
        <f t="shared" si="55"/>
        <v>100</v>
      </c>
      <c r="S339" s="77">
        <f t="shared" si="56"/>
        <v>695</v>
      </c>
      <c r="T339" s="77">
        <f>50</f>
        <v>50</v>
      </c>
      <c r="U339" s="78"/>
      <c r="V339" s="78"/>
      <c r="W339" s="78"/>
      <c r="X339" s="78"/>
      <c r="Y339" s="78"/>
      <c r="Z339" s="78"/>
      <c r="AA339" s="78"/>
      <c r="AB339" s="78"/>
      <c r="AC339" s="78"/>
      <c r="AD339" s="78"/>
    </row>
    <row r="340" spans="1:30" ht="15.75" x14ac:dyDescent="0.25">
      <c r="A340" s="14">
        <v>51652</v>
      </c>
      <c r="B340" s="89">
        <v>31</v>
      </c>
      <c r="C340" s="77">
        <f>194.205</f>
        <v>194.20500000000001</v>
      </c>
      <c r="D340" s="77">
        <f>267.466</f>
        <v>267.46600000000001</v>
      </c>
      <c r="E340" s="85">
        <f>133.845</f>
        <v>133.845</v>
      </c>
      <c r="F340" s="77">
        <f>278.484-40-25-60-100</f>
        <v>53.48399999999998</v>
      </c>
      <c r="G340" s="80">
        <v>40</v>
      </c>
      <c r="H340" s="77">
        <f t="shared" si="57"/>
        <v>185</v>
      </c>
      <c r="I340" s="77">
        <f t="shared" si="49"/>
        <v>0</v>
      </c>
      <c r="J340" s="80">
        <v>100</v>
      </c>
      <c r="K340" s="80">
        <v>300</v>
      </c>
      <c r="L340" s="77">
        <f t="shared" si="53"/>
        <v>1274</v>
      </c>
      <c r="M340" s="87">
        <v>600</v>
      </c>
      <c r="N340" s="77">
        <f>75</f>
        <v>75</v>
      </c>
      <c r="O340" s="80">
        <v>240</v>
      </c>
      <c r="P340" s="80">
        <v>160</v>
      </c>
      <c r="Q340" s="80">
        <f t="shared" si="54"/>
        <v>195</v>
      </c>
      <c r="R340" s="80">
        <f t="shared" si="55"/>
        <v>100</v>
      </c>
      <c r="S340" s="77">
        <f t="shared" si="56"/>
        <v>695</v>
      </c>
      <c r="T340" s="77">
        <f>50</f>
        <v>50</v>
      </c>
      <c r="U340" s="78"/>
      <c r="V340" s="78"/>
      <c r="W340" s="78"/>
      <c r="X340" s="78"/>
      <c r="Y340" s="78"/>
      <c r="Z340" s="78"/>
      <c r="AA340" s="78"/>
      <c r="AB340" s="78"/>
      <c r="AC340" s="78"/>
      <c r="AD340" s="78"/>
    </row>
    <row r="341" spans="1:30" ht="15.75" x14ac:dyDescent="0.25">
      <c r="A341" s="14">
        <v>51682</v>
      </c>
      <c r="B341" s="89">
        <v>30</v>
      </c>
      <c r="C341" s="77">
        <f>194.205</f>
        <v>194.20500000000001</v>
      </c>
      <c r="D341" s="77">
        <f>267.466</f>
        <v>267.46600000000001</v>
      </c>
      <c r="E341" s="85">
        <f>133.845</f>
        <v>133.845</v>
      </c>
      <c r="F341" s="77">
        <f>278.484-40-25-60-100</f>
        <v>53.48399999999998</v>
      </c>
      <c r="G341" s="80">
        <v>40</v>
      </c>
      <c r="H341" s="77">
        <f t="shared" si="57"/>
        <v>185</v>
      </c>
      <c r="I341" s="77">
        <f t="shared" si="49"/>
        <v>0</v>
      </c>
      <c r="J341" s="80">
        <v>100</v>
      </c>
      <c r="K341" s="80">
        <v>300</v>
      </c>
      <c r="L341" s="77">
        <f t="shared" si="53"/>
        <v>1274</v>
      </c>
      <c r="M341" s="87">
        <v>600</v>
      </c>
      <c r="N341" s="77">
        <f>30</f>
        <v>30</v>
      </c>
      <c r="O341" s="80">
        <v>240</v>
      </c>
      <c r="P341" s="80">
        <v>160</v>
      </c>
      <c r="Q341" s="80">
        <f t="shared" si="54"/>
        <v>195</v>
      </c>
      <c r="R341" s="80">
        <f t="shared" si="55"/>
        <v>100</v>
      </c>
      <c r="S341" s="77">
        <f t="shared" si="56"/>
        <v>695</v>
      </c>
      <c r="T341" s="77">
        <f>50</f>
        <v>50</v>
      </c>
      <c r="U341" s="78"/>
      <c r="V341" s="78"/>
      <c r="W341" s="78"/>
      <c r="X341" s="78"/>
      <c r="Y341" s="78"/>
      <c r="Z341" s="78"/>
      <c r="AA341" s="78"/>
      <c r="AB341" s="78"/>
      <c r="AC341" s="78"/>
      <c r="AD341" s="78"/>
    </row>
    <row r="342" spans="1:30" ht="15.75" x14ac:dyDescent="0.25">
      <c r="A342" s="14">
        <v>51713</v>
      </c>
      <c r="B342" s="89">
        <v>31</v>
      </c>
      <c r="C342" s="77">
        <f>194.205</f>
        <v>194.20500000000001</v>
      </c>
      <c r="D342" s="77">
        <f>267.466</f>
        <v>267.46600000000001</v>
      </c>
      <c r="E342" s="85">
        <f>133.845</f>
        <v>133.845</v>
      </c>
      <c r="F342" s="77">
        <f>278.484-40-25-60-100</f>
        <v>53.48399999999998</v>
      </c>
      <c r="G342" s="80">
        <v>40</v>
      </c>
      <c r="H342" s="77">
        <f t="shared" si="57"/>
        <v>185</v>
      </c>
      <c r="I342" s="77">
        <f t="shared" si="49"/>
        <v>0</v>
      </c>
      <c r="J342" s="80">
        <v>100</v>
      </c>
      <c r="K342" s="80">
        <v>300</v>
      </c>
      <c r="L342" s="77">
        <f t="shared" si="53"/>
        <v>1274</v>
      </c>
      <c r="M342" s="87">
        <v>600</v>
      </c>
      <c r="N342" s="77">
        <f>30</f>
        <v>30</v>
      </c>
      <c r="O342" s="80">
        <v>240</v>
      </c>
      <c r="P342" s="80">
        <v>160</v>
      </c>
      <c r="Q342" s="80">
        <f t="shared" si="54"/>
        <v>195</v>
      </c>
      <c r="R342" s="80">
        <f t="shared" si="55"/>
        <v>100</v>
      </c>
      <c r="S342" s="77">
        <f t="shared" si="56"/>
        <v>695</v>
      </c>
      <c r="T342" s="77">
        <f>0</f>
        <v>0</v>
      </c>
      <c r="U342" s="78"/>
      <c r="V342" s="78"/>
      <c r="W342" s="78"/>
      <c r="X342" s="78"/>
      <c r="Y342" s="78"/>
      <c r="Z342" s="78"/>
      <c r="AA342" s="78"/>
      <c r="AB342" s="78"/>
      <c r="AC342" s="78"/>
      <c r="AD342" s="78"/>
    </row>
    <row r="343" spans="1:30" ht="15.75" x14ac:dyDescent="0.25">
      <c r="A343" s="14">
        <v>51744</v>
      </c>
      <c r="B343" s="89">
        <v>31</v>
      </c>
      <c r="C343" s="77">
        <f>194.205</f>
        <v>194.20500000000001</v>
      </c>
      <c r="D343" s="77">
        <f>267.466</f>
        <v>267.46600000000001</v>
      </c>
      <c r="E343" s="85">
        <f>133.845</f>
        <v>133.845</v>
      </c>
      <c r="F343" s="77">
        <f>278.484-40-25-60-100</f>
        <v>53.48399999999998</v>
      </c>
      <c r="G343" s="80">
        <v>40</v>
      </c>
      <c r="H343" s="77">
        <f t="shared" si="57"/>
        <v>185</v>
      </c>
      <c r="I343" s="77">
        <f t="shared" si="49"/>
        <v>0</v>
      </c>
      <c r="J343" s="80">
        <v>100</v>
      </c>
      <c r="K343" s="80">
        <v>300</v>
      </c>
      <c r="L343" s="77">
        <f t="shared" si="53"/>
        <v>1274</v>
      </c>
      <c r="M343" s="87">
        <v>600</v>
      </c>
      <c r="N343" s="77">
        <f>30</f>
        <v>30</v>
      </c>
      <c r="O343" s="80">
        <v>240</v>
      </c>
      <c r="P343" s="80">
        <v>160</v>
      </c>
      <c r="Q343" s="80">
        <f t="shared" si="54"/>
        <v>195</v>
      </c>
      <c r="R343" s="80">
        <f t="shared" si="55"/>
        <v>100</v>
      </c>
      <c r="S343" s="77">
        <f t="shared" si="56"/>
        <v>695</v>
      </c>
      <c r="T343" s="77">
        <f>0</f>
        <v>0</v>
      </c>
      <c r="U343" s="78"/>
      <c r="V343" s="78"/>
      <c r="W343" s="78"/>
      <c r="X343" s="78"/>
      <c r="Y343" s="78"/>
      <c r="Z343" s="78"/>
      <c r="AA343" s="78"/>
      <c r="AB343" s="78"/>
      <c r="AC343" s="78"/>
      <c r="AD343" s="78"/>
    </row>
    <row r="344" spans="1:30" ht="15.75" x14ac:dyDescent="0.25">
      <c r="A344" s="14">
        <v>51774</v>
      </c>
      <c r="B344" s="89">
        <v>30</v>
      </c>
      <c r="C344" s="77">
        <f>194.205</f>
        <v>194.20500000000001</v>
      </c>
      <c r="D344" s="77">
        <f>267.466</f>
        <v>267.46600000000001</v>
      </c>
      <c r="E344" s="85">
        <f>133.845</f>
        <v>133.845</v>
      </c>
      <c r="F344" s="77">
        <f>278.484-40-25-60-100</f>
        <v>53.48399999999998</v>
      </c>
      <c r="G344" s="80">
        <v>40</v>
      </c>
      <c r="H344" s="77">
        <f t="shared" si="57"/>
        <v>185</v>
      </c>
      <c r="I344" s="77">
        <f t="shared" si="49"/>
        <v>0</v>
      </c>
      <c r="J344" s="80">
        <v>100</v>
      </c>
      <c r="K344" s="80">
        <v>300</v>
      </c>
      <c r="L344" s="77">
        <f t="shared" si="53"/>
        <v>1274</v>
      </c>
      <c r="M344" s="87">
        <v>600</v>
      </c>
      <c r="N344" s="77">
        <f>30</f>
        <v>30</v>
      </c>
      <c r="O344" s="80">
        <v>240</v>
      </c>
      <c r="P344" s="80">
        <v>160</v>
      </c>
      <c r="Q344" s="80">
        <f t="shared" si="54"/>
        <v>195</v>
      </c>
      <c r="R344" s="80">
        <f t="shared" si="55"/>
        <v>100</v>
      </c>
      <c r="S344" s="77">
        <f t="shared" si="56"/>
        <v>695</v>
      </c>
      <c r="T344" s="77">
        <f>0</f>
        <v>0</v>
      </c>
      <c r="U344" s="78"/>
      <c r="V344" s="78"/>
      <c r="W344" s="78"/>
      <c r="X344" s="78"/>
      <c r="Y344" s="78"/>
      <c r="Z344" s="78"/>
      <c r="AA344" s="78"/>
      <c r="AB344" s="78"/>
      <c r="AC344" s="78"/>
      <c r="AD344" s="78"/>
    </row>
    <row r="345" spans="1:30" ht="15.75" x14ac:dyDescent="0.25">
      <c r="A345" s="14">
        <v>51805</v>
      </c>
      <c r="B345" s="89">
        <v>31</v>
      </c>
      <c r="C345" s="77">
        <f>131.881</f>
        <v>131.881</v>
      </c>
      <c r="D345" s="77">
        <f>277.167</f>
        <v>277.16699999999997</v>
      </c>
      <c r="E345" s="85">
        <f>79.08</f>
        <v>79.08</v>
      </c>
      <c r="F345" s="77">
        <f>350.872-40-25-60-100</f>
        <v>125.87200000000001</v>
      </c>
      <c r="G345" s="80">
        <v>40</v>
      </c>
      <c r="H345" s="77">
        <f t="shared" si="57"/>
        <v>185</v>
      </c>
      <c r="I345" s="77">
        <f t="shared" si="49"/>
        <v>0</v>
      </c>
      <c r="J345" s="80">
        <v>100</v>
      </c>
      <c r="K345" s="80">
        <v>300</v>
      </c>
      <c r="L345" s="77">
        <f t="shared" si="53"/>
        <v>1239</v>
      </c>
      <c r="M345" s="87">
        <v>600</v>
      </c>
      <c r="N345" s="77">
        <f>75</f>
        <v>75</v>
      </c>
      <c r="O345" s="80">
        <v>240</v>
      </c>
      <c r="P345" s="80">
        <v>160</v>
      </c>
      <c r="Q345" s="80">
        <f t="shared" si="54"/>
        <v>195</v>
      </c>
      <c r="R345" s="80">
        <f t="shared" si="55"/>
        <v>100</v>
      </c>
      <c r="S345" s="77">
        <f t="shared" si="56"/>
        <v>695</v>
      </c>
      <c r="T345" s="77">
        <f>0</f>
        <v>0</v>
      </c>
      <c r="U345" s="78"/>
      <c r="V345" s="78"/>
      <c r="W345" s="78"/>
      <c r="X345" s="78"/>
      <c r="Y345" s="78"/>
      <c r="Z345" s="78"/>
      <c r="AA345" s="78"/>
      <c r="AB345" s="78"/>
      <c r="AC345" s="78"/>
      <c r="AD345" s="78"/>
    </row>
    <row r="346" spans="1:30" ht="15.75" x14ac:dyDescent="0.25">
      <c r="A346" s="14">
        <v>51835</v>
      </c>
      <c r="B346" s="89">
        <v>30</v>
      </c>
      <c r="C346" s="77">
        <f>122.58</f>
        <v>122.58</v>
      </c>
      <c r="D346" s="77">
        <f>297.941</f>
        <v>297.94099999999997</v>
      </c>
      <c r="E346" s="85">
        <f>89.177</f>
        <v>89.177000000000007</v>
      </c>
      <c r="F346" s="77">
        <f>240.302-40-60-100</f>
        <v>40.301999999999992</v>
      </c>
      <c r="G346" s="80">
        <v>40</v>
      </c>
      <c r="H346" s="77">
        <f>60+100</f>
        <v>160</v>
      </c>
      <c r="I346" s="77">
        <f t="shared" si="49"/>
        <v>0</v>
      </c>
      <c r="J346" s="80">
        <v>100</v>
      </c>
      <c r="K346" s="80">
        <v>300</v>
      </c>
      <c r="L346" s="77">
        <f t="shared" si="53"/>
        <v>1150</v>
      </c>
      <c r="M346" s="87">
        <v>600</v>
      </c>
      <c r="N346" s="77">
        <f>100</f>
        <v>100</v>
      </c>
      <c r="O346" s="80">
        <v>240</v>
      </c>
      <c r="P346" s="80">
        <v>40</v>
      </c>
      <c r="Q346" s="80">
        <f t="shared" si="54"/>
        <v>315</v>
      </c>
      <c r="R346" s="80">
        <f t="shared" si="55"/>
        <v>100</v>
      </c>
      <c r="S346" s="77">
        <f t="shared" si="56"/>
        <v>695</v>
      </c>
      <c r="T346" s="77">
        <f>50</f>
        <v>50</v>
      </c>
      <c r="U346" s="78"/>
      <c r="V346" s="78"/>
      <c r="W346" s="78"/>
      <c r="X346" s="78"/>
      <c r="Y346" s="78"/>
      <c r="Z346" s="78"/>
      <c r="AA346" s="78"/>
      <c r="AB346" s="78"/>
      <c r="AC346" s="78"/>
      <c r="AD346" s="78"/>
    </row>
    <row r="347" spans="1:30" ht="15.75" x14ac:dyDescent="0.25">
      <c r="A347" s="14">
        <v>51866</v>
      </c>
      <c r="B347" s="89">
        <v>31</v>
      </c>
      <c r="C347" s="77">
        <f>122.58</f>
        <v>122.58</v>
      </c>
      <c r="D347" s="77">
        <f>297.941</f>
        <v>297.94099999999997</v>
      </c>
      <c r="E347" s="85">
        <f>89.177</f>
        <v>89.177000000000007</v>
      </c>
      <c r="F347" s="77">
        <f>240.302-40-60-100</f>
        <v>40.301999999999992</v>
      </c>
      <c r="G347" s="80">
        <v>40</v>
      </c>
      <c r="H347" s="77">
        <f>60+100</f>
        <v>160</v>
      </c>
      <c r="I347" s="77">
        <f t="shared" si="49"/>
        <v>0</v>
      </c>
      <c r="J347" s="80">
        <v>100</v>
      </c>
      <c r="K347" s="80">
        <v>300</v>
      </c>
      <c r="L347" s="77">
        <f t="shared" si="53"/>
        <v>1150</v>
      </c>
      <c r="M347" s="87">
        <v>600</v>
      </c>
      <c r="N347" s="77">
        <f>100</f>
        <v>100</v>
      </c>
      <c r="O347" s="80">
        <v>240</v>
      </c>
      <c r="P347" s="80">
        <v>40</v>
      </c>
      <c r="Q347" s="80">
        <f t="shared" si="54"/>
        <v>315</v>
      </c>
      <c r="R347" s="80">
        <f t="shared" si="55"/>
        <v>100</v>
      </c>
      <c r="S347" s="77">
        <f t="shared" si="56"/>
        <v>695</v>
      </c>
      <c r="T347" s="77">
        <f>50</f>
        <v>50</v>
      </c>
      <c r="U347" s="78"/>
      <c r="V347" s="78"/>
      <c r="W347" s="78"/>
      <c r="X347" s="78"/>
      <c r="Y347" s="78"/>
      <c r="Z347" s="78"/>
      <c r="AA347" s="78"/>
      <c r="AB347" s="78"/>
      <c r="AC347" s="78"/>
      <c r="AD347" s="78"/>
    </row>
    <row r="348" spans="1:30" ht="15.75" x14ac:dyDescent="0.25">
      <c r="A348" s="14">
        <v>51897</v>
      </c>
      <c r="B348" s="89">
        <v>31</v>
      </c>
      <c r="C348" s="77">
        <f>122.58</f>
        <v>122.58</v>
      </c>
      <c r="D348" s="77">
        <f>297.941</f>
        <v>297.94099999999997</v>
      </c>
      <c r="E348" s="85">
        <f>89.177</f>
        <v>89.177000000000007</v>
      </c>
      <c r="F348" s="77">
        <f>240.302-40-60-100</f>
        <v>40.301999999999992</v>
      </c>
      <c r="G348" s="80">
        <v>40</v>
      </c>
      <c r="H348" s="77">
        <f>60+100</f>
        <v>160</v>
      </c>
      <c r="I348" s="77">
        <f t="shared" si="49"/>
        <v>0</v>
      </c>
      <c r="J348" s="80">
        <v>100</v>
      </c>
      <c r="K348" s="80">
        <v>300</v>
      </c>
      <c r="L348" s="77">
        <f t="shared" si="53"/>
        <v>1150</v>
      </c>
      <c r="M348" s="87">
        <v>600</v>
      </c>
      <c r="N348" s="77">
        <f>100</f>
        <v>100</v>
      </c>
      <c r="O348" s="80">
        <v>240</v>
      </c>
      <c r="P348" s="80">
        <v>40</v>
      </c>
      <c r="Q348" s="80">
        <f t="shared" si="54"/>
        <v>315</v>
      </c>
      <c r="R348" s="80">
        <f t="shared" si="55"/>
        <v>100</v>
      </c>
      <c r="S348" s="77">
        <f t="shared" si="56"/>
        <v>695</v>
      </c>
      <c r="T348" s="77">
        <f>50</f>
        <v>50</v>
      </c>
      <c r="U348" s="78"/>
      <c r="V348" s="78"/>
      <c r="W348" s="78"/>
      <c r="X348" s="78"/>
      <c r="Y348" s="78"/>
      <c r="Z348" s="78"/>
      <c r="AA348" s="78"/>
      <c r="AB348" s="78"/>
      <c r="AC348" s="78"/>
      <c r="AD348" s="78"/>
    </row>
    <row r="349" spans="1:30" ht="15.75" x14ac:dyDescent="0.25">
      <c r="A349" s="14">
        <v>51925</v>
      </c>
      <c r="B349" s="89">
        <v>28</v>
      </c>
      <c r="C349" s="77">
        <f>122.58</f>
        <v>122.58</v>
      </c>
      <c r="D349" s="77">
        <f>297.941</f>
        <v>297.94099999999997</v>
      </c>
      <c r="E349" s="85">
        <f>89.177</f>
        <v>89.177000000000007</v>
      </c>
      <c r="F349" s="77">
        <f>240.302-40-60-100</f>
        <v>40.301999999999992</v>
      </c>
      <c r="G349" s="80">
        <v>40</v>
      </c>
      <c r="H349" s="77">
        <f>60+100</f>
        <v>160</v>
      </c>
      <c r="I349" s="77">
        <f t="shared" si="49"/>
        <v>0</v>
      </c>
      <c r="J349" s="80">
        <v>100</v>
      </c>
      <c r="K349" s="80">
        <v>300</v>
      </c>
      <c r="L349" s="77">
        <f t="shared" si="53"/>
        <v>1150</v>
      </c>
      <c r="M349" s="87">
        <v>600</v>
      </c>
      <c r="N349" s="77">
        <f>100</f>
        <v>100</v>
      </c>
      <c r="O349" s="80">
        <v>240</v>
      </c>
      <c r="P349" s="80">
        <v>40</v>
      </c>
      <c r="Q349" s="80">
        <f t="shared" si="54"/>
        <v>315</v>
      </c>
      <c r="R349" s="80">
        <f t="shared" si="55"/>
        <v>100</v>
      </c>
      <c r="S349" s="77">
        <f t="shared" si="56"/>
        <v>695</v>
      </c>
      <c r="T349" s="77">
        <f>50</f>
        <v>50</v>
      </c>
      <c r="U349" s="78"/>
      <c r="V349" s="78"/>
      <c r="W349" s="78"/>
      <c r="X349" s="78"/>
      <c r="Y349" s="78"/>
      <c r="Z349" s="78"/>
      <c r="AA349" s="78"/>
      <c r="AB349" s="78"/>
      <c r="AC349" s="78"/>
      <c r="AD349" s="78"/>
    </row>
    <row r="350" spans="1:30" ht="15.75" x14ac:dyDescent="0.25">
      <c r="A350" s="14">
        <v>51956</v>
      </c>
      <c r="B350" s="89">
        <v>31</v>
      </c>
      <c r="C350" s="77">
        <f>122.58</f>
        <v>122.58</v>
      </c>
      <c r="D350" s="77">
        <f>297.941</f>
        <v>297.94099999999997</v>
      </c>
      <c r="E350" s="85">
        <f>89.177</f>
        <v>89.177000000000007</v>
      </c>
      <c r="F350" s="77">
        <f>240.302-40-60-100</f>
        <v>40.301999999999992</v>
      </c>
      <c r="G350" s="80">
        <v>40</v>
      </c>
      <c r="H350" s="77">
        <f>60+100</f>
        <v>160</v>
      </c>
      <c r="I350" s="77">
        <f t="shared" si="49"/>
        <v>0</v>
      </c>
      <c r="J350" s="80">
        <v>100</v>
      </c>
      <c r="K350" s="80">
        <v>300</v>
      </c>
      <c r="L350" s="77">
        <f t="shared" si="53"/>
        <v>1150</v>
      </c>
      <c r="M350" s="87">
        <v>600</v>
      </c>
      <c r="N350" s="77">
        <f>100</f>
        <v>100</v>
      </c>
      <c r="O350" s="80">
        <v>240</v>
      </c>
      <c r="P350" s="80">
        <v>40</v>
      </c>
      <c r="Q350" s="80">
        <f t="shared" si="54"/>
        <v>315</v>
      </c>
      <c r="R350" s="80">
        <f t="shared" si="55"/>
        <v>100</v>
      </c>
      <c r="S350" s="77">
        <f t="shared" si="56"/>
        <v>695</v>
      </c>
      <c r="T350" s="77">
        <f>50</f>
        <v>50</v>
      </c>
      <c r="U350" s="78"/>
      <c r="V350" s="78"/>
      <c r="W350" s="78"/>
      <c r="X350" s="78"/>
      <c r="Y350" s="78"/>
      <c r="Z350" s="78"/>
      <c r="AA350" s="78"/>
      <c r="AB350" s="78"/>
      <c r="AC350" s="78"/>
      <c r="AD350" s="78"/>
    </row>
    <row r="351" spans="1:30" ht="15.75" x14ac:dyDescent="0.25">
      <c r="A351" s="14">
        <v>51986</v>
      </c>
      <c r="B351" s="89">
        <v>30</v>
      </c>
      <c r="C351" s="77">
        <f>141.293</f>
        <v>141.29300000000001</v>
      </c>
      <c r="D351" s="77">
        <f>267.993</f>
        <v>267.99299999999999</v>
      </c>
      <c r="E351" s="85">
        <f>115.016</f>
        <v>115.01600000000001</v>
      </c>
      <c r="F351" s="77">
        <f>314.698-40-25-60-100</f>
        <v>89.697999999999979</v>
      </c>
      <c r="G351" s="80">
        <v>40</v>
      </c>
      <c r="H351" s="77">
        <f t="shared" ref="H351:H357" si="58">25+60+100</f>
        <v>185</v>
      </c>
      <c r="I351" s="77">
        <f t="shared" si="49"/>
        <v>0</v>
      </c>
      <c r="J351" s="80">
        <v>100</v>
      </c>
      <c r="K351" s="80">
        <v>300</v>
      </c>
      <c r="L351" s="77">
        <f t="shared" si="53"/>
        <v>1239</v>
      </c>
      <c r="M351" s="87">
        <v>600</v>
      </c>
      <c r="N351" s="77">
        <f>100</f>
        <v>100</v>
      </c>
      <c r="O351" s="80">
        <v>240</v>
      </c>
      <c r="P351" s="80">
        <v>160</v>
      </c>
      <c r="Q351" s="80">
        <f t="shared" si="54"/>
        <v>195</v>
      </c>
      <c r="R351" s="80">
        <f t="shared" si="55"/>
        <v>100</v>
      </c>
      <c r="S351" s="77">
        <f t="shared" si="56"/>
        <v>695</v>
      </c>
      <c r="T351" s="77">
        <f>50</f>
        <v>50</v>
      </c>
      <c r="U351" s="78"/>
      <c r="V351" s="78"/>
      <c r="W351" s="78"/>
      <c r="X351" s="78"/>
      <c r="Y351" s="78"/>
      <c r="Z351" s="78"/>
      <c r="AA351" s="78"/>
      <c r="AB351" s="78"/>
      <c r="AC351" s="78"/>
      <c r="AD351" s="78"/>
    </row>
    <row r="352" spans="1:30" ht="15.75" x14ac:dyDescent="0.25">
      <c r="A352" s="14">
        <v>52017</v>
      </c>
      <c r="B352" s="89">
        <v>31</v>
      </c>
      <c r="C352" s="77">
        <f>194.205</f>
        <v>194.20500000000001</v>
      </c>
      <c r="D352" s="77">
        <f>267.466</f>
        <v>267.46600000000001</v>
      </c>
      <c r="E352" s="85">
        <f>133.845</f>
        <v>133.845</v>
      </c>
      <c r="F352" s="77">
        <f>278.484-40-25-60-100</f>
        <v>53.48399999999998</v>
      </c>
      <c r="G352" s="80">
        <v>40</v>
      </c>
      <c r="H352" s="77">
        <f t="shared" si="58"/>
        <v>185</v>
      </c>
      <c r="I352" s="77">
        <f t="shared" si="49"/>
        <v>0</v>
      </c>
      <c r="J352" s="80">
        <v>100</v>
      </c>
      <c r="K352" s="80">
        <v>300</v>
      </c>
      <c r="L352" s="77">
        <f t="shared" si="53"/>
        <v>1274</v>
      </c>
      <c r="M352" s="87">
        <v>600</v>
      </c>
      <c r="N352" s="77">
        <f>75</f>
        <v>75</v>
      </c>
      <c r="O352" s="80">
        <v>240</v>
      </c>
      <c r="P352" s="80">
        <v>160</v>
      </c>
      <c r="Q352" s="80">
        <f t="shared" si="54"/>
        <v>195</v>
      </c>
      <c r="R352" s="80">
        <f t="shared" si="55"/>
        <v>100</v>
      </c>
      <c r="S352" s="77">
        <f t="shared" si="56"/>
        <v>695</v>
      </c>
      <c r="T352" s="77">
        <f>50</f>
        <v>50</v>
      </c>
      <c r="U352" s="78"/>
      <c r="V352" s="78"/>
      <c r="W352" s="78"/>
      <c r="X352" s="78"/>
      <c r="Y352" s="78"/>
      <c r="Z352" s="78"/>
      <c r="AA352" s="78"/>
      <c r="AB352" s="78"/>
      <c r="AC352" s="78"/>
      <c r="AD352" s="78"/>
    </row>
    <row r="353" spans="1:30" ht="15.75" x14ac:dyDescent="0.25">
      <c r="A353" s="14">
        <v>52047</v>
      </c>
      <c r="B353" s="89">
        <v>30</v>
      </c>
      <c r="C353" s="77">
        <f>194.205</f>
        <v>194.20500000000001</v>
      </c>
      <c r="D353" s="77">
        <f>267.466</f>
        <v>267.46600000000001</v>
      </c>
      <c r="E353" s="85">
        <f>133.845</f>
        <v>133.845</v>
      </c>
      <c r="F353" s="77">
        <f>278.484-40-25-60-100</f>
        <v>53.48399999999998</v>
      </c>
      <c r="G353" s="80">
        <v>40</v>
      </c>
      <c r="H353" s="77">
        <f t="shared" si="58"/>
        <v>185</v>
      </c>
      <c r="I353" s="77">
        <f t="shared" si="49"/>
        <v>0</v>
      </c>
      <c r="J353" s="80">
        <v>100</v>
      </c>
      <c r="K353" s="80">
        <v>300</v>
      </c>
      <c r="L353" s="77">
        <f t="shared" si="53"/>
        <v>1274</v>
      </c>
      <c r="M353" s="87">
        <v>600</v>
      </c>
      <c r="N353" s="77">
        <f>30</f>
        <v>30</v>
      </c>
      <c r="O353" s="80">
        <v>240</v>
      </c>
      <c r="P353" s="80">
        <v>160</v>
      </c>
      <c r="Q353" s="80">
        <f t="shared" si="54"/>
        <v>195</v>
      </c>
      <c r="R353" s="80">
        <f t="shared" si="55"/>
        <v>100</v>
      </c>
      <c r="S353" s="77">
        <f t="shared" si="56"/>
        <v>695</v>
      </c>
      <c r="T353" s="77">
        <f>50</f>
        <v>50</v>
      </c>
      <c r="U353" s="78"/>
      <c r="V353" s="78"/>
      <c r="W353" s="78"/>
      <c r="X353" s="78"/>
      <c r="Y353" s="78"/>
      <c r="Z353" s="78"/>
      <c r="AA353" s="78"/>
      <c r="AB353" s="78"/>
      <c r="AC353" s="78"/>
      <c r="AD353" s="78"/>
    </row>
    <row r="354" spans="1:30" ht="15.75" x14ac:dyDescent="0.25">
      <c r="A354" s="14">
        <v>52078</v>
      </c>
      <c r="B354" s="89">
        <v>31</v>
      </c>
      <c r="C354" s="77">
        <f>194.205</f>
        <v>194.20500000000001</v>
      </c>
      <c r="D354" s="77">
        <f>267.466</f>
        <v>267.46600000000001</v>
      </c>
      <c r="E354" s="85">
        <f>133.845</f>
        <v>133.845</v>
      </c>
      <c r="F354" s="77">
        <f>278.484-40-25-60-100</f>
        <v>53.48399999999998</v>
      </c>
      <c r="G354" s="80">
        <v>40</v>
      </c>
      <c r="H354" s="77">
        <f t="shared" si="58"/>
        <v>185</v>
      </c>
      <c r="I354" s="77">
        <f t="shared" si="49"/>
        <v>0</v>
      </c>
      <c r="J354" s="80">
        <v>100</v>
      </c>
      <c r="K354" s="80">
        <v>300</v>
      </c>
      <c r="L354" s="77">
        <f t="shared" si="53"/>
        <v>1274</v>
      </c>
      <c r="M354" s="87">
        <v>600</v>
      </c>
      <c r="N354" s="77">
        <f>30</f>
        <v>30</v>
      </c>
      <c r="O354" s="80">
        <v>240</v>
      </c>
      <c r="P354" s="80">
        <v>160</v>
      </c>
      <c r="Q354" s="80">
        <f t="shared" si="54"/>
        <v>195</v>
      </c>
      <c r="R354" s="80">
        <f t="shared" si="55"/>
        <v>100</v>
      </c>
      <c r="S354" s="77">
        <f t="shared" si="56"/>
        <v>695</v>
      </c>
      <c r="T354" s="77">
        <f>0</f>
        <v>0</v>
      </c>
      <c r="U354" s="78"/>
      <c r="V354" s="78"/>
      <c r="W354" s="78"/>
      <c r="X354" s="78"/>
      <c r="Y354" s="78"/>
      <c r="Z354" s="78"/>
      <c r="AA354" s="78"/>
      <c r="AB354" s="78"/>
      <c r="AC354" s="78"/>
      <c r="AD354" s="78"/>
    </row>
    <row r="355" spans="1:30" ht="15.75" x14ac:dyDescent="0.25">
      <c r="A355" s="14">
        <v>52109</v>
      </c>
      <c r="B355" s="89">
        <v>31</v>
      </c>
      <c r="C355" s="77">
        <f>194.205</f>
        <v>194.20500000000001</v>
      </c>
      <c r="D355" s="77">
        <f>267.466</f>
        <v>267.46600000000001</v>
      </c>
      <c r="E355" s="85">
        <f>133.845</f>
        <v>133.845</v>
      </c>
      <c r="F355" s="77">
        <f>278.484-40-25-60-100</f>
        <v>53.48399999999998</v>
      </c>
      <c r="G355" s="80">
        <v>40</v>
      </c>
      <c r="H355" s="77">
        <f t="shared" si="58"/>
        <v>185</v>
      </c>
      <c r="I355" s="77">
        <f t="shared" si="49"/>
        <v>0</v>
      </c>
      <c r="J355" s="80">
        <v>100</v>
      </c>
      <c r="K355" s="80">
        <v>300</v>
      </c>
      <c r="L355" s="77">
        <f t="shared" si="53"/>
        <v>1274</v>
      </c>
      <c r="M355" s="87">
        <v>600</v>
      </c>
      <c r="N355" s="77">
        <f>30</f>
        <v>30</v>
      </c>
      <c r="O355" s="80">
        <v>240</v>
      </c>
      <c r="P355" s="80">
        <v>160</v>
      </c>
      <c r="Q355" s="80">
        <f t="shared" si="54"/>
        <v>195</v>
      </c>
      <c r="R355" s="80">
        <f t="shared" si="55"/>
        <v>100</v>
      </c>
      <c r="S355" s="77">
        <f t="shared" si="56"/>
        <v>695</v>
      </c>
      <c r="T355" s="77">
        <f>0</f>
        <v>0</v>
      </c>
      <c r="U355" s="78"/>
      <c r="V355" s="78"/>
      <c r="W355" s="78"/>
      <c r="X355" s="78"/>
      <c r="Y355" s="78"/>
      <c r="Z355" s="78"/>
      <c r="AA355" s="78"/>
      <c r="AB355" s="78"/>
      <c r="AC355" s="78"/>
      <c r="AD355" s="78"/>
    </row>
    <row r="356" spans="1:30" ht="15.75" x14ac:dyDescent="0.25">
      <c r="A356" s="14">
        <v>52139</v>
      </c>
      <c r="B356" s="89">
        <v>30</v>
      </c>
      <c r="C356" s="77">
        <f>194.205</f>
        <v>194.20500000000001</v>
      </c>
      <c r="D356" s="77">
        <f>267.466</f>
        <v>267.46600000000001</v>
      </c>
      <c r="E356" s="85">
        <f>133.845</f>
        <v>133.845</v>
      </c>
      <c r="F356" s="77">
        <f>278.484-40-25-60-100</f>
        <v>53.48399999999998</v>
      </c>
      <c r="G356" s="80">
        <v>40</v>
      </c>
      <c r="H356" s="77">
        <f t="shared" si="58"/>
        <v>185</v>
      </c>
      <c r="I356" s="77">
        <f t="shared" si="49"/>
        <v>0</v>
      </c>
      <c r="J356" s="80">
        <v>100</v>
      </c>
      <c r="K356" s="80">
        <v>300</v>
      </c>
      <c r="L356" s="77">
        <f t="shared" si="53"/>
        <v>1274</v>
      </c>
      <c r="M356" s="87">
        <v>600</v>
      </c>
      <c r="N356" s="77">
        <f>30</f>
        <v>30</v>
      </c>
      <c r="O356" s="80">
        <v>240</v>
      </c>
      <c r="P356" s="80">
        <v>160</v>
      </c>
      <c r="Q356" s="80">
        <f t="shared" si="54"/>
        <v>195</v>
      </c>
      <c r="R356" s="80">
        <f t="shared" si="55"/>
        <v>100</v>
      </c>
      <c r="S356" s="77">
        <f t="shared" si="56"/>
        <v>695</v>
      </c>
      <c r="T356" s="77">
        <f>0</f>
        <v>0</v>
      </c>
      <c r="U356" s="78"/>
      <c r="V356" s="78"/>
      <c r="W356" s="78"/>
      <c r="X356" s="78"/>
      <c r="Y356" s="78"/>
      <c r="Z356" s="78"/>
      <c r="AA356" s="78"/>
      <c r="AB356" s="78"/>
      <c r="AC356" s="78"/>
      <c r="AD356" s="78"/>
    </row>
    <row r="357" spans="1:30" ht="15.75" x14ac:dyDescent="0.25">
      <c r="A357" s="14">
        <v>52170</v>
      </c>
      <c r="B357" s="89">
        <v>31</v>
      </c>
      <c r="C357" s="77">
        <f>131.881</f>
        <v>131.881</v>
      </c>
      <c r="D357" s="77">
        <f>277.167</f>
        <v>277.16699999999997</v>
      </c>
      <c r="E357" s="85">
        <f>79.08</f>
        <v>79.08</v>
      </c>
      <c r="F357" s="77">
        <f>350.872-40-25-60-100</f>
        <v>125.87200000000001</v>
      </c>
      <c r="G357" s="80">
        <v>40</v>
      </c>
      <c r="H357" s="77">
        <f t="shared" si="58"/>
        <v>185</v>
      </c>
      <c r="I357" s="77">
        <f t="shared" si="49"/>
        <v>0</v>
      </c>
      <c r="J357" s="80">
        <v>100</v>
      </c>
      <c r="K357" s="80">
        <v>300</v>
      </c>
      <c r="L357" s="77">
        <f t="shared" si="53"/>
        <v>1239</v>
      </c>
      <c r="M357" s="87">
        <v>600</v>
      </c>
      <c r="N357" s="77">
        <f>75</f>
        <v>75</v>
      </c>
      <c r="O357" s="80">
        <v>240</v>
      </c>
      <c r="P357" s="80">
        <v>160</v>
      </c>
      <c r="Q357" s="80">
        <f t="shared" si="54"/>
        <v>195</v>
      </c>
      <c r="R357" s="80">
        <f t="shared" si="55"/>
        <v>100</v>
      </c>
      <c r="S357" s="77">
        <f t="shared" si="56"/>
        <v>695</v>
      </c>
      <c r="T357" s="77">
        <f>0</f>
        <v>0</v>
      </c>
      <c r="U357" s="78"/>
      <c r="V357" s="78"/>
      <c r="W357" s="78"/>
      <c r="X357" s="78"/>
      <c r="Y357" s="78"/>
      <c r="Z357" s="78"/>
      <c r="AA357" s="78"/>
      <c r="AB357" s="78"/>
      <c r="AC357" s="78"/>
      <c r="AD357" s="78"/>
    </row>
    <row r="358" spans="1:30" ht="15.75" x14ac:dyDescent="0.25">
      <c r="A358" s="14">
        <v>52200</v>
      </c>
      <c r="B358" s="89">
        <v>30</v>
      </c>
      <c r="C358" s="77">
        <f>122.58</f>
        <v>122.58</v>
      </c>
      <c r="D358" s="77">
        <f>297.941</f>
        <v>297.94099999999997</v>
      </c>
      <c r="E358" s="85">
        <f>89.177</f>
        <v>89.177000000000007</v>
      </c>
      <c r="F358" s="77">
        <f>240.302-40-60-100</f>
        <v>40.301999999999992</v>
      </c>
      <c r="G358" s="80">
        <v>40</v>
      </c>
      <c r="H358" s="77">
        <f>60+100</f>
        <v>160</v>
      </c>
      <c r="I358" s="77">
        <f t="shared" si="49"/>
        <v>0</v>
      </c>
      <c r="J358" s="80">
        <v>100</v>
      </c>
      <c r="K358" s="80">
        <v>300</v>
      </c>
      <c r="L358" s="77">
        <f t="shared" si="53"/>
        <v>1150</v>
      </c>
      <c r="M358" s="87">
        <v>600</v>
      </c>
      <c r="N358" s="77">
        <f>100</f>
        <v>100</v>
      </c>
      <c r="O358" s="80">
        <v>240</v>
      </c>
      <c r="P358" s="80">
        <v>40</v>
      </c>
      <c r="Q358" s="80">
        <f t="shared" si="54"/>
        <v>315</v>
      </c>
      <c r="R358" s="80">
        <f t="shared" si="55"/>
        <v>100</v>
      </c>
      <c r="S358" s="77">
        <f t="shared" si="56"/>
        <v>695</v>
      </c>
      <c r="T358" s="77">
        <f>50</f>
        <v>50</v>
      </c>
      <c r="U358" s="78"/>
      <c r="V358" s="78"/>
      <c r="W358" s="78"/>
      <c r="X358" s="78"/>
      <c r="Y358" s="78"/>
      <c r="Z358" s="78"/>
      <c r="AA358" s="78"/>
      <c r="AB358" s="78"/>
      <c r="AC358" s="78"/>
      <c r="AD358" s="78"/>
    </row>
    <row r="359" spans="1:30" ht="15.75" x14ac:dyDescent="0.25">
      <c r="A359" s="14">
        <v>52231</v>
      </c>
      <c r="B359" s="89">
        <v>31</v>
      </c>
      <c r="C359" s="77">
        <f>122.58</f>
        <v>122.58</v>
      </c>
      <c r="D359" s="77">
        <f>297.941</f>
        <v>297.94099999999997</v>
      </c>
      <c r="E359" s="85">
        <f>89.177</f>
        <v>89.177000000000007</v>
      </c>
      <c r="F359" s="77">
        <f>240.302-40-60-100</f>
        <v>40.301999999999992</v>
      </c>
      <c r="G359" s="80">
        <v>40</v>
      </c>
      <c r="H359" s="77">
        <f>60+100</f>
        <v>160</v>
      </c>
      <c r="I359" s="77">
        <f t="shared" si="49"/>
        <v>0</v>
      </c>
      <c r="J359" s="80">
        <v>100</v>
      </c>
      <c r="K359" s="80">
        <v>300</v>
      </c>
      <c r="L359" s="77">
        <f t="shared" si="53"/>
        <v>1150</v>
      </c>
      <c r="M359" s="87">
        <v>600</v>
      </c>
      <c r="N359" s="77">
        <f>100</f>
        <v>100</v>
      </c>
      <c r="O359" s="80">
        <v>240</v>
      </c>
      <c r="P359" s="80">
        <v>40</v>
      </c>
      <c r="Q359" s="80">
        <f t="shared" si="54"/>
        <v>315</v>
      </c>
      <c r="R359" s="80">
        <f t="shared" si="55"/>
        <v>100</v>
      </c>
      <c r="S359" s="77">
        <f t="shared" si="56"/>
        <v>695</v>
      </c>
      <c r="T359" s="77">
        <f>50</f>
        <v>50</v>
      </c>
      <c r="U359" s="78"/>
      <c r="V359" s="78"/>
      <c r="W359" s="78"/>
      <c r="X359" s="78"/>
      <c r="Y359" s="78"/>
      <c r="Z359" s="78"/>
      <c r="AA359" s="78"/>
      <c r="AB359" s="78"/>
      <c r="AC359" s="78"/>
      <c r="AD359" s="78"/>
    </row>
    <row r="360" spans="1:30" ht="15.75" x14ac:dyDescent="0.25">
      <c r="A360" s="14">
        <v>52262</v>
      </c>
      <c r="B360" s="89">
        <v>31</v>
      </c>
      <c r="C360" s="77">
        <f>122.58</f>
        <v>122.58</v>
      </c>
      <c r="D360" s="77">
        <f>297.941</f>
        <v>297.94099999999997</v>
      </c>
      <c r="E360" s="85">
        <f>89.177</f>
        <v>89.177000000000007</v>
      </c>
      <c r="F360" s="77">
        <f>240.302-40-60-100</f>
        <v>40.301999999999992</v>
      </c>
      <c r="G360" s="80">
        <v>40</v>
      </c>
      <c r="H360" s="77">
        <f>60+100</f>
        <v>160</v>
      </c>
      <c r="I360" s="77">
        <f t="shared" ref="I360:I423" si="59">400-J360-K360</f>
        <v>0</v>
      </c>
      <c r="J360" s="80">
        <v>100</v>
      </c>
      <c r="K360" s="80">
        <v>300</v>
      </c>
      <c r="L360" s="77">
        <f t="shared" si="53"/>
        <v>1150</v>
      </c>
      <c r="M360" s="87">
        <v>600</v>
      </c>
      <c r="N360" s="77">
        <f>100</f>
        <v>100</v>
      </c>
      <c r="O360" s="80">
        <v>240</v>
      </c>
      <c r="P360" s="80">
        <v>40</v>
      </c>
      <c r="Q360" s="80">
        <f t="shared" si="54"/>
        <v>315</v>
      </c>
      <c r="R360" s="80">
        <f t="shared" si="55"/>
        <v>100</v>
      </c>
      <c r="S360" s="77">
        <f t="shared" si="56"/>
        <v>695</v>
      </c>
      <c r="T360" s="77">
        <f>50</f>
        <v>50</v>
      </c>
      <c r="U360" s="78"/>
      <c r="V360" s="78"/>
      <c r="W360" s="78"/>
      <c r="X360" s="78"/>
      <c r="Y360" s="78"/>
      <c r="Z360" s="78"/>
      <c r="AA360" s="78"/>
      <c r="AB360" s="78"/>
      <c r="AC360" s="78"/>
      <c r="AD360" s="78"/>
    </row>
    <row r="361" spans="1:30" ht="15.75" x14ac:dyDescent="0.25">
      <c r="A361" s="14">
        <v>52290</v>
      </c>
      <c r="B361" s="89">
        <v>28</v>
      </c>
      <c r="C361" s="77">
        <f>122.58</f>
        <v>122.58</v>
      </c>
      <c r="D361" s="77">
        <f>297.941</f>
        <v>297.94099999999997</v>
      </c>
      <c r="E361" s="85">
        <f>89.177</f>
        <v>89.177000000000007</v>
      </c>
      <c r="F361" s="77">
        <f>240.302-40-60-100</f>
        <v>40.301999999999992</v>
      </c>
      <c r="G361" s="80">
        <v>40</v>
      </c>
      <c r="H361" s="77">
        <f>60+100</f>
        <v>160</v>
      </c>
      <c r="I361" s="77">
        <f t="shared" si="59"/>
        <v>0</v>
      </c>
      <c r="J361" s="80">
        <v>100</v>
      </c>
      <c r="K361" s="80">
        <v>300</v>
      </c>
      <c r="L361" s="77">
        <f t="shared" si="53"/>
        <v>1150</v>
      </c>
      <c r="M361" s="87">
        <v>600</v>
      </c>
      <c r="N361" s="77">
        <f>100</f>
        <v>100</v>
      </c>
      <c r="O361" s="80">
        <v>240</v>
      </c>
      <c r="P361" s="80">
        <v>40</v>
      </c>
      <c r="Q361" s="80">
        <f t="shared" si="54"/>
        <v>315</v>
      </c>
      <c r="R361" s="80">
        <f t="shared" si="55"/>
        <v>100</v>
      </c>
      <c r="S361" s="77">
        <f t="shared" si="56"/>
        <v>695</v>
      </c>
      <c r="T361" s="77">
        <f>50</f>
        <v>50</v>
      </c>
      <c r="U361" s="78"/>
      <c r="V361" s="78"/>
      <c r="W361" s="78"/>
      <c r="X361" s="78"/>
      <c r="Y361" s="78"/>
      <c r="Z361" s="78"/>
      <c r="AA361" s="78"/>
      <c r="AB361" s="78"/>
      <c r="AC361" s="78"/>
      <c r="AD361" s="78"/>
    </row>
    <row r="362" spans="1:30" ht="15.75" x14ac:dyDescent="0.25">
      <c r="A362" s="14">
        <v>52321</v>
      </c>
      <c r="B362" s="89">
        <v>31</v>
      </c>
      <c r="C362" s="77">
        <f>122.58</f>
        <v>122.58</v>
      </c>
      <c r="D362" s="77">
        <f>297.941</f>
        <v>297.94099999999997</v>
      </c>
      <c r="E362" s="85">
        <f>89.177</f>
        <v>89.177000000000007</v>
      </c>
      <c r="F362" s="77">
        <f>240.302-40-60-100</f>
        <v>40.301999999999992</v>
      </c>
      <c r="G362" s="80">
        <v>40</v>
      </c>
      <c r="H362" s="77">
        <f>60+100</f>
        <v>160</v>
      </c>
      <c r="I362" s="77">
        <f t="shared" si="59"/>
        <v>0</v>
      </c>
      <c r="J362" s="80">
        <v>100</v>
      </c>
      <c r="K362" s="80">
        <v>300</v>
      </c>
      <c r="L362" s="77">
        <f t="shared" si="53"/>
        <v>1150</v>
      </c>
      <c r="M362" s="87">
        <v>600</v>
      </c>
      <c r="N362" s="77">
        <f>100</f>
        <v>100</v>
      </c>
      <c r="O362" s="80">
        <v>240</v>
      </c>
      <c r="P362" s="80">
        <v>40</v>
      </c>
      <c r="Q362" s="80">
        <f t="shared" si="54"/>
        <v>315</v>
      </c>
      <c r="R362" s="80">
        <f t="shared" si="55"/>
        <v>100</v>
      </c>
      <c r="S362" s="77">
        <f t="shared" si="56"/>
        <v>695</v>
      </c>
      <c r="T362" s="77">
        <f>50</f>
        <v>50</v>
      </c>
      <c r="U362" s="78"/>
      <c r="V362" s="78"/>
      <c r="W362" s="78"/>
      <c r="X362" s="78"/>
      <c r="Y362" s="78"/>
      <c r="Z362" s="78"/>
      <c r="AA362" s="78"/>
      <c r="AB362" s="78"/>
      <c r="AC362" s="78"/>
      <c r="AD362" s="78"/>
    </row>
    <row r="363" spans="1:30" ht="15.75" x14ac:dyDescent="0.25">
      <c r="A363" s="14">
        <v>52351</v>
      </c>
      <c r="B363" s="89">
        <v>30</v>
      </c>
      <c r="C363" s="77">
        <f>141.293</f>
        <v>141.29300000000001</v>
      </c>
      <c r="D363" s="77">
        <f>267.993</f>
        <v>267.99299999999999</v>
      </c>
      <c r="E363" s="85">
        <f>115.016</f>
        <v>115.01600000000001</v>
      </c>
      <c r="F363" s="77">
        <f>314.698-40-25-60-100</f>
        <v>89.697999999999979</v>
      </c>
      <c r="G363" s="80">
        <v>40</v>
      </c>
      <c r="H363" s="77">
        <f t="shared" ref="H363:H369" si="60">25+60+100</f>
        <v>185</v>
      </c>
      <c r="I363" s="77">
        <f t="shared" si="59"/>
        <v>0</v>
      </c>
      <c r="J363" s="80">
        <v>100</v>
      </c>
      <c r="K363" s="80">
        <v>300</v>
      </c>
      <c r="L363" s="77">
        <f t="shared" si="53"/>
        <v>1239</v>
      </c>
      <c r="M363" s="87">
        <v>600</v>
      </c>
      <c r="N363" s="77">
        <f>100</f>
        <v>100</v>
      </c>
      <c r="O363" s="80">
        <v>240</v>
      </c>
      <c r="P363" s="80">
        <v>160</v>
      </c>
      <c r="Q363" s="80">
        <f t="shared" si="54"/>
        <v>195</v>
      </c>
      <c r="R363" s="80">
        <f t="shared" si="55"/>
        <v>100</v>
      </c>
      <c r="S363" s="77">
        <f t="shared" si="56"/>
        <v>695</v>
      </c>
      <c r="T363" s="77">
        <f>50</f>
        <v>50</v>
      </c>
      <c r="U363" s="78"/>
      <c r="V363" s="78"/>
      <c r="W363" s="78"/>
      <c r="X363" s="78"/>
      <c r="Y363" s="78"/>
      <c r="Z363" s="78"/>
      <c r="AA363" s="78"/>
      <c r="AB363" s="78"/>
      <c r="AC363" s="78"/>
      <c r="AD363" s="78"/>
    </row>
    <row r="364" spans="1:30" ht="15.75" x14ac:dyDescent="0.25">
      <c r="A364" s="14">
        <v>52382</v>
      </c>
      <c r="B364" s="89">
        <v>31</v>
      </c>
      <c r="C364" s="77">
        <f>194.205</f>
        <v>194.20500000000001</v>
      </c>
      <c r="D364" s="77">
        <f>267.466</f>
        <v>267.46600000000001</v>
      </c>
      <c r="E364" s="85">
        <f>133.845</f>
        <v>133.845</v>
      </c>
      <c r="F364" s="77">
        <f>278.484-40-25-60-100</f>
        <v>53.48399999999998</v>
      </c>
      <c r="G364" s="80">
        <v>40</v>
      </c>
      <c r="H364" s="77">
        <f t="shared" si="60"/>
        <v>185</v>
      </c>
      <c r="I364" s="77">
        <f t="shared" si="59"/>
        <v>0</v>
      </c>
      <c r="J364" s="80">
        <v>100</v>
      </c>
      <c r="K364" s="80">
        <v>300</v>
      </c>
      <c r="L364" s="77">
        <f t="shared" si="53"/>
        <v>1274</v>
      </c>
      <c r="M364" s="87">
        <v>600</v>
      </c>
      <c r="N364" s="77">
        <f>75</f>
        <v>75</v>
      </c>
      <c r="O364" s="80">
        <v>240</v>
      </c>
      <c r="P364" s="80">
        <v>160</v>
      </c>
      <c r="Q364" s="80">
        <f t="shared" si="54"/>
        <v>195</v>
      </c>
      <c r="R364" s="80">
        <f t="shared" si="55"/>
        <v>100</v>
      </c>
      <c r="S364" s="77">
        <f t="shared" si="56"/>
        <v>695</v>
      </c>
      <c r="T364" s="77">
        <f>50</f>
        <v>50</v>
      </c>
      <c r="U364" s="78"/>
      <c r="V364" s="78"/>
      <c r="W364" s="78"/>
      <c r="X364" s="78"/>
      <c r="Y364" s="78"/>
      <c r="Z364" s="78"/>
      <c r="AA364" s="78"/>
      <c r="AB364" s="78"/>
      <c r="AC364" s="78"/>
      <c r="AD364" s="78"/>
    </row>
    <row r="365" spans="1:30" ht="15.75" x14ac:dyDescent="0.25">
      <c r="A365" s="14">
        <v>52412</v>
      </c>
      <c r="B365" s="89">
        <v>30</v>
      </c>
      <c r="C365" s="77">
        <f>194.205</f>
        <v>194.20500000000001</v>
      </c>
      <c r="D365" s="77">
        <f>267.466</f>
        <v>267.46600000000001</v>
      </c>
      <c r="E365" s="85">
        <f>133.845</f>
        <v>133.845</v>
      </c>
      <c r="F365" s="77">
        <f>278.484-40-25-60-100</f>
        <v>53.48399999999998</v>
      </c>
      <c r="G365" s="80">
        <v>40</v>
      </c>
      <c r="H365" s="77">
        <f t="shared" si="60"/>
        <v>185</v>
      </c>
      <c r="I365" s="77">
        <f t="shared" si="59"/>
        <v>0</v>
      </c>
      <c r="J365" s="80">
        <v>100</v>
      </c>
      <c r="K365" s="80">
        <v>300</v>
      </c>
      <c r="L365" s="77">
        <f t="shared" si="53"/>
        <v>1274</v>
      </c>
      <c r="M365" s="87">
        <v>600</v>
      </c>
      <c r="N365" s="77">
        <f>30</f>
        <v>30</v>
      </c>
      <c r="O365" s="80">
        <v>240</v>
      </c>
      <c r="P365" s="80">
        <v>160</v>
      </c>
      <c r="Q365" s="80">
        <f t="shared" si="54"/>
        <v>195</v>
      </c>
      <c r="R365" s="80">
        <f t="shared" si="55"/>
        <v>100</v>
      </c>
      <c r="S365" s="77">
        <f t="shared" si="56"/>
        <v>695</v>
      </c>
      <c r="T365" s="77">
        <f>50</f>
        <v>50</v>
      </c>
      <c r="U365" s="78"/>
      <c r="V365" s="78"/>
      <c r="W365" s="78"/>
      <c r="X365" s="78"/>
      <c r="Y365" s="78"/>
      <c r="Z365" s="78"/>
      <c r="AA365" s="78"/>
      <c r="AB365" s="78"/>
      <c r="AC365" s="78"/>
      <c r="AD365" s="78"/>
    </row>
    <row r="366" spans="1:30" ht="15.75" x14ac:dyDescent="0.25">
      <c r="A366" s="14">
        <v>52443</v>
      </c>
      <c r="B366" s="89">
        <v>31</v>
      </c>
      <c r="C366" s="77">
        <f>194.205</f>
        <v>194.20500000000001</v>
      </c>
      <c r="D366" s="77">
        <f>267.466</f>
        <v>267.46600000000001</v>
      </c>
      <c r="E366" s="85">
        <f>133.845</f>
        <v>133.845</v>
      </c>
      <c r="F366" s="77">
        <f>278.484-40-25-60-100</f>
        <v>53.48399999999998</v>
      </c>
      <c r="G366" s="80">
        <v>40</v>
      </c>
      <c r="H366" s="77">
        <f t="shared" si="60"/>
        <v>185</v>
      </c>
      <c r="I366" s="77">
        <f t="shared" si="59"/>
        <v>0</v>
      </c>
      <c r="J366" s="80">
        <v>100</v>
      </c>
      <c r="K366" s="80">
        <v>300</v>
      </c>
      <c r="L366" s="77">
        <f t="shared" si="53"/>
        <v>1274</v>
      </c>
      <c r="M366" s="87">
        <v>600</v>
      </c>
      <c r="N366" s="77">
        <f>30</f>
        <v>30</v>
      </c>
      <c r="O366" s="80">
        <v>240</v>
      </c>
      <c r="P366" s="80">
        <v>160</v>
      </c>
      <c r="Q366" s="80">
        <f t="shared" si="54"/>
        <v>195</v>
      </c>
      <c r="R366" s="80">
        <f t="shared" si="55"/>
        <v>100</v>
      </c>
      <c r="S366" s="77">
        <f t="shared" si="56"/>
        <v>695</v>
      </c>
      <c r="T366" s="77">
        <f>0</f>
        <v>0</v>
      </c>
      <c r="U366" s="78"/>
      <c r="V366" s="78"/>
      <c r="W366" s="78"/>
      <c r="X366" s="78"/>
      <c r="Y366" s="78"/>
      <c r="Z366" s="78"/>
      <c r="AA366" s="78"/>
      <c r="AB366" s="78"/>
      <c r="AC366" s="78"/>
      <c r="AD366" s="78"/>
    </row>
    <row r="367" spans="1:30" ht="15.75" x14ac:dyDescent="0.25">
      <c r="A367" s="14">
        <v>52474</v>
      </c>
      <c r="B367" s="89">
        <v>31</v>
      </c>
      <c r="C367" s="77">
        <f>194.205</f>
        <v>194.20500000000001</v>
      </c>
      <c r="D367" s="77">
        <f>267.466</f>
        <v>267.46600000000001</v>
      </c>
      <c r="E367" s="85">
        <f>133.845</f>
        <v>133.845</v>
      </c>
      <c r="F367" s="77">
        <f>278.484-40-25-60-100</f>
        <v>53.48399999999998</v>
      </c>
      <c r="G367" s="80">
        <v>40</v>
      </c>
      <c r="H367" s="77">
        <f t="shared" si="60"/>
        <v>185</v>
      </c>
      <c r="I367" s="77">
        <f t="shared" si="59"/>
        <v>0</v>
      </c>
      <c r="J367" s="80">
        <v>100</v>
      </c>
      <c r="K367" s="80">
        <v>300</v>
      </c>
      <c r="L367" s="77">
        <f t="shared" si="53"/>
        <v>1274</v>
      </c>
      <c r="M367" s="87">
        <v>600</v>
      </c>
      <c r="N367" s="77">
        <f>30</f>
        <v>30</v>
      </c>
      <c r="O367" s="80">
        <v>240</v>
      </c>
      <c r="P367" s="80">
        <v>160</v>
      </c>
      <c r="Q367" s="80">
        <f t="shared" si="54"/>
        <v>195</v>
      </c>
      <c r="R367" s="80">
        <f t="shared" si="55"/>
        <v>100</v>
      </c>
      <c r="S367" s="77">
        <f t="shared" si="56"/>
        <v>695</v>
      </c>
      <c r="T367" s="77">
        <f>0</f>
        <v>0</v>
      </c>
      <c r="U367" s="78"/>
      <c r="V367" s="78"/>
      <c r="W367" s="78"/>
      <c r="X367" s="78"/>
      <c r="Y367" s="78"/>
      <c r="Z367" s="78"/>
      <c r="AA367" s="78"/>
      <c r="AB367" s="78"/>
      <c r="AC367" s="78"/>
      <c r="AD367" s="78"/>
    </row>
    <row r="368" spans="1:30" ht="15.75" x14ac:dyDescent="0.25">
      <c r="A368" s="14">
        <v>52504</v>
      </c>
      <c r="B368" s="89">
        <v>30</v>
      </c>
      <c r="C368" s="77">
        <f>194.205</f>
        <v>194.20500000000001</v>
      </c>
      <c r="D368" s="77">
        <f>267.466</f>
        <v>267.46600000000001</v>
      </c>
      <c r="E368" s="85">
        <f>133.845</f>
        <v>133.845</v>
      </c>
      <c r="F368" s="77">
        <f>278.484-40-25-60-100</f>
        <v>53.48399999999998</v>
      </c>
      <c r="G368" s="80">
        <v>40</v>
      </c>
      <c r="H368" s="77">
        <f t="shared" si="60"/>
        <v>185</v>
      </c>
      <c r="I368" s="77">
        <f t="shared" si="59"/>
        <v>0</v>
      </c>
      <c r="J368" s="80">
        <v>100</v>
      </c>
      <c r="K368" s="80">
        <v>300</v>
      </c>
      <c r="L368" s="77">
        <f t="shared" si="53"/>
        <v>1274</v>
      </c>
      <c r="M368" s="87">
        <v>600</v>
      </c>
      <c r="N368" s="77">
        <f>30</f>
        <v>30</v>
      </c>
      <c r="O368" s="80">
        <v>240</v>
      </c>
      <c r="P368" s="80">
        <v>160</v>
      </c>
      <c r="Q368" s="80">
        <f t="shared" si="54"/>
        <v>195</v>
      </c>
      <c r="R368" s="80">
        <f t="shared" si="55"/>
        <v>100</v>
      </c>
      <c r="S368" s="77">
        <f t="shared" si="56"/>
        <v>695</v>
      </c>
      <c r="T368" s="77">
        <f>0</f>
        <v>0</v>
      </c>
      <c r="U368" s="78"/>
      <c r="V368" s="78"/>
      <c r="W368" s="78"/>
      <c r="X368" s="78"/>
      <c r="Y368" s="78"/>
      <c r="Z368" s="78"/>
      <c r="AA368" s="78"/>
      <c r="AB368" s="78"/>
      <c r="AC368" s="78"/>
      <c r="AD368" s="78"/>
    </row>
    <row r="369" spans="1:30" ht="15.75" x14ac:dyDescent="0.25">
      <c r="A369" s="14">
        <v>52535</v>
      </c>
      <c r="B369" s="89">
        <v>31</v>
      </c>
      <c r="C369" s="77">
        <f>131.881</f>
        <v>131.881</v>
      </c>
      <c r="D369" s="77">
        <f>277.167</f>
        <v>277.16699999999997</v>
      </c>
      <c r="E369" s="85">
        <f>79.08</f>
        <v>79.08</v>
      </c>
      <c r="F369" s="77">
        <f>350.872-40-25-60-100</f>
        <v>125.87200000000001</v>
      </c>
      <c r="G369" s="80">
        <v>40</v>
      </c>
      <c r="H369" s="77">
        <f t="shared" si="60"/>
        <v>185</v>
      </c>
      <c r="I369" s="77">
        <f t="shared" si="59"/>
        <v>0</v>
      </c>
      <c r="J369" s="80">
        <v>100</v>
      </c>
      <c r="K369" s="80">
        <v>300</v>
      </c>
      <c r="L369" s="77">
        <f t="shared" si="53"/>
        <v>1239</v>
      </c>
      <c r="M369" s="87">
        <v>600</v>
      </c>
      <c r="N369" s="77">
        <f>75</f>
        <v>75</v>
      </c>
      <c r="O369" s="80">
        <v>240</v>
      </c>
      <c r="P369" s="80">
        <v>160</v>
      </c>
      <c r="Q369" s="80">
        <f t="shared" si="54"/>
        <v>195</v>
      </c>
      <c r="R369" s="80">
        <f t="shared" si="55"/>
        <v>100</v>
      </c>
      <c r="S369" s="77">
        <f t="shared" si="56"/>
        <v>695</v>
      </c>
      <c r="T369" s="77">
        <f>0</f>
        <v>0</v>
      </c>
      <c r="U369" s="78"/>
      <c r="V369" s="78"/>
      <c r="W369" s="78"/>
      <c r="X369" s="78"/>
      <c r="Y369" s="78"/>
      <c r="Z369" s="78"/>
      <c r="AA369" s="78"/>
      <c r="AB369" s="78"/>
      <c r="AC369" s="78"/>
      <c r="AD369" s="78"/>
    </row>
    <row r="370" spans="1:30" ht="15.75" x14ac:dyDescent="0.25">
      <c r="A370" s="14">
        <v>52565</v>
      </c>
      <c r="B370" s="89">
        <v>30</v>
      </c>
      <c r="C370" s="77">
        <f>122.58</f>
        <v>122.58</v>
      </c>
      <c r="D370" s="77">
        <f>297.941</f>
        <v>297.94099999999997</v>
      </c>
      <c r="E370" s="85">
        <f>89.177</f>
        <v>89.177000000000007</v>
      </c>
      <c r="F370" s="77">
        <f>240.302-40-60-100</f>
        <v>40.301999999999992</v>
      </c>
      <c r="G370" s="80">
        <v>40</v>
      </c>
      <c r="H370" s="77">
        <f>60+100</f>
        <v>160</v>
      </c>
      <c r="I370" s="77">
        <f t="shared" si="59"/>
        <v>0</v>
      </c>
      <c r="J370" s="80">
        <v>100</v>
      </c>
      <c r="K370" s="80">
        <v>300</v>
      </c>
      <c r="L370" s="77">
        <f t="shared" si="53"/>
        <v>1150</v>
      </c>
      <c r="M370" s="87">
        <v>600</v>
      </c>
      <c r="N370" s="77">
        <f>100</f>
        <v>100</v>
      </c>
      <c r="O370" s="80">
        <v>240</v>
      </c>
      <c r="P370" s="80">
        <v>40</v>
      </c>
      <c r="Q370" s="80">
        <f t="shared" si="54"/>
        <v>315</v>
      </c>
      <c r="R370" s="80">
        <f t="shared" si="55"/>
        <v>100</v>
      </c>
      <c r="S370" s="77">
        <f t="shared" si="56"/>
        <v>695</v>
      </c>
      <c r="T370" s="77">
        <f>50</f>
        <v>50</v>
      </c>
      <c r="U370" s="78"/>
      <c r="V370" s="78"/>
      <c r="W370" s="78"/>
      <c r="X370" s="78"/>
      <c r="Y370" s="78"/>
      <c r="Z370" s="78"/>
      <c r="AA370" s="78"/>
      <c r="AB370" s="78"/>
      <c r="AC370" s="78"/>
      <c r="AD370" s="78"/>
    </row>
    <row r="371" spans="1:30" ht="15.75" x14ac:dyDescent="0.25">
      <c r="A371" s="14">
        <v>52596</v>
      </c>
      <c r="B371" s="89">
        <v>31</v>
      </c>
      <c r="C371" s="77">
        <f>122.58</f>
        <v>122.58</v>
      </c>
      <c r="D371" s="77">
        <f>297.941</f>
        <v>297.94099999999997</v>
      </c>
      <c r="E371" s="85">
        <f>89.177</f>
        <v>89.177000000000007</v>
      </c>
      <c r="F371" s="77">
        <f>240.302-40-60-100</f>
        <v>40.301999999999992</v>
      </c>
      <c r="G371" s="80">
        <v>40</v>
      </c>
      <c r="H371" s="77">
        <f>60+100</f>
        <v>160</v>
      </c>
      <c r="I371" s="77">
        <f t="shared" si="59"/>
        <v>0</v>
      </c>
      <c r="J371" s="80">
        <v>100</v>
      </c>
      <c r="K371" s="80">
        <v>300</v>
      </c>
      <c r="L371" s="77">
        <f t="shared" si="53"/>
        <v>1150</v>
      </c>
      <c r="M371" s="87">
        <v>600</v>
      </c>
      <c r="N371" s="77">
        <f>100</f>
        <v>100</v>
      </c>
      <c r="O371" s="80">
        <v>240</v>
      </c>
      <c r="P371" s="80">
        <v>40</v>
      </c>
      <c r="Q371" s="80">
        <f t="shared" si="54"/>
        <v>315</v>
      </c>
      <c r="R371" s="80">
        <f t="shared" si="55"/>
        <v>100</v>
      </c>
      <c r="S371" s="77">
        <f t="shared" si="56"/>
        <v>695</v>
      </c>
      <c r="T371" s="77">
        <f>50</f>
        <v>50</v>
      </c>
      <c r="U371" s="78"/>
      <c r="V371" s="78"/>
      <c r="W371" s="78"/>
      <c r="X371" s="78"/>
      <c r="Y371" s="78"/>
      <c r="Z371" s="78"/>
      <c r="AA371" s="78"/>
      <c r="AB371" s="78"/>
      <c r="AC371" s="78"/>
      <c r="AD371" s="78"/>
    </row>
    <row r="372" spans="1:30" ht="15.75" x14ac:dyDescent="0.25">
      <c r="A372" s="14">
        <v>52627</v>
      </c>
      <c r="B372" s="89">
        <v>31</v>
      </c>
      <c r="C372" s="77">
        <f>122.58</f>
        <v>122.58</v>
      </c>
      <c r="D372" s="77">
        <f>297.941</f>
        <v>297.94099999999997</v>
      </c>
      <c r="E372" s="85">
        <f>89.177</f>
        <v>89.177000000000007</v>
      </c>
      <c r="F372" s="77">
        <f>240.302-40-60-100</f>
        <v>40.301999999999992</v>
      </c>
      <c r="G372" s="80">
        <v>40</v>
      </c>
      <c r="H372" s="77">
        <f>60+100</f>
        <v>160</v>
      </c>
      <c r="I372" s="77">
        <f t="shared" si="59"/>
        <v>0</v>
      </c>
      <c r="J372" s="80">
        <v>100</v>
      </c>
      <c r="K372" s="80">
        <v>300</v>
      </c>
      <c r="L372" s="77">
        <f t="shared" si="53"/>
        <v>1150</v>
      </c>
      <c r="M372" s="87">
        <v>600</v>
      </c>
      <c r="N372" s="77">
        <f>100</f>
        <v>100</v>
      </c>
      <c r="O372" s="80">
        <v>240</v>
      </c>
      <c r="P372" s="80">
        <v>40</v>
      </c>
      <c r="Q372" s="80">
        <f t="shared" si="54"/>
        <v>315</v>
      </c>
      <c r="R372" s="80">
        <f t="shared" si="55"/>
        <v>100</v>
      </c>
      <c r="S372" s="77">
        <f t="shared" si="56"/>
        <v>695</v>
      </c>
      <c r="T372" s="77">
        <f>50</f>
        <v>50</v>
      </c>
      <c r="U372" s="78"/>
      <c r="V372" s="78"/>
      <c r="W372" s="78"/>
      <c r="X372" s="78"/>
      <c r="Y372" s="78"/>
      <c r="Z372" s="78"/>
      <c r="AA372" s="78"/>
      <c r="AB372" s="78"/>
      <c r="AC372" s="78"/>
      <c r="AD372" s="78"/>
    </row>
    <row r="373" spans="1:30" ht="15.75" x14ac:dyDescent="0.25">
      <c r="A373" s="14">
        <v>52655</v>
      </c>
      <c r="B373" s="89">
        <v>29</v>
      </c>
      <c r="C373" s="77">
        <f>122.58</f>
        <v>122.58</v>
      </c>
      <c r="D373" s="77">
        <f>297.941</f>
        <v>297.94099999999997</v>
      </c>
      <c r="E373" s="85">
        <f>89.177</f>
        <v>89.177000000000007</v>
      </c>
      <c r="F373" s="77">
        <f>240.302-40-60-100</f>
        <v>40.301999999999992</v>
      </c>
      <c r="G373" s="80">
        <v>40</v>
      </c>
      <c r="H373" s="77">
        <f>60+100</f>
        <v>160</v>
      </c>
      <c r="I373" s="77">
        <f t="shared" si="59"/>
        <v>0</v>
      </c>
      <c r="J373" s="80">
        <v>100</v>
      </c>
      <c r="K373" s="80">
        <v>300</v>
      </c>
      <c r="L373" s="77">
        <f t="shared" si="53"/>
        <v>1150</v>
      </c>
      <c r="M373" s="87">
        <v>600</v>
      </c>
      <c r="N373" s="77">
        <f>100</f>
        <v>100</v>
      </c>
      <c r="O373" s="80">
        <v>240</v>
      </c>
      <c r="P373" s="80">
        <v>40</v>
      </c>
      <c r="Q373" s="80">
        <f t="shared" si="54"/>
        <v>315</v>
      </c>
      <c r="R373" s="80">
        <f t="shared" si="55"/>
        <v>100</v>
      </c>
      <c r="S373" s="77">
        <f t="shared" si="56"/>
        <v>695</v>
      </c>
      <c r="T373" s="77">
        <f>50</f>
        <v>50</v>
      </c>
      <c r="U373" s="78"/>
      <c r="V373" s="78"/>
      <c r="W373" s="78"/>
      <c r="X373" s="78"/>
      <c r="Y373" s="78"/>
      <c r="Z373" s="78"/>
      <c r="AA373" s="78"/>
      <c r="AB373" s="78"/>
      <c r="AC373" s="78"/>
      <c r="AD373" s="78"/>
    </row>
    <row r="374" spans="1:30" ht="15.75" x14ac:dyDescent="0.25">
      <c r="A374" s="14">
        <v>52687</v>
      </c>
      <c r="B374" s="89">
        <v>31</v>
      </c>
      <c r="C374" s="77">
        <f>122.58</f>
        <v>122.58</v>
      </c>
      <c r="D374" s="77">
        <f>297.941</f>
        <v>297.94099999999997</v>
      </c>
      <c r="E374" s="85">
        <f>89.177</f>
        <v>89.177000000000007</v>
      </c>
      <c r="F374" s="77">
        <f>240.302-40-60-100</f>
        <v>40.301999999999992</v>
      </c>
      <c r="G374" s="80">
        <v>40</v>
      </c>
      <c r="H374" s="77">
        <f>60+100</f>
        <v>160</v>
      </c>
      <c r="I374" s="77">
        <f t="shared" si="59"/>
        <v>0</v>
      </c>
      <c r="J374" s="80">
        <v>100</v>
      </c>
      <c r="K374" s="80">
        <v>300</v>
      </c>
      <c r="L374" s="77">
        <f t="shared" si="53"/>
        <v>1150</v>
      </c>
      <c r="M374" s="87">
        <v>600</v>
      </c>
      <c r="N374" s="77">
        <f>100</f>
        <v>100</v>
      </c>
      <c r="O374" s="80">
        <v>240</v>
      </c>
      <c r="P374" s="80">
        <v>40</v>
      </c>
      <c r="Q374" s="80">
        <f t="shared" si="54"/>
        <v>315</v>
      </c>
      <c r="R374" s="80">
        <f t="shared" si="55"/>
        <v>100</v>
      </c>
      <c r="S374" s="77">
        <f t="shared" si="56"/>
        <v>695</v>
      </c>
      <c r="T374" s="77">
        <f>50</f>
        <v>50</v>
      </c>
      <c r="U374" s="78"/>
      <c r="V374" s="78"/>
      <c r="W374" s="78"/>
      <c r="X374" s="78"/>
      <c r="Y374" s="78"/>
      <c r="Z374" s="78"/>
      <c r="AA374" s="78"/>
      <c r="AB374" s="78"/>
      <c r="AC374" s="78"/>
      <c r="AD374" s="78"/>
    </row>
    <row r="375" spans="1:30" ht="15.75" x14ac:dyDescent="0.25">
      <c r="A375" s="14">
        <v>52717</v>
      </c>
      <c r="B375" s="89">
        <v>30</v>
      </c>
      <c r="C375" s="77">
        <f>141.293</f>
        <v>141.29300000000001</v>
      </c>
      <c r="D375" s="77">
        <f>267.993</f>
        <v>267.99299999999999</v>
      </c>
      <c r="E375" s="85">
        <f>115.016</f>
        <v>115.01600000000001</v>
      </c>
      <c r="F375" s="77">
        <f>314.698-40-25-60-100</f>
        <v>89.697999999999979</v>
      </c>
      <c r="G375" s="80">
        <v>40</v>
      </c>
      <c r="H375" s="77">
        <f t="shared" ref="H375:H381" si="61">25+60+100</f>
        <v>185</v>
      </c>
      <c r="I375" s="77">
        <f t="shared" si="59"/>
        <v>0</v>
      </c>
      <c r="J375" s="80">
        <v>100</v>
      </c>
      <c r="K375" s="80">
        <v>300</v>
      </c>
      <c r="L375" s="77">
        <f t="shared" si="53"/>
        <v>1239</v>
      </c>
      <c r="M375" s="87">
        <v>600</v>
      </c>
      <c r="N375" s="77">
        <f>100</f>
        <v>100</v>
      </c>
      <c r="O375" s="80">
        <v>240</v>
      </c>
      <c r="P375" s="80">
        <v>160</v>
      </c>
      <c r="Q375" s="80">
        <f t="shared" si="54"/>
        <v>195</v>
      </c>
      <c r="R375" s="80">
        <f t="shared" si="55"/>
        <v>100</v>
      </c>
      <c r="S375" s="77">
        <f t="shared" si="56"/>
        <v>695</v>
      </c>
      <c r="T375" s="77">
        <f>50</f>
        <v>50</v>
      </c>
      <c r="U375" s="78"/>
      <c r="V375" s="78"/>
      <c r="W375" s="78"/>
      <c r="X375" s="78"/>
      <c r="Y375" s="78"/>
      <c r="Z375" s="78"/>
      <c r="AA375" s="78"/>
      <c r="AB375" s="78"/>
      <c r="AC375" s="78"/>
      <c r="AD375" s="78"/>
    </row>
    <row r="376" spans="1:30" ht="15.75" x14ac:dyDescent="0.25">
      <c r="A376" s="14">
        <v>52748</v>
      </c>
      <c r="B376" s="89">
        <v>31</v>
      </c>
      <c r="C376" s="77">
        <f>194.205</f>
        <v>194.20500000000001</v>
      </c>
      <c r="D376" s="77">
        <f>267.466</f>
        <v>267.46600000000001</v>
      </c>
      <c r="E376" s="85">
        <f>133.845</f>
        <v>133.845</v>
      </c>
      <c r="F376" s="77">
        <f>278.484-40-25-60-100</f>
        <v>53.48399999999998</v>
      </c>
      <c r="G376" s="80">
        <v>40</v>
      </c>
      <c r="H376" s="77">
        <f t="shared" si="61"/>
        <v>185</v>
      </c>
      <c r="I376" s="77">
        <f t="shared" si="59"/>
        <v>0</v>
      </c>
      <c r="J376" s="80">
        <v>100</v>
      </c>
      <c r="K376" s="80">
        <v>300</v>
      </c>
      <c r="L376" s="77">
        <f t="shared" si="53"/>
        <v>1274</v>
      </c>
      <c r="M376" s="87">
        <v>600</v>
      </c>
      <c r="N376" s="77">
        <f>75</f>
        <v>75</v>
      </c>
      <c r="O376" s="80">
        <v>240</v>
      </c>
      <c r="P376" s="80">
        <v>160</v>
      </c>
      <c r="Q376" s="80">
        <f t="shared" si="54"/>
        <v>195</v>
      </c>
      <c r="R376" s="80">
        <f t="shared" si="55"/>
        <v>100</v>
      </c>
      <c r="S376" s="77">
        <f t="shared" si="56"/>
        <v>695</v>
      </c>
      <c r="T376" s="77">
        <f>50</f>
        <v>50</v>
      </c>
      <c r="U376" s="78"/>
      <c r="V376" s="78"/>
      <c r="W376" s="78"/>
      <c r="X376" s="78"/>
      <c r="Y376" s="78"/>
      <c r="Z376" s="78"/>
      <c r="AA376" s="78"/>
      <c r="AB376" s="78"/>
      <c r="AC376" s="78"/>
      <c r="AD376" s="78"/>
    </row>
    <row r="377" spans="1:30" ht="15.75" x14ac:dyDescent="0.25">
      <c r="A377" s="14">
        <v>52778</v>
      </c>
      <c r="B377" s="89">
        <v>30</v>
      </c>
      <c r="C377" s="77">
        <f>194.205</f>
        <v>194.20500000000001</v>
      </c>
      <c r="D377" s="77">
        <f>267.466</f>
        <v>267.46600000000001</v>
      </c>
      <c r="E377" s="85">
        <f>133.845</f>
        <v>133.845</v>
      </c>
      <c r="F377" s="77">
        <f>278.484-40-25-60-100</f>
        <v>53.48399999999998</v>
      </c>
      <c r="G377" s="80">
        <v>40</v>
      </c>
      <c r="H377" s="77">
        <f t="shared" si="61"/>
        <v>185</v>
      </c>
      <c r="I377" s="77">
        <f t="shared" si="59"/>
        <v>0</v>
      </c>
      <c r="J377" s="80">
        <v>100</v>
      </c>
      <c r="K377" s="80">
        <v>300</v>
      </c>
      <c r="L377" s="77">
        <f t="shared" si="53"/>
        <v>1274</v>
      </c>
      <c r="M377" s="87">
        <v>600</v>
      </c>
      <c r="N377" s="77">
        <f>30</f>
        <v>30</v>
      </c>
      <c r="O377" s="80">
        <v>240</v>
      </c>
      <c r="P377" s="80">
        <v>160</v>
      </c>
      <c r="Q377" s="80">
        <f t="shared" si="54"/>
        <v>195</v>
      </c>
      <c r="R377" s="80">
        <f t="shared" si="55"/>
        <v>100</v>
      </c>
      <c r="S377" s="77">
        <f t="shared" si="56"/>
        <v>695</v>
      </c>
      <c r="T377" s="77">
        <f>50</f>
        <v>50</v>
      </c>
      <c r="U377" s="78"/>
      <c r="V377" s="78"/>
      <c r="W377" s="78"/>
      <c r="X377" s="78"/>
      <c r="Y377" s="78"/>
      <c r="Z377" s="78"/>
      <c r="AA377" s="78"/>
      <c r="AB377" s="78"/>
      <c r="AC377" s="78"/>
      <c r="AD377" s="78"/>
    </row>
    <row r="378" spans="1:30" ht="15.75" x14ac:dyDescent="0.25">
      <c r="A378" s="14">
        <v>52809</v>
      </c>
      <c r="B378" s="89">
        <v>31</v>
      </c>
      <c r="C378" s="77">
        <f>194.205</f>
        <v>194.20500000000001</v>
      </c>
      <c r="D378" s="77">
        <f>267.466</f>
        <v>267.46600000000001</v>
      </c>
      <c r="E378" s="85">
        <f>133.845</f>
        <v>133.845</v>
      </c>
      <c r="F378" s="77">
        <f>278.484-40-25-60-100</f>
        <v>53.48399999999998</v>
      </c>
      <c r="G378" s="80">
        <v>40</v>
      </c>
      <c r="H378" s="77">
        <f t="shared" si="61"/>
        <v>185</v>
      </c>
      <c r="I378" s="77">
        <f t="shared" si="59"/>
        <v>0</v>
      </c>
      <c r="J378" s="80">
        <v>100</v>
      </c>
      <c r="K378" s="80">
        <v>300</v>
      </c>
      <c r="L378" s="77">
        <f t="shared" si="53"/>
        <v>1274</v>
      </c>
      <c r="M378" s="87">
        <v>600</v>
      </c>
      <c r="N378" s="77">
        <f>30</f>
        <v>30</v>
      </c>
      <c r="O378" s="80">
        <v>240</v>
      </c>
      <c r="P378" s="80">
        <v>160</v>
      </c>
      <c r="Q378" s="80">
        <f t="shared" si="54"/>
        <v>195</v>
      </c>
      <c r="R378" s="80">
        <f t="shared" si="55"/>
        <v>100</v>
      </c>
      <c r="S378" s="77">
        <f t="shared" si="56"/>
        <v>695</v>
      </c>
      <c r="T378" s="77">
        <f>0</f>
        <v>0</v>
      </c>
      <c r="U378" s="78"/>
      <c r="V378" s="78"/>
      <c r="W378" s="78"/>
      <c r="X378" s="78"/>
      <c r="Y378" s="78"/>
      <c r="Z378" s="78"/>
      <c r="AA378" s="78"/>
      <c r="AB378" s="78"/>
      <c r="AC378" s="78"/>
      <c r="AD378" s="78"/>
    </row>
    <row r="379" spans="1:30" ht="15.75" x14ac:dyDescent="0.25">
      <c r="A379" s="14">
        <v>52840</v>
      </c>
      <c r="B379" s="89">
        <v>31</v>
      </c>
      <c r="C379" s="77">
        <f>194.205</f>
        <v>194.20500000000001</v>
      </c>
      <c r="D379" s="77">
        <f>267.466</f>
        <v>267.46600000000001</v>
      </c>
      <c r="E379" s="85">
        <f>133.845</f>
        <v>133.845</v>
      </c>
      <c r="F379" s="77">
        <f>278.484-40-25-60-100</f>
        <v>53.48399999999998</v>
      </c>
      <c r="G379" s="80">
        <v>40</v>
      </c>
      <c r="H379" s="77">
        <f t="shared" si="61"/>
        <v>185</v>
      </c>
      <c r="I379" s="77">
        <f t="shared" si="59"/>
        <v>0</v>
      </c>
      <c r="J379" s="80">
        <v>100</v>
      </c>
      <c r="K379" s="80">
        <v>300</v>
      </c>
      <c r="L379" s="77">
        <f t="shared" si="53"/>
        <v>1274</v>
      </c>
      <c r="M379" s="87">
        <v>600</v>
      </c>
      <c r="N379" s="77">
        <f>30</f>
        <v>30</v>
      </c>
      <c r="O379" s="80">
        <v>240</v>
      </c>
      <c r="P379" s="80">
        <v>160</v>
      </c>
      <c r="Q379" s="80">
        <f t="shared" si="54"/>
        <v>195</v>
      </c>
      <c r="R379" s="80">
        <f t="shared" si="55"/>
        <v>100</v>
      </c>
      <c r="S379" s="77">
        <f t="shared" si="56"/>
        <v>695</v>
      </c>
      <c r="T379" s="77">
        <f>0</f>
        <v>0</v>
      </c>
      <c r="U379" s="78"/>
      <c r="V379" s="78"/>
      <c r="W379" s="78"/>
      <c r="X379" s="78"/>
      <c r="Y379" s="78"/>
      <c r="Z379" s="78"/>
      <c r="AA379" s="78"/>
      <c r="AB379" s="78"/>
      <c r="AC379" s="78"/>
      <c r="AD379" s="78"/>
    </row>
    <row r="380" spans="1:30" ht="15.75" x14ac:dyDescent="0.25">
      <c r="A380" s="14">
        <v>52870</v>
      </c>
      <c r="B380" s="89">
        <v>30</v>
      </c>
      <c r="C380" s="77">
        <f>194.205</f>
        <v>194.20500000000001</v>
      </c>
      <c r="D380" s="77">
        <f>267.466</f>
        <v>267.46600000000001</v>
      </c>
      <c r="E380" s="85">
        <f>133.845</f>
        <v>133.845</v>
      </c>
      <c r="F380" s="77">
        <f>278.484-40-25-60-100</f>
        <v>53.48399999999998</v>
      </c>
      <c r="G380" s="80">
        <v>40</v>
      </c>
      <c r="H380" s="77">
        <f t="shared" si="61"/>
        <v>185</v>
      </c>
      <c r="I380" s="77">
        <f t="shared" si="59"/>
        <v>0</v>
      </c>
      <c r="J380" s="80">
        <v>100</v>
      </c>
      <c r="K380" s="80">
        <v>300</v>
      </c>
      <c r="L380" s="77">
        <f t="shared" si="53"/>
        <v>1274</v>
      </c>
      <c r="M380" s="87">
        <v>600</v>
      </c>
      <c r="N380" s="77">
        <f>30</f>
        <v>30</v>
      </c>
      <c r="O380" s="80">
        <v>240</v>
      </c>
      <c r="P380" s="80">
        <v>160</v>
      </c>
      <c r="Q380" s="80">
        <f t="shared" si="54"/>
        <v>195</v>
      </c>
      <c r="R380" s="80">
        <f t="shared" si="55"/>
        <v>100</v>
      </c>
      <c r="S380" s="77">
        <f t="shared" si="56"/>
        <v>695</v>
      </c>
      <c r="T380" s="77">
        <f>0</f>
        <v>0</v>
      </c>
      <c r="U380" s="78"/>
      <c r="V380" s="78"/>
      <c r="W380" s="78"/>
      <c r="X380" s="78"/>
      <c r="Y380" s="78"/>
      <c r="Z380" s="78"/>
      <c r="AA380" s="78"/>
      <c r="AB380" s="78"/>
      <c r="AC380" s="78"/>
      <c r="AD380" s="78"/>
    </row>
    <row r="381" spans="1:30" ht="15.75" x14ac:dyDescent="0.25">
      <c r="A381" s="14">
        <v>52901</v>
      </c>
      <c r="B381" s="89">
        <v>31</v>
      </c>
      <c r="C381" s="77">
        <f>131.881</f>
        <v>131.881</v>
      </c>
      <c r="D381" s="77">
        <f>277.167</f>
        <v>277.16699999999997</v>
      </c>
      <c r="E381" s="85">
        <f>79.08</f>
        <v>79.08</v>
      </c>
      <c r="F381" s="77">
        <f>350.872-40-25-60-100</f>
        <v>125.87200000000001</v>
      </c>
      <c r="G381" s="80">
        <v>40</v>
      </c>
      <c r="H381" s="77">
        <f t="shared" si="61"/>
        <v>185</v>
      </c>
      <c r="I381" s="77">
        <f t="shared" si="59"/>
        <v>0</v>
      </c>
      <c r="J381" s="80">
        <v>100</v>
      </c>
      <c r="K381" s="80">
        <v>300</v>
      </c>
      <c r="L381" s="77">
        <f t="shared" si="53"/>
        <v>1239</v>
      </c>
      <c r="M381" s="87">
        <v>600</v>
      </c>
      <c r="N381" s="77">
        <f>75</f>
        <v>75</v>
      </c>
      <c r="O381" s="80">
        <v>240</v>
      </c>
      <c r="P381" s="80">
        <v>160</v>
      </c>
      <c r="Q381" s="80">
        <f t="shared" si="54"/>
        <v>195</v>
      </c>
      <c r="R381" s="80">
        <f t="shared" si="55"/>
        <v>100</v>
      </c>
      <c r="S381" s="77">
        <f t="shared" si="56"/>
        <v>695</v>
      </c>
      <c r="T381" s="77">
        <f>0</f>
        <v>0</v>
      </c>
      <c r="U381" s="78"/>
      <c r="V381" s="78"/>
      <c r="W381" s="78"/>
      <c r="X381" s="78"/>
      <c r="Y381" s="78"/>
      <c r="Z381" s="78"/>
      <c r="AA381" s="78"/>
      <c r="AB381" s="78"/>
      <c r="AC381" s="78"/>
      <c r="AD381" s="78"/>
    </row>
    <row r="382" spans="1:30" ht="15.75" x14ac:dyDescent="0.25">
      <c r="A382" s="14">
        <v>52931</v>
      </c>
      <c r="B382" s="89">
        <v>30</v>
      </c>
      <c r="C382" s="77">
        <f>122.58</f>
        <v>122.58</v>
      </c>
      <c r="D382" s="77">
        <f>297.941</f>
        <v>297.94099999999997</v>
      </c>
      <c r="E382" s="85">
        <f>89.177</f>
        <v>89.177000000000007</v>
      </c>
      <c r="F382" s="77">
        <f>240.302-40-60-100</f>
        <v>40.301999999999992</v>
      </c>
      <c r="G382" s="80">
        <v>40</v>
      </c>
      <c r="H382" s="77">
        <f>60+100</f>
        <v>160</v>
      </c>
      <c r="I382" s="77">
        <f t="shared" si="59"/>
        <v>0</v>
      </c>
      <c r="J382" s="80">
        <v>100</v>
      </c>
      <c r="K382" s="80">
        <v>300</v>
      </c>
      <c r="L382" s="77">
        <f t="shared" si="53"/>
        <v>1150</v>
      </c>
      <c r="M382" s="87">
        <v>600</v>
      </c>
      <c r="N382" s="77">
        <f>100</f>
        <v>100</v>
      </c>
      <c r="O382" s="80">
        <v>240</v>
      </c>
      <c r="P382" s="80">
        <v>40</v>
      </c>
      <c r="Q382" s="80">
        <f t="shared" si="54"/>
        <v>315</v>
      </c>
      <c r="R382" s="80">
        <f t="shared" si="55"/>
        <v>100</v>
      </c>
      <c r="S382" s="77">
        <f t="shared" si="56"/>
        <v>695</v>
      </c>
      <c r="T382" s="77">
        <f>50</f>
        <v>50</v>
      </c>
      <c r="U382" s="78"/>
      <c r="V382" s="78"/>
      <c r="W382" s="78"/>
      <c r="X382" s="78"/>
      <c r="Y382" s="78"/>
      <c r="Z382" s="78"/>
      <c r="AA382" s="78"/>
      <c r="AB382" s="78"/>
      <c r="AC382" s="78"/>
      <c r="AD382" s="78"/>
    </row>
    <row r="383" spans="1:30" ht="15.75" x14ac:dyDescent="0.25">
      <c r="A383" s="14">
        <v>52962</v>
      </c>
      <c r="B383" s="89">
        <v>31</v>
      </c>
      <c r="C383" s="77">
        <f>122.58</f>
        <v>122.58</v>
      </c>
      <c r="D383" s="77">
        <f>297.941</f>
        <v>297.94099999999997</v>
      </c>
      <c r="E383" s="85">
        <f>89.177</f>
        <v>89.177000000000007</v>
      </c>
      <c r="F383" s="77">
        <f>240.302-40-60-100</f>
        <v>40.301999999999992</v>
      </c>
      <c r="G383" s="80">
        <v>40</v>
      </c>
      <c r="H383" s="77">
        <f>60+100</f>
        <v>160</v>
      </c>
      <c r="I383" s="77">
        <f t="shared" si="59"/>
        <v>0</v>
      </c>
      <c r="J383" s="80">
        <v>100</v>
      </c>
      <c r="K383" s="80">
        <v>300</v>
      </c>
      <c r="L383" s="77">
        <f t="shared" si="53"/>
        <v>1150</v>
      </c>
      <c r="M383" s="87">
        <v>600</v>
      </c>
      <c r="N383" s="77">
        <f>100</f>
        <v>100</v>
      </c>
      <c r="O383" s="80">
        <v>240</v>
      </c>
      <c r="P383" s="80">
        <v>40</v>
      </c>
      <c r="Q383" s="80">
        <f t="shared" si="54"/>
        <v>315</v>
      </c>
      <c r="R383" s="80">
        <f t="shared" si="55"/>
        <v>100</v>
      </c>
      <c r="S383" s="77">
        <f t="shared" si="56"/>
        <v>695</v>
      </c>
      <c r="T383" s="77">
        <f>50</f>
        <v>50</v>
      </c>
      <c r="U383" s="78"/>
      <c r="V383" s="78"/>
      <c r="W383" s="78"/>
      <c r="X383" s="78"/>
      <c r="Y383" s="78"/>
      <c r="Z383" s="78"/>
      <c r="AA383" s="78"/>
      <c r="AB383" s="78"/>
      <c r="AC383" s="78"/>
      <c r="AD383" s="78"/>
    </row>
    <row r="384" spans="1:30" ht="15.75" x14ac:dyDescent="0.25">
      <c r="A384" s="14">
        <v>52993</v>
      </c>
      <c r="B384" s="89">
        <v>31</v>
      </c>
      <c r="C384" s="77">
        <f>122.58</f>
        <v>122.58</v>
      </c>
      <c r="D384" s="77">
        <f>297.941</f>
        <v>297.94099999999997</v>
      </c>
      <c r="E384" s="85">
        <f>89.177</f>
        <v>89.177000000000007</v>
      </c>
      <c r="F384" s="77">
        <f>240.302-40-60-100</f>
        <v>40.301999999999992</v>
      </c>
      <c r="G384" s="80">
        <v>40</v>
      </c>
      <c r="H384" s="77">
        <f>60+100</f>
        <v>160</v>
      </c>
      <c r="I384" s="77">
        <f t="shared" si="59"/>
        <v>0</v>
      </c>
      <c r="J384" s="80">
        <v>100</v>
      </c>
      <c r="K384" s="80">
        <v>300</v>
      </c>
      <c r="L384" s="77">
        <f t="shared" si="53"/>
        <v>1150</v>
      </c>
      <c r="M384" s="87">
        <v>600</v>
      </c>
      <c r="N384" s="77">
        <f>100</f>
        <v>100</v>
      </c>
      <c r="O384" s="80">
        <v>240</v>
      </c>
      <c r="P384" s="80">
        <v>40</v>
      </c>
      <c r="Q384" s="80">
        <f t="shared" si="54"/>
        <v>315</v>
      </c>
      <c r="R384" s="80">
        <f t="shared" si="55"/>
        <v>100</v>
      </c>
      <c r="S384" s="77">
        <f t="shared" si="56"/>
        <v>695</v>
      </c>
      <c r="T384" s="77">
        <f>50</f>
        <v>50</v>
      </c>
      <c r="U384" s="78"/>
      <c r="V384" s="78"/>
      <c r="W384" s="78"/>
      <c r="X384" s="78"/>
      <c r="Y384" s="78"/>
      <c r="Z384" s="78"/>
      <c r="AA384" s="78"/>
      <c r="AB384" s="78"/>
      <c r="AC384" s="78"/>
      <c r="AD384" s="78"/>
    </row>
    <row r="385" spans="1:30" ht="15.75" x14ac:dyDescent="0.25">
      <c r="A385" s="14">
        <v>53021</v>
      </c>
      <c r="B385" s="89">
        <v>28</v>
      </c>
      <c r="C385" s="77">
        <f>122.58</f>
        <v>122.58</v>
      </c>
      <c r="D385" s="77">
        <f>297.941</f>
        <v>297.94099999999997</v>
      </c>
      <c r="E385" s="85">
        <f>89.177</f>
        <v>89.177000000000007</v>
      </c>
      <c r="F385" s="77">
        <f>240.302-40-60-100</f>
        <v>40.301999999999992</v>
      </c>
      <c r="G385" s="80">
        <v>40</v>
      </c>
      <c r="H385" s="77">
        <f>60+100</f>
        <v>160</v>
      </c>
      <c r="I385" s="77">
        <f t="shared" si="59"/>
        <v>0</v>
      </c>
      <c r="J385" s="80">
        <v>100</v>
      </c>
      <c r="K385" s="80">
        <v>300</v>
      </c>
      <c r="L385" s="77">
        <f t="shared" si="53"/>
        <v>1150</v>
      </c>
      <c r="M385" s="87">
        <v>600</v>
      </c>
      <c r="N385" s="77">
        <f>100</f>
        <v>100</v>
      </c>
      <c r="O385" s="80">
        <v>240</v>
      </c>
      <c r="P385" s="80">
        <v>40</v>
      </c>
      <c r="Q385" s="80">
        <f t="shared" si="54"/>
        <v>315</v>
      </c>
      <c r="R385" s="80">
        <f t="shared" si="55"/>
        <v>100</v>
      </c>
      <c r="S385" s="77">
        <f t="shared" si="56"/>
        <v>695</v>
      </c>
      <c r="T385" s="77">
        <f>50</f>
        <v>50</v>
      </c>
      <c r="U385" s="78"/>
      <c r="V385" s="78"/>
      <c r="W385" s="78"/>
      <c r="X385" s="78"/>
      <c r="Y385" s="78"/>
      <c r="Z385" s="78"/>
      <c r="AA385" s="78"/>
      <c r="AB385" s="78"/>
      <c r="AC385" s="78"/>
      <c r="AD385" s="78"/>
    </row>
    <row r="386" spans="1:30" ht="15.75" x14ac:dyDescent="0.25">
      <c r="A386" s="14">
        <v>53052</v>
      </c>
      <c r="B386" s="89">
        <v>31</v>
      </c>
      <c r="C386" s="77">
        <f>122.58</f>
        <v>122.58</v>
      </c>
      <c r="D386" s="77">
        <f>297.941</f>
        <v>297.94099999999997</v>
      </c>
      <c r="E386" s="85">
        <f>89.177</f>
        <v>89.177000000000007</v>
      </c>
      <c r="F386" s="77">
        <f>240.302-40-60-100</f>
        <v>40.301999999999992</v>
      </c>
      <c r="G386" s="80">
        <v>40</v>
      </c>
      <c r="H386" s="77">
        <f>60+100</f>
        <v>160</v>
      </c>
      <c r="I386" s="77">
        <f t="shared" si="59"/>
        <v>0</v>
      </c>
      <c r="J386" s="80">
        <v>100</v>
      </c>
      <c r="K386" s="80">
        <v>300</v>
      </c>
      <c r="L386" s="77">
        <f t="shared" si="53"/>
        <v>1150</v>
      </c>
      <c r="M386" s="87">
        <v>600</v>
      </c>
      <c r="N386" s="77">
        <f>100</f>
        <v>100</v>
      </c>
      <c r="O386" s="80">
        <v>240</v>
      </c>
      <c r="P386" s="80">
        <v>40</v>
      </c>
      <c r="Q386" s="80">
        <f t="shared" si="54"/>
        <v>315</v>
      </c>
      <c r="R386" s="80">
        <f t="shared" si="55"/>
        <v>100</v>
      </c>
      <c r="S386" s="77">
        <f t="shared" si="56"/>
        <v>695</v>
      </c>
      <c r="T386" s="77">
        <f>50</f>
        <v>50</v>
      </c>
      <c r="U386" s="78"/>
      <c r="V386" s="78"/>
      <c r="W386" s="78"/>
      <c r="X386" s="78"/>
      <c r="Y386" s="78"/>
      <c r="Z386" s="78"/>
      <c r="AA386" s="78"/>
      <c r="AB386" s="78"/>
      <c r="AC386" s="78"/>
      <c r="AD386" s="78"/>
    </row>
    <row r="387" spans="1:30" ht="15.75" x14ac:dyDescent="0.25">
      <c r="A387" s="14">
        <v>53082</v>
      </c>
      <c r="B387" s="89">
        <v>30</v>
      </c>
      <c r="C387" s="77">
        <f>141.293</f>
        <v>141.29300000000001</v>
      </c>
      <c r="D387" s="77">
        <f>267.993</f>
        <v>267.99299999999999</v>
      </c>
      <c r="E387" s="85">
        <f>115.016</f>
        <v>115.01600000000001</v>
      </c>
      <c r="F387" s="77">
        <f>314.698-40-25-60-100</f>
        <v>89.697999999999979</v>
      </c>
      <c r="G387" s="80">
        <v>40</v>
      </c>
      <c r="H387" s="77">
        <f t="shared" ref="H387:H393" si="62">25+60+100</f>
        <v>185</v>
      </c>
      <c r="I387" s="77">
        <f t="shared" si="59"/>
        <v>0</v>
      </c>
      <c r="J387" s="80">
        <v>100</v>
      </c>
      <c r="K387" s="80">
        <v>300</v>
      </c>
      <c r="L387" s="77">
        <f t="shared" si="53"/>
        <v>1239</v>
      </c>
      <c r="M387" s="87">
        <v>600</v>
      </c>
      <c r="N387" s="77">
        <f>100</f>
        <v>100</v>
      </c>
      <c r="O387" s="80">
        <v>240</v>
      </c>
      <c r="P387" s="80">
        <v>160</v>
      </c>
      <c r="Q387" s="80">
        <f t="shared" si="54"/>
        <v>195</v>
      </c>
      <c r="R387" s="80">
        <f t="shared" si="55"/>
        <v>100</v>
      </c>
      <c r="S387" s="77">
        <f t="shared" si="56"/>
        <v>695</v>
      </c>
      <c r="T387" s="77">
        <f>50</f>
        <v>50</v>
      </c>
      <c r="U387" s="78"/>
      <c r="V387" s="78"/>
      <c r="W387" s="78"/>
      <c r="X387" s="78"/>
      <c r="Y387" s="78"/>
      <c r="Z387" s="78"/>
      <c r="AA387" s="78"/>
      <c r="AB387" s="78"/>
      <c r="AC387" s="78"/>
      <c r="AD387" s="78"/>
    </row>
    <row r="388" spans="1:30" ht="15.75" x14ac:dyDescent="0.25">
      <c r="A388" s="14">
        <v>53113</v>
      </c>
      <c r="B388" s="89">
        <v>31</v>
      </c>
      <c r="C388" s="77">
        <f>194.205</f>
        <v>194.20500000000001</v>
      </c>
      <c r="D388" s="77">
        <f>267.466</f>
        <v>267.46600000000001</v>
      </c>
      <c r="E388" s="85">
        <f>133.845</f>
        <v>133.845</v>
      </c>
      <c r="F388" s="77">
        <f>278.484-40-25-60-100</f>
        <v>53.48399999999998</v>
      </c>
      <c r="G388" s="80">
        <v>40</v>
      </c>
      <c r="H388" s="77">
        <f t="shared" si="62"/>
        <v>185</v>
      </c>
      <c r="I388" s="77">
        <f t="shared" si="59"/>
        <v>0</v>
      </c>
      <c r="J388" s="80">
        <v>100</v>
      </c>
      <c r="K388" s="80">
        <v>300</v>
      </c>
      <c r="L388" s="77">
        <f t="shared" si="53"/>
        <v>1274</v>
      </c>
      <c r="M388" s="87">
        <v>600</v>
      </c>
      <c r="N388" s="77">
        <f>75</f>
        <v>75</v>
      </c>
      <c r="O388" s="80">
        <v>240</v>
      </c>
      <c r="P388" s="80">
        <v>160</v>
      </c>
      <c r="Q388" s="80">
        <f t="shared" si="54"/>
        <v>195</v>
      </c>
      <c r="R388" s="80">
        <f t="shared" si="55"/>
        <v>100</v>
      </c>
      <c r="S388" s="77">
        <f t="shared" si="56"/>
        <v>695</v>
      </c>
      <c r="T388" s="77">
        <f>50</f>
        <v>50</v>
      </c>
      <c r="U388" s="78"/>
      <c r="V388" s="78"/>
      <c r="W388" s="78"/>
      <c r="X388" s="78"/>
      <c r="Y388" s="78"/>
      <c r="Z388" s="78"/>
      <c r="AA388" s="78"/>
      <c r="AB388" s="78"/>
      <c r="AC388" s="78"/>
      <c r="AD388" s="78"/>
    </row>
    <row r="389" spans="1:30" ht="15.75" x14ac:dyDescent="0.25">
      <c r="A389" s="14">
        <v>53143</v>
      </c>
      <c r="B389" s="89">
        <v>30</v>
      </c>
      <c r="C389" s="77">
        <f>194.205</f>
        <v>194.20500000000001</v>
      </c>
      <c r="D389" s="77">
        <f>267.466</f>
        <v>267.46600000000001</v>
      </c>
      <c r="E389" s="85">
        <f>133.845</f>
        <v>133.845</v>
      </c>
      <c r="F389" s="77">
        <f>278.484-40-25-60-100</f>
        <v>53.48399999999998</v>
      </c>
      <c r="G389" s="80">
        <v>40</v>
      </c>
      <c r="H389" s="77">
        <f t="shared" si="62"/>
        <v>185</v>
      </c>
      <c r="I389" s="77">
        <f t="shared" si="59"/>
        <v>0</v>
      </c>
      <c r="J389" s="80">
        <v>100</v>
      </c>
      <c r="K389" s="80">
        <v>300</v>
      </c>
      <c r="L389" s="77">
        <f t="shared" si="53"/>
        <v>1274</v>
      </c>
      <c r="M389" s="87">
        <v>600</v>
      </c>
      <c r="N389" s="77">
        <f>30</f>
        <v>30</v>
      </c>
      <c r="O389" s="80">
        <v>240</v>
      </c>
      <c r="P389" s="80">
        <v>160</v>
      </c>
      <c r="Q389" s="80">
        <f t="shared" si="54"/>
        <v>195</v>
      </c>
      <c r="R389" s="80">
        <f t="shared" si="55"/>
        <v>100</v>
      </c>
      <c r="S389" s="77">
        <f t="shared" si="56"/>
        <v>695</v>
      </c>
      <c r="T389" s="77">
        <f>50</f>
        <v>50</v>
      </c>
      <c r="U389" s="78"/>
      <c r="V389" s="78"/>
      <c r="W389" s="78"/>
      <c r="X389" s="78"/>
      <c r="Y389" s="78"/>
      <c r="Z389" s="78"/>
      <c r="AA389" s="78"/>
      <c r="AB389" s="78"/>
      <c r="AC389" s="78"/>
      <c r="AD389" s="78"/>
    </row>
    <row r="390" spans="1:30" ht="15.75" x14ac:dyDescent="0.25">
      <c r="A390" s="14">
        <v>53174</v>
      </c>
      <c r="B390" s="89">
        <v>31</v>
      </c>
      <c r="C390" s="77">
        <f>194.205</f>
        <v>194.20500000000001</v>
      </c>
      <c r="D390" s="77">
        <f>267.466</f>
        <v>267.46600000000001</v>
      </c>
      <c r="E390" s="85">
        <f>133.845</f>
        <v>133.845</v>
      </c>
      <c r="F390" s="77">
        <f>278.484-40-25-60-100</f>
        <v>53.48399999999998</v>
      </c>
      <c r="G390" s="80">
        <v>40</v>
      </c>
      <c r="H390" s="77">
        <f t="shared" si="62"/>
        <v>185</v>
      </c>
      <c r="I390" s="77">
        <f t="shared" si="59"/>
        <v>0</v>
      </c>
      <c r="J390" s="80">
        <v>100</v>
      </c>
      <c r="K390" s="80">
        <v>300</v>
      </c>
      <c r="L390" s="77">
        <f t="shared" si="53"/>
        <v>1274</v>
      </c>
      <c r="M390" s="87">
        <v>600</v>
      </c>
      <c r="N390" s="77">
        <f>30</f>
        <v>30</v>
      </c>
      <c r="O390" s="80">
        <v>240</v>
      </c>
      <c r="P390" s="80">
        <v>160</v>
      </c>
      <c r="Q390" s="80">
        <f t="shared" si="54"/>
        <v>195</v>
      </c>
      <c r="R390" s="80">
        <f t="shared" si="55"/>
        <v>100</v>
      </c>
      <c r="S390" s="77">
        <f t="shared" si="56"/>
        <v>695</v>
      </c>
      <c r="T390" s="77">
        <f>0</f>
        <v>0</v>
      </c>
      <c r="U390" s="78"/>
      <c r="V390" s="78"/>
      <c r="W390" s="78"/>
      <c r="X390" s="78"/>
      <c r="Y390" s="78"/>
      <c r="Z390" s="78"/>
      <c r="AA390" s="78"/>
      <c r="AB390" s="78"/>
      <c r="AC390" s="78"/>
      <c r="AD390" s="78"/>
    </row>
    <row r="391" spans="1:30" ht="15.75" x14ac:dyDescent="0.25">
      <c r="A391" s="14">
        <v>53205</v>
      </c>
      <c r="B391" s="89">
        <v>31</v>
      </c>
      <c r="C391" s="77">
        <f>194.205</f>
        <v>194.20500000000001</v>
      </c>
      <c r="D391" s="77">
        <f>267.466</f>
        <v>267.46600000000001</v>
      </c>
      <c r="E391" s="85">
        <f>133.845</f>
        <v>133.845</v>
      </c>
      <c r="F391" s="77">
        <f>278.484-40-25-60-100</f>
        <v>53.48399999999998</v>
      </c>
      <c r="G391" s="80">
        <v>40</v>
      </c>
      <c r="H391" s="77">
        <f t="shared" si="62"/>
        <v>185</v>
      </c>
      <c r="I391" s="77">
        <f t="shared" si="59"/>
        <v>0</v>
      </c>
      <c r="J391" s="80">
        <v>100</v>
      </c>
      <c r="K391" s="80">
        <v>300</v>
      </c>
      <c r="L391" s="77">
        <f t="shared" si="53"/>
        <v>1274</v>
      </c>
      <c r="M391" s="87">
        <v>600</v>
      </c>
      <c r="N391" s="77">
        <f>30</f>
        <v>30</v>
      </c>
      <c r="O391" s="80">
        <v>240</v>
      </c>
      <c r="P391" s="80">
        <v>160</v>
      </c>
      <c r="Q391" s="80">
        <f t="shared" si="54"/>
        <v>195</v>
      </c>
      <c r="R391" s="80">
        <f t="shared" si="55"/>
        <v>100</v>
      </c>
      <c r="S391" s="77">
        <f t="shared" si="56"/>
        <v>695</v>
      </c>
      <c r="T391" s="77">
        <f>0</f>
        <v>0</v>
      </c>
      <c r="U391" s="78"/>
      <c r="V391" s="78"/>
      <c r="W391" s="78"/>
      <c r="X391" s="78"/>
      <c r="Y391" s="78"/>
      <c r="Z391" s="78"/>
      <c r="AA391" s="78"/>
      <c r="AB391" s="78"/>
      <c r="AC391" s="78"/>
      <c r="AD391" s="78"/>
    </row>
    <row r="392" spans="1:30" ht="15.75" x14ac:dyDescent="0.25">
      <c r="A392" s="14">
        <v>53235</v>
      </c>
      <c r="B392" s="89">
        <v>30</v>
      </c>
      <c r="C392" s="77">
        <f>194.205</f>
        <v>194.20500000000001</v>
      </c>
      <c r="D392" s="77">
        <f>267.466</f>
        <v>267.46600000000001</v>
      </c>
      <c r="E392" s="85">
        <f>133.845</f>
        <v>133.845</v>
      </c>
      <c r="F392" s="77">
        <f>278.484-40-25-60-100</f>
        <v>53.48399999999998</v>
      </c>
      <c r="G392" s="80">
        <v>40</v>
      </c>
      <c r="H392" s="77">
        <f t="shared" si="62"/>
        <v>185</v>
      </c>
      <c r="I392" s="77">
        <f t="shared" si="59"/>
        <v>0</v>
      </c>
      <c r="J392" s="80">
        <v>100</v>
      </c>
      <c r="K392" s="80">
        <v>300</v>
      </c>
      <c r="L392" s="77">
        <f t="shared" si="53"/>
        <v>1274</v>
      </c>
      <c r="M392" s="87">
        <v>600</v>
      </c>
      <c r="N392" s="77">
        <f>30</f>
        <v>30</v>
      </c>
      <c r="O392" s="80">
        <v>240</v>
      </c>
      <c r="P392" s="80">
        <v>160</v>
      </c>
      <c r="Q392" s="80">
        <f t="shared" si="54"/>
        <v>195</v>
      </c>
      <c r="R392" s="80">
        <f t="shared" si="55"/>
        <v>100</v>
      </c>
      <c r="S392" s="77">
        <f t="shared" si="56"/>
        <v>695</v>
      </c>
      <c r="T392" s="77">
        <f>0</f>
        <v>0</v>
      </c>
      <c r="U392" s="78"/>
      <c r="V392" s="78"/>
      <c r="W392" s="78"/>
      <c r="X392" s="78"/>
      <c r="Y392" s="78"/>
      <c r="Z392" s="78"/>
      <c r="AA392" s="78"/>
      <c r="AB392" s="78"/>
      <c r="AC392" s="78"/>
      <c r="AD392" s="78"/>
    </row>
    <row r="393" spans="1:30" ht="15.75" x14ac:dyDescent="0.25">
      <c r="A393" s="14">
        <v>53266</v>
      </c>
      <c r="B393" s="89">
        <v>31</v>
      </c>
      <c r="C393" s="77">
        <f>131.881</f>
        <v>131.881</v>
      </c>
      <c r="D393" s="77">
        <f>277.167</f>
        <v>277.16699999999997</v>
      </c>
      <c r="E393" s="85">
        <f>79.08</f>
        <v>79.08</v>
      </c>
      <c r="F393" s="77">
        <f>350.872-40-25-60-100</f>
        <v>125.87200000000001</v>
      </c>
      <c r="G393" s="80">
        <v>40</v>
      </c>
      <c r="H393" s="77">
        <f t="shared" si="62"/>
        <v>185</v>
      </c>
      <c r="I393" s="77">
        <f t="shared" si="59"/>
        <v>0</v>
      </c>
      <c r="J393" s="80">
        <v>100</v>
      </c>
      <c r="K393" s="80">
        <v>300</v>
      </c>
      <c r="L393" s="77">
        <f t="shared" si="53"/>
        <v>1239</v>
      </c>
      <c r="M393" s="87">
        <v>600</v>
      </c>
      <c r="N393" s="77">
        <f>75</f>
        <v>75</v>
      </c>
      <c r="O393" s="80">
        <v>240</v>
      </c>
      <c r="P393" s="80">
        <v>160</v>
      </c>
      <c r="Q393" s="80">
        <f t="shared" si="54"/>
        <v>195</v>
      </c>
      <c r="R393" s="80">
        <f t="shared" si="55"/>
        <v>100</v>
      </c>
      <c r="S393" s="77">
        <f t="shared" si="56"/>
        <v>695</v>
      </c>
      <c r="T393" s="77">
        <f>0</f>
        <v>0</v>
      </c>
      <c r="U393" s="78"/>
      <c r="V393" s="78"/>
      <c r="W393" s="78"/>
      <c r="X393" s="78"/>
      <c r="Y393" s="78"/>
      <c r="Z393" s="78"/>
      <c r="AA393" s="78"/>
      <c r="AB393" s="78"/>
      <c r="AC393" s="78"/>
      <c r="AD393" s="78"/>
    </row>
    <row r="394" spans="1:30" ht="15.75" x14ac:dyDescent="0.25">
      <c r="A394" s="14">
        <v>53296</v>
      </c>
      <c r="B394" s="89">
        <v>30</v>
      </c>
      <c r="C394" s="77">
        <f>122.58</f>
        <v>122.58</v>
      </c>
      <c r="D394" s="77">
        <f>297.941</f>
        <v>297.94099999999997</v>
      </c>
      <c r="E394" s="85">
        <f>89.177</f>
        <v>89.177000000000007</v>
      </c>
      <c r="F394" s="77">
        <f>240.302-40-60-100</f>
        <v>40.301999999999992</v>
      </c>
      <c r="G394" s="80">
        <v>40</v>
      </c>
      <c r="H394" s="77">
        <f>60+100</f>
        <v>160</v>
      </c>
      <c r="I394" s="77">
        <f t="shared" si="59"/>
        <v>0</v>
      </c>
      <c r="J394" s="80">
        <v>100</v>
      </c>
      <c r="K394" s="80">
        <v>300</v>
      </c>
      <c r="L394" s="77">
        <f t="shared" si="53"/>
        <v>1150</v>
      </c>
      <c r="M394" s="87">
        <v>600</v>
      </c>
      <c r="N394" s="77">
        <f>100</f>
        <v>100</v>
      </c>
      <c r="O394" s="80">
        <v>240</v>
      </c>
      <c r="P394" s="80">
        <v>40</v>
      </c>
      <c r="Q394" s="80">
        <f t="shared" si="54"/>
        <v>315</v>
      </c>
      <c r="R394" s="80">
        <f t="shared" si="55"/>
        <v>100</v>
      </c>
      <c r="S394" s="77">
        <f t="shared" si="56"/>
        <v>695</v>
      </c>
      <c r="T394" s="77">
        <f>50</f>
        <v>50</v>
      </c>
      <c r="U394" s="78"/>
      <c r="V394" s="78"/>
      <c r="W394" s="78"/>
      <c r="X394" s="78"/>
      <c r="Y394" s="78"/>
      <c r="Z394" s="78"/>
      <c r="AA394" s="78"/>
      <c r="AB394" s="78"/>
      <c r="AC394" s="78"/>
      <c r="AD394" s="78"/>
    </row>
    <row r="395" spans="1:30" ht="15.75" x14ac:dyDescent="0.25">
      <c r="A395" s="14">
        <v>53327</v>
      </c>
      <c r="B395" s="89">
        <v>31</v>
      </c>
      <c r="C395" s="77">
        <f>122.58</f>
        <v>122.58</v>
      </c>
      <c r="D395" s="77">
        <f>297.941</f>
        <v>297.94099999999997</v>
      </c>
      <c r="E395" s="85">
        <f>89.177</f>
        <v>89.177000000000007</v>
      </c>
      <c r="F395" s="77">
        <f>240.302-40-60-100</f>
        <v>40.301999999999992</v>
      </c>
      <c r="G395" s="80">
        <v>40</v>
      </c>
      <c r="H395" s="77">
        <f>60+100</f>
        <v>160</v>
      </c>
      <c r="I395" s="77">
        <f t="shared" si="59"/>
        <v>0</v>
      </c>
      <c r="J395" s="80">
        <v>100</v>
      </c>
      <c r="K395" s="80">
        <v>300</v>
      </c>
      <c r="L395" s="77">
        <f t="shared" si="53"/>
        <v>1150</v>
      </c>
      <c r="M395" s="87">
        <v>600</v>
      </c>
      <c r="N395" s="77">
        <f>100</f>
        <v>100</v>
      </c>
      <c r="O395" s="80">
        <v>240</v>
      </c>
      <c r="P395" s="80">
        <v>40</v>
      </c>
      <c r="Q395" s="80">
        <f t="shared" si="54"/>
        <v>315</v>
      </c>
      <c r="R395" s="80">
        <f t="shared" si="55"/>
        <v>100</v>
      </c>
      <c r="S395" s="77">
        <f t="shared" si="56"/>
        <v>695</v>
      </c>
      <c r="T395" s="77">
        <f>50</f>
        <v>50</v>
      </c>
      <c r="U395" s="78"/>
      <c r="V395" s="78"/>
      <c r="W395" s="78"/>
      <c r="X395" s="78"/>
      <c r="Y395" s="78"/>
      <c r="Z395" s="78"/>
      <c r="AA395" s="78"/>
      <c r="AB395" s="78"/>
      <c r="AC395" s="78"/>
      <c r="AD395" s="78"/>
    </row>
    <row r="396" spans="1:30" ht="15.75" x14ac:dyDescent="0.25">
      <c r="A396" s="14">
        <v>53358</v>
      </c>
      <c r="B396" s="89">
        <v>31</v>
      </c>
      <c r="C396" s="77">
        <f>122.58</f>
        <v>122.58</v>
      </c>
      <c r="D396" s="77">
        <f>297.941</f>
        <v>297.94099999999997</v>
      </c>
      <c r="E396" s="85">
        <f>89.177</f>
        <v>89.177000000000007</v>
      </c>
      <c r="F396" s="77">
        <f>240.302-40-60-100</f>
        <v>40.301999999999992</v>
      </c>
      <c r="G396" s="80">
        <v>40</v>
      </c>
      <c r="H396" s="77">
        <f>60+100</f>
        <v>160</v>
      </c>
      <c r="I396" s="77">
        <f t="shared" si="59"/>
        <v>0</v>
      </c>
      <c r="J396" s="80">
        <v>100</v>
      </c>
      <c r="K396" s="80">
        <v>300</v>
      </c>
      <c r="L396" s="77">
        <f t="shared" si="53"/>
        <v>1150</v>
      </c>
      <c r="M396" s="87">
        <v>600</v>
      </c>
      <c r="N396" s="77">
        <f>100</f>
        <v>100</v>
      </c>
      <c r="O396" s="80">
        <v>240</v>
      </c>
      <c r="P396" s="80">
        <v>40</v>
      </c>
      <c r="Q396" s="80">
        <f t="shared" si="54"/>
        <v>315</v>
      </c>
      <c r="R396" s="80">
        <f t="shared" si="55"/>
        <v>100</v>
      </c>
      <c r="S396" s="77">
        <f t="shared" si="56"/>
        <v>695</v>
      </c>
      <c r="T396" s="77">
        <f>50</f>
        <v>50</v>
      </c>
      <c r="U396" s="78"/>
      <c r="V396" s="78"/>
      <c r="W396" s="78"/>
      <c r="X396" s="78"/>
      <c r="Y396" s="78"/>
      <c r="Z396" s="78"/>
      <c r="AA396" s="78"/>
      <c r="AB396" s="78"/>
      <c r="AC396" s="78"/>
      <c r="AD396" s="78"/>
    </row>
    <row r="397" spans="1:30" ht="15.75" x14ac:dyDescent="0.25">
      <c r="A397" s="14">
        <v>53386</v>
      </c>
      <c r="B397" s="89">
        <v>28</v>
      </c>
      <c r="C397" s="77">
        <f>122.58</f>
        <v>122.58</v>
      </c>
      <c r="D397" s="77">
        <f>297.941</f>
        <v>297.94099999999997</v>
      </c>
      <c r="E397" s="85">
        <f>89.177</f>
        <v>89.177000000000007</v>
      </c>
      <c r="F397" s="77">
        <f>240.302-40-60-100</f>
        <v>40.301999999999992</v>
      </c>
      <c r="G397" s="80">
        <v>40</v>
      </c>
      <c r="H397" s="77">
        <f>60+100</f>
        <v>160</v>
      </c>
      <c r="I397" s="77">
        <f t="shared" si="59"/>
        <v>0</v>
      </c>
      <c r="J397" s="80">
        <v>100</v>
      </c>
      <c r="K397" s="80">
        <v>300</v>
      </c>
      <c r="L397" s="77">
        <f t="shared" si="53"/>
        <v>1150</v>
      </c>
      <c r="M397" s="87">
        <v>600</v>
      </c>
      <c r="N397" s="77">
        <f>100</f>
        <v>100</v>
      </c>
      <c r="O397" s="80">
        <v>240</v>
      </c>
      <c r="P397" s="80">
        <v>40</v>
      </c>
      <c r="Q397" s="80">
        <f t="shared" si="54"/>
        <v>315</v>
      </c>
      <c r="R397" s="80">
        <f t="shared" si="55"/>
        <v>100</v>
      </c>
      <c r="S397" s="77">
        <f t="shared" si="56"/>
        <v>695</v>
      </c>
      <c r="T397" s="77">
        <f>50</f>
        <v>50</v>
      </c>
      <c r="U397" s="78"/>
      <c r="V397" s="78"/>
      <c r="W397" s="78"/>
      <c r="X397" s="78"/>
      <c r="Y397" s="78"/>
      <c r="Z397" s="78"/>
      <c r="AA397" s="78"/>
      <c r="AB397" s="78"/>
      <c r="AC397" s="78"/>
      <c r="AD397" s="78"/>
    </row>
    <row r="398" spans="1:30" ht="15.75" x14ac:dyDescent="0.25">
      <c r="A398" s="14">
        <v>53417</v>
      </c>
      <c r="B398" s="89">
        <v>31</v>
      </c>
      <c r="C398" s="77">
        <f>122.58</f>
        <v>122.58</v>
      </c>
      <c r="D398" s="77">
        <f>297.941</f>
        <v>297.94099999999997</v>
      </c>
      <c r="E398" s="85">
        <f>89.177</f>
        <v>89.177000000000007</v>
      </c>
      <c r="F398" s="77">
        <f>240.302-40-60-100</f>
        <v>40.301999999999992</v>
      </c>
      <c r="G398" s="80">
        <v>40</v>
      </c>
      <c r="H398" s="77">
        <f>60+100</f>
        <v>160</v>
      </c>
      <c r="I398" s="77">
        <f t="shared" si="59"/>
        <v>0</v>
      </c>
      <c r="J398" s="80">
        <v>100</v>
      </c>
      <c r="K398" s="80">
        <v>300</v>
      </c>
      <c r="L398" s="77">
        <f t="shared" ref="L398:L461" si="63">SUM(C398:K398)</f>
        <v>1150</v>
      </c>
      <c r="M398" s="87">
        <v>600</v>
      </c>
      <c r="N398" s="77">
        <f>100</f>
        <v>100</v>
      </c>
      <c r="O398" s="80">
        <v>240</v>
      </c>
      <c r="P398" s="80">
        <v>40</v>
      </c>
      <c r="Q398" s="80">
        <f t="shared" ref="Q398:Q461" si="64">695-R398-O398-P398</f>
        <v>315</v>
      </c>
      <c r="R398" s="80">
        <f t="shared" ref="R398:R461" si="65">200-J398</f>
        <v>100</v>
      </c>
      <c r="S398" s="77">
        <f t="shared" ref="S398:S461" si="66">SUM(O398:R398)</f>
        <v>695</v>
      </c>
      <c r="T398" s="77">
        <f>50</f>
        <v>50</v>
      </c>
      <c r="U398" s="78"/>
      <c r="V398" s="78"/>
      <c r="W398" s="78"/>
      <c r="X398" s="78"/>
      <c r="Y398" s="78"/>
      <c r="Z398" s="78"/>
      <c r="AA398" s="78"/>
      <c r="AB398" s="78"/>
      <c r="AC398" s="78"/>
      <c r="AD398" s="78"/>
    </row>
    <row r="399" spans="1:30" ht="15.75" x14ac:dyDescent="0.25">
      <c r="A399" s="14">
        <v>53447</v>
      </c>
      <c r="B399" s="89">
        <v>30</v>
      </c>
      <c r="C399" s="77">
        <f>141.293</f>
        <v>141.29300000000001</v>
      </c>
      <c r="D399" s="77">
        <f>267.993</f>
        <v>267.99299999999999</v>
      </c>
      <c r="E399" s="85">
        <f>115.016</f>
        <v>115.01600000000001</v>
      </c>
      <c r="F399" s="77">
        <f>314.698-40-25-60-100</f>
        <v>89.697999999999979</v>
      </c>
      <c r="G399" s="80">
        <v>40</v>
      </c>
      <c r="H399" s="77">
        <f t="shared" ref="H399:H405" si="67">25+60+100</f>
        <v>185</v>
      </c>
      <c r="I399" s="77">
        <f t="shared" si="59"/>
        <v>0</v>
      </c>
      <c r="J399" s="80">
        <v>100</v>
      </c>
      <c r="K399" s="80">
        <v>300</v>
      </c>
      <c r="L399" s="77">
        <f t="shared" si="63"/>
        <v>1239</v>
      </c>
      <c r="M399" s="87">
        <v>600</v>
      </c>
      <c r="N399" s="77">
        <f>100</f>
        <v>100</v>
      </c>
      <c r="O399" s="80">
        <v>240</v>
      </c>
      <c r="P399" s="80">
        <v>160</v>
      </c>
      <c r="Q399" s="80">
        <f t="shared" si="64"/>
        <v>195</v>
      </c>
      <c r="R399" s="80">
        <f t="shared" si="65"/>
        <v>100</v>
      </c>
      <c r="S399" s="77">
        <f t="shared" si="66"/>
        <v>695</v>
      </c>
      <c r="T399" s="77">
        <f>50</f>
        <v>50</v>
      </c>
      <c r="U399" s="78"/>
      <c r="V399" s="78"/>
      <c r="W399" s="78"/>
      <c r="X399" s="78"/>
      <c r="Y399" s="78"/>
      <c r="Z399" s="78"/>
      <c r="AA399" s="78"/>
      <c r="AB399" s="78"/>
      <c r="AC399" s="78"/>
      <c r="AD399" s="78"/>
    </row>
    <row r="400" spans="1:30" ht="15.75" x14ac:dyDescent="0.25">
      <c r="A400" s="14">
        <v>53478</v>
      </c>
      <c r="B400" s="89">
        <v>31</v>
      </c>
      <c r="C400" s="77">
        <f>194.205</f>
        <v>194.20500000000001</v>
      </c>
      <c r="D400" s="77">
        <f>267.466</f>
        <v>267.46600000000001</v>
      </c>
      <c r="E400" s="85">
        <f>133.845</f>
        <v>133.845</v>
      </c>
      <c r="F400" s="77">
        <f>278.484-40-25-60-100</f>
        <v>53.48399999999998</v>
      </c>
      <c r="G400" s="80">
        <v>40</v>
      </c>
      <c r="H400" s="77">
        <f t="shared" si="67"/>
        <v>185</v>
      </c>
      <c r="I400" s="77">
        <f t="shared" si="59"/>
        <v>0</v>
      </c>
      <c r="J400" s="80">
        <v>100</v>
      </c>
      <c r="K400" s="80">
        <v>300</v>
      </c>
      <c r="L400" s="77">
        <f t="shared" si="63"/>
        <v>1274</v>
      </c>
      <c r="M400" s="87">
        <v>600</v>
      </c>
      <c r="N400" s="77">
        <f>75</f>
        <v>75</v>
      </c>
      <c r="O400" s="80">
        <v>240</v>
      </c>
      <c r="P400" s="80">
        <v>160</v>
      </c>
      <c r="Q400" s="80">
        <f t="shared" si="64"/>
        <v>195</v>
      </c>
      <c r="R400" s="80">
        <f t="shared" si="65"/>
        <v>100</v>
      </c>
      <c r="S400" s="77">
        <f t="shared" si="66"/>
        <v>695</v>
      </c>
      <c r="T400" s="77">
        <f>50</f>
        <v>50</v>
      </c>
      <c r="U400" s="78"/>
      <c r="V400" s="78"/>
      <c r="W400" s="78"/>
      <c r="X400" s="78"/>
      <c r="Y400" s="78"/>
      <c r="Z400" s="78"/>
      <c r="AA400" s="78"/>
      <c r="AB400" s="78"/>
      <c r="AC400" s="78"/>
      <c r="AD400" s="78"/>
    </row>
    <row r="401" spans="1:30" ht="15.75" x14ac:dyDescent="0.25">
      <c r="A401" s="14">
        <v>53508</v>
      </c>
      <c r="B401" s="89">
        <v>30</v>
      </c>
      <c r="C401" s="77">
        <f>194.205</f>
        <v>194.20500000000001</v>
      </c>
      <c r="D401" s="77">
        <f>267.466</f>
        <v>267.46600000000001</v>
      </c>
      <c r="E401" s="85">
        <f>133.845</f>
        <v>133.845</v>
      </c>
      <c r="F401" s="77">
        <f>278.484-40-25-60-100</f>
        <v>53.48399999999998</v>
      </c>
      <c r="G401" s="80">
        <v>40</v>
      </c>
      <c r="H401" s="77">
        <f t="shared" si="67"/>
        <v>185</v>
      </c>
      <c r="I401" s="77">
        <f t="shared" si="59"/>
        <v>0</v>
      </c>
      <c r="J401" s="80">
        <v>100</v>
      </c>
      <c r="K401" s="80">
        <v>300</v>
      </c>
      <c r="L401" s="77">
        <f t="shared" si="63"/>
        <v>1274</v>
      </c>
      <c r="M401" s="87">
        <v>600</v>
      </c>
      <c r="N401" s="77">
        <f>30</f>
        <v>30</v>
      </c>
      <c r="O401" s="80">
        <v>240</v>
      </c>
      <c r="P401" s="80">
        <v>160</v>
      </c>
      <c r="Q401" s="80">
        <f t="shared" si="64"/>
        <v>195</v>
      </c>
      <c r="R401" s="80">
        <f t="shared" si="65"/>
        <v>100</v>
      </c>
      <c r="S401" s="77">
        <f t="shared" si="66"/>
        <v>695</v>
      </c>
      <c r="T401" s="77">
        <f>50</f>
        <v>50</v>
      </c>
      <c r="U401" s="78"/>
      <c r="V401" s="78"/>
      <c r="W401" s="78"/>
      <c r="X401" s="78"/>
      <c r="Y401" s="78"/>
      <c r="Z401" s="78"/>
      <c r="AA401" s="78"/>
      <c r="AB401" s="78"/>
      <c r="AC401" s="78"/>
      <c r="AD401" s="78"/>
    </row>
    <row r="402" spans="1:30" ht="15.75" x14ac:dyDescent="0.25">
      <c r="A402" s="14">
        <v>53539</v>
      </c>
      <c r="B402" s="89">
        <v>31</v>
      </c>
      <c r="C402" s="77">
        <f>194.205</f>
        <v>194.20500000000001</v>
      </c>
      <c r="D402" s="77">
        <f>267.466</f>
        <v>267.46600000000001</v>
      </c>
      <c r="E402" s="85">
        <f>133.845</f>
        <v>133.845</v>
      </c>
      <c r="F402" s="77">
        <f>278.484-40-25-60-100</f>
        <v>53.48399999999998</v>
      </c>
      <c r="G402" s="80">
        <v>40</v>
      </c>
      <c r="H402" s="77">
        <f t="shared" si="67"/>
        <v>185</v>
      </c>
      <c r="I402" s="77">
        <f t="shared" si="59"/>
        <v>0</v>
      </c>
      <c r="J402" s="80">
        <v>100</v>
      </c>
      <c r="K402" s="80">
        <v>300</v>
      </c>
      <c r="L402" s="77">
        <f t="shared" si="63"/>
        <v>1274</v>
      </c>
      <c r="M402" s="87">
        <v>600</v>
      </c>
      <c r="N402" s="77">
        <f>30</f>
        <v>30</v>
      </c>
      <c r="O402" s="80">
        <v>240</v>
      </c>
      <c r="P402" s="80">
        <v>160</v>
      </c>
      <c r="Q402" s="80">
        <f t="shared" si="64"/>
        <v>195</v>
      </c>
      <c r="R402" s="80">
        <f t="shared" si="65"/>
        <v>100</v>
      </c>
      <c r="S402" s="77">
        <f t="shared" si="66"/>
        <v>695</v>
      </c>
      <c r="T402" s="77">
        <f>0</f>
        <v>0</v>
      </c>
      <c r="U402" s="78"/>
      <c r="V402" s="78"/>
      <c r="W402" s="78"/>
      <c r="X402" s="78"/>
      <c r="Y402" s="78"/>
      <c r="Z402" s="78"/>
      <c r="AA402" s="78"/>
      <c r="AB402" s="78"/>
      <c r="AC402" s="78"/>
      <c r="AD402" s="78"/>
    </row>
    <row r="403" spans="1:30" ht="15.75" x14ac:dyDescent="0.25">
      <c r="A403" s="14">
        <v>53570</v>
      </c>
      <c r="B403" s="89">
        <v>31</v>
      </c>
      <c r="C403" s="77">
        <f>194.205</f>
        <v>194.20500000000001</v>
      </c>
      <c r="D403" s="77">
        <f>267.466</f>
        <v>267.46600000000001</v>
      </c>
      <c r="E403" s="85">
        <f>133.845</f>
        <v>133.845</v>
      </c>
      <c r="F403" s="77">
        <f>278.484-40-25-60-100</f>
        <v>53.48399999999998</v>
      </c>
      <c r="G403" s="80">
        <v>40</v>
      </c>
      <c r="H403" s="77">
        <f t="shared" si="67"/>
        <v>185</v>
      </c>
      <c r="I403" s="77">
        <f t="shared" si="59"/>
        <v>0</v>
      </c>
      <c r="J403" s="80">
        <v>100</v>
      </c>
      <c r="K403" s="80">
        <v>300</v>
      </c>
      <c r="L403" s="77">
        <f t="shared" si="63"/>
        <v>1274</v>
      </c>
      <c r="M403" s="87">
        <v>600</v>
      </c>
      <c r="N403" s="77">
        <f>30</f>
        <v>30</v>
      </c>
      <c r="O403" s="80">
        <v>240</v>
      </c>
      <c r="P403" s="80">
        <v>160</v>
      </c>
      <c r="Q403" s="80">
        <f t="shared" si="64"/>
        <v>195</v>
      </c>
      <c r="R403" s="80">
        <f t="shared" si="65"/>
        <v>100</v>
      </c>
      <c r="S403" s="77">
        <f t="shared" si="66"/>
        <v>695</v>
      </c>
      <c r="T403" s="77">
        <f>0</f>
        <v>0</v>
      </c>
      <c r="U403" s="78"/>
      <c r="V403" s="78"/>
      <c r="W403" s="78"/>
      <c r="X403" s="78"/>
      <c r="Y403" s="78"/>
      <c r="Z403" s="78"/>
      <c r="AA403" s="78"/>
      <c r="AB403" s="78"/>
      <c r="AC403" s="78"/>
      <c r="AD403" s="78"/>
    </row>
    <row r="404" spans="1:30" ht="15.75" x14ac:dyDescent="0.25">
      <c r="A404" s="14">
        <v>53600</v>
      </c>
      <c r="B404" s="89">
        <v>30</v>
      </c>
      <c r="C404" s="77">
        <f>194.205</f>
        <v>194.20500000000001</v>
      </c>
      <c r="D404" s="77">
        <f>267.466</f>
        <v>267.46600000000001</v>
      </c>
      <c r="E404" s="85">
        <f>133.845</f>
        <v>133.845</v>
      </c>
      <c r="F404" s="77">
        <f>278.484-40-25-60-100</f>
        <v>53.48399999999998</v>
      </c>
      <c r="G404" s="80">
        <v>40</v>
      </c>
      <c r="H404" s="77">
        <f t="shared" si="67"/>
        <v>185</v>
      </c>
      <c r="I404" s="77">
        <f t="shared" si="59"/>
        <v>0</v>
      </c>
      <c r="J404" s="80">
        <v>100</v>
      </c>
      <c r="K404" s="80">
        <v>300</v>
      </c>
      <c r="L404" s="77">
        <f t="shared" si="63"/>
        <v>1274</v>
      </c>
      <c r="M404" s="87">
        <v>600</v>
      </c>
      <c r="N404" s="77">
        <f>30</f>
        <v>30</v>
      </c>
      <c r="O404" s="80">
        <v>240</v>
      </c>
      <c r="P404" s="80">
        <v>160</v>
      </c>
      <c r="Q404" s="80">
        <f t="shared" si="64"/>
        <v>195</v>
      </c>
      <c r="R404" s="80">
        <f t="shared" si="65"/>
        <v>100</v>
      </c>
      <c r="S404" s="77">
        <f t="shared" si="66"/>
        <v>695</v>
      </c>
      <c r="T404" s="77">
        <f>0</f>
        <v>0</v>
      </c>
      <c r="U404" s="78"/>
      <c r="V404" s="78"/>
      <c r="W404" s="78"/>
      <c r="X404" s="78"/>
      <c r="Y404" s="78"/>
      <c r="Z404" s="78"/>
      <c r="AA404" s="78"/>
      <c r="AB404" s="78"/>
      <c r="AC404" s="78"/>
      <c r="AD404" s="78"/>
    </row>
    <row r="405" spans="1:30" ht="15.75" x14ac:dyDescent="0.25">
      <c r="A405" s="14">
        <v>53631</v>
      </c>
      <c r="B405" s="89">
        <v>31</v>
      </c>
      <c r="C405" s="77">
        <f>131.881</f>
        <v>131.881</v>
      </c>
      <c r="D405" s="77">
        <f>277.167</f>
        <v>277.16699999999997</v>
      </c>
      <c r="E405" s="85">
        <f>79.08</f>
        <v>79.08</v>
      </c>
      <c r="F405" s="77">
        <f>350.872-40-25-60-100</f>
        <v>125.87200000000001</v>
      </c>
      <c r="G405" s="80">
        <v>40</v>
      </c>
      <c r="H405" s="77">
        <f t="shared" si="67"/>
        <v>185</v>
      </c>
      <c r="I405" s="77">
        <f t="shared" si="59"/>
        <v>0</v>
      </c>
      <c r="J405" s="80">
        <v>100</v>
      </c>
      <c r="K405" s="80">
        <v>300</v>
      </c>
      <c r="L405" s="77">
        <f t="shared" si="63"/>
        <v>1239</v>
      </c>
      <c r="M405" s="87">
        <v>600</v>
      </c>
      <c r="N405" s="77">
        <f>75</f>
        <v>75</v>
      </c>
      <c r="O405" s="80">
        <v>240</v>
      </c>
      <c r="P405" s="80">
        <v>160</v>
      </c>
      <c r="Q405" s="80">
        <f t="shared" si="64"/>
        <v>195</v>
      </c>
      <c r="R405" s="80">
        <f t="shared" si="65"/>
        <v>100</v>
      </c>
      <c r="S405" s="77">
        <f t="shared" si="66"/>
        <v>695</v>
      </c>
      <c r="T405" s="77">
        <f>0</f>
        <v>0</v>
      </c>
      <c r="U405" s="78"/>
      <c r="V405" s="78"/>
      <c r="W405" s="78"/>
      <c r="X405" s="78"/>
      <c r="Y405" s="78"/>
      <c r="Z405" s="78"/>
      <c r="AA405" s="78"/>
      <c r="AB405" s="78"/>
      <c r="AC405" s="78"/>
      <c r="AD405" s="78"/>
    </row>
    <row r="406" spans="1:30" ht="15.75" x14ac:dyDescent="0.25">
      <c r="A406" s="14">
        <v>53661</v>
      </c>
      <c r="B406" s="89">
        <v>30</v>
      </c>
      <c r="C406" s="77">
        <f>122.58</f>
        <v>122.58</v>
      </c>
      <c r="D406" s="77">
        <f>297.941</f>
        <v>297.94099999999997</v>
      </c>
      <c r="E406" s="85">
        <f>89.177</f>
        <v>89.177000000000007</v>
      </c>
      <c r="F406" s="77">
        <f>240.302-40-60-100</f>
        <v>40.301999999999992</v>
      </c>
      <c r="G406" s="80">
        <v>40</v>
      </c>
      <c r="H406" s="77">
        <f>60+100</f>
        <v>160</v>
      </c>
      <c r="I406" s="77">
        <f t="shared" si="59"/>
        <v>0</v>
      </c>
      <c r="J406" s="80">
        <v>100</v>
      </c>
      <c r="K406" s="80">
        <v>300</v>
      </c>
      <c r="L406" s="77">
        <f t="shared" si="63"/>
        <v>1150</v>
      </c>
      <c r="M406" s="87">
        <v>600</v>
      </c>
      <c r="N406" s="77">
        <f>100</f>
        <v>100</v>
      </c>
      <c r="O406" s="80">
        <v>240</v>
      </c>
      <c r="P406" s="80">
        <v>40</v>
      </c>
      <c r="Q406" s="80">
        <f t="shared" si="64"/>
        <v>315</v>
      </c>
      <c r="R406" s="80">
        <f t="shared" si="65"/>
        <v>100</v>
      </c>
      <c r="S406" s="77">
        <f t="shared" si="66"/>
        <v>695</v>
      </c>
      <c r="T406" s="77">
        <f>50</f>
        <v>50</v>
      </c>
      <c r="U406" s="78"/>
      <c r="V406" s="78"/>
      <c r="W406" s="78"/>
      <c r="X406" s="78"/>
      <c r="Y406" s="78"/>
      <c r="Z406" s="78"/>
      <c r="AA406" s="78"/>
      <c r="AB406" s="78"/>
      <c r="AC406" s="78"/>
      <c r="AD406" s="78"/>
    </row>
    <row r="407" spans="1:30" ht="15.75" x14ac:dyDescent="0.25">
      <c r="A407" s="14">
        <v>53692</v>
      </c>
      <c r="B407" s="89">
        <v>31</v>
      </c>
      <c r="C407" s="77">
        <f>122.58</f>
        <v>122.58</v>
      </c>
      <c r="D407" s="77">
        <f>297.941</f>
        <v>297.94099999999997</v>
      </c>
      <c r="E407" s="85">
        <f>89.177</f>
        <v>89.177000000000007</v>
      </c>
      <c r="F407" s="77">
        <f>240.302-40-60-100</f>
        <v>40.301999999999992</v>
      </c>
      <c r="G407" s="80">
        <v>40</v>
      </c>
      <c r="H407" s="77">
        <f>60+100</f>
        <v>160</v>
      </c>
      <c r="I407" s="77">
        <f t="shared" si="59"/>
        <v>0</v>
      </c>
      <c r="J407" s="80">
        <v>100</v>
      </c>
      <c r="K407" s="80">
        <v>300</v>
      </c>
      <c r="L407" s="77">
        <f t="shared" si="63"/>
        <v>1150</v>
      </c>
      <c r="M407" s="87">
        <v>600</v>
      </c>
      <c r="N407" s="77">
        <f>100</f>
        <v>100</v>
      </c>
      <c r="O407" s="80">
        <v>240</v>
      </c>
      <c r="P407" s="80">
        <v>40</v>
      </c>
      <c r="Q407" s="80">
        <f t="shared" si="64"/>
        <v>315</v>
      </c>
      <c r="R407" s="80">
        <f t="shared" si="65"/>
        <v>100</v>
      </c>
      <c r="S407" s="77">
        <f t="shared" si="66"/>
        <v>695</v>
      </c>
      <c r="T407" s="77">
        <f>50</f>
        <v>50</v>
      </c>
      <c r="U407" s="78"/>
      <c r="V407" s="78"/>
      <c r="W407" s="78"/>
      <c r="X407" s="78"/>
      <c r="Y407" s="78"/>
      <c r="Z407" s="78"/>
      <c r="AA407" s="78"/>
      <c r="AB407" s="78"/>
      <c r="AC407" s="78"/>
      <c r="AD407" s="78"/>
    </row>
    <row r="408" spans="1:30" ht="15.75" x14ac:dyDescent="0.25">
      <c r="A408" s="14">
        <v>53723</v>
      </c>
      <c r="B408" s="89">
        <v>31</v>
      </c>
      <c r="C408" s="77">
        <f>122.58</f>
        <v>122.58</v>
      </c>
      <c r="D408" s="77">
        <f>297.941</f>
        <v>297.94099999999997</v>
      </c>
      <c r="E408" s="85">
        <f>89.177</f>
        <v>89.177000000000007</v>
      </c>
      <c r="F408" s="77">
        <f>240.302-40-60-100</f>
        <v>40.301999999999992</v>
      </c>
      <c r="G408" s="80">
        <v>40</v>
      </c>
      <c r="H408" s="77">
        <f>60+100</f>
        <v>160</v>
      </c>
      <c r="I408" s="77">
        <f t="shared" si="59"/>
        <v>0</v>
      </c>
      <c r="J408" s="80">
        <v>100</v>
      </c>
      <c r="K408" s="80">
        <v>300</v>
      </c>
      <c r="L408" s="77">
        <f t="shared" si="63"/>
        <v>1150</v>
      </c>
      <c r="M408" s="87">
        <v>600</v>
      </c>
      <c r="N408" s="77">
        <f>100</f>
        <v>100</v>
      </c>
      <c r="O408" s="80">
        <v>240</v>
      </c>
      <c r="P408" s="80">
        <v>40</v>
      </c>
      <c r="Q408" s="80">
        <f t="shared" si="64"/>
        <v>315</v>
      </c>
      <c r="R408" s="80">
        <f t="shared" si="65"/>
        <v>100</v>
      </c>
      <c r="S408" s="77">
        <f t="shared" si="66"/>
        <v>695</v>
      </c>
      <c r="T408" s="77">
        <f>50</f>
        <v>50</v>
      </c>
      <c r="U408" s="78"/>
      <c r="V408" s="78"/>
      <c r="W408" s="78"/>
      <c r="X408" s="78"/>
      <c r="Y408" s="78"/>
      <c r="Z408" s="78"/>
      <c r="AA408" s="78"/>
      <c r="AB408" s="78"/>
      <c r="AC408" s="78"/>
      <c r="AD408" s="78"/>
    </row>
    <row r="409" spans="1:30" ht="15.75" x14ac:dyDescent="0.25">
      <c r="A409" s="14">
        <v>53751</v>
      </c>
      <c r="B409" s="89">
        <v>28</v>
      </c>
      <c r="C409" s="77">
        <f>122.58</f>
        <v>122.58</v>
      </c>
      <c r="D409" s="77">
        <f>297.941</f>
        <v>297.94099999999997</v>
      </c>
      <c r="E409" s="85">
        <f>89.177</f>
        <v>89.177000000000007</v>
      </c>
      <c r="F409" s="77">
        <f>240.302-40-60-100</f>
        <v>40.301999999999992</v>
      </c>
      <c r="G409" s="80">
        <v>40</v>
      </c>
      <c r="H409" s="77">
        <f>60+100</f>
        <v>160</v>
      </c>
      <c r="I409" s="77">
        <f t="shared" si="59"/>
        <v>0</v>
      </c>
      <c r="J409" s="80">
        <v>100</v>
      </c>
      <c r="K409" s="80">
        <v>300</v>
      </c>
      <c r="L409" s="77">
        <f t="shared" si="63"/>
        <v>1150</v>
      </c>
      <c r="M409" s="87">
        <v>600</v>
      </c>
      <c r="N409" s="77">
        <f>100</f>
        <v>100</v>
      </c>
      <c r="O409" s="80">
        <v>240</v>
      </c>
      <c r="P409" s="80">
        <v>40</v>
      </c>
      <c r="Q409" s="80">
        <f t="shared" si="64"/>
        <v>315</v>
      </c>
      <c r="R409" s="80">
        <f t="shared" si="65"/>
        <v>100</v>
      </c>
      <c r="S409" s="77">
        <f t="shared" si="66"/>
        <v>695</v>
      </c>
      <c r="T409" s="77">
        <f>50</f>
        <v>50</v>
      </c>
      <c r="U409" s="78"/>
      <c r="V409" s="78"/>
      <c r="W409" s="78"/>
      <c r="X409" s="78"/>
      <c r="Y409" s="78"/>
      <c r="Z409" s="78"/>
      <c r="AA409" s="78"/>
      <c r="AB409" s="78"/>
      <c r="AC409" s="78"/>
      <c r="AD409" s="78"/>
    </row>
    <row r="410" spans="1:30" ht="15.75" x14ac:dyDescent="0.25">
      <c r="A410" s="14">
        <v>53782</v>
      </c>
      <c r="B410" s="89">
        <v>31</v>
      </c>
      <c r="C410" s="77">
        <f>122.58</f>
        <v>122.58</v>
      </c>
      <c r="D410" s="77">
        <f>297.941</f>
        <v>297.94099999999997</v>
      </c>
      <c r="E410" s="85">
        <f>89.177</f>
        <v>89.177000000000007</v>
      </c>
      <c r="F410" s="77">
        <f>240.302-40-60-100</f>
        <v>40.301999999999992</v>
      </c>
      <c r="G410" s="80">
        <v>40</v>
      </c>
      <c r="H410" s="77">
        <f>60+100</f>
        <v>160</v>
      </c>
      <c r="I410" s="77">
        <f t="shared" si="59"/>
        <v>0</v>
      </c>
      <c r="J410" s="80">
        <v>100</v>
      </c>
      <c r="K410" s="80">
        <v>300</v>
      </c>
      <c r="L410" s="77">
        <f t="shared" si="63"/>
        <v>1150</v>
      </c>
      <c r="M410" s="87">
        <v>600</v>
      </c>
      <c r="N410" s="77">
        <f>100</f>
        <v>100</v>
      </c>
      <c r="O410" s="80">
        <v>240</v>
      </c>
      <c r="P410" s="80">
        <v>40</v>
      </c>
      <c r="Q410" s="80">
        <f t="shared" si="64"/>
        <v>315</v>
      </c>
      <c r="R410" s="80">
        <f t="shared" si="65"/>
        <v>100</v>
      </c>
      <c r="S410" s="77">
        <f t="shared" si="66"/>
        <v>695</v>
      </c>
      <c r="T410" s="77">
        <f>50</f>
        <v>50</v>
      </c>
      <c r="U410" s="78"/>
      <c r="V410" s="78"/>
      <c r="W410" s="78"/>
      <c r="X410" s="78"/>
      <c r="Y410" s="78"/>
      <c r="Z410" s="78"/>
      <c r="AA410" s="78"/>
      <c r="AB410" s="78"/>
      <c r="AC410" s="78"/>
      <c r="AD410" s="78"/>
    </row>
    <row r="411" spans="1:30" ht="15.75" x14ac:dyDescent="0.25">
      <c r="A411" s="14">
        <v>53812</v>
      </c>
      <c r="B411" s="89">
        <v>30</v>
      </c>
      <c r="C411" s="77">
        <f>141.293</f>
        <v>141.29300000000001</v>
      </c>
      <c r="D411" s="77">
        <f>267.993</f>
        <v>267.99299999999999</v>
      </c>
      <c r="E411" s="85">
        <f>115.016</f>
        <v>115.01600000000001</v>
      </c>
      <c r="F411" s="77">
        <f>314.698-40-25-60-100</f>
        <v>89.697999999999979</v>
      </c>
      <c r="G411" s="80">
        <v>40</v>
      </c>
      <c r="H411" s="77">
        <f t="shared" ref="H411:H417" si="68">25+60+100</f>
        <v>185</v>
      </c>
      <c r="I411" s="77">
        <f t="shared" si="59"/>
        <v>0</v>
      </c>
      <c r="J411" s="80">
        <v>100</v>
      </c>
      <c r="K411" s="80">
        <v>300</v>
      </c>
      <c r="L411" s="77">
        <f t="shared" si="63"/>
        <v>1239</v>
      </c>
      <c r="M411" s="87">
        <v>600</v>
      </c>
      <c r="N411" s="77">
        <f>100</f>
        <v>100</v>
      </c>
      <c r="O411" s="80">
        <v>240</v>
      </c>
      <c r="P411" s="80">
        <v>160</v>
      </c>
      <c r="Q411" s="80">
        <f t="shared" si="64"/>
        <v>195</v>
      </c>
      <c r="R411" s="80">
        <f t="shared" si="65"/>
        <v>100</v>
      </c>
      <c r="S411" s="77">
        <f t="shared" si="66"/>
        <v>695</v>
      </c>
      <c r="T411" s="77">
        <f>50</f>
        <v>50</v>
      </c>
      <c r="U411" s="78"/>
      <c r="V411" s="78"/>
      <c r="W411" s="78"/>
      <c r="X411" s="78"/>
      <c r="Y411" s="78"/>
      <c r="Z411" s="78"/>
      <c r="AA411" s="78"/>
      <c r="AB411" s="78"/>
      <c r="AC411" s="78"/>
      <c r="AD411" s="78"/>
    </row>
    <row r="412" spans="1:30" ht="15.75" x14ac:dyDescent="0.25">
      <c r="A412" s="14">
        <v>53843</v>
      </c>
      <c r="B412" s="89">
        <v>31</v>
      </c>
      <c r="C412" s="77">
        <f>194.205</f>
        <v>194.20500000000001</v>
      </c>
      <c r="D412" s="77">
        <f>267.466</f>
        <v>267.46600000000001</v>
      </c>
      <c r="E412" s="85">
        <f>133.845</f>
        <v>133.845</v>
      </c>
      <c r="F412" s="77">
        <f>278.484-40-25-60-100</f>
        <v>53.48399999999998</v>
      </c>
      <c r="G412" s="80">
        <v>40</v>
      </c>
      <c r="H412" s="77">
        <f t="shared" si="68"/>
        <v>185</v>
      </c>
      <c r="I412" s="77">
        <f t="shared" si="59"/>
        <v>0</v>
      </c>
      <c r="J412" s="80">
        <v>100</v>
      </c>
      <c r="K412" s="80">
        <v>300</v>
      </c>
      <c r="L412" s="77">
        <f t="shared" si="63"/>
        <v>1274</v>
      </c>
      <c r="M412" s="87">
        <v>600</v>
      </c>
      <c r="N412" s="77">
        <f>75</f>
        <v>75</v>
      </c>
      <c r="O412" s="80">
        <v>240</v>
      </c>
      <c r="P412" s="80">
        <v>160</v>
      </c>
      <c r="Q412" s="80">
        <f t="shared" si="64"/>
        <v>195</v>
      </c>
      <c r="R412" s="80">
        <f t="shared" si="65"/>
        <v>100</v>
      </c>
      <c r="S412" s="77">
        <f t="shared" si="66"/>
        <v>695</v>
      </c>
      <c r="T412" s="77">
        <f>50</f>
        <v>50</v>
      </c>
      <c r="U412" s="78"/>
      <c r="V412" s="78"/>
      <c r="W412" s="78"/>
      <c r="X412" s="78"/>
      <c r="Y412" s="78"/>
      <c r="Z412" s="78"/>
      <c r="AA412" s="78"/>
      <c r="AB412" s="78"/>
      <c r="AC412" s="78"/>
      <c r="AD412" s="78"/>
    </row>
    <row r="413" spans="1:30" ht="15.75" x14ac:dyDescent="0.25">
      <c r="A413" s="14">
        <v>53873</v>
      </c>
      <c r="B413" s="89">
        <v>30</v>
      </c>
      <c r="C413" s="77">
        <f>194.205</f>
        <v>194.20500000000001</v>
      </c>
      <c r="D413" s="77">
        <f>267.466</f>
        <v>267.46600000000001</v>
      </c>
      <c r="E413" s="85">
        <f>133.845</f>
        <v>133.845</v>
      </c>
      <c r="F413" s="77">
        <f>278.484-40-25-60-100</f>
        <v>53.48399999999998</v>
      </c>
      <c r="G413" s="80">
        <v>40</v>
      </c>
      <c r="H413" s="77">
        <f t="shared" si="68"/>
        <v>185</v>
      </c>
      <c r="I413" s="77">
        <f t="shared" si="59"/>
        <v>0</v>
      </c>
      <c r="J413" s="80">
        <v>100</v>
      </c>
      <c r="K413" s="80">
        <v>300</v>
      </c>
      <c r="L413" s="77">
        <f t="shared" si="63"/>
        <v>1274</v>
      </c>
      <c r="M413" s="87">
        <v>600</v>
      </c>
      <c r="N413" s="77">
        <f>30</f>
        <v>30</v>
      </c>
      <c r="O413" s="80">
        <v>240</v>
      </c>
      <c r="P413" s="80">
        <v>160</v>
      </c>
      <c r="Q413" s="80">
        <f t="shared" si="64"/>
        <v>195</v>
      </c>
      <c r="R413" s="80">
        <f t="shared" si="65"/>
        <v>100</v>
      </c>
      <c r="S413" s="77">
        <f t="shared" si="66"/>
        <v>695</v>
      </c>
      <c r="T413" s="77">
        <f>50</f>
        <v>50</v>
      </c>
      <c r="U413" s="78"/>
      <c r="V413" s="78"/>
      <c r="W413" s="78"/>
      <c r="X413" s="78"/>
      <c r="Y413" s="78"/>
      <c r="Z413" s="78"/>
      <c r="AA413" s="78"/>
      <c r="AB413" s="78"/>
      <c r="AC413" s="78"/>
      <c r="AD413" s="78"/>
    </row>
    <row r="414" spans="1:30" ht="15.75" x14ac:dyDescent="0.25">
      <c r="A414" s="14">
        <v>53904</v>
      </c>
      <c r="B414" s="89">
        <v>31</v>
      </c>
      <c r="C414" s="77">
        <f>194.205</f>
        <v>194.20500000000001</v>
      </c>
      <c r="D414" s="77">
        <f>267.466</f>
        <v>267.46600000000001</v>
      </c>
      <c r="E414" s="85">
        <f>133.845</f>
        <v>133.845</v>
      </c>
      <c r="F414" s="77">
        <f>278.484-40-25-60-100</f>
        <v>53.48399999999998</v>
      </c>
      <c r="G414" s="80">
        <v>40</v>
      </c>
      <c r="H414" s="77">
        <f t="shared" si="68"/>
        <v>185</v>
      </c>
      <c r="I414" s="77">
        <f t="shared" si="59"/>
        <v>0</v>
      </c>
      <c r="J414" s="80">
        <v>100</v>
      </c>
      <c r="K414" s="80">
        <v>300</v>
      </c>
      <c r="L414" s="77">
        <f t="shared" si="63"/>
        <v>1274</v>
      </c>
      <c r="M414" s="87">
        <v>600</v>
      </c>
      <c r="N414" s="77">
        <f>30</f>
        <v>30</v>
      </c>
      <c r="O414" s="80">
        <v>240</v>
      </c>
      <c r="P414" s="80">
        <v>160</v>
      </c>
      <c r="Q414" s="80">
        <f t="shared" si="64"/>
        <v>195</v>
      </c>
      <c r="R414" s="80">
        <f t="shared" si="65"/>
        <v>100</v>
      </c>
      <c r="S414" s="77">
        <f t="shared" si="66"/>
        <v>695</v>
      </c>
      <c r="T414" s="77">
        <f>0</f>
        <v>0</v>
      </c>
      <c r="U414" s="78"/>
      <c r="V414" s="78"/>
      <c r="W414" s="78"/>
      <c r="X414" s="78"/>
      <c r="Y414" s="78"/>
      <c r="Z414" s="78"/>
      <c r="AA414" s="78"/>
      <c r="AB414" s="78"/>
      <c r="AC414" s="78"/>
      <c r="AD414" s="78"/>
    </row>
    <row r="415" spans="1:30" ht="15.75" x14ac:dyDescent="0.25">
      <c r="A415" s="14">
        <v>53935</v>
      </c>
      <c r="B415" s="89">
        <v>31</v>
      </c>
      <c r="C415" s="77">
        <f>194.205</f>
        <v>194.20500000000001</v>
      </c>
      <c r="D415" s="77">
        <f>267.466</f>
        <v>267.46600000000001</v>
      </c>
      <c r="E415" s="85">
        <f>133.845</f>
        <v>133.845</v>
      </c>
      <c r="F415" s="77">
        <f>278.484-40-25-60-100</f>
        <v>53.48399999999998</v>
      </c>
      <c r="G415" s="80">
        <v>40</v>
      </c>
      <c r="H415" s="77">
        <f t="shared" si="68"/>
        <v>185</v>
      </c>
      <c r="I415" s="77">
        <f t="shared" si="59"/>
        <v>0</v>
      </c>
      <c r="J415" s="80">
        <v>100</v>
      </c>
      <c r="K415" s="80">
        <v>300</v>
      </c>
      <c r="L415" s="77">
        <f t="shared" si="63"/>
        <v>1274</v>
      </c>
      <c r="M415" s="87">
        <v>600</v>
      </c>
      <c r="N415" s="77">
        <f>30</f>
        <v>30</v>
      </c>
      <c r="O415" s="80">
        <v>240</v>
      </c>
      <c r="P415" s="80">
        <v>160</v>
      </c>
      <c r="Q415" s="80">
        <f t="shared" si="64"/>
        <v>195</v>
      </c>
      <c r="R415" s="80">
        <f t="shared" si="65"/>
        <v>100</v>
      </c>
      <c r="S415" s="77">
        <f t="shared" si="66"/>
        <v>695</v>
      </c>
      <c r="T415" s="77">
        <f>0</f>
        <v>0</v>
      </c>
      <c r="U415" s="78"/>
      <c r="V415" s="78"/>
      <c r="W415" s="78"/>
      <c r="X415" s="78"/>
      <c r="Y415" s="78"/>
      <c r="Z415" s="78"/>
      <c r="AA415" s="78"/>
      <c r="AB415" s="78"/>
      <c r="AC415" s="78"/>
      <c r="AD415" s="78"/>
    </row>
    <row r="416" spans="1:30" ht="15.75" x14ac:dyDescent="0.25">
      <c r="A416" s="14">
        <v>53965</v>
      </c>
      <c r="B416" s="89">
        <v>30</v>
      </c>
      <c r="C416" s="77">
        <f>194.205</f>
        <v>194.20500000000001</v>
      </c>
      <c r="D416" s="77">
        <f>267.466</f>
        <v>267.46600000000001</v>
      </c>
      <c r="E416" s="85">
        <f>133.845</f>
        <v>133.845</v>
      </c>
      <c r="F416" s="77">
        <f>278.484-40-25-60-100</f>
        <v>53.48399999999998</v>
      </c>
      <c r="G416" s="80">
        <v>40</v>
      </c>
      <c r="H416" s="77">
        <f t="shared" si="68"/>
        <v>185</v>
      </c>
      <c r="I416" s="77">
        <f t="shared" si="59"/>
        <v>0</v>
      </c>
      <c r="J416" s="80">
        <v>100</v>
      </c>
      <c r="K416" s="80">
        <v>300</v>
      </c>
      <c r="L416" s="77">
        <f t="shared" si="63"/>
        <v>1274</v>
      </c>
      <c r="M416" s="87">
        <v>600</v>
      </c>
      <c r="N416" s="77">
        <f>30</f>
        <v>30</v>
      </c>
      <c r="O416" s="80">
        <v>240</v>
      </c>
      <c r="P416" s="80">
        <v>160</v>
      </c>
      <c r="Q416" s="80">
        <f t="shared" si="64"/>
        <v>195</v>
      </c>
      <c r="R416" s="80">
        <f t="shared" si="65"/>
        <v>100</v>
      </c>
      <c r="S416" s="77">
        <f t="shared" si="66"/>
        <v>695</v>
      </c>
      <c r="T416" s="77">
        <f>0</f>
        <v>0</v>
      </c>
      <c r="U416" s="78"/>
      <c r="V416" s="78"/>
      <c r="W416" s="78"/>
      <c r="X416" s="78"/>
      <c r="Y416" s="78"/>
      <c r="Z416" s="78"/>
      <c r="AA416" s="78"/>
      <c r="AB416" s="78"/>
      <c r="AC416" s="78"/>
      <c r="AD416" s="78"/>
    </row>
    <row r="417" spans="1:30" ht="15.75" x14ac:dyDescent="0.25">
      <c r="A417" s="14">
        <v>53996</v>
      </c>
      <c r="B417" s="89">
        <v>31</v>
      </c>
      <c r="C417" s="77">
        <f>131.881</f>
        <v>131.881</v>
      </c>
      <c r="D417" s="77">
        <f>277.167</f>
        <v>277.16699999999997</v>
      </c>
      <c r="E417" s="85">
        <f>79.08</f>
        <v>79.08</v>
      </c>
      <c r="F417" s="77">
        <f>350.872-40-25-60-100</f>
        <v>125.87200000000001</v>
      </c>
      <c r="G417" s="80">
        <v>40</v>
      </c>
      <c r="H417" s="77">
        <f t="shared" si="68"/>
        <v>185</v>
      </c>
      <c r="I417" s="77">
        <f t="shared" si="59"/>
        <v>0</v>
      </c>
      <c r="J417" s="80">
        <v>100</v>
      </c>
      <c r="K417" s="80">
        <v>300</v>
      </c>
      <c r="L417" s="77">
        <f t="shared" si="63"/>
        <v>1239</v>
      </c>
      <c r="M417" s="87">
        <v>600</v>
      </c>
      <c r="N417" s="77">
        <f>75</f>
        <v>75</v>
      </c>
      <c r="O417" s="80">
        <v>240</v>
      </c>
      <c r="P417" s="80">
        <v>160</v>
      </c>
      <c r="Q417" s="80">
        <f t="shared" si="64"/>
        <v>195</v>
      </c>
      <c r="R417" s="80">
        <f t="shared" si="65"/>
        <v>100</v>
      </c>
      <c r="S417" s="77">
        <f t="shared" si="66"/>
        <v>695</v>
      </c>
      <c r="T417" s="77">
        <f>0</f>
        <v>0</v>
      </c>
      <c r="U417" s="78"/>
      <c r="V417" s="78"/>
      <c r="W417" s="78"/>
      <c r="X417" s="78"/>
      <c r="Y417" s="78"/>
      <c r="Z417" s="78"/>
      <c r="AA417" s="78"/>
      <c r="AB417" s="78"/>
      <c r="AC417" s="78"/>
      <c r="AD417" s="78"/>
    </row>
    <row r="418" spans="1:30" ht="15.75" x14ac:dyDescent="0.25">
      <c r="A418" s="14">
        <v>54026</v>
      </c>
      <c r="B418" s="89">
        <v>30</v>
      </c>
      <c r="C418" s="77">
        <f>122.58</f>
        <v>122.58</v>
      </c>
      <c r="D418" s="77">
        <f>297.941</f>
        <v>297.94099999999997</v>
      </c>
      <c r="E418" s="85">
        <f>89.177</f>
        <v>89.177000000000007</v>
      </c>
      <c r="F418" s="77">
        <f>240.302-40-60-100</f>
        <v>40.301999999999992</v>
      </c>
      <c r="G418" s="80">
        <v>40</v>
      </c>
      <c r="H418" s="77">
        <f>60+100</f>
        <v>160</v>
      </c>
      <c r="I418" s="77">
        <f t="shared" si="59"/>
        <v>0</v>
      </c>
      <c r="J418" s="80">
        <v>100</v>
      </c>
      <c r="K418" s="80">
        <v>300</v>
      </c>
      <c r="L418" s="77">
        <f t="shared" si="63"/>
        <v>1150</v>
      </c>
      <c r="M418" s="87">
        <v>600</v>
      </c>
      <c r="N418" s="77">
        <f>100</f>
        <v>100</v>
      </c>
      <c r="O418" s="80">
        <v>240</v>
      </c>
      <c r="P418" s="80">
        <v>40</v>
      </c>
      <c r="Q418" s="80">
        <f t="shared" si="64"/>
        <v>315</v>
      </c>
      <c r="R418" s="80">
        <f t="shared" si="65"/>
        <v>100</v>
      </c>
      <c r="S418" s="77">
        <f t="shared" si="66"/>
        <v>695</v>
      </c>
      <c r="T418" s="77">
        <f>50</f>
        <v>50</v>
      </c>
      <c r="U418" s="78"/>
      <c r="V418" s="78"/>
      <c r="W418" s="78"/>
      <c r="X418" s="78"/>
      <c r="Y418" s="78"/>
      <c r="Z418" s="78"/>
      <c r="AA418" s="78"/>
      <c r="AB418" s="78"/>
      <c r="AC418" s="78"/>
      <c r="AD418" s="78"/>
    </row>
    <row r="419" spans="1:30" ht="15.75" x14ac:dyDescent="0.25">
      <c r="A419" s="14">
        <v>54057</v>
      </c>
      <c r="B419" s="89">
        <v>31</v>
      </c>
      <c r="C419" s="77">
        <f>122.58</f>
        <v>122.58</v>
      </c>
      <c r="D419" s="77">
        <f>297.941</f>
        <v>297.94099999999997</v>
      </c>
      <c r="E419" s="85">
        <f>89.177</f>
        <v>89.177000000000007</v>
      </c>
      <c r="F419" s="77">
        <f>240.302-40-60-100</f>
        <v>40.301999999999992</v>
      </c>
      <c r="G419" s="80">
        <v>40</v>
      </c>
      <c r="H419" s="77">
        <f>60+100</f>
        <v>160</v>
      </c>
      <c r="I419" s="77">
        <f t="shared" si="59"/>
        <v>0</v>
      </c>
      <c r="J419" s="80">
        <v>100</v>
      </c>
      <c r="K419" s="80">
        <v>300</v>
      </c>
      <c r="L419" s="77">
        <f t="shared" si="63"/>
        <v>1150</v>
      </c>
      <c r="M419" s="87">
        <v>600</v>
      </c>
      <c r="N419" s="77">
        <f>100</f>
        <v>100</v>
      </c>
      <c r="O419" s="80">
        <v>240</v>
      </c>
      <c r="P419" s="80">
        <v>40</v>
      </c>
      <c r="Q419" s="80">
        <f t="shared" si="64"/>
        <v>315</v>
      </c>
      <c r="R419" s="80">
        <f t="shared" si="65"/>
        <v>100</v>
      </c>
      <c r="S419" s="77">
        <f t="shared" si="66"/>
        <v>695</v>
      </c>
      <c r="T419" s="77">
        <f>50</f>
        <v>50</v>
      </c>
      <c r="U419" s="78"/>
      <c r="V419" s="78"/>
      <c r="W419" s="78"/>
      <c r="X419" s="78"/>
      <c r="Y419" s="78"/>
      <c r="Z419" s="78"/>
      <c r="AA419" s="78"/>
      <c r="AB419" s="78"/>
      <c r="AC419" s="78"/>
      <c r="AD419" s="78"/>
    </row>
    <row r="420" spans="1:30" ht="15.75" x14ac:dyDescent="0.25">
      <c r="A420" s="14">
        <v>54088</v>
      </c>
      <c r="B420" s="89">
        <v>31</v>
      </c>
      <c r="C420" s="77">
        <f>122.58</f>
        <v>122.58</v>
      </c>
      <c r="D420" s="77">
        <f>297.941</f>
        <v>297.94099999999997</v>
      </c>
      <c r="E420" s="85">
        <f>89.177</f>
        <v>89.177000000000007</v>
      </c>
      <c r="F420" s="77">
        <f>240.302-40-60-100</f>
        <v>40.301999999999992</v>
      </c>
      <c r="G420" s="80">
        <v>40</v>
      </c>
      <c r="H420" s="77">
        <f>60+100</f>
        <v>160</v>
      </c>
      <c r="I420" s="77">
        <f t="shared" si="59"/>
        <v>0</v>
      </c>
      <c r="J420" s="80">
        <v>100</v>
      </c>
      <c r="K420" s="80">
        <v>300</v>
      </c>
      <c r="L420" s="77">
        <f t="shared" si="63"/>
        <v>1150</v>
      </c>
      <c r="M420" s="87">
        <v>600</v>
      </c>
      <c r="N420" s="77">
        <f>100</f>
        <v>100</v>
      </c>
      <c r="O420" s="80">
        <v>240</v>
      </c>
      <c r="P420" s="80">
        <v>40</v>
      </c>
      <c r="Q420" s="80">
        <f t="shared" si="64"/>
        <v>315</v>
      </c>
      <c r="R420" s="80">
        <f t="shared" si="65"/>
        <v>100</v>
      </c>
      <c r="S420" s="77">
        <f t="shared" si="66"/>
        <v>695</v>
      </c>
      <c r="T420" s="77">
        <f>50</f>
        <v>50</v>
      </c>
      <c r="U420" s="78"/>
      <c r="V420" s="78"/>
      <c r="W420" s="78"/>
      <c r="X420" s="78"/>
      <c r="Y420" s="78"/>
      <c r="Z420" s="78"/>
      <c r="AA420" s="78"/>
      <c r="AB420" s="78"/>
      <c r="AC420" s="78"/>
      <c r="AD420" s="78"/>
    </row>
    <row r="421" spans="1:30" ht="15.75" x14ac:dyDescent="0.25">
      <c r="A421" s="14">
        <v>54116</v>
      </c>
      <c r="B421" s="89">
        <v>29</v>
      </c>
      <c r="C421" s="77">
        <f>122.58</f>
        <v>122.58</v>
      </c>
      <c r="D421" s="77">
        <f>297.941</f>
        <v>297.94099999999997</v>
      </c>
      <c r="E421" s="85">
        <f>89.177</f>
        <v>89.177000000000007</v>
      </c>
      <c r="F421" s="77">
        <f>240.302-40-60-100</f>
        <v>40.301999999999992</v>
      </c>
      <c r="G421" s="80">
        <v>40</v>
      </c>
      <c r="H421" s="77">
        <f>60+100</f>
        <v>160</v>
      </c>
      <c r="I421" s="77">
        <f t="shared" si="59"/>
        <v>0</v>
      </c>
      <c r="J421" s="80">
        <v>100</v>
      </c>
      <c r="K421" s="80">
        <v>300</v>
      </c>
      <c r="L421" s="77">
        <f t="shared" si="63"/>
        <v>1150</v>
      </c>
      <c r="M421" s="87">
        <v>600</v>
      </c>
      <c r="N421" s="77">
        <f>100</f>
        <v>100</v>
      </c>
      <c r="O421" s="80">
        <v>240</v>
      </c>
      <c r="P421" s="80">
        <v>40</v>
      </c>
      <c r="Q421" s="80">
        <f t="shared" si="64"/>
        <v>315</v>
      </c>
      <c r="R421" s="80">
        <f t="shared" si="65"/>
        <v>100</v>
      </c>
      <c r="S421" s="77">
        <f t="shared" si="66"/>
        <v>695</v>
      </c>
      <c r="T421" s="77">
        <f>50</f>
        <v>50</v>
      </c>
      <c r="U421" s="78"/>
      <c r="V421" s="78"/>
      <c r="W421" s="78"/>
      <c r="X421" s="78"/>
      <c r="Y421" s="78"/>
      <c r="Z421" s="78"/>
      <c r="AA421" s="78"/>
      <c r="AB421" s="78"/>
      <c r="AC421" s="78"/>
      <c r="AD421" s="78"/>
    </row>
    <row r="422" spans="1:30" ht="15.75" x14ac:dyDescent="0.25">
      <c r="A422" s="14">
        <v>54148</v>
      </c>
      <c r="B422" s="89">
        <v>31</v>
      </c>
      <c r="C422" s="77">
        <f>122.58</f>
        <v>122.58</v>
      </c>
      <c r="D422" s="77">
        <f>297.941</f>
        <v>297.94099999999997</v>
      </c>
      <c r="E422" s="85">
        <f>89.177</f>
        <v>89.177000000000007</v>
      </c>
      <c r="F422" s="77">
        <f>240.302-40-60-100</f>
        <v>40.301999999999992</v>
      </c>
      <c r="G422" s="80">
        <v>40</v>
      </c>
      <c r="H422" s="77">
        <f>60+100</f>
        <v>160</v>
      </c>
      <c r="I422" s="77">
        <f t="shared" si="59"/>
        <v>0</v>
      </c>
      <c r="J422" s="80">
        <v>100</v>
      </c>
      <c r="K422" s="80">
        <v>300</v>
      </c>
      <c r="L422" s="77">
        <f t="shared" si="63"/>
        <v>1150</v>
      </c>
      <c r="M422" s="87">
        <v>600</v>
      </c>
      <c r="N422" s="77">
        <f>100</f>
        <v>100</v>
      </c>
      <c r="O422" s="80">
        <v>240</v>
      </c>
      <c r="P422" s="80">
        <v>40</v>
      </c>
      <c r="Q422" s="80">
        <f t="shared" si="64"/>
        <v>315</v>
      </c>
      <c r="R422" s="80">
        <f t="shared" si="65"/>
        <v>100</v>
      </c>
      <c r="S422" s="77">
        <f t="shared" si="66"/>
        <v>695</v>
      </c>
      <c r="T422" s="77">
        <f>50</f>
        <v>50</v>
      </c>
      <c r="U422" s="78"/>
      <c r="V422" s="78"/>
      <c r="W422" s="78"/>
      <c r="X422" s="78"/>
      <c r="Y422" s="78"/>
      <c r="Z422" s="78"/>
      <c r="AA422" s="78"/>
      <c r="AB422" s="78"/>
      <c r="AC422" s="78"/>
      <c r="AD422" s="78"/>
    </row>
    <row r="423" spans="1:30" ht="15.75" x14ac:dyDescent="0.25">
      <c r="A423" s="14">
        <v>54178</v>
      </c>
      <c r="B423" s="89">
        <v>30</v>
      </c>
      <c r="C423" s="77">
        <f>141.293</f>
        <v>141.29300000000001</v>
      </c>
      <c r="D423" s="77">
        <f>267.993</f>
        <v>267.99299999999999</v>
      </c>
      <c r="E423" s="85">
        <f>115.016</f>
        <v>115.01600000000001</v>
      </c>
      <c r="F423" s="77">
        <f>314.698-40-25-60-100</f>
        <v>89.697999999999979</v>
      </c>
      <c r="G423" s="80">
        <v>40</v>
      </c>
      <c r="H423" s="77">
        <f t="shared" ref="H423:H429" si="69">25+60+100</f>
        <v>185</v>
      </c>
      <c r="I423" s="77">
        <f t="shared" si="59"/>
        <v>0</v>
      </c>
      <c r="J423" s="80">
        <v>100</v>
      </c>
      <c r="K423" s="80">
        <v>300</v>
      </c>
      <c r="L423" s="77">
        <f t="shared" si="63"/>
        <v>1239</v>
      </c>
      <c r="M423" s="87">
        <v>600</v>
      </c>
      <c r="N423" s="77">
        <f>100</f>
        <v>100</v>
      </c>
      <c r="O423" s="80">
        <v>240</v>
      </c>
      <c r="P423" s="80">
        <v>160</v>
      </c>
      <c r="Q423" s="80">
        <f t="shared" si="64"/>
        <v>195</v>
      </c>
      <c r="R423" s="80">
        <f t="shared" si="65"/>
        <v>100</v>
      </c>
      <c r="S423" s="77">
        <f t="shared" si="66"/>
        <v>695</v>
      </c>
      <c r="T423" s="77">
        <f>50</f>
        <v>50</v>
      </c>
      <c r="U423" s="78"/>
      <c r="V423" s="78"/>
      <c r="W423" s="78"/>
      <c r="X423" s="78"/>
      <c r="Y423" s="78"/>
      <c r="Z423" s="78"/>
      <c r="AA423" s="78"/>
      <c r="AB423" s="78"/>
      <c r="AC423" s="78"/>
      <c r="AD423" s="78"/>
    </row>
    <row r="424" spans="1:30" ht="15.75" x14ac:dyDescent="0.25">
      <c r="A424" s="14">
        <v>54209</v>
      </c>
      <c r="B424" s="89">
        <v>31</v>
      </c>
      <c r="C424" s="77">
        <f>194.205</f>
        <v>194.20500000000001</v>
      </c>
      <c r="D424" s="77">
        <f>267.466</f>
        <v>267.46600000000001</v>
      </c>
      <c r="E424" s="85">
        <f>133.845</f>
        <v>133.845</v>
      </c>
      <c r="F424" s="77">
        <f>278.484-40-25-60-100</f>
        <v>53.48399999999998</v>
      </c>
      <c r="G424" s="80">
        <v>40</v>
      </c>
      <c r="H424" s="77">
        <f t="shared" si="69"/>
        <v>185</v>
      </c>
      <c r="I424" s="77">
        <f t="shared" ref="I424:I487" si="70">400-J424-K424</f>
        <v>0</v>
      </c>
      <c r="J424" s="80">
        <v>100</v>
      </c>
      <c r="K424" s="80">
        <v>300</v>
      </c>
      <c r="L424" s="77">
        <f t="shared" si="63"/>
        <v>1274</v>
      </c>
      <c r="M424" s="87">
        <v>600</v>
      </c>
      <c r="N424" s="77">
        <f>75</f>
        <v>75</v>
      </c>
      <c r="O424" s="80">
        <v>240</v>
      </c>
      <c r="P424" s="80">
        <v>160</v>
      </c>
      <c r="Q424" s="80">
        <f t="shared" si="64"/>
        <v>195</v>
      </c>
      <c r="R424" s="80">
        <f t="shared" si="65"/>
        <v>100</v>
      </c>
      <c r="S424" s="77">
        <f t="shared" si="66"/>
        <v>695</v>
      </c>
      <c r="T424" s="77">
        <f>50</f>
        <v>50</v>
      </c>
      <c r="U424" s="78"/>
      <c r="V424" s="78"/>
      <c r="W424" s="78"/>
      <c r="X424" s="78"/>
      <c r="Y424" s="78"/>
      <c r="Z424" s="78"/>
      <c r="AA424" s="78"/>
      <c r="AB424" s="78"/>
      <c r="AC424" s="78"/>
      <c r="AD424" s="78"/>
    </row>
    <row r="425" spans="1:30" ht="15.75" x14ac:dyDescent="0.25">
      <c r="A425" s="14">
        <v>54239</v>
      </c>
      <c r="B425" s="89">
        <v>30</v>
      </c>
      <c r="C425" s="77">
        <f>194.205</f>
        <v>194.20500000000001</v>
      </c>
      <c r="D425" s="77">
        <f>267.466</f>
        <v>267.46600000000001</v>
      </c>
      <c r="E425" s="85">
        <f>133.845</f>
        <v>133.845</v>
      </c>
      <c r="F425" s="77">
        <f>278.484-40-25-60-100</f>
        <v>53.48399999999998</v>
      </c>
      <c r="G425" s="80">
        <v>40</v>
      </c>
      <c r="H425" s="77">
        <f t="shared" si="69"/>
        <v>185</v>
      </c>
      <c r="I425" s="77">
        <f t="shared" si="70"/>
        <v>0</v>
      </c>
      <c r="J425" s="80">
        <v>100</v>
      </c>
      <c r="K425" s="80">
        <v>300</v>
      </c>
      <c r="L425" s="77">
        <f t="shared" si="63"/>
        <v>1274</v>
      </c>
      <c r="M425" s="87">
        <v>600</v>
      </c>
      <c r="N425" s="77">
        <f>30</f>
        <v>30</v>
      </c>
      <c r="O425" s="80">
        <v>240</v>
      </c>
      <c r="P425" s="80">
        <v>160</v>
      </c>
      <c r="Q425" s="80">
        <f t="shared" si="64"/>
        <v>195</v>
      </c>
      <c r="R425" s="80">
        <f t="shared" si="65"/>
        <v>100</v>
      </c>
      <c r="S425" s="77">
        <f t="shared" si="66"/>
        <v>695</v>
      </c>
      <c r="T425" s="77">
        <f>50</f>
        <v>50</v>
      </c>
      <c r="U425" s="78"/>
      <c r="V425" s="78"/>
      <c r="W425" s="78"/>
      <c r="X425" s="78"/>
      <c r="Y425" s="78"/>
      <c r="Z425" s="78"/>
      <c r="AA425" s="78"/>
      <c r="AB425" s="78"/>
      <c r="AC425" s="78"/>
      <c r="AD425" s="78"/>
    </row>
    <row r="426" spans="1:30" ht="15.75" x14ac:dyDescent="0.25">
      <c r="A426" s="14">
        <v>54270</v>
      </c>
      <c r="B426" s="89">
        <v>31</v>
      </c>
      <c r="C426" s="77">
        <f>194.205</f>
        <v>194.20500000000001</v>
      </c>
      <c r="D426" s="77">
        <f>267.466</f>
        <v>267.46600000000001</v>
      </c>
      <c r="E426" s="85">
        <f>133.845</f>
        <v>133.845</v>
      </c>
      <c r="F426" s="77">
        <f>278.484-40-25-60-100</f>
        <v>53.48399999999998</v>
      </c>
      <c r="G426" s="80">
        <v>40</v>
      </c>
      <c r="H426" s="77">
        <f t="shared" si="69"/>
        <v>185</v>
      </c>
      <c r="I426" s="77">
        <f t="shared" si="70"/>
        <v>0</v>
      </c>
      <c r="J426" s="80">
        <v>100</v>
      </c>
      <c r="K426" s="80">
        <v>300</v>
      </c>
      <c r="L426" s="77">
        <f t="shared" si="63"/>
        <v>1274</v>
      </c>
      <c r="M426" s="87">
        <v>600</v>
      </c>
      <c r="N426" s="77">
        <f>30</f>
        <v>30</v>
      </c>
      <c r="O426" s="80">
        <v>240</v>
      </c>
      <c r="P426" s="80">
        <v>160</v>
      </c>
      <c r="Q426" s="80">
        <f t="shared" si="64"/>
        <v>195</v>
      </c>
      <c r="R426" s="80">
        <f t="shared" si="65"/>
        <v>100</v>
      </c>
      <c r="S426" s="77">
        <f t="shared" si="66"/>
        <v>695</v>
      </c>
      <c r="T426" s="77">
        <f>0</f>
        <v>0</v>
      </c>
      <c r="U426" s="78"/>
      <c r="V426" s="78"/>
      <c r="W426" s="78"/>
      <c r="X426" s="78"/>
      <c r="Y426" s="78"/>
      <c r="Z426" s="78"/>
      <c r="AA426" s="78"/>
      <c r="AB426" s="78"/>
      <c r="AC426" s="78"/>
      <c r="AD426" s="78"/>
    </row>
    <row r="427" spans="1:30" ht="15.75" x14ac:dyDescent="0.25">
      <c r="A427" s="14">
        <v>54301</v>
      </c>
      <c r="B427" s="89">
        <v>31</v>
      </c>
      <c r="C427" s="77">
        <f>194.205</f>
        <v>194.20500000000001</v>
      </c>
      <c r="D427" s="77">
        <f>267.466</f>
        <v>267.46600000000001</v>
      </c>
      <c r="E427" s="85">
        <f>133.845</f>
        <v>133.845</v>
      </c>
      <c r="F427" s="77">
        <f>278.484-40-25-60-100</f>
        <v>53.48399999999998</v>
      </c>
      <c r="G427" s="80">
        <v>40</v>
      </c>
      <c r="H427" s="77">
        <f t="shared" si="69"/>
        <v>185</v>
      </c>
      <c r="I427" s="77">
        <f t="shared" si="70"/>
        <v>0</v>
      </c>
      <c r="J427" s="80">
        <v>100</v>
      </c>
      <c r="K427" s="80">
        <v>300</v>
      </c>
      <c r="L427" s="77">
        <f t="shared" si="63"/>
        <v>1274</v>
      </c>
      <c r="M427" s="87">
        <v>600</v>
      </c>
      <c r="N427" s="77">
        <f>30</f>
        <v>30</v>
      </c>
      <c r="O427" s="80">
        <v>240</v>
      </c>
      <c r="P427" s="80">
        <v>160</v>
      </c>
      <c r="Q427" s="80">
        <f t="shared" si="64"/>
        <v>195</v>
      </c>
      <c r="R427" s="80">
        <f t="shared" si="65"/>
        <v>100</v>
      </c>
      <c r="S427" s="77">
        <f t="shared" si="66"/>
        <v>695</v>
      </c>
      <c r="T427" s="77">
        <f>0</f>
        <v>0</v>
      </c>
      <c r="U427" s="78"/>
      <c r="V427" s="78"/>
      <c r="W427" s="78"/>
      <c r="X427" s="78"/>
      <c r="Y427" s="78"/>
      <c r="Z427" s="78"/>
      <c r="AA427" s="78"/>
      <c r="AB427" s="78"/>
      <c r="AC427" s="78"/>
      <c r="AD427" s="78"/>
    </row>
    <row r="428" spans="1:30" ht="15.75" x14ac:dyDescent="0.25">
      <c r="A428" s="14">
        <v>54331</v>
      </c>
      <c r="B428" s="89">
        <v>30</v>
      </c>
      <c r="C428" s="77">
        <f>194.205</f>
        <v>194.20500000000001</v>
      </c>
      <c r="D428" s="77">
        <f>267.466</f>
        <v>267.46600000000001</v>
      </c>
      <c r="E428" s="85">
        <f>133.845</f>
        <v>133.845</v>
      </c>
      <c r="F428" s="77">
        <f>278.484-40-25-60-100</f>
        <v>53.48399999999998</v>
      </c>
      <c r="G428" s="80">
        <v>40</v>
      </c>
      <c r="H428" s="77">
        <f t="shared" si="69"/>
        <v>185</v>
      </c>
      <c r="I428" s="77">
        <f t="shared" si="70"/>
        <v>0</v>
      </c>
      <c r="J428" s="80">
        <v>100</v>
      </c>
      <c r="K428" s="80">
        <v>300</v>
      </c>
      <c r="L428" s="77">
        <f t="shared" si="63"/>
        <v>1274</v>
      </c>
      <c r="M428" s="87">
        <v>600</v>
      </c>
      <c r="N428" s="77">
        <f>30</f>
        <v>30</v>
      </c>
      <c r="O428" s="80">
        <v>240</v>
      </c>
      <c r="P428" s="80">
        <v>160</v>
      </c>
      <c r="Q428" s="80">
        <f t="shared" si="64"/>
        <v>195</v>
      </c>
      <c r="R428" s="80">
        <f t="shared" si="65"/>
        <v>100</v>
      </c>
      <c r="S428" s="77">
        <f t="shared" si="66"/>
        <v>695</v>
      </c>
      <c r="T428" s="77">
        <f>0</f>
        <v>0</v>
      </c>
      <c r="U428" s="78"/>
      <c r="V428" s="78"/>
      <c r="W428" s="78"/>
      <c r="X428" s="78"/>
      <c r="Y428" s="78"/>
      <c r="Z428" s="78"/>
      <c r="AA428" s="78"/>
      <c r="AB428" s="78"/>
      <c r="AC428" s="78"/>
      <c r="AD428" s="78"/>
    </row>
    <row r="429" spans="1:30" ht="15.75" x14ac:dyDescent="0.25">
      <c r="A429" s="14">
        <v>54362</v>
      </c>
      <c r="B429" s="89">
        <v>31</v>
      </c>
      <c r="C429" s="77">
        <f>131.881</f>
        <v>131.881</v>
      </c>
      <c r="D429" s="77">
        <f>277.167</f>
        <v>277.16699999999997</v>
      </c>
      <c r="E429" s="85">
        <f>79.08</f>
        <v>79.08</v>
      </c>
      <c r="F429" s="77">
        <f>350.872-40-25-60-100</f>
        <v>125.87200000000001</v>
      </c>
      <c r="G429" s="80">
        <v>40</v>
      </c>
      <c r="H429" s="77">
        <f t="shared" si="69"/>
        <v>185</v>
      </c>
      <c r="I429" s="77">
        <f t="shared" si="70"/>
        <v>0</v>
      </c>
      <c r="J429" s="80">
        <v>100</v>
      </c>
      <c r="K429" s="80">
        <v>300</v>
      </c>
      <c r="L429" s="77">
        <f t="shared" si="63"/>
        <v>1239</v>
      </c>
      <c r="M429" s="87">
        <v>600</v>
      </c>
      <c r="N429" s="77">
        <f>75</f>
        <v>75</v>
      </c>
      <c r="O429" s="80">
        <v>240</v>
      </c>
      <c r="P429" s="80">
        <v>160</v>
      </c>
      <c r="Q429" s="80">
        <f t="shared" si="64"/>
        <v>195</v>
      </c>
      <c r="R429" s="80">
        <f t="shared" si="65"/>
        <v>100</v>
      </c>
      <c r="S429" s="77">
        <f t="shared" si="66"/>
        <v>695</v>
      </c>
      <c r="T429" s="77">
        <f>0</f>
        <v>0</v>
      </c>
      <c r="U429" s="78"/>
      <c r="V429" s="78"/>
      <c r="W429" s="78"/>
      <c r="X429" s="78"/>
      <c r="Y429" s="78"/>
      <c r="Z429" s="78"/>
      <c r="AA429" s="78"/>
      <c r="AB429" s="78"/>
      <c r="AC429" s="78"/>
      <c r="AD429" s="78"/>
    </row>
    <row r="430" spans="1:30" ht="15.75" x14ac:dyDescent="0.25">
      <c r="A430" s="14">
        <v>54392</v>
      </c>
      <c r="B430" s="89">
        <v>30</v>
      </c>
      <c r="C430" s="77">
        <f>122.58</f>
        <v>122.58</v>
      </c>
      <c r="D430" s="77">
        <f>297.941</f>
        <v>297.94099999999997</v>
      </c>
      <c r="E430" s="85">
        <f>89.177</f>
        <v>89.177000000000007</v>
      </c>
      <c r="F430" s="77">
        <f>240.302-40-60-100</f>
        <v>40.301999999999992</v>
      </c>
      <c r="G430" s="80">
        <v>40</v>
      </c>
      <c r="H430" s="77">
        <f>60+100</f>
        <v>160</v>
      </c>
      <c r="I430" s="77">
        <f t="shared" si="70"/>
        <v>0</v>
      </c>
      <c r="J430" s="80">
        <v>100</v>
      </c>
      <c r="K430" s="80">
        <v>300</v>
      </c>
      <c r="L430" s="77">
        <f t="shared" si="63"/>
        <v>1150</v>
      </c>
      <c r="M430" s="87">
        <v>600</v>
      </c>
      <c r="N430" s="77">
        <f>100</f>
        <v>100</v>
      </c>
      <c r="O430" s="80">
        <v>240</v>
      </c>
      <c r="P430" s="80">
        <v>40</v>
      </c>
      <c r="Q430" s="80">
        <f t="shared" si="64"/>
        <v>315</v>
      </c>
      <c r="R430" s="80">
        <f t="shared" si="65"/>
        <v>100</v>
      </c>
      <c r="S430" s="77">
        <f t="shared" si="66"/>
        <v>695</v>
      </c>
      <c r="T430" s="77">
        <f>50</f>
        <v>50</v>
      </c>
      <c r="U430" s="78"/>
      <c r="V430" s="78"/>
      <c r="W430" s="78"/>
      <c r="X430" s="78"/>
      <c r="Y430" s="78"/>
      <c r="Z430" s="78"/>
      <c r="AA430" s="78"/>
      <c r="AB430" s="78"/>
      <c r="AC430" s="78"/>
      <c r="AD430" s="78"/>
    </row>
    <row r="431" spans="1:30" ht="15.75" x14ac:dyDescent="0.25">
      <c r="A431" s="14">
        <v>54423</v>
      </c>
      <c r="B431" s="89">
        <v>31</v>
      </c>
      <c r="C431" s="77">
        <f>122.58</f>
        <v>122.58</v>
      </c>
      <c r="D431" s="77">
        <f>297.941</f>
        <v>297.94099999999997</v>
      </c>
      <c r="E431" s="85">
        <f>89.177</f>
        <v>89.177000000000007</v>
      </c>
      <c r="F431" s="77">
        <f>240.302-40-60-100</f>
        <v>40.301999999999992</v>
      </c>
      <c r="G431" s="80">
        <v>40</v>
      </c>
      <c r="H431" s="77">
        <f>60+100</f>
        <v>160</v>
      </c>
      <c r="I431" s="77">
        <f t="shared" si="70"/>
        <v>0</v>
      </c>
      <c r="J431" s="80">
        <v>100</v>
      </c>
      <c r="K431" s="80">
        <v>300</v>
      </c>
      <c r="L431" s="77">
        <f t="shared" si="63"/>
        <v>1150</v>
      </c>
      <c r="M431" s="87">
        <v>600</v>
      </c>
      <c r="N431" s="77">
        <f>100</f>
        <v>100</v>
      </c>
      <c r="O431" s="80">
        <v>240</v>
      </c>
      <c r="P431" s="80">
        <v>40</v>
      </c>
      <c r="Q431" s="80">
        <f t="shared" si="64"/>
        <v>315</v>
      </c>
      <c r="R431" s="80">
        <f t="shared" si="65"/>
        <v>100</v>
      </c>
      <c r="S431" s="77">
        <f t="shared" si="66"/>
        <v>695</v>
      </c>
      <c r="T431" s="77">
        <f>50</f>
        <v>50</v>
      </c>
      <c r="U431" s="78"/>
      <c r="V431" s="78"/>
      <c r="W431" s="78"/>
      <c r="X431" s="78"/>
      <c r="Y431" s="78"/>
      <c r="Z431" s="78"/>
      <c r="AA431" s="78"/>
      <c r="AB431" s="78"/>
      <c r="AC431" s="78"/>
      <c r="AD431" s="78"/>
    </row>
    <row r="432" spans="1:30" ht="15.75" x14ac:dyDescent="0.25">
      <c r="A432" s="14">
        <v>54454</v>
      </c>
      <c r="B432" s="89">
        <v>31</v>
      </c>
      <c r="C432" s="77">
        <f>122.58</f>
        <v>122.58</v>
      </c>
      <c r="D432" s="77">
        <f>297.941</f>
        <v>297.94099999999997</v>
      </c>
      <c r="E432" s="85">
        <f>89.177</f>
        <v>89.177000000000007</v>
      </c>
      <c r="F432" s="77">
        <f>240.302-40-60-100</f>
        <v>40.301999999999992</v>
      </c>
      <c r="G432" s="80">
        <v>40</v>
      </c>
      <c r="H432" s="77">
        <f>60+100</f>
        <v>160</v>
      </c>
      <c r="I432" s="77">
        <f t="shared" si="70"/>
        <v>0</v>
      </c>
      <c r="J432" s="80">
        <v>100</v>
      </c>
      <c r="K432" s="80">
        <v>300</v>
      </c>
      <c r="L432" s="77">
        <f t="shared" si="63"/>
        <v>1150</v>
      </c>
      <c r="M432" s="87">
        <v>600</v>
      </c>
      <c r="N432" s="77">
        <f>100</f>
        <v>100</v>
      </c>
      <c r="O432" s="80">
        <v>240</v>
      </c>
      <c r="P432" s="80">
        <v>40</v>
      </c>
      <c r="Q432" s="80">
        <f t="shared" si="64"/>
        <v>315</v>
      </c>
      <c r="R432" s="80">
        <f t="shared" si="65"/>
        <v>100</v>
      </c>
      <c r="S432" s="77">
        <f t="shared" si="66"/>
        <v>695</v>
      </c>
      <c r="T432" s="77">
        <f>50</f>
        <v>50</v>
      </c>
      <c r="U432" s="78"/>
      <c r="V432" s="78"/>
      <c r="W432" s="78"/>
      <c r="X432" s="78"/>
      <c r="Y432" s="78"/>
      <c r="Z432" s="78"/>
      <c r="AA432" s="78"/>
      <c r="AB432" s="78"/>
      <c r="AC432" s="78"/>
      <c r="AD432" s="78"/>
    </row>
    <row r="433" spans="1:30" ht="15.75" x14ac:dyDescent="0.25">
      <c r="A433" s="14">
        <v>54482</v>
      </c>
      <c r="B433" s="89">
        <v>28</v>
      </c>
      <c r="C433" s="77">
        <f>122.58</f>
        <v>122.58</v>
      </c>
      <c r="D433" s="77">
        <f>297.941</f>
        <v>297.94099999999997</v>
      </c>
      <c r="E433" s="85">
        <f>89.177</f>
        <v>89.177000000000007</v>
      </c>
      <c r="F433" s="77">
        <f>240.302-40-60-100</f>
        <v>40.301999999999992</v>
      </c>
      <c r="G433" s="80">
        <v>40</v>
      </c>
      <c r="H433" s="77">
        <f>60+100</f>
        <v>160</v>
      </c>
      <c r="I433" s="77">
        <f t="shared" si="70"/>
        <v>0</v>
      </c>
      <c r="J433" s="80">
        <v>100</v>
      </c>
      <c r="K433" s="80">
        <v>300</v>
      </c>
      <c r="L433" s="77">
        <f t="shared" si="63"/>
        <v>1150</v>
      </c>
      <c r="M433" s="87">
        <v>600</v>
      </c>
      <c r="N433" s="77">
        <f>100</f>
        <v>100</v>
      </c>
      <c r="O433" s="80">
        <v>240</v>
      </c>
      <c r="P433" s="80">
        <v>40</v>
      </c>
      <c r="Q433" s="80">
        <f t="shared" si="64"/>
        <v>315</v>
      </c>
      <c r="R433" s="80">
        <f t="shared" si="65"/>
        <v>100</v>
      </c>
      <c r="S433" s="77">
        <f t="shared" si="66"/>
        <v>695</v>
      </c>
      <c r="T433" s="77">
        <f>50</f>
        <v>50</v>
      </c>
      <c r="U433" s="78"/>
      <c r="V433" s="78"/>
      <c r="W433" s="78"/>
      <c r="X433" s="78"/>
      <c r="Y433" s="78"/>
      <c r="Z433" s="78"/>
      <c r="AA433" s="78"/>
      <c r="AB433" s="78"/>
      <c r="AC433" s="78"/>
      <c r="AD433" s="78"/>
    </row>
    <row r="434" spans="1:30" ht="15.75" x14ac:dyDescent="0.25">
      <c r="A434" s="14">
        <v>54513</v>
      </c>
      <c r="B434" s="89">
        <v>31</v>
      </c>
      <c r="C434" s="77">
        <f>122.58</f>
        <v>122.58</v>
      </c>
      <c r="D434" s="77">
        <f>297.941</f>
        <v>297.94099999999997</v>
      </c>
      <c r="E434" s="85">
        <f>89.177</f>
        <v>89.177000000000007</v>
      </c>
      <c r="F434" s="77">
        <f>240.302-40-60-100</f>
        <v>40.301999999999992</v>
      </c>
      <c r="G434" s="80">
        <v>40</v>
      </c>
      <c r="H434" s="77">
        <f>60+100</f>
        <v>160</v>
      </c>
      <c r="I434" s="77">
        <f t="shared" si="70"/>
        <v>0</v>
      </c>
      <c r="J434" s="80">
        <v>100</v>
      </c>
      <c r="K434" s="80">
        <v>300</v>
      </c>
      <c r="L434" s="77">
        <f t="shared" si="63"/>
        <v>1150</v>
      </c>
      <c r="M434" s="87">
        <v>600</v>
      </c>
      <c r="N434" s="77">
        <f>100</f>
        <v>100</v>
      </c>
      <c r="O434" s="80">
        <v>240</v>
      </c>
      <c r="P434" s="80">
        <v>40</v>
      </c>
      <c r="Q434" s="80">
        <f t="shared" si="64"/>
        <v>315</v>
      </c>
      <c r="R434" s="80">
        <f t="shared" si="65"/>
        <v>100</v>
      </c>
      <c r="S434" s="77">
        <f t="shared" si="66"/>
        <v>695</v>
      </c>
      <c r="T434" s="77">
        <f>50</f>
        <v>50</v>
      </c>
      <c r="U434" s="78"/>
      <c r="V434" s="78"/>
      <c r="W434" s="78"/>
      <c r="X434" s="78"/>
      <c r="Y434" s="78"/>
      <c r="Z434" s="78"/>
      <c r="AA434" s="78"/>
      <c r="AB434" s="78"/>
      <c r="AC434" s="78"/>
      <c r="AD434" s="78"/>
    </row>
    <row r="435" spans="1:30" ht="15.75" x14ac:dyDescent="0.25">
      <c r="A435" s="14">
        <v>54543</v>
      </c>
      <c r="B435" s="89">
        <v>30</v>
      </c>
      <c r="C435" s="77">
        <f>141.293</f>
        <v>141.29300000000001</v>
      </c>
      <c r="D435" s="77">
        <f>267.993</f>
        <v>267.99299999999999</v>
      </c>
      <c r="E435" s="85">
        <f>115.016</f>
        <v>115.01600000000001</v>
      </c>
      <c r="F435" s="77">
        <f>314.698-40-25-60-100</f>
        <v>89.697999999999979</v>
      </c>
      <c r="G435" s="80">
        <v>40</v>
      </c>
      <c r="H435" s="77">
        <f t="shared" ref="H435:H441" si="71">25+60+100</f>
        <v>185</v>
      </c>
      <c r="I435" s="77">
        <f t="shared" si="70"/>
        <v>0</v>
      </c>
      <c r="J435" s="80">
        <v>100</v>
      </c>
      <c r="K435" s="80">
        <v>300</v>
      </c>
      <c r="L435" s="77">
        <f t="shared" si="63"/>
        <v>1239</v>
      </c>
      <c r="M435" s="87">
        <v>600</v>
      </c>
      <c r="N435" s="77">
        <f>100</f>
        <v>100</v>
      </c>
      <c r="O435" s="80">
        <v>240</v>
      </c>
      <c r="P435" s="80">
        <v>160</v>
      </c>
      <c r="Q435" s="80">
        <f t="shared" si="64"/>
        <v>195</v>
      </c>
      <c r="R435" s="80">
        <f t="shared" si="65"/>
        <v>100</v>
      </c>
      <c r="S435" s="77">
        <f t="shared" si="66"/>
        <v>695</v>
      </c>
      <c r="T435" s="77">
        <f>50</f>
        <v>50</v>
      </c>
      <c r="U435" s="78"/>
      <c r="V435" s="78"/>
      <c r="W435" s="78"/>
      <c r="X435" s="78"/>
      <c r="Y435" s="78"/>
      <c r="Z435" s="78"/>
      <c r="AA435" s="78"/>
      <c r="AB435" s="78"/>
      <c r="AC435" s="78"/>
      <c r="AD435" s="78"/>
    </row>
    <row r="436" spans="1:30" ht="15.75" x14ac:dyDescent="0.25">
      <c r="A436" s="14">
        <v>54574</v>
      </c>
      <c r="B436" s="89">
        <v>31</v>
      </c>
      <c r="C436" s="77">
        <f>194.205</f>
        <v>194.20500000000001</v>
      </c>
      <c r="D436" s="77">
        <f>267.466</f>
        <v>267.46600000000001</v>
      </c>
      <c r="E436" s="85">
        <f>133.845</f>
        <v>133.845</v>
      </c>
      <c r="F436" s="77">
        <f>278.484-40-25-60-100</f>
        <v>53.48399999999998</v>
      </c>
      <c r="G436" s="80">
        <v>40</v>
      </c>
      <c r="H436" s="77">
        <f t="shared" si="71"/>
        <v>185</v>
      </c>
      <c r="I436" s="77">
        <f t="shared" si="70"/>
        <v>0</v>
      </c>
      <c r="J436" s="80">
        <v>100</v>
      </c>
      <c r="K436" s="80">
        <v>300</v>
      </c>
      <c r="L436" s="77">
        <f t="shared" si="63"/>
        <v>1274</v>
      </c>
      <c r="M436" s="87">
        <v>600</v>
      </c>
      <c r="N436" s="77">
        <f>75</f>
        <v>75</v>
      </c>
      <c r="O436" s="80">
        <v>240</v>
      </c>
      <c r="P436" s="80">
        <v>160</v>
      </c>
      <c r="Q436" s="80">
        <f t="shared" si="64"/>
        <v>195</v>
      </c>
      <c r="R436" s="80">
        <f t="shared" si="65"/>
        <v>100</v>
      </c>
      <c r="S436" s="77">
        <f t="shared" si="66"/>
        <v>695</v>
      </c>
      <c r="T436" s="77">
        <f>50</f>
        <v>50</v>
      </c>
      <c r="U436" s="78"/>
      <c r="V436" s="78"/>
      <c r="W436" s="78"/>
      <c r="X436" s="78"/>
      <c r="Y436" s="78"/>
      <c r="Z436" s="78"/>
      <c r="AA436" s="78"/>
      <c r="AB436" s="78"/>
      <c r="AC436" s="78"/>
      <c r="AD436" s="78"/>
    </row>
    <row r="437" spans="1:30" ht="15.75" x14ac:dyDescent="0.25">
      <c r="A437" s="14">
        <v>54604</v>
      </c>
      <c r="B437" s="89">
        <v>30</v>
      </c>
      <c r="C437" s="77">
        <f>194.205</f>
        <v>194.20500000000001</v>
      </c>
      <c r="D437" s="77">
        <f>267.466</f>
        <v>267.46600000000001</v>
      </c>
      <c r="E437" s="85">
        <f>133.845</f>
        <v>133.845</v>
      </c>
      <c r="F437" s="77">
        <f>278.484-40-25-60-100</f>
        <v>53.48399999999998</v>
      </c>
      <c r="G437" s="80">
        <v>40</v>
      </c>
      <c r="H437" s="77">
        <f t="shared" si="71"/>
        <v>185</v>
      </c>
      <c r="I437" s="77">
        <f t="shared" si="70"/>
        <v>0</v>
      </c>
      <c r="J437" s="80">
        <v>100</v>
      </c>
      <c r="K437" s="80">
        <v>300</v>
      </c>
      <c r="L437" s="77">
        <f t="shared" si="63"/>
        <v>1274</v>
      </c>
      <c r="M437" s="87">
        <v>600</v>
      </c>
      <c r="N437" s="77">
        <f>30</f>
        <v>30</v>
      </c>
      <c r="O437" s="80">
        <v>240</v>
      </c>
      <c r="P437" s="80">
        <v>160</v>
      </c>
      <c r="Q437" s="80">
        <f t="shared" si="64"/>
        <v>195</v>
      </c>
      <c r="R437" s="80">
        <f t="shared" si="65"/>
        <v>100</v>
      </c>
      <c r="S437" s="77">
        <f t="shared" si="66"/>
        <v>695</v>
      </c>
      <c r="T437" s="77">
        <f>50</f>
        <v>50</v>
      </c>
      <c r="U437" s="78"/>
      <c r="V437" s="78"/>
      <c r="W437" s="78"/>
      <c r="X437" s="78"/>
      <c r="Y437" s="78"/>
      <c r="Z437" s="78"/>
      <c r="AA437" s="78"/>
      <c r="AB437" s="78"/>
      <c r="AC437" s="78"/>
      <c r="AD437" s="78"/>
    </row>
    <row r="438" spans="1:30" ht="15.75" x14ac:dyDescent="0.25">
      <c r="A438" s="14">
        <v>54635</v>
      </c>
      <c r="B438" s="89">
        <v>31</v>
      </c>
      <c r="C438" s="77">
        <f>194.205</f>
        <v>194.20500000000001</v>
      </c>
      <c r="D438" s="77">
        <f>267.466</f>
        <v>267.46600000000001</v>
      </c>
      <c r="E438" s="85">
        <f>133.845</f>
        <v>133.845</v>
      </c>
      <c r="F438" s="77">
        <f>278.484-40-25-60-100</f>
        <v>53.48399999999998</v>
      </c>
      <c r="G438" s="80">
        <v>40</v>
      </c>
      <c r="H438" s="77">
        <f t="shared" si="71"/>
        <v>185</v>
      </c>
      <c r="I438" s="77">
        <f t="shared" si="70"/>
        <v>0</v>
      </c>
      <c r="J438" s="80">
        <v>100</v>
      </c>
      <c r="K438" s="80">
        <v>300</v>
      </c>
      <c r="L438" s="77">
        <f t="shared" si="63"/>
        <v>1274</v>
      </c>
      <c r="M438" s="87">
        <v>600</v>
      </c>
      <c r="N438" s="77">
        <f>30</f>
        <v>30</v>
      </c>
      <c r="O438" s="80">
        <v>240</v>
      </c>
      <c r="P438" s="80">
        <v>160</v>
      </c>
      <c r="Q438" s="80">
        <f t="shared" si="64"/>
        <v>195</v>
      </c>
      <c r="R438" s="80">
        <f t="shared" si="65"/>
        <v>100</v>
      </c>
      <c r="S438" s="77">
        <f t="shared" si="66"/>
        <v>695</v>
      </c>
      <c r="T438" s="77">
        <f>0</f>
        <v>0</v>
      </c>
      <c r="U438" s="78"/>
      <c r="V438" s="78"/>
      <c r="W438" s="78"/>
      <c r="X438" s="78"/>
      <c r="Y438" s="78"/>
      <c r="Z438" s="78"/>
      <c r="AA438" s="78"/>
      <c r="AB438" s="78"/>
      <c r="AC438" s="78"/>
      <c r="AD438" s="78"/>
    </row>
    <row r="439" spans="1:30" ht="15.75" x14ac:dyDescent="0.25">
      <c r="A439" s="14">
        <v>54666</v>
      </c>
      <c r="B439" s="89">
        <v>31</v>
      </c>
      <c r="C439" s="77">
        <f>194.205</f>
        <v>194.20500000000001</v>
      </c>
      <c r="D439" s="77">
        <f>267.466</f>
        <v>267.46600000000001</v>
      </c>
      <c r="E439" s="85">
        <f>133.845</f>
        <v>133.845</v>
      </c>
      <c r="F439" s="77">
        <f>278.484-40-25-60-100</f>
        <v>53.48399999999998</v>
      </c>
      <c r="G439" s="80">
        <v>40</v>
      </c>
      <c r="H439" s="77">
        <f t="shared" si="71"/>
        <v>185</v>
      </c>
      <c r="I439" s="77">
        <f t="shared" si="70"/>
        <v>0</v>
      </c>
      <c r="J439" s="80">
        <v>100</v>
      </c>
      <c r="K439" s="80">
        <v>300</v>
      </c>
      <c r="L439" s="77">
        <f t="shared" si="63"/>
        <v>1274</v>
      </c>
      <c r="M439" s="87">
        <v>600</v>
      </c>
      <c r="N439" s="77">
        <f>30</f>
        <v>30</v>
      </c>
      <c r="O439" s="80">
        <v>240</v>
      </c>
      <c r="P439" s="80">
        <v>160</v>
      </c>
      <c r="Q439" s="80">
        <f t="shared" si="64"/>
        <v>195</v>
      </c>
      <c r="R439" s="80">
        <f t="shared" si="65"/>
        <v>100</v>
      </c>
      <c r="S439" s="77">
        <f t="shared" si="66"/>
        <v>695</v>
      </c>
      <c r="T439" s="77">
        <f>0</f>
        <v>0</v>
      </c>
      <c r="U439" s="78"/>
      <c r="V439" s="78"/>
      <c r="W439" s="78"/>
      <c r="X439" s="78"/>
      <c r="Y439" s="78"/>
      <c r="Z439" s="78"/>
      <c r="AA439" s="78"/>
      <c r="AB439" s="78"/>
      <c r="AC439" s="78"/>
      <c r="AD439" s="78"/>
    </row>
    <row r="440" spans="1:30" ht="15.75" x14ac:dyDescent="0.25">
      <c r="A440" s="14">
        <v>54696</v>
      </c>
      <c r="B440" s="89">
        <v>30</v>
      </c>
      <c r="C440" s="77">
        <f>194.205</f>
        <v>194.20500000000001</v>
      </c>
      <c r="D440" s="77">
        <f>267.466</f>
        <v>267.46600000000001</v>
      </c>
      <c r="E440" s="85">
        <f>133.845</f>
        <v>133.845</v>
      </c>
      <c r="F440" s="77">
        <f>278.484-40-25-60-100</f>
        <v>53.48399999999998</v>
      </c>
      <c r="G440" s="80">
        <v>40</v>
      </c>
      <c r="H440" s="77">
        <f t="shared" si="71"/>
        <v>185</v>
      </c>
      <c r="I440" s="77">
        <f t="shared" si="70"/>
        <v>0</v>
      </c>
      <c r="J440" s="80">
        <v>100</v>
      </c>
      <c r="K440" s="80">
        <v>300</v>
      </c>
      <c r="L440" s="77">
        <f t="shared" si="63"/>
        <v>1274</v>
      </c>
      <c r="M440" s="87">
        <v>600</v>
      </c>
      <c r="N440" s="77">
        <f>30</f>
        <v>30</v>
      </c>
      <c r="O440" s="80">
        <v>240</v>
      </c>
      <c r="P440" s="80">
        <v>160</v>
      </c>
      <c r="Q440" s="80">
        <f t="shared" si="64"/>
        <v>195</v>
      </c>
      <c r="R440" s="80">
        <f t="shared" si="65"/>
        <v>100</v>
      </c>
      <c r="S440" s="77">
        <f t="shared" si="66"/>
        <v>695</v>
      </c>
      <c r="T440" s="77">
        <f>0</f>
        <v>0</v>
      </c>
      <c r="U440" s="78"/>
      <c r="V440" s="78"/>
      <c r="W440" s="78"/>
      <c r="X440" s="78"/>
      <c r="Y440" s="78"/>
      <c r="Z440" s="78"/>
      <c r="AA440" s="78"/>
      <c r="AB440" s="78"/>
      <c r="AC440" s="78"/>
      <c r="AD440" s="78"/>
    </row>
    <row r="441" spans="1:30" ht="15.75" x14ac:dyDescent="0.25">
      <c r="A441" s="14">
        <v>54727</v>
      </c>
      <c r="B441" s="89">
        <v>31</v>
      </c>
      <c r="C441" s="77">
        <f>131.881</f>
        <v>131.881</v>
      </c>
      <c r="D441" s="77">
        <f>277.167</f>
        <v>277.16699999999997</v>
      </c>
      <c r="E441" s="85">
        <f>79.08</f>
        <v>79.08</v>
      </c>
      <c r="F441" s="77">
        <f>350.872-40-25-60-100</f>
        <v>125.87200000000001</v>
      </c>
      <c r="G441" s="80">
        <v>40</v>
      </c>
      <c r="H441" s="77">
        <f t="shared" si="71"/>
        <v>185</v>
      </c>
      <c r="I441" s="77">
        <f t="shared" si="70"/>
        <v>0</v>
      </c>
      <c r="J441" s="80">
        <v>100</v>
      </c>
      <c r="K441" s="80">
        <v>300</v>
      </c>
      <c r="L441" s="77">
        <f t="shared" si="63"/>
        <v>1239</v>
      </c>
      <c r="M441" s="87">
        <v>600</v>
      </c>
      <c r="N441" s="77">
        <f>75</f>
        <v>75</v>
      </c>
      <c r="O441" s="80">
        <v>240</v>
      </c>
      <c r="P441" s="80">
        <v>160</v>
      </c>
      <c r="Q441" s="80">
        <f t="shared" si="64"/>
        <v>195</v>
      </c>
      <c r="R441" s="80">
        <f t="shared" si="65"/>
        <v>100</v>
      </c>
      <c r="S441" s="77">
        <f t="shared" si="66"/>
        <v>695</v>
      </c>
      <c r="T441" s="77">
        <f>0</f>
        <v>0</v>
      </c>
      <c r="U441" s="78"/>
      <c r="V441" s="78"/>
      <c r="W441" s="78"/>
      <c r="X441" s="78"/>
      <c r="Y441" s="78"/>
      <c r="Z441" s="78"/>
      <c r="AA441" s="78"/>
      <c r="AB441" s="78"/>
      <c r="AC441" s="78"/>
      <c r="AD441" s="78"/>
    </row>
    <row r="442" spans="1:30" ht="15.75" x14ac:dyDescent="0.25">
      <c r="A442" s="14">
        <v>54757</v>
      </c>
      <c r="B442" s="89">
        <v>30</v>
      </c>
      <c r="C442" s="77">
        <f>122.58</f>
        <v>122.58</v>
      </c>
      <c r="D442" s="77">
        <f>297.941</f>
        <v>297.94099999999997</v>
      </c>
      <c r="E442" s="85">
        <f>89.177</f>
        <v>89.177000000000007</v>
      </c>
      <c r="F442" s="77">
        <f>240.302-40-60-100</f>
        <v>40.301999999999992</v>
      </c>
      <c r="G442" s="80">
        <v>40</v>
      </c>
      <c r="H442" s="77">
        <f>60+100</f>
        <v>160</v>
      </c>
      <c r="I442" s="77">
        <f t="shared" si="70"/>
        <v>0</v>
      </c>
      <c r="J442" s="80">
        <v>100</v>
      </c>
      <c r="K442" s="80">
        <v>300</v>
      </c>
      <c r="L442" s="77">
        <f t="shared" si="63"/>
        <v>1150</v>
      </c>
      <c r="M442" s="87">
        <v>600</v>
      </c>
      <c r="N442" s="77">
        <f>100</f>
        <v>100</v>
      </c>
      <c r="O442" s="80">
        <v>240</v>
      </c>
      <c r="P442" s="80">
        <v>40</v>
      </c>
      <c r="Q442" s="80">
        <f t="shared" si="64"/>
        <v>315</v>
      </c>
      <c r="R442" s="80">
        <f t="shared" si="65"/>
        <v>100</v>
      </c>
      <c r="S442" s="77">
        <f t="shared" si="66"/>
        <v>695</v>
      </c>
      <c r="T442" s="77">
        <f>50</f>
        <v>50</v>
      </c>
      <c r="U442" s="78"/>
      <c r="V442" s="78"/>
      <c r="W442" s="78"/>
      <c r="X442" s="78"/>
      <c r="Y442" s="78"/>
      <c r="Z442" s="78"/>
      <c r="AA442" s="78"/>
      <c r="AB442" s="78"/>
      <c r="AC442" s="78"/>
      <c r="AD442" s="78"/>
    </row>
    <row r="443" spans="1:30" ht="15.75" x14ac:dyDescent="0.25">
      <c r="A443" s="14">
        <v>54788</v>
      </c>
      <c r="B443" s="89">
        <v>31</v>
      </c>
      <c r="C443" s="77">
        <f>122.58</f>
        <v>122.58</v>
      </c>
      <c r="D443" s="77">
        <f>297.941</f>
        <v>297.94099999999997</v>
      </c>
      <c r="E443" s="85">
        <f>89.177</f>
        <v>89.177000000000007</v>
      </c>
      <c r="F443" s="77">
        <f>240.302-40-60-100</f>
        <v>40.301999999999992</v>
      </c>
      <c r="G443" s="80">
        <v>40</v>
      </c>
      <c r="H443" s="77">
        <f>60+100</f>
        <v>160</v>
      </c>
      <c r="I443" s="77">
        <f t="shared" si="70"/>
        <v>0</v>
      </c>
      <c r="J443" s="80">
        <v>100</v>
      </c>
      <c r="K443" s="80">
        <v>300</v>
      </c>
      <c r="L443" s="77">
        <f t="shared" si="63"/>
        <v>1150</v>
      </c>
      <c r="M443" s="87">
        <v>600</v>
      </c>
      <c r="N443" s="77">
        <f>100</f>
        <v>100</v>
      </c>
      <c r="O443" s="80">
        <v>240</v>
      </c>
      <c r="P443" s="80">
        <v>40</v>
      </c>
      <c r="Q443" s="80">
        <f t="shared" si="64"/>
        <v>315</v>
      </c>
      <c r="R443" s="80">
        <f t="shared" si="65"/>
        <v>100</v>
      </c>
      <c r="S443" s="77">
        <f t="shared" si="66"/>
        <v>695</v>
      </c>
      <c r="T443" s="77">
        <f>50</f>
        <v>50</v>
      </c>
      <c r="U443" s="78"/>
      <c r="V443" s="78"/>
      <c r="W443" s="78"/>
      <c r="X443" s="78"/>
      <c r="Y443" s="78"/>
      <c r="Z443" s="78"/>
      <c r="AA443" s="78"/>
      <c r="AB443" s="78"/>
      <c r="AC443" s="78"/>
      <c r="AD443" s="78"/>
    </row>
    <row r="444" spans="1:30" ht="15.75" x14ac:dyDescent="0.25">
      <c r="A444" s="14">
        <v>54819</v>
      </c>
      <c r="B444" s="89">
        <v>31</v>
      </c>
      <c r="C444" s="77">
        <f>122.58</f>
        <v>122.58</v>
      </c>
      <c r="D444" s="77">
        <f>297.941</f>
        <v>297.94099999999997</v>
      </c>
      <c r="E444" s="85">
        <f>89.177</f>
        <v>89.177000000000007</v>
      </c>
      <c r="F444" s="77">
        <f>240.302-40-60-100</f>
        <v>40.301999999999992</v>
      </c>
      <c r="G444" s="80">
        <v>40</v>
      </c>
      <c r="H444" s="77">
        <f>60+100</f>
        <v>160</v>
      </c>
      <c r="I444" s="77">
        <f t="shared" si="70"/>
        <v>0</v>
      </c>
      <c r="J444" s="80">
        <v>100</v>
      </c>
      <c r="K444" s="80">
        <v>300</v>
      </c>
      <c r="L444" s="77">
        <f t="shared" si="63"/>
        <v>1150</v>
      </c>
      <c r="M444" s="87">
        <v>600</v>
      </c>
      <c r="N444" s="77">
        <f>100</f>
        <v>100</v>
      </c>
      <c r="O444" s="80">
        <v>240</v>
      </c>
      <c r="P444" s="80">
        <v>40</v>
      </c>
      <c r="Q444" s="80">
        <f t="shared" si="64"/>
        <v>315</v>
      </c>
      <c r="R444" s="80">
        <f t="shared" si="65"/>
        <v>100</v>
      </c>
      <c r="S444" s="77">
        <f t="shared" si="66"/>
        <v>695</v>
      </c>
      <c r="T444" s="77">
        <f>50</f>
        <v>50</v>
      </c>
      <c r="U444" s="78"/>
      <c r="V444" s="78"/>
      <c r="W444" s="78"/>
      <c r="X444" s="78"/>
      <c r="Y444" s="78"/>
      <c r="Z444" s="78"/>
      <c r="AA444" s="78"/>
      <c r="AB444" s="78"/>
      <c r="AC444" s="78"/>
      <c r="AD444" s="78"/>
    </row>
    <row r="445" spans="1:30" ht="15.75" x14ac:dyDescent="0.25">
      <c r="A445" s="14">
        <v>54847</v>
      </c>
      <c r="B445" s="89">
        <v>28</v>
      </c>
      <c r="C445" s="77">
        <f>122.58</f>
        <v>122.58</v>
      </c>
      <c r="D445" s="77">
        <f>297.941</f>
        <v>297.94099999999997</v>
      </c>
      <c r="E445" s="85">
        <f>89.177</f>
        <v>89.177000000000007</v>
      </c>
      <c r="F445" s="77">
        <f>240.302-40-60-100</f>
        <v>40.301999999999992</v>
      </c>
      <c r="G445" s="80">
        <v>40</v>
      </c>
      <c r="H445" s="77">
        <f>60+100</f>
        <v>160</v>
      </c>
      <c r="I445" s="77">
        <f t="shared" si="70"/>
        <v>0</v>
      </c>
      <c r="J445" s="80">
        <v>100</v>
      </c>
      <c r="K445" s="80">
        <v>300</v>
      </c>
      <c r="L445" s="77">
        <f t="shared" si="63"/>
        <v>1150</v>
      </c>
      <c r="M445" s="87">
        <v>600</v>
      </c>
      <c r="N445" s="77">
        <f>100</f>
        <v>100</v>
      </c>
      <c r="O445" s="80">
        <v>240</v>
      </c>
      <c r="P445" s="80">
        <v>40</v>
      </c>
      <c r="Q445" s="80">
        <f t="shared" si="64"/>
        <v>315</v>
      </c>
      <c r="R445" s="80">
        <f t="shared" si="65"/>
        <v>100</v>
      </c>
      <c r="S445" s="77">
        <f t="shared" si="66"/>
        <v>695</v>
      </c>
      <c r="T445" s="77">
        <f>50</f>
        <v>50</v>
      </c>
      <c r="U445" s="78"/>
      <c r="V445" s="78"/>
      <c r="W445" s="78"/>
      <c r="X445" s="78"/>
      <c r="Y445" s="78"/>
      <c r="Z445" s="78"/>
      <c r="AA445" s="78"/>
      <c r="AB445" s="78"/>
      <c r="AC445" s="78"/>
      <c r="AD445" s="78"/>
    </row>
    <row r="446" spans="1:30" ht="15.75" x14ac:dyDescent="0.25">
      <c r="A446" s="14">
        <v>54878</v>
      </c>
      <c r="B446" s="89">
        <v>31</v>
      </c>
      <c r="C446" s="77">
        <f>122.58</f>
        <v>122.58</v>
      </c>
      <c r="D446" s="77">
        <f>297.941</f>
        <v>297.94099999999997</v>
      </c>
      <c r="E446" s="85">
        <f>89.177</f>
        <v>89.177000000000007</v>
      </c>
      <c r="F446" s="77">
        <f>240.302-40-60-100</f>
        <v>40.301999999999992</v>
      </c>
      <c r="G446" s="80">
        <v>40</v>
      </c>
      <c r="H446" s="77">
        <f>60+100</f>
        <v>160</v>
      </c>
      <c r="I446" s="77">
        <f t="shared" si="70"/>
        <v>0</v>
      </c>
      <c r="J446" s="80">
        <v>100</v>
      </c>
      <c r="K446" s="80">
        <v>300</v>
      </c>
      <c r="L446" s="77">
        <f t="shared" si="63"/>
        <v>1150</v>
      </c>
      <c r="M446" s="87">
        <v>600</v>
      </c>
      <c r="N446" s="77">
        <f>100</f>
        <v>100</v>
      </c>
      <c r="O446" s="80">
        <v>240</v>
      </c>
      <c r="P446" s="80">
        <v>40</v>
      </c>
      <c r="Q446" s="80">
        <f t="shared" si="64"/>
        <v>315</v>
      </c>
      <c r="R446" s="80">
        <f t="shared" si="65"/>
        <v>100</v>
      </c>
      <c r="S446" s="77">
        <f t="shared" si="66"/>
        <v>695</v>
      </c>
      <c r="T446" s="77">
        <f>50</f>
        <v>50</v>
      </c>
      <c r="U446" s="78"/>
      <c r="V446" s="78"/>
      <c r="W446" s="78"/>
      <c r="X446" s="78"/>
      <c r="Y446" s="78"/>
      <c r="Z446" s="78"/>
      <c r="AA446" s="78"/>
      <c r="AB446" s="78"/>
      <c r="AC446" s="78"/>
      <c r="AD446" s="78"/>
    </row>
    <row r="447" spans="1:30" ht="15.75" x14ac:dyDescent="0.25">
      <c r="A447" s="14">
        <v>54908</v>
      </c>
      <c r="B447" s="89">
        <v>30</v>
      </c>
      <c r="C447" s="77">
        <f>141.293</f>
        <v>141.29300000000001</v>
      </c>
      <c r="D447" s="77">
        <f>267.993</f>
        <v>267.99299999999999</v>
      </c>
      <c r="E447" s="85">
        <f>115.016</f>
        <v>115.01600000000001</v>
      </c>
      <c r="F447" s="77">
        <f>314.698-40-25-60-100</f>
        <v>89.697999999999979</v>
      </c>
      <c r="G447" s="80">
        <v>40</v>
      </c>
      <c r="H447" s="77">
        <f t="shared" ref="H447:H453" si="72">25+60+100</f>
        <v>185</v>
      </c>
      <c r="I447" s="77">
        <f t="shared" si="70"/>
        <v>0</v>
      </c>
      <c r="J447" s="80">
        <v>100</v>
      </c>
      <c r="K447" s="80">
        <v>300</v>
      </c>
      <c r="L447" s="77">
        <f t="shared" si="63"/>
        <v>1239</v>
      </c>
      <c r="M447" s="87">
        <v>600</v>
      </c>
      <c r="N447" s="77">
        <f>100</f>
        <v>100</v>
      </c>
      <c r="O447" s="80">
        <v>240</v>
      </c>
      <c r="P447" s="80">
        <v>160</v>
      </c>
      <c r="Q447" s="80">
        <f t="shared" si="64"/>
        <v>195</v>
      </c>
      <c r="R447" s="80">
        <f t="shared" si="65"/>
        <v>100</v>
      </c>
      <c r="S447" s="77">
        <f t="shared" si="66"/>
        <v>695</v>
      </c>
      <c r="T447" s="77">
        <f>50</f>
        <v>50</v>
      </c>
      <c r="U447" s="78"/>
      <c r="V447" s="78"/>
      <c r="W447" s="78"/>
      <c r="X447" s="78"/>
      <c r="Y447" s="78"/>
      <c r="Z447" s="78"/>
      <c r="AA447" s="78"/>
      <c r="AB447" s="78"/>
      <c r="AC447" s="78"/>
      <c r="AD447" s="78"/>
    </row>
    <row r="448" spans="1:30" ht="15.75" x14ac:dyDescent="0.25">
      <c r="A448" s="14">
        <v>54939</v>
      </c>
      <c r="B448" s="89">
        <v>31</v>
      </c>
      <c r="C448" s="77">
        <f>194.205</f>
        <v>194.20500000000001</v>
      </c>
      <c r="D448" s="77">
        <f>267.466</f>
        <v>267.46600000000001</v>
      </c>
      <c r="E448" s="85">
        <f>133.845</f>
        <v>133.845</v>
      </c>
      <c r="F448" s="77">
        <f>278.484-40-25-60-100</f>
        <v>53.48399999999998</v>
      </c>
      <c r="G448" s="80">
        <v>40</v>
      </c>
      <c r="H448" s="77">
        <f t="shared" si="72"/>
        <v>185</v>
      </c>
      <c r="I448" s="77">
        <f t="shared" si="70"/>
        <v>0</v>
      </c>
      <c r="J448" s="80">
        <v>100</v>
      </c>
      <c r="K448" s="80">
        <v>300</v>
      </c>
      <c r="L448" s="77">
        <f t="shared" si="63"/>
        <v>1274</v>
      </c>
      <c r="M448" s="87">
        <v>600</v>
      </c>
      <c r="N448" s="77">
        <f>75</f>
        <v>75</v>
      </c>
      <c r="O448" s="80">
        <v>240</v>
      </c>
      <c r="P448" s="80">
        <v>160</v>
      </c>
      <c r="Q448" s="80">
        <f t="shared" si="64"/>
        <v>195</v>
      </c>
      <c r="R448" s="80">
        <f t="shared" si="65"/>
        <v>100</v>
      </c>
      <c r="S448" s="77">
        <f t="shared" si="66"/>
        <v>695</v>
      </c>
      <c r="T448" s="77">
        <f>50</f>
        <v>50</v>
      </c>
      <c r="U448" s="78"/>
      <c r="V448" s="78"/>
      <c r="W448" s="78"/>
      <c r="X448" s="78"/>
      <c r="Y448" s="78"/>
      <c r="Z448" s="78"/>
      <c r="AA448" s="78"/>
      <c r="AB448" s="78"/>
      <c r="AC448" s="78"/>
      <c r="AD448" s="78"/>
    </row>
    <row r="449" spans="1:30" ht="15.75" x14ac:dyDescent="0.25">
      <c r="A449" s="14">
        <v>54969</v>
      </c>
      <c r="B449" s="89">
        <v>30</v>
      </c>
      <c r="C449" s="77">
        <f>194.205</f>
        <v>194.20500000000001</v>
      </c>
      <c r="D449" s="77">
        <f>267.466</f>
        <v>267.46600000000001</v>
      </c>
      <c r="E449" s="85">
        <f>133.845</f>
        <v>133.845</v>
      </c>
      <c r="F449" s="77">
        <f>278.484-40-25-60-100</f>
        <v>53.48399999999998</v>
      </c>
      <c r="G449" s="80">
        <v>40</v>
      </c>
      <c r="H449" s="77">
        <f t="shared" si="72"/>
        <v>185</v>
      </c>
      <c r="I449" s="77">
        <f t="shared" si="70"/>
        <v>0</v>
      </c>
      <c r="J449" s="80">
        <v>100</v>
      </c>
      <c r="K449" s="80">
        <v>300</v>
      </c>
      <c r="L449" s="77">
        <f t="shared" si="63"/>
        <v>1274</v>
      </c>
      <c r="M449" s="87">
        <v>600</v>
      </c>
      <c r="N449" s="77">
        <f>30</f>
        <v>30</v>
      </c>
      <c r="O449" s="80">
        <v>240</v>
      </c>
      <c r="P449" s="80">
        <v>160</v>
      </c>
      <c r="Q449" s="80">
        <f t="shared" si="64"/>
        <v>195</v>
      </c>
      <c r="R449" s="80">
        <f t="shared" si="65"/>
        <v>100</v>
      </c>
      <c r="S449" s="77">
        <f t="shared" si="66"/>
        <v>695</v>
      </c>
      <c r="T449" s="77">
        <f>50</f>
        <v>50</v>
      </c>
      <c r="U449" s="78"/>
      <c r="V449" s="78"/>
      <c r="W449" s="78"/>
      <c r="X449" s="78"/>
      <c r="Y449" s="78"/>
      <c r="Z449" s="78"/>
      <c r="AA449" s="78"/>
      <c r="AB449" s="78"/>
      <c r="AC449" s="78"/>
      <c r="AD449" s="78"/>
    </row>
    <row r="450" spans="1:30" ht="15.75" x14ac:dyDescent="0.25">
      <c r="A450" s="14">
        <v>55000</v>
      </c>
      <c r="B450" s="89">
        <v>31</v>
      </c>
      <c r="C450" s="77">
        <f>194.205</f>
        <v>194.20500000000001</v>
      </c>
      <c r="D450" s="77">
        <f>267.466</f>
        <v>267.46600000000001</v>
      </c>
      <c r="E450" s="85">
        <f>133.845</f>
        <v>133.845</v>
      </c>
      <c r="F450" s="77">
        <f>278.484-40-25-60-100</f>
        <v>53.48399999999998</v>
      </c>
      <c r="G450" s="80">
        <v>40</v>
      </c>
      <c r="H450" s="77">
        <f t="shared" si="72"/>
        <v>185</v>
      </c>
      <c r="I450" s="77">
        <f t="shared" si="70"/>
        <v>0</v>
      </c>
      <c r="J450" s="80">
        <v>100</v>
      </c>
      <c r="K450" s="80">
        <v>300</v>
      </c>
      <c r="L450" s="77">
        <f t="shared" si="63"/>
        <v>1274</v>
      </c>
      <c r="M450" s="87">
        <v>600</v>
      </c>
      <c r="N450" s="77">
        <f>30</f>
        <v>30</v>
      </c>
      <c r="O450" s="80">
        <v>240</v>
      </c>
      <c r="P450" s="80">
        <v>160</v>
      </c>
      <c r="Q450" s="80">
        <f t="shared" si="64"/>
        <v>195</v>
      </c>
      <c r="R450" s="80">
        <f t="shared" si="65"/>
        <v>100</v>
      </c>
      <c r="S450" s="77">
        <f t="shared" si="66"/>
        <v>695</v>
      </c>
      <c r="T450" s="77">
        <f>0</f>
        <v>0</v>
      </c>
      <c r="U450" s="78"/>
      <c r="V450" s="78"/>
      <c r="W450" s="78"/>
      <c r="X450" s="78"/>
      <c r="Y450" s="78"/>
      <c r="Z450" s="78"/>
      <c r="AA450" s="78"/>
      <c r="AB450" s="78"/>
      <c r="AC450" s="78"/>
      <c r="AD450" s="78"/>
    </row>
    <row r="451" spans="1:30" ht="15.75" x14ac:dyDescent="0.25">
      <c r="A451" s="14">
        <v>55031</v>
      </c>
      <c r="B451" s="89">
        <v>31</v>
      </c>
      <c r="C451" s="77">
        <f>194.205</f>
        <v>194.20500000000001</v>
      </c>
      <c r="D451" s="77">
        <f>267.466</f>
        <v>267.46600000000001</v>
      </c>
      <c r="E451" s="85">
        <f>133.845</f>
        <v>133.845</v>
      </c>
      <c r="F451" s="77">
        <f>278.484-40-25-60-100</f>
        <v>53.48399999999998</v>
      </c>
      <c r="G451" s="80">
        <v>40</v>
      </c>
      <c r="H451" s="77">
        <f t="shared" si="72"/>
        <v>185</v>
      </c>
      <c r="I451" s="77">
        <f t="shared" si="70"/>
        <v>0</v>
      </c>
      <c r="J451" s="80">
        <v>100</v>
      </c>
      <c r="K451" s="80">
        <v>300</v>
      </c>
      <c r="L451" s="77">
        <f t="shared" si="63"/>
        <v>1274</v>
      </c>
      <c r="M451" s="87">
        <v>600</v>
      </c>
      <c r="N451" s="77">
        <f>30</f>
        <v>30</v>
      </c>
      <c r="O451" s="80">
        <v>240</v>
      </c>
      <c r="P451" s="80">
        <v>160</v>
      </c>
      <c r="Q451" s="80">
        <f t="shared" si="64"/>
        <v>195</v>
      </c>
      <c r="R451" s="80">
        <f t="shared" si="65"/>
        <v>100</v>
      </c>
      <c r="S451" s="77">
        <f t="shared" si="66"/>
        <v>695</v>
      </c>
      <c r="T451" s="77">
        <f>0</f>
        <v>0</v>
      </c>
      <c r="U451" s="78"/>
      <c r="V451" s="78"/>
      <c r="W451" s="78"/>
      <c r="X451" s="78"/>
      <c r="Y451" s="78"/>
      <c r="Z451" s="78"/>
      <c r="AA451" s="78"/>
      <c r="AB451" s="78"/>
      <c r="AC451" s="78"/>
      <c r="AD451" s="78"/>
    </row>
    <row r="452" spans="1:30" ht="15.75" x14ac:dyDescent="0.25">
      <c r="A452" s="14">
        <v>55061</v>
      </c>
      <c r="B452" s="89">
        <v>30</v>
      </c>
      <c r="C452" s="77">
        <f>194.205</f>
        <v>194.20500000000001</v>
      </c>
      <c r="D452" s="77">
        <f>267.466</f>
        <v>267.46600000000001</v>
      </c>
      <c r="E452" s="85">
        <f>133.845</f>
        <v>133.845</v>
      </c>
      <c r="F452" s="77">
        <f>278.484-40-25-60-100</f>
        <v>53.48399999999998</v>
      </c>
      <c r="G452" s="80">
        <v>40</v>
      </c>
      <c r="H452" s="77">
        <f t="shared" si="72"/>
        <v>185</v>
      </c>
      <c r="I452" s="77">
        <f t="shared" si="70"/>
        <v>0</v>
      </c>
      <c r="J452" s="80">
        <v>100</v>
      </c>
      <c r="K452" s="80">
        <v>300</v>
      </c>
      <c r="L452" s="77">
        <f t="shared" si="63"/>
        <v>1274</v>
      </c>
      <c r="M452" s="87">
        <v>600</v>
      </c>
      <c r="N452" s="77">
        <f>30</f>
        <v>30</v>
      </c>
      <c r="O452" s="80">
        <v>240</v>
      </c>
      <c r="P452" s="80">
        <v>160</v>
      </c>
      <c r="Q452" s="80">
        <f t="shared" si="64"/>
        <v>195</v>
      </c>
      <c r="R452" s="80">
        <f t="shared" si="65"/>
        <v>100</v>
      </c>
      <c r="S452" s="77">
        <f t="shared" si="66"/>
        <v>695</v>
      </c>
      <c r="T452" s="77">
        <f>0</f>
        <v>0</v>
      </c>
      <c r="U452" s="78"/>
      <c r="V452" s="78"/>
      <c r="W452" s="78"/>
      <c r="X452" s="78"/>
      <c r="Y452" s="78"/>
      <c r="Z452" s="78"/>
      <c r="AA452" s="78"/>
      <c r="AB452" s="78"/>
      <c r="AC452" s="78"/>
      <c r="AD452" s="78"/>
    </row>
    <row r="453" spans="1:30" ht="15.75" x14ac:dyDescent="0.25">
      <c r="A453" s="14">
        <v>55092</v>
      </c>
      <c r="B453" s="89">
        <v>31</v>
      </c>
      <c r="C453" s="77">
        <f>131.881</f>
        <v>131.881</v>
      </c>
      <c r="D453" s="77">
        <f>277.167</f>
        <v>277.16699999999997</v>
      </c>
      <c r="E453" s="85">
        <f>79.08</f>
        <v>79.08</v>
      </c>
      <c r="F453" s="77">
        <f>350.872-40-25-60-100</f>
        <v>125.87200000000001</v>
      </c>
      <c r="G453" s="80">
        <v>40</v>
      </c>
      <c r="H453" s="77">
        <f t="shared" si="72"/>
        <v>185</v>
      </c>
      <c r="I453" s="77">
        <f t="shared" si="70"/>
        <v>0</v>
      </c>
      <c r="J453" s="80">
        <v>100</v>
      </c>
      <c r="K453" s="80">
        <v>300</v>
      </c>
      <c r="L453" s="77">
        <f t="shared" si="63"/>
        <v>1239</v>
      </c>
      <c r="M453" s="87">
        <v>600</v>
      </c>
      <c r="N453" s="77">
        <f>75</f>
        <v>75</v>
      </c>
      <c r="O453" s="80">
        <v>240</v>
      </c>
      <c r="P453" s="80">
        <v>160</v>
      </c>
      <c r="Q453" s="80">
        <f t="shared" si="64"/>
        <v>195</v>
      </c>
      <c r="R453" s="80">
        <f t="shared" si="65"/>
        <v>100</v>
      </c>
      <c r="S453" s="77">
        <f t="shared" si="66"/>
        <v>695</v>
      </c>
      <c r="T453" s="77">
        <f>0</f>
        <v>0</v>
      </c>
      <c r="U453" s="78"/>
      <c r="V453" s="78"/>
      <c r="W453" s="78"/>
      <c r="X453" s="78"/>
      <c r="Y453" s="78"/>
      <c r="Z453" s="78"/>
      <c r="AA453" s="78"/>
      <c r="AB453" s="78"/>
      <c r="AC453" s="78"/>
      <c r="AD453" s="78"/>
    </row>
    <row r="454" spans="1:30" ht="15.75" x14ac:dyDescent="0.25">
      <c r="A454" s="14">
        <v>55122</v>
      </c>
      <c r="B454" s="89">
        <v>30</v>
      </c>
      <c r="C454" s="77">
        <f>122.58</f>
        <v>122.58</v>
      </c>
      <c r="D454" s="77">
        <f>297.941</f>
        <v>297.94099999999997</v>
      </c>
      <c r="E454" s="85">
        <f>89.177</f>
        <v>89.177000000000007</v>
      </c>
      <c r="F454" s="77">
        <f>240.302-40-60-100</f>
        <v>40.301999999999992</v>
      </c>
      <c r="G454" s="80">
        <v>40</v>
      </c>
      <c r="H454" s="77">
        <f>60+100</f>
        <v>160</v>
      </c>
      <c r="I454" s="77">
        <f t="shared" si="70"/>
        <v>0</v>
      </c>
      <c r="J454" s="80">
        <v>100</v>
      </c>
      <c r="K454" s="80">
        <v>300</v>
      </c>
      <c r="L454" s="77">
        <f t="shared" si="63"/>
        <v>1150</v>
      </c>
      <c r="M454" s="87">
        <v>600</v>
      </c>
      <c r="N454" s="77">
        <f>100</f>
        <v>100</v>
      </c>
      <c r="O454" s="80">
        <v>240</v>
      </c>
      <c r="P454" s="80">
        <v>40</v>
      </c>
      <c r="Q454" s="80">
        <f t="shared" si="64"/>
        <v>315</v>
      </c>
      <c r="R454" s="80">
        <f t="shared" si="65"/>
        <v>100</v>
      </c>
      <c r="S454" s="77">
        <f t="shared" si="66"/>
        <v>695</v>
      </c>
      <c r="T454" s="77">
        <f>50</f>
        <v>50</v>
      </c>
      <c r="U454" s="78"/>
      <c r="V454" s="78"/>
      <c r="W454" s="78"/>
      <c r="X454" s="78"/>
      <c r="Y454" s="78"/>
      <c r="Z454" s="78"/>
      <c r="AA454" s="78"/>
      <c r="AB454" s="78"/>
      <c r="AC454" s="78"/>
      <c r="AD454" s="78"/>
    </row>
    <row r="455" spans="1:30" ht="15.75" x14ac:dyDescent="0.25">
      <c r="A455" s="14">
        <v>55153</v>
      </c>
      <c r="B455" s="89">
        <v>31</v>
      </c>
      <c r="C455" s="77">
        <f>122.58</f>
        <v>122.58</v>
      </c>
      <c r="D455" s="77">
        <f>297.941</f>
        <v>297.94099999999997</v>
      </c>
      <c r="E455" s="85">
        <f>89.177</f>
        <v>89.177000000000007</v>
      </c>
      <c r="F455" s="77">
        <f>240.302-40-60-100</f>
        <v>40.301999999999992</v>
      </c>
      <c r="G455" s="80">
        <v>40</v>
      </c>
      <c r="H455" s="77">
        <f>60+100</f>
        <v>160</v>
      </c>
      <c r="I455" s="77">
        <f t="shared" si="70"/>
        <v>0</v>
      </c>
      <c r="J455" s="80">
        <v>100</v>
      </c>
      <c r="K455" s="80">
        <v>300</v>
      </c>
      <c r="L455" s="77">
        <f t="shared" si="63"/>
        <v>1150</v>
      </c>
      <c r="M455" s="87">
        <v>600</v>
      </c>
      <c r="N455" s="77">
        <f>100</f>
        <v>100</v>
      </c>
      <c r="O455" s="80">
        <v>240</v>
      </c>
      <c r="P455" s="80">
        <v>40</v>
      </c>
      <c r="Q455" s="80">
        <f t="shared" si="64"/>
        <v>315</v>
      </c>
      <c r="R455" s="80">
        <f t="shared" si="65"/>
        <v>100</v>
      </c>
      <c r="S455" s="77">
        <f t="shared" si="66"/>
        <v>695</v>
      </c>
      <c r="T455" s="77">
        <f>50</f>
        <v>50</v>
      </c>
      <c r="U455" s="78"/>
      <c r="V455" s="78"/>
      <c r="W455" s="78"/>
      <c r="X455" s="78"/>
      <c r="Y455" s="78"/>
      <c r="Z455" s="78"/>
      <c r="AA455" s="78"/>
      <c r="AB455" s="78"/>
      <c r="AC455" s="78"/>
      <c r="AD455" s="78"/>
    </row>
    <row r="456" spans="1:30" ht="15.75" x14ac:dyDescent="0.25">
      <c r="A456" s="14">
        <v>55184</v>
      </c>
      <c r="B456" s="89">
        <v>31</v>
      </c>
      <c r="C456" s="77">
        <f>122.58</f>
        <v>122.58</v>
      </c>
      <c r="D456" s="77">
        <f>297.941</f>
        <v>297.94099999999997</v>
      </c>
      <c r="E456" s="85">
        <f>89.177</f>
        <v>89.177000000000007</v>
      </c>
      <c r="F456" s="77">
        <f>240.302-40-60-100</f>
        <v>40.301999999999992</v>
      </c>
      <c r="G456" s="80">
        <v>40</v>
      </c>
      <c r="H456" s="77">
        <f>60+100</f>
        <v>160</v>
      </c>
      <c r="I456" s="77">
        <f t="shared" si="70"/>
        <v>0</v>
      </c>
      <c r="J456" s="80">
        <v>100</v>
      </c>
      <c r="K456" s="80">
        <v>300</v>
      </c>
      <c r="L456" s="77">
        <f t="shared" si="63"/>
        <v>1150</v>
      </c>
      <c r="M456" s="87">
        <v>600</v>
      </c>
      <c r="N456" s="77">
        <f>100</f>
        <v>100</v>
      </c>
      <c r="O456" s="80">
        <v>240</v>
      </c>
      <c r="P456" s="80">
        <v>40</v>
      </c>
      <c r="Q456" s="80">
        <f t="shared" si="64"/>
        <v>315</v>
      </c>
      <c r="R456" s="80">
        <f t="shared" si="65"/>
        <v>100</v>
      </c>
      <c r="S456" s="77">
        <f t="shared" si="66"/>
        <v>695</v>
      </c>
      <c r="T456" s="77">
        <f>50</f>
        <v>50</v>
      </c>
      <c r="U456" s="78"/>
      <c r="V456" s="78"/>
      <c r="W456" s="78"/>
      <c r="X456" s="78"/>
      <c r="Y456" s="78"/>
      <c r="Z456" s="78"/>
      <c r="AA456" s="78"/>
      <c r="AB456" s="78"/>
      <c r="AC456" s="78"/>
      <c r="AD456" s="78"/>
    </row>
    <row r="457" spans="1:30" ht="15.75" x14ac:dyDescent="0.25">
      <c r="A457" s="14">
        <v>55212</v>
      </c>
      <c r="B457" s="89">
        <v>28</v>
      </c>
      <c r="C457" s="77">
        <f>122.58</f>
        <v>122.58</v>
      </c>
      <c r="D457" s="77">
        <f>297.941</f>
        <v>297.94099999999997</v>
      </c>
      <c r="E457" s="85">
        <f>89.177</f>
        <v>89.177000000000007</v>
      </c>
      <c r="F457" s="77">
        <f>240.302-40-60-100</f>
        <v>40.301999999999992</v>
      </c>
      <c r="G457" s="80">
        <v>40</v>
      </c>
      <c r="H457" s="77">
        <f>60+100</f>
        <v>160</v>
      </c>
      <c r="I457" s="77">
        <f t="shared" si="70"/>
        <v>0</v>
      </c>
      <c r="J457" s="80">
        <v>100</v>
      </c>
      <c r="K457" s="80">
        <v>300</v>
      </c>
      <c r="L457" s="77">
        <f t="shared" si="63"/>
        <v>1150</v>
      </c>
      <c r="M457" s="87">
        <v>600</v>
      </c>
      <c r="N457" s="77">
        <f>100</f>
        <v>100</v>
      </c>
      <c r="O457" s="80">
        <v>240</v>
      </c>
      <c r="P457" s="80">
        <v>40</v>
      </c>
      <c r="Q457" s="80">
        <f t="shared" si="64"/>
        <v>315</v>
      </c>
      <c r="R457" s="80">
        <f t="shared" si="65"/>
        <v>100</v>
      </c>
      <c r="S457" s="77">
        <f t="shared" si="66"/>
        <v>695</v>
      </c>
      <c r="T457" s="77">
        <f>50</f>
        <v>50</v>
      </c>
      <c r="U457" s="78"/>
      <c r="V457" s="78"/>
      <c r="W457" s="78"/>
      <c r="X457" s="78"/>
      <c r="Y457" s="78"/>
      <c r="Z457" s="78"/>
      <c r="AA457" s="78"/>
      <c r="AB457" s="78"/>
      <c r="AC457" s="78"/>
      <c r="AD457" s="78"/>
    </row>
    <row r="458" spans="1:30" ht="15.75" x14ac:dyDescent="0.25">
      <c r="A458" s="14">
        <v>55243</v>
      </c>
      <c r="B458" s="89">
        <v>31</v>
      </c>
      <c r="C458" s="77">
        <f>122.58</f>
        <v>122.58</v>
      </c>
      <c r="D458" s="77">
        <f>297.941</f>
        <v>297.94099999999997</v>
      </c>
      <c r="E458" s="85">
        <f>89.177</f>
        <v>89.177000000000007</v>
      </c>
      <c r="F458" s="77">
        <f>240.302-40-60-100</f>
        <v>40.301999999999992</v>
      </c>
      <c r="G458" s="80">
        <v>40</v>
      </c>
      <c r="H458" s="77">
        <f>60+100</f>
        <v>160</v>
      </c>
      <c r="I458" s="77">
        <f t="shared" si="70"/>
        <v>0</v>
      </c>
      <c r="J458" s="80">
        <v>100</v>
      </c>
      <c r="K458" s="80">
        <v>300</v>
      </c>
      <c r="L458" s="77">
        <f t="shared" si="63"/>
        <v>1150</v>
      </c>
      <c r="M458" s="87">
        <v>600</v>
      </c>
      <c r="N458" s="77">
        <f>100</f>
        <v>100</v>
      </c>
      <c r="O458" s="80">
        <v>240</v>
      </c>
      <c r="P458" s="80">
        <v>40</v>
      </c>
      <c r="Q458" s="80">
        <f t="shared" si="64"/>
        <v>315</v>
      </c>
      <c r="R458" s="80">
        <f t="shared" si="65"/>
        <v>100</v>
      </c>
      <c r="S458" s="77">
        <f t="shared" si="66"/>
        <v>695</v>
      </c>
      <c r="T458" s="77">
        <f>50</f>
        <v>50</v>
      </c>
      <c r="U458" s="78"/>
      <c r="V458" s="78"/>
      <c r="W458" s="78"/>
      <c r="X458" s="78"/>
      <c r="Y458" s="78"/>
      <c r="Z458" s="78"/>
      <c r="AA458" s="78"/>
      <c r="AB458" s="78"/>
      <c r="AC458" s="78"/>
      <c r="AD458" s="78"/>
    </row>
    <row r="459" spans="1:30" ht="15.75" x14ac:dyDescent="0.25">
      <c r="A459" s="14">
        <v>55273</v>
      </c>
      <c r="B459" s="89">
        <v>30</v>
      </c>
      <c r="C459" s="77">
        <f>141.293</f>
        <v>141.29300000000001</v>
      </c>
      <c r="D459" s="77">
        <f>267.993</f>
        <v>267.99299999999999</v>
      </c>
      <c r="E459" s="85">
        <f>115.016</f>
        <v>115.01600000000001</v>
      </c>
      <c r="F459" s="77">
        <f>314.698-40-25-60-100</f>
        <v>89.697999999999979</v>
      </c>
      <c r="G459" s="80">
        <v>40</v>
      </c>
      <c r="H459" s="77">
        <f t="shared" ref="H459:H465" si="73">25+60+100</f>
        <v>185</v>
      </c>
      <c r="I459" s="77">
        <f t="shared" si="70"/>
        <v>0</v>
      </c>
      <c r="J459" s="80">
        <v>100</v>
      </c>
      <c r="K459" s="80">
        <v>300</v>
      </c>
      <c r="L459" s="77">
        <f t="shared" si="63"/>
        <v>1239</v>
      </c>
      <c r="M459" s="87">
        <v>600</v>
      </c>
      <c r="N459" s="77">
        <f>100</f>
        <v>100</v>
      </c>
      <c r="O459" s="80">
        <v>240</v>
      </c>
      <c r="P459" s="80">
        <v>160</v>
      </c>
      <c r="Q459" s="80">
        <f t="shared" si="64"/>
        <v>195</v>
      </c>
      <c r="R459" s="80">
        <f t="shared" si="65"/>
        <v>100</v>
      </c>
      <c r="S459" s="77">
        <f t="shared" si="66"/>
        <v>695</v>
      </c>
      <c r="T459" s="77">
        <f>50</f>
        <v>50</v>
      </c>
      <c r="U459" s="78"/>
      <c r="V459" s="78"/>
      <c r="W459" s="78"/>
      <c r="X459" s="78"/>
      <c r="Y459" s="78"/>
      <c r="Z459" s="78"/>
      <c r="AA459" s="78"/>
      <c r="AB459" s="78"/>
      <c r="AC459" s="78"/>
      <c r="AD459" s="78"/>
    </row>
    <row r="460" spans="1:30" ht="15.75" x14ac:dyDescent="0.25">
      <c r="A460" s="14">
        <v>55304</v>
      </c>
      <c r="B460" s="89">
        <v>31</v>
      </c>
      <c r="C460" s="77">
        <f>194.205</f>
        <v>194.20500000000001</v>
      </c>
      <c r="D460" s="77">
        <f>267.466</f>
        <v>267.46600000000001</v>
      </c>
      <c r="E460" s="85">
        <f>133.845</f>
        <v>133.845</v>
      </c>
      <c r="F460" s="77">
        <f>278.484-40-25-60-100</f>
        <v>53.48399999999998</v>
      </c>
      <c r="G460" s="80">
        <v>40</v>
      </c>
      <c r="H460" s="77">
        <f t="shared" si="73"/>
        <v>185</v>
      </c>
      <c r="I460" s="77">
        <f t="shared" si="70"/>
        <v>0</v>
      </c>
      <c r="J460" s="80">
        <v>100</v>
      </c>
      <c r="K460" s="80">
        <v>300</v>
      </c>
      <c r="L460" s="77">
        <f t="shared" si="63"/>
        <v>1274</v>
      </c>
      <c r="M460" s="87">
        <v>600</v>
      </c>
      <c r="N460" s="77">
        <f>75</f>
        <v>75</v>
      </c>
      <c r="O460" s="80">
        <v>240</v>
      </c>
      <c r="P460" s="80">
        <v>160</v>
      </c>
      <c r="Q460" s="80">
        <f t="shared" si="64"/>
        <v>195</v>
      </c>
      <c r="R460" s="80">
        <f t="shared" si="65"/>
        <v>100</v>
      </c>
      <c r="S460" s="77">
        <f t="shared" si="66"/>
        <v>695</v>
      </c>
      <c r="T460" s="77">
        <f>50</f>
        <v>50</v>
      </c>
      <c r="U460" s="78"/>
      <c r="V460" s="78"/>
      <c r="W460" s="78"/>
      <c r="X460" s="78"/>
      <c r="Y460" s="78"/>
      <c r="Z460" s="78"/>
      <c r="AA460" s="78"/>
      <c r="AB460" s="78"/>
      <c r="AC460" s="78"/>
      <c r="AD460" s="78"/>
    </row>
    <row r="461" spans="1:30" ht="15.75" x14ac:dyDescent="0.25">
      <c r="A461" s="14">
        <v>55334</v>
      </c>
      <c r="B461" s="89">
        <v>30</v>
      </c>
      <c r="C461" s="77">
        <f>194.205</f>
        <v>194.20500000000001</v>
      </c>
      <c r="D461" s="77">
        <f>267.466</f>
        <v>267.46600000000001</v>
      </c>
      <c r="E461" s="85">
        <f>133.845</f>
        <v>133.845</v>
      </c>
      <c r="F461" s="77">
        <f>278.484-40-25-60-100</f>
        <v>53.48399999999998</v>
      </c>
      <c r="G461" s="80">
        <v>40</v>
      </c>
      <c r="H461" s="77">
        <f t="shared" si="73"/>
        <v>185</v>
      </c>
      <c r="I461" s="77">
        <f t="shared" si="70"/>
        <v>0</v>
      </c>
      <c r="J461" s="80">
        <v>100</v>
      </c>
      <c r="K461" s="80">
        <v>300</v>
      </c>
      <c r="L461" s="77">
        <f t="shared" si="63"/>
        <v>1274</v>
      </c>
      <c r="M461" s="87">
        <v>600</v>
      </c>
      <c r="N461" s="77">
        <f>30</f>
        <v>30</v>
      </c>
      <c r="O461" s="80">
        <v>240</v>
      </c>
      <c r="P461" s="80">
        <v>160</v>
      </c>
      <c r="Q461" s="80">
        <f t="shared" si="64"/>
        <v>195</v>
      </c>
      <c r="R461" s="80">
        <f t="shared" si="65"/>
        <v>100</v>
      </c>
      <c r="S461" s="77">
        <f t="shared" si="66"/>
        <v>695</v>
      </c>
      <c r="T461" s="77">
        <f>50</f>
        <v>50</v>
      </c>
      <c r="U461" s="78"/>
      <c r="V461" s="78"/>
      <c r="W461" s="78"/>
      <c r="X461" s="78"/>
      <c r="Y461" s="78"/>
      <c r="Z461" s="78"/>
      <c r="AA461" s="78"/>
      <c r="AB461" s="78"/>
      <c r="AC461" s="78"/>
      <c r="AD461" s="78"/>
    </row>
    <row r="462" spans="1:30" ht="15.75" x14ac:dyDescent="0.25">
      <c r="A462" s="14">
        <v>55365</v>
      </c>
      <c r="B462" s="89">
        <v>31</v>
      </c>
      <c r="C462" s="77">
        <f>194.205</f>
        <v>194.20500000000001</v>
      </c>
      <c r="D462" s="77">
        <f>267.466</f>
        <v>267.46600000000001</v>
      </c>
      <c r="E462" s="85">
        <f>133.845</f>
        <v>133.845</v>
      </c>
      <c r="F462" s="77">
        <f>278.484-40-25-60-100</f>
        <v>53.48399999999998</v>
      </c>
      <c r="G462" s="80">
        <v>40</v>
      </c>
      <c r="H462" s="77">
        <f t="shared" si="73"/>
        <v>185</v>
      </c>
      <c r="I462" s="77">
        <f t="shared" si="70"/>
        <v>0</v>
      </c>
      <c r="J462" s="80">
        <v>100</v>
      </c>
      <c r="K462" s="80">
        <v>300</v>
      </c>
      <c r="L462" s="77">
        <f t="shared" ref="L462:L525" si="74">SUM(C462:K462)</f>
        <v>1274</v>
      </c>
      <c r="M462" s="87">
        <v>600</v>
      </c>
      <c r="N462" s="77">
        <f>30</f>
        <v>30</v>
      </c>
      <c r="O462" s="80">
        <v>240</v>
      </c>
      <c r="P462" s="80">
        <v>160</v>
      </c>
      <c r="Q462" s="80">
        <f t="shared" ref="Q462:Q525" si="75">695-R462-O462-P462</f>
        <v>195</v>
      </c>
      <c r="R462" s="80">
        <f t="shared" ref="R462:R525" si="76">200-J462</f>
        <v>100</v>
      </c>
      <c r="S462" s="77">
        <f t="shared" ref="S462:S525" si="77">SUM(O462:R462)</f>
        <v>695</v>
      </c>
      <c r="T462" s="77">
        <f>0</f>
        <v>0</v>
      </c>
      <c r="U462" s="78"/>
      <c r="V462" s="78"/>
      <c r="W462" s="78"/>
      <c r="X462" s="78"/>
      <c r="Y462" s="78"/>
      <c r="Z462" s="78"/>
      <c r="AA462" s="78"/>
      <c r="AB462" s="78"/>
      <c r="AC462" s="78"/>
      <c r="AD462" s="78"/>
    </row>
    <row r="463" spans="1:30" ht="15.75" x14ac:dyDescent="0.25">
      <c r="A463" s="14">
        <v>55396</v>
      </c>
      <c r="B463" s="89">
        <v>31</v>
      </c>
      <c r="C463" s="77">
        <f>194.205</f>
        <v>194.20500000000001</v>
      </c>
      <c r="D463" s="77">
        <f>267.466</f>
        <v>267.46600000000001</v>
      </c>
      <c r="E463" s="85">
        <f>133.845</f>
        <v>133.845</v>
      </c>
      <c r="F463" s="77">
        <f>278.484-40-25-60-100</f>
        <v>53.48399999999998</v>
      </c>
      <c r="G463" s="80">
        <v>40</v>
      </c>
      <c r="H463" s="77">
        <f t="shared" si="73"/>
        <v>185</v>
      </c>
      <c r="I463" s="77">
        <f t="shared" si="70"/>
        <v>0</v>
      </c>
      <c r="J463" s="80">
        <v>100</v>
      </c>
      <c r="K463" s="80">
        <v>300</v>
      </c>
      <c r="L463" s="77">
        <f t="shared" si="74"/>
        <v>1274</v>
      </c>
      <c r="M463" s="87">
        <v>600</v>
      </c>
      <c r="N463" s="77">
        <f>30</f>
        <v>30</v>
      </c>
      <c r="O463" s="80">
        <v>240</v>
      </c>
      <c r="P463" s="80">
        <v>160</v>
      </c>
      <c r="Q463" s="80">
        <f t="shared" si="75"/>
        <v>195</v>
      </c>
      <c r="R463" s="80">
        <f t="shared" si="76"/>
        <v>100</v>
      </c>
      <c r="S463" s="77">
        <f t="shared" si="77"/>
        <v>695</v>
      </c>
      <c r="T463" s="77">
        <f>0</f>
        <v>0</v>
      </c>
      <c r="U463" s="78"/>
      <c r="V463" s="78"/>
      <c r="W463" s="78"/>
      <c r="X463" s="78"/>
      <c r="Y463" s="78"/>
      <c r="Z463" s="78"/>
      <c r="AA463" s="78"/>
      <c r="AB463" s="78"/>
      <c r="AC463" s="78"/>
      <c r="AD463" s="78"/>
    </row>
    <row r="464" spans="1:30" ht="15.75" x14ac:dyDescent="0.25">
      <c r="A464" s="14">
        <v>55426</v>
      </c>
      <c r="B464" s="89">
        <v>30</v>
      </c>
      <c r="C464" s="77">
        <f>194.205</f>
        <v>194.20500000000001</v>
      </c>
      <c r="D464" s="77">
        <f>267.466</f>
        <v>267.46600000000001</v>
      </c>
      <c r="E464" s="85">
        <f>133.845</f>
        <v>133.845</v>
      </c>
      <c r="F464" s="77">
        <f>278.484-40-25-60-100</f>
        <v>53.48399999999998</v>
      </c>
      <c r="G464" s="80">
        <v>40</v>
      </c>
      <c r="H464" s="77">
        <f t="shared" si="73"/>
        <v>185</v>
      </c>
      <c r="I464" s="77">
        <f t="shared" si="70"/>
        <v>0</v>
      </c>
      <c r="J464" s="80">
        <v>100</v>
      </c>
      <c r="K464" s="80">
        <v>300</v>
      </c>
      <c r="L464" s="77">
        <f t="shared" si="74"/>
        <v>1274</v>
      </c>
      <c r="M464" s="87">
        <v>600</v>
      </c>
      <c r="N464" s="77">
        <f>30</f>
        <v>30</v>
      </c>
      <c r="O464" s="80">
        <v>240</v>
      </c>
      <c r="P464" s="80">
        <v>160</v>
      </c>
      <c r="Q464" s="80">
        <f t="shared" si="75"/>
        <v>195</v>
      </c>
      <c r="R464" s="80">
        <f t="shared" si="76"/>
        <v>100</v>
      </c>
      <c r="S464" s="77">
        <f t="shared" si="77"/>
        <v>695</v>
      </c>
      <c r="T464" s="77">
        <f>0</f>
        <v>0</v>
      </c>
      <c r="U464" s="78"/>
      <c r="V464" s="78"/>
      <c r="W464" s="78"/>
      <c r="X464" s="78"/>
      <c r="Y464" s="78"/>
      <c r="Z464" s="78"/>
      <c r="AA464" s="78"/>
      <c r="AB464" s="78"/>
      <c r="AC464" s="78"/>
      <c r="AD464" s="78"/>
    </row>
    <row r="465" spans="1:30" ht="15.75" x14ac:dyDescent="0.25">
      <c r="A465" s="14">
        <v>55457</v>
      </c>
      <c r="B465" s="89">
        <v>31</v>
      </c>
      <c r="C465" s="77">
        <f>131.881</f>
        <v>131.881</v>
      </c>
      <c r="D465" s="77">
        <f>277.167</f>
        <v>277.16699999999997</v>
      </c>
      <c r="E465" s="85">
        <f>79.08</f>
        <v>79.08</v>
      </c>
      <c r="F465" s="77">
        <f>350.872-40-25-60-100</f>
        <v>125.87200000000001</v>
      </c>
      <c r="G465" s="80">
        <v>40</v>
      </c>
      <c r="H465" s="77">
        <f t="shared" si="73"/>
        <v>185</v>
      </c>
      <c r="I465" s="77">
        <f t="shared" si="70"/>
        <v>0</v>
      </c>
      <c r="J465" s="80">
        <v>100</v>
      </c>
      <c r="K465" s="80">
        <v>300</v>
      </c>
      <c r="L465" s="77">
        <f t="shared" si="74"/>
        <v>1239</v>
      </c>
      <c r="M465" s="87">
        <v>600</v>
      </c>
      <c r="N465" s="77">
        <f>75</f>
        <v>75</v>
      </c>
      <c r="O465" s="80">
        <v>240</v>
      </c>
      <c r="P465" s="80">
        <v>160</v>
      </c>
      <c r="Q465" s="80">
        <f t="shared" si="75"/>
        <v>195</v>
      </c>
      <c r="R465" s="80">
        <f t="shared" si="76"/>
        <v>100</v>
      </c>
      <c r="S465" s="77">
        <f t="shared" si="77"/>
        <v>695</v>
      </c>
      <c r="T465" s="77">
        <f>0</f>
        <v>0</v>
      </c>
      <c r="U465" s="78"/>
      <c r="V465" s="78"/>
      <c r="W465" s="78"/>
      <c r="X465" s="78"/>
      <c r="Y465" s="78"/>
      <c r="Z465" s="78"/>
      <c r="AA465" s="78"/>
      <c r="AB465" s="78"/>
      <c r="AC465" s="78"/>
      <c r="AD465" s="78"/>
    </row>
    <row r="466" spans="1:30" ht="15.75" x14ac:dyDescent="0.25">
      <c r="A466" s="14">
        <v>55487</v>
      </c>
      <c r="B466" s="89">
        <v>30</v>
      </c>
      <c r="C466" s="77">
        <f>122.58</f>
        <v>122.58</v>
      </c>
      <c r="D466" s="77">
        <f>297.941</f>
        <v>297.94099999999997</v>
      </c>
      <c r="E466" s="85">
        <f>89.177</f>
        <v>89.177000000000007</v>
      </c>
      <c r="F466" s="77">
        <f>240.302-40-60-100</f>
        <v>40.301999999999992</v>
      </c>
      <c r="G466" s="80">
        <v>40</v>
      </c>
      <c r="H466" s="77">
        <f>60+100</f>
        <v>160</v>
      </c>
      <c r="I466" s="77">
        <f t="shared" si="70"/>
        <v>0</v>
      </c>
      <c r="J466" s="80">
        <v>100</v>
      </c>
      <c r="K466" s="80">
        <v>300</v>
      </c>
      <c r="L466" s="77">
        <f t="shared" si="74"/>
        <v>1150</v>
      </c>
      <c r="M466" s="87">
        <v>600</v>
      </c>
      <c r="N466" s="77">
        <f>100</f>
        <v>100</v>
      </c>
      <c r="O466" s="80">
        <v>240</v>
      </c>
      <c r="P466" s="80">
        <v>40</v>
      </c>
      <c r="Q466" s="80">
        <f t="shared" si="75"/>
        <v>315</v>
      </c>
      <c r="R466" s="80">
        <f t="shared" si="76"/>
        <v>100</v>
      </c>
      <c r="S466" s="77">
        <f t="shared" si="77"/>
        <v>695</v>
      </c>
      <c r="T466" s="77">
        <f>50</f>
        <v>50</v>
      </c>
      <c r="U466" s="78"/>
      <c r="V466" s="78"/>
      <c r="W466" s="78"/>
      <c r="X466" s="78"/>
      <c r="Y466" s="78"/>
      <c r="Z466" s="78"/>
      <c r="AA466" s="78"/>
      <c r="AB466" s="78"/>
      <c r="AC466" s="78"/>
      <c r="AD466" s="78"/>
    </row>
    <row r="467" spans="1:30" ht="15.75" x14ac:dyDescent="0.25">
      <c r="A467" s="14">
        <v>55518</v>
      </c>
      <c r="B467" s="89">
        <v>31</v>
      </c>
      <c r="C467" s="77">
        <f>122.58</f>
        <v>122.58</v>
      </c>
      <c r="D467" s="77">
        <f>297.941</f>
        <v>297.94099999999997</v>
      </c>
      <c r="E467" s="85">
        <f>89.177</f>
        <v>89.177000000000007</v>
      </c>
      <c r="F467" s="77">
        <f>240.302-40-60-100</f>
        <v>40.301999999999992</v>
      </c>
      <c r="G467" s="80">
        <v>40</v>
      </c>
      <c r="H467" s="77">
        <f>60+100</f>
        <v>160</v>
      </c>
      <c r="I467" s="77">
        <f t="shared" si="70"/>
        <v>0</v>
      </c>
      <c r="J467" s="80">
        <v>100</v>
      </c>
      <c r="K467" s="80">
        <v>300</v>
      </c>
      <c r="L467" s="77">
        <f t="shared" si="74"/>
        <v>1150</v>
      </c>
      <c r="M467" s="87">
        <v>600</v>
      </c>
      <c r="N467" s="77">
        <f>100</f>
        <v>100</v>
      </c>
      <c r="O467" s="80">
        <v>240</v>
      </c>
      <c r="P467" s="80">
        <v>40</v>
      </c>
      <c r="Q467" s="80">
        <f t="shared" si="75"/>
        <v>315</v>
      </c>
      <c r="R467" s="80">
        <f t="shared" si="76"/>
        <v>100</v>
      </c>
      <c r="S467" s="77">
        <f t="shared" si="77"/>
        <v>695</v>
      </c>
      <c r="T467" s="77">
        <f>50</f>
        <v>50</v>
      </c>
      <c r="U467" s="78"/>
      <c r="V467" s="78"/>
      <c r="W467" s="78"/>
      <c r="X467" s="78"/>
      <c r="Y467" s="78"/>
      <c r="Z467" s="78"/>
      <c r="AA467" s="78"/>
      <c r="AB467" s="78"/>
      <c r="AC467" s="78"/>
      <c r="AD467" s="78"/>
    </row>
    <row r="468" spans="1:30" ht="15.75" x14ac:dyDescent="0.25">
      <c r="A468" s="14">
        <v>55549</v>
      </c>
      <c r="B468" s="89">
        <v>31</v>
      </c>
      <c r="C468" s="77">
        <f>122.58</f>
        <v>122.58</v>
      </c>
      <c r="D468" s="77">
        <f>297.941</f>
        <v>297.94099999999997</v>
      </c>
      <c r="E468" s="85">
        <f>89.177</f>
        <v>89.177000000000007</v>
      </c>
      <c r="F468" s="77">
        <f>240.302-40-60-100</f>
        <v>40.301999999999992</v>
      </c>
      <c r="G468" s="80">
        <v>40</v>
      </c>
      <c r="H468" s="77">
        <f>60+100</f>
        <v>160</v>
      </c>
      <c r="I468" s="77">
        <f t="shared" si="70"/>
        <v>0</v>
      </c>
      <c r="J468" s="80">
        <v>100</v>
      </c>
      <c r="K468" s="80">
        <v>300</v>
      </c>
      <c r="L468" s="77">
        <f t="shared" si="74"/>
        <v>1150</v>
      </c>
      <c r="M468" s="87">
        <v>600</v>
      </c>
      <c r="N468" s="77">
        <f>100</f>
        <v>100</v>
      </c>
      <c r="O468" s="80">
        <v>240</v>
      </c>
      <c r="P468" s="80">
        <v>40</v>
      </c>
      <c r="Q468" s="80">
        <f t="shared" si="75"/>
        <v>315</v>
      </c>
      <c r="R468" s="80">
        <f t="shared" si="76"/>
        <v>100</v>
      </c>
      <c r="S468" s="77">
        <f t="shared" si="77"/>
        <v>695</v>
      </c>
      <c r="T468" s="77">
        <f>50</f>
        <v>50</v>
      </c>
      <c r="U468" s="78"/>
      <c r="V468" s="78"/>
      <c r="W468" s="78"/>
      <c r="X468" s="78"/>
      <c r="Y468" s="78"/>
      <c r="Z468" s="78"/>
      <c r="AA468" s="78"/>
      <c r="AB468" s="78"/>
      <c r="AC468" s="78"/>
      <c r="AD468" s="78"/>
    </row>
    <row r="469" spans="1:30" ht="15.75" x14ac:dyDescent="0.25">
      <c r="A469" s="14">
        <v>55577</v>
      </c>
      <c r="B469" s="89">
        <v>29</v>
      </c>
      <c r="C469" s="77">
        <f>122.58</f>
        <v>122.58</v>
      </c>
      <c r="D469" s="77">
        <f>297.941</f>
        <v>297.94099999999997</v>
      </c>
      <c r="E469" s="85">
        <f>89.177</f>
        <v>89.177000000000007</v>
      </c>
      <c r="F469" s="77">
        <f>240.302-40-60-100</f>
        <v>40.301999999999992</v>
      </c>
      <c r="G469" s="80">
        <v>40</v>
      </c>
      <c r="H469" s="77">
        <f>60+100</f>
        <v>160</v>
      </c>
      <c r="I469" s="77">
        <f t="shared" si="70"/>
        <v>0</v>
      </c>
      <c r="J469" s="80">
        <v>100</v>
      </c>
      <c r="K469" s="80">
        <v>300</v>
      </c>
      <c r="L469" s="77">
        <f t="shared" si="74"/>
        <v>1150</v>
      </c>
      <c r="M469" s="87">
        <v>600</v>
      </c>
      <c r="N469" s="77">
        <f>100</f>
        <v>100</v>
      </c>
      <c r="O469" s="80">
        <v>240</v>
      </c>
      <c r="P469" s="80">
        <v>40</v>
      </c>
      <c r="Q469" s="80">
        <f t="shared" si="75"/>
        <v>315</v>
      </c>
      <c r="R469" s="80">
        <f t="shared" si="76"/>
        <v>100</v>
      </c>
      <c r="S469" s="77">
        <f t="shared" si="77"/>
        <v>695</v>
      </c>
      <c r="T469" s="77">
        <f>50</f>
        <v>50</v>
      </c>
      <c r="U469" s="78"/>
      <c r="V469" s="78"/>
      <c r="W469" s="78"/>
      <c r="X469" s="78"/>
      <c r="Y469" s="78"/>
      <c r="Z469" s="78"/>
      <c r="AA469" s="78"/>
      <c r="AB469" s="78"/>
      <c r="AC469" s="78"/>
      <c r="AD469" s="78"/>
    </row>
    <row r="470" spans="1:30" ht="15.75" x14ac:dyDescent="0.25">
      <c r="A470" s="14">
        <v>55609</v>
      </c>
      <c r="B470" s="89">
        <v>31</v>
      </c>
      <c r="C470" s="77">
        <f>122.58</f>
        <v>122.58</v>
      </c>
      <c r="D470" s="77">
        <f>297.941</f>
        <v>297.94099999999997</v>
      </c>
      <c r="E470" s="85">
        <f>89.177</f>
        <v>89.177000000000007</v>
      </c>
      <c r="F470" s="77">
        <f>240.302-40-60-100</f>
        <v>40.301999999999992</v>
      </c>
      <c r="G470" s="80">
        <v>40</v>
      </c>
      <c r="H470" s="77">
        <f>60+100</f>
        <v>160</v>
      </c>
      <c r="I470" s="77">
        <f t="shared" si="70"/>
        <v>0</v>
      </c>
      <c r="J470" s="80">
        <v>100</v>
      </c>
      <c r="K470" s="80">
        <v>300</v>
      </c>
      <c r="L470" s="77">
        <f t="shared" si="74"/>
        <v>1150</v>
      </c>
      <c r="M470" s="87">
        <v>600</v>
      </c>
      <c r="N470" s="77">
        <f>100</f>
        <v>100</v>
      </c>
      <c r="O470" s="80">
        <v>240</v>
      </c>
      <c r="P470" s="80">
        <v>40</v>
      </c>
      <c r="Q470" s="80">
        <f t="shared" si="75"/>
        <v>315</v>
      </c>
      <c r="R470" s="80">
        <f t="shared" si="76"/>
        <v>100</v>
      </c>
      <c r="S470" s="77">
        <f t="shared" si="77"/>
        <v>695</v>
      </c>
      <c r="T470" s="77">
        <f>50</f>
        <v>50</v>
      </c>
      <c r="U470" s="78"/>
      <c r="V470" s="78"/>
      <c r="W470" s="78"/>
      <c r="X470" s="78"/>
      <c r="Y470" s="78"/>
      <c r="Z470" s="78"/>
      <c r="AA470" s="78"/>
      <c r="AB470" s="78"/>
      <c r="AC470" s="78"/>
      <c r="AD470" s="78"/>
    </row>
    <row r="471" spans="1:30" ht="15.75" x14ac:dyDescent="0.25">
      <c r="A471" s="14">
        <v>55639</v>
      </c>
      <c r="B471" s="89">
        <v>30</v>
      </c>
      <c r="C471" s="77">
        <f>141.293</f>
        <v>141.29300000000001</v>
      </c>
      <c r="D471" s="77">
        <f>267.993</f>
        <v>267.99299999999999</v>
      </c>
      <c r="E471" s="85">
        <f>115.016</f>
        <v>115.01600000000001</v>
      </c>
      <c r="F471" s="77">
        <f>314.698-40-25-60-100</f>
        <v>89.697999999999979</v>
      </c>
      <c r="G471" s="80">
        <v>40</v>
      </c>
      <c r="H471" s="77">
        <f t="shared" ref="H471:H477" si="78">25+60+100</f>
        <v>185</v>
      </c>
      <c r="I471" s="77">
        <f t="shared" si="70"/>
        <v>0</v>
      </c>
      <c r="J471" s="80">
        <v>100</v>
      </c>
      <c r="K471" s="80">
        <v>300</v>
      </c>
      <c r="L471" s="77">
        <f t="shared" si="74"/>
        <v>1239</v>
      </c>
      <c r="M471" s="87">
        <v>600</v>
      </c>
      <c r="N471" s="77">
        <f>100</f>
        <v>100</v>
      </c>
      <c r="O471" s="80">
        <v>240</v>
      </c>
      <c r="P471" s="80">
        <v>160</v>
      </c>
      <c r="Q471" s="80">
        <f t="shared" si="75"/>
        <v>195</v>
      </c>
      <c r="R471" s="80">
        <f t="shared" si="76"/>
        <v>100</v>
      </c>
      <c r="S471" s="77">
        <f t="shared" si="77"/>
        <v>695</v>
      </c>
      <c r="T471" s="77">
        <f>50</f>
        <v>50</v>
      </c>
      <c r="U471" s="78"/>
      <c r="V471" s="78"/>
      <c r="W471" s="78"/>
      <c r="X471" s="78"/>
      <c r="Y471" s="78"/>
      <c r="Z471" s="78"/>
      <c r="AA471" s="78"/>
      <c r="AB471" s="78"/>
      <c r="AC471" s="78"/>
      <c r="AD471" s="78"/>
    </row>
    <row r="472" spans="1:30" ht="15.75" x14ac:dyDescent="0.25">
      <c r="A472" s="14">
        <v>55670</v>
      </c>
      <c r="B472" s="89">
        <v>31</v>
      </c>
      <c r="C472" s="77">
        <f>194.205</f>
        <v>194.20500000000001</v>
      </c>
      <c r="D472" s="77">
        <f>267.466</f>
        <v>267.46600000000001</v>
      </c>
      <c r="E472" s="85">
        <f>133.845</f>
        <v>133.845</v>
      </c>
      <c r="F472" s="77">
        <f>278.484-40-25-60-100</f>
        <v>53.48399999999998</v>
      </c>
      <c r="G472" s="80">
        <v>40</v>
      </c>
      <c r="H472" s="77">
        <f t="shared" si="78"/>
        <v>185</v>
      </c>
      <c r="I472" s="77">
        <f t="shared" si="70"/>
        <v>0</v>
      </c>
      <c r="J472" s="80">
        <v>100</v>
      </c>
      <c r="K472" s="80">
        <v>300</v>
      </c>
      <c r="L472" s="77">
        <f t="shared" si="74"/>
        <v>1274</v>
      </c>
      <c r="M472" s="87">
        <v>600</v>
      </c>
      <c r="N472" s="77">
        <f>75</f>
        <v>75</v>
      </c>
      <c r="O472" s="80">
        <v>240</v>
      </c>
      <c r="P472" s="80">
        <v>160</v>
      </c>
      <c r="Q472" s="80">
        <f t="shared" si="75"/>
        <v>195</v>
      </c>
      <c r="R472" s="80">
        <f t="shared" si="76"/>
        <v>100</v>
      </c>
      <c r="S472" s="77">
        <f t="shared" si="77"/>
        <v>695</v>
      </c>
      <c r="T472" s="77">
        <f>50</f>
        <v>50</v>
      </c>
      <c r="U472" s="78"/>
      <c r="V472" s="78"/>
      <c r="W472" s="78"/>
      <c r="X472" s="78"/>
      <c r="Y472" s="78"/>
      <c r="Z472" s="78"/>
      <c r="AA472" s="78"/>
      <c r="AB472" s="78"/>
      <c r="AC472" s="78"/>
      <c r="AD472" s="78"/>
    </row>
    <row r="473" spans="1:30" ht="15.75" x14ac:dyDescent="0.25">
      <c r="A473" s="14">
        <v>55700</v>
      </c>
      <c r="B473" s="89">
        <v>30</v>
      </c>
      <c r="C473" s="77">
        <f>194.205</f>
        <v>194.20500000000001</v>
      </c>
      <c r="D473" s="77">
        <f>267.466</f>
        <v>267.46600000000001</v>
      </c>
      <c r="E473" s="85">
        <f>133.845</f>
        <v>133.845</v>
      </c>
      <c r="F473" s="77">
        <f>278.484-40-25-60-100</f>
        <v>53.48399999999998</v>
      </c>
      <c r="G473" s="80">
        <v>40</v>
      </c>
      <c r="H473" s="77">
        <f t="shared" si="78"/>
        <v>185</v>
      </c>
      <c r="I473" s="77">
        <f t="shared" si="70"/>
        <v>0</v>
      </c>
      <c r="J473" s="80">
        <v>100</v>
      </c>
      <c r="K473" s="80">
        <v>300</v>
      </c>
      <c r="L473" s="77">
        <f t="shared" si="74"/>
        <v>1274</v>
      </c>
      <c r="M473" s="87">
        <v>600</v>
      </c>
      <c r="N473" s="77">
        <f>30</f>
        <v>30</v>
      </c>
      <c r="O473" s="80">
        <v>240</v>
      </c>
      <c r="P473" s="80">
        <v>160</v>
      </c>
      <c r="Q473" s="80">
        <f t="shared" si="75"/>
        <v>195</v>
      </c>
      <c r="R473" s="80">
        <f t="shared" si="76"/>
        <v>100</v>
      </c>
      <c r="S473" s="77">
        <f t="shared" si="77"/>
        <v>695</v>
      </c>
      <c r="T473" s="77">
        <f>50</f>
        <v>50</v>
      </c>
      <c r="U473" s="78"/>
      <c r="V473" s="78"/>
      <c r="W473" s="78"/>
      <c r="X473" s="78"/>
      <c r="Y473" s="78"/>
      <c r="Z473" s="78"/>
      <c r="AA473" s="78"/>
      <c r="AB473" s="78"/>
      <c r="AC473" s="78"/>
      <c r="AD473" s="78"/>
    </row>
    <row r="474" spans="1:30" ht="15.75" x14ac:dyDescent="0.25">
      <c r="A474" s="14">
        <v>55731</v>
      </c>
      <c r="B474" s="89">
        <v>31</v>
      </c>
      <c r="C474" s="77">
        <f>194.205</f>
        <v>194.20500000000001</v>
      </c>
      <c r="D474" s="77">
        <f>267.466</f>
        <v>267.46600000000001</v>
      </c>
      <c r="E474" s="85">
        <f>133.845</f>
        <v>133.845</v>
      </c>
      <c r="F474" s="77">
        <f>278.484-40-25-60-100</f>
        <v>53.48399999999998</v>
      </c>
      <c r="G474" s="80">
        <v>40</v>
      </c>
      <c r="H474" s="77">
        <f t="shared" si="78"/>
        <v>185</v>
      </c>
      <c r="I474" s="77">
        <f t="shared" si="70"/>
        <v>0</v>
      </c>
      <c r="J474" s="80">
        <v>100</v>
      </c>
      <c r="K474" s="80">
        <v>300</v>
      </c>
      <c r="L474" s="77">
        <f t="shared" si="74"/>
        <v>1274</v>
      </c>
      <c r="M474" s="87">
        <v>600</v>
      </c>
      <c r="N474" s="77">
        <f>30</f>
        <v>30</v>
      </c>
      <c r="O474" s="80">
        <v>240</v>
      </c>
      <c r="P474" s="80">
        <v>160</v>
      </c>
      <c r="Q474" s="80">
        <f t="shared" si="75"/>
        <v>195</v>
      </c>
      <c r="R474" s="80">
        <f t="shared" si="76"/>
        <v>100</v>
      </c>
      <c r="S474" s="77">
        <f t="shared" si="77"/>
        <v>695</v>
      </c>
      <c r="T474" s="77">
        <f>0</f>
        <v>0</v>
      </c>
      <c r="U474" s="78"/>
      <c r="V474" s="78"/>
      <c r="W474" s="78"/>
      <c r="X474" s="78"/>
      <c r="Y474" s="78"/>
      <c r="Z474" s="78"/>
      <c r="AA474" s="78"/>
      <c r="AB474" s="78"/>
      <c r="AC474" s="78"/>
      <c r="AD474" s="78"/>
    </row>
    <row r="475" spans="1:30" ht="15.75" x14ac:dyDescent="0.25">
      <c r="A475" s="14">
        <v>55762</v>
      </c>
      <c r="B475" s="89">
        <v>31</v>
      </c>
      <c r="C475" s="77">
        <f>194.205</f>
        <v>194.20500000000001</v>
      </c>
      <c r="D475" s="77">
        <f>267.466</f>
        <v>267.46600000000001</v>
      </c>
      <c r="E475" s="85">
        <f>133.845</f>
        <v>133.845</v>
      </c>
      <c r="F475" s="77">
        <f>278.484-40-25-60-100</f>
        <v>53.48399999999998</v>
      </c>
      <c r="G475" s="80">
        <v>40</v>
      </c>
      <c r="H475" s="77">
        <f t="shared" si="78"/>
        <v>185</v>
      </c>
      <c r="I475" s="77">
        <f t="shared" si="70"/>
        <v>0</v>
      </c>
      <c r="J475" s="80">
        <v>100</v>
      </c>
      <c r="K475" s="80">
        <v>300</v>
      </c>
      <c r="L475" s="77">
        <f t="shared" si="74"/>
        <v>1274</v>
      </c>
      <c r="M475" s="87">
        <v>600</v>
      </c>
      <c r="N475" s="77">
        <f>30</f>
        <v>30</v>
      </c>
      <c r="O475" s="80">
        <v>240</v>
      </c>
      <c r="P475" s="80">
        <v>160</v>
      </c>
      <c r="Q475" s="80">
        <f t="shared" si="75"/>
        <v>195</v>
      </c>
      <c r="R475" s="80">
        <f t="shared" si="76"/>
        <v>100</v>
      </c>
      <c r="S475" s="77">
        <f t="shared" si="77"/>
        <v>695</v>
      </c>
      <c r="T475" s="77">
        <f>0</f>
        <v>0</v>
      </c>
      <c r="U475" s="78"/>
      <c r="V475" s="78"/>
      <c r="W475" s="78"/>
      <c r="X475" s="78"/>
      <c r="Y475" s="78"/>
      <c r="Z475" s="78"/>
      <c r="AA475" s="78"/>
      <c r="AB475" s="78"/>
      <c r="AC475" s="78"/>
      <c r="AD475" s="78"/>
    </row>
    <row r="476" spans="1:30" ht="15.75" x14ac:dyDescent="0.25">
      <c r="A476" s="14">
        <v>55792</v>
      </c>
      <c r="B476" s="89">
        <v>30</v>
      </c>
      <c r="C476" s="77">
        <f>194.205</f>
        <v>194.20500000000001</v>
      </c>
      <c r="D476" s="77">
        <f>267.466</f>
        <v>267.46600000000001</v>
      </c>
      <c r="E476" s="85">
        <f>133.845</f>
        <v>133.845</v>
      </c>
      <c r="F476" s="77">
        <f>278.484-40-25-60-100</f>
        <v>53.48399999999998</v>
      </c>
      <c r="G476" s="80">
        <v>40</v>
      </c>
      <c r="H476" s="77">
        <f t="shared" si="78"/>
        <v>185</v>
      </c>
      <c r="I476" s="77">
        <f t="shared" si="70"/>
        <v>0</v>
      </c>
      <c r="J476" s="80">
        <v>100</v>
      </c>
      <c r="K476" s="80">
        <v>300</v>
      </c>
      <c r="L476" s="77">
        <f t="shared" si="74"/>
        <v>1274</v>
      </c>
      <c r="M476" s="87">
        <v>600</v>
      </c>
      <c r="N476" s="77">
        <f>30</f>
        <v>30</v>
      </c>
      <c r="O476" s="80">
        <v>240</v>
      </c>
      <c r="P476" s="80">
        <v>160</v>
      </c>
      <c r="Q476" s="80">
        <f t="shared" si="75"/>
        <v>195</v>
      </c>
      <c r="R476" s="80">
        <f t="shared" si="76"/>
        <v>100</v>
      </c>
      <c r="S476" s="77">
        <f t="shared" si="77"/>
        <v>695</v>
      </c>
      <c r="T476" s="77">
        <f>0</f>
        <v>0</v>
      </c>
      <c r="U476" s="78"/>
      <c r="V476" s="78"/>
      <c r="W476" s="78"/>
      <c r="X476" s="78"/>
      <c r="Y476" s="78"/>
      <c r="Z476" s="78"/>
      <c r="AA476" s="78"/>
      <c r="AB476" s="78"/>
      <c r="AC476" s="78"/>
      <c r="AD476" s="78"/>
    </row>
    <row r="477" spans="1:30" ht="15.75" x14ac:dyDescent="0.25">
      <c r="A477" s="14">
        <v>55823</v>
      </c>
      <c r="B477" s="89">
        <v>31</v>
      </c>
      <c r="C477" s="77">
        <f>131.881</f>
        <v>131.881</v>
      </c>
      <c r="D477" s="77">
        <f>277.167</f>
        <v>277.16699999999997</v>
      </c>
      <c r="E477" s="85">
        <f>79.08</f>
        <v>79.08</v>
      </c>
      <c r="F477" s="77">
        <f>350.872-40-25-60-100</f>
        <v>125.87200000000001</v>
      </c>
      <c r="G477" s="80">
        <v>40</v>
      </c>
      <c r="H477" s="77">
        <f t="shared" si="78"/>
        <v>185</v>
      </c>
      <c r="I477" s="77">
        <f t="shared" si="70"/>
        <v>0</v>
      </c>
      <c r="J477" s="80">
        <v>100</v>
      </c>
      <c r="K477" s="80">
        <v>300</v>
      </c>
      <c r="L477" s="77">
        <f t="shared" si="74"/>
        <v>1239</v>
      </c>
      <c r="M477" s="87">
        <v>600</v>
      </c>
      <c r="N477" s="77">
        <f>75</f>
        <v>75</v>
      </c>
      <c r="O477" s="80">
        <v>240</v>
      </c>
      <c r="P477" s="80">
        <v>160</v>
      </c>
      <c r="Q477" s="80">
        <f t="shared" si="75"/>
        <v>195</v>
      </c>
      <c r="R477" s="80">
        <f t="shared" si="76"/>
        <v>100</v>
      </c>
      <c r="S477" s="77">
        <f t="shared" si="77"/>
        <v>695</v>
      </c>
      <c r="T477" s="77">
        <f>0</f>
        <v>0</v>
      </c>
      <c r="U477" s="78"/>
      <c r="V477" s="78"/>
      <c r="W477" s="78"/>
      <c r="X477" s="78"/>
      <c r="Y477" s="78"/>
      <c r="Z477" s="78"/>
      <c r="AA477" s="78"/>
      <c r="AB477" s="78"/>
      <c r="AC477" s="78"/>
      <c r="AD477" s="78"/>
    </row>
    <row r="478" spans="1:30" ht="15.75" x14ac:dyDescent="0.25">
      <c r="A478" s="14">
        <v>55853</v>
      </c>
      <c r="B478" s="89">
        <v>30</v>
      </c>
      <c r="C478" s="77">
        <f>122.58</f>
        <v>122.58</v>
      </c>
      <c r="D478" s="77">
        <f>297.941</f>
        <v>297.94099999999997</v>
      </c>
      <c r="E478" s="85">
        <f>89.177</f>
        <v>89.177000000000007</v>
      </c>
      <c r="F478" s="77">
        <f>240.302-40-60-100</f>
        <v>40.301999999999992</v>
      </c>
      <c r="G478" s="80">
        <v>40</v>
      </c>
      <c r="H478" s="77">
        <f>60+100</f>
        <v>160</v>
      </c>
      <c r="I478" s="77">
        <f t="shared" si="70"/>
        <v>0</v>
      </c>
      <c r="J478" s="80">
        <v>100</v>
      </c>
      <c r="K478" s="80">
        <v>300</v>
      </c>
      <c r="L478" s="77">
        <f t="shared" si="74"/>
        <v>1150</v>
      </c>
      <c r="M478" s="87">
        <v>600</v>
      </c>
      <c r="N478" s="77">
        <f>100</f>
        <v>100</v>
      </c>
      <c r="O478" s="80">
        <v>240</v>
      </c>
      <c r="P478" s="80">
        <v>40</v>
      </c>
      <c r="Q478" s="80">
        <f t="shared" si="75"/>
        <v>315</v>
      </c>
      <c r="R478" s="80">
        <f t="shared" si="76"/>
        <v>100</v>
      </c>
      <c r="S478" s="77">
        <f t="shared" si="77"/>
        <v>695</v>
      </c>
      <c r="T478" s="77">
        <f>50</f>
        <v>50</v>
      </c>
      <c r="U478" s="78"/>
      <c r="V478" s="78"/>
      <c r="W478" s="78"/>
      <c r="X478" s="78"/>
      <c r="Y478" s="78"/>
      <c r="Z478" s="78"/>
      <c r="AA478" s="78"/>
      <c r="AB478" s="78"/>
      <c r="AC478" s="78"/>
      <c r="AD478" s="78"/>
    </row>
    <row r="479" spans="1:30" ht="15.75" x14ac:dyDescent="0.25">
      <c r="A479" s="14">
        <v>55884</v>
      </c>
      <c r="B479" s="89">
        <v>31</v>
      </c>
      <c r="C479" s="77">
        <f>122.58</f>
        <v>122.58</v>
      </c>
      <c r="D479" s="77">
        <f>297.941</f>
        <v>297.94099999999997</v>
      </c>
      <c r="E479" s="85">
        <f>89.177</f>
        <v>89.177000000000007</v>
      </c>
      <c r="F479" s="77">
        <f>240.302-40-60-100</f>
        <v>40.301999999999992</v>
      </c>
      <c r="G479" s="80">
        <v>40</v>
      </c>
      <c r="H479" s="77">
        <f>60+100</f>
        <v>160</v>
      </c>
      <c r="I479" s="77">
        <f t="shared" si="70"/>
        <v>0</v>
      </c>
      <c r="J479" s="80">
        <v>100</v>
      </c>
      <c r="K479" s="80">
        <v>300</v>
      </c>
      <c r="L479" s="77">
        <f t="shared" si="74"/>
        <v>1150</v>
      </c>
      <c r="M479" s="87">
        <v>600</v>
      </c>
      <c r="N479" s="77">
        <f>100</f>
        <v>100</v>
      </c>
      <c r="O479" s="80">
        <v>240</v>
      </c>
      <c r="P479" s="80">
        <v>40</v>
      </c>
      <c r="Q479" s="80">
        <f t="shared" si="75"/>
        <v>315</v>
      </c>
      <c r="R479" s="80">
        <f t="shared" si="76"/>
        <v>100</v>
      </c>
      <c r="S479" s="77">
        <f t="shared" si="77"/>
        <v>695</v>
      </c>
      <c r="T479" s="77">
        <f>50</f>
        <v>50</v>
      </c>
      <c r="U479" s="78"/>
      <c r="V479" s="78"/>
      <c r="W479" s="78"/>
      <c r="X479" s="78"/>
      <c r="Y479" s="78"/>
      <c r="Z479" s="78"/>
      <c r="AA479" s="78"/>
      <c r="AB479" s="78"/>
      <c r="AC479" s="78"/>
      <c r="AD479" s="78"/>
    </row>
    <row r="480" spans="1:30" ht="15.75" x14ac:dyDescent="0.25">
      <c r="A480" s="14">
        <v>55915</v>
      </c>
      <c r="B480" s="89">
        <v>31</v>
      </c>
      <c r="C480" s="77">
        <f>122.58</f>
        <v>122.58</v>
      </c>
      <c r="D480" s="77">
        <f>297.941</f>
        <v>297.94099999999997</v>
      </c>
      <c r="E480" s="85">
        <f>89.177</f>
        <v>89.177000000000007</v>
      </c>
      <c r="F480" s="77">
        <f>240.302-40-60-100</f>
        <v>40.301999999999992</v>
      </c>
      <c r="G480" s="80">
        <v>40</v>
      </c>
      <c r="H480" s="77">
        <f>60+100</f>
        <v>160</v>
      </c>
      <c r="I480" s="77">
        <f t="shared" si="70"/>
        <v>0</v>
      </c>
      <c r="J480" s="80">
        <v>100</v>
      </c>
      <c r="K480" s="80">
        <v>300</v>
      </c>
      <c r="L480" s="77">
        <f t="shared" si="74"/>
        <v>1150</v>
      </c>
      <c r="M480" s="87">
        <v>600</v>
      </c>
      <c r="N480" s="77">
        <f>100</f>
        <v>100</v>
      </c>
      <c r="O480" s="80">
        <v>240</v>
      </c>
      <c r="P480" s="80">
        <v>40</v>
      </c>
      <c r="Q480" s="80">
        <f t="shared" si="75"/>
        <v>315</v>
      </c>
      <c r="R480" s="80">
        <f t="shared" si="76"/>
        <v>100</v>
      </c>
      <c r="S480" s="77">
        <f t="shared" si="77"/>
        <v>695</v>
      </c>
      <c r="T480" s="77">
        <f>50</f>
        <v>50</v>
      </c>
      <c r="U480" s="78"/>
      <c r="V480" s="78"/>
      <c r="W480" s="78"/>
      <c r="X480" s="78"/>
      <c r="Y480" s="78"/>
      <c r="Z480" s="78"/>
      <c r="AA480" s="78"/>
      <c r="AB480" s="78"/>
      <c r="AC480" s="78"/>
      <c r="AD480" s="78"/>
    </row>
    <row r="481" spans="1:30" ht="15.75" x14ac:dyDescent="0.25">
      <c r="A481" s="14">
        <v>55943</v>
      </c>
      <c r="B481" s="89">
        <v>28</v>
      </c>
      <c r="C481" s="77">
        <f>122.58</f>
        <v>122.58</v>
      </c>
      <c r="D481" s="77">
        <f>297.941</f>
        <v>297.94099999999997</v>
      </c>
      <c r="E481" s="85">
        <f>89.177</f>
        <v>89.177000000000007</v>
      </c>
      <c r="F481" s="77">
        <f>240.302-40-60-100</f>
        <v>40.301999999999992</v>
      </c>
      <c r="G481" s="80">
        <v>40</v>
      </c>
      <c r="H481" s="77">
        <f>60+100</f>
        <v>160</v>
      </c>
      <c r="I481" s="77">
        <f t="shared" si="70"/>
        <v>0</v>
      </c>
      <c r="J481" s="80">
        <v>100</v>
      </c>
      <c r="K481" s="80">
        <v>300</v>
      </c>
      <c r="L481" s="77">
        <f t="shared" si="74"/>
        <v>1150</v>
      </c>
      <c r="M481" s="87">
        <v>600</v>
      </c>
      <c r="N481" s="77">
        <f>100</f>
        <v>100</v>
      </c>
      <c r="O481" s="80">
        <v>240</v>
      </c>
      <c r="P481" s="80">
        <v>40</v>
      </c>
      <c r="Q481" s="80">
        <f t="shared" si="75"/>
        <v>315</v>
      </c>
      <c r="R481" s="80">
        <f t="shared" si="76"/>
        <v>100</v>
      </c>
      <c r="S481" s="77">
        <f t="shared" si="77"/>
        <v>695</v>
      </c>
      <c r="T481" s="77">
        <f>50</f>
        <v>50</v>
      </c>
      <c r="U481" s="78"/>
      <c r="V481" s="78"/>
      <c r="W481" s="78"/>
      <c r="X481" s="78"/>
      <c r="Y481" s="78"/>
      <c r="Z481" s="78"/>
      <c r="AA481" s="78"/>
      <c r="AB481" s="78"/>
      <c r="AC481" s="78"/>
      <c r="AD481" s="78"/>
    </row>
    <row r="482" spans="1:30" ht="15.75" x14ac:dyDescent="0.25">
      <c r="A482" s="14">
        <v>55974</v>
      </c>
      <c r="B482" s="89">
        <v>31</v>
      </c>
      <c r="C482" s="77">
        <f>122.58</f>
        <v>122.58</v>
      </c>
      <c r="D482" s="77">
        <f>297.941</f>
        <v>297.94099999999997</v>
      </c>
      <c r="E482" s="85">
        <f>89.177</f>
        <v>89.177000000000007</v>
      </c>
      <c r="F482" s="77">
        <f>240.302-40-60-100</f>
        <v>40.301999999999992</v>
      </c>
      <c r="G482" s="80">
        <v>40</v>
      </c>
      <c r="H482" s="77">
        <f>60+100</f>
        <v>160</v>
      </c>
      <c r="I482" s="77">
        <f t="shared" si="70"/>
        <v>0</v>
      </c>
      <c r="J482" s="80">
        <v>100</v>
      </c>
      <c r="K482" s="80">
        <v>300</v>
      </c>
      <c r="L482" s="77">
        <f t="shared" si="74"/>
        <v>1150</v>
      </c>
      <c r="M482" s="87">
        <v>600</v>
      </c>
      <c r="N482" s="77">
        <f>100</f>
        <v>100</v>
      </c>
      <c r="O482" s="80">
        <v>240</v>
      </c>
      <c r="P482" s="80">
        <v>40</v>
      </c>
      <c r="Q482" s="80">
        <f t="shared" si="75"/>
        <v>315</v>
      </c>
      <c r="R482" s="80">
        <f t="shared" si="76"/>
        <v>100</v>
      </c>
      <c r="S482" s="77">
        <f t="shared" si="77"/>
        <v>695</v>
      </c>
      <c r="T482" s="77">
        <f>50</f>
        <v>50</v>
      </c>
      <c r="U482" s="78"/>
      <c r="V482" s="78"/>
      <c r="W482" s="78"/>
      <c r="X482" s="78"/>
      <c r="Y482" s="78"/>
      <c r="Z482" s="78"/>
      <c r="AA482" s="78"/>
      <c r="AB482" s="78"/>
      <c r="AC482" s="78"/>
      <c r="AD482" s="78"/>
    </row>
    <row r="483" spans="1:30" ht="15.75" x14ac:dyDescent="0.25">
      <c r="A483" s="14">
        <v>56004</v>
      </c>
      <c r="B483" s="89">
        <v>30</v>
      </c>
      <c r="C483" s="77">
        <f>141.293</f>
        <v>141.29300000000001</v>
      </c>
      <c r="D483" s="77">
        <f>267.993</f>
        <v>267.99299999999999</v>
      </c>
      <c r="E483" s="85">
        <f>115.016</f>
        <v>115.01600000000001</v>
      </c>
      <c r="F483" s="77">
        <f>314.698-40-25-60-100</f>
        <v>89.697999999999979</v>
      </c>
      <c r="G483" s="80">
        <v>40</v>
      </c>
      <c r="H483" s="77">
        <f t="shared" ref="H483:H489" si="79">25+60+100</f>
        <v>185</v>
      </c>
      <c r="I483" s="77">
        <f t="shared" si="70"/>
        <v>0</v>
      </c>
      <c r="J483" s="80">
        <v>100</v>
      </c>
      <c r="K483" s="80">
        <v>300</v>
      </c>
      <c r="L483" s="77">
        <f t="shared" si="74"/>
        <v>1239</v>
      </c>
      <c r="M483" s="87">
        <v>600</v>
      </c>
      <c r="N483" s="77">
        <f>100</f>
        <v>100</v>
      </c>
      <c r="O483" s="80">
        <v>240</v>
      </c>
      <c r="P483" s="80">
        <v>160</v>
      </c>
      <c r="Q483" s="80">
        <f t="shared" si="75"/>
        <v>195</v>
      </c>
      <c r="R483" s="80">
        <f t="shared" si="76"/>
        <v>100</v>
      </c>
      <c r="S483" s="77">
        <f t="shared" si="77"/>
        <v>695</v>
      </c>
      <c r="T483" s="77">
        <f>50</f>
        <v>50</v>
      </c>
      <c r="U483" s="78"/>
      <c r="V483" s="78"/>
      <c r="W483" s="78"/>
      <c r="X483" s="78"/>
      <c r="Y483" s="78"/>
      <c r="Z483" s="78"/>
      <c r="AA483" s="78"/>
      <c r="AB483" s="78"/>
      <c r="AC483" s="78"/>
      <c r="AD483" s="78"/>
    </row>
    <row r="484" spans="1:30" ht="15.75" x14ac:dyDescent="0.25">
      <c r="A484" s="14">
        <v>56035</v>
      </c>
      <c r="B484" s="89">
        <v>31</v>
      </c>
      <c r="C484" s="77">
        <f>194.205</f>
        <v>194.20500000000001</v>
      </c>
      <c r="D484" s="77">
        <f>267.466</f>
        <v>267.46600000000001</v>
      </c>
      <c r="E484" s="85">
        <f>133.845</f>
        <v>133.845</v>
      </c>
      <c r="F484" s="77">
        <f>278.484-40-25-60-100</f>
        <v>53.48399999999998</v>
      </c>
      <c r="G484" s="80">
        <v>40</v>
      </c>
      <c r="H484" s="77">
        <f t="shared" si="79"/>
        <v>185</v>
      </c>
      <c r="I484" s="77">
        <f t="shared" si="70"/>
        <v>0</v>
      </c>
      <c r="J484" s="80">
        <v>100</v>
      </c>
      <c r="K484" s="80">
        <v>300</v>
      </c>
      <c r="L484" s="77">
        <f t="shared" si="74"/>
        <v>1274</v>
      </c>
      <c r="M484" s="87">
        <v>600</v>
      </c>
      <c r="N484" s="77">
        <f>75</f>
        <v>75</v>
      </c>
      <c r="O484" s="80">
        <v>240</v>
      </c>
      <c r="P484" s="80">
        <v>160</v>
      </c>
      <c r="Q484" s="80">
        <f t="shared" si="75"/>
        <v>195</v>
      </c>
      <c r="R484" s="80">
        <f t="shared" si="76"/>
        <v>100</v>
      </c>
      <c r="S484" s="77">
        <f t="shared" si="77"/>
        <v>695</v>
      </c>
      <c r="T484" s="77">
        <f>50</f>
        <v>50</v>
      </c>
      <c r="U484" s="78"/>
      <c r="V484" s="78"/>
      <c r="W484" s="78"/>
      <c r="X484" s="78"/>
      <c r="Y484" s="78"/>
      <c r="Z484" s="78"/>
      <c r="AA484" s="78"/>
      <c r="AB484" s="78"/>
      <c r="AC484" s="78"/>
      <c r="AD484" s="78"/>
    </row>
    <row r="485" spans="1:30" ht="15.75" x14ac:dyDescent="0.25">
      <c r="A485" s="14">
        <v>56065</v>
      </c>
      <c r="B485" s="89">
        <v>30</v>
      </c>
      <c r="C485" s="77">
        <f>194.205</f>
        <v>194.20500000000001</v>
      </c>
      <c r="D485" s="77">
        <f>267.466</f>
        <v>267.46600000000001</v>
      </c>
      <c r="E485" s="85">
        <f>133.845</f>
        <v>133.845</v>
      </c>
      <c r="F485" s="77">
        <f>278.484-40-25-60-100</f>
        <v>53.48399999999998</v>
      </c>
      <c r="G485" s="80">
        <v>40</v>
      </c>
      <c r="H485" s="77">
        <f t="shared" si="79"/>
        <v>185</v>
      </c>
      <c r="I485" s="77">
        <f t="shared" si="70"/>
        <v>0</v>
      </c>
      <c r="J485" s="80">
        <v>100</v>
      </c>
      <c r="K485" s="80">
        <v>300</v>
      </c>
      <c r="L485" s="77">
        <f t="shared" si="74"/>
        <v>1274</v>
      </c>
      <c r="M485" s="87">
        <v>600</v>
      </c>
      <c r="N485" s="77">
        <f>30</f>
        <v>30</v>
      </c>
      <c r="O485" s="80">
        <v>240</v>
      </c>
      <c r="P485" s="80">
        <v>160</v>
      </c>
      <c r="Q485" s="80">
        <f t="shared" si="75"/>
        <v>195</v>
      </c>
      <c r="R485" s="80">
        <f t="shared" si="76"/>
        <v>100</v>
      </c>
      <c r="S485" s="77">
        <f t="shared" si="77"/>
        <v>695</v>
      </c>
      <c r="T485" s="77">
        <f>50</f>
        <v>50</v>
      </c>
      <c r="U485" s="78"/>
      <c r="V485" s="78"/>
      <c r="W485" s="78"/>
      <c r="X485" s="78"/>
      <c r="Y485" s="78"/>
      <c r="Z485" s="78"/>
      <c r="AA485" s="78"/>
      <c r="AB485" s="78"/>
      <c r="AC485" s="78"/>
      <c r="AD485" s="78"/>
    </row>
    <row r="486" spans="1:30" ht="15.75" x14ac:dyDescent="0.25">
      <c r="A486" s="14">
        <v>56096</v>
      </c>
      <c r="B486" s="89">
        <v>31</v>
      </c>
      <c r="C486" s="77">
        <f>194.205</f>
        <v>194.20500000000001</v>
      </c>
      <c r="D486" s="77">
        <f>267.466</f>
        <v>267.46600000000001</v>
      </c>
      <c r="E486" s="85">
        <f>133.845</f>
        <v>133.845</v>
      </c>
      <c r="F486" s="77">
        <f>278.484-40-25-60-100</f>
        <v>53.48399999999998</v>
      </c>
      <c r="G486" s="80">
        <v>40</v>
      </c>
      <c r="H486" s="77">
        <f t="shared" si="79"/>
        <v>185</v>
      </c>
      <c r="I486" s="77">
        <f t="shared" si="70"/>
        <v>0</v>
      </c>
      <c r="J486" s="80">
        <v>100</v>
      </c>
      <c r="K486" s="80">
        <v>300</v>
      </c>
      <c r="L486" s="77">
        <f t="shared" si="74"/>
        <v>1274</v>
      </c>
      <c r="M486" s="87">
        <v>600</v>
      </c>
      <c r="N486" s="77">
        <f>30</f>
        <v>30</v>
      </c>
      <c r="O486" s="80">
        <v>240</v>
      </c>
      <c r="P486" s="80">
        <v>160</v>
      </c>
      <c r="Q486" s="80">
        <f t="shared" si="75"/>
        <v>195</v>
      </c>
      <c r="R486" s="80">
        <f t="shared" si="76"/>
        <v>100</v>
      </c>
      <c r="S486" s="77">
        <f t="shared" si="77"/>
        <v>695</v>
      </c>
      <c r="T486" s="77">
        <f>0</f>
        <v>0</v>
      </c>
      <c r="U486" s="78"/>
      <c r="V486" s="78"/>
      <c r="W486" s="78"/>
      <c r="X486" s="78"/>
      <c r="Y486" s="78"/>
      <c r="Z486" s="78"/>
      <c r="AA486" s="78"/>
      <c r="AB486" s="78"/>
      <c r="AC486" s="78"/>
      <c r="AD486" s="78"/>
    </row>
    <row r="487" spans="1:30" ht="15.75" x14ac:dyDescent="0.25">
      <c r="A487" s="14">
        <v>56127</v>
      </c>
      <c r="B487" s="89">
        <v>31</v>
      </c>
      <c r="C487" s="77">
        <f>194.205</f>
        <v>194.20500000000001</v>
      </c>
      <c r="D487" s="77">
        <f>267.466</f>
        <v>267.46600000000001</v>
      </c>
      <c r="E487" s="85">
        <f>133.845</f>
        <v>133.845</v>
      </c>
      <c r="F487" s="77">
        <f>278.484-40-25-60-100</f>
        <v>53.48399999999998</v>
      </c>
      <c r="G487" s="80">
        <v>40</v>
      </c>
      <c r="H487" s="77">
        <f t="shared" si="79"/>
        <v>185</v>
      </c>
      <c r="I487" s="77">
        <f t="shared" si="70"/>
        <v>0</v>
      </c>
      <c r="J487" s="80">
        <v>100</v>
      </c>
      <c r="K487" s="80">
        <v>300</v>
      </c>
      <c r="L487" s="77">
        <f t="shared" si="74"/>
        <v>1274</v>
      </c>
      <c r="M487" s="87">
        <v>600</v>
      </c>
      <c r="N487" s="77">
        <f>30</f>
        <v>30</v>
      </c>
      <c r="O487" s="80">
        <v>240</v>
      </c>
      <c r="P487" s="80">
        <v>160</v>
      </c>
      <c r="Q487" s="80">
        <f t="shared" si="75"/>
        <v>195</v>
      </c>
      <c r="R487" s="80">
        <f t="shared" si="76"/>
        <v>100</v>
      </c>
      <c r="S487" s="77">
        <f t="shared" si="77"/>
        <v>695</v>
      </c>
      <c r="T487" s="77">
        <f>0</f>
        <v>0</v>
      </c>
      <c r="U487" s="78"/>
      <c r="V487" s="78"/>
      <c r="W487" s="78"/>
      <c r="X487" s="78"/>
      <c r="Y487" s="78"/>
      <c r="Z487" s="78"/>
      <c r="AA487" s="78"/>
      <c r="AB487" s="78"/>
      <c r="AC487" s="78"/>
      <c r="AD487" s="78"/>
    </row>
    <row r="488" spans="1:30" ht="15.75" x14ac:dyDescent="0.25">
      <c r="A488" s="14">
        <v>56157</v>
      </c>
      <c r="B488" s="89">
        <v>30</v>
      </c>
      <c r="C488" s="77">
        <f>194.205</f>
        <v>194.20500000000001</v>
      </c>
      <c r="D488" s="77">
        <f>267.466</f>
        <v>267.46600000000001</v>
      </c>
      <c r="E488" s="85">
        <f>133.845</f>
        <v>133.845</v>
      </c>
      <c r="F488" s="77">
        <f>278.484-40-25-60-100</f>
        <v>53.48399999999998</v>
      </c>
      <c r="G488" s="80">
        <v>40</v>
      </c>
      <c r="H488" s="77">
        <f t="shared" si="79"/>
        <v>185</v>
      </c>
      <c r="I488" s="77">
        <f t="shared" ref="I488:I551" si="80">400-J488-K488</f>
        <v>0</v>
      </c>
      <c r="J488" s="80">
        <v>100</v>
      </c>
      <c r="K488" s="80">
        <v>300</v>
      </c>
      <c r="L488" s="77">
        <f t="shared" si="74"/>
        <v>1274</v>
      </c>
      <c r="M488" s="87">
        <v>600</v>
      </c>
      <c r="N488" s="77">
        <f>30</f>
        <v>30</v>
      </c>
      <c r="O488" s="80">
        <v>240</v>
      </c>
      <c r="P488" s="80">
        <v>160</v>
      </c>
      <c r="Q488" s="80">
        <f t="shared" si="75"/>
        <v>195</v>
      </c>
      <c r="R488" s="80">
        <f t="shared" si="76"/>
        <v>100</v>
      </c>
      <c r="S488" s="77">
        <f t="shared" si="77"/>
        <v>695</v>
      </c>
      <c r="T488" s="77">
        <f>0</f>
        <v>0</v>
      </c>
      <c r="U488" s="78"/>
      <c r="V488" s="78"/>
      <c r="W488" s="78"/>
      <c r="X488" s="78"/>
      <c r="Y488" s="78"/>
      <c r="Z488" s="78"/>
      <c r="AA488" s="78"/>
      <c r="AB488" s="78"/>
      <c r="AC488" s="78"/>
      <c r="AD488" s="78"/>
    </row>
    <row r="489" spans="1:30" ht="15.75" x14ac:dyDescent="0.25">
      <c r="A489" s="14">
        <v>56188</v>
      </c>
      <c r="B489" s="89">
        <v>31</v>
      </c>
      <c r="C489" s="77">
        <f>131.881</f>
        <v>131.881</v>
      </c>
      <c r="D489" s="77">
        <f>277.167</f>
        <v>277.16699999999997</v>
      </c>
      <c r="E489" s="85">
        <f>79.08</f>
        <v>79.08</v>
      </c>
      <c r="F489" s="77">
        <f>350.872-40-25-60-100</f>
        <v>125.87200000000001</v>
      </c>
      <c r="G489" s="80">
        <v>40</v>
      </c>
      <c r="H489" s="77">
        <f t="shared" si="79"/>
        <v>185</v>
      </c>
      <c r="I489" s="77">
        <f t="shared" si="80"/>
        <v>0</v>
      </c>
      <c r="J489" s="80">
        <v>100</v>
      </c>
      <c r="K489" s="80">
        <v>300</v>
      </c>
      <c r="L489" s="77">
        <f t="shared" si="74"/>
        <v>1239</v>
      </c>
      <c r="M489" s="87">
        <v>600</v>
      </c>
      <c r="N489" s="77">
        <f>75</f>
        <v>75</v>
      </c>
      <c r="O489" s="80">
        <v>240</v>
      </c>
      <c r="P489" s="80">
        <v>160</v>
      </c>
      <c r="Q489" s="80">
        <f t="shared" si="75"/>
        <v>195</v>
      </c>
      <c r="R489" s="80">
        <f t="shared" si="76"/>
        <v>100</v>
      </c>
      <c r="S489" s="77">
        <f t="shared" si="77"/>
        <v>695</v>
      </c>
      <c r="T489" s="77">
        <f>0</f>
        <v>0</v>
      </c>
      <c r="U489" s="78"/>
      <c r="V489" s="78"/>
      <c r="W489" s="78"/>
      <c r="X489" s="78"/>
      <c r="Y489" s="78"/>
      <c r="Z489" s="78"/>
      <c r="AA489" s="78"/>
      <c r="AB489" s="78"/>
      <c r="AC489" s="78"/>
      <c r="AD489" s="78"/>
    </row>
    <row r="490" spans="1:30" ht="15.75" x14ac:dyDescent="0.25">
      <c r="A490" s="14">
        <v>56218</v>
      </c>
      <c r="B490" s="89">
        <v>30</v>
      </c>
      <c r="C490" s="77">
        <f>122.58</f>
        <v>122.58</v>
      </c>
      <c r="D490" s="77">
        <f>297.941</f>
        <v>297.94099999999997</v>
      </c>
      <c r="E490" s="85">
        <f>89.177</f>
        <v>89.177000000000007</v>
      </c>
      <c r="F490" s="77">
        <f>240.302-40-60-100</f>
        <v>40.301999999999992</v>
      </c>
      <c r="G490" s="80">
        <v>40</v>
      </c>
      <c r="H490" s="77">
        <f>60+100</f>
        <v>160</v>
      </c>
      <c r="I490" s="77">
        <f t="shared" si="80"/>
        <v>0</v>
      </c>
      <c r="J490" s="80">
        <v>100</v>
      </c>
      <c r="K490" s="80">
        <v>300</v>
      </c>
      <c r="L490" s="77">
        <f t="shared" si="74"/>
        <v>1150</v>
      </c>
      <c r="M490" s="87">
        <v>600</v>
      </c>
      <c r="N490" s="77">
        <f>100</f>
        <v>100</v>
      </c>
      <c r="O490" s="80">
        <v>240</v>
      </c>
      <c r="P490" s="80">
        <v>40</v>
      </c>
      <c r="Q490" s="80">
        <f t="shared" si="75"/>
        <v>315</v>
      </c>
      <c r="R490" s="80">
        <f t="shared" si="76"/>
        <v>100</v>
      </c>
      <c r="S490" s="77">
        <f t="shared" si="77"/>
        <v>695</v>
      </c>
      <c r="T490" s="77">
        <f>50</f>
        <v>50</v>
      </c>
      <c r="U490" s="78"/>
      <c r="V490" s="78"/>
      <c r="W490" s="78"/>
      <c r="X490" s="78"/>
      <c r="Y490" s="78"/>
      <c r="Z490" s="78"/>
      <c r="AA490" s="78"/>
      <c r="AB490" s="78"/>
      <c r="AC490" s="78"/>
      <c r="AD490" s="78"/>
    </row>
    <row r="491" spans="1:30" ht="15.75" x14ac:dyDescent="0.25">
      <c r="A491" s="14">
        <v>56249</v>
      </c>
      <c r="B491" s="89">
        <v>31</v>
      </c>
      <c r="C491" s="77">
        <f>122.58</f>
        <v>122.58</v>
      </c>
      <c r="D491" s="77">
        <f>297.941</f>
        <v>297.94099999999997</v>
      </c>
      <c r="E491" s="85">
        <f>89.177</f>
        <v>89.177000000000007</v>
      </c>
      <c r="F491" s="77">
        <f>240.302-40-60-100</f>
        <v>40.301999999999992</v>
      </c>
      <c r="G491" s="80">
        <v>40</v>
      </c>
      <c r="H491" s="77">
        <f>60+100</f>
        <v>160</v>
      </c>
      <c r="I491" s="77">
        <f t="shared" si="80"/>
        <v>0</v>
      </c>
      <c r="J491" s="80">
        <v>100</v>
      </c>
      <c r="K491" s="80">
        <v>300</v>
      </c>
      <c r="L491" s="77">
        <f t="shared" si="74"/>
        <v>1150</v>
      </c>
      <c r="M491" s="87">
        <v>600</v>
      </c>
      <c r="N491" s="77">
        <f>100</f>
        <v>100</v>
      </c>
      <c r="O491" s="80">
        <v>240</v>
      </c>
      <c r="P491" s="80">
        <v>40</v>
      </c>
      <c r="Q491" s="80">
        <f t="shared" si="75"/>
        <v>315</v>
      </c>
      <c r="R491" s="80">
        <f t="shared" si="76"/>
        <v>100</v>
      </c>
      <c r="S491" s="77">
        <f t="shared" si="77"/>
        <v>695</v>
      </c>
      <c r="T491" s="77">
        <f>50</f>
        <v>50</v>
      </c>
      <c r="U491" s="78"/>
      <c r="V491" s="78"/>
      <c r="W491" s="78"/>
      <c r="X491" s="78"/>
      <c r="Y491" s="78"/>
      <c r="Z491" s="78"/>
      <c r="AA491" s="78"/>
      <c r="AB491" s="78"/>
      <c r="AC491" s="78"/>
      <c r="AD491" s="78"/>
    </row>
    <row r="492" spans="1:30" ht="15.75" x14ac:dyDescent="0.25">
      <c r="A492" s="14">
        <v>56280</v>
      </c>
      <c r="B492" s="89">
        <v>31</v>
      </c>
      <c r="C492" s="77">
        <f>122.58</f>
        <v>122.58</v>
      </c>
      <c r="D492" s="77">
        <f>297.941</f>
        <v>297.94099999999997</v>
      </c>
      <c r="E492" s="85">
        <f>89.177</f>
        <v>89.177000000000007</v>
      </c>
      <c r="F492" s="77">
        <f>240.302-40-60-100</f>
        <v>40.301999999999992</v>
      </c>
      <c r="G492" s="80">
        <v>40</v>
      </c>
      <c r="H492" s="77">
        <f>60+100</f>
        <v>160</v>
      </c>
      <c r="I492" s="77">
        <f t="shared" si="80"/>
        <v>0</v>
      </c>
      <c r="J492" s="80">
        <v>100</v>
      </c>
      <c r="K492" s="80">
        <v>300</v>
      </c>
      <c r="L492" s="77">
        <f t="shared" si="74"/>
        <v>1150</v>
      </c>
      <c r="M492" s="87">
        <v>600</v>
      </c>
      <c r="N492" s="77">
        <f>100</f>
        <v>100</v>
      </c>
      <c r="O492" s="80">
        <v>240</v>
      </c>
      <c r="P492" s="80">
        <v>40</v>
      </c>
      <c r="Q492" s="80">
        <f t="shared" si="75"/>
        <v>315</v>
      </c>
      <c r="R492" s="80">
        <f t="shared" si="76"/>
        <v>100</v>
      </c>
      <c r="S492" s="77">
        <f t="shared" si="77"/>
        <v>695</v>
      </c>
      <c r="T492" s="77">
        <f>50</f>
        <v>50</v>
      </c>
      <c r="U492" s="78"/>
      <c r="V492" s="78"/>
      <c r="W492" s="78"/>
      <c r="X492" s="78"/>
      <c r="Y492" s="78"/>
      <c r="Z492" s="78"/>
      <c r="AA492" s="78"/>
      <c r="AB492" s="78"/>
      <c r="AC492" s="78"/>
      <c r="AD492" s="78"/>
    </row>
    <row r="493" spans="1:30" ht="15.75" x14ac:dyDescent="0.25">
      <c r="A493" s="14">
        <v>56308</v>
      </c>
      <c r="B493" s="89">
        <v>28</v>
      </c>
      <c r="C493" s="77">
        <f>122.58</f>
        <v>122.58</v>
      </c>
      <c r="D493" s="77">
        <f>297.941</f>
        <v>297.94099999999997</v>
      </c>
      <c r="E493" s="85">
        <f>89.177</f>
        <v>89.177000000000007</v>
      </c>
      <c r="F493" s="77">
        <f>240.302-40-60-100</f>
        <v>40.301999999999992</v>
      </c>
      <c r="G493" s="80">
        <v>40</v>
      </c>
      <c r="H493" s="77">
        <f>60+100</f>
        <v>160</v>
      </c>
      <c r="I493" s="77">
        <f t="shared" si="80"/>
        <v>0</v>
      </c>
      <c r="J493" s="80">
        <v>100</v>
      </c>
      <c r="K493" s="80">
        <v>300</v>
      </c>
      <c r="L493" s="77">
        <f t="shared" si="74"/>
        <v>1150</v>
      </c>
      <c r="M493" s="87">
        <v>600</v>
      </c>
      <c r="N493" s="77">
        <f>100</f>
        <v>100</v>
      </c>
      <c r="O493" s="80">
        <v>240</v>
      </c>
      <c r="P493" s="80">
        <v>40</v>
      </c>
      <c r="Q493" s="80">
        <f t="shared" si="75"/>
        <v>315</v>
      </c>
      <c r="R493" s="80">
        <f t="shared" si="76"/>
        <v>100</v>
      </c>
      <c r="S493" s="77">
        <f t="shared" si="77"/>
        <v>695</v>
      </c>
      <c r="T493" s="77">
        <f>50</f>
        <v>50</v>
      </c>
      <c r="U493" s="78"/>
      <c r="V493" s="78"/>
      <c r="W493" s="78"/>
      <c r="X493" s="78"/>
      <c r="Y493" s="78"/>
      <c r="Z493" s="78"/>
      <c r="AA493" s="78"/>
      <c r="AB493" s="78"/>
      <c r="AC493" s="78"/>
      <c r="AD493" s="78"/>
    </row>
    <row r="494" spans="1:30" ht="15.75" x14ac:dyDescent="0.25">
      <c r="A494" s="14">
        <v>56339</v>
      </c>
      <c r="B494" s="89">
        <v>31</v>
      </c>
      <c r="C494" s="77">
        <f>122.58</f>
        <v>122.58</v>
      </c>
      <c r="D494" s="77">
        <f>297.941</f>
        <v>297.94099999999997</v>
      </c>
      <c r="E494" s="85">
        <f>89.177</f>
        <v>89.177000000000007</v>
      </c>
      <c r="F494" s="77">
        <f>240.302-40-60-100</f>
        <v>40.301999999999992</v>
      </c>
      <c r="G494" s="80">
        <v>40</v>
      </c>
      <c r="H494" s="77">
        <f>60+100</f>
        <v>160</v>
      </c>
      <c r="I494" s="77">
        <f t="shared" si="80"/>
        <v>0</v>
      </c>
      <c r="J494" s="80">
        <v>100</v>
      </c>
      <c r="K494" s="80">
        <v>300</v>
      </c>
      <c r="L494" s="77">
        <f t="shared" si="74"/>
        <v>1150</v>
      </c>
      <c r="M494" s="87">
        <v>600</v>
      </c>
      <c r="N494" s="77">
        <f>100</f>
        <v>100</v>
      </c>
      <c r="O494" s="80">
        <v>240</v>
      </c>
      <c r="P494" s="80">
        <v>40</v>
      </c>
      <c r="Q494" s="80">
        <f t="shared" si="75"/>
        <v>315</v>
      </c>
      <c r="R494" s="80">
        <f t="shared" si="76"/>
        <v>100</v>
      </c>
      <c r="S494" s="77">
        <f t="shared" si="77"/>
        <v>695</v>
      </c>
      <c r="T494" s="77">
        <f>50</f>
        <v>50</v>
      </c>
      <c r="U494" s="78"/>
      <c r="V494" s="78"/>
      <c r="W494" s="78"/>
      <c r="X494" s="78"/>
      <c r="Y494" s="78"/>
      <c r="Z494" s="78"/>
      <c r="AA494" s="78"/>
      <c r="AB494" s="78"/>
      <c r="AC494" s="78"/>
      <c r="AD494" s="78"/>
    </row>
    <row r="495" spans="1:30" ht="15.75" x14ac:dyDescent="0.25">
      <c r="A495" s="14">
        <v>56369</v>
      </c>
      <c r="B495" s="89">
        <v>30</v>
      </c>
      <c r="C495" s="77">
        <f>141.293</f>
        <v>141.29300000000001</v>
      </c>
      <c r="D495" s="77">
        <f>267.993</f>
        <v>267.99299999999999</v>
      </c>
      <c r="E495" s="85">
        <f>115.016</f>
        <v>115.01600000000001</v>
      </c>
      <c r="F495" s="77">
        <f>314.698-40-25-60-100</f>
        <v>89.697999999999979</v>
      </c>
      <c r="G495" s="80">
        <v>40</v>
      </c>
      <c r="H495" s="77">
        <f t="shared" ref="H495:H501" si="81">25+60+100</f>
        <v>185</v>
      </c>
      <c r="I495" s="77">
        <f t="shared" si="80"/>
        <v>0</v>
      </c>
      <c r="J495" s="80">
        <v>100</v>
      </c>
      <c r="K495" s="80">
        <v>300</v>
      </c>
      <c r="L495" s="77">
        <f t="shared" si="74"/>
        <v>1239</v>
      </c>
      <c r="M495" s="87">
        <v>600</v>
      </c>
      <c r="N495" s="77">
        <f>100</f>
        <v>100</v>
      </c>
      <c r="O495" s="80">
        <v>240</v>
      </c>
      <c r="P495" s="80">
        <v>160</v>
      </c>
      <c r="Q495" s="80">
        <f t="shared" si="75"/>
        <v>195</v>
      </c>
      <c r="R495" s="80">
        <f t="shared" si="76"/>
        <v>100</v>
      </c>
      <c r="S495" s="77">
        <f t="shared" si="77"/>
        <v>695</v>
      </c>
      <c r="T495" s="77">
        <f>50</f>
        <v>50</v>
      </c>
      <c r="U495" s="78"/>
      <c r="V495" s="78"/>
      <c r="W495" s="78"/>
      <c r="X495" s="78"/>
      <c r="Y495" s="78"/>
      <c r="Z495" s="78"/>
      <c r="AA495" s="78"/>
      <c r="AB495" s="78"/>
      <c r="AC495" s="78"/>
      <c r="AD495" s="78"/>
    </row>
    <row r="496" spans="1:30" ht="15.75" x14ac:dyDescent="0.25">
      <c r="A496" s="14">
        <v>56400</v>
      </c>
      <c r="B496" s="89">
        <v>31</v>
      </c>
      <c r="C496" s="77">
        <f>194.205</f>
        <v>194.20500000000001</v>
      </c>
      <c r="D496" s="77">
        <f>267.466</f>
        <v>267.46600000000001</v>
      </c>
      <c r="E496" s="85">
        <f>133.845</f>
        <v>133.845</v>
      </c>
      <c r="F496" s="77">
        <f>278.484-40-25-60-100</f>
        <v>53.48399999999998</v>
      </c>
      <c r="G496" s="80">
        <v>40</v>
      </c>
      <c r="H496" s="77">
        <f t="shared" si="81"/>
        <v>185</v>
      </c>
      <c r="I496" s="77">
        <f t="shared" si="80"/>
        <v>0</v>
      </c>
      <c r="J496" s="80">
        <v>100</v>
      </c>
      <c r="K496" s="80">
        <v>300</v>
      </c>
      <c r="L496" s="77">
        <f t="shared" si="74"/>
        <v>1274</v>
      </c>
      <c r="M496" s="87">
        <v>600</v>
      </c>
      <c r="N496" s="77">
        <f>75</f>
        <v>75</v>
      </c>
      <c r="O496" s="80">
        <v>240</v>
      </c>
      <c r="P496" s="80">
        <v>160</v>
      </c>
      <c r="Q496" s="80">
        <f t="shared" si="75"/>
        <v>195</v>
      </c>
      <c r="R496" s="80">
        <f t="shared" si="76"/>
        <v>100</v>
      </c>
      <c r="S496" s="77">
        <f t="shared" si="77"/>
        <v>695</v>
      </c>
      <c r="T496" s="77">
        <f>50</f>
        <v>50</v>
      </c>
      <c r="U496" s="78"/>
      <c r="V496" s="78"/>
      <c r="W496" s="78"/>
      <c r="X496" s="78"/>
      <c r="Y496" s="78"/>
      <c r="Z496" s="78"/>
      <c r="AA496" s="78"/>
      <c r="AB496" s="78"/>
      <c r="AC496" s="78"/>
      <c r="AD496" s="78"/>
    </row>
    <row r="497" spans="1:30" ht="15.75" x14ac:dyDescent="0.25">
      <c r="A497" s="14">
        <v>56430</v>
      </c>
      <c r="B497" s="89">
        <v>30</v>
      </c>
      <c r="C497" s="77">
        <f>194.205</f>
        <v>194.20500000000001</v>
      </c>
      <c r="D497" s="77">
        <f>267.466</f>
        <v>267.46600000000001</v>
      </c>
      <c r="E497" s="85">
        <f>133.845</f>
        <v>133.845</v>
      </c>
      <c r="F497" s="77">
        <f>278.484-40-25-60-100</f>
        <v>53.48399999999998</v>
      </c>
      <c r="G497" s="80">
        <v>40</v>
      </c>
      <c r="H497" s="77">
        <f t="shared" si="81"/>
        <v>185</v>
      </c>
      <c r="I497" s="77">
        <f t="shared" si="80"/>
        <v>0</v>
      </c>
      <c r="J497" s="80">
        <v>100</v>
      </c>
      <c r="K497" s="80">
        <v>300</v>
      </c>
      <c r="L497" s="77">
        <f t="shared" si="74"/>
        <v>1274</v>
      </c>
      <c r="M497" s="87">
        <v>600</v>
      </c>
      <c r="N497" s="77">
        <f>30</f>
        <v>30</v>
      </c>
      <c r="O497" s="80">
        <v>240</v>
      </c>
      <c r="P497" s="80">
        <v>160</v>
      </c>
      <c r="Q497" s="80">
        <f t="shared" si="75"/>
        <v>195</v>
      </c>
      <c r="R497" s="80">
        <f t="shared" si="76"/>
        <v>100</v>
      </c>
      <c r="S497" s="77">
        <f t="shared" si="77"/>
        <v>695</v>
      </c>
      <c r="T497" s="77">
        <f>50</f>
        <v>50</v>
      </c>
      <c r="U497" s="78"/>
      <c r="V497" s="78"/>
      <c r="W497" s="78"/>
      <c r="X497" s="78"/>
      <c r="Y497" s="78"/>
      <c r="Z497" s="78"/>
      <c r="AA497" s="78"/>
      <c r="AB497" s="78"/>
      <c r="AC497" s="78"/>
      <c r="AD497" s="78"/>
    </row>
    <row r="498" spans="1:30" ht="15.75" x14ac:dyDescent="0.25">
      <c r="A498" s="14">
        <v>56461</v>
      </c>
      <c r="B498" s="89">
        <v>31</v>
      </c>
      <c r="C498" s="77">
        <f>194.205</f>
        <v>194.20500000000001</v>
      </c>
      <c r="D498" s="77">
        <f>267.466</f>
        <v>267.46600000000001</v>
      </c>
      <c r="E498" s="85">
        <f>133.845</f>
        <v>133.845</v>
      </c>
      <c r="F498" s="77">
        <f>278.484-40-25-60-100</f>
        <v>53.48399999999998</v>
      </c>
      <c r="G498" s="80">
        <v>40</v>
      </c>
      <c r="H498" s="77">
        <f t="shared" si="81"/>
        <v>185</v>
      </c>
      <c r="I498" s="77">
        <f t="shared" si="80"/>
        <v>0</v>
      </c>
      <c r="J498" s="80">
        <v>100</v>
      </c>
      <c r="K498" s="80">
        <v>300</v>
      </c>
      <c r="L498" s="77">
        <f t="shared" si="74"/>
        <v>1274</v>
      </c>
      <c r="M498" s="87">
        <v>600</v>
      </c>
      <c r="N498" s="77">
        <f>30</f>
        <v>30</v>
      </c>
      <c r="O498" s="80">
        <v>240</v>
      </c>
      <c r="P498" s="80">
        <v>160</v>
      </c>
      <c r="Q498" s="80">
        <f t="shared" si="75"/>
        <v>195</v>
      </c>
      <c r="R498" s="80">
        <f t="shared" si="76"/>
        <v>100</v>
      </c>
      <c r="S498" s="77">
        <f t="shared" si="77"/>
        <v>695</v>
      </c>
      <c r="T498" s="77">
        <f>0</f>
        <v>0</v>
      </c>
      <c r="U498" s="78"/>
      <c r="V498" s="78"/>
      <c r="W498" s="78"/>
      <c r="X498" s="78"/>
      <c r="Y498" s="78"/>
      <c r="Z498" s="78"/>
      <c r="AA498" s="78"/>
      <c r="AB498" s="78"/>
      <c r="AC498" s="78"/>
      <c r="AD498" s="78"/>
    </row>
    <row r="499" spans="1:30" ht="15.75" x14ac:dyDescent="0.25">
      <c r="A499" s="14">
        <v>56492</v>
      </c>
      <c r="B499" s="89">
        <v>31</v>
      </c>
      <c r="C499" s="77">
        <f>194.205</f>
        <v>194.20500000000001</v>
      </c>
      <c r="D499" s="77">
        <f>267.466</f>
        <v>267.46600000000001</v>
      </c>
      <c r="E499" s="85">
        <f>133.845</f>
        <v>133.845</v>
      </c>
      <c r="F499" s="77">
        <f>278.484-40-25-60-100</f>
        <v>53.48399999999998</v>
      </c>
      <c r="G499" s="80">
        <v>40</v>
      </c>
      <c r="H499" s="77">
        <f t="shared" si="81"/>
        <v>185</v>
      </c>
      <c r="I499" s="77">
        <f t="shared" si="80"/>
        <v>0</v>
      </c>
      <c r="J499" s="80">
        <v>100</v>
      </c>
      <c r="K499" s="80">
        <v>300</v>
      </c>
      <c r="L499" s="77">
        <f t="shared" si="74"/>
        <v>1274</v>
      </c>
      <c r="M499" s="87">
        <v>600</v>
      </c>
      <c r="N499" s="77">
        <f>30</f>
        <v>30</v>
      </c>
      <c r="O499" s="80">
        <v>240</v>
      </c>
      <c r="P499" s="80">
        <v>160</v>
      </c>
      <c r="Q499" s="80">
        <f t="shared" si="75"/>
        <v>195</v>
      </c>
      <c r="R499" s="80">
        <f t="shared" si="76"/>
        <v>100</v>
      </c>
      <c r="S499" s="77">
        <f t="shared" si="77"/>
        <v>695</v>
      </c>
      <c r="T499" s="77">
        <f>0</f>
        <v>0</v>
      </c>
      <c r="U499" s="78"/>
      <c r="V499" s="78"/>
      <c r="W499" s="78"/>
      <c r="X499" s="78"/>
      <c r="Y499" s="78"/>
      <c r="Z499" s="78"/>
      <c r="AA499" s="78"/>
      <c r="AB499" s="78"/>
      <c r="AC499" s="78"/>
      <c r="AD499" s="78"/>
    </row>
    <row r="500" spans="1:30" ht="15.75" x14ac:dyDescent="0.25">
      <c r="A500" s="14">
        <v>56522</v>
      </c>
      <c r="B500" s="89">
        <v>30</v>
      </c>
      <c r="C500" s="77">
        <f>194.205</f>
        <v>194.20500000000001</v>
      </c>
      <c r="D500" s="77">
        <f>267.466</f>
        <v>267.46600000000001</v>
      </c>
      <c r="E500" s="85">
        <f>133.845</f>
        <v>133.845</v>
      </c>
      <c r="F500" s="77">
        <f>278.484-40-25-60-100</f>
        <v>53.48399999999998</v>
      </c>
      <c r="G500" s="80">
        <v>40</v>
      </c>
      <c r="H500" s="77">
        <f t="shared" si="81"/>
        <v>185</v>
      </c>
      <c r="I500" s="77">
        <f t="shared" si="80"/>
        <v>0</v>
      </c>
      <c r="J500" s="80">
        <v>100</v>
      </c>
      <c r="K500" s="80">
        <v>300</v>
      </c>
      <c r="L500" s="77">
        <f t="shared" si="74"/>
        <v>1274</v>
      </c>
      <c r="M500" s="87">
        <v>600</v>
      </c>
      <c r="N500" s="77">
        <f>30</f>
        <v>30</v>
      </c>
      <c r="O500" s="80">
        <v>240</v>
      </c>
      <c r="P500" s="80">
        <v>160</v>
      </c>
      <c r="Q500" s="80">
        <f t="shared" si="75"/>
        <v>195</v>
      </c>
      <c r="R500" s="80">
        <f t="shared" si="76"/>
        <v>100</v>
      </c>
      <c r="S500" s="77">
        <f t="shared" si="77"/>
        <v>695</v>
      </c>
      <c r="T500" s="77">
        <f>0</f>
        <v>0</v>
      </c>
      <c r="U500" s="78"/>
      <c r="V500" s="78"/>
      <c r="W500" s="78"/>
      <c r="X500" s="78"/>
      <c r="Y500" s="78"/>
      <c r="Z500" s="78"/>
      <c r="AA500" s="78"/>
      <c r="AB500" s="78"/>
      <c r="AC500" s="78"/>
      <c r="AD500" s="78"/>
    </row>
    <row r="501" spans="1:30" ht="15.75" x14ac:dyDescent="0.25">
      <c r="A501" s="14">
        <v>56553</v>
      </c>
      <c r="B501" s="89">
        <v>31</v>
      </c>
      <c r="C501" s="77">
        <f>131.881</f>
        <v>131.881</v>
      </c>
      <c r="D501" s="77">
        <f>277.167</f>
        <v>277.16699999999997</v>
      </c>
      <c r="E501" s="85">
        <f>79.08</f>
        <v>79.08</v>
      </c>
      <c r="F501" s="77">
        <f>350.872-40-25-60-100</f>
        <v>125.87200000000001</v>
      </c>
      <c r="G501" s="80">
        <v>40</v>
      </c>
      <c r="H501" s="77">
        <f t="shared" si="81"/>
        <v>185</v>
      </c>
      <c r="I501" s="77">
        <f t="shared" si="80"/>
        <v>0</v>
      </c>
      <c r="J501" s="80">
        <v>100</v>
      </c>
      <c r="K501" s="80">
        <v>300</v>
      </c>
      <c r="L501" s="77">
        <f t="shared" si="74"/>
        <v>1239</v>
      </c>
      <c r="M501" s="87">
        <v>600</v>
      </c>
      <c r="N501" s="77">
        <f>75</f>
        <v>75</v>
      </c>
      <c r="O501" s="80">
        <v>240</v>
      </c>
      <c r="P501" s="80">
        <v>160</v>
      </c>
      <c r="Q501" s="80">
        <f t="shared" si="75"/>
        <v>195</v>
      </c>
      <c r="R501" s="80">
        <f t="shared" si="76"/>
        <v>100</v>
      </c>
      <c r="S501" s="77">
        <f t="shared" si="77"/>
        <v>695</v>
      </c>
      <c r="T501" s="77">
        <f>0</f>
        <v>0</v>
      </c>
      <c r="U501" s="78"/>
      <c r="V501" s="78"/>
      <c r="W501" s="78"/>
      <c r="X501" s="78"/>
      <c r="Y501" s="78"/>
      <c r="Z501" s="78"/>
      <c r="AA501" s="78"/>
      <c r="AB501" s="78"/>
      <c r="AC501" s="78"/>
      <c r="AD501" s="78"/>
    </row>
    <row r="502" spans="1:30" ht="15.75" x14ac:dyDescent="0.25">
      <c r="A502" s="14">
        <v>56583</v>
      </c>
      <c r="B502" s="89">
        <v>30</v>
      </c>
      <c r="C502" s="77">
        <f>122.58</f>
        <v>122.58</v>
      </c>
      <c r="D502" s="77">
        <f>297.941</f>
        <v>297.94099999999997</v>
      </c>
      <c r="E502" s="85">
        <f>89.177</f>
        <v>89.177000000000007</v>
      </c>
      <c r="F502" s="77">
        <f>240.302-40-60-100</f>
        <v>40.301999999999992</v>
      </c>
      <c r="G502" s="80">
        <v>40</v>
      </c>
      <c r="H502" s="77">
        <f>60+100</f>
        <v>160</v>
      </c>
      <c r="I502" s="77">
        <f t="shared" si="80"/>
        <v>0</v>
      </c>
      <c r="J502" s="80">
        <v>100</v>
      </c>
      <c r="K502" s="80">
        <v>300</v>
      </c>
      <c r="L502" s="77">
        <f t="shared" si="74"/>
        <v>1150</v>
      </c>
      <c r="M502" s="87">
        <v>600</v>
      </c>
      <c r="N502" s="77">
        <f>100</f>
        <v>100</v>
      </c>
      <c r="O502" s="80">
        <v>240</v>
      </c>
      <c r="P502" s="80">
        <v>40</v>
      </c>
      <c r="Q502" s="80">
        <f t="shared" si="75"/>
        <v>315</v>
      </c>
      <c r="R502" s="80">
        <f t="shared" si="76"/>
        <v>100</v>
      </c>
      <c r="S502" s="77">
        <f t="shared" si="77"/>
        <v>695</v>
      </c>
      <c r="T502" s="77">
        <f>50</f>
        <v>50</v>
      </c>
      <c r="U502" s="78"/>
      <c r="V502" s="78"/>
      <c r="W502" s="78"/>
      <c r="X502" s="78"/>
      <c r="Y502" s="78"/>
      <c r="Z502" s="78"/>
      <c r="AA502" s="78"/>
      <c r="AB502" s="78"/>
      <c r="AC502" s="78"/>
      <c r="AD502" s="78"/>
    </row>
    <row r="503" spans="1:30" ht="15.75" x14ac:dyDescent="0.25">
      <c r="A503" s="14">
        <v>56614</v>
      </c>
      <c r="B503" s="89">
        <v>31</v>
      </c>
      <c r="C503" s="77">
        <f>122.58</f>
        <v>122.58</v>
      </c>
      <c r="D503" s="77">
        <f>297.941</f>
        <v>297.94099999999997</v>
      </c>
      <c r="E503" s="85">
        <f>89.177</f>
        <v>89.177000000000007</v>
      </c>
      <c r="F503" s="77">
        <f>240.302-40-60-100</f>
        <v>40.301999999999992</v>
      </c>
      <c r="G503" s="80">
        <v>40</v>
      </c>
      <c r="H503" s="77">
        <f>60+100</f>
        <v>160</v>
      </c>
      <c r="I503" s="77">
        <f t="shared" si="80"/>
        <v>0</v>
      </c>
      <c r="J503" s="80">
        <v>100</v>
      </c>
      <c r="K503" s="80">
        <v>300</v>
      </c>
      <c r="L503" s="77">
        <f t="shared" si="74"/>
        <v>1150</v>
      </c>
      <c r="M503" s="87">
        <v>600</v>
      </c>
      <c r="N503" s="77">
        <f>100</f>
        <v>100</v>
      </c>
      <c r="O503" s="80">
        <v>240</v>
      </c>
      <c r="P503" s="80">
        <v>40</v>
      </c>
      <c r="Q503" s="80">
        <f t="shared" si="75"/>
        <v>315</v>
      </c>
      <c r="R503" s="80">
        <f t="shared" si="76"/>
        <v>100</v>
      </c>
      <c r="S503" s="77">
        <f t="shared" si="77"/>
        <v>695</v>
      </c>
      <c r="T503" s="77">
        <f>50</f>
        <v>50</v>
      </c>
      <c r="U503" s="78"/>
      <c r="V503" s="78"/>
      <c r="W503" s="78"/>
      <c r="X503" s="78"/>
      <c r="Y503" s="78"/>
      <c r="Z503" s="78"/>
      <c r="AA503" s="78"/>
      <c r="AB503" s="78"/>
      <c r="AC503" s="78"/>
      <c r="AD503" s="78"/>
    </row>
    <row r="504" spans="1:30" ht="15.75" x14ac:dyDescent="0.25">
      <c r="A504" s="13">
        <v>56645</v>
      </c>
      <c r="B504" s="88">
        <v>31</v>
      </c>
      <c r="C504" s="77">
        <f>122.58</f>
        <v>122.58</v>
      </c>
      <c r="D504" s="77">
        <f>297.941</f>
        <v>297.94099999999997</v>
      </c>
      <c r="E504" s="85">
        <f>89.177</f>
        <v>89.177000000000007</v>
      </c>
      <c r="F504" s="77">
        <f>240.302-40-60-100</f>
        <v>40.301999999999992</v>
      </c>
      <c r="G504" s="80">
        <v>40</v>
      </c>
      <c r="H504" s="77">
        <f>60+100</f>
        <v>160</v>
      </c>
      <c r="I504" s="77">
        <f t="shared" si="80"/>
        <v>0</v>
      </c>
      <c r="J504" s="80">
        <v>100</v>
      </c>
      <c r="K504" s="80">
        <v>300</v>
      </c>
      <c r="L504" s="77">
        <f t="shared" si="74"/>
        <v>1150</v>
      </c>
      <c r="M504" s="87">
        <v>600</v>
      </c>
      <c r="N504" s="77">
        <f>100</f>
        <v>100</v>
      </c>
      <c r="O504" s="80">
        <v>240</v>
      </c>
      <c r="P504" s="80">
        <v>40</v>
      </c>
      <c r="Q504" s="80">
        <f t="shared" si="75"/>
        <v>315</v>
      </c>
      <c r="R504" s="80">
        <f t="shared" si="76"/>
        <v>100</v>
      </c>
      <c r="S504" s="77">
        <f t="shared" si="77"/>
        <v>695</v>
      </c>
      <c r="T504" s="77">
        <f>50</f>
        <v>50</v>
      </c>
      <c r="U504" s="78"/>
      <c r="V504" s="78"/>
      <c r="W504" s="78"/>
      <c r="X504" s="78"/>
      <c r="Y504" s="78"/>
      <c r="Z504" s="78"/>
      <c r="AA504" s="78"/>
      <c r="AB504" s="78"/>
      <c r="AC504" s="78"/>
      <c r="AD504" s="78"/>
    </row>
    <row r="505" spans="1:30" ht="15.75" x14ac:dyDescent="0.25">
      <c r="A505" s="13">
        <v>56673</v>
      </c>
      <c r="B505" s="88">
        <v>28</v>
      </c>
      <c r="C505" s="77">
        <f>122.58</f>
        <v>122.58</v>
      </c>
      <c r="D505" s="77">
        <f>297.941</f>
        <v>297.94099999999997</v>
      </c>
      <c r="E505" s="85">
        <f>89.177</f>
        <v>89.177000000000007</v>
      </c>
      <c r="F505" s="77">
        <f>240.302-40-60-100</f>
        <v>40.301999999999992</v>
      </c>
      <c r="G505" s="80">
        <v>40</v>
      </c>
      <c r="H505" s="77">
        <f>60+100</f>
        <v>160</v>
      </c>
      <c r="I505" s="77">
        <f t="shared" si="80"/>
        <v>0</v>
      </c>
      <c r="J505" s="80">
        <v>100</v>
      </c>
      <c r="K505" s="80">
        <v>300</v>
      </c>
      <c r="L505" s="77">
        <f t="shared" si="74"/>
        <v>1150</v>
      </c>
      <c r="M505" s="87">
        <v>600</v>
      </c>
      <c r="N505" s="77">
        <f>100</f>
        <v>100</v>
      </c>
      <c r="O505" s="80">
        <v>240</v>
      </c>
      <c r="P505" s="80">
        <v>40</v>
      </c>
      <c r="Q505" s="80">
        <f t="shared" si="75"/>
        <v>315</v>
      </c>
      <c r="R505" s="80">
        <f t="shared" si="76"/>
        <v>100</v>
      </c>
      <c r="S505" s="77">
        <f t="shared" si="77"/>
        <v>695</v>
      </c>
      <c r="T505" s="77">
        <f>50</f>
        <v>50</v>
      </c>
      <c r="U505" s="78"/>
      <c r="V505" s="78"/>
      <c r="W505" s="78"/>
      <c r="X505" s="78"/>
      <c r="Y505" s="78"/>
      <c r="Z505" s="78"/>
      <c r="AA505" s="78"/>
      <c r="AB505" s="78"/>
      <c r="AC505" s="78"/>
      <c r="AD505" s="78"/>
    </row>
    <row r="506" spans="1:30" ht="15.75" x14ac:dyDescent="0.25">
      <c r="A506" s="13">
        <v>56704</v>
      </c>
      <c r="B506" s="88">
        <v>31</v>
      </c>
      <c r="C506" s="77">
        <f>122.58</f>
        <v>122.58</v>
      </c>
      <c r="D506" s="77">
        <f>297.941</f>
        <v>297.94099999999997</v>
      </c>
      <c r="E506" s="85">
        <f>89.177</f>
        <v>89.177000000000007</v>
      </c>
      <c r="F506" s="77">
        <f>240.302-40-60-100</f>
        <v>40.301999999999992</v>
      </c>
      <c r="G506" s="80">
        <v>40</v>
      </c>
      <c r="H506" s="77">
        <f>60+100</f>
        <v>160</v>
      </c>
      <c r="I506" s="77">
        <f t="shared" si="80"/>
        <v>0</v>
      </c>
      <c r="J506" s="80">
        <v>100</v>
      </c>
      <c r="K506" s="80">
        <v>300</v>
      </c>
      <c r="L506" s="77">
        <f t="shared" si="74"/>
        <v>1150</v>
      </c>
      <c r="M506" s="87">
        <v>600</v>
      </c>
      <c r="N506" s="77">
        <f>100</f>
        <v>100</v>
      </c>
      <c r="O506" s="80">
        <v>240</v>
      </c>
      <c r="P506" s="80">
        <v>40</v>
      </c>
      <c r="Q506" s="80">
        <f t="shared" si="75"/>
        <v>315</v>
      </c>
      <c r="R506" s="80">
        <f t="shared" si="76"/>
        <v>100</v>
      </c>
      <c r="S506" s="77">
        <f t="shared" si="77"/>
        <v>695</v>
      </c>
      <c r="T506" s="77">
        <f>50</f>
        <v>50</v>
      </c>
      <c r="U506" s="78"/>
      <c r="V506" s="78"/>
      <c r="W506" s="78"/>
      <c r="X506" s="78"/>
      <c r="Y506" s="78"/>
      <c r="Z506" s="78"/>
      <c r="AA506" s="78"/>
      <c r="AB506" s="78"/>
      <c r="AC506" s="78"/>
      <c r="AD506" s="78"/>
    </row>
    <row r="507" spans="1:30" ht="15.75" x14ac:dyDescent="0.25">
      <c r="A507" s="13">
        <v>56734</v>
      </c>
      <c r="B507" s="88">
        <v>30</v>
      </c>
      <c r="C507" s="77">
        <f>141.293</f>
        <v>141.29300000000001</v>
      </c>
      <c r="D507" s="77">
        <f>267.993</f>
        <v>267.99299999999999</v>
      </c>
      <c r="E507" s="85">
        <f>115.016</f>
        <v>115.01600000000001</v>
      </c>
      <c r="F507" s="77">
        <f>314.698-40-25-60-100</f>
        <v>89.697999999999979</v>
      </c>
      <c r="G507" s="80">
        <v>40</v>
      </c>
      <c r="H507" s="77">
        <f t="shared" ref="H507:H513" si="82">25+60+100</f>
        <v>185</v>
      </c>
      <c r="I507" s="77">
        <f t="shared" si="80"/>
        <v>0</v>
      </c>
      <c r="J507" s="80">
        <v>100</v>
      </c>
      <c r="K507" s="80">
        <v>300</v>
      </c>
      <c r="L507" s="77">
        <f t="shared" si="74"/>
        <v>1239</v>
      </c>
      <c r="M507" s="87">
        <v>600</v>
      </c>
      <c r="N507" s="77">
        <f>100</f>
        <v>100</v>
      </c>
      <c r="O507" s="80">
        <v>240</v>
      </c>
      <c r="P507" s="80">
        <v>160</v>
      </c>
      <c r="Q507" s="80">
        <f t="shared" si="75"/>
        <v>195</v>
      </c>
      <c r="R507" s="80">
        <f t="shared" si="76"/>
        <v>100</v>
      </c>
      <c r="S507" s="77">
        <f t="shared" si="77"/>
        <v>695</v>
      </c>
      <c r="T507" s="77">
        <f>50</f>
        <v>50</v>
      </c>
      <c r="U507" s="78"/>
      <c r="V507" s="78"/>
      <c r="W507" s="78"/>
      <c r="X507" s="78"/>
      <c r="Y507" s="78"/>
      <c r="Z507" s="78"/>
      <c r="AA507" s="78"/>
      <c r="AB507" s="78"/>
      <c r="AC507" s="78"/>
      <c r="AD507" s="78"/>
    </row>
    <row r="508" spans="1:30" ht="15.75" x14ac:dyDescent="0.25">
      <c r="A508" s="13">
        <v>56765</v>
      </c>
      <c r="B508" s="88">
        <v>31</v>
      </c>
      <c r="C508" s="77">
        <f>194.205</f>
        <v>194.20500000000001</v>
      </c>
      <c r="D508" s="77">
        <f>267.466</f>
        <v>267.46600000000001</v>
      </c>
      <c r="E508" s="85">
        <f>133.845</f>
        <v>133.845</v>
      </c>
      <c r="F508" s="77">
        <f>278.484-40-25-60-100</f>
        <v>53.48399999999998</v>
      </c>
      <c r="G508" s="80">
        <v>40</v>
      </c>
      <c r="H508" s="77">
        <f t="shared" si="82"/>
        <v>185</v>
      </c>
      <c r="I508" s="77">
        <f t="shared" si="80"/>
        <v>0</v>
      </c>
      <c r="J508" s="80">
        <v>100</v>
      </c>
      <c r="K508" s="80">
        <v>300</v>
      </c>
      <c r="L508" s="77">
        <f t="shared" si="74"/>
        <v>1274</v>
      </c>
      <c r="M508" s="87">
        <v>600</v>
      </c>
      <c r="N508" s="77">
        <f>75</f>
        <v>75</v>
      </c>
      <c r="O508" s="80">
        <v>240</v>
      </c>
      <c r="P508" s="80">
        <v>160</v>
      </c>
      <c r="Q508" s="80">
        <f t="shared" si="75"/>
        <v>195</v>
      </c>
      <c r="R508" s="80">
        <f t="shared" si="76"/>
        <v>100</v>
      </c>
      <c r="S508" s="77">
        <f t="shared" si="77"/>
        <v>695</v>
      </c>
      <c r="T508" s="77">
        <f>50</f>
        <v>50</v>
      </c>
      <c r="U508" s="78"/>
      <c r="V508" s="78"/>
      <c r="W508" s="78"/>
      <c r="X508" s="78"/>
      <c r="Y508" s="78"/>
      <c r="Z508" s="78"/>
      <c r="AA508" s="78"/>
      <c r="AB508" s="78"/>
      <c r="AC508" s="78"/>
      <c r="AD508" s="78"/>
    </row>
    <row r="509" spans="1:30" ht="15.75" x14ac:dyDescent="0.25">
      <c r="A509" s="13">
        <v>56795</v>
      </c>
      <c r="B509" s="88">
        <v>30</v>
      </c>
      <c r="C509" s="77">
        <f>194.205</f>
        <v>194.20500000000001</v>
      </c>
      <c r="D509" s="77">
        <f>267.466</f>
        <v>267.46600000000001</v>
      </c>
      <c r="E509" s="85">
        <f>133.845</f>
        <v>133.845</v>
      </c>
      <c r="F509" s="77">
        <f>278.484-40-25-60-100</f>
        <v>53.48399999999998</v>
      </c>
      <c r="G509" s="80">
        <v>40</v>
      </c>
      <c r="H509" s="77">
        <f t="shared" si="82"/>
        <v>185</v>
      </c>
      <c r="I509" s="77">
        <f t="shared" si="80"/>
        <v>0</v>
      </c>
      <c r="J509" s="80">
        <v>100</v>
      </c>
      <c r="K509" s="80">
        <v>300</v>
      </c>
      <c r="L509" s="77">
        <f t="shared" si="74"/>
        <v>1274</v>
      </c>
      <c r="M509" s="87">
        <v>600</v>
      </c>
      <c r="N509" s="77">
        <f>30</f>
        <v>30</v>
      </c>
      <c r="O509" s="80">
        <v>240</v>
      </c>
      <c r="P509" s="80">
        <v>160</v>
      </c>
      <c r="Q509" s="80">
        <f t="shared" si="75"/>
        <v>195</v>
      </c>
      <c r="R509" s="80">
        <f t="shared" si="76"/>
        <v>100</v>
      </c>
      <c r="S509" s="77">
        <f t="shared" si="77"/>
        <v>695</v>
      </c>
      <c r="T509" s="77">
        <f>50</f>
        <v>50</v>
      </c>
      <c r="U509" s="78"/>
      <c r="V509" s="78"/>
      <c r="W509" s="78"/>
      <c r="X509" s="78"/>
      <c r="Y509" s="78"/>
      <c r="Z509" s="78"/>
      <c r="AA509" s="78"/>
      <c r="AB509" s="78"/>
      <c r="AC509" s="78"/>
      <c r="AD509" s="78"/>
    </row>
    <row r="510" spans="1:30" ht="15.75" x14ac:dyDescent="0.25">
      <c r="A510" s="13">
        <v>56826</v>
      </c>
      <c r="B510" s="88">
        <v>31</v>
      </c>
      <c r="C510" s="77">
        <f>194.205</f>
        <v>194.20500000000001</v>
      </c>
      <c r="D510" s="77">
        <f>267.466</f>
        <v>267.46600000000001</v>
      </c>
      <c r="E510" s="85">
        <f>133.845</f>
        <v>133.845</v>
      </c>
      <c r="F510" s="77">
        <f>278.484-40-25-60-100</f>
        <v>53.48399999999998</v>
      </c>
      <c r="G510" s="80">
        <v>40</v>
      </c>
      <c r="H510" s="77">
        <f t="shared" si="82"/>
        <v>185</v>
      </c>
      <c r="I510" s="77">
        <f t="shared" si="80"/>
        <v>0</v>
      </c>
      <c r="J510" s="80">
        <v>100</v>
      </c>
      <c r="K510" s="80">
        <v>300</v>
      </c>
      <c r="L510" s="77">
        <f t="shared" si="74"/>
        <v>1274</v>
      </c>
      <c r="M510" s="87">
        <v>600</v>
      </c>
      <c r="N510" s="77">
        <f>30</f>
        <v>30</v>
      </c>
      <c r="O510" s="80">
        <v>240</v>
      </c>
      <c r="P510" s="80">
        <v>160</v>
      </c>
      <c r="Q510" s="80">
        <f t="shared" si="75"/>
        <v>195</v>
      </c>
      <c r="R510" s="80">
        <f t="shared" si="76"/>
        <v>100</v>
      </c>
      <c r="S510" s="77">
        <f t="shared" si="77"/>
        <v>695</v>
      </c>
      <c r="T510" s="77">
        <f>0</f>
        <v>0</v>
      </c>
      <c r="U510" s="78"/>
      <c r="V510" s="78"/>
      <c r="W510" s="78"/>
      <c r="X510" s="78"/>
      <c r="Y510" s="78"/>
      <c r="Z510" s="78"/>
      <c r="AA510" s="78"/>
      <c r="AB510" s="78"/>
      <c r="AC510" s="78"/>
      <c r="AD510" s="78"/>
    </row>
    <row r="511" spans="1:30" ht="15.75" x14ac:dyDescent="0.25">
      <c r="A511" s="13">
        <v>56857</v>
      </c>
      <c r="B511" s="88">
        <v>31</v>
      </c>
      <c r="C511" s="77">
        <f>194.205</f>
        <v>194.20500000000001</v>
      </c>
      <c r="D511" s="77">
        <f>267.466</f>
        <v>267.46600000000001</v>
      </c>
      <c r="E511" s="85">
        <f>133.845</f>
        <v>133.845</v>
      </c>
      <c r="F511" s="77">
        <f>278.484-40-25-60-100</f>
        <v>53.48399999999998</v>
      </c>
      <c r="G511" s="80">
        <v>40</v>
      </c>
      <c r="H511" s="77">
        <f t="shared" si="82"/>
        <v>185</v>
      </c>
      <c r="I511" s="77">
        <f t="shared" si="80"/>
        <v>0</v>
      </c>
      <c r="J511" s="80">
        <v>100</v>
      </c>
      <c r="K511" s="80">
        <v>300</v>
      </c>
      <c r="L511" s="77">
        <f t="shared" si="74"/>
        <v>1274</v>
      </c>
      <c r="M511" s="87">
        <v>600</v>
      </c>
      <c r="N511" s="77">
        <f>30</f>
        <v>30</v>
      </c>
      <c r="O511" s="80">
        <v>240</v>
      </c>
      <c r="P511" s="80">
        <v>160</v>
      </c>
      <c r="Q511" s="80">
        <f t="shared" si="75"/>
        <v>195</v>
      </c>
      <c r="R511" s="80">
        <f t="shared" si="76"/>
        <v>100</v>
      </c>
      <c r="S511" s="77">
        <f t="shared" si="77"/>
        <v>695</v>
      </c>
      <c r="T511" s="77">
        <f>0</f>
        <v>0</v>
      </c>
      <c r="U511" s="78"/>
      <c r="V511" s="78"/>
      <c r="W511" s="78"/>
      <c r="X511" s="78"/>
      <c r="Y511" s="78"/>
      <c r="Z511" s="78"/>
      <c r="AA511" s="78"/>
      <c r="AB511" s="78"/>
      <c r="AC511" s="78"/>
      <c r="AD511" s="78"/>
    </row>
    <row r="512" spans="1:30" ht="15.75" x14ac:dyDescent="0.25">
      <c r="A512" s="13">
        <v>56887</v>
      </c>
      <c r="B512" s="88">
        <v>30</v>
      </c>
      <c r="C512" s="77">
        <f>194.205</f>
        <v>194.20500000000001</v>
      </c>
      <c r="D512" s="77">
        <f>267.466</f>
        <v>267.46600000000001</v>
      </c>
      <c r="E512" s="85">
        <f>133.845</f>
        <v>133.845</v>
      </c>
      <c r="F512" s="77">
        <f>278.484-40-25-60-100</f>
        <v>53.48399999999998</v>
      </c>
      <c r="G512" s="80">
        <v>40</v>
      </c>
      <c r="H512" s="77">
        <f t="shared" si="82"/>
        <v>185</v>
      </c>
      <c r="I512" s="77">
        <f t="shared" si="80"/>
        <v>0</v>
      </c>
      <c r="J512" s="80">
        <v>100</v>
      </c>
      <c r="K512" s="80">
        <v>300</v>
      </c>
      <c r="L512" s="77">
        <f t="shared" si="74"/>
        <v>1274</v>
      </c>
      <c r="M512" s="87">
        <v>600</v>
      </c>
      <c r="N512" s="77">
        <f>30</f>
        <v>30</v>
      </c>
      <c r="O512" s="80">
        <v>240</v>
      </c>
      <c r="P512" s="80">
        <v>160</v>
      </c>
      <c r="Q512" s="80">
        <f t="shared" si="75"/>
        <v>195</v>
      </c>
      <c r="R512" s="80">
        <f t="shared" si="76"/>
        <v>100</v>
      </c>
      <c r="S512" s="77">
        <f t="shared" si="77"/>
        <v>695</v>
      </c>
      <c r="T512" s="77">
        <f>0</f>
        <v>0</v>
      </c>
      <c r="U512" s="78"/>
      <c r="V512" s="78"/>
      <c r="W512" s="78"/>
      <c r="X512" s="78"/>
      <c r="Y512" s="78"/>
      <c r="Z512" s="78"/>
      <c r="AA512" s="78"/>
      <c r="AB512" s="78"/>
      <c r="AC512" s="78"/>
      <c r="AD512" s="78"/>
    </row>
    <row r="513" spans="1:30" ht="15.75" x14ac:dyDescent="0.25">
      <c r="A513" s="13">
        <v>56918</v>
      </c>
      <c r="B513" s="88">
        <v>31</v>
      </c>
      <c r="C513" s="77">
        <f>131.881</f>
        <v>131.881</v>
      </c>
      <c r="D513" s="77">
        <f>277.167</f>
        <v>277.16699999999997</v>
      </c>
      <c r="E513" s="85">
        <f>79.08</f>
        <v>79.08</v>
      </c>
      <c r="F513" s="77">
        <f>350.872-40-25-60-100</f>
        <v>125.87200000000001</v>
      </c>
      <c r="G513" s="80">
        <v>40</v>
      </c>
      <c r="H513" s="77">
        <f t="shared" si="82"/>
        <v>185</v>
      </c>
      <c r="I513" s="77">
        <f t="shared" si="80"/>
        <v>0</v>
      </c>
      <c r="J513" s="80">
        <v>100</v>
      </c>
      <c r="K513" s="80">
        <v>300</v>
      </c>
      <c r="L513" s="77">
        <f t="shared" si="74"/>
        <v>1239</v>
      </c>
      <c r="M513" s="87">
        <v>600</v>
      </c>
      <c r="N513" s="77">
        <f>75</f>
        <v>75</v>
      </c>
      <c r="O513" s="80">
        <v>240</v>
      </c>
      <c r="P513" s="80">
        <v>160</v>
      </c>
      <c r="Q513" s="80">
        <f t="shared" si="75"/>
        <v>195</v>
      </c>
      <c r="R513" s="80">
        <f t="shared" si="76"/>
        <v>100</v>
      </c>
      <c r="S513" s="77">
        <f t="shared" si="77"/>
        <v>695</v>
      </c>
      <c r="T513" s="77">
        <f>0</f>
        <v>0</v>
      </c>
      <c r="U513" s="78"/>
      <c r="V513" s="78"/>
      <c r="W513" s="78"/>
      <c r="X513" s="78"/>
      <c r="Y513" s="78"/>
      <c r="Z513" s="78"/>
      <c r="AA513" s="78"/>
      <c r="AB513" s="78"/>
      <c r="AC513" s="78"/>
      <c r="AD513" s="78"/>
    </row>
    <row r="514" spans="1:30" ht="15.75" x14ac:dyDescent="0.25">
      <c r="A514" s="13">
        <v>56948</v>
      </c>
      <c r="B514" s="88">
        <v>30</v>
      </c>
      <c r="C514" s="77">
        <f>122.58</f>
        <v>122.58</v>
      </c>
      <c r="D514" s="77">
        <f>297.941</f>
        <v>297.94099999999997</v>
      </c>
      <c r="E514" s="85">
        <f>89.177</f>
        <v>89.177000000000007</v>
      </c>
      <c r="F514" s="77">
        <f>240.302-40-60-100</f>
        <v>40.301999999999992</v>
      </c>
      <c r="G514" s="80">
        <v>40</v>
      </c>
      <c r="H514" s="77">
        <f>60+100</f>
        <v>160</v>
      </c>
      <c r="I514" s="77">
        <f t="shared" si="80"/>
        <v>0</v>
      </c>
      <c r="J514" s="80">
        <v>100</v>
      </c>
      <c r="K514" s="80">
        <v>300</v>
      </c>
      <c r="L514" s="77">
        <f t="shared" si="74"/>
        <v>1150</v>
      </c>
      <c r="M514" s="87">
        <v>600</v>
      </c>
      <c r="N514" s="77">
        <f>100</f>
        <v>100</v>
      </c>
      <c r="O514" s="80">
        <v>240</v>
      </c>
      <c r="P514" s="80">
        <v>40</v>
      </c>
      <c r="Q514" s="80">
        <f t="shared" si="75"/>
        <v>315</v>
      </c>
      <c r="R514" s="80">
        <f t="shared" si="76"/>
        <v>100</v>
      </c>
      <c r="S514" s="77">
        <f t="shared" si="77"/>
        <v>695</v>
      </c>
      <c r="T514" s="77">
        <f>50</f>
        <v>50</v>
      </c>
      <c r="U514" s="78"/>
      <c r="V514" s="78"/>
      <c r="W514" s="78"/>
      <c r="X514" s="78"/>
      <c r="Y514" s="78"/>
      <c r="Z514" s="78"/>
      <c r="AA514" s="78"/>
      <c r="AB514" s="78"/>
      <c r="AC514" s="78"/>
      <c r="AD514" s="78"/>
    </row>
    <row r="515" spans="1:30" ht="15.75" x14ac:dyDescent="0.25">
      <c r="A515" s="13">
        <v>56979</v>
      </c>
      <c r="B515" s="88">
        <v>31</v>
      </c>
      <c r="C515" s="77">
        <f>122.58</f>
        <v>122.58</v>
      </c>
      <c r="D515" s="77">
        <f>297.941</f>
        <v>297.94099999999997</v>
      </c>
      <c r="E515" s="85">
        <f>89.177</f>
        <v>89.177000000000007</v>
      </c>
      <c r="F515" s="77">
        <f>240.302-40-60-100</f>
        <v>40.301999999999992</v>
      </c>
      <c r="G515" s="80">
        <v>40</v>
      </c>
      <c r="H515" s="77">
        <f>60+100</f>
        <v>160</v>
      </c>
      <c r="I515" s="77">
        <f t="shared" si="80"/>
        <v>0</v>
      </c>
      <c r="J515" s="80">
        <v>100</v>
      </c>
      <c r="K515" s="80">
        <v>300</v>
      </c>
      <c r="L515" s="77">
        <f t="shared" si="74"/>
        <v>1150</v>
      </c>
      <c r="M515" s="87">
        <v>600</v>
      </c>
      <c r="N515" s="77">
        <f>100</f>
        <v>100</v>
      </c>
      <c r="O515" s="80">
        <v>240</v>
      </c>
      <c r="P515" s="80">
        <v>40</v>
      </c>
      <c r="Q515" s="80">
        <f t="shared" si="75"/>
        <v>315</v>
      </c>
      <c r="R515" s="80">
        <f t="shared" si="76"/>
        <v>100</v>
      </c>
      <c r="S515" s="77">
        <f t="shared" si="77"/>
        <v>695</v>
      </c>
      <c r="T515" s="77">
        <f>50</f>
        <v>50</v>
      </c>
      <c r="U515" s="78"/>
      <c r="V515" s="78"/>
      <c r="W515" s="78"/>
      <c r="X515" s="78"/>
      <c r="Y515" s="78"/>
      <c r="Z515" s="78"/>
      <c r="AA515" s="78"/>
      <c r="AB515" s="78"/>
      <c r="AC515" s="78"/>
      <c r="AD515" s="78"/>
    </row>
    <row r="516" spans="1:30" ht="15.75" x14ac:dyDescent="0.25">
      <c r="A516" s="13">
        <v>57010</v>
      </c>
      <c r="B516" s="88">
        <v>31</v>
      </c>
      <c r="C516" s="77">
        <f>122.58</f>
        <v>122.58</v>
      </c>
      <c r="D516" s="77">
        <f>297.941</f>
        <v>297.94099999999997</v>
      </c>
      <c r="E516" s="85">
        <f>89.177</f>
        <v>89.177000000000007</v>
      </c>
      <c r="F516" s="77">
        <f>240.302-40-60-100</f>
        <v>40.301999999999992</v>
      </c>
      <c r="G516" s="80">
        <v>40</v>
      </c>
      <c r="H516" s="77">
        <f>60+100</f>
        <v>160</v>
      </c>
      <c r="I516" s="77">
        <f t="shared" si="80"/>
        <v>0</v>
      </c>
      <c r="J516" s="80">
        <v>100</v>
      </c>
      <c r="K516" s="80">
        <v>300</v>
      </c>
      <c r="L516" s="77">
        <f t="shared" si="74"/>
        <v>1150</v>
      </c>
      <c r="M516" s="87">
        <v>600</v>
      </c>
      <c r="N516" s="77">
        <f>100</f>
        <v>100</v>
      </c>
      <c r="O516" s="80">
        <v>240</v>
      </c>
      <c r="P516" s="80">
        <v>40</v>
      </c>
      <c r="Q516" s="80">
        <f t="shared" si="75"/>
        <v>315</v>
      </c>
      <c r="R516" s="80">
        <f t="shared" si="76"/>
        <v>100</v>
      </c>
      <c r="S516" s="77">
        <f t="shared" si="77"/>
        <v>695</v>
      </c>
      <c r="T516" s="77">
        <f>50</f>
        <v>50</v>
      </c>
      <c r="U516" s="78"/>
      <c r="V516" s="78"/>
      <c r="W516" s="78"/>
      <c r="X516" s="78"/>
      <c r="Y516" s="78"/>
      <c r="Z516" s="78"/>
      <c r="AA516" s="78"/>
      <c r="AB516" s="78"/>
      <c r="AC516" s="78"/>
      <c r="AD516" s="78"/>
    </row>
    <row r="517" spans="1:30" ht="15.75" x14ac:dyDescent="0.25">
      <c r="A517" s="13">
        <v>57038</v>
      </c>
      <c r="B517" s="88">
        <v>29</v>
      </c>
      <c r="C517" s="77">
        <f>122.58</f>
        <v>122.58</v>
      </c>
      <c r="D517" s="77">
        <f>297.941</f>
        <v>297.94099999999997</v>
      </c>
      <c r="E517" s="85">
        <f>89.177</f>
        <v>89.177000000000007</v>
      </c>
      <c r="F517" s="77">
        <f>240.302-40-60-100</f>
        <v>40.301999999999992</v>
      </c>
      <c r="G517" s="80">
        <v>40</v>
      </c>
      <c r="H517" s="77">
        <f>60+100</f>
        <v>160</v>
      </c>
      <c r="I517" s="77">
        <f t="shared" si="80"/>
        <v>0</v>
      </c>
      <c r="J517" s="80">
        <v>100</v>
      </c>
      <c r="K517" s="80">
        <v>300</v>
      </c>
      <c r="L517" s="77">
        <f t="shared" si="74"/>
        <v>1150</v>
      </c>
      <c r="M517" s="87">
        <v>600</v>
      </c>
      <c r="N517" s="77">
        <f>100</f>
        <v>100</v>
      </c>
      <c r="O517" s="80">
        <v>240</v>
      </c>
      <c r="P517" s="80">
        <v>40</v>
      </c>
      <c r="Q517" s="80">
        <f t="shared" si="75"/>
        <v>315</v>
      </c>
      <c r="R517" s="80">
        <f t="shared" si="76"/>
        <v>100</v>
      </c>
      <c r="S517" s="77">
        <f t="shared" si="77"/>
        <v>695</v>
      </c>
      <c r="T517" s="77">
        <f>50</f>
        <v>50</v>
      </c>
      <c r="U517" s="78"/>
      <c r="V517" s="78"/>
      <c r="W517" s="78"/>
      <c r="X517" s="78"/>
      <c r="Y517" s="78"/>
      <c r="Z517" s="78"/>
      <c r="AA517" s="78"/>
      <c r="AB517" s="78"/>
      <c r="AC517" s="78"/>
      <c r="AD517" s="78"/>
    </row>
    <row r="518" spans="1:30" ht="15.75" x14ac:dyDescent="0.25">
      <c r="A518" s="13">
        <v>57070</v>
      </c>
      <c r="B518" s="88">
        <v>31</v>
      </c>
      <c r="C518" s="77">
        <f>122.58</f>
        <v>122.58</v>
      </c>
      <c r="D518" s="77">
        <f>297.941</f>
        <v>297.94099999999997</v>
      </c>
      <c r="E518" s="85">
        <f>89.177</f>
        <v>89.177000000000007</v>
      </c>
      <c r="F518" s="77">
        <f>240.302-40-60-100</f>
        <v>40.301999999999992</v>
      </c>
      <c r="G518" s="80">
        <v>40</v>
      </c>
      <c r="H518" s="77">
        <f>60+100</f>
        <v>160</v>
      </c>
      <c r="I518" s="77">
        <f t="shared" si="80"/>
        <v>0</v>
      </c>
      <c r="J518" s="80">
        <v>100</v>
      </c>
      <c r="K518" s="80">
        <v>300</v>
      </c>
      <c r="L518" s="77">
        <f t="shared" si="74"/>
        <v>1150</v>
      </c>
      <c r="M518" s="87">
        <v>600</v>
      </c>
      <c r="N518" s="77">
        <f>100</f>
        <v>100</v>
      </c>
      <c r="O518" s="80">
        <v>240</v>
      </c>
      <c r="P518" s="80">
        <v>40</v>
      </c>
      <c r="Q518" s="80">
        <f t="shared" si="75"/>
        <v>315</v>
      </c>
      <c r="R518" s="80">
        <f t="shared" si="76"/>
        <v>100</v>
      </c>
      <c r="S518" s="77">
        <f t="shared" si="77"/>
        <v>695</v>
      </c>
      <c r="T518" s="77">
        <f>50</f>
        <v>50</v>
      </c>
      <c r="U518" s="78"/>
      <c r="V518" s="78"/>
      <c r="W518" s="78"/>
      <c r="X518" s="78"/>
      <c r="Y518" s="78"/>
      <c r="Z518" s="78"/>
      <c r="AA518" s="78"/>
      <c r="AB518" s="78"/>
      <c r="AC518" s="78"/>
      <c r="AD518" s="78"/>
    </row>
    <row r="519" spans="1:30" ht="15.75" x14ac:dyDescent="0.25">
      <c r="A519" s="13">
        <v>57100</v>
      </c>
      <c r="B519" s="88">
        <v>30</v>
      </c>
      <c r="C519" s="77">
        <f>141.293</f>
        <v>141.29300000000001</v>
      </c>
      <c r="D519" s="77">
        <f>267.993</f>
        <v>267.99299999999999</v>
      </c>
      <c r="E519" s="85">
        <f>115.016</f>
        <v>115.01600000000001</v>
      </c>
      <c r="F519" s="77">
        <f>314.698-40-25-60-100</f>
        <v>89.697999999999979</v>
      </c>
      <c r="G519" s="80">
        <v>40</v>
      </c>
      <c r="H519" s="77">
        <f t="shared" ref="H519:H525" si="83">25+60+100</f>
        <v>185</v>
      </c>
      <c r="I519" s="77">
        <f t="shared" si="80"/>
        <v>0</v>
      </c>
      <c r="J519" s="80">
        <v>100</v>
      </c>
      <c r="K519" s="80">
        <v>300</v>
      </c>
      <c r="L519" s="77">
        <f t="shared" si="74"/>
        <v>1239</v>
      </c>
      <c r="M519" s="87">
        <v>600</v>
      </c>
      <c r="N519" s="77">
        <f>100</f>
        <v>100</v>
      </c>
      <c r="O519" s="80">
        <v>240</v>
      </c>
      <c r="P519" s="80">
        <v>160</v>
      </c>
      <c r="Q519" s="80">
        <f t="shared" si="75"/>
        <v>195</v>
      </c>
      <c r="R519" s="80">
        <f t="shared" si="76"/>
        <v>100</v>
      </c>
      <c r="S519" s="77">
        <f t="shared" si="77"/>
        <v>695</v>
      </c>
      <c r="T519" s="77">
        <f>50</f>
        <v>50</v>
      </c>
      <c r="U519" s="78"/>
      <c r="V519" s="78"/>
      <c r="W519" s="78"/>
      <c r="X519" s="78"/>
      <c r="Y519" s="78"/>
      <c r="Z519" s="78"/>
      <c r="AA519" s="78"/>
      <c r="AB519" s="78"/>
      <c r="AC519" s="78"/>
      <c r="AD519" s="78"/>
    </row>
    <row r="520" spans="1:30" ht="15.75" x14ac:dyDescent="0.25">
      <c r="A520" s="13">
        <v>57131</v>
      </c>
      <c r="B520" s="88">
        <v>31</v>
      </c>
      <c r="C520" s="77">
        <f>194.205</f>
        <v>194.20500000000001</v>
      </c>
      <c r="D520" s="77">
        <f>267.466</f>
        <v>267.46600000000001</v>
      </c>
      <c r="E520" s="85">
        <f>133.845</f>
        <v>133.845</v>
      </c>
      <c r="F520" s="77">
        <f>278.484-40-25-60-100</f>
        <v>53.48399999999998</v>
      </c>
      <c r="G520" s="80">
        <v>40</v>
      </c>
      <c r="H520" s="77">
        <f t="shared" si="83"/>
        <v>185</v>
      </c>
      <c r="I520" s="77">
        <f t="shared" si="80"/>
        <v>0</v>
      </c>
      <c r="J520" s="80">
        <v>100</v>
      </c>
      <c r="K520" s="80">
        <v>300</v>
      </c>
      <c r="L520" s="77">
        <f t="shared" si="74"/>
        <v>1274</v>
      </c>
      <c r="M520" s="87">
        <v>600</v>
      </c>
      <c r="N520" s="77">
        <f>75</f>
        <v>75</v>
      </c>
      <c r="O520" s="80">
        <v>240</v>
      </c>
      <c r="P520" s="80">
        <v>160</v>
      </c>
      <c r="Q520" s="80">
        <f t="shared" si="75"/>
        <v>195</v>
      </c>
      <c r="R520" s="80">
        <f t="shared" si="76"/>
        <v>100</v>
      </c>
      <c r="S520" s="77">
        <f t="shared" si="77"/>
        <v>695</v>
      </c>
      <c r="T520" s="77">
        <f>50</f>
        <v>50</v>
      </c>
      <c r="U520" s="78"/>
      <c r="V520" s="78"/>
      <c r="W520" s="78"/>
      <c r="X520" s="78"/>
      <c r="Y520" s="78"/>
      <c r="Z520" s="78"/>
      <c r="AA520" s="78"/>
      <c r="AB520" s="78"/>
      <c r="AC520" s="78"/>
      <c r="AD520" s="78"/>
    </row>
    <row r="521" spans="1:30" ht="15.75" x14ac:dyDescent="0.25">
      <c r="A521" s="13">
        <v>57161</v>
      </c>
      <c r="B521" s="88">
        <v>30</v>
      </c>
      <c r="C521" s="77">
        <f>194.205</f>
        <v>194.20500000000001</v>
      </c>
      <c r="D521" s="77">
        <f>267.466</f>
        <v>267.46600000000001</v>
      </c>
      <c r="E521" s="85">
        <f>133.845</f>
        <v>133.845</v>
      </c>
      <c r="F521" s="77">
        <f>278.484-40-25-60-100</f>
        <v>53.48399999999998</v>
      </c>
      <c r="G521" s="80">
        <v>40</v>
      </c>
      <c r="H521" s="77">
        <f t="shared" si="83"/>
        <v>185</v>
      </c>
      <c r="I521" s="77">
        <f t="shared" si="80"/>
        <v>0</v>
      </c>
      <c r="J521" s="80">
        <v>100</v>
      </c>
      <c r="K521" s="80">
        <v>300</v>
      </c>
      <c r="L521" s="77">
        <f t="shared" si="74"/>
        <v>1274</v>
      </c>
      <c r="M521" s="87">
        <v>600</v>
      </c>
      <c r="N521" s="77">
        <f>30</f>
        <v>30</v>
      </c>
      <c r="O521" s="80">
        <v>240</v>
      </c>
      <c r="P521" s="80">
        <v>160</v>
      </c>
      <c r="Q521" s="80">
        <f t="shared" si="75"/>
        <v>195</v>
      </c>
      <c r="R521" s="80">
        <f t="shared" si="76"/>
        <v>100</v>
      </c>
      <c r="S521" s="77">
        <f t="shared" si="77"/>
        <v>695</v>
      </c>
      <c r="T521" s="77">
        <f>50</f>
        <v>50</v>
      </c>
      <c r="U521" s="78"/>
      <c r="V521" s="78"/>
      <c r="W521" s="78"/>
      <c r="X521" s="78"/>
      <c r="Y521" s="78"/>
      <c r="Z521" s="78"/>
      <c r="AA521" s="78"/>
      <c r="AB521" s="78"/>
      <c r="AC521" s="78"/>
      <c r="AD521" s="78"/>
    </row>
    <row r="522" spans="1:30" ht="15.75" x14ac:dyDescent="0.25">
      <c r="A522" s="13">
        <v>57192</v>
      </c>
      <c r="B522" s="88">
        <v>31</v>
      </c>
      <c r="C522" s="77">
        <f>194.205</f>
        <v>194.20500000000001</v>
      </c>
      <c r="D522" s="77">
        <f>267.466</f>
        <v>267.46600000000001</v>
      </c>
      <c r="E522" s="85">
        <f>133.845</f>
        <v>133.845</v>
      </c>
      <c r="F522" s="77">
        <f>278.484-40-25-60-100</f>
        <v>53.48399999999998</v>
      </c>
      <c r="G522" s="80">
        <v>40</v>
      </c>
      <c r="H522" s="77">
        <f t="shared" si="83"/>
        <v>185</v>
      </c>
      <c r="I522" s="77">
        <f t="shared" si="80"/>
        <v>0</v>
      </c>
      <c r="J522" s="80">
        <v>100</v>
      </c>
      <c r="K522" s="80">
        <v>300</v>
      </c>
      <c r="L522" s="77">
        <f t="shared" si="74"/>
        <v>1274</v>
      </c>
      <c r="M522" s="87">
        <v>600</v>
      </c>
      <c r="N522" s="77">
        <f>30</f>
        <v>30</v>
      </c>
      <c r="O522" s="80">
        <v>240</v>
      </c>
      <c r="P522" s="80">
        <v>160</v>
      </c>
      <c r="Q522" s="80">
        <f t="shared" si="75"/>
        <v>195</v>
      </c>
      <c r="R522" s="80">
        <f t="shared" si="76"/>
        <v>100</v>
      </c>
      <c r="S522" s="77">
        <f t="shared" si="77"/>
        <v>695</v>
      </c>
      <c r="T522" s="77">
        <f>0</f>
        <v>0</v>
      </c>
      <c r="U522" s="78"/>
      <c r="V522" s="78"/>
      <c r="W522" s="78"/>
      <c r="X522" s="78"/>
      <c r="Y522" s="78"/>
      <c r="Z522" s="78"/>
      <c r="AA522" s="78"/>
      <c r="AB522" s="78"/>
      <c r="AC522" s="78"/>
      <c r="AD522" s="78"/>
    </row>
    <row r="523" spans="1:30" ht="15.75" x14ac:dyDescent="0.25">
      <c r="A523" s="13">
        <v>57223</v>
      </c>
      <c r="B523" s="88">
        <v>31</v>
      </c>
      <c r="C523" s="77">
        <f>194.205</f>
        <v>194.20500000000001</v>
      </c>
      <c r="D523" s="77">
        <f>267.466</f>
        <v>267.46600000000001</v>
      </c>
      <c r="E523" s="85">
        <f>133.845</f>
        <v>133.845</v>
      </c>
      <c r="F523" s="77">
        <f>278.484-40-25-60-100</f>
        <v>53.48399999999998</v>
      </c>
      <c r="G523" s="80">
        <v>40</v>
      </c>
      <c r="H523" s="77">
        <f t="shared" si="83"/>
        <v>185</v>
      </c>
      <c r="I523" s="77">
        <f t="shared" si="80"/>
        <v>0</v>
      </c>
      <c r="J523" s="80">
        <v>100</v>
      </c>
      <c r="K523" s="80">
        <v>300</v>
      </c>
      <c r="L523" s="77">
        <f t="shared" si="74"/>
        <v>1274</v>
      </c>
      <c r="M523" s="87">
        <v>600</v>
      </c>
      <c r="N523" s="77">
        <f>30</f>
        <v>30</v>
      </c>
      <c r="O523" s="80">
        <v>240</v>
      </c>
      <c r="P523" s="80">
        <v>160</v>
      </c>
      <c r="Q523" s="80">
        <f t="shared" si="75"/>
        <v>195</v>
      </c>
      <c r="R523" s="80">
        <f t="shared" si="76"/>
        <v>100</v>
      </c>
      <c r="S523" s="77">
        <f t="shared" si="77"/>
        <v>695</v>
      </c>
      <c r="T523" s="77">
        <f>0</f>
        <v>0</v>
      </c>
      <c r="U523" s="78"/>
      <c r="V523" s="78"/>
      <c r="W523" s="78"/>
      <c r="X523" s="78"/>
      <c r="Y523" s="78"/>
      <c r="Z523" s="78"/>
      <c r="AA523" s="78"/>
      <c r="AB523" s="78"/>
      <c r="AC523" s="78"/>
      <c r="AD523" s="78"/>
    </row>
    <row r="524" spans="1:30" ht="15.75" x14ac:dyDescent="0.25">
      <c r="A524" s="13">
        <v>57253</v>
      </c>
      <c r="B524" s="88">
        <v>30</v>
      </c>
      <c r="C524" s="77">
        <f>194.205</f>
        <v>194.20500000000001</v>
      </c>
      <c r="D524" s="77">
        <f>267.466</f>
        <v>267.46600000000001</v>
      </c>
      <c r="E524" s="85">
        <f>133.845</f>
        <v>133.845</v>
      </c>
      <c r="F524" s="77">
        <f>278.484-40-25-60-100</f>
        <v>53.48399999999998</v>
      </c>
      <c r="G524" s="80">
        <v>40</v>
      </c>
      <c r="H524" s="77">
        <f t="shared" si="83"/>
        <v>185</v>
      </c>
      <c r="I524" s="77">
        <f t="shared" si="80"/>
        <v>0</v>
      </c>
      <c r="J524" s="80">
        <v>100</v>
      </c>
      <c r="K524" s="80">
        <v>300</v>
      </c>
      <c r="L524" s="77">
        <f t="shared" si="74"/>
        <v>1274</v>
      </c>
      <c r="M524" s="87">
        <v>600</v>
      </c>
      <c r="N524" s="77">
        <f>30</f>
        <v>30</v>
      </c>
      <c r="O524" s="80">
        <v>240</v>
      </c>
      <c r="P524" s="80">
        <v>160</v>
      </c>
      <c r="Q524" s="80">
        <f t="shared" si="75"/>
        <v>195</v>
      </c>
      <c r="R524" s="80">
        <f t="shared" si="76"/>
        <v>100</v>
      </c>
      <c r="S524" s="77">
        <f t="shared" si="77"/>
        <v>695</v>
      </c>
      <c r="T524" s="77">
        <f>0</f>
        <v>0</v>
      </c>
      <c r="U524" s="78"/>
      <c r="V524" s="78"/>
      <c r="W524" s="78"/>
      <c r="X524" s="78"/>
      <c r="Y524" s="78"/>
      <c r="Z524" s="78"/>
      <c r="AA524" s="78"/>
      <c r="AB524" s="78"/>
      <c r="AC524" s="78"/>
      <c r="AD524" s="78"/>
    </row>
    <row r="525" spans="1:30" ht="15.75" x14ac:dyDescent="0.25">
      <c r="A525" s="13">
        <v>57284</v>
      </c>
      <c r="B525" s="88">
        <v>31</v>
      </c>
      <c r="C525" s="77">
        <f>131.881</f>
        <v>131.881</v>
      </c>
      <c r="D525" s="77">
        <f>277.167</f>
        <v>277.16699999999997</v>
      </c>
      <c r="E525" s="85">
        <f>79.08</f>
        <v>79.08</v>
      </c>
      <c r="F525" s="77">
        <f>350.872-40-25-60-100</f>
        <v>125.87200000000001</v>
      </c>
      <c r="G525" s="80">
        <v>40</v>
      </c>
      <c r="H525" s="77">
        <f t="shared" si="83"/>
        <v>185</v>
      </c>
      <c r="I525" s="77">
        <f t="shared" si="80"/>
        <v>0</v>
      </c>
      <c r="J525" s="80">
        <v>100</v>
      </c>
      <c r="K525" s="80">
        <v>300</v>
      </c>
      <c r="L525" s="77">
        <f t="shared" si="74"/>
        <v>1239</v>
      </c>
      <c r="M525" s="87">
        <v>600</v>
      </c>
      <c r="N525" s="77">
        <f>75</f>
        <v>75</v>
      </c>
      <c r="O525" s="80">
        <v>240</v>
      </c>
      <c r="P525" s="80">
        <v>160</v>
      </c>
      <c r="Q525" s="80">
        <f t="shared" si="75"/>
        <v>195</v>
      </c>
      <c r="R525" s="80">
        <f t="shared" si="76"/>
        <v>100</v>
      </c>
      <c r="S525" s="77">
        <f t="shared" si="77"/>
        <v>695</v>
      </c>
      <c r="T525" s="77">
        <f>0</f>
        <v>0</v>
      </c>
      <c r="U525" s="78"/>
      <c r="V525" s="78"/>
      <c r="W525" s="78"/>
      <c r="X525" s="78"/>
      <c r="Y525" s="78"/>
      <c r="Z525" s="78"/>
      <c r="AA525" s="78"/>
      <c r="AB525" s="78"/>
      <c r="AC525" s="78"/>
      <c r="AD525" s="78"/>
    </row>
    <row r="526" spans="1:30" ht="15.75" x14ac:dyDescent="0.25">
      <c r="A526" s="13">
        <v>57314</v>
      </c>
      <c r="B526" s="88">
        <v>30</v>
      </c>
      <c r="C526" s="77">
        <f>122.58</f>
        <v>122.58</v>
      </c>
      <c r="D526" s="77">
        <f>297.941</f>
        <v>297.94099999999997</v>
      </c>
      <c r="E526" s="85">
        <f>89.177</f>
        <v>89.177000000000007</v>
      </c>
      <c r="F526" s="77">
        <f>240.302-40-60-100</f>
        <v>40.301999999999992</v>
      </c>
      <c r="G526" s="80">
        <v>40</v>
      </c>
      <c r="H526" s="77">
        <f>60+100</f>
        <v>160</v>
      </c>
      <c r="I526" s="77">
        <f t="shared" si="80"/>
        <v>0</v>
      </c>
      <c r="J526" s="80">
        <v>100</v>
      </c>
      <c r="K526" s="80">
        <v>300</v>
      </c>
      <c r="L526" s="77">
        <f t="shared" ref="L526:L589" si="84">SUM(C526:K526)</f>
        <v>1150</v>
      </c>
      <c r="M526" s="87">
        <v>600</v>
      </c>
      <c r="N526" s="77">
        <f>100</f>
        <v>100</v>
      </c>
      <c r="O526" s="80">
        <v>240</v>
      </c>
      <c r="P526" s="80">
        <v>40</v>
      </c>
      <c r="Q526" s="80">
        <f t="shared" ref="Q526:Q589" si="85">695-R526-O526-P526</f>
        <v>315</v>
      </c>
      <c r="R526" s="80">
        <f t="shared" ref="R526:R589" si="86">200-J526</f>
        <v>100</v>
      </c>
      <c r="S526" s="77">
        <f t="shared" ref="S526:S589" si="87">SUM(O526:R526)</f>
        <v>695</v>
      </c>
      <c r="T526" s="77">
        <f>50</f>
        <v>50</v>
      </c>
      <c r="U526" s="78"/>
      <c r="V526" s="78"/>
      <c r="W526" s="78"/>
      <c r="X526" s="78"/>
      <c r="Y526" s="78"/>
      <c r="Z526" s="78"/>
      <c r="AA526" s="78"/>
      <c r="AB526" s="78"/>
      <c r="AC526" s="78"/>
      <c r="AD526" s="78"/>
    </row>
    <row r="527" spans="1:30" ht="15.75" x14ac:dyDescent="0.25">
      <c r="A527" s="13">
        <v>57345</v>
      </c>
      <c r="B527" s="88">
        <v>31</v>
      </c>
      <c r="C527" s="77">
        <f>122.58</f>
        <v>122.58</v>
      </c>
      <c r="D527" s="77">
        <f>297.941</f>
        <v>297.94099999999997</v>
      </c>
      <c r="E527" s="85">
        <f>89.177</f>
        <v>89.177000000000007</v>
      </c>
      <c r="F527" s="77">
        <f>240.302-40-60-100</f>
        <v>40.301999999999992</v>
      </c>
      <c r="G527" s="80">
        <v>40</v>
      </c>
      <c r="H527" s="77">
        <f>60+100</f>
        <v>160</v>
      </c>
      <c r="I527" s="77">
        <f t="shared" si="80"/>
        <v>0</v>
      </c>
      <c r="J527" s="80">
        <v>100</v>
      </c>
      <c r="K527" s="80">
        <v>300</v>
      </c>
      <c r="L527" s="77">
        <f t="shared" si="84"/>
        <v>1150</v>
      </c>
      <c r="M527" s="87">
        <v>600</v>
      </c>
      <c r="N527" s="77">
        <f>100</f>
        <v>100</v>
      </c>
      <c r="O527" s="80">
        <v>240</v>
      </c>
      <c r="P527" s="80">
        <v>40</v>
      </c>
      <c r="Q527" s="80">
        <f t="shared" si="85"/>
        <v>315</v>
      </c>
      <c r="R527" s="80">
        <f t="shared" si="86"/>
        <v>100</v>
      </c>
      <c r="S527" s="77">
        <f t="shared" si="87"/>
        <v>695</v>
      </c>
      <c r="T527" s="77">
        <f>50</f>
        <v>50</v>
      </c>
      <c r="U527" s="78"/>
      <c r="V527" s="78"/>
      <c r="W527" s="78"/>
      <c r="X527" s="78"/>
      <c r="Y527" s="78"/>
      <c r="Z527" s="78"/>
      <c r="AA527" s="78"/>
      <c r="AB527" s="78"/>
      <c r="AC527" s="78"/>
      <c r="AD527" s="78"/>
    </row>
    <row r="528" spans="1:30" ht="15.75" x14ac:dyDescent="0.25">
      <c r="A528" s="13">
        <v>57376</v>
      </c>
      <c r="B528" s="88">
        <v>31</v>
      </c>
      <c r="C528" s="77">
        <f>122.58</f>
        <v>122.58</v>
      </c>
      <c r="D528" s="77">
        <f>297.941</f>
        <v>297.94099999999997</v>
      </c>
      <c r="E528" s="85">
        <f>89.177</f>
        <v>89.177000000000007</v>
      </c>
      <c r="F528" s="77">
        <f>240.302-40-60-100</f>
        <v>40.301999999999992</v>
      </c>
      <c r="G528" s="80">
        <v>40</v>
      </c>
      <c r="H528" s="77">
        <f>60+100</f>
        <v>160</v>
      </c>
      <c r="I528" s="77">
        <f t="shared" si="80"/>
        <v>0</v>
      </c>
      <c r="J528" s="80">
        <v>100</v>
      </c>
      <c r="K528" s="80">
        <v>300</v>
      </c>
      <c r="L528" s="77">
        <f t="shared" si="84"/>
        <v>1150</v>
      </c>
      <c r="M528" s="87">
        <v>600</v>
      </c>
      <c r="N528" s="77">
        <f>100</f>
        <v>100</v>
      </c>
      <c r="O528" s="80">
        <v>240</v>
      </c>
      <c r="P528" s="80">
        <v>40</v>
      </c>
      <c r="Q528" s="80">
        <f t="shared" si="85"/>
        <v>315</v>
      </c>
      <c r="R528" s="80">
        <f t="shared" si="86"/>
        <v>100</v>
      </c>
      <c r="S528" s="77">
        <f t="shared" si="87"/>
        <v>695</v>
      </c>
      <c r="T528" s="77">
        <f>50</f>
        <v>50</v>
      </c>
      <c r="U528" s="78"/>
      <c r="V528" s="78"/>
      <c r="W528" s="78"/>
      <c r="X528" s="78"/>
      <c r="Y528" s="78"/>
      <c r="Z528" s="78"/>
      <c r="AA528" s="78"/>
      <c r="AB528" s="78"/>
      <c r="AC528" s="78"/>
      <c r="AD528" s="78"/>
    </row>
    <row r="529" spans="1:30" ht="15.75" x14ac:dyDescent="0.25">
      <c r="A529" s="13">
        <v>57404</v>
      </c>
      <c r="B529" s="88">
        <v>28</v>
      </c>
      <c r="C529" s="77">
        <f>122.58</f>
        <v>122.58</v>
      </c>
      <c r="D529" s="77">
        <f>297.941</f>
        <v>297.94099999999997</v>
      </c>
      <c r="E529" s="85">
        <f>89.177</f>
        <v>89.177000000000007</v>
      </c>
      <c r="F529" s="77">
        <f>240.302-40-60-100</f>
        <v>40.301999999999992</v>
      </c>
      <c r="G529" s="80">
        <v>40</v>
      </c>
      <c r="H529" s="77">
        <f>60+100</f>
        <v>160</v>
      </c>
      <c r="I529" s="77">
        <f t="shared" si="80"/>
        <v>0</v>
      </c>
      <c r="J529" s="80">
        <v>100</v>
      </c>
      <c r="K529" s="80">
        <v>300</v>
      </c>
      <c r="L529" s="77">
        <f t="shared" si="84"/>
        <v>1150</v>
      </c>
      <c r="M529" s="87">
        <v>600</v>
      </c>
      <c r="N529" s="77">
        <f>100</f>
        <v>100</v>
      </c>
      <c r="O529" s="80">
        <v>240</v>
      </c>
      <c r="P529" s="80">
        <v>40</v>
      </c>
      <c r="Q529" s="80">
        <f t="shared" si="85"/>
        <v>315</v>
      </c>
      <c r="R529" s="80">
        <f t="shared" si="86"/>
        <v>100</v>
      </c>
      <c r="S529" s="77">
        <f t="shared" si="87"/>
        <v>695</v>
      </c>
      <c r="T529" s="77">
        <f>50</f>
        <v>50</v>
      </c>
      <c r="U529" s="78"/>
      <c r="V529" s="78"/>
      <c r="W529" s="78"/>
      <c r="X529" s="78"/>
      <c r="Y529" s="78"/>
      <c r="Z529" s="78"/>
      <c r="AA529" s="78"/>
      <c r="AB529" s="78"/>
      <c r="AC529" s="78"/>
      <c r="AD529" s="78"/>
    </row>
    <row r="530" spans="1:30" ht="15.75" x14ac:dyDescent="0.25">
      <c r="A530" s="13">
        <v>57435</v>
      </c>
      <c r="B530" s="88">
        <v>31</v>
      </c>
      <c r="C530" s="77">
        <f>122.58</f>
        <v>122.58</v>
      </c>
      <c r="D530" s="77">
        <f>297.941</f>
        <v>297.94099999999997</v>
      </c>
      <c r="E530" s="85">
        <f>89.177</f>
        <v>89.177000000000007</v>
      </c>
      <c r="F530" s="77">
        <f>240.302-40-60-100</f>
        <v>40.301999999999992</v>
      </c>
      <c r="G530" s="80">
        <v>40</v>
      </c>
      <c r="H530" s="77">
        <f>60+100</f>
        <v>160</v>
      </c>
      <c r="I530" s="77">
        <f t="shared" si="80"/>
        <v>0</v>
      </c>
      <c r="J530" s="80">
        <v>100</v>
      </c>
      <c r="K530" s="80">
        <v>300</v>
      </c>
      <c r="L530" s="77">
        <f t="shared" si="84"/>
        <v>1150</v>
      </c>
      <c r="M530" s="87">
        <v>600</v>
      </c>
      <c r="N530" s="77">
        <f>100</f>
        <v>100</v>
      </c>
      <c r="O530" s="80">
        <v>240</v>
      </c>
      <c r="P530" s="80">
        <v>40</v>
      </c>
      <c r="Q530" s="80">
        <f t="shared" si="85"/>
        <v>315</v>
      </c>
      <c r="R530" s="80">
        <f t="shared" si="86"/>
        <v>100</v>
      </c>
      <c r="S530" s="77">
        <f t="shared" si="87"/>
        <v>695</v>
      </c>
      <c r="T530" s="77">
        <f>50</f>
        <v>50</v>
      </c>
      <c r="U530" s="78"/>
      <c r="V530" s="78"/>
      <c r="W530" s="78"/>
      <c r="X530" s="78"/>
      <c r="Y530" s="78"/>
      <c r="Z530" s="78"/>
      <c r="AA530" s="78"/>
      <c r="AB530" s="78"/>
      <c r="AC530" s="78"/>
      <c r="AD530" s="78"/>
    </row>
    <row r="531" spans="1:30" ht="15.75" x14ac:dyDescent="0.25">
      <c r="A531" s="13">
        <v>57465</v>
      </c>
      <c r="B531" s="88">
        <v>30</v>
      </c>
      <c r="C531" s="77">
        <f>141.293</f>
        <v>141.29300000000001</v>
      </c>
      <c r="D531" s="77">
        <f>267.993</f>
        <v>267.99299999999999</v>
      </c>
      <c r="E531" s="85">
        <f>115.016</f>
        <v>115.01600000000001</v>
      </c>
      <c r="F531" s="77">
        <f>314.698-40-25-60-100</f>
        <v>89.697999999999979</v>
      </c>
      <c r="G531" s="80">
        <v>40</v>
      </c>
      <c r="H531" s="77">
        <f t="shared" ref="H531:H537" si="88">25+60+100</f>
        <v>185</v>
      </c>
      <c r="I531" s="77">
        <f t="shared" si="80"/>
        <v>0</v>
      </c>
      <c r="J531" s="80">
        <v>100</v>
      </c>
      <c r="K531" s="80">
        <v>300</v>
      </c>
      <c r="L531" s="77">
        <f t="shared" si="84"/>
        <v>1239</v>
      </c>
      <c r="M531" s="87">
        <v>600</v>
      </c>
      <c r="N531" s="77">
        <f>100</f>
        <v>100</v>
      </c>
      <c r="O531" s="80">
        <v>240</v>
      </c>
      <c r="P531" s="80">
        <v>160</v>
      </c>
      <c r="Q531" s="80">
        <f t="shared" si="85"/>
        <v>195</v>
      </c>
      <c r="R531" s="80">
        <f t="shared" si="86"/>
        <v>100</v>
      </c>
      <c r="S531" s="77">
        <f t="shared" si="87"/>
        <v>695</v>
      </c>
      <c r="T531" s="77">
        <f>50</f>
        <v>50</v>
      </c>
      <c r="U531" s="78"/>
      <c r="V531" s="78"/>
      <c r="W531" s="78"/>
      <c r="X531" s="78"/>
      <c r="Y531" s="78"/>
      <c r="Z531" s="78"/>
      <c r="AA531" s="78"/>
      <c r="AB531" s="78"/>
      <c r="AC531" s="78"/>
      <c r="AD531" s="78"/>
    </row>
    <row r="532" spans="1:30" ht="15.75" x14ac:dyDescent="0.25">
      <c r="A532" s="13">
        <v>57496</v>
      </c>
      <c r="B532" s="88">
        <v>31</v>
      </c>
      <c r="C532" s="77">
        <f>194.205</f>
        <v>194.20500000000001</v>
      </c>
      <c r="D532" s="77">
        <f>267.466</f>
        <v>267.46600000000001</v>
      </c>
      <c r="E532" s="85">
        <f>133.845</f>
        <v>133.845</v>
      </c>
      <c r="F532" s="77">
        <f>278.484-40-25-60-100</f>
        <v>53.48399999999998</v>
      </c>
      <c r="G532" s="80">
        <v>40</v>
      </c>
      <c r="H532" s="77">
        <f t="shared" si="88"/>
        <v>185</v>
      </c>
      <c r="I532" s="77">
        <f t="shared" si="80"/>
        <v>0</v>
      </c>
      <c r="J532" s="80">
        <v>100</v>
      </c>
      <c r="K532" s="80">
        <v>300</v>
      </c>
      <c r="L532" s="77">
        <f t="shared" si="84"/>
        <v>1274</v>
      </c>
      <c r="M532" s="87">
        <v>600</v>
      </c>
      <c r="N532" s="77">
        <f>75</f>
        <v>75</v>
      </c>
      <c r="O532" s="80">
        <v>240</v>
      </c>
      <c r="P532" s="80">
        <v>160</v>
      </c>
      <c r="Q532" s="80">
        <f t="shared" si="85"/>
        <v>195</v>
      </c>
      <c r="R532" s="80">
        <f t="shared" si="86"/>
        <v>100</v>
      </c>
      <c r="S532" s="77">
        <f t="shared" si="87"/>
        <v>695</v>
      </c>
      <c r="T532" s="77">
        <f>50</f>
        <v>50</v>
      </c>
      <c r="U532" s="78"/>
      <c r="V532" s="78"/>
      <c r="W532" s="78"/>
      <c r="X532" s="78"/>
      <c r="Y532" s="78"/>
      <c r="Z532" s="78"/>
      <c r="AA532" s="78"/>
      <c r="AB532" s="78"/>
      <c r="AC532" s="78"/>
      <c r="AD532" s="78"/>
    </row>
    <row r="533" spans="1:30" ht="15.75" x14ac:dyDescent="0.25">
      <c r="A533" s="13">
        <v>57526</v>
      </c>
      <c r="B533" s="88">
        <v>30</v>
      </c>
      <c r="C533" s="77">
        <f>194.205</f>
        <v>194.20500000000001</v>
      </c>
      <c r="D533" s="77">
        <f>267.466</f>
        <v>267.46600000000001</v>
      </c>
      <c r="E533" s="85">
        <f>133.845</f>
        <v>133.845</v>
      </c>
      <c r="F533" s="77">
        <f>278.484-40-25-60-100</f>
        <v>53.48399999999998</v>
      </c>
      <c r="G533" s="80">
        <v>40</v>
      </c>
      <c r="H533" s="77">
        <f t="shared" si="88"/>
        <v>185</v>
      </c>
      <c r="I533" s="77">
        <f t="shared" si="80"/>
        <v>0</v>
      </c>
      <c r="J533" s="80">
        <v>100</v>
      </c>
      <c r="K533" s="80">
        <v>300</v>
      </c>
      <c r="L533" s="77">
        <f t="shared" si="84"/>
        <v>1274</v>
      </c>
      <c r="M533" s="87">
        <v>600</v>
      </c>
      <c r="N533" s="77">
        <f>30</f>
        <v>30</v>
      </c>
      <c r="O533" s="80">
        <v>240</v>
      </c>
      <c r="P533" s="80">
        <v>160</v>
      </c>
      <c r="Q533" s="80">
        <f t="shared" si="85"/>
        <v>195</v>
      </c>
      <c r="R533" s="80">
        <f t="shared" si="86"/>
        <v>100</v>
      </c>
      <c r="S533" s="77">
        <f t="shared" si="87"/>
        <v>695</v>
      </c>
      <c r="T533" s="77">
        <f>50</f>
        <v>50</v>
      </c>
      <c r="U533" s="78"/>
      <c r="V533" s="78"/>
      <c r="W533" s="78"/>
      <c r="X533" s="78"/>
      <c r="Y533" s="78"/>
      <c r="Z533" s="78"/>
      <c r="AA533" s="78"/>
      <c r="AB533" s="78"/>
      <c r="AC533" s="78"/>
      <c r="AD533" s="78"/>
    </row>
    <row r="534" spans="1:30" ht="15.75" x14ac:dyDescent="0.25">
      <c r="A534" s="13">
        <v>57557</v>
      </c>
      <c r="B534" s="88">
        <v>31</v>
      </c>
      <c r="C534" s="77">
        <f>194.205</f>
        <v>194.20500000000001</v>
      </c>
      <c r="D534" s="77">
        <f>267.466</f>
        <v>267.46600000000001</v>
      </c>
      <c r="E534" s="85">
        <f>133.845</f>
        <v>133.845</v>
      </c>
      <c r="F534" s="77">
        <f>278.484-40-25-60-100</f>
        <v>53.48399999999998</v>
      </c>
      <c r="G534" s="80">
        <v>40</v>
      </c>
      <c r="H534" s="77">
        <f t="shared" si="88"/>
        <v>185</v>
      </c>
      <c r="I534" s="77">
        <f t="shared" si="80"/>
        <v>0</v>
      </c>
      <c r="J534" s="80">
        <v>100</v>
      </c>
      <c r="K534" s="80">
        <v>300</v>
      </c>
      <c r="L534" s="77">
        <f t="shared" si="84"/>
        <v>1274</v>
      </c>
      <c r="M534" s="87">
        <v>600</v>
      </c>
      <c r="N534" s="77">
        <f>30</f>
        <v>30</v>
      </c>
      <c r="O534" s="80">
        <v>240</v>
      </c>
      <c r="P534" s="80">
        <v>160</v>
      </c>
      <c r="Q534" s="80">
        <f t="shared" si="85"/>
        <v>195</v>
      </c>
      <c r="R534" s="80">
        <f t="shared" si="86"/>
        <v>100</v>
      </c>
      <c r="S534" s="77">
        <f t="shared" si="87"/>
        <v>695</v>
      </c>
      <c r="T534" s="77">
        <f>0</f>
        <v>0</v>
      </c>
      <c r="U534" s="78"/>
      <c r="V534" s="78"/>
      <c r="W534" s="78"/>
      <c r="X534" s="78"/>
      <c r="Y534" s="78"/>
      <c r="Z534" s="78"/>
      <c r="AA534" s="78"/>
      <c r="AB534" s="78"/>
      <c r="AC534" s="78"/>
      <c r="AD534" s="78"/>
    </row>
    <row r="535" spans="1:30" ht="15.75" x14ac:dyDescent="0.25">
      <c r="A535" s="13">
        <v>57588</v>
      </c>
      <c r="B535" s="88">
        <v>31</v>
      </c>
      <c r="C535" s="77">
        <f>194.205</f>
        <v>194.20500000000001</v>
      </c>
      <c r="D535" s="77">
        <f>267.466</f>
        <v>267.46600000000001</v>
      </c>
      <c r="E535" s="85">
        <f>133.845</f>
        <v>133.845</v>
      </c>
      <c r="F535" s="77">
        <f>278.484-40-25-60-100</f>
        <v>53.48399999999998</v>
      </c>
      <c r="G535" s="80">
        <v>40</v>
      </c>
      <c r="H535" s="77">
        <f t="shared" si="88"/>
        <v>185</v>
      </c>
      <c r="I535" s="77">
        <f t="shared" si="80"/>
        <v>0</v>
      </c>
      <c r="J535" s="80">
        <v>100</v>
      </c>
      <c r="K535" s="80">
        <v>300</v>
      </c>
      <c r="L535" s="77">
        <f t="shared" si="84"/>
        <v>1274</v>
      </c>
      <c r="M535" s="87">
        <v>600</v>
      </c>
      <c r="N535" s="77">
        <f>30</f>
        <v>30</v>
      </c>
      <c r="O535" s="80">
        <v>240</v>
      </c>
      <c r="P535" s="80">
        <v>160</v>
      </c>
      <c r="Q535" s="80">
        <f t="shared" si="85"/>
        <v>195</v>
      </c>
      <c r="R535" s="80">
        <f t="shared" si="86"/>
        <v>100</v>
      </c>
      <c r="S535" s="77">
        <f t="shared" si="87"/>
        <v>695</v>
      </c>
      <c r="T535" s="77">
        <f>0</f>
        <v>0</v>
      </c>
      <c r="U535" s="78"/>
      <c r="V535" s="78"/>
      <c r="W535" s="78"/>
      <c r="X535" s="78"/>
      <c r="Y535" s="78"/>
      <c r="Z535" s="78"/>
      <c r="AA535" s="78"/>
      <c r="AB535" s="78"/>
      <c r="AC535" s="78"/>
      <c r="AD535" s="78"/>
    </row>
    <row r="536" spans="1:30" ht="15.75" x14ac:dyDescent="0.25">
      <c r="A536" s="13">
        <v>57618</v>
      </c>
      <c r="B536" s="88">
        <v>30</v>
      </c>
      <c r="C536" s="77">
        <f>194.205</f>
        <v>194.20500000000001</v>
      </c>
      <c r="D536" s="77">
        <f>267.466</f>
        <v>267.46600000000001</v>
      </c>
      <c r="E536" s="85">
        <f>133.845</f>
        <v>133.845</v>
      </c>
      <c r="F536" s="77">
        <f>278.484-40-25-60-100</f>
        <v>53.48399999999998</v>
      </c>
      <c r="G536" s="80">
        <v>40</v>
      </c>
      <c r="H536" s="77">
        <f t="shared" si="88"/>
        <v>185</v>
      </c>
      <c r="I536" s="77">
        <f t="shared" si="80"/>
        <v>0</v>
      </c>
      <c r="J536" s="80">
        <v>100</v>
      </c>
      <c r="K536" s="80">
        <v>300</v>
      </c>
      <c r="L536" s="77">
        <f t="shared" si="84"/>
        <v>1274</v>
      </c>
      <c r="M536" s="87">
        <v>600</v>
      </c>
      <c r="N536" s="77">
        <f>30</f>
        <v>30</v>
      </c>
      <c r="O536" s="80">
        <v>240</v>
      </c>
      <c r="P536" s="80">
        <v>160</v>
      </c>
      <c r="Q536" s="80">
        <f t="shared" si="85"/>
        <v>195</v>
      </c>
      <c r="R536" s="80">
        <f t="shared" si="86"/>
        <v>100</v>
      </c>
      <c r="S536" s="77">
        <f t="shared" si="87"/>
        <v>695</v>
      </c>
      <c r="T536" s="77">
        <f>0</f>
        <v>0</v>
      </c>
      <c r="U536" s="78"/>
      <c r="V536" s="78"/>
      <c r="W536" s="78"/>
      <c r="X536" s="78"/>
      <c r="Y536" s="78"/>
      <c r="Z536" s="78"/>
      <c r="AA536" s="78"/>
      <c r="AB536" s="78"/>
      <c r="AC536" s="78"/>
      <c r="AD536" s="78"/>
    </row>
    <row r="537" spans="1:30" ht="15.75" x14ac:dyDescent="0.25">
      <c r="A537" s="13">
        <v>57649</v>
      </c>
      <c r="B537" s="88">
        <v>31</v>
      </c>
      <c r="C537" s="77">
        <f>131.881</f>
        <v>131.881</v>
      </c>
      <c r="D537" s="77">
        <f>277.167</f>
        <v>277.16699999999997</v>
      </c>
      <c r="E537" s="85">
        <f>79.08</f>
        <v>79.08</v>
      </c>
      <c r="F537" s="77">
        <f>350.872-40-25-60-100</f>
        <v>125.87200000000001</v>
      </c>
      <c r="G537" s="80">
        <v>40</v>
      </c>
      <c r="H537" s="77">
        <f t="shared" si="88"/>
        <v>185</v>
      </c>
      <c r="I537" s="77">
        <f t="shared" si="80"/>
        <v>0</v>
      </c>
      <c r="J537" s="80">
        <v>100</v>
      </c>
      <c r="K537" s="80">
        <v>300</v>
      </c>
      <c r="L537" s="77">
        <f t="shared" si="84"/>
        <v>1239</v>
      </c>
      <c r="M537" s="87">
        <v>600</v>
      </c>
      <c r="N537" s="77">
        <f>75</f>
        <v>75</v>
      </c>
      <c r="O537" s="80">
        <v>240</v>
      </c>
      <c r="P537" s="80">
        <v>160</v>
      </c>
      <c r="Q537" s="80">
        <f t="shared" si="85"/>
        <v>195</v>
      </c>
      <c r="R537" s="80">
        <f t="shared" si="86"/>
        <v>100</v>
      </c>
      <c r="S537" s="77">
        <f t="shared" si="87"/>
        <v>695</v>
      </c>
      <c r="T537" s="77">
        <f>0</f>
        <v>0</v>
      </c>
      <c r="U537" s="78"/>
      <c r="V537" s="78"/>
      <c r="W537" s="78"/>
      <c r="X537" s="78"/>
      <c r="Y537" s="78"/>
      <c r="Z537" s="78"/>
      <c r="AA537" s="78"/>
      <c r="AB537" s="78"/>
      <c r="AC537" s="78"/>
      <c r="AD537" s="78"/>
    </row>
    <row r="538" spans="1:30" ht="15.75" x14ac:dyDescent="0.25">
      <c r="A538" s="13">
        <v>57679</v>
      </c>
      <c r="B538" s="88">
        <v>30</v>
      </c>
      <c r="C538" s="77">
        <f>122.58</f>
        <v>122.58</v>
      </c>
      <c r="D538" s="77">
        <f>297.941</f>
        <v>297.94099999999997</v>
      </c>
      <c r="E538" s="85">
        <f>89.177</f>
        <v>89.177000000000007</v>
      </c>
      <c r="F538" s="77">
        <f>240.302-40-60-100</f>
        <v>40.301999999999992</v>
      </c>
      <c r="G538" s="80">
        <v>40</v>
      </c>
      <c r="H538" s="77">
        <f>60+100</f>
        <v>160</v>
      </c>
      <c r="I538" s="77">
        <f t="shared" si="80"/>
        <v>0</v>
      </c>
      <c r="J538" s="80">
        <v>100</v>
      </c>
      <c r="K538" s="80">
        <v>300</v>
      </c>
      <c r="L538" s="77">
        <f t="shared" si="84"/>
        <v>1150</v>
      </c>
      <c r="M538" s="87">
        <v>600</v>
      </c>
      <c r="N538" s="77">
        <f>100</f>
        <v>100</v>
      </c>
      <c r="O538" s="80">
        <v>240</v>
      </c>
      <c r="P538" s="80">
        <v>40</v>
      </c>
      <c r="Q538" s="80">
        <f t="shared" si="85"/>
        <v>315</v>
      </c>
      <c r="R538" s="80">
        <f t="shared" si="86"/>
        <v>100</v>
      </c>
      <c r="S538" s="77">
        <f t="shared" si="87"/>
        <v>695</v>
      </c>
      <c r="T538" s="77">
        <f>50</f>
        <v>50</v>
      </c>
      <c r="U538" s="78"/>
      <c r="V538" s="78"/>
      <c r="W538" s="78"/>
      <c r="X538" s="78"/>
      <c r="Y538" s="78"/>
      <c r="Z538" s="78"/>
      <c r="AA538" s="78"/>
      <c r="AB538" s="78"/>
      <c r="AC538" s="78"/>
      <c r="AD538" s="78"/>
    </row>
    <row r="539" spans="1:30" ht="15.75" x14ac:dyDescent="0.25">
      <c r="A539" s="13">
        <v>57710</v>
      </c>
      <c r="B539" s="88">
        <v>31</v>
      </c>
      <c r="C539" s="77">
        <f>122.58</f>
        <v>122.58</v>
      </c>
      <c r="D539" s="77">
        <f>297.941</f>
        <v>297.94099999999997</v>
      </c>
      <c r="E539" s="85">
        <f>89.177</f>
        <v>89.177000000000007</v>
      </c>
      <c r="F539" s="77">
        <f>240.302-40-60-100</f>
        <v>40.301999999999992</v>
      </c>
      <c r="G539" s="80">
        <v>40</v>
      </c>
      <c r="H539" s="77">
        <f>60+100</f>
        <v>160</v>
      </c>
      <c r="I539" s="77">
        <f t="shared" si="80"/>
        <v>0</v>
      </c>
      <c r="J539" s="80">
        <v>100</v>
      </c>
      <c r="K539" s="80">
        <v>300</v>
      </c>
      <c r="L539" s="77">
        <f t="shared" si="84"/>
        <v>1150</v>
      </c>
      <c r="M539" s="87">
        <v>600</v>
      </c>
      <c r="N539" s="77">
        <f>100</f>
        <v>100</v>
      </c>
      <c r="O539" s="80">
        <v>240</v>
      </c>
      <c r="P539" s="80">
        <v>40</v>
      </c>
      <c r="Q539" s="80">
        <f t="shared" si="85"/>
        <v>315</v>
      </c>
      <c r="R539" s="80">
        <f t="shared" si="86"/>
        <v>100</v>
      </c>
      <c r="S539" s="77">
        <f t="shared" si="87"/>
        <v>695</v>
      </c>
      <c r="T539" s="77">
        <f>50</f>
        <v>50</v>
      </c>
      <c r="U539" s="78"/>
      <c r="V539" s="78"/>
      <c r="W539" s="78"/>
      <c r="X539" s="78"/>
      <c r="Y539" s="78"/>
      <c r="Z539" s="78"/>
      <c r="AA539" s="78"/>
      <c r="AB539" s="78"/>
      <c r="AC539" s="78"/>
      <c r="AD539" s="78"/>
    </row>
    <row r="540" spans="1:30" ht="15.75" x14ac:dyDescent="0.25">
      <c r="A540" s="13">
        <v>57741</v>
      </c>
      <c r="B540" s="88">
        <v>31</v>
      </c>
      <c r="C540" s="77">
        <f>122.58</f>
        <v>122.58</v>
      </c>
      <c r="D540" s="77">
        <f>297.941</f>
        <v>297.94099999999997</v>
      </c>
      <c r="E540" s="85">
        <f>89.177</f>
        <v>89.177000000000007</v>
      </c>
      <c r="F540" s="77">
        <f>240.302-40-60-100</f>
        <v>40.301999999999992</v>
      </c>
      <c r="G540" s="80">
        <v>40</v>
      </c>
      <c r="H540" s="77">
        <f>60+100</f>
        <v>160</v>
      </c>
      <c r="I540" s="77">
        <f t="shared" si="80"/>
        <v>0</v>
      </c>
      <c r="J540" s="80">
        <v>100</v>
      </c>
      <c r="K540" s="80">
        <v>300</v>
      </c>
      <c r="L540" s="77">
        <f t="shared" si="84"/>
        <v>1150</v>
      </c>
      <c r="M540" s="87">
        <v>600</v>
      </c>
      <c r="N540" s="77">
        <f>100</f>
        <v>100</v>
      </c>
      <c r="O540" s="80">
        <v>240</v>
      </c>
      <c r="P540" s="80">
        <v>40</v>
      </c>
      <c r="Q540" s="80">
        <f t="shared" si="85"/>
        <v>315</v>
      </c>
      <c r="R540" s="80">
        <f t="shared" si="86"/>
        <v>100</v>
      </c>
      <c r="S540" s="77">
        <f t="shared" si="87"/>
        <v>695</v>
      </c>
      <c r="T540" s="77">
        <f>50</f>
        <v>50</v>
      </c>
      <c r="U540" s="78"/>
      <c r="V540" s="78"/>
      <c r="W540" s="78"/>
      <c r="X540" s="78"/>
      <c r="Y540" s="78"/>
      <c r="Z540" s="78"/>
      <c r="AA540" s="78"/>
      <c r="AB540" s="78"/>
      <c r="AC540" s="78"/>
      <c r="AD540" s="78"/>
    </row>
    <row r="541" spans="1:30" ht="15.75" x14ac:dyDescent="0.25">
      <c r="A541" s="13">
        <v>57769</v>
      </c>
      <c r="B541" s="88">
        <v>28</v>
      </c>
      <c r="C541" s="77">
        <f>122.58</f>
        <v>122.58</v>
      </c>
      <c r="D541" s="77">
        <f>297.941</f>
        <v>297.94099999999997</v>
      </c>
      <c r="E541" s="85">
        <f>89.177</f>
        <v>89.177000000000007</v>
      </c>
      <c r="F541" s="77">
        <f>240.302-40-60-100</f>
        <v>40.301999999999992</v>
      </c>
      <c r="G541" s="80">
        <v>40</v>
      </c>
      <c r="H541" s="77">
        <f>60+100</f>
        <v>160</v>
      </c>
      <c r="I541" s="77">
        <f t="shared" si="80"/>
        <v>0</v>
      </c>
      <c r="J541" s="80">
        <v>100</v>
      </c>
      <c r="K541" s="80">
        <v>300</v>
      </c>
      <c r="L541" s="77">
        <f t="shared" si="84"/>
        <v>1150</v>
      </c>
      <c r="M541" s="87">
        <v>600</v>
      </c>
      <c r="N541" s="77">
        <f>100</f>
        <v>100</v>
      </c>
      <c r="O541" s="80">
        <v>240</v>
      </c>
      <c r="P541" s="80">
        <v>40</v>
      </c>
      <c r="Q541" s="80">
        <f t="shared" si="85"/>
        <v>315</v>
      </c>
      <c r="R541" s="80">
        <f t="shared" si="86"/>
        <v>100</v>
      </c>
      <c r="S541" s="77">
        <f t="shared" si="87"/>
        <v>695</v>
      </c>
      <c r="T541" s="77">
        <f>50</f>
        <v>50</v>
      </c>
      <c r="U541" s="78"/>
      <c r="V541" s="78"/>
      <c r="W541" s="78"/>
      <c r="X541" s="78"/>
      <c r="Y541" s="78"/>
      <c r="Z541" s="78"/>
      <c r="AA541" s="78"/>
      <c r="AB541" s="78"/>
      <c r="AC541" s="78"/>
      <c r="AD541" s="78"/>
    </row>
    <row r="542" spans="1:30" ht="15.75" x14ac:dyDescent="0.25">
      <c r="A542" s="13">
        <v>57800</v>
      </c>
      <c r="B542" s="88">
        <v>31</v>
      </c>
      <c r="C542" s="77">
        <f>122.58</f>
        <v>122.58</v>
      </c>
      <c r="D542" s="77">
        <f>297.941</f>
        <v>297.94099999999997</v>
      </c>
      <c r="E542" s="85">
        <f>89.177</f>
        <v>89.177000000000007</v>
      </c>
      <c r="F542" s="77">
        <f>240.302-40-60-100</f>
        <v>40.301999999999992</v>
      </c>
      <c r="G542" s="80">
        <v>40</v>
      </c>
      <c r="H542" s="77">
        <f>60+100</f>
        <v>160</v>
      </c>
      <c r="I542" s="77">
        <f t="shared" si="80"/>
        <v>0</v>
      </c>
      <c r="J542" s="80">
        <v>100</v>
      </c>
      <c r="K542" s="80">
        <v>300</v>
      </c>
      <c r="L542" s="77">
        <f t="shared" si="84"/>
        <v>1150</v>
      </c>
      <c r="M542" s="87">
        <v>600</v>
      </c>
      <c r="N542" s="77">
        <f>100</f>
        <v>100</v>
      </c>
      <c r="O542" s="80">
        <v>240</v>
      </c>
      <c r="P542" s="80">
        <v>40</v>
      </c>
      <c r="Q542" s="80">
        <f t="shared" si="85"/>
        <v>315</v>
      </c>
      <c r="R542" s="80">
        <f t="shared" si="86"/>
        <v>100</v>
      </c>
      <c r="S542" s="77">
        <f t="shared" si="87"/>
        <v>695</v>
      </c>
      <c r="T542" s="77">
        <f>50</f>
        <v>50</v>
      </c>
      <c r="U542" s="78"/>
      <c r="V542" s="78"/>
      <c r="W542" s="78"/>
      <c r="X542" s="78"/>
      <c r="Y542" s="78"/>
      <c r="Z542" s="78"/>
      <c r="AA542" s="78"/>
      <c r="AB542" s="78"/>
      <c r="AC542" s="78"/>
      <c r="AD542" s="78"/>
    </row>
    <row r="543" spans="1:30" ht="15.75" x14ac:dyDescent="0.25">
      <c r="A543" s="13">
        <v>57830</v>
      </c>
      <c r="B543" s="88">
        <v>30</v>
      </c>
      <c r="C543" s="77">
        <f>141.293</f>
        <v>141.29300000000001</v>
      </c>
      <c r="D543" s="77">
        <f>267.993</f>
        <v>267.99299999999999</v>
      </c>
      <c r="E543" s="85">
        <f>115.016</f>
        <v>115.01600000000001</v>
      </c>
      <c r="F543" s="77">
        <f>314.698-40-25-60-100</f>
        <v>89.697999999999979</v>
      </c>
      <c r="G543" s="80">
        <v>40</v>
      </c>
      <c r="H543" s="77">
        <f t="shared" ref="H543:H549" si="89">25+60+100</f>
        <v>185</v>
      </c>
      <c r="I543" s="77">
        <f t="shared" si="80"/>
        <v>0</v>
      </c>
      <c r="J543" s="80">
        <v>100</v>
      </c>
      <c r="K543" s="80">
        <v>300</v>
      </c>
      <c r="L543" s="77">
        <f t="shared" si="84"/>
        <v>1239</v>
      </c>
      <c r="M543" s="87">
        <v>600</v>
      </c>
      <c r="N543" s="77">
        <f>100</f>
        <v>100</v>
      </c>
      <c r="O543" s="80">
        <v>240</v>
      </c>
      <c r="P543" s="80">
        <v>160</v>
      </c>
      <c r="Q543" s="80">
        <f t="shared" si="85"/>
        <v>195</v>
      </c>
      <c r="R543" s="80">
        <f t="shared" si="86"/>
        <v>100</v>
      </c>
      <c r="S543" s="77">
        <f t="shared" si="87"/>
        <v>695</v>
      </c>
      <c r="T543" s="77">
        <f>50</f>
        <v>50</v>
      </c>
      <c r="U543" s="78"/>
      <c r="V543" s="78"/>
      <c r="W543" s="78"/>
      <c r="X543" s="78"/>
      <c r="Y543" s="78"/>
      <c r="Z543" s="78"/>
      <c r="AA543" s="78"/>
      <c r="AB543" s="78"/>
      <c r="AC543" s="78"/>
      <c r="AD543" s="78"/>
    </row>
    <row r="544" spans="1:30" ht="15.75" x14ac:dyDescent="0.25">
      <c r="A544" s="13">
        <v>57861</v>
      </c>
      <c r="B544" s="88">
        <v>31</v>
      </c>
      <c r="C544" s="77">
        <f>194.205</f>
        <v>194.20500000000001</v>
      </c>
      <c r="D544" s="77">
        <f>267.466</f>
        <v>267.46600000000001</v>
      </c>
      <c r="E544" s="85">
        <f>133.845</f>
        <v>133.845</v>
      </c>
      <c r="F544" s="77">
        <f>278.484-40-25-60-100</f>
        <v>53.48399999999998</v>
      </c>
      <c r="G544" s="80">
        <v>40</v>
      </c>
      <c r="H544" s="77">
        <f t="shared" si="89"/>
        <v>185</v>
      </c>
      <c r="I544" s="77">
        <f t="shared" si="80"/>
        <v>0</v>
      </c>
      <c r="J544" s="80">
        <v>100</v>
      </c>
      <c r="K544" s="80">
        <v>300</v>
      </c>
      <c r="L544" s="77">
        <f t="shared" si="84"/>
        <v>1274</v>
      </c>
      <c r="M544" s="87">
        <v>600</v>
      </c>
      <c r="N544" s="77">
        <f>75</f>
        <v>75</v>
      </c>
      <c r="O544" s="80">
        <v>240</v>
      </c>
      <c r="P544" s="80">
        <v>160</v>
      </c>
      <c r="Q544" s="80">
        <f t="shared" si="85"/>
        <v>195</v>
      </c>
      <c r="R544" s="80">
        <f t="shared" si="86"/>
        <v>100</v>
      </c>
      <c r="S544" s="77">
        <f t="shared" si="87"/>
        <v>695</v>
      </c>
      <c r="T544" s="77">
        <f>50</f>
        <v>50</v>
      </c>
      <c r="U544" s="78"/>
      <c r="V544" s="78"/>
      <c r="W544" s="78"/>
      <c r="X544" s="78"/>
      <c r="Y544" s="78"/>
      <c r="Z544" s="78"/>
      <c r="AA544" s="78"/>
      <c r="AB544" s="78"/>
      <c r="AC544" s="78"/>
      <c r="AD544" s="78"/>
    </row>
    <row r="545" spans="1:30" ht="15.75" x14ac:dyDescent="0.25">
      <c r="A545" s="13">
        <v>57891</v>
      </c>
      <c r="B545" s="88">
        <v>30</v>
      </c>
      <c r="C545" s="77">
        <f>194.205</f>
        <v>194.20500000000001</v>
      </c>
      <c r="D545" s="77">
        <f>267.466</f>
        <v>267.46600000000001</v>
      </c>
      <c r="E545" s="85">
        <f>133.845</f>
        <v>133.845</v>
      </c>
      <c r="F545" s="77">
        <f>278.484-40-25-60-100</f>
        <v>53.48399999999998</v>
      </c>
      <c r="G545" s="80">
        <v>40</v>
      </c>
      <c r="H545" s="77">
        <f t="shared" si="89"/>
        <v>185</v>
      </c>
      <c r="I545" s="77">
        <f t="shared" si="80"/>
        <v>0</v>
      </c>
      <c r="J545" s="80">
        <v>100</v>
      </c>
      <c r="K545" s="80">
        <v>300</v>
      </c>
      <c r="L545" s="77">
        <f t="shared" si="84"/>
        <v>1274</v>
      </c>
      <c r="M545" s="87">
        <v>600</v>
      </c>
      <c r="N545" s="77">
        <f>30</f>
        <v>30</v>
      </c>
      <c r="O545" s="80">
        <v>240</v>
      </c>
      <c r="P545" s="80">
        <v>160</v>
      </c>
      <c r="Q545" s="80">
        <f t="shared" si="85"/>
        <v>195</v>
      </c>
      <c r="R545" s="80">
        <f t="shared" si="86"/>
        <v>100</v>
      </c>
      <c r="S545" s="77">
        <f t="shared" si="87"/>
        <v>695</v>
      </c>
      <c r="T545" s="77">
        <f>50</f>
        <v>50</v>
      </c>
      <c r="U545" s="78"/>
      <c r="V545" s="78"/>
      <c r="W545" s="78"/>
      <c r="X545" s="78"/>
      <c r="Y545" s="78"/>
      <c r="Z545" s="78"/>
      <c r="AA545" s="78"/>
      <c r="AB545" s="78"/>
      <c r="AC545" s="78"/>
      <c r="AD545" s="78"/>
    </row>
    <row r="546" spans="1:30" ht="15.75" x14ac:dyDescent="0.25">
      <c r="A546" s="13">
        <v>57922</v>
      </c>
      <c r="B546" s="88">
        <v>31</v>
      </c>
      <c r="C546" s="77">
        <f>194.205</f>
        <v>194.20500000000001</v>
      </c>
      <c r="D546" s="77">
        <f>267.466</f>
        <v>267.46600000000001</v>
      </c>
      <c r="E546" s="85">
        <f>133.845</f>
        <v>133.845</v>
      </c>
      <c r="F546" s="77">
        <f>278.484-40-25-60-100</f>
        <v>53.48399999999998</v>
      </c>
      <c r="G546" s="80">
        <v>40</v>
      </c>
      <c r="H546" s="77">
        <f t="shared" si="89"/>
        <v>185</v>
      </c>
      <c r="I546" s="77">
        <f t="shared" si="80"/>
        <v>0</v>
      </c>
      <c r="J546" s="80">
        <v>100</v>
      </c>
      <c r="K546" s="80">
        <v>300</v>
      </c>
      <c r="L546" s="77">
        <f t="shared" si="84"/>
        <v>1274</v>
      </c>
      <c r="M546" s="87">
        <v>600</v>
      </c>
      <c r="N546" s="77">
        <f>30</f>
        <v>30</v>
      </c>
      <c r="O546" s="80">
        <v>240</v>
      </c>
      <c r="P546" s="80">
        <v>160</v>
      </c>
      <c r="Q546" s="80">
        <f t="shared" si="85"/>
        <v>195</v>
      </c>
      <c r="R546" s="80">
        <f t="shared" si="86"/>
        <v>100</v>
      </c>
      <c r="S546" s="77">
        <f t="shared" si="87"/>
        <v>695</v>
      </c>
      <c r="T546" s="77">
        <f>0</f>
        <v>0</v>
      </c>
      <c r="U546" s="78"/>
      <c r="V546" s="78"/>
      <c r="W546" s="78"/>
      <c r="X546" s="78"/>
      <c r="Y546" s="78"/>
      <c r="Z546" s="78"/>
      <c r="AA546" s="78"/>
      <c r="AB546" s="78"/>
      <c r="AC546" s="78"/>
      <c r="AD546" s="78"/>
    </row>
    <row r="547" spans="1:30" ht="15.75" x14ac:dyDescent="0.25">
      <c r="A547" s="13">
        <v>57953</v>
      </c>
      <c r="B547" s="88">
        <v>31</v>
      </c>
      <c r="C547" s="77">
        <f>194.205</f>
        <v>194.20500000000001</v>
      </c>
      <c r="D547" s="77">
        <f>267.466</f>
        <v>267.46600000000001</v>
      </c>
      <c r="E547" s="85">
        <f>133.845</f>
        <v>133.845</v>
      </c>
      <c r="F547" s="77">
        <f>278.484-40-25-60-100</f>
        <v>53.48399999999998</v>
      </c>
      <c r="G547" s="80">
        <v>40</v>
      </c>
      <c r="H547" s="77">
        <f t="shared" si="89"/>
        <v>185</v>
      </c>
      <c r="I547" s="77">
        <f t="shared" si="80"/>
        <v>0</v>
      </c>
      <c r="J547" s="80">
        <v>100</v>
      </c>
      <c r="K547" s="80">
        <v>300</v>
      </c>
      <c r="L547" s="77">
        <f t="shared" si="84"/>
        <v>1274</v>
      </c>
      <c r="M547" s="87">
        <v>600</v>
      </c>
      <c r="N547" s="77">
        <f>30</f>
        <v>30</v>
      </c>
      <c r="O547" s="80">
        <v>240</v>
      </c>
      <c r="P547" s="80">
        <v>160</v>
      </c>
      <c r="Q547" s="80">
        <f t="shared" si="85"/>
        <v>195</v>
      </c>
      <c r="R547" s="80">
        <f t="shared" si="86"/>
        <v>100</v>
      </c>
      <c r="S547" s="77">
        <f t="shared" si="87"/>
        <v>695</v>
      </c>
      <c r="T547" s="77">
        <f>0</f>
        <v>0</v>
      </c>
      <c r="U547" s="78"/>
      <c r="V547" s="78"/>
      <c r="W547" s="78"/>
      <c r="X547" s="78"/>
      <c r="Y547" s="78"/>
      <c r="Z547" s="78"/>
      <c r="AA547" s="78"/>
      <c r="AB547" s="78"/>
      <c r="AC547" s="78"/>
      <c r="AD547" s="78"/>
    </row>
    <row r="548" spans="1:30" ht="15.75" x14ac:dyDescent="0.25">
      <c r="A548" s="13">
        <v>57983</v>
      </c>
      <c r="B548" s="88">
        <v>30</v>
      </c>
      <c r="C548" s="77">
        <f>194.205</f>
        <v>194.20500000000001</v>
      </c>
      <c r="D548" s="77">
        <f>267.466</f>
        <v>267.46600000000001</v>
      </c>
      <c r="E548" s="85">
        <f>133.845</f>
        <v>133.845</v>
      </c>
      <c r="F548" s="77">
        <f>278.484-40-25-60-100</f>
        <v>53.48399999999998</v>
      </c>
      <c r="G548" s="80">
        <v>40</v>
      </c>
      <c r="H548" s="77">
        <f t="shared" si="89"/>
        <v>185</v>
      </c>
      <c r="I548" s="77">
        <f t="shared" si="80"/>
        <v>0</v>
      </c>
      <c r="J548" s="80">
        <v>100</v>
      </c>
      <c r="K548" s="80">
        <v>300</v>
      </c>
      <c r="L548" s="77">
        <f t="shared" si="84"/>
        <v>1274</v>
      </c>
      <c r="M548" s="87">
        <v>600</v>
      </c>
      <c r="N548" s="77">
        <f>30</f>
        <v>30</v>
      </c>
      <c r="O548" s="80">
        <v>240</v>
      </c>
      <c r="P548" s="80">
        <v>160</v>
      </c>
      <c r="Q548" s="80">
        <f t="shared" si="85"/>
        <v>195</v>
      </c>
      <c r="R548" s="80">
        <f t="shared" si="86"/>
        <v>100</v>
      </c>
      <c r="S548" s="77">
        <f t="shared" si="87"/>
        <v>695</v>
      </c>
      <c r="T548" s="77">
        <f>0</f>
        <v>0</v>
      </c>
      <c r="U548" s="78"/>
      <c r="V548" s="78"/>
      <c r="W548" s="78"/>
      <c r="X548" s="78"/>
      <c r="Y548" s="78"/>
      <c r="Z548" s="78"/>
      <c r="AA548" s="78"/>
      <c r="AB548" s="78"/>
      <c r="AC548" s="78"/>
      <c r="AD548" s="78"/>
    </row>
    <row r="549" spans="1:30" ht="15.75" x14ac:dyDescent="0.25">
      <c r="A549" s="13">
        <v>58014</v>
      </c>
      <c r="B549" s="88">
        <v>31</v>
      </c>
      <c r="C549" s="77">
        <f>131.881</f>
        <v>131.881</v>
      </c>
      <c r="D549" s="77">
        <f>277.167</f>
        <v>277.16699999999997</v>
      </c>
      <c r="E549" s="85">
        <f>79.08</f>
        <v>79.08</v>
      </c>
      <c r="F549" s="77">
        <f>350.872-40-25-60-100</f>
        <v>125.87200000000001</v>
      </c>
      <c r="G549" s="80">
        <v>40</v>
      </c>
      <c r="H549" s="77">
        <f t="shared" si="89"/>
        <v>185</v>
      </c>
      <c r="I549" s="77">
        <f t="shared" si="80"/>
        <v>0</v>
      </c>
      <c r="J549" s="80">
        <v>100</v>
      </c>
      <c r="K549" s="80">
        <v>300</v>
      </c>
      <c r="L549" s="77">
        <f t="shared" si="84"/>
        <v>1239</v>
      </c>
      <c r="M549" s="87">
        <v>600</v>
      </c>
      <c r="N549" s="77">
        <f>75</f>
        <v>75</v>
      </c>
      <c r="O549" s="80">
        <v>240</v>
      </c>
      <c r="P549" s="80">
        <v>160</v>
      </c>
      <c r="Q549" s="80">
        <f t="shared" si="85"/>
        <v>195</v>
      </c>
      <c r="R549" s="80">
        <f t="shared" si="86"/>
        <v>100</v>
      </c>
      <c r="S549" s="77">
        <f t="shared" si="87"/>
        <v>695</v>
      </c>
      <c r="T549" s="77">
        <f>0</f>
        <v>0</v>
      </c>
      <c r="U549" s="78"/>
      <c r="V549" s="78"/>
      <c r="W549" s="78"/>
      <c r="X549" s="78"/>
      <c r="Y549" s="78"/>
      <c r="Z549" s="78"/>
      <c r="AA549" s="78"/>
      <c r="AB549" s="78"/>
      <c r="AC549" s="78"/>
      <c r="AD549" s="78"/>
    </row>
    <row r="550" spans="1:30" ht="15.75" x14ac:dyDescent="0.25">
      <c r="A550" s="13">
        <v>58044</v>
      </c>
      <c r="B550" s="88">
        <v>30</v>
      </c>
      <c r="C550" s="77">
        <f>122.58</f>
        <v>122.58</v>
      </c>
      <c r="D550" s="77">
        <f>297.941</f>
        <v>297.94099999999997</v>
      </c>
      <c r="E550" s="85">
        <f>89.177</f>
        <v>89.177000000000007</v>
      </c>
      <c r="F550" s="77">
        <f>240.302-40-60-100</f>
        <v>40.301999999999992</v>
      </c>
      <c r="G550" s="80">
        <v>40</v>
      </c>
      <c r="H550" s="77">
        <f>60+100</f>
        <v>160</v>
      </c>
      <c r="I550" s="77">
        <f t="shared" si="80"/>
        <v>0</v>
      </c>
      <c r="J550" s="80">
        <v>100</v>
      </c>
      <c r="K550" s="80">
        <v>300</v>
      </c>
      <c r="L550" s="77">
        <f t="shared" si="84"/>
        <v>1150</v>
      </c>
      <c r="M550" s="87">
        <v>600</v>
      </c>
      <c r="N550" s="77">
        <f>100</f>
        <v>100</v>
      </c>
      <c r="O550" s="80">
        <v>240</v>
      </c>
      <c r="P550" s="80">
        <v>40</v>
      </c>
      <c r="Q550" s="80">
        <f t="shared" si="85"/>
        <v>315</v>
      </c>
      <c r="R550" s="80">
        <f t="shared" si="86"/>
        <v>100</v>
      </c>
      <c r="S550" s="77">
        <f t="shared" si="87"/>
        <v>695</v>
      </c>
      <c r="T550" s="77">
        <f>50</f>
        <v>50</v>
      </c>
      <c r="U550" s="78"/>
      <c r="V550" s="78"/>
      <c r="W550" s="78"/>
      <c r="X550" s="78"/>
      <c r="Y550" s="78"/>
      <c r="Z550" s="78"/>
      <c r="AA550" s="78"/>
      <c r="AB550" s="78"/>
      <c r="AC550" s="78"/>
      <c r="AD550" s="78"/>
    </row>
    <row r="551" spans="1:30" ht="15.75" x14ac:dyDescent="0.25">
      <c r="A551" s="13">
        <v>58075</v>
      </c>
      <c r="B551" s="88">
        <v>31</v>
      </c>
      <c r="C551" s="77">
        <f>122.58</f>
        <v>122.58</v>
      </c>
      <c r="D551" s="77">
        <f>297.941</f>
        <v>297.94099999999997</v>
      </c>
      <c r="E551" s="85">
        <f>89.177</f>
        <v>89.177000000000007</v>
      </c>
      <c r="F551" s="77">
        <f>240.302-40-60-100</f>
        <v>40.301999999999992</v>
      </c>
      <c r="G551" s="80">
        <v>40</v>
      </c>
      <c r="H551" s="77">
        <f>60+100</f>
        <v>160</v>
      </c>
      <c r="I551" s="77">
        <f t="shared" si="80"/>
        <v>0</v>
      </c>
      <c r="J551" s="80">
        <v>100</v>
      </c>
      <c r="K551" s="80">
        <v>300</v>
      </c>
      <c r="L551" s="77">
        <f t="shared" si="84"/>
        <v>1150</v>
      </c>
      <c r="M551" s="87">
        <v>600</v>
      </c>
      <c r="N551" s="77">
        <f>100</f>
        <v>100</v>
      </c>
      <c r="O551" s="80">
        <v>240</v>
      </c>
      <c r="P551" s="80">
        <v>40</v>
      </c>
      <c r="Q551" s="80">
        <f t="shared" si="85"/>
        <v>315</v>
      </c>
      <c r="R551" s="80">
        <f t="shared" si="86"/>
        <v>100</v>
      </c>
      <c r="S551" s="77">
        <f t="shared" si="87"/>
        <v>695</v>
      </c>
      <c r="T551" s="77">
        <f>50</f>
        <v>50</v>
      </c>
      <c r="U551" s="78"/>
      <c r="V551" s="78"/>
      <c r="W551" s="78"/>
      <c r="X551" s="78"/>
      <c r="Y551" s="78"/>
      <c r="Z551" s="78"/>
      <c r="AA551" s="78"/>
      <c r="AB551" s="78"/>
      <c r="AC551" s="78"/>
      <c r="AD551" s="78"/>
    </row>
    <row r="552" spans="1:30" ht="15.75" x14ac:dyDescent="0.25">
      <c r="A552" s="13">
        <v>58106</v>
      </c>
      <c r="B552" s="88">
        <v>31</v>
      </c>
      <c r="C552" s="77">
        <f>122.58</f>
        <v>122.58</v>
      </c>
      <c r="D552" s="77">
        <f>297.941</f>
        <v>297.94099999999997</v>
      </c>
      <c r="E552" s="85">
        <f>89.177</f>
        <v>89.177000000000007</v>
      </c>
      <c r="F552" s="77">
        <f>240.302-40-60-100</f>
        <v>40.301999999999992</v>
      </c>
      <c r="G552" s="80">
        <v>40</v>
      </c>
      <c r="H552" s="77">
        <f>60+100</f>
        <v>160</v>
      </c>
      <c r="I552" s="77">
        <f t="shared" ref="I552:I615" si="90">400-J552-K552</f>
        <v>0</v>
      </c>
      <c r="J552" s="80">
        <v>100</v>
      </c>
      <c r="K552" s="80">
        <v>300</v>
      </c>
      <c r="L552" s="77">
        <f t="shared" si="84"/>
        <v>1150</v>
      </c>
      <c r="M552" s="87">
        <v>600</v>
      </c>
      <c r="N552" s="77">
        <f>100</f>
        <v>100</v>
      </c>
      <c r="O552" s="80">
        <v>240</v>
      </c>
      <c r="P552" s="80">
        <v>40</v>
      </c>
      <c r="Q552" s="80">
        <f t="shared" si="85"/>
        <v>315</v>
      </c>
      <c r="R552" s="80">
        <f t="shared" si="86"/>
        <v>100</v>
      </c>
      <c r="S552" s="77">
        <f t="shared" si="87"/>
        <v>695</v>
      </c>
      <c r="T552" s="77">
        <f>50</f>
        <v>50</v>
      </c>
      <c r="U552" s="78"/>
      <c r="V552" s="78"/>
      <c r="W552" s="78"/>
      <c r="X552" s="78"/>
      <c r="Y552" s="78"/>
      <c r="Z552" s="78"/>
      <c r="AA552" s="78"/>
      <c r="AB552" s="78"/>
      <c r="AC552" s="78"/>
      <c r="AD552" s="78"/>
    </row>
    <row r="553" spans="1:30" ht="15.75" x14ac:dyDescent="0.25">
      <c r="A553" s="13">
        <v>58134</v>
      </c>
      <c r="B553" s="88">
        <v>28</v>
      </c>
      <c r="C553" s="77">
        <f>122.58</f>
        <v>122.58</v>
      </c>
      <c r="D553" s="77">
        <f>297.941</f>
        <v>297.94099999999997</v>
      </c>
      <c r="E553" s="85">
        <f>89.177</f>
        <v>89.177000000000007</v>
      </c>
      <c r="F553" s="77">
        <f>240.302-40-60-100</f>
        <v>40.301999999999992</v>
      </c>
      <c r="G553" s="80">
        <v>40</v>
      </c>
      <c r="H553" s="77">
        <f>60+100</f>
        <v>160</v>
      </c>
      <c r="I553" s="77">
        <f t="shared" si="90"/>
        <v>0</v>
      </c>
      <c r="J553" s="80">
        <v>100</v>
      </c>
      <c r="K553" s="80">
        <v>300</v>
      </c>
      <c r="L553" s="77">
        <f t="shared" si="84"/>
        <v>1150</v>
      </c>
      <c r="M553" s="87">
        <v>600</v>
      </c>
      <c r="N553" s="77">
        <f>100</f>
        <v>100</v>
      </c>
      <c r="O553" s="80">
        <v>240</v>
      </c>
      <c r="P553" s="80">
        <v>40</v>
      </c>
      <c r="Q553" s="80">
        <f t="shared" si="85"/>
        <v>315</v>
      </c>
      <c r="R553" s="80">
        <f t="shared" si="86"/>
        <v>100</v>
      </c>
      <c r="S553" s="77">
        <f t="shared" si="87"/>
        <v>695</v>
      </c>
      <c r="T553" s="77">
        <f>50</f>
        <v>50</v>
      </c>
      <c r="U553" s="78"/>
      <c r="V553" s="78"/>
      <c r="W553" s="78"/>
      <c r="X553" s="78"/>
      <c r="Y553" s="78"/>
      <c r="Z553" s="78"/>
      <c r="AA553" s="78"/>
      <c r="AB553" s="78"/>
      <c r="AC553" s="78"/>
      <c r="AD553" s="78"/>
    </row>
    <row r="554" spans="1:30" ht="15.75" x14ac:dyDescent="0.25">
      <c r="A554" s="13">
        <v>58165</v>
      </c>
      <c r="B554" s="88">
        <v>31</v>
      </c>
      <c r="C554" s="77">
        <f>122.58</f>
        <v>122.58</v>
      </c>
      <c r="D554" s="77">
        <f>297.941</f>
        <v>297.94099999999997</v>
      </c>
      <c r="E554" s="85">
        <f>89.177</f>
        <v>89.177000000000007</v>
      </c>
      <c r="F554" s="77">
        <f>240.302-40-60-100</f>
        <v>40.301999999999992</v>
      </c>
      <c r="G554" s="80">
        <v>40</v>
      </c>
      <c r="H554" s="77">
        <f>60+100</f>
        <v>160</v>
      </c>
      <c r="I554" s="77">
        <f t="shared" si="90"/>
        <v>0</v>
      </c>
      <c r="J554" s="80">
        <v>100</v>
      </c>
      <c r="K554" s="80">
        <v>300</v>
      </c>
      <c r="L554" s="77">
        <f t="shared" si="84"/>
        <v>1150</v>
      </c>
      <c r="M554" s="87">
        <v>600</v>
      </c>
      <c r="N554" s="77">
        <f>100</f>
        <v>100</v>
      </c>
      <c r="O554" s="80">
        <v>240</v>
      </c>
      <c r="P554" s="80">
        <v>40</v>
      </c>
      <c r="Q554" s="80">
        <f t="shared" si="85"/>
        <v>315</v>
      </c>
      <c r="R554" s="80">
        <f t="shared" si="86"/>
        <v>100</v>
      </c>
      <c r="S554" s="77">
        <f t="shared" si="87"/>
        <v>695</v>
      </c>
      <c r="T554" s="77">
        <f>50</f>
        <v>50</v>
      </c>
      <c r="U554" s="78"/>
      <c r="V554" s="78"/>
      <c r="W554" s="78"/>
      <c r="X554" s="78"/>
      <c r="Y554" s="78"/>
      <c r="Z554" s="78"/>
      <c r="AA554" s="78"/>
      <c r="AB554" s="78"/>
      <c r="AC554" s="78"/>
      <c r="AD554" s="78"/>
    </row>
    <row r="555" spans="1:30" ht="15.75" x14ac:dyDescent="0.25">
      <c r="A555" s="13">
        <v>58195</v>
      </c>
      <c r="B555" s="88">
        <v>30</v>
      </c>
      <c r="C555" s="77">
        <f>141.293</f>
        <v>141.29300000000001</v>
      </c>
      <c r="D555" s="77">
        <f>267.993</f>
        <v>267.99299999999999</v>
      </c>
      <c r="E555" s="85">
        <f>115.016</f>
        <v>115.01600000000001</v>
      </c>
      <c r="F555" s="77">
        <f>314.698-40-25-60-100</f>
        <v>89.697999999999979</v>
      </c>
      <c r="G555" s="80">
        <v>40</v>
      </c>
      <c r="H555" s="77">
        <f t="shared" ref="H555:H561" si="91">25+60+100</f>
        <v>185</v>
      </c>
      <c r="I555" s="77">
        <f t="shared" si="90"/>
        <v>0</v>
      </c>
      <c r="J555" s="80">
        <v>100</v>
      </c>
      <c r="K555" s="80">
        <v>300</v>
      </c>
      <c r="L555" s="77">
        <f t="shared" si="84"/>
        <v>1239</v>
      </c>
      <c r="M555" s="87">
        <v>600</v>
      </c>
      <c r="N555" s="77">
        <f>100</f>
        <v>100</v>
      </c>
      <c r="O555" s="80">
        <v>240</v>
      </c>
      <c r="P555" s="80">
        <v>160</v>
      </c>
      <c r="Q555" s="80">
        <f t="shared" si="85"/>
        <v>195</v>
      </c>
      <c r="R555" s="80">
        <f t="shared" si="86"/>
        <v>100</v>
      </c>
      <c r="S555" s="77">
        <f t="shared" si="87"/>
        <v>695</v>
      </c>
      <c r="T555" s="77">
        <f>50</f>
        <v>50</v>
      </c>
      <c r="U555" s="78"/>
      <c r="V555" s="78"/>
      <c r="W555" s="78"/>
      <c r="X555" s="78"/>
      <c r="Y555" s="78"/>
      <c r="Z555" s="78"/>
      <c r="AA555" s="78"/>
      <c r="AB555" s="78"/>
      <c r="AC555" s="78"/>
      <c r="AD555" s="78"/>
    </row>
    <row r="556" spans="1:30" ht="15.75" x14ac:dyDescent="0.25">
      <c r="A556" s="13">
        <v>58226</v>
      </c>
      <c r="B556" s="88">
        <v>31</v>
      </c>
      <c r="C556" s="77">
        <f>194.205</f>
        <v>194.20500000000001</v>
      </c>
      <c r="D556" s="77">
        <f>267.466</f>
        <v>267.46600000000001</v>
      </c>
      <c r="E556" s="85">
        <f>133.845</f>
        <v>133.845</v>
      </c>
      <c r="F556" s="77">
        <f>278.484-40-25-60-100</f>
        <v>53.48399999999998</v>
      </c>
      <c r="G556" s="80">
        <v>40</v>
      </c>
      <c r="H556" s="77">
        <f t="shared" si="91"/>
        <v>185</v>
      </c>
      <c r="I556" s="77">
        <f t="shared" si="90"/>
        <v>0</v>
      </c>
      <c r="J556" s="80">
        <v>100</v>
      </c>
      <c r="K556" s="80">
        <v>300</v>
      </c>
      <c r="L556" s="77">
        <f t="shared" si="84"/>
        <v>1274</v>
      </c>
      <c r="M556" s="87">
        <v>600</v>
      </c>
      <c r="N556" s="77">
        <f>75</f>
        <v>75</v>
      </c>
      <c r="O556" s="80">
        <v>240</v>
      </c>
      <c r="P556" s="80">
        <v>160</v>
      </c>
      <c r="Q556" s="80">
        <f t="shared" si="85"/>
        <v>195</v>
      </c>
      <c r="R556" s="80">
        <f t="shared" si="86"/>
        <v>100</v>
      </c>
      <c r="S556" s="77">
        <f t="shared" si="87"/>
        <v>695</v>
      </c>
      <c r="T556" s="77">
        <f>50</f>
        <v>50</v>
      </c>
      <c r="U556" s="78"/>
      <c r="V556" s="78"/>
      <c r="W556" s="78"/>
      <c r="X556" s="78"/>
      <c r="Y556" s="78"/>
      <c r="Z556" s="78"/>
      <c r="AA556" s="78"/>
      <c r="AB556" s="78"/>
      <c r="AC556" s="78"/>
      <c r="AD556" s="78"/>
    </row>
    <row r="557" spans="1:30" ht="15.75" x14ac:dyDescent="0.25">
      <c r="A557" s="13">
        <v>58256</v>
      </c>
      <c r="B557" s="88">
        <v>30</v>
      </c>
      <c r="C557" s="77">
        <f>194.205</f>
        <v>194.20500000000001</v>
      </c>
      <c r="D557" s="77">
        <f>267.466</f>
        <v>267.46600000000001</v>
      </c>
      <c r="E557" s="85">
        <f>133.845</f>
        <v>133.845</v>
      </c>
      <c r="F557" s="77">
        <f>278.484-40-25-60-100</f>
        <v>53.48399999999998</v>
      </c>
      <c r="G557" s="80">
        <v>40</v>
      </c>
      <c r="H557" s="77">
        <f t="shared" si="91"/>
        <v>185</v>
      </c>
      <c r="I557" s="77">
        <f t="shared" si="90"/>
        <v>0</v>
      </c>
      <c r="J557" s="80">
        <v>100</v>
      </c>
      <c r="K557" s="80">
        <v>300</v>
      </c>
      <c r="L557" s="77">
        <f t="shared" si="84"/>
        <v>1274</v>
      </c>
      <c r="M557" s="87">
        <v>600</v>
      </c>
      <c r="N557" s="77">
        <f>30</f>
        <v>30</v>
      </c>
      <c r="O557" s="80">
        <v>240</v>
      </c>
      <c r="P557" s="80">
        <v>160</v>
      </c>
      <c r="Q557" s="80">
        <f t="shared" si="85"/>
        <v>195</v>
      </c>
      <c r="R557" s="80">
        <f t="shared" si="86"/>
        <v>100</v>
      </c>
      <c r="S557" s="77">
        <f t="shared" si="87"/>
        <v>695</v>
      </c>
      <c r="T557" s="77">
        <f>50</f>
        <v>50</v>
      </c>
      <c r="U557" s="78"/>
      <c r="V557" s="78"/>
      <c r="W557" s="78"/>
      <c r="X557" s="78"/>
      <c r="Y557" s="78"/>
      <c r="Z557" s="78"/>
      <c r="AA557" s="78"/>
      <c r="AB557" s="78"/>
      <c r="AC557" s="78"/>
      <c r="AD557" s="78"/>
    </row>
    <row r="558" spans="1:30" ht="15.75" x14ac:dyDescent="0.25">
      <c r="A558" s="13">
        <v>58287</v>
      </c>
      <c r="B558" s="88">
        <v>31</v>
      </c>
      <c r="C558" s="77">
        <f>194.205</f>
        <v>194.20500000000001</v>
      </c>
      <c r="D558" s="77">
        <f>267.466</f>
        <v>267.46600000000001</v>
      </c>
      <c r="E558" s="85">
        <f>133.845</f>
        <v>133.845</v>
      </c>
      <c r="F558" s="77">
        <f>278.484-40-25-60-100</f>
        <v>53.48399999999998</v>
      </c>
      <c r="G558" s="80">
        <v>40</v>
      </c>
      <c r="H558" s="77">
        <f t="shared" si="91"/>
        <v>185</v>
      </c>
      <c r="I558" s="77">
        <f t="shared" si="90"/>
        <v>0</v>
      </c>
      <c r="J558" s="80">
        <v>100</v>
      </c>
      <c r="K558" s="80">
        <v>300</v>
      </c>
      <c r="L558" s="77">
        <f t="shared" si="84"/>
        <v>1274</v>
      </c>
      <c r="M558" s="87">
        <v>600</v>
      </c>
      <c r="N558" s="77">
        <f>30</f>
        <v>30</v>
      </c>
      <c r="O558" s="80">
        <v>240</v>
      </c>
      <c r="P558" s="80">
        <v>160</v>
      </c>
      <c r="Q558" s="80">
        <f t="shared" si="85"/>
        <v>195</v>
      </c>
      <c r="R558" s="80">
        <f t="shared" si="86"/>
        <v>100</v>
      </c>
      <c r="S558" s="77">
        <f t="shared" si="87"/>
        <v>695</v>
      </c>
      <c r="T558" s="77">
        <f>0</f>
        <v>0</v>
      </c>
      <c r="U558" s="78"/>
      <c r="V558" s="78"/>
      <c r="W558" s="78"/>
      <c r="X558" s="78"/>
      <c r="Y558" s="78"/>
      <c r="Z558" s="78"/>
      <c r="AA558" s="78"/>
      <c r="AB558" s="78"/>
      <c r="AC558" s="78"/>
      <c r="AD558" s="78"/>
    </row>
    <row r="559" spans="1:30" ht="15.75" x14ac:dyDescent="0.25">
      <c r="A559" s="13">
        <v>58318</v>
      </c>
      <c r="B559" s="88">
        <v>31</v>
      </c>
      <c r="C559" s="77">
        <f>194.205</f>
        <v>194.20500000000001</v>
      </c>
      <c r="D559" s="77">
        <f>267.466</f>
        <v>267.46600000000001</v>
      </c>
      <c r="E559" s="85">
        <f>133.845</f>
        <v>133.845</v>
      </c>
      <c r="F559" s="77">
        <f>278.484-40-25-60-100</f>
        <v>53.48399999999998</v>
      </c>
      <c r="G559" s="80">
        <v>40</v>
      </c>
      <c r="H559" s="77">
        <f t="shared" si="91"/>
        <v>185</v>
      </c>
      <c r="I559" s="77">
        <f t="shared" si="90"/>
        <v>0</v>
      </c>
      <c r="J559" s="80">
        <v>100</v>
      </c>
      <c r="K559" s="80">
        <v>300</v>
      </c>
      <c r="L559" s="77">
        <f t="shared" si="84"/>
        <v>1274</v>
      </c>
      <c r="M559" s="87">
        <v>600</v>
      </c>
      <c r="N559" s="77">
        <f>30</f>
        <v>30</v>
      </c>
      <c r="O559" s="80">
        <v>240</v>
      </c>
      <c r="P559" s="80">
        <v>160</v>
      </c>
      <c r="Q559" s="80">
        <f t="shared" si="85"/>
        <v>195</v>
      </c>
      <c r="R559" s="80">
        <f t="shared" si="86"/>
        <v>100</v>
      </c>
      <c r="S559" s="77">
        <f t="shared" si="87"/>
        <v>695</v>
      </c>
      <c r="T559" s="77">
        <f>0</f>
        <v>0</v>
      </c>
      <c r="U559" s="78"/>
      <c r="V559" s="78"/>
      <c r="W559" s="78"/>
      <c r="X559" s="78"/>
      <c r="Y559" s="78"/>
      <c r="Z559" s="78"/>
      <c r="AA559" s="78"/>
      <c r="AB559" s="78"/>
      <c r="AC559" s="78"/>
      <c r="AD559" s="78"/>
    </row>
    <row r="560" spans="1:30" ht="15.75" x14ac:dyDescent="0.25">
      <c r="A560" s="13">
        <v>58348</v>
      </c>
      <c r="B560" s="88">
        <v>30</v>
      </c>
      <c r="C560" s="77">
        <f>194.205</f>
        <v>194.20500000000001</v>
      </c>
      <c r="D560" s="77">
        <f>267.466</f>
        <v>267.46600000000001</v>
      </c>
      <c r="E560" s="85">
        <f>133.845</f>
        <v>133.845</v>
      </c>
      <c r="F560" s="77">
        <f>278.484-40-25-60-100</f>
        <v>53.48399999999998</v>
      </c>
      <c r="G560" s="80">
        <v>40</v>
      </c>
      <c r="H560" s="77">
        <f t="shared" si="91"/>
        <v>185</v>
      </c>
      <c r="I560" s="77">
        <f t="shared" si="90"/>
        <v>0</v>
      </c>
      <c r="J560" s="80">
        <v>100</v>
      </c>
      <c r="K560" s="80">
        <v>300</v>
      </c>
      <c r="L560" s="77">
        <f t="shared" si="84"/>
        <v>1274</v>
      </c>
      <c r="M560" s="87">
        <v>600</v>
      </c>
      <c r="N560" s="77">
        <f>30</f>
        <v>30</v>
      </c>
      <c r="O560" s="80">
        <v>240</v>
      </c>
      <c r="P560" s="80">
        <v>160</v>
      </c>
      <c r="Q560" s="80">
        <f t="shared" si="85"/>
        <v>195</v>
      </c>
      <c r="R560" s="80">
        <f t="shared" si="86"/>
        <v>100</v>
      </c>
      <c r="S560" s="77">
        <f t="shared" si="87"/>
        <v>695</v>
      </c>
      <c r="T560" s="77">
        <f>0</f>
        <v>0</v>
      </c>
      <c r="U560" s="78"/>
      <c r="V560" s="78"/>
      <c r="W560" s="78"/>
      <c r="X560" s="78"/>
      <c r="Y560" s="78"/>
      <c r="Z560" s="78"/>
      <c r="AA560" s="78"/>
      <c r="AB560" s="78"/>
      <c r="AC560" s="78"/>
      <c r="AD560" s="78"/>
    </row>
    <row r="561" spans="1:30" ht="15.75" x14ac:dyDescent="0.25">
      <c r="A561" s="13">
        <v>58379</v>
      </c>
      <c r="B561" s="88">
        <v>31</v>
      </c>
      <c r="C561" s="77">
        <f>131.881</f>
        <v>131.881</v>
      </c>
      <c r="D561" s="77">
        <f>277.167</f>
        <v>277.16699999999997</v>
      </c>
      <c r="E561" s="85">
        <f>79.08</f>
        <v>79.08</v>
      </c>
      <c r="F561" s="77">
        <f>350.872-40-25-60-100</f>
        <v>125.87200000000001</v>
      </c>
      <c r="G561" s="80">
        <v>40</v>
      </c>
      <c r="H561" s="77">
        <f t="shared" si="91"/>
        <v>185</v>
      </c>
      <c r="I561" s="77">
        <f t="shared" si="90"/>
        <v>0</v>
      </c>
      <c r="J561" s="80">
        <v>100</v>
      </c>
      <c r="K561" s="80">
        <v>300</v>
      </c>
      <c r="L561" s="77">
        <f t="shared" si="84"/>
        <v>1239</v>
      </c>
      <c r="M561" s="87">
        <v>600</v>
      </c>
      <c r="N561" s="77">
        <f>75</f>
        <v>75</v>
      </c>
      <c r="O561" s="80">
        <v>240</v>
      </c>
      <c r="P561" s="80">
        <v>160</v>
      </c>
      <c r="Q561" s="80">
        <f t="shared" si="85"/>
        <v>195</v>
      </c>
      <c r="R561" s="80">
        <f t="shared" si="86"/>
        <v>100</v>
      </c>
      <c r="S561" s="77">
        <f t="shared" si="87"/>
        <v>695</v>
      </c>
      <c r="T561" s="77">
        <f>0</f>
        <v>0</v>
      </c>
      <c r="U561" s="78"/>
      <c r="V561" s="78"/>
      <c r="W561" s="78"/>
      <c r="X561" s="78"/>
      <c r="Y561" s="78"/>
      <c r="Z561" s="78"/>
      <c r="AA561" s="78"/>
      <c r="AB561" s="78"/>
      <c r="AC561" s="78"/>
      <c r="AD561" s="78"/>
    </row>
    <row r="562" spans="1:30" ht="15.75" x14ac:dyDescent="0.25">
      <c r="A562" s="13">
        <v>58409</v>
      </c>
      <c r="B562" s="88">
        <v>30</v>
      </c>
      <c r="C562" s="77">
        <f>122.58</f>
        <v>122.58</v>
      </c>
      <c r="D562" s="77">
        <f>297.941</f>
        <v>297.94099999999997</v>
      </c>
      <c r="E562" s="85">
        <f>89.177</f>
        <v>89.177000000000007</v>
      </c>
      <c r="F562" s="77">
        <f>240.302-40-60-100</f>
        <v>40.301999999999992</v>
      </c>
      <c r="G562" s="80">
        <v>40</v>
      </c>
      <c r="H562" s="77">
        <f>60+100</f>
        <v>160</v>
      </c>
      <c r="I562" s="77">
        <f t="shared" si="90"/>
        <v>0</v>
      </c>
      <c r="J562" s="80">
        <v>100</v>
      </c>
      <c r="K562" s="80">
        <v>300</v>
      </c>
      <c r="L562" s="77">
        <f t="shared" si="84"/>
        <v>1150</v>
      </c>
      <c r="M562" s="87">
        <v>600</v>
      </c>
      <c r="N562" s="77">
        <f>100</f>
        <v>100</v>
      </c>
      <c r="O562" s="80">
        <v>240</v>
      </c>
      <c r="P562" s="80">
        <v>40</v>
      </c>
      <c r="Q562" s="80">
        <f t="shared" si="85"/>
        <v>315</v>
      </c>
      <c r="R562" s="80">
        <f t="shared" si="86"/>
        <v>100</v>
      </c>
      <c r="S562" s="77">
        <f t="shared" si="87"/>
        <v>695</v>
      </c>
      <c r="T562" s="77">
        <f>50</f>
        <v>50</v>
      </c>
      <c r="U562" s="78"/>
      <c r="V562" s="78"/>
      <c r="W562" s="78"/>
      <c r="X562" s="78"/>
      <c r="Y562" s="78"/>
      <c r="Z562" s="78"/>
      <c r="AA562" s="78"/>
      <c r="AB562" s="78"/>
      <c r="AC562" s="78"/>
      <c r="AD562" s="78"/>
    </row>
    <row r="563" spans="1:30" ht="15.75" x14ac:dyDescent="0.25">
      <c r="A563" s="13">
        <v>58440</v>
      </c>
      <c r="B563" s="88">
        <v>31</v>
      </c>
      <c r="C563" s="77">
        <f>122.58</f>
        <v>122.58</v>
      </c>
      <c r="D563" s="77">
        <f>297.941</f>
        <v>297.94099999999997</v>
      </c>
      <c r="E563" s="85">
        <f>89.177</f>
        <v>89.177000000000007</v>
      </c>
      <c r="F563" s="77">
        <f>240.302-40-60-100</f>
        <v>40.301999999999992</v>
      </c>
      <c r="G563" s="80">
        <v>40</v>
      </c>
      <c r="H563" s="77">
        <f>60+100</f>
        <v>160</v>
      </c>
      <c r="I563" s="77">
        <f t="shared" si="90"/>
        <v>0</v>
      </c>
      <c r="J563" s="80">
        <v>100</v>
      </c>
      <c r="K563" s="80">
        <v>300</v>
      </c>
      <c r="L563" s="77">
        <f t="shared" si="84"/>
        <v>1150</v>
      </c>
      <c r="M563" s="87">
        <v>600</v>
      </c>
      <c r="N563" s="77">
        <f>100</f>
        <v>100</v>
      </c>
      <c r="O563" s="80">
        <v>240</v>
      </c>
      <c r="P563" s="80">
        <v>40</v>
      </c>
      <c r="Q563" s="80">
        <f t="shared" si="85"/>
        <v>315</v>
      </c>
      <c r="R563" s="80">
        <f t="shared" si="86"/>
        <v>100</v>
      </c>
      <c r="S563" s="77">
        <f t="shared" si="87"/>
        <v>695</v>
      </c>
      <c r="T563" s="77">
        <f>50</f>
        <v>50</v>
      </c>
      <c r="U563" s="78"/>
      <c r="V563" s="78"/>
      <c r="W563" s="78"/>
      <c r="X563" s="78"/>
      <c r="Y563" s="78"/>
      <c r="Z563" s="78"/>
      <c r="AA563" s="78"/>
      <c r="AB563" s="78"/>
      <c r="AC563" s="78"/>
      <c r="AD563" s="78"/>
    </row>
    <row r="564" spans="1:30" ht="15.75" x14ac:dyDescent="0.25">
      <c r="A564" s="13">
        <v>58471</v>
      </c>
      <c r="B564" s="88">
        <v>31</v>
      </c>
      <c r="C564" s="77">
        <f>122.58</f>
        <v>122.58</v>
      </c>
      <c r="D564" s="77">
        <f>297.941</f>
        <v>297.94099999999997</v>
      </c>
      <c r="E564" s="85">
        <f>89.177</f>
        <v>89.177000000000007</v>
      </c>
      <c r="F564" s="77">
        <f>240.302-40-60-100</f>
        <v>40.301999999999992</v>
      </c>
      <c r="G564" s="80">
        <v>40</v>
      </c>
      <c r="H564" s="77">
        <f>60+100</f>
        <v>160</v>
      </c>
      <c r="I564" s="77">
        <f t="shared" si="90"/>
        <v>0</v>
      </c>
      <c r="J564" s="80">
        <v>100</v>
      </c>
      <c r="K564" s="80">
        <v>300</v>
      </c>
      <c r="L564" s="77">
        <f t="shared" si="84"/>
        <v>1150</v>
      </c>
      <c r="M564" s="87">
        <v>600</v>
      </c>
      <c r="N564" s="77">
        <f>100</f>
        <v>100</v>
      </c>
      <c r="O564" s="80">
        <v>240</v>
      </c>
      <c r="P564" s="80">
        <v>40</v>
      </c>
      <c r="Q564" s="80">
        <f t="shared" si="85"/>
        <v>315</v>
      </c>
      <c r="R564" s="80">
        <f t="shared" si="86"/>
        <v>100</v>
      </c>
      <c r="S564" s="77">
        <f t="shared" si="87"/>
        <v>695</v>
      </c>
      <c r="T564" s="77">
        <f>50</f>
        <v>50</v>
      </c>
      <c r="U564" s="78"/>
      <c r="V564" s="78"/>
      <c r="W564" s="78"/>
      <c r="X564" s="78"/>
      <c r="Y564" s="78"/>
      <c r="Z564" s="78"/>
      <c r="AA564" s="78"/>
      <c r="AB564" s="78"/>
      <c r="AC564" s="78"/>
      <c r="AD564" s="78"/>
    </row>
    <row r="565" spans="1:30" ht="15.75" x14ac:dyDescent="0.25">
      <c r="A565" s="13">
        <v>58499</v>
      </c>
      <c r="B565" s="88">
        <v>29</v>
      </c>
      <c r="C565" s="77">
        <f>122.58</f>
        <v>122.58</v>
      </c>
      <c r="D565" s="77">
        <f>297.941</f>
        <v>297.94099999999997</v>
      </c>
      <c r="E565" s="85">
        <f>89.177</f>
        <v>89.177000000000007</v>
      </c>
      <c r="F565" s="77">
        <f>240.302-40-60-100</f>
        <v>40.301999999999992</v>
      </c>
      <c r="G565" s="80">
        <v>40</v>
      </c>
      <c r="H565" s="77">
        <f>60+100</f>
        <v>160</v>
      </c>
      <c r="I565" s="77">
        <f t="shared" si="90"/>
        <v>0</v>
      </c>
      <c r="J565" s="80">
        <v>100</v>
      </c>
      <c r="K565" s="80">
        <v>300</v>
      </c>
      <c r="L565" s="77">
        <f t="shared" si="84"/>
        <v>1150</v>
      </c>
      <c r="M565" s="87">
        <v>600</v>
      </c>
      <c r="N565" s="77">
        <f>100</f>
        <v>100</v>
      </c>
      <c r="O565" s="80">
        <v>240</v>
      </c>
      <c r="P565" s="80">
        <v>40</v>
      </c>
      <c r="Q565" s="80">
        <f t="shared" si="85"/>
        <v>315</v>
      </c>
      <c r="R565" s="80">
        <f t="shared" si="86"/>
        <v>100</v>
      </c>
      <c r="S565" s="77">
        <f t="shared" si="87"/>
        <v>695</v>
      </c>
      <c r="T565" s="77">
        <f>50</f>
        <v>50</v>
      </c>
      <c r="U565" s="78"/>
      <c r="V565" s="78"/>
      <c r="W565" s="78"/>
      <c r="X565" s="78"/>
      <c r="Y565" s="78"/>
      <c r="Z565" s="78"/>
      <c r="AA565" s="78"/>
      <c r="AB565" s="78"/>
      <c r="AC565" s="78"/>
      <c r="AD565" s="78"/>
    </row>
    <row r="566" spans="1:30" ht="15.75" x14ac:dyDescent="0.25">
      <c r="A566" s="13">
        <v>58531</v>
      </c>
      <c r="B566" s="88">
        <v>31</v>
      </c>
      <c r="C566" s="77">
        <f>122.58</f>
        <v>122.58</v>
      </c>
      <c r="D566" s="77">
        <f>297.941</f>
        <v>297.94099999999997</v>
      </c>
      <c r="E566" s="85">
        <f>89.177</f>
        <v>89.177000000000007</v>
      </c>
      <c r="F566" s="77">
        <f>240.302-40-60-100</f>
        <v>40.301999999999992</v>
      </c>
      <c r="G566" s="80">
        <v>40</v>
      </c>
      <c r="H566" s="77">
        <f>60+100</f>
        <v>160</v>
      </c>
      <c r="I566" s="77">
        <f t="shared" si="90"/>
        <v>0</v>
      </c>
      <c r="J566" s="80">
        <v>100</v>
      </c>
      <c r="K566" s="80">
        <v>300</v>
      </c>
      <c r="L566" s="77">
        <f t="shared" si="84"/>
        <v>1150</v>
      </c>
      <c r="M566" s="87">
        <v>600</v>
      </c>
      <c r="N566" s="77">
        <f>100</f>
        <v>100</v>
      </c>
      <c r="O566" s="80">
        <v>240</v>
      </c>
      <c r="P566" s="80">
        <v>40</v>
      </c>
      <c r="Q566" s="80">
        <f t="shared" si="85"/>
        <v>315</v>
      </c>
      <c r="R566" s="80">
        <f t="shared" si="86"/>
        <v>100</v>
      </c>
      <c r="S566" s="77">
        <f t="shared" si="87"/>
        <v>695</v>
      </c>
      <c r="T566" s="77">
        <f>50</f>
        <v>50</v>
      </c>
      <c r="U566" s="78"/>
      <c r="V566" s="78"/>
      <c r="W566" s="78"/>
      <c r="X566" s="78"/>
      <c r="Y566" s="78"/>
      <c r="Z566" s="78"/>
      <c r="AA566" s="78"/>
      <c r="AB566" s="78"/>
      <c r="AC566" s="78"/>
      <c r="AD566" s="78"/>
    </row>
    <row r="567" spans="1:30" ht="15.75" x14ac:dyDescent="0.25">
      <c r="A567" s="13">
        <v>58561</v>
      </c>
      <c r="B567" s="88">
        <v>30</v>
      </c>
      <c r="C567" s="77">
        <f>141.293</f>
        <v>141.29300000000001</v>
      </c>
      <c r="D567" s="77">
        <f>267.993</f>
        <v>267.99299999999999</v>
      </c>
      <c r="E567" s="85">
        <f>115.016</f>
        <v>115.01600000000001</v>
      </c>
      <c r="F567" s="77">
        <f>314.698-40-25-60-100</f>
        <v>89.697999999999979</v>
      </c>
      <c r="G567" s="80">
        <v>40</v>
      </c>
      <c r="H567" s="77">
        <f t="shared" ref="H567:H573" si="92">25+60+100</f>
        <v>185</v>
      </c>
      <c r="I567" s="77">
        <f t="shared" si="90"/>
        <v>0</v>
      </c>
      <c r="J567" s="80">
        <v>100</v>
      </c>
      <c r="K567" s="80">
        <v>300</v>
      </c>
      <c r="L567" s="77">
        <f t="shared" si="84"/>
        <v>1239</v>
      </c>
      <c r="M567" s="87">
        <v>600</v>
      </c>
      <c r="N567" s="77">
        <f>100</f>
        <v>100</v>
      </c>
      <c r="O567" s="80">
        <v>240</v>
      </c>
      <c r="P567" s="80">
        <v>160</v>
      </c>
      <c r="Q567" s="80">
        <f t="shared" si="85"/>
        <v>195</v>
      </c>
      <c r="R567" s="80">
        <f t="shared" si="86"/>
        <v>100</v>
      </c>
      <c r="S567" s="77">
        <f t="shared" si="87"/>
        <v>695</v>
      </c>
      <c r="T567" s="77">
        <f>50</f>
        <v>50</v>
      </c>
      <c r="U567" s="78"/>
      <c r="V567" s="78"/>
      <c r="W567" s="78"/>
      <c r="X567" s="78"/>
      <c r="Y567" s="78"/>
      <c r="Z567" s="78"/>
      <c r="AA567" s="78"/>
      <c r="AB567" s="78"/>
      <c r="AC567" s="78"/>
      <c r="AD567" s="78"/>
    </row>
    <row r="568" spans="1:30" ht="15.75" x14ac:dyDescent="0.25">
      <c r="A568" s="13">
        <v>58592</v>
      </c>
      <c r="B568" s="88">
        <v>31</v>
      </c>
      <c r="C568" s="77">
        <f>194.205</f>
        <v>194.20500000000001</v>
      </c>
      <c r="D568" s="77">
        <f>267.466</f>
        <v>267.46600000000001</v>
      </c>
      <c r="E568" s="85">
        <f>133.845</f>
        <v>133.845</v>
      </c>
      <c r="F568" s="77">
        <f>278.484-40-25-60-100</f>
        <v>53.48399999999998</v>
      </c>
      <c r="G568" s="80">
        <v>40</v>
      </c>
      <c r="H568" s="77">
        <f t="shared" si="92"/>
        <v>185</v>
      </c>
      <c r="I568" s="77">
        <f t="shared" si="90"/>
        <v>0</v>
      </c>
      <c r="J568" s="80">
        <v>100</v>
      </c>
      <c r="K568" s="80">
        <v>300</v>
      </c>
      <c r="L568" s="77">
        <f t="shared" si="84"/>
        <v>1274</v>
      </c>
      <c r="M568" s="87">
        <v>600</v>
      </c>
      <c r="N568" s="77">
        <f>75</f>
        <v>75</v>
      </c>
      <c r="O568" s="80">
        <v>240</v>
      </c>
      <c r="P568" s="80">
        <v>160</v>
      </c>
      <c r="Q568" s="80">
        <f t="shared" si="85"/>
        <v>195</v>
      </c>
      <c r="R568" s="80">
        <f t="shared" si="86"/>
        <v>100</v>
      </c>
      <c r="S568" s="77">
        <f t="shared" si="87"/>
        <v>695</v>
      </c>
      <c r="T568" s="77">
        <f>50</f>
        <v>50</v>
      </c>
      <c r="U568" s="78"/>
      <c r="V568" s="78"/>
      <c r="W568" s="78"/>
      <c r="X568" s="78"/>
      <c r="Y568" s="78"/>
      <c r="Z568" s="78"/>
      <c r="AA568" s="78"/>
      <c r="AB568" s="78"/>
      <c r="AC568" s="78"/>
      <c r="AD568" s="78"/>
    </row>
    <row r="569" spans="1:30" ht="15.75" x14ac:dyDescent="0.25">
      <c r="A569" s="13">
        <v>58622</v>
      </c>
      <c r="B569" s="88">
        <v>30</v>
      </c>
      <c r="C569" s="77">
        <f>194.205</f>
        <v>194.20500000000001</v>
      </c>
      <c r="D569" s="77">
        <f>267.466</f>
        <v>267.46600000000001</v>
      </c>
      <c r="E569" s="85">
        <f>133.845</f>
        <v>133.845</v>
      </c>
      <c r="F569" s="77">
        <f>278.484-40-25-60-100</f>
        <v>53.48399999999998</v>
      </c>
      <c r="G569" s="80">
        <v>40</v>
      </c>
      <c r="H569" s="77">
        <f t="shared" si="92"/>
        <v>185</v>
      </c>
      <c r="I569" s="77">
        <f t="shared" si="90"/>
        <v>0</v>
      </c>
      <c r="J569" s="80">
        <v>100</v>
      </c>
      <c r="K569" s="80">
        <v>300</v>
      </c>
      <c r="L569" s="77">
        <f t="shared" si="84"/>
        <v>1274</v>
      </c>
      <c r="M569" s="87">
        <v>600</v>
      </c>
      <c r="N569" s="77">
        <f>30</f>
        <v>30</v>
      </c>
      <c r="O569" s="80">
        <v>240</v>
      </c>
      <c r="P569" s="80">
        <v>160</v>
      </c>
      <c r="Q569" s="80">
        <f t="shared" si="85"/>
        <v>195</v>
      </c>
      <c r="R569" s="80">
        <f t="shared" si="86"/>
        <v>100</v>
      </c>
      <c r="S569" s="77">
        <f t="shared" si="87"/>
        <v>695</v>
      </c>
      <c r="T569" s="77">
        <f>50</f>
        <v>50</v>
      </c>
      <c r="U569" s="78"/>
      <c r="V569" s="78"/>
      <c r="W569" s="78"/>
      <c r="X569" s="78"/>
      <c r="Y569" s="78"/>
      <c r="Z569" s="78"/>
      <c r="AA569" s="78"/>
      <c r="AB569" s="78"/>
      <c r="AC569" s="78"/>
      <c r="AD569" s="78"/>
    </row>
    <row r="570" spans="1:30" ht="15.75" x14ac:dyDescent="0.25">
      <c r="A570" s="13">
        <v>58653</v>
      </c>
      <c r="B570" s="88">
        <v>31</v>
      </c>
      <c r="C570" s="77">
        <f>194.205</f>
        <v>194.20500000000001</v>
      </c>
      <c r="D570" s="77">
        <f>267.466</f>
        <v>267.46600000000001</v>
      </c>
      <c r="E570" s="85">
        <f>133.845</f>
        <v>133.845</v>
      </c>
      <c r="F570" s="77">
        <f>278.484-40-25-60-100</f>
        <v>53.48399999999998</v>
      </c>
      <c r="G570" s="80">
        <v>40</v>
      </c>
      <c r="H570" s="77">
        <f t="shared" si="92"/>
        <v>185</v>
      </c>
      <c r="I570" s="77">
        <f t="shared" si="90"/>
        <v>0</v>
      </c>
      <c r="J570" s="80">
        <v>100</v>
      </c>
      <c r="K570" s="80">
        <v>300</v>
      </c>
      <c r="L570" s="77">
        <f t="shared" si="84"/>
        <v>1274</v>
      </c>
      <c r="M570" s="87">
        <v>600</v>
      </c>
      <c r="N570" s="77">
        <f>30</f>
        <v>30</v>
      </c>
      <c r="O570" s="80">
        <v>240</v>
      </c>
      <c r="P570" s="80">
        <v>160</v>
      </c>
      <c r="Q570" s="80">
        <f t="shared" si="85"/>
        <v>195</v>
      </c>
      <c r="R570" s="80">
        <f t="shared" si="86"/>
        <v>100</v>
      </c>
      <c r="S570" s="77">
        <f t="shared" si="87"/>
        <v>695</v>
      </c>
      <c r="T570" s="77">
        <f>0</f>
        <v>0</v>
      </c>
      <c r="U570" s="78"/>
      <c r="V570" s="78"/>
      <c r="W570" s="78"/>
      <c r="X570" s="78"/>
      <c r="Y570" s="78"/>
      <c r="Z570" s="78"/>
      <c r="AA570" s="78"/>
      <c r="AB570" s="78"/>
      <c r="AC570" s="78"/>
      <c r="AD570" s="78"/>
    </row>
    <row r="571" spans="1:30" ht="15.75" x14ac:dyDescent="0.25">
      <c r="A571" s="13">
        <v>58684</v>
      </c>
      <c r="B571" s="88">
        <v>31</v>
      </c>
      <c r="C571" s="77">
        <f>194.205</f>
        <v>194.20500000000001</v>
      </c>
      <c r="D571" s="77">
        <f>267.466</f>
        <v>267.46600000000001</v>
      </c>
      <c r="E571" s="85">
        <f>133.845</f>
        <v>133.845</v>
      </c>
      <c r="F571" s="77">
        <f>278.484-40-25-60-100</f>
        <v>53.48399999999998</v>
      </c>
      <c r="G571" s="80">
        <v>40</v>
      </c>
      <c r="H571" s="77">
        <f t="shared" si="92"/>
        <v>185</v>
      </c>
      <c r="I571" s="77">
        <f t="shared" si="90"/>
        <v>0</v>
      </c>
      <c r="J571" s="80">
        <v>100</v>
      </c>
      <c r="K571" s="80">
        <v>300</v>
      </c>
      <c r="L571" s="77">
        <f t="shared" si="84"/>
        <v>1274</v>
      </c>
      <c r="M571" s="87">
        <v>600</v>
      </c>
      <c r="N571" s="77">
        <f>30</f>
        <v>30</v>
      </c>
      <c r="O571" s="80">
        <v>240</v>
      </c>
      <c r="P571" s="80">
        <v>160</v>
      </c>
      <c r="Q571" s="80">
        <f t="shared" si="85"/>
        <v>195</v>
      </c>
      <c r="R571" s="80">
        <f t="shared" si="86"/>
        <v>100</v>
      </c>
      <c r="S571" s="77">
        <f t="shared" si="87"/>
        <v>695</v>
      </c>
      <c r="T571" s="77">
        <f>0</f>
        <v>0</v>
      </c>
      <c r="U571" s="78"/>
      <c r="V571" s="78"/>
      <c r="W571" s="78"/>
      <c r="X571" s="78"/>
      <c r="Y571" s="78"/>
      <c r="Z571" s="78"/>
      <c r="AA571" s="78"/>
      <c r="AB571" s="78"/>
      <c r="AC571" s="78"/>
      <c r="AD571" s="78"/>
    </row>
    <row r="572" spans="1:30" ht="15.75" x14ac:dyDescent="0.25">
      <c r="A572" s="13">
        <v>58714</v>
      </c>
      <c r="B572" s="88">
        <v>30</v>
      </c>
      <c r="C572" s="77">
        <f>194.205</f>
        <v>194.20500000000001</v>
      </c>
      <c r="D572" s="77">
        <f>267.466</f>
        <v>267.46600000000001</v>
      </c>
      <c r="E572" s="85">
        <f>133.845</f>
        <v>133.845</v>
      </c>
      <c r="F572" s="77">
        <f>278.484-40-25-60-100</f>
        <v>53.48399999999998</v>
      </c>
      <c r="G572" s="80">
        <v>40</v>
      </c>
      <c r="H572" s="77">
        <f t="shared" si="92"/>
        <v>185</v>
      </c>
      <c r="I572" s="77">
        <f t="shared" si="90"/>
        <v>0</v>
      </c>
      <c r="J572" s="80">
        <v>100</v>
      </c>
      <c r="K572" s="80">
        <v>300</v>
      </c>
      <c r="L572" s="77">
        <f t="shared" si="84"/>
        <v>1274</v>
      </c>
      <c r="M572" s="87">
        <v>600</v>
      </c>
      <c r="N572" s="77">
        <f>30</f>
        <v>30</v>
      </c>
      <c r="O572" s="80">
        <v>240</v>
      </c>
      <c r="P572" s="80">
        <v>160</v>
      </c>
      <c r="Q572" s="80">
        <f t="shared" si="85"/>
        <v>195</v>
      </c>
      <c r="R572" s="80">
        <f t="shared" si="86"/>
        <v>100</v>
      </c>
      <c r="S572" s="77">
        <f t="shared" si="87"/>
        <v>695</v>
      </c>
      <c r="T572" s="77">
        <f>0</f>
        <v>0</v>
      </c>
      <c r="U572" s="78"/>
      <c r="V572" s="78"/>
      <c r="W572" s="78"/>
      <c r="X572" s="78"/>
      <c r="Y572" s="78"/>
      <c r="Z572" s="78"/>
      <c r="AA572" s="78"/>
      <c r="AB572" s="78"/>
      <c r="AC572" s="78"/>
      <c r="AD572" s="78"/>
    </row>
    <row r="573" spans="1:30" ht="15.75" x14ac:dyDescent="0.25">
      <c r="A573" s="13">
        <v>58745</v>
      </c>
      <c r="B573" s="88">
        <v>31</v>
      </c>
      <c r="C573" s="77">
        <f>131.881</f>
        <v>131.881</v>
      </c>
      <c r="D573" s="77">
        <f>277.167</f>
        <v>277.16699999999997</v>
      </c>
      <c r="E573" s="85">
        <f>79.08</f>
        <v>79.08</v>
      </c>
      <c r="F573" s="77">
        <f>350.872-40-25-60-100</f>
        <v>125.87200000000001</v>
      </c>
      <c r="G573" s="80">
        <v>40</v>
      </c>
      <c r="H573" s="77">
        <f t="shared" si="92"/>
        <v>185</v>
      </c>
      <c r="I573" s="77">
        <f t="shared" si="90"/>
        <v>0</v>
      </c>
      <c r="J573" s="80">
        <v>100</v>
      </c>
      <c r="K573" s="80">
        <v>300</v>
      </c>
      <c r="L573" s="77">
        <f t="shared" si="84"/>
        <v>1239</v>
      </c>
      <c r="M573" s="87">
        <v>600</v>
      </c>
      <c r="N573" s="77">
        <f>75</f>
        <v>75</v>
      </c>
      <c r="O573" s="80">
        <v>240</v>
      </c>
      <c r="P573" s="80">
        <v>160</v>
      </c>
      <c r="Q573" s="80">
        <f t="shared" si="85"/>
        <v>195</v>
      </c>
      <c r="R573" s="80">
        <f t="shared" si="86"/>
        <v>100</v>
      </c>
      <c r="S573" s="77">
        <f t="shared" si="87"/>
        <v>695</v>
      </c>
      <c r="T573" s="77">
        <f>0</f>
        <v>0</v>
      </c>
      <c r="U573" s="78"/>
      <c r="V573" s="78"/>
      <c r="W573" s="78"/>
      <c r="X573" s="78"/>
      <c r="Y573" s="78"/>
      <c r="Z573" s="78"/>
      <c r="AA573" s="78"/>
      <c r="AB573" s="78"/>
      <c r="AC573" s="78"/>
      <c r="AD573" s="78"/>
    </row>
    <row r="574" spans="1:30" ht="15.75" x14ac:dyDescent="0.25">
      <c r="A574" s="13">
        <v>58775</v>
      </c>
      <c r="B574" s="88">
        <v>30</v>
      </c>
      <c r="C574" s="77">
        <f>122.58</f>
        <v>122.58</v>
      </c>
      <c r="D574" s="77">
        <f>297.941</f>
        <v>297.94099999999997</v>
      </c>
      <c r="E574" s="85">
        <f>89.177</f>
        <v>89.177000000000007</v>
      </c>
      <c r="F574" s="77">
        <f>240.302-40-60-100</f>
        <v>40.301999999999992</v>
      </c>
      <c r="G574" s="80">
        <v>40</v>
      </c>
      <c r="H574" s="77">
        <f>60+100</f>
        <v>160</v>
      </c>
      <c r="I574" s="77">
        <f t="shared" si="90"/>
        <v>0</v>
      </c>
      <c r="J574" s="80">
        <v>100</v>
      </c>
      <c r="K574" s="80">
        <v>300</v>
      </c>
      <c r="L574" s="77">
        <f t="shared" si="84"/>
        <v>1150</v>
      </c>
      <c r="M574" s="87">
        <v>600</v>
      </c>
      <c r="N574" s="77">
        <f>100</f>
        <v>100</v>
      </c>
      <c r="O574" s="80">
        <v>240</v>
      </c>
      <c r="P574" s="80">
        <v>40</v>
      </c>
      <c r="Q574" s="80">
        <f t="shared" si="85"/>
        <v>315</v>
      </c>
      <c r="R574" s="80">
        <f t="shared" si="86"/>
        <v>100</v>
      </c>
      <c r="S574" s="77">
        <f t="shared" si="87"/>
        <v>695</v>
      </c>
      <c r="T574" s="77">
        <f>50</f>
        <v>50</v>
      </c>
      <c r="U574" s="78"/>
      <c r="V574" s="78"/>
      <c r="W574" s="78"/>
      <c r="X574" s="78"/>
      <c r="Y574" s="78"/>
      <c r="Z574" s="78"/>
      <c r="AA574" s="78"/>
      <c r="AB574" s="78"/>
      <c r="AC574" s="78"/>
      <c r="AD574" s="78"/>
    </row>
    <row r="575" spans="1:30" ht="15.75" x14ac:dyDescent="0.25">
      <c r="A575" s="13">
        <v>58806</v>
      </c>
      <c r="B575" s="88">
        <v>31</v>
      </c>
      <c r="C575" s="77">
        <f>122.58</f>
        <v>122.58</v>
      </c>
      <c r="D575" s="77">
        <f>297.941</f>
        <v>297.94099999999997</v>
      </c>
      <c r="E575" s="85">
        <f>89.177</f>
        <v>89.177000000000007</v>
      </c>
      <c r="F575" s="77">
        <f>240.302-40-60-100</f>
        <v>40.301999999999992</v>
      </c>
      <c r="G575" s="80">
        <v>40</v>
      </c>
      <c r="H575" s="77">
        <f>60+100</f>
        <v>160</v>
      </c>
      <c r="I575" s="77">
        <f t="shared" si="90"/>
        <v>0</v>
      </c>
      <c r="J575" s="80">
        <v>100</v>
      </c>
      <c r="K575" s="80">
        <v>300</v>
      </c>
      <c r="L575" s="77">
        <f t="shared" si="84"/>
        <v>1150</v>
      </c>
      <c r="M575" s="87">
        <v>600</v>
      </c>
      <c r="N575" s="77">
        <f>100</f>
        <v>100</v>
      </c>
      <c r="O575" s="80">
        <v>240</v>
      </c>
      <c r="P575" s="80">
        <v>40</v>
      </c>
      <c r="Q575" s="80">
        <f t="shared" si="85"/>
        <v>315</v>
      </c>
      <c r="R575" s="80">
        <f t="shared" si="86"/>
        <v>100</v>
      </c>
      <c r="S575" s="77">
        <f t="shared" si="87"/>
        <v>695</v>
      </c>
      <c r="T575" s="77">
        <f>50</f>
        <v>50</v>
      </c>
      <c r="U575" s="78"/>
      <c r="V575" s="78"/>
      <c r="W575" s="78"/>
      <c r="X575" s="78"/>
      <c r="Y575" s="78"/>
      <c r="Z575" s="78"/>
      <c r="AA575" s="78"/>
      <c r="AB575" s="78"/>
      <c r="AC575" s="78"/>
      <c r="AD575" s="78"/>
    </row>
    <row r="576" spans="1:30" ht="15.75" x14ac:dyDescent="0.25">
      <c r="A576" s="13">
        <v>58837</v>
      </c>
      <c r="B576" s="88">
        <v>31</v>
      </c>
      <c r="C576" s="77">
        <f>122.58</f>
        <v>122.58</v>
      </c>
      <c r="D576" s="77">
        <f>297.941</f>
        <v>297.94099999999997</v>
      </c>
      <c r="E576" s="85">
        <f>89.177</f>
        <v>89.177000000000007</v>
      </c>
      <c r="F576" s="77">
        <f>240.302-40-60-100</f>
        <v>40.301999999999992</v>
      </c>
      <c r="G576" s="80">
        <v>40</v>
      </c>
      <c r="H576" s="77">
        <f>60+100</f>
        <v>160</v>
      </c>
      <c r="I576" s="77">
        <f t="shared" si="90"/>
        <v>0</v>
      </c>
      <c r="J576" s="80">
        <v>100</v>
      </c>
      <c r="K576" s="80">
        <v>300</v>
      </c>
      <c r="L576" s="77">
        <f t="shared" si="84"/>
        <v>1150</v>
      </c>
      <c r="M576" s="87">
        <v>600</v>
      </c>
      <c r="N576" s="77">
        <f>100</f>
        <v>100</v>
      </c>
      <c r="O576" s="80">
        <v>240</v>
      </c>
      <c r="P576" s="80">
        <v>40</v>
      </c>
      <c r="Q576" s="80">
        <f t="shared" si="85"/>
        <v>315</v>
      </c>
      <c r="R576" s="80">
        <f t="shared" si="86"/>
        <v>100</v>
      </c>
      <c r="S576" s="77">
        <f t="shared" si="87"/>
        <v>695</v>
      </c>
      <c r="T576" s="77">
        <f>50</f>
        <v>50</v>
      </c>
      <c r="U576" s="78"/>
      <c r="V576" s="78"/>
      <c r="W576" s="78"/>
      <c r="X576" s="78"/>
      <c r="Y576" s="78"/>
      <c r="Z576" s="78"/>
      <c r="AA576" s="78"/>
      <c r="AB576" s="78"/>
      <c r="AC576" s="78"/>
      <c r="AD576" s="78"/>
    </row>
    <row r="577" spans="1:30" ht="15.75" x14ac:dyDescent="0.25">
      <c r="A577" s="13">
        <v>58865</v>
      </c>
      <c r="B577" s="88">
        <v>28</v>
      </c>
      <c r="C577" s="77">
        <f>122.58</f>
        <v>122.58</v>
      </c>
      <c r="D577" s="77">
        <f>297.941</f>
        <v>297.94099999999997</v>
      </c>
      <c r="E577" s="85">
        <f>89.177</f>
        <v>89.177000000000007</v>
      </c>
      <c r="F577" s="77">
        <f>240.302-40-60-100</f>
        <v>40.301999999999992</v>
      </c>
      <c r="G577" s="80">
        <v>40</v>
      </c>
      <c r="H577" s="77">
        <f>60+100</f>
        <v>160</v>
      </c>
      <c r="I577" s="77">
        <f t="shared" si="90"/>
        <v>0</v>
      </c>
      <c r="J577" s="80">
        <v>100</v>
      </c>
      <c r="K577" s="80">
        <v>300</v>
      </c>
      <c r="L577" s="77">
        <f t="shared" si="84"/>
        <v>1150</v>
      </c>
      <c r="M577" s="87">
        <v>600</v>
      </c>
      <c r="N577" s="77">
        <f>100</f>
        <v>100</v>
      </c>
      <c r="O577" s="80">
        <v>240</v>
      </c>
      <c r="P577" s="80">
        <v>40</v>
      </c>
      <c r="Q577" s="80">
        <f t="shared" si="85"/>
        <v>315</v>
      </c>
      <c r="R577" s="80">
        <f t="shared" si="86"/>
        <v>100</v>
      </c>
      <c r="S577" s="77">
        <f t="shared" si="87"/>
        <v>695</v>
      </c>
      <c r="T577" s="77">
        <f>50</f>
        <v>50</v>
      </c>
      <c r="U577" s="78"/>
      <c r="V577" s="78"/>
      <c r="W577" s="78"/>
      <c r="X577" s="78"/>
      <c r="Y577" s="78"/>
      <c r="Z577" s="78"/>
      <c r="AA577" s="78"/>
      <c r="AB577" s="78"/>
      <c r="AC577" s="78"/>
      <c r="AD577" s="78"/>
    </row>
    <row r="578" spans="1:30" ht="15.75" x14ac:dyDescent="0.25">
      <c r="A578" s="13">
        <v>58893</v>
      </c>
      <c r="B578" s="88">
        <v>31</v>
      </c>
      <c r="C578" s="77">
        <f>122.58</f>
        <v>122.58</v>
      </c>
      <c r="D578" s="77">
        <f>297.941</f>
        <v>297.94099999999997</v>
      </c>
      <c r="E578" s="85">
        <f>89.177</f>
        <v>89.177000000000007</v>
      </c>
      <c r="F578" s="77">
        <f>240.302-40-60-100</f>
        <v>40.301999999999992</v>
      </c>
      <c r="G578" s="80">
        <v>40</v>
      </c>
      <c r="H578" s="77">
        <f>60+100</f>
        <v>160</v>
      </c>
      <c r="I578" s="77">
        <f t="shared" si="90"/>
        <v>0</v>
      </c>
      <c r="J578" s="80">
        <v>100</v>
      </c>
      <c r="K578" s="80">
        <v>300</v>
      </c>
      <c r="L578" s="77">
        <f t="shared" si="84"/>
        <v>1150</v>
      </c>
      <c r="M578" s="87">
        <v>600</v>
      </c>
      <c r="N578" s="77">
        <f>100</f>
        <v>100</v>
      </c>
      <c r="O578" s="80">
        <v>240</v>
      </c>
      <c r="P578" s="80">
        <v>40</v>
      </c>
      <c r="Q578" s="80">
        <f t="shared" si="85"/>
        <v>315</v>
      </c>
      <c r="R578" s="80">
        <f t="shared" si="86"/>
        <v>100</v>
      </c>
      <c r="S578" s="77">
        <f t="shared" si="87"/>
        <v>695</v>
      </c>
      <c r="T578" s="77">
        <f>50</f>
        <v>50</v>
      </c>
      <c r="U578" s="78"/>
      <c r="V578" s="78"/>
      <c r="W578" s="78"/>
      <c r="X578" s="78"/>
      <c r="Y578" s="78"/>
      <c r="Z578" s="78"/>
      <c r="AA578" s="78"/>
      <c r="AB578" s="78"/>
      <c r="AC578" s="78"/>
      <c r="AD578" s="78"/>
    </row>
    <row r="579" spans="1:30" ht="15.75" x14ac:dyDescent="0.25">
      <c r="A579" s="13">
        <v>58926</v>
      </c>
      <c r="B579" s="88">
        <v>30</v>
      </c>
      <c r="C579" s="77">
        <f>141.293</f>
        <v>141.29300000000001</v>
      </c>
      <c r="D579" s="77">
        <f>267.993</f>
        <v>267.99299999999999</v>
      </c>
      <c r="E579" s="85">
        <f>115.016</f>
        <v>115.01600000000001</v>
      </c>
      <c r="F579" s="77">
        <f>314.698-40-25-60-100</f>
        <v>89.697999999999979</v>
      </c>
      <c r="G579" s="80">
        <v>40</v>
      </c>
      <c r="H579" s="77">
        <f t="shared" ref="H579:H585" si="93">25+60+100</f>
        <v>185</v>
      </c>
      <c r="I579" s="77">
        <f t="shared" si="90"/>
        <v>0</v>
      </c>
      <c r="J579" s="80">
        <v>100</v>
      </c>
      <c r="K579" s="80">
        <v>300</v>
      </c>
      <c r="L579" s="77">
        <f t="shared" si="84"/>
        <v>1239</v>
      </c>
      <c r="M579" s="87">
        <v>600</v>
      </c>
      <c r="N579" s="77">
        <f>100</f>
        <v>100</v>
      </c>
      <c r="O579" s="80">
        <v>240</v>
      </c>
      <c r="P579" s="80">
        <v>160</v>
      </c>
      <c r="Q579" s="80">
        <f t="shared" si="85"/>
        <v>195</v>
      </c>
      <c r="R579" s="80">
        <f t="shared" si="86"/>
        <v>100</v>
      </c>
      <c r="S579" s="77">
        <f t="shared" si="87"/>
        <v>695</v>
      </c>
      <c r="T579" s="77">
        <f>50</f>
        <v>50</v>
      </c>
      <c r="U579" s="78"/>
      <c r="V579" s="78"/>
      <c r="W579" s="78"/>
      <c r="X579" s="78"/>
      <c r="Y579" s="78"/>
      <c r="Z579" s="78"/>
      <c r="AA579" s="78"/>
      <c r="AB579" s="78"/>
      <c r="AC579" s="78"/>
      <c r="AD579" s="78"/>
    </row>
    <row r="580" spans="1:30" ht="15.75" x14ac:dyDescent="0.25">
      <c r="A580" s="13">
        <v>58957</v>
      </c>
      <c r="B580" s="88">
        <v>31</v>
      </c>
      <c r="C580" s="77">
        <f>194.205</f>
        <v>194.20500000000001</v>
      </c>
      <c r="D580" s="77">
        <f>267.466</f>
        <v>267.46600000000001</v>
      </c>
      <c r="E580" s="85">
        <f>133.845</f>
        <v>133.845</v>
      </c>
      <c r="F580" s="77">
        <f>278.484-40-25-60-100</f>
        <v>53.48399999999998</v>
      </c>
      <c r="G580" s="80">
        <v>40</v>
      </c>
      <c r="H580" s="77">
        <f t="shared" si="93"/>
        <v>185</v>
      </c>
      <c r="I580" s="77">
        <f t="shared" si="90"/>
        <v>0</v>
      </c>
      <c r="J580" s="80">
        <v>100</v>
      </c>
      <c r="K580" s="80">
        <v>300</v>
      </c>
      <c r="L580" s="77">
        <f t="shared" si="84"/>
        <v>1274</v>
      </c>
      <c r="M580" s="87">
        <v>600</v>
      </c>
      <c r="N580" s="77">
        <f>75</f>
        <v>75</v>
      </c>
      <c r="O580" s="80">
        <v>240</v>
      </c>
      <c r="P580" s="80">
        <v>160</v>
      </c>
      <c r="Q580" s="80">
        <f t="shared" si="85"/>
        <v>195</v>
      </c>
      <c r="R580" s="80">
        <f t="shared" si="86"/>
        <v>100</v>
      </c>
      <c r="S580" s="77">
        <f t="shared" si="87"/>
        <v>695</v>
      </c>
      <c r="T580" s="77">
        <f>50</f>
        <v>50</v>
      </c>
      <c r="U580" s="78"/>
      <c r="V580" s="78"/>
      <c r="W580" s="78"/>
      <c r="X580" s="78"/>
      <c r="Y580" s="78"/>
      <c r="Z580" s="78"/>
      <c r="AA580" s="78"/>
      <c r="AB580" s="78"/>
      <c r="AC580" s="78"/>
      <c r="AD580" s="78"/>
    </row>
    <row r="581" spans="1:30" ht="15.75" x14ac:dyDescent="0.25">
      <c r="A581" s="13">
        <v>58987</v>
      </c>
      <c r="B581" s="88">
        <v>30</v>
      </c>
      <c r="C581" s="77">
        <f>194.205</f>
        <v>194.20500000000001</v>
      </c>
      <c r="D581" s="77">
        <f>267.466</f>
        <v>267.46600000000001</v>
      </c>
      <c r="E581" s="85">
        <f>133.845</f>
        <v>133.845</v>
      </c>
      <c r="F581" s="77">
        <f>278.484-40-25-60-100</f>
        <v>53.48399999999998</v>
      </c>
      <c r="G581" s="80">
        <v>40</v>
      </c>
      <c r="H581" s="77">
        <f t="shared" si="93"/>
        <v>185</v>
      </c>
      <c r="I581" s="77">
        <f t="shared" si="90"/>
        <v>0</v>
      </c>
      <c r="J581" s="80">
        <v>100</v>
      </c>
      <c r="K581" s="80">
        <v>300</v>
      </c>
      <c r="L581" s="77">
        <f t="shared" si="84"/>
        <v>1274</v>
      </c>
      <c r="M581" s="87">
        <v>600</v>
      </c>
      <c r="N581" s="77">
        <f>30</f>
        <v>30</v>
      </c>
      <c r="O581" s="80">
        <v>240</v>
      </c>
      <c r="P581" s="80">
        <v>160</v>
      </c>
      <c r="Q581" s="80">
        <f t="shared" si="85"/>
        <v>195</v>
      </c>
      <c r="R581" s="80">
        <f t="shared" si="86"/>
        <v>100</v>
      </c>
      <c r="S581" s="77">
        <f t="shared" si="87"/>
        <v>695</v>
      </c>
      <c r="T581" s="77">
        <f>50</f>
        <v>50</v>
      </c>
      <c r="U581" s="78"/>
      <c r="V581" s="78"/>
      <c r="W581" s="78"/>
      <c r="X581" s="78"/>
      <c r="Y581" s="78"/>
      <c r="Z581" s="78"/>
      <c r="AA581" s="78"/>
      <c r="AB581" s="78"/>
      <c r="AC581" s="78"/>
      <c r="AD581" s="78"/>
    </row>
    <row r="582" spans="1:30" ht="15.75" x14ac:dyDescent="0.25">
      <c r="A582" s="13">
        <v>59018</v>
      </c>
      <c r="B582" s="88">
        <v>31</v>
      </c>
      <c r="C582" s="77">
        <f>194.205</f>
        <v>194.20500000000001</v>
      </c>
      <c r="D582" s="77">
        <f>267.466</f>
        <v>267.46600000000001</v>
      </c>
      <c r="E582" s="85">
        <f>133.845</f>
        <v>133.845</v>
      </c>
      <c r="F582" s="77">
        <f>278.484-40-25-60-100</f>
        <v>53.48399999999998</v>
      </c>
      <c r="G582" s="80">
        <v>40</v>
      </c>
      <c r="H582" s="77">
        <f t="shared" si="93"/>
        <v>185</v>
      </c>
      <c r="I582" s="77">
        <f t="shared" si="90"/>
        <v>0</v>
      </c>
      <c r="J582" s="80">
        <v>100</v>
      </c>
      <c r="K582" s="80">
        <v>300</v>
      </c>
      <c r="L582" s="77">
        <f t="shared" si="84"/>
        <v>1274</v>
      </c>
      <c r="M582" s="87">
        <v>600</v>
      </c>
      <c r="N582" s="77">
        <f>30</f>
        <v>30</v>
      </c>
      <c r="O582" s="80">
        <v>240</v>
      </c>
      <c r="P582" s="80">
        <v>160</v>
      </c>
      <c r="Q582" s="80">
        <f t="shared" si="85"/>
        <v>195</v>
      </c>
      <c r="R582" s="80">
        <f t="shared" si="86"/>
        <v>100</v>
      </c>
      <c r="S582" s="77">
        <f t="shared" si="87"/>
        <v>695</v>
      </c>
      <c r="T582" s="77">
        <f>0</f>
        <v>0</v>
      </c>
      <c r="U582" s="78"/>
      <c r="V582" s="78"/>
      <c r="W582" s="78"/>
      <c r="X582" s="78"/>
      <c r="Y582" s="78"/>
      <c r="Z582" s="78"/>
      <c r="AA582" s="78"/>
      <c r="AB582" s="78"/>
      <c r="AC582" s="78"/>
      <c r="AD582" s="78"/>
    </row>
    <row r="583" spans="1:30" ht="15.75" x14ac:dyDescent="0.25">
      <c r="A583" s="13">
        <v>59049</v>
      </c>
      <c r="B583" s="88">
        <v>31</v>
      </c>
      <c r="C583" s="77">
        <f>194.205</f>
        <v>194.20500000000001</v>
      </c>
      <c r="D583" s="77">
        <f>267.466</f>
        <v>267.46600000000001</v>
      </c>
      <c r="E583" s="85">
        <f>133.845</f>
        <v>133.845</v>
      </c>
      <c r="F583" s="77">
        <f>278.484-40-25-60-100</f>
        <v>53.48399999999998</v>
      </c>
      <c r="G583" s="80">
        <v>40</v>
      </c>
      <c r="H583" s="77">
        <f t="shared" si="93"/>
        <v>185</v>
      </c>
      <c r="I583" s="77">
        <f t="shared" si="90"/>
        <v>0</v>
      </c>
      <c r="J583" s="80">
        <v>100</v>
      </c>
      <c r="K583" s="80">
        <v>300</v>
      </c>
      <c r="L583" s="77">
        <f t="shared" si="84"/>
        <v>1274</v>
      </c>
      <c r="M583" s="87">
        <v>600</v>
      </c>
      <c r="N583" s="77">
        <f>30</f>
        <v>30</v>
      </c>
      <c r="O583" s="80">
        <v>240</v>
      </c>
      <c r="P583" s="80">
        <v>160</v>
      </c>
      <c r="Q583" s="80">
        <f t="shared" si="85"/>
        <v>195</v>
      </c>
      <c r="R583" s="80">
        <f t="shared" si="86"/>
        <v>100</v>
      </c>
      <c r="S583" s="77">
        <f t="shared" si="87"/>
        <v>695</v>
      </c>
      <c r="T583" s="77">
        <f>0</f>
        <v>0</v>
      </c>
      <c r="U583" s="78"/>
      <c r="V583" s="78"/>
      <c r="W583" s="78"/>
      <c r="X583" s="78"/>
      <c r="Y583" s="78"/>
      <c r="Z583" s="78"/>
      <c r="AA583" s="78"/>
      <c r="AB583" s="78"/>
      <c r="AC583" s="78"/>
      <c r="AD583" s="78"/>
    </row>
    <row r="584" spans="1:30" ht="15.75" x14ac:dyDescent="0.25">
      <c r="A584" s="13">
        <v>59079</v>
      </c>
      <c r="B584" s="88">
        <v>30</v>
      </c>
      <c r="C584" s="77">
        <f>194.205</f>
        <v>194.20500000000001</v>
      </c>
      <c r="D584" s="77">
        <f>267.466</f>
        <v>267.46600000000001</v>
      </c>
      <c r="E584" s="85">
        <f>133.845</f>
        <v>133.845</v>
      </c>
      <c r="F584" s="77">
        <f>278.484-40-25-60-100</f>
        <v>53.48399999999998</v>
      </c>
      <c r="G584" s="80">
        <v>40</v>
      </c>
      <c r="H584" s="77">
        <f t="shared" si="93"/>
        <v>185</v>
      </c>
      <c r="I584" s="77">
        <f t="shared" si="90"/>
        <v>0</v>
      </c>
      <c r="J584" s="80">
        <v>100</v>
      </c>
      <c r="K584" s="80">
        <v>300</v>
      </c>
      <c r="L584" s="77">
        <f t="shared" si="84"/>
        <v>1274</v>
      </c>
      <c r="M584" s="87">
        <v>600</v>
      </c>
      <c r="N584" s="77">
        <f>30</f>
        <v>30</v>
      </c>
      <c r="O584" s="80">
        <v>240</v>
      </c>
      <c r="P584" s="80">
        <v>160</v>
      </c>
      <c r="Q584" s="80">
        <f t="shared" si="85"/>
        <v>195</v>
      </c>
      <c r="R584" s="80">
        <f t="shared" si="86"/>
        <v>100</v>
      </c>
      <c r="S584" s="77">
        <f t="shared" si="87"/>
        <v>695</v>
      </c>
      <c r="T584" s="77">
        <f>0</f>
        <v>0</v>
      </c>
      <c r="U584" s="78"/>
      <c r="V584" s="78"/>
      <c r="W584" s="78"/>
      <c r="X584" s="78"/>
      <c r="Y584" s="78"/>
      <c r="Z584" s="78"/>
      <c r="AA584" s="78"/>
      <c r="AB584" s="78"/>
      <c r="AC584" s="78"/>
      <c r="AD584" s="78"/>
    </row>
    <row r="585" spans="1:30" ht="15.75" x14ac:dyDescent="0.25">
      <c r="A585" s="13">
        <v>59110</v>
      </c>
      <c r="B585" s="88">
        <v>31</v>
      </c>
      <c r="C585" s="77">
        <f>131.881</f>
        <v>131.881</v>
      </c>
      <c r="D585" s="77">
        <f>277.167</f>
        <v>277.16699999999997</v>
      </c>
      <c r="E585" s="85">
        <f>79.08</f>
        <v>79.08</v>
      </c>
      <c r="F585" s="77">
        <f>350.872-40-25-60-100</f>
        <v>125.87200000000001</v>
      </c>
      <c r="G585" s="80">
        <v>40</v>
      </c>
      <c r="H585" s="77">
        <f t="shared" si="93"/>
        <v>185</v>
      </c>
      <c r="I585" s="77">
        <f t="shared" si="90"/>
        <v>0</v>
      </c>
      <c r="J585" s="80">
        <v>100</v>
      </c>
      <c r="K585" s="80">
        <v>300</v>
      </c>
      <c r="L585" s="77">
        <f t="shared" si="84"/>
        <v>1239</v>
      </c>
      <c r="M585" s="87">
        <v>600</v>
      </c>
      <c r="N585" s="77">
        <f>75</f>
        <v>75</v>
      </c>
      <c r="O585" s="80">
        <v>240</v>
      </c>
      <c r="P585" s="80">
        <v>160</v>
      </c>
      <c r="Q585" s="80">
        <f t="shared" si="85"/>
        <v>195</v>
      </c>
      <c r="R585" s="80">
        <f t="shared" si="86"/>
        <v>100</v>
      </c>
      <c r="S585" s="77">
        <f t="shared" si="87"/>
        <v>695</v>
      </c>
      <c r="T585" s="77">
        <f>0</f>
        <v>0</v>
      </c>
      <c r="U585" s="78"/>
      <c r="V585" s="78"/>
      <c r="W585" s="78"/>
      <c r="X585" s="78"/>
      <c r="Y585" s="78"/>
      <c r="Z585" s="78"/>
      <c r="AA585" s="78"/>
      <c r="AB585" s="78"/>
      <c r="AC585" s="78"/>
      <c r="AD585" s="78"/>
    </row>
    <row r="586" spans="1:30" ht="15.75" x14ac:dyDescent="0.25">
      <c r="A586" s="13">
        <v>59140</v>
      </c>
      <c r="B586" s="88">
        <v>30</v>
      </c>
      <c r="C586" s="77">
        <f>122.58</f>
        <v>122.58</v>
      </c>
      <c r="D586" s="77">
        <f>297.941</f>
        <v>297.94099999999997</v>
      </c>
      <c r="E586" s="85">
        <f>89.177</f>
        <v>89.177000000000007</v>
      </c>
      <c r="F586" s="77">
        <f>240.302-40-60-100</f>
        <v>40.301999999999992</v>
      </c>
      <c r="G586" s="80">
        <v>40</v>
      </c>
      <c r="H586" s="77">
        <f>60+100</f>
        <v>160</v>
      </c>
      <c r="I586" s="77">
        <f t="shared" si="90"/>
        <v>0</v>
      </c>
      <c r="J586" s="80">
        <v>100</v>
      </c>
      <c r="K586" s="80">
        <v>300</v>
      </c>
      <c r="L586" s="77">
        <f t="shared" si="84"/>
        <v>1150</v>
      </c>
      <c r="M586" s="87">
        <v>600</v>
      </c>
      <c r="N586" s="77">
        <f>100</f>
        <v>100</v>
      </c>
      <c r="O586" s="80">
        <v>240</v>
      </c>
      <c r="P586" s="80">
        <v>40</v>
      </c>
      <c r="Q586" s="80">
        <f t="shared" si="85"/>
        <v>315</v>
      </c>
      <c r="R586" s="80">
        <f t="shared" si="86"/>
        <v>100</v>
      </c>
      <c r="S586" s="77">
        <f t="shared" si="87"/>
        <v>695</v>
      </c>
      <c r="T586" s="77">
        <f>50</f>
        <v>50</v>
      </c>
      <c r="U586" s="78"/>
      <c r="V586" s="78"/>
      <c r="W586" s="78"/>
      <c r="X586" s="78"/>
      <c r="Y586" s="78"/>
      <c r="Z586" s="78"/>
      <c r="AA586" s="78"/>
      <c r="AB586" s="78"/>
      <c r="AC586" s="78"/>
      <c r="AD586" s="78"/>
    </row>
    <row r="587" spans="1:30" ht="15.75" x14ac:dyDescent="0.25">
      <c r="A587" s="13">
        <v>59171</v>
      </c>
      <c r="B587" s="88">
        <v>31</v>
      </c>
      <c r="C587" s="77">
        <f>122.58</f>
        <v>122.58</v>
      </c>
      <c r="D587" s="77">
        <f>297.941</f>
        <v>297.94099999999997</v>
      </c>
      <c r="E587" s="85">
        <f>89.177</f>
        <v>89.177000000000007</v>
      </c>
      <c r="F587" s="77">
        <f>240.302-40-60-100</f>
        <v>40.301999999999992</v>
      </c>
      <c r="G587" s="80">
        <v>40</v>
      </c>
      <c r="H587" s="77">
        <f>60+100</f>
        <v>160</v>
      </c>
      <c r="I587" s="77">
        <f t="shared" si="90"/>
        <v>0</v>
      </c>
      <c r="J587" s="80">
        <v>100</v>
      </c>
      <c r="K587" s="80">
        <v>300</v>
      </c>
      <c r="L587" s="77">
        <f t="shared" si="84"/>
        <v>1150</v>
      </c>
      <c r="M587" s="87">
        <v>600</v>
      </c>
      <c r="N587" s="77">
        <f>100</f>
        <v>100</v>
      </c>
      <c r="O587" s="80">
        <v>240</v>
      </c>
      <c r="P587" s="80">
        <v>40</v>
      </c>
      <c r="Q587" s="80">
        <f t="shared" si="85"/>
        <v>315</v>
      </c>
      <c r="R587" s="80">
        <f t="shared" si="86"/>
        <v>100</v>
      </c>
      <c r="S587" s="77">
        <f t="shared" si="87"/>
        <v>695</v>
      </c>
      <c r="T587" s="77">
        <f>50</f>
        <v>50</v>
      </c>
      <c r="U587" s="78"/>
      <c r="V587" s="78"/>
      <c r="W587" s="78"/>
      <c r="X587" s="78"/>
      <c r="Y587" s="78"/>
      <c r="Z587" s="78"/>
      <c r="AA587" s="78"/>
      <c r="AB587" s="78"/>
      <c r="AC587" s="78"/>
      <c r="AD587" s="78"/>
    </row>
    <row r="588" spans="1:30" ht="15.75" x14ac:dyDescent="0.25">
      <c r="A588" s="13">
        <v>59202</v>
      </c>
      <c r="B588" s="88">
        <f t="shared" ref="B588:B651" si="94">EOMONTH(A588,0)-EOMONTH(A588,-1)</f>
        <v>31</v>
      </c>
      <c r="C588" s="77">
        <f>122.58</f>
        <v>122.58</v>
      </c>
      <c r="D588" s="77">
        <f>297.941</f>
        <v>297.94099999999997</v>
      </c>
      <c r="E588" s="85">
        <f>89.177</f>
        <v>89.177000000000007</v>
      </c>
      <c r="F588" s="77">
        <f>240.302-40-60-100</f>
        <v>40.301999999999992</v>
      </c>
      <c r="G588" s="80">
        <v>40</v>
      </c>
      <c r="H588" s="77">
        <f>60+100</f>
        <v>160</v>
      </c>
      <c r="I588" s="77">
        <f t="shared" si="90"/>
        <v>0</v>
      </c>
      <c r="J588" s="80">
        <v>100</v>
      </c>
      <c r="K588" s="80">
        <v>300</v>
      </c>
      <c r="L588" s="77">
        <f t="shared" si="84"/>
        <v>1150</v>
      </c>
      <c r="M588" s="87">
        <v>600</v>
      </c>
      <c r="N588" s="77">
        <f>100</f>
        <v>100</v>
      </c>
      <c r="O588" s="80">
        <v>240</v>
      </c>
      <c r="P588" s="80">
        <v>40</v>
      </c>
      <c r="Q588" s="80">
        <f t="shared" si="85"/>
        <v>315</v>
      </c>
      <c r="R588" s="80">
        <f t="shared" si="86"/>
        <v>100</v>
      </c>
      <c r="S588" s="77">
        <f t="shared" si="87"/>
        <v>695</v>
      </c>
      <c r="T588" s="77">
        <f>50</f>
        <v>50</v>
      </c>
      <c r="U588" s="78"/>
      <c r="V588" s="78"/>
      <c r="W588" s="78"/>
      <c r="X588" s="78"/>
      <c r="Y588" s="78"/>
      <c r="Z588" s="78"/>
      <c r="AA588" s="78"/>
      <c r="AB588" s="78"/>
      <c r="AC588" s="78"/>
      <c r="AD588" s="78"/>
    </row>
    <row r="589" spans="1:30" ht="15.75" x14ac:dyDescent="0.25">
      <c r="A589" s="13">
        <v>59230</v>
      </c>
      <c r="B589" s="88">
        <f t="shared" si="94"/>
        <v>28</v>
      </c>
      <c r="C589" s="77">
        <f>122.58</f>
        <v>122.58</v>
      </c>
      <c r="D589" s="77">
        <f>297.941</f>
        <v>297.94099999999997</v>
      </c>
      <c r="E589" s="85">
        <f>89.177</f>
        <v>89.177000000000007</v>
      </c>
      <c r="F589" s="77">
        <f>240.302-40-60-100</f>
        <v>40.301999999999992</v>
      </c>
      <c r="G589" s="80">
        <v>40</v>
      </c>
      <c r="H589" s="77">
        <f>60+100</f>
        <v>160</v>
      </c>
      <c r="I589" s="77">
        <f t="shared" si="90"/>
        <v>0</v>
      </c>
      <c r="J589" s="80">
        <v>100</v>
      </c>
      <c r="K589" s="80">
        <v>300</v>
      </c>
      <c r="L589" s="77">
        <f t="shared" si="84"/>
        <v>1150</v>
      </c>
      <c r="M589" s="87">
        <v>600</v>
      </c>
      <c r="N589" s="77">
        <f>100</f>
        <v>100</v>
      </c>
      <c r="O589" s="80">
        <v>240</v>
      </c>
      <c r="P589" s="80">
        <v>40</v>
      </c>
      <c r="Q589" s="80">
        <f t="shared" si="85"/>
        <v>315</v>
      </c>
      <c r="R589" s="80">
        <f t="shared" si="86"/>
        <v>100</v>
      </c>
      <c r="S589" s="77">
        <f t="shared" si="87"/>
        <v>695</v>
      </c>
      <c r="T589" s="77">
        <f>50</f>
        <v>50</v>
      </c>
      <c r="U589" s="78"/>
      <c r="V589" s="78"/>
      <c r="W589" s="78"/>
      <c r="X589" s="78"/>
      <c r="Y589" s="78"/>
      <c r="Z589" s="78"/>
      <c r="AA589" s="78"/>
      <c r="AB589" s="78"/>
      <c r="AC589" s="78"/>
      <c r="AD589" s="78"/>
    </row>
    <row r="590" spans="1:30" ht="15.75" x14ac:dyDescent="0.25">
      <c r="A590" s="13">
        <v>59261</v>
      </c>
      <c r="B590" s="88">
        <f t="shared" si="94"/>
        <v>31</v>
      </c>
      <c r="C590" s="77">
        <f>122.58</f>
        <v>122.58</v>
      </c>
      <c r="D590" s="77">
        <f>297.941</f>
        <v>297.94099999999997</v>
      </c>
      <c r="E590" s="85">
        <f>89.177</f>
        <v>89.177000000000007</v>
      </c>
      <c r="F590" s="77">
        <f>240.302-40-60-100</f>
        <v>40.301999999999992</v>
      </c>
      <c r="G590" s="80">
        <v>40</v>
      </c>
      <c r="H590" s="77">
        <f>60+100</f>
        <v>160</v>
      </c>
      <c r="I590" s="77">
        <f t="shared" si="90"/>
        <v>0</v>
      </c>
      <c r="J590" s="80">
        <v>100</v>
      </c>
      <c r="K590" s="80">
        <v>300</v>
      </c>
      <c r="L590" s="77">
        <f t="shared" ref="L590:L653" si="95">SUM(C590:K590)</f>
        <v>1150</v>
      </c>
      <c r="M590" s="87">
        <v>600</v>
      </c>
      <c r="N590" s="77">
        <f>100</f>
        <v>100</v>
      </c>
      <c r="O590" s="80">
        <v>240</v>
      </c>
      <c r="P590" s="80">
        <v>40</v>
      </c>
      <c r="Q590" s="80">
        <f t="shared" ref="Q590:Q653" si="96">695-R590-O590-P590</f>
        <v>315</v>
      </c>
      <c r="R590" s="80">
        <f t="shared" ref="R590:R653" si="97">200-J590</f>
        <v>100</v>
      </c>
      <c r="S590" s="77">
        <f t="shared" ref="S590:S653" si="98">SUM(O590:R590)</f>
        <v>695</v>
      </c>
      <c r="T590" s="77">
        <f>50</f>
        <v>50</v>
      </c>
      <c r="U590" s="78"/>
      <c r="V590" s="78"/>
      <c r="W590" s="78"/>
      <c r="X590" s="78"/>
      <c r="Y590" s="78"/>
      <c r="Z590" s="78"/>
      <c r="AA590" s="78"/>
      <c r="AB590" s="78"/>
      <c r="AC590" s="78"/>
      <c r="AD590" s="78"/>
    </row>
    <row r="591" spans="1:30" ht="15.75" x14ac:dyDescent="0.25">
      <c r="A591" s="13">
        <v>59291</v>
      </c>
      <c r="B591" s="88">
        <f t="shared" si="94"/>
        <v>30</v>
      </c>
      <c r="C591" s="77">
        <f>141.293</f>
        <v>141.29300000000001</v>
      </c>
      <c r="D591" s="77">
        <f>267.993</f>
        <v>267.99299999999999</v>
      </c>
      <c r="E591" s="85">
        <f>115.016</f>
        <v>115.01600000000001</v>
      </c>
      <c r="F591" s="77">
        <f>314.698-40-25-60-100</f>
        <v>89.697999999999979</v>
      </c>
      <c r="G591" s="80">
        <v>40</v>
      </c>
      <c r="H591" s="77">
        <f t="shared" ref="H591:H597" si="99">25+60+100</f>
        <v>185</v>
      </c>
      <c r="I591" s="77">
        <f t="shared" si="90"/>
        <v>0</v>
      </c>
      <c r="J591" s="80">
        <v>100</v>
      </c>
      <c r="K591" s="80">
        <v>300</v>
      </c>
      <c r="L591" s="77">
        <f t="shared" si="95"/>
        <v>1239</v>
      </c>
      <c r="M591" s="87">
        <v>600</v>
      </c>
      <c r="N591" s="77">
        <f>100</f>
        <v>100</v>
      </c>
      <c r="O591" s="80">
        <v>240</v>
      </c>
      <c r="P591" s="80">
        <v>40</v>
      </c>
      <c r="Q591" s="80">
        <f t="shared" si="96"/>
        <v>315</v>
      </c>
      <c r="R591" s="80">
        <f t="shared" si="97"/>
        <v>100</v>
      </c>
      <c r="S591" s="77">
        <f t="shared" si="98"/>
        <v>695</v>
      </c>
      <c r="T591" s="77">
        <f>50</f>
        <v>50</v>
      </c>
      <c r="U591" s="78"/>
      <c r="V591" s="78"/>
      <c r="W591" s="78"/>
      <c r="X591" s="78"/>
      <c r="Y591" s="78"/>
      <c r="Z591" s="78"/>
      <c r="AA591" s="78"/>
      <c r="AB591" s="78"/>
      <c r="AC591" s="78"/>
      <c r="AD591" s="78"/>
    </row>
    <row r="592" spans="1:30" ht="15.75" x14ac:dyDescent="0.25">
      <c r="A592" s="13">
        <v>59322</v>
      </c>
      <c r="B592" s="88">
        <f t="shared" si="94"/>
        <v>31</v>
      </c>
      <c r="C592" s="77">
        <f>194.205</f>
        <v>194.20500000000001</v>
      </c>
      <c r="D592" s="77">
        <f>267.466</f>
        <v>267.46600000000001</v>
      </c>
      <c r="E592" s="85">
        <f>133.845</f>
        <v>133.845</v>
      </c>
      <c r="F592" s="77">
        <f>278.484-40-25-60-100</f>
        <v>53.48399999999998</v>
      </c>
      <c r="G592" s="80">
        <v>40</v>
      </c>
      <c r="H592" s="77">
        <f t="shared" si="99"/>
        <v>185</v>
      </c>
      <c r="I592" s="77">
        <f t="shared" si="90"/>
        <v>0</v>
      </c>
      <c r="J592" s="80">
        <v>100</v>
      </c>
      <c r="K592" s="80">
        <v>300</v>
      </c>
      <c r="L592" s="77">
        <f t="shared" si="95"/>
        <v>1274</v>
      </c>
      <c r="M592" s="87">
        <v>600</v>
      </c>
      <c r="N592" s="77">
        <f>75</f>
        <v>75</v>
      </c>
      <c r="O592" s="80">
        <v>240</v>
      </c>
      <c r="P592" s="80">
        <v>40</v>
      </c>
      <c r="Q592" s="80">
        <f t="shared" si="96"/>
        <v>315</v>
      </c>
      <c r="R592" s="80">
        <f t="shared" si="97"/>
        <v>100</v>
      </c>
      <c r="S592" s="77">
        <f t="shared" si="98"/>
        <v>695</v>
      </c>
      <c r="T592" s="77">
        <f>50</f>
        <v>50</v>
      </c>
      <c r="U592" s="78"/>
      <c r="V592" s="78"/>
      <c r="W592" s="78"/>
      <c r="X592" s="78"/>
      <c r="Y592" s="78"/>
      <c r="Z592" s="78"/>
      <c r="AA592" s="78"/>
      <c r="AB592" s="78"/>
      <c r="AC592" s="78"/>
      <c r="AD592" s="78"/>
    </row>
    <row r="593" spans="1:30" ht="15.75" x14ac:dyDescent="0.25">
      <c r="A593" s="13">
        <v>59352</v>
      </c>
      <c r="B593" s="88">
        <f t="shared" si="94"/>
        <v>30</v>
      </c>
      <c r="C593" s="77">
        <f>194.205</f>
        <v>194.20500000000001</v>
      </c>
      <c r="D593" s="77">
        <f>267.466</f>
        <v>267.46600000000001</v>
      </c>
      <c r="E593" s="85">
        <f>133.845</f>
        <v>133.845</v>
      </c>
      <c r="F593" s="77">
        <f>278.484-40-25-60-100</f>
        <v>53.48399999999998</v>
      </c>
      <c r="G593" s="80">
        <v>40</v>
      </c>
      <c r="H593" s="77">
        <f t="shared" si="99"/>
        <v>185</v>
      </c>
      <c r="I593" s="77">
        <f t="shared" si="90"/>
        <v>0</v>
      </c>
      <c r="J593" s="80">
        <v>100</v>
      </c>
      <c r="K593" s="80">
        <v>300</v>
      </c>
      <c r="L593" s="77">
        <f t="shared" si="95"/>
        <v>1274</v>
      </c>
      <c r="M593" s="87">
        <v>600</v>
      </c>
      <c r="N593" s="77">
        <f>30</f>
        <v>30</v>
      </c>
      <c r="O593" s="80">
        <v>240</v>
      </c>
      <c r="P593" s="80">
        <v>40</v>
      </c>
      <c r="Q593" s="80">
        <f t="shared" si="96"/>
        <v>315</v>
      </c>
      <c r="R593" s="80">
        <f t="shared" si="97"/>
        <v>100</v>
      </c>
      <c r="S593" s="77">
        <f t="shared" si="98"/>
        <v>695</v>
      </c>
      <c r="T593" s="77">
        <f>50</f>
        <v>50</v>
      </c>
      <c r="U593" s="78"/>
      <c r="V593" s="78"/>
      <c r="W593" s="78"/>
      <c r="X593" s="78"/>
      <c r="Y593" s="78"/>
      <c r="Z593" s="78"/>
      <c r="AA593" s="78"/>
      <c r="AB593" s="78"/>
      <c r="AC593" s="78"/>
      <c r="AD593" s="78"/>
    </row>
    <row r="594" spans="1:30" ht="15.75" x14ac:dyDescent="0.25">
      <c r="A594" s="13">
        <v>59383</v>
      </c>
      <c r="B594" s="88">
        <f t="shared" si="94"/>
        <v>31</v>
      </c>
      <c r="C594" s="77">
        <f>194.205</f>
        <v>194.20500000000001</v>
      </c>
      <c r="D594" s="77">
        <f>267.466</f>
        <v>267.46600000000001</v>
      </c>
      <c r="E594" s="85">
        <f>133.845</f>
        <v>133.845</v>
      </c>
      <c r="F594" s="77">
        <f>278.484-40-25-60-100</f>
        <v>53.48399999999998</v>
      </c>
      <c r="G594" s="80">
        <v>40</v>
      </c>
      <c r="H594" s="77">
        <f t="shared" si="99"/>
        <v>185</v>
      </c>
      <c r="I594" s="77">
        <f t="shared" si="90"/>
        <v>0</v>
      </c>
      <c r="J594" s="80">
        <v>100</v>
      </c>
      <c r="K594" s="80">
        <v>300</v>
      </c>
      <c r="L594" s="77">
        <f t="shared" si="95"/>
        <v>1274</v>
      </c>
      <c r="M594" s="87">
        <v>600</v>
      </c>
      <c r="N594" s="77">
        <f>30</f>
        <v>30</v>
      </c>
      <c r="O594" s="80">
        <v>240</v>
      </c>
      <c r="P594" s="80">
        <v>40</v>
      </c>
      <c r="Q594" s="80">
        <f t="shared" si="96"/>
        <v>315</v>
      </c>
      <c r="R594" s="80">
        <f t="shared" si="97"/>
        <v>100</v>
      </c>
      <c r="S594" s="77">
        <f t="shared" si="98"/>
        <v>695</v>
      </c>
      <c r="T594" s="77">
        <f>0</f>
        <v>0</v>
      </c>
      <c r="U594" s="78"/>
      <c r="V594" s="78"/>
      <c r="W594" s="78"/>
      <c r="X594" s="78"/>
      <c r="Y594" s="78"/>
      <c r="Z594" s="78"/>
      <c r="AA594" s="78"/>
      <c r="AB594" s="78"/>
      <c r="AC594" s="78"/>
      <c r="AD594" s="78"/>
    </row>
    <row r="595" spans="1:30" ht="15.75" x14ac:dyDescent="0.25">
      <c r="A595" s="13">
        <v>59414</v>
      </c>
      <c r="B595" s="88">
        <f t="shared" si="94"/>
        <v>31</v>
      </c>
      <c r="C595" s="77">
        <f>194.205</f>
        <v>194.20500000000001</v>
      </c>
      <c r="D595" s="77">
        <f>267.466</f>
        <v>267.46600000000001</v>
      </c>
      <c r="E595" s="85">
        <f>133.845</f>
        <v>133.845</v>
      </c>
      <c r="F595" s="77">
        <f>278.484-40-25-60-100</f>
        <v>53.48399999999998</v>
      </c>
      <c r="G595" s="80">
        <v>40</v>
      </c>
      <c r="H595" s="77">
        <f t="shared" si="99"/>
        <v>185</v>
      </c>
      <c r="I595" s="77">
        <f t="shared" si="90"/>
        <v>0</v>
      </c>
      <c r="J595" s="80">
        <v>100</v>
      </c>
      <c r="K595" s="80">
        <v>300</v>
      </c>
      <c r="L595" s="77">
        <f t="shared" si="95"/>
        <v>1274</v>
      </c>
      <c r="M595" s="87">
        <v>600</v>
      </c>
      <c r="N595" s="77">
        <f>30</f>
        <v>30</v>
      </c>
      <c r="O595" s="80">
        <v>240</v>
      </c>
      <c r="P595" s="80">
        <v>40</v>
      </c>
      <c r="Q595" s="80">
        <f t="shared" si="96"/>
        <v>315</v>
      </c>
      <c r="R595" s="80">
        <f t="shared" si="97"/>
        <v>100</v>
      </c>
      <c r="S595" s="77">
        <f t="shared" si="98"/>
        <v>695</v>
      </c>
      <c r="T595" s="77">
        <f>0</f>
        <v>0</v>
      </c>
      <c r="U595" s="78"/>
      <c r="V595" s="78"/>
      <c r="W595" s="78"/>
      <c r="X595" s="78"/>
      <c r="Y595" s="78"/>
      <c r="Z595" s="78"/>
      <c r="AA595" s="78"/>
      <c r="AB595" s="78"/>
      <c r="AC595" s="78"/>
      <c r="AD595" s="78"/>
    </row>
    <row r="596" spans="1:30" ht="15.75" x14ac:dyDescent="0.25">
      <c r="A596" s="13">
        <v>59444</v>
      </c>
      <c r="B596" s="88">
        <f t="shared" si="94"/>
        <v>30</v>
      </c>
      <c r="C596" s="77">
        <f>194.205</f>
        <v>194.20500000000001</v>
      </c>
      <c r="D596" s="77">
        <f>267.466</f>
        <v>267.46600000000001</v>
      </c>
      <c r="E596" s="85">
        <f>133.845</f>
        <v>133.845</v>
      </c>
      <c r="F596" s="77">
        <f>278.484-40-25-60-100</f>
        <v>53.48399999999998</v>
      </c>
      <c r="G596" s="80">
        <v>40</v>
      </c>
      <c r="H596" s="77">
        <f t="shared" si="99"/>
        <v>185</v>
      </c>
      <c r="I596" s="77">
        <f t="shared" si="90"/>
        <v>0</v>
      </c>
      <c r="J596" s="80">
        <v>100</v>
      </c>
      <c r="K596" s="80">
        <v>300</v>
      </c>
      <c r="L596" s="77">
        <f t="shared" si="95"/>
        <v>1274</v>
      </c>
      <c r="M596" s="87">
        <v>600</v>
      </c>
      <c r="N596" s="77">
        <f>30</f>
        <v>30</v>
      </c>
      <c r="O596" s="80">
        <v>240</v>
      </c>
      <c r="P596" s="80">
        <v>40</v>
      </c>
      <c r="Q596" s="80">
        <f t="shared" si="96"/>
        <v>315</v>
      </c>
      <c r="R596" s="80">
        <f t="shared" si="97"/>
        <v>100</v>
      </c>
      <c r="S596" s="77">
        <f t="shared" si="98"/>
        <v>695</v>
      </c>
      <c r="T596" s="77">
        <f>0</f>
        <v>0</v>
      </c>
      <c r="U596" s="78"/>
      <c r="V596" s="78"/>
      <c r="W596" s="78"/>
      <c r="X596" s="78"/>
      <c r="Y596" s="78"/>
      <c r="Z596" s="78"/>
      <c r="AA596" s="78"/>
      <c r="AB596" s="78"/>
      <c r="AC596" s="78"/>
      <c r="AD596" s="78"/>
    </row>
    <row r="597" spans="1:30" ht="15.75" x14ac:dyDescent="0.25">
      <c r="A597" s="13">
        <v>59475</v>
      </c>
      <c r="B597" s="88">
        <f t="shared" si="94"/>
        <v>31</v>
      </c>
      <c r="C597" s="77">
        <f>131.881</f>
        <v>131.881</v>
      </c>
      <c r="D597" s="77">
        <f>277.167</f>
        <v>277.16699999999997</v>
      </c>
      <c r="E597" s="85">
        <f>79.08</f>
        <v>79.08</v>
      </c>
      <c r="F597" s="77">
        <f>350.872-40-25-60-100</f>
        <v>125.87200000000001</v>
      </c>
      <c r="G597" s="80">
        <v>40</v>
      </c>
      <c r="H597" s="77">
        <f t="shared" si="99"/>
        <v>185</v>
      </c>
      <c r="I597" s="77">
        <f t="shared" si="90"/>
        <v>0</v>
      </c>
      <c r="J597" s="80">
        <v>100</v>
      </c>
      <c r="K597" s="80">
        <v>300</v>
      </c>
      <c r="L597" s="77">
        <f t="shared" si="95"/>
        <v>1239</v>
      </c>
      <c r="M597" s="87">
        <v>600</v>
      </c>
      <c r="N597" s="77">
        <f>75</f>
        <v>75</v>
      </c>
      <c r="O597" s="80">
        <v>240</v>
      </c>
      <c r="P597" s="80">
        <v>40</v>
      </c>
      <c r="Q597" s="80">
        <f t="shared" si="96"/>
        <v>315</v>
      </c>
      <c r="R597" s="80">
        <f t="shared" si="97"/>
        <v>100</v>
      </c>
      <c r="S597" s="77">
        <f t="shared" si="98"/>
        <v>695</v>
      </c>
      <c r="T597" s="77">
        <f>0</f>
        <v>0</v>
      </c>
      <c r="U597" s="78"/>
      <c r="V597" s="78"/>
      <c r="W597" s="78"/>
      <c r="X597" s="78"/>
      <c r="Y597" s="78"/>
      <c r="Z597" s="78"/>
      <c r="AA597" s="78"/>
      <c r="AB597" s="78"/>
      <c r="AC597" s="78"/>
      <c r="AD597" s="78"/>
    </row>
    <row r="598" spans="1:30" ht="15.75" x14ac:dyDescent="0.25">
      <c r="A598" s="13">
        <v>59505</v>
      </c>
      <c r="B598" s="88">
        <f t="shared" si="94"/>
        <v>30</v>
      </c>
      <c r="C598" s="77">
        <f>122.58</f>
        <v>122.58</v>
      </c>
      <c r="D598" s="77">
        <f>297.941</f>
        <v>297.94099999999997</v>
      </c>
      <c r="E598" s="85">
        <f>89.177</f>
        <v>89.177000000000007</v>
      </c>
      <c r="F598" s="77">
        <f>240.302-40-60-100</f>
        <v>40.301999999999992</v>
      </c>
      <c r="G598" s="80">
        <v>40</v>
      </c>
      <c r="H598" s="77">
        <f>60+100</f>
        <v>160</v>
      </c>
      <c r="I598" s="77">
        <f t="shared" si="90"/>
        <v>0</v>
      </c>
      <c r="J598" s="80">
        <v>100</v>
      </c>
      <c r="K598" s="80">
        <v>300</v>
      </c>
      <c r="L598" s="77">
        <f t="shared" si="95"/>
        <v>1150</v>
      </c>
      <c r="M598" s="87">
        <v>600</v>
      </c>
      <c r="N598" s="77">
        <f>100</f>
        <v>100</v>
      </c>
      <c r="O598" s="80">
        <v>240</v>
      </c>
      <c r="P598" s="80">
        <v>40</v>
      </c>
      <c r="Q598" s="80">
        <f t="shared" si="96"/>
        <v>315</v>
      </c>
      <c r="R598" s="80">
        <f t="shared" si="97"/>
        <v>100</v>
      </c>
      <c r="S598" s="77">
        <f t="shared" si="98"/>
        <v>695</v>
      </c>
      <c r="T598" s="77">
        <f>50</f>
        <v>50</v>
      </c>
      <c r="U598" s="78"/>
      <c r="V598" s="78"/>
      <c r="W598" s="78"/>
      <c r="X598" s="78"/>
      <c r="Y598" s="78"/>
      <c r="Z598" s="78"/>
      <c r="AA598" s="78"/>
      <c r="AB598" s="78"/>
      <c r="AC598" s="78"/>
      <c r="AD598" s="78"/>
    </row>
    <row r="599" spans="1:30" ht="15.75" x14ac:dyDescent="0.25">
      <c r="A599" s="13">
        <v>59536</v>
      </c>
      <c r="B599" s="88">
        <f t="shared" si="94"/>
        <v>31</v>
      </c>
      <c r="C599" s="77">
        <f>122.58</f>
        <v>122.58</v>
      </c>
      <c r="D599" s="77">
        <f>297.941</f>
        <v>297.94099999999997</v>
      </c>
      <c r="E599" s="85">
        <f>89.177</f>
        <v>89.177000000000007</v>
      </c>
      <c r="F599" s="77">
        <f>240.302-40-60-100</f>
        <v>40.301999999999992</v>
      </c>
      <c r="G599" s="80">
        <v>40</v>
      </c>
      <c r="H599" s="77">
        <f>60+100</f>
        <v>160</v>
      </c>
      <c r="I599" s="77">
        <f t="shared" si="90"/>
        <v>0</v>
      </c>
      <c r="J599" s="80">
        <v>100</v>
      </c>
      <c r="K599" s="80">
        <v>300</v>
      </c>
      <c r="L599" s="77">
        <f t="shared" si="95"/>
        <v>1150</v>
      </c>
      <c r="M599" s="87">
        <v>600</v>
      </c>
      <c r="N599" s="77">
        <f>100</f>
        <v>100</v>
      </c>
      <c r="O599" s="80">
        <v>240</v>
      </c>
      <c r="P599" s="80">
        <v>40</v>
      </c>
      <c r="Q599" s="80">
        <f t="shared" si="96"/>
        <v>315</v>
      </c>
      <c r="R599" s="80">
        <f t="shared" si="97"/>
        <v>100</v>
      </c>
      <c r="S599" s="77">
        <f t="shared" si="98"/>
        <v>695</v>
      </c>
      <c r="T599" s="77">
        <f>50</f>
        <v>50</v>
      </c>
      <c r="U599" s="78"/>
      <c r="V599" s="78"/>
      <c r="W599" s="78"/>
      <c r="X599" s="78"/>
      <c r="Y599" s="78"/>
      <c r="Z599" s="78"/>
      <c r="AA599" s="78"/>
      <c r="AB599" s="78"/>
      <c r="AC599" s="78"/>
      <c r="AD599" s="78"/>
    </row>
    <row r="600" spans="1:30" ht="15.75" x14ac:dyDescent="0.25">
      <c r="A600" s="13">
        <v>59567</v>
      </c>
      <c r="B600" s="88">
        <f t="shared" si="94"/>
        <v>31</v>
      </c>
      <c r="C600" s="77">
        <f>122.58</f>
        <v>122.58</v>
      </c>
      <c r="D600" s="77">
        <f>297.941</f>
        <v>297.94099999999997</v>
      </c>
      <c r="E600" s="85">
        <f>89.177</f>
        <v>89.177000000000007</v>
      </c>
      <c r="F600" s="77">
        <f>240.302-40-60-100</f>
        <v>40.301999999999992</v>
      </c>
      <c r="G600" s="80">
        <v>40</v>
      </c>
      <c r="H600" s="77">
        <f>60+100</f>
        <v>160</v>
      </c>
      <c r="I600" s="77">
        <f t="shared" si="90"/>
        <v>0</v>
      </c>
      <c r="J600" s="80">
        <v>100</v>
      </c>
      <c r="K600" s="80">
        <v>300</v>
      </c>
      <c r="L600" s="77">
        <f t="shared" si="95"/>
        <v>1150</v>
      </c>
      <c r="M600" s="87">
        <v>600</v>
      </c>
      <c r="N600" s="77">
        <f>100</f>
        <v>100</v>
      </c>
      <c r="O600" s="80">
        <v>240</v>
      </c>
      <c r="P600" s="80">
        <v>40</v>
      </c>
      <c r="Q600" s="80">
        <f t="shared" si="96"/>
        <v>315</v>
      </c>
      <c r="R600" s="80">
        <f t="shared" si="97"/>
        <v>100</v>
      </c>
      <c r="S600" s="77">
        <f t="shared" si="98"/>
        <v>695</v>
      </c>
      <c r="T600" s="77">
        <f>50</f>
        <v>50</v>
      </c>
      <c r="U600" s="78"/>
      <c r="V600" s="78"/>
      <c r="W600" s="78"/>
      <c r="X600" s="78"/>
      <c r="Y600" s="78"/>
      <c r="Z600" s="78"/>
      <c r="AA600" s="78"/>
      <c r="AB600" s="78"/>
      <c r="AC600" s="78"/>
      <c r="AD600" s="78"/>
    </row>
    <row r="601" spans="1:30" ht="15.75" x14ac:dyDescent="0.25">
      <c r="A601" s="13">
        <v>59595</v>
      </c>
      <c r="B601" s="88">
        <f t="shared" si="94"/>
        <v>28</v>
      </c>
      <c r="C601" s="77">
        <f>122.58</f>
        <v>122.58</v>
      </c>
      <c r="D601" s="77">
        <f>297.941</f>
        <v>297.94099999999997</v>
      </c>
      <c r="E601" s="85">
        <f>89.177</f>
        <v>89.177000000000007</v>
      </c>
      <c r="F601" s="77">
        <f>240.302-40-60-100</f>
        <v>40.301999999999992</v>
      </c>
      <c r="G601" s="80">
        <v>40</v>
      </c>
      <c r="H601" s="77">
        <f>60+100</f>
        <v>160</v>
      </c>
      <c r="I601" s="77">
        <f t="shared" si="90"/>
        <v>0</v>
      </c>
      <c r="J601" s="80">
        <v>100</v>
      </c>
      <c r="K601" s="80">
        <v>300</v>
      </c>
      <c r="L601" s="77">
        <f t="shared" si="95"/>
        <v>1150</v>
      </c>
      <c r="M601" s="87">
        <v>600</v>
      </c>
      <c r="N601" s="77">
        <f>100</f>
        <v>100</v>
      </c>
      <c r="O601" s="80">
        <v>240</v>
      </c>
      <c r="P601" s="80">
        <v>40</v>
      </c>
      <c r="Q601" s="80">
        <f t="shared" si="96"/>
        <v>315</v>
      </c>
      <c r="R601" s="80">
        <f t="shared" si="97"/>
        <v>100</v>
      </c>
      <c r="S601" s="77">
        <f t="shared" si="98"/>
        <v>695</v>
      </c>
      <c r="T601" s="77">
        <f>50</f>
        <v>50</v>
      </c>
      <c r="U601" s="78"/>
      <c r="V601" s="78"/>
      <c r="W601" s="78"/>
      <c r="X601" s="78"/>
      <c r="Y601" s="78"/>
      <c r="Z601" s="78"/>
      <c r="AA601" s="78"/>
      <c r="AB601" s="78"/>
      <c r="AC601" s="78"/>
      <c r="AD601" s="78"/>
    </row>
    <row r="602" spans="1:30" ht="15.75" x14ac:dyDescent="0.25">
      <c r="A602" s="13">
        <v>59626</v>
      </c>
      <c r="B602" s="88">
        <f t="shared" si="94"/>
        <v>31</v>
      </c>
      <c r="C602" s="77">
        <f>122.58</f>
        <v>122.58</v>
      </c>
      <c r="D602" s="77">
        <f>297.941</f>
        <v>297.94099999999997</v>
      </c>
      <c r="E602" s="85">
        <f>89.177</f>
        <v>89.177000000000007</v>
      </c>
      <c r="F602" s="77">
        <f>240.302-40-60-100</f>
        <v>40.301999999999992</v>
      </c>
      <c r="G602" s="80">
        <v>40</v>
      </c>
      <c r="H602" s="77">
        <f>60+100</f>
        <v>160</v>
      </c>
      <c r="I602" s="77">
        <f t="shared" si="90"/>
        <v>0</v>
      </c>
      <c r="J602" s="80">
        <v>100</v>
      </c>
      <c r="K602" s="80">
        <v>300</v>
      </c>
      <c r="L602" s="77">
        <f t="shared" si="95"/>
        <v>1150</v>
      </c>
      <c r="M602" s="87">
        <v>600</v>
      </c>
      <c r="N602" s="77">
        <f>100</f>
        <v>100</v>
      </c>
      <c r="O602" s="80">
        <v>240</v>
      </c>
      <c r="P602" s="80">
        <v>40</v>
      </c>
      <c r="Q602" s="80">
        <f t="shared" si="96"/>
        <v>315</v>
      </c>
      <c r="R602" s="80">
        <f t="shared" si="97"/>
        <v>100</v>
      </c>
      <c r="S602" s="77">
        <f t="shared" si="98"/>
        <v>695</v>
      </c>
      <c r="T602" s="77">
        <f>50</f>
        <v>50</v>
      </c>
      <c r="U602" s="78"/>
      <c r="V602" s="78"/>
      <c r="W602" s="78"/>
      <c r="X602" s="78"/>
      <c r="Y602" s="78"/>
      <c r="Z602" s="78"/>
      <c r="AA602" s="78"/>
      <c r="AB602" s="78"/>
      <c r="AC602" s="78"/>
      <c r="AD602" s="78"/>
    </row>
    <row r="603" spans="1:30" ht="15.75" x14ac:dyDescent="0.25">
      <c r="A603" s="13">
        <v>59656</v>
      </c>
      <c r="B603" s="88">
        <f t="shared" si="94"/>
        <v>30</v>
      </c>
      <c r="C603" s="77">
        <f>141.293</f>
        <v>141.29300000000001</v>
      </c>
      <c r="D603" s="77">
        <f>267.993</f>
        <v>267.99299999999999</v>
      </c>
      <c r="E603" s="85">
        <f>115.016</f>
        <v>115.01600000000001</v>
      </c>
      <c r="F603" s="77">
        <f>314.698-40-25-60-100</f>
        <v>89.697999999999979</v>
      </c>
      <c r="G603" s="80">
        <v>40</v>
      </c>
      <c r="H603" s="77">
        <f t="shared" ref="H603:H609" si="100">25+60+100</f>
        <v>185</v>
      </c>
      <c r="I603" s="77">
        <f t="shared" si="90"/>
        <v>0</v>
      </c>
      <c r="J603" s="80">
        <v>100</v>
      </c>
      <c r="K603" s="80">
        <v>300</v>
      </c>
      <c r="L603" s="77">
        <f t="shared" si="95"/>
        <v>1239</v>
      </c>
      <c r="M603" s="87">
        <v>600</v>
      </c>
      <c r="N603" s="77">
        <f>100</f>
        <v>100</v>
      </c>
      <c r="O603" s="80">
        <v>240</v>
      </c>
      <c r="P603" s="80">
        <v>40</v>
      </c>
      <c r="Q603" s="80">
        <f t="shared" si="96"/>
        <v>315</v>
      </c>
      <c r="R603" s="80">
        <f t="shared" si="97"/>
        <v>100</v>
      </c>
      <c r="S603" s="77">
        <f t="shared" si="98"/>
        <v>695</v>
      </c>
      <c r="T603" s="77">
        <f>50</f>
        <v>50</v>
      </c>
      <c r="U603" s="78"/>
      <c r="V603" s="78"/>
      <c r="W603" s="78"/>
      <c r="X603" s="78"/>
      <c r="Y603" s="78"/>
      <c r="Z603" s="78"/>
      <c r="AA603" s="78"/>
      <c r="AB603" s="78"/>
      <c r="AC603" s="78"/>
      <c r="AD603" s="78"/>
    </row>
    <row r="604" spans="1:30" ht="15.75" x14ac:dyDescent="0.25">
      <c r="A604" s="13">
        <v>59687</v>
      </c>
      <c r="B604" s="88">
        <f t="shared" si="94"/>
        <v>31</v>
      </c>
      <c r="C604" s="77">
        <f>194.205</f>
        <v>194.20500000000001</v>
      </c>
      <c r="D604" s="77">
        <f>267.466</f>
        <v>267.46600000000001</v>
      </c>
      <c r="E604" s="85">
        <f>133.845</f>
        <v>133.845</v>
      </c>
      <c r="F604" s="77">
        <f>278.484-40-25-60-100</f>
        <v>53.48399999999998</v>
      </c>
      <c r="G604" s="80">
        <v>40</v>
      </c>
      <c r="H604" s="77">
        <f t="shared" si="100"/>
        <v>185</v>
      </c>
      <c r="I604" s="77">
        <f t="shared" si="90"/>
        <v>0</v>
      </c>
      <c r="J604" s="80">
        <v>100</v>
      </c>
      <c r="K604" s="80">
        <v>300</v>
      </c>
      <c r="L604" s="77">
        <f t="shared" si="95"/>
        <v>1274</v>
      </c>
      <c r="M604" s="87">
        <v>600</v>
      </c>
      <c r="N604" s="77">
        <f>75</f>
        <v>75</v>
      </c>
      <c r="O604" s="80">
        <v>240</v>
      </c>
      <c r="P604" s="80">
        <v>40</v>
      </c>
      <c r="Q604" s="80">
        <f t="shared" si="96"/>
        <v>315</v>
      </c>
      <c r="R604" s="80">
        <f t="shared" si="97"/>
        <v>100</v>
      </c>
      <c r="S604" s="77">
        <f t="shared" si="98"/>
        <v>695</v>
      </c>
      <c r="T604" s="77">
        <f>50</f>
        <v>50</v>
      </c>
      <c r="U604" s="78"/>
      <c r="V604" s="78"/>
      <c r="W604" s="78"/>
      <c r="X604" s="78"/>
      <c r="Y604" s="78"/>
      <c r="Z604" s="78"/>
      <c r="AA604" s="78"/>
      <c r="AB604" s="78"/>
      <c r="AC604" s="78"/>
      <c r="AD604" s="78"/>
    </row>
    <row r="605" spans="1:30" ht="15.75" x14ac:dyDescent="0.25">
      <c r="A605" s="13">
        <v>59717</v>
      </c>
      <c r="B605" s="88">
        <f t="shared" si="94"/>
        <v>30</v>
      </c>
      <c r="C605" s="77">
        <f>194.205</f>
        <v>194.20500000000001</v>
      </c>
      <c r="D605" s="77">
        <f>267.466</f>
        <v>267.46600000000001</v>
      </c>
      <c r="E605" s="85">
        <f>133.845</f>
        <v>133.845</v>
      </c>
      <c r="F605" s="77">
        <f>278.484-40-25-60-100</f>
        <v>53.48399999999998</v>
      </c>
      <c r="G605" s="80">
        <v>40</v>
      </c>
      <c r="H605" s="77">
        <f t="shared" si="100"/>
        <v>185</v>
      </c>
      <c r="I605" s="77">
        <f t="shared" si="90"/>
        <v>0</v>
      </c>
      <c r="J605" s="80">
        <v>100</v>
      </c>
      <c r="K605" s="80">
        <v>300</v>
      </c>
      <c r="L605" s="77">
        <f t="shared" si="95"/>
        <v>1274</v>
      </c>
      <c r="M605" s="87">
        <v>600</v>
      </c>
      <c r="N605" s="77">
        <f>30</f>
        <v>30</v>
      </c>
      <c r="O605" s="80">
        <v>240</v>
      </c>
      <c r="P605" s="80">
        <v>40</v>
      </c>
      <c r="Q605" s="80">
        <f t="shared" si="96"/>
        <v>315</v>
      </c>
      <c r="R605" s="80">
        <f t="shared" si="97"/>
        <v>100</v>
      </c>
      <c r="S605" s="77">
        <f t="shared" si="98"/>
        <v>695</v>
      </c>
      <c r="T605" s="77">
        <f>50</f>
        <v>50</v>
      </c>
      <c r="U605" s="78"/>
      <c r="V605" s="78"/>
      <c r="W605" s="78"/>
      <c r="X605" s="78"/>
      <c r="Y605" s="78"/>
      <c r="Z605" s="78"/>
      <c r="AA605" s="78"/>
      <c r="AB605" s="78"/>
      <c r="AC605" s="78"/>
      <c r="AD605" s="78"/>
    </row>
    <row r="606" spans="1:30" ht="15.75" x14ac:dyDescent="0.25">
      <c r="A606" s="13">
        <v>59748</v>
      </c>
      <c r="B606" s="88">
        <f t="shared" si="94"/>
        <v>31</v>
      </c>
      <c r="C606" s="77">
        <f>194.205</f>
        <v>194.20500000000001</v>
      </c>
      <c r="D606" s="77">
        <f>267.466</f>
        <v>267.46600000000001</v>
      </c>
      <c r="E606" s="85">
        <f>133.845</f>
        <v>133.845</v>
      </c>
      <c r="F606" s="77">
        <f>278.484-40-25-60-100</f>
        <v>53.48399999999998</v>
      </c>
      <c r="G606" s="80">
        <v>40</v>
      </c>
      <c r="H606" s="77">
        <f t="shared" si="100"/>
        <v>185</v>
      </c>
      <c r="I606" s="77">
        <f t="shared" si="90"/>
        <v>0</v>
      </c>
      <c r="J606" s="80">
        <v>100</v>
      </c>
      <c r="K606" s="80">
        <v>300</v>
      </c>
      <c r="L606" s="77">
        <f t="shared" si="95"/>
        <v>1274</v>
      </c>
      <c r="M606" s="87">
        <v>600</v>
      </c>
      <c r="N606" s="77">
        <f>30</f>
        <v>30</v>
      </c>
      <c r="O606" s="80">
        <v>240</v>
      </c>
      <c r="P606" s="80">
        <v>40</v>
      </c>
      <c r="Q606" s="80">
        <f t="shared" si="96"/>
        <v>315</v>
      </c>
      <c r="R606" s="80">
        <f t="shared" si="97"/>
        <v>100</v>
      </c>
      <c r="S606" s="77">
        <f t="shared" si="98"/>
        <v>695</v>
      </c>
      <c r="T606" s="77">
        <f>0</f>
        <v>0</v>
      </c>
      <c r="U606" s="78"/>
      <c r="V606" s="78"/>
      <c r="W606" s="78"/>
      <c r="X606" s="78"/>
      <c r="Y606" s="78"/>
      <c r="Z606" s="78"/>
      <c r="AA606" s="78"/>
      <c r="AB606" s="78"/>
      <c r="AC606" s="78"/>
      <c r="AD606" s="78"/>
    </row>
    <row r="607" spans="1:30" ht="15.75" x14ac:dyDescent="0.25">
      <c r="A607" s="13">
        <v>59779</v>
      </c>
      <c r="B607" s="88">
        <f t="shared" si="94"/>
        <v>31</v>
      </c>
      <c r="C607" s="77">
        <f>194.205</f>
        <v>194.20500000000001</v>
      </c>
      <c r="D607" s="77">
        <f>267.466</f>
        <v>267.46600000000001</v>
      </c>
      <c r="E607" s="85">
        <f>133.845</f>
        <v>133.845</v>
      </c>
      <c r="F607" s="77">
        <f>278.484-40-25-60-100</f>
        <v>53.48399999999998</v>
      </c>
      <c r="G607" s="80">
        <v>40</v>
      </c>
      <c r="H607" s="77">
        <f t="shared" si="100"/>
        <v>185</v>
      </c>
      <c r="I607" s="77">
        <f t="shared" si="90"/>
        <v>0</v>
      </c>
      <c r="J607" s="80">
        <v>100</v>
      </c>
      <c r="K607" s="80">
        <v>300</v>
      </c>
      <c r="L607" s="77">
        <f t="shared" si="95"/>
        <v>1274</v>
      </c>
      <c r="M607" s="87">
        <v>600</v>
      </c>
      <c r="N607" s="77">
        <f>30</f>
        <v>30</v>
      </c>
      <c r="O607" s="80">
        <v>240</v>
      </c>
      <c r="P607" s="80">
        <v>40</v>
      </c>
      <c r="Q607" s="80">
        <f t="shared" si="96"/>
        <v>315</v>
      </c>
      <c r="R607" s="80">
        <f t="shared" si="97"/>
        <v>100</v>
      </c>
      <c r="S607" s="77">
        <f t="shared" si="98"/>
        <v>695</v>
      </c>
      <c r="T607" s="77">
        <f>0</f>
        <v>0</v>
      </c>
      <c r="U607" s="78"/>
      <c r="V607" s="78"/>
      <c r="W607" s="78"/>
      <c r="X607" s="78"/>
      <c r="Y607" s="78"/>
      <c r="Z607" s="78"/>
      <c r="AA607" s="78"/>
      <c r="AB607" s="78"/>
      <c r="AC607" s="78"/>
      <c r="AD607" s="78"/>
    </row>
    <row r="608" spans="1:30" ht="15.75" x14ac:dyDescent="0.25">
      <c r="A608" s="13">
        <v>59809</v>
      </c>
      <c r="B608" s="88">
        <f t="shared" si="94"/>
        <v>30</v>
      </c>
      <c r="C608" s="77">
        <f>194.205</f>
        <v>194.20500000000001</v>
      </c>
      <c r="D608" s="77">
        <f>267.466</f>
        <v>267.46600000000001</v>
      </c>
      <c r="E608" s="85">
        <f>133.845</f>
        <v>133.845</v>
      </c>
      <c r="F608" s="77">
        <f>278.484-40-25-60-100</f>
        <v>53.48399999999998</v>
      </c>
      <c r="G608" s="80">
        <v>40</v>
      </c>
      <c r="H608" s="77">
        <f t="shared" si="100"/>
        <v>185</v>
      </c>
      <c r="I608" s="77">
        <f t="shared" si="90"/>
        <v>0</v>
      </c>
      <c r="J608" s="80">
        <v>100</v>
      </c>
      <c r="K608" s="80">
        <v>300</v>
      </c>
      <c r="L608" s="77">
        <f t="shared" si="95"/>
        <v>1274</v>
      </c>
      <c r="M608" s="87">
        <v>600</v>
      </c>
      <c r="N608" s="77">
        <f>30</f>
        <v>30</v>
      </c>
      <c r="O608" s="80">
        <v>240</v>
      </c>
      <c r="P608" s="80">
        <v>40</v>
      </c>
      <c r="Q608" s="80">
        <f t="shared" si="96"/>
        <v>315</v>
      </c>
      <c r="R608" s="80">
        <f t="shared" si="97"/>
        <v>100</v>
      </c>
      <c r="S608" s="77">
        <f t="shared" si="98"/>
        <v>695</v>
      </c>
      <c r="T608" s="77">
        <f>0</f>
        <v>0</v>
      </c>
      <c r="U608" s="78"/>
      <c r="V608" s="78"/>
      <c r="W608" s="78"/>
      <c r="X608" s="78"/>
      <c r="Y608" s="78"/>
      <c r="Z608" s="78"/>
      <c r="AA608" s="78"/>
      <c r="AB608" s="78"/>
      <c r="AC608" s="78"/>
      <c r="AD608" s="78"/>
    </row>
    <row r="609" spans="1:30" ht="15.75" x14ac:dyDescent="0.25">
      <c r="A609" s="13">
        <v>59840</v>
      </c>
      <c r="B609" s="88">
        <f t="shared" si="94"/>
        <v>31</v>
      </c>
      <c r="C609" s="77">
        <f>131.881</f>
        <v>131.881</v>
      </c>
      <c r="D609" s="77">
        <f>277.167</f>
        <v>277.16699999999997</v>
      </c>
      <c r="E609" s="85">
        <f>79.08</f>
        <v>79.08</v>
      </c>
      <c r="F609" s="77">
        <f>350.872-40-25-60-100</f>
        <v>125.87200000000001</v>
      </c>
      <c r="G609" s="80">
        <v>40</v>
      </c>
      <c r="H609" s="77">
        <f t="shared" si="100"/>
        <v>185</v>
      </c>
      <c r="I609" s="77">
        <f t="shared" si="90"/>
        <v>0</v>
      </c>
      <c r="J609" s="80">
        <v>100</v>
      </c>
      <c r="K609" s="80">
        <v>300</v>
      </c>
      <c r="L609" s="77">
        <f t="shared" si="95"/>
        <v>1239</v>
      </c>
      <c r="M609" s="87">
        <v>600</v>
      </c>
      <c r="N609" s="77">
        <f>75</f>
        <v>75</v>
      </c>
      <c r="O609" s="80">
        <v>240</v>
      </c>
      <c r="P609" s="80">
        <v>40</v>
      </c>
      <c r="Q609" s="80">
        <f t="shared" si="96"/>
        <v>315</v>
      </c>
      <c r="R609" s="80">
        <f t="shared" si="97"/>
        <v>100</v>
      </c>
      <c r="S609" s="77">
        <f t="shared" si="98"/>
        <v>695</v>
      </c>
      <c r="T609" s="77">
        <f>0</f>
        <v>0</v>
      </c>
      <c r="U609" s="78"/>
      <c r="V609" s="78"/>
      <c r="W609" s="78"/>
      <c r="X609" s="78"/>
      <c r="Y609" s="78"/>
      <c r="Z609" s="78"/>
      <c r="AA609" s="78"/>
      <c r="AB609" s="78"/>
      <c r="AC609" s="78"/>
      <c r="AD609" s="78"/>
    </row>
    <row r="610" spans="1:30" ht="15.75" x14ac:dyDescent="0.25">
      <c r="A610" s="13">
        <v>59870</v>
      </c>
      <c r="B610" s="88">
        <f t="shared" si="94"/>
        <v>30</v>
      </c>
      <c r="C610" s="77">
        <f>122.58</f>
        <v>122.58</v>
      </c>
      <c r="D610" s="77">
        <f>297.941</f>
        <v>297.94099999999997</v>
      </c>
      <c r="E610" s="85">
        <f>89.177</f>
        <v>89.177000000000007</v>
      </c>
      <c r="F610" s="77">
        <f>240.302-40-60-100</f>
        <v>40.301999999999992</v>
      </c>
      <c r="G610" s="80">
        <v>40</v>
      </c>
      <c r="H610" s="77">
        <f>60+100</f>
        <v>160</v>
      </c>
      <c r="I610" s="77">
        <f t="shared" si="90"/>
        <v>0</v>
      </c>
      <c r="J610" s="80">
        <v>100</v>
      </c>
      <c r="K610" s="80">
        <v>300</v>
      </c>
      <c r="L610" s="77">
        <f t="shared" si="95"/>
        <v>1150</v>
      </c>
      <c r="M610" s="87">
        <v>600</v>
      </c>
      <c r="N610" s="77">
        <f>100</f>
        <v>100</v>
      </c>
      <c r="O610" s="80">
        <v>240</v>
      </c>
      <c r="P610" s="80">
        <v>40</v>
      </c>
      <c r="Q610" s="80">
        <f t="shared" si="96"/>
        <v>315</v>
      </c>
      <c r="R610" s="80">
        <f t="shared" si="97"/>
        <v>100</v>
      </c>
      <c r="S610" s="77">
        <f t="shared" si="98"/>
        <v>695</v>
      </c>
      <c r="T610" s="77">
        <f>50</f>
        <v>50</v>
      </c>
      <c r="U610" s="78"/>
      <c r="V610" s="78"/>
      <c r="W610" s="78"/>
      <c r="X610" s="78"/>
      <c r="Y610" s="78"/>
      <c r="Z610" s="78"/>
      <c r="AA610" s="78"/>
      <c r="AB610" s="78"/>
      <c r="AC610" s="78"/>
      <c r="AD610" s="78"/>
    </row>
    <row r="611" spans="1:30" ht="15.75" x14ac:dyDescent="0.25">
      <c r="A611" s="13">
        <v>59901</v>
      </c>
      <c r="B611" s="88">
        <f t="shared" si="94"/>
        <v>31</v>
      </c>
      <c r="C611" s="77">
        <f>122.58</f>
        <v>122.58</v>
      </c>
      <c r="D611" s="77">
        <f>297.941</f>
        <v>297.94099999999997</v>
      </c>
      <c r="E611" s="85">
        <f>89.177</f>
        <v>89.177000000000007</v>
      </c>
      <c r="F611" s="77">
        <f>240.302-40-60-100</f>
        <v>40.301999999999992</v>
      </c>
      <c r="G611" s="80">
        <v>40</v>
      </c>
      <c r="H611" s="77">
        <f>60+100</f>
        <v>160</v>
      </c>
      <c r="I611" s="77">
        <f t="shared" si="90"/>
        <v>0</v>
      </c>
      <c r="J611" s="80">
        <v>100</v>
      </c>
      <c r="K611" s="80">
        <v>300</v>
      </c>
      <c r="L611" s="77">
        <f t="shared" si="95"/>
        <v>1150</v>
      </c>
      <c r="M611" s="87">
        <v>600</v>
      </c>
      <c r="N611" s="77">
        <f>100</f>
        <v>100</v>
      </c>
      <c r="O611" s="80">
        <v>240</v>
      </c>
      <c r="P611" s="80">
        <v>40</v>
      </c>
      <c r="Q611" s="80">
        <f t="shared" si="96"/>
        <v>315</v>
      </c>
      <c r="R611" s="80">
        <f t="shared" si="97"/>
        <v>100</v>
      </c>
      <c r="S611" s="77">
        <f t="shared" si="98"/>
        <v>695</v>
      </c>
      <c r="T611" s="77">
        <f>50</f>
        <v>50</v>
      </c>
      <c r="U611" s="78"/>
      <c r="V611" s="78"/>
      <c r="W611" s="78"/>
      <c r="X611" s="78"/>
      <c r="Y611" s="78"/>
      <c r="Z611" s="78"/>
      <c r="AA611" s="78"/>
      <c r="AB611" s="78"/>
      <c r="AC611" s="78"/>
      <c r="AD611" s="78"/>
    </row>
    <row r="612" spans="1:30" ht="15.75" x14ac:dyDescent="0.25">
      <c r="A612" s="13">
        <v>59932</v>
      </c>
      <c r="B612" s="88">
        <f t="shared" si="94"/>
        <v>31</v>
      </c>
      <c r="C612" s="77">
        <f>122.58</f>
        <v>122.58</v>
      </c>
      <c r="D612" s="77">
        <f>297.941</f>
        <v>297.94099999999997</v>
      </c>
      <c r="E612" s="85">
        <f>89.177</f>
        <v>89.177000000000007</v>
      </c>
      <c r="F612" s="77">
        <f>240.302-40-60-100</f>
        <v>40.301999999999992</v>
      </c>
      <c r="G612" s="80">
        <v>40</v>
      </c>
      <c r="H612" s="77">
        <f>60+100</f>
        <v>160</v>
      </c>
      <c r="I612" s="77">
        <f t="shared" si="90"/>
        <v>0</v>
      </c>
      <c r="J612" s="80">
        <v>100</v>
      </c>
      <c r="K612" s="80">
        <v>300</v>
      </c>
      <c r="L612" s="77">
        <f t="shared" si="95"/>
        <v>1150</v>
      </c>
      <c r="M612" s="87">
        <v>600</v>
      </c>
      <c r="N612" s="77">
        <f>100</f>
        <v>100</v>
      </c>
      <c r="O612" s="80">
        <v>240</v>
      </c>
      <c r="P612" s="80">
        <v>40</v>
      </c>
      <c r="Q612" s="80">
        <f t="shared" si="96"/>
        <v>315</v>
      </c>
      <c r="R612" s="80">
        <f t="shared" si="97"/>
        <v>100</v>
      </c>
      <c r="S612" s="77">
        <f t="shared" si="98"/>
        <v>695</v>
      </c>
      <c r="T612" s="77">
        <f>50</f>
        <v>50</v>
      </c>
      <c r="U612" s="78"/>
      <c r="V612" s="78"/>
      <c r="W612" s="78"/>
      <c r="X612" s="78"/>
      <c r="Y612" s="78"/>
      <c r="Z612" s="78"/>
      <c r="AA612" s="78"/>
      <c r="AB612" s="78"/>
      <c r="AC612" s="78"/>
      <c r="AD612" s="78"/>
    </row>
    <row r="613" spans="1:30" ht="15.75" x14ac:dyDescent="0.25">
      <c r="A613" s="13">
        <v>59961</v>
      </c>
      <c r="B613" s="88">
        <f t="shared" si="94"/>
        <v>29</v>
      </c>
      <c r="C613" s="77">
        <f>122.58</f>
        <v>122.58</v>
      </c>
      <c r="D613" s="77">
        <f>297.941</f>
        <v>297.94099999999997</v>
      </c>
      <c r="E613" s="85">
        <f>89.177</f>
        <v>89.177000000000007</v>
      </c>
      <c r="F613" s="77">
        <f>240.302-40-60-100</f>
        <v>40.301999999999992</v>
      </c>
      <c r="G613" s="80">
        <v>40</v>
      </c>
      <c r="H613" s="77">
        <f>60+100</f>
        <v>160</v>
      </c>
      <c r="I613" s="77">
        <f t="shared" si="90"/>
        <v>0</v>
      </c>
      <c r="J613" s="80">
        <v>100</v>
      </c>
      <c r="K613" s="80">
        <v>300</v>
      </c>
      <c r="L613" s="77">
        <f t="shared" si="95"/>
        <v>1150</v>
      </c>
      <c r="M613" s="87">
        <v>600</v>
      </c>
      <c r="N613" s="77">
        <f>100</f>
        <v>100</v>
      </c>
      <c r="O613" s="80">
        <v>240</v>
      </c>
      <c r="P613" s="80">
        <v>40</v>
      </c>
      <c r="Q613" s="80">
        <f t="shared" si="96"/>
        <v>315</v>
      </c>
      <c r="R613" s="80">
        <f t="shared" si="97"/>
        <v>100</v>
      </c>
      <c r="S613" s="77">
        <f t="shared" si="98"/>
        <v>695</v>
      </c>
      <c r="T613" s="77">
        <f>50</f>
        <v>50</v>
      </c>
      <c r="U613" s="78"/>
      <c r="V613" s="78"/>
      <c r="W613" s="78"/>
      <c r="X613" s="78"/>
      <c r="Y613" s="78"/>
      <c r="Z613" s="78"/>
      <c r="AA613" s="78"/>
      <c r="AB613" s="78"/>
      <c r="AC613" s="78"/>
      <c r="AD613" s="78"/>
    </row>
    <row r="614" spans="1:30" ht="15.75" x14ac:dyDescent="0.25">
      <c r="A614" s="13">
        <v>59992</v>
      </c>
      <c r="B614" s="88">
        <f t="shared" si="94"/>
        <v>31</v>
      </c>
      <c r="C614" s="77">
        <f>122.58</f>
        <v>122.58</v>
      </c>
      <c r="D614" s="77">
        <f>297.941</f>
        <v>297.94099999999997</v>
      </c>
      <c r="E614" s="85">
        <f>89.177</f>
        <v>89.177000000000007</v>
      </c>
      <c r="F614" s="77">
        <f>240.302-40-60-100</f>
        <v>40.301999999999992</v>
      </c>
      <c r="G614" s="80">
        <v>40</v>
      </c>
      <c r="H614" s="77">
        <f>60+100</f>
        <v>160</v>
      </c>
      <c r="I614" s="77">
        <f t="shared" si="90"/>
        <v>0</v>
      </c>
      <c r="J614" s="80">
        <v>100</v>
      </c>
      <c r="K614" s="80">
        <v>300</v>
      </c>
      <c r="L614" s="77">
        <f t="shared" si="95"/>
        <v>1150</v>
      </c>
      <c r="M614" s="87">
        <v>600</v>
      </c>
      <c r="N614" s="77">
        <f>100</f>
        <v>100</v>
      </c>
      <c r="O614" s="80">
        <v>240</v>
      </c>
      <c r="P614" s="80">
        <v>40</v>
      </c>
      <c r="Q614" s="80">
        <f t="shared" si="96"/>
        <v>315</v>
      </c>
      <c r="R614" s="80">
        <f t="shared" si="97"/>
        <v>100</v>
      </c>
      <c r="S614" s="77">
        <f t="shared" si="98"/>
        <v>695</v>
      </c>
      <c r="T614" s="77">
        <f>50</f>
        <v>50</v>
      </c>
      <c r="U614" s="78"/>
      <c r="V614" s="78"/>
      <c r="W614" s="78"/>
      <c r="X614" s="78"/>
      <c r="Y614" s="78"/>
      <c r="Z614" s="78"/>
      <c r="AA614" s="78"/>
      <c r="AB614" s="78"/>
      <c r="AC614" s="78"/>
      <c r="AD614" s="78"/>
    </row>
    <row r="615" spans="1:30" ht="15.75" x14ac:dyDescent="0.25">
      <c r="A615" s="13">
        <v>60022</v>
      </c>
      <c r="B615" s="88">
        <f t="shared" si="94"/>
        <v>30</v>
      </c>
      <c r="C615" s="77">
        <f>141.293</f>
        <v>141.29300000000001</v>
      </c>
      <c r="D615" s="77">
        <f>267.993</f>
        <v>267.99299999999999</v>
      </c>
      <c r="E615" s="85">
        <f>115.016</f>
        <v>115.01600000000001</v>
      </c>
      <c r="F615" s="77">
        <f>314.698-40-25-60-100</f>
        <v>89.697999999999979</v>
      </c>
      <c r="G615" s="80">
        <v>40</v>
      </c>
      <c r="H615" s="77">
        <f t="shared" ref="H615:H621" si="101">25+60+100</f>
        <v>185</v>
      </c>
      <c r="I615" s="77">
        <f t="shared" si="90"/>
        <v>0</v>
      </c>
      <c r="J615" s="80">
        <v>100</v>
      </c>
      <c r="K615" s="80">
        <v>300</v>
      </c>
      <c r="L615" s="77">
        <f t="shared" si="95"/>
        <v>1239</v>
      </c>
      <c r="M615" s="87">
        <v>600</v>
      </c>
      <c r="N615" s="77">
        <f>100</f>
        <v>100</v>
      </c>
      <c r="O615" s="80">
        <v>240</v>
      </c>
      <c r="P615" s="80">
        <v>40</v>
      </c>
      <c r="Q615" s="80">
        <f t="shared" si="96"/>
        <v>315</v>
      </c>
      <c r="R615" s="80">
        <f t="shared" si="97"/>
        <v>100</v>
      </c>
      <c r="S615" s="77">
        <f t="shared" si="98"/>
        <v>695</v>
      </c>
      <c r="T615" s="77">
        <f>50</f>
        <v>50</v>
      </c>
      <c r="U615" s="78"/>
      <c r="V615" s="78"/>
      <c r="W615" s="78"/>
      <c r="X615" s="78"/>
      <c r="Y615" s="78"/>
      <c r="Z615" s="78"/>
      <c r="AA615" s="78"/>
      <c r="AB615" s="78"/>
      <c r="AC615" s="78"/>
      <c r="AD615" s="78"/>
    </row>
    <row r="616" spans="1:30" ht="15.75" x14ac:dyDescent="0.25">
      <c r="A616" s="13">
        <v>60053</v>
      </c>
      <c r="B616" s="88">
        <f t="shared" si="94"/>
        <v>31</v>
      </c>
      <c r="C616" s="77">
        <f>194.205</f>
        <v>194.20500000000001</v>
      </c>
      <c r="D616" s="77">
        <f>267.466</f>
        <v>267.46600000000001</v>
      </c>
      <c r="E616" s="85">
        <f>133.845</f>
        <v>133.845</v>
      </c>
      <c r="F616" s="77">
        <f>278.484-40-25-60-100</f>
        <v>53.48399999999998</v>
      </c>
      <c r="G616" s="80">
        <v>40</v>
      </c>
      <c r="H616" s="77">
        <f t="shared" si="101"/>
        <v>185</v>
      </c>
      <c r="I616" s="77">
        <f t="shared" ref="I616:I679" si="102">400-J616-K616</f>
        <v>0</v>
      </c>
      <c r="J616" s="80">
        <v>100</v>
      </c>
      <c r="K616" s="80">
        <v>300</v>
      </c>
      <c r="L616" s="77">
        <f t="shared" si="95"/>
        <v>1274</v>
      </c>
      <c r="M616" s="87">
        <v>600</v>
      </c>
      <c r="N616" s="77">
        <f>75</f>
        <v>75</v>
      </c>
      <c r="O616" s="80">
        <v>240</v>
      </c>
      <c r="P616" s="80">
        <v>40</v>
      </c>
      <c r="Q616" s="80">
        <f t="shared" si="96"/>
        <v>315</v>
      </c>
      <c r="R616" s="80">
        <f t="shared" si="97"/>
        <v>100</v>
      </c>
      <c r="S616" s="77">
        <f t="shared" si="98"/>
        <v>695</v>
      </c>
      <c r="T616" s="77">
        <f>50</f>
        <v>50</v>
      </c>
      <c r="U616" s="78"/>
      <c r="V616" s="78"/>
      <c r="W616" s="78"/>
      <c r="X616" s="78"/>
      <c r="Y616" s="78"/>
      <c r="Z616" s="78"/>
      <c r="AA616" s="78"/>
      <c r="AB616" s="78"/>
      <c r="AC616" s="78"/>
      <c r="AD616" s="78"/>
    </row>
    <row r="617" spans="1:30" ht="15.75" x14ac:dyDescent="0.25">
      <c r="A617" s="13">
        <v>60083</v>
      </c>
      <c r="B617" s="88">
        <f t="shared" si="94"/>
        <v>30</v>
      </c>
      <c r="C617" s="77">
        <f>194.205</f>
        <v>194.20500000000001</v>
      </c>
      <c r="D617" s="77">
        <f>267.466</f>
        <v>267.46600000000001</v>
      </c>
      <c r="E617" s="85">
        <f>133.845</f>
        <v>133.845</v>
      </c>
      <c r="F617" s="77">
        <f>278.484-40-25-60-100</f>
        <v>53.48399999999998</v>
      </c>
      <c r="G617" s="80">
        <v>40</v>
      </c>
      <c r="H617" s="77">
        <f t="shared" si="101"/>
        <v>185</v>
      </c>
      <c r="I617" s="77">
        <f t="shared" si="102"/>
        <v>0</v>
      </c>
      <c r="J617" s="80">
        <v>100</v>
      </c>
      <c r="K617" s="80">
        <v>300</v>
      </c>
      <c r="L617" s="77">
        <f t="shared" si="95"/>
        <v>1274</v>
      </c>
      <c r="M617" s="87">
        <v>600</v>
      </c>
      <c r="N617" s="77">
        <f>30</f>
        <v>30</v>
      </c>
      <c r="O617" s="80">
        <v>240</v>
      </c>
      <c r="P617" s="80">
        <v>40</v>
      </c>
      <c r="Q617" s="80">
        <f t="shared" si="96"/>
        <v>315</v>
      </c>
      <c r="R617" s="80">
        <f t="shared" si="97"/>
        <v>100</v>
      </c>
      <c r="S617" s="77">
        <f t="shared" si="98"/>
        <v>695</v>
      </c>
      <c r="T617" s="77">
        <f>50</f>
        <v>50</v>
      </c>
      <c r="U617" s="78"/>
      <c r="V617" s="78"/>
      <c r="W617" s="78"/>
      <c r="X617" s="78"/>
      <c r="Y617" s="78"/>
      <c r="Z617" s="78"/>
      <c r="AA617" s="78"/>
      <c r="AB617" s="78"/>
      <c r="AC617" s="78"/>
      <c r="AD617" s="78"/>
    </row>
    <row r="618" spans="1:30" ht="15.75" x14ac:dyDescent="0.25">
      <c r="A618" s="13">
        <v>60114</v>
      </c>
      <c r="B618" s="88">
        <f t="shared" si="94"/>
        <v>31</v>
      </c>
      <c r="C618" s="77">
        <f>194.205</f>
        <v>194.20500000000001</v>
      </c>
      <c r="D618" s="77">
        <f>267.466</f>
        <v>267.46600000000001</v>
      </c>
      <c r="E618" s="85">
        <f>133.845</f>
        <v>133.845</v>
      </c>
      <c r="F618" s="77">
        <f>278.484-40-25-60-100</f>
        <v>53.48399999999998</v>
      </c>
      <c r="G618" s="80">
        <v>40</v>
      </c>
      <c r="H618" s="77">
        <f t="shared" si="101"/>
        <v>185</v>
      </c>
      <c r="I618" s="77">
        <f t="shared" si="102"/>
        <v>0</v>
      </c>
      <c r="J618" s="80">
        <v>100</v>
      </c>
      <c r="K618" s="80">
        <v>300</v>
      </c>
      <c r="L618" s="77">
        <f t="shared" si="95"/>
        <v>1274</v>
      </c>
      <c r="M618" s="87">
        <v>600</v>
      </c>
      <c r="N618" s="77">
        <f>30</f>
        <v>30</v>
      </c>
      <c r="O618" s="80">
        <v>240</v>
      </c>
      <c r="P618" s="80">
        <v>40</v>
      </c>
      <c r="Q618" s="80">
        <f t="shared" si="96"/>
        <v>315</v>
      </c>
      <c r="R618" s="80">
        <f t="shared" si="97"/>
        <v>100</v>
      </c>
      <c r="S618" s="77">
        <f t="shared" si="98"/>
        <v>695</v>
      </c>
      <c r="T618" s="77">
        <f>0</f>
        <v>0</v>
      </c>
      <c r="U618" s="78"/>
      <c r="V618" s="78"/>
      <c r="W618" s="78"/>
      <c r="X618" s="78"/>
      <c r="Y618" s="78"/>
      <c r="Z618" s="78"/>
      <c r="AA618" s="78"/>
      <c r="AB618" s="78"/>
      <c r="AC618" s="78"/>
      <c r="AD618" s="78"/>
    </row>
    <row r="619" spans="1:30" ht="15.75" x14ac:dyDescent="0.25">
      <c r="A619" s="13">
        <v>60145</v>
      </c>
      <c r="B619" s="88">
        <f t="shared" si="94"/>
        <v>31</v>
      </c>
      <c r="C619" s="77">
        <f>194.205</f>
        <v>194.20500000000001</v>
      </c>
      <c r="D619" s="77">
        <f>267.466</f>
        <v>267.46600000000001</v>
      </c>
      <c r="E619" s="85">
        <f>133.845</f>
        <v>133.845</v>
      </c>
      <c r="F619" s="77">
        <f>278.484-40-25-60-100</f>
        <v>53.48399999999998</v>
      </c>
      <c r="G619" s="80">
        <v>40</v>
      </c>
      <c r="H619" s="77">
        <f t="shared" si="101"/>
        <v>185</v>
      </c>
      <c r="I619" s="77">
        <f t="shared" si="102"/>
        <v>0</v>
      </c>
      <c r="J619" s="80">
        <v>100</v>
      </c>
      <c r="K619" s="80">
        <v>300</v>
      </c>
      <c r="L619" s="77">
        <f t="shared" si="95"/>
        <v>1274</v>
      </c>
      <c r="M619" s="87">
        <v>600</v>
      </c>
      <c r="N619" s="77">
        <f>30</f>
        <v>30</v>
      </c>
      <c r="O619" s="80">
        <v>240</v>
      </c>
      <c r="P619" s="80">
        <v>40</v>
      </c>
      <c r="Q619" s="80">
        <f t="shared" si="96"/>
        <v>315</v>
      </c>
      <c r="R619" s="80">
        <f t="shared" si="97"/>
        <v>100</v>
      </c>
      <c r="S619" s="77">
        <f t="shared" si="98"/>
        <v>695</v>
      </c>
      <c r="T619" s="77">
        <f>0</f>
        <v>0</v>
      </c>
      <c r="U619" s="78"/>
      <c r="V619" s="78"/>
      <c r="W619" s="78"/>
      <c r="X619" s="78"/>
      <c r="Y619" s="78"/>
      <c r="Z619" s="78"/>
      <c r="AA619" s="78"/>
      <c r="AB619" s="78"/>
      <c r="AC619" s="78"/>
      <c r="AD619" s="78"/>
    </row>
    <row r="620" spans="1:30" ht="15.75" x14ac:dyDescent="0.25">
      <c r="A620" s="13">
        <v>60175</v>
      </c>
      <c r="B620" s="88">
        <f t="shared" si="94"/>
        <v>30</v>
      </c>
      <c r="C620" s="77">
        <f>194.205</f>
        <v>194.20500000000001</v>
      </c>
      <c r="D620" s="77">
        <f>267.466</f>
        <v>267.46600000000001</v>
      </c>
      <c r="E620" s="85">
        <f>133.845</f>
        <v>133.845</v>
      </c>
      <c r="F620" s="77">
        <f>278.484-40-25-60-100</f>
        <v>53.48399999999998</v>
      </c>
      <c r="G620" s="80">
        <v>40</v>
      </c>
      <c r="H620" s="77">
        <f t="shared" si="101"/>
        <v>185</v>
      </c>
      <c r="I620" s="77">
        <f t="shared" si="102"/>
        <v>0</v>
      </c>
      <c r="J620" s="80">
        <v>100</v>
      </c>
      <c r="K620" s="80">
        <v>300</v>
      </c>
      <c r="L620" s="77">
        <f t="shared" si="95"/>
        <v>1274</v>
      </c>
      <c r="M620" s="87">
        <v>600</v>
      </c>
      <c r="N620" s="77">
        <f>30</f>
        <v>30</v>
      </c>
      <c r="O620" s="80">
        <v>240</v>
      </c>
      <c r="P620" s="80">
        <v>40</v>
      </c>
      <c r="Q620" s="80">
        <f t="shared" si="96"/>
        <v>315</v>
      </c>
      <c r="R620" s="80">
        <f t="shared" si="97"/>
        <v>100</v>
      </c>
      <c r="S620" s="77">
        <f t="shared" si="98"/>
        <v>695</v>
      </c>
      <c r="T620" s="77">
        <f>0</f>
        <v>0</v>
      </c>
      <c r="U620" s="78"/>
      <c r="V620" s="78"/>
      <c r="W620" s="78"/>
      <c r="X620" s="78"/>
      <c r="Y620" s="78"/>
      <c r="Z620" s="78"/>
      <c r="AA620" s="78"/>
      <c r="AB620" s="78"/>
      <c r="AC620" s="78"/>
      <c r="AD620" s="78"/>
    </row>
    <row r="621" spans="1:30" ht="15.75" x14ac:dyDescent="0.25">
      <c r="A621" s="13">
        <v>60206</v>
      </c>
      <c r="B621" s="88">
        <f t="shared" si="94"/>
        <v>31</v>
      </c>
      <c r="C621" s="77">
        <f>131.881</f>
        <v>131.881</v>
      </c>
      <c r="D621" s="77">
        <f>277.167</f>
        <v>277.16699999999997</v>
      </c>
      <c r="E621" s="85">
        <f>79.08</f>
        <v>79.08</v>
      </c>
      <c r="F621" s="77">
        <f>350.872-40-25-60-100</f>
        <v>125.87200000000001</v>
      </c>
      <c r="G621" s="80">
        <v>40</v>
      </c>
      <c r="H621" s="77">
        <f t="shared" si="101"/>
        <v>185</v>
      </c>
      <c r="I621" s="77">
        <f t="shared" si="102"/>
        <v>0</v>
      </c>
      <c r="J621" s="80">
        <v>100</v>
      </c>
      <c r="K621" s="80">
        <v>300</v>
      </c>
      <c r="L621" s="77">
        <f t="shared" si="95"/>
        <v>1239</v>
      </c>
      <c r="M621" s="87">
        <v>600</v>
      </c>
      <c r="N621" s="77">
        <f>75</f>
        <v>75</v>
      </c>
      <c r="O621" s="80">
        <v>240</v>
      </c>
      <c r="P621" s="80">
        <v>40</v>
      </c>
      <c r="Q621" s="80">
        <f t="shared" si="96"/>
        <v>315</v>
      </c>
      <c r="R621" s="80">
        <f t="shared" si="97"/>
        <v>100</v>
      </c>
      <c r="S621" s="77">
        <f t="shared" si="98"/>
        <v>695</v>
      </c>
      <c r="T621" s="77">
        <f>0</f>
        <v>0</v>
      </c>
      <c r="U621" s="78"/>
      <c r="V621" s="78"/>
      <c r="W621" s="78"/>
      <c r="X621" s="78"/>
      <c r="Y621" s="78"/>
      <c r="Z621" s="78"/>
      <c r="AA621" s="78"/>
      <c r="AB621" s="78"/>
      <c r="AC621" s="78"/>
      <c r="AD621" s="78"/>
    </row>
    <row r="622" spans="1:30" ht="15.75" x14ac:dyDescent="0.25">
      <c r="A622" s="13">
        <v>60236</v>
      </c>
      <c r="B622" s="88">
        <f t="shared" si="94"/>
        <v>30</v>
      </c>
      <c r="C622" s="77">
        <f>122.58</f>
        <v>122.58</v>
      </c>
      <c r="D622" s="77">
        <f>297.941</f>
        <v>297.94099999999997</v>
      </c>
      <c r="E622" s="85">
        <f>89.177</f>
        <v>89.177000000000007</v>
      </c>
      <c r="F622" s="77">
        <f>240.302-40-60-100</f>
        <v>40.301999999999992</v>
      </c>
      <c r="G622" s="80">
        <v>40</v>
      </c>
      <c r="H622" s="77">
        <f>60+100</f>
        <v>160</v>
      </c>
      <c r="I622" s="77">
        <f t="shared" si="102"/>
        <v>0</v>
      </c>
      <c r="J622" s="80">
        <v>100</v>
      </c>
      <c r="K622" s="80">
        <v>300</v>
      </c>
      <c r="L622" s="77">
        <f t="shared" si="95"/>
        <v>1150</v>
      </c>
      <c r="M622" s="87">
        <v>600</v>
      </c>
      <c r="N622" s="77">
        <f>100</f>
        <v>100</v>
      </c>
      <c r="O622" s="80">
        <v>240</v>
      </c>
      <c r="P622" s="80">
        <v>40</v>
      </c>
      <c r="Q622" s="80">
        <f t="shared" si="96"/>
        <v>315</v>
      </c>
      <c r="R622" s="80">
        <f t="shared" si="97"/>
        <v>100</v>
      </c>
      <c r="S622" s="77">
        <f t="shared" si="98"/>
        <v>695</v>
      </c>
      <c r="T622" s="77">
        <f>50</f>
        <v>50</v>
      </c>
      <c r="U622" s="78"/>
      <c r="V622" s="78"/>
      <c r="W622" s="78"/>
      <c r="X622" s="78"/>
      <c r="Y622" s="78"/>
      <c r="Z622" s="78"/>
      <c r="AA622" s="78"/>
      <c r="AB622" s="78"/>
      <c r="AC622" s="78"/>
      <c r="AD622" s="78"/>
    </row>
    <row r="623" spans="1:30" ht="15.75" x14ac:dyDescent="0.25">
      <c r="A623" s="13">
        <v>60267</v>
      </c>
      <c r="B623" s="88">
        <f t="shared" si="94"/>
        <v>31</v>
      </c>
      <c r="C623" s="77">
        <f>122.58</f>
        <v>122.58</v>
      </c>
      <c r="D623" s="77">
        <f>297.941</f>
        <v>297.94099999999997</v>
      </c>
      <c r="E623" s="85">
        <f>89.177</f>
        <v>89.177000000000007</v>
      </c>
      <c r="F623" s="77">
        <f>240.302-40-60-100</f>
        <v>40.301999999999992</v>
      </c>
      <c r="G623" s="80">
        <v>40</v>
      </c>
      <c r="H623" s="77">
        <f>60+100</f>
        <v>160</v>
      </c>
      <c r="I623" s="77">
        <f t="shared" si="102"/>
        <v>0</v>
      </c>
      <c r="J623" s="80">
        <v>100</v>
      </c>
      <c r="K623" s="80">
        <v>300</v>
      </c>
      <c r="L623" s="77">
        <f t="shared" si="95"/>
        <v>1150</v>
      </c>
      <c r="M623" s="87">
        <v>600</v>
      </c>
      <c r="N623" s="77">
        <f>100</f>
        <v>100</v>
      </c>
      <c r="O623" s="80">
        <v>240</v>
      </c>
      <c r="P623" s="80">
        <v>40</v>
      </c>
      <c r="Q623" s="80">
        <f t="shared" si="96"/>
        <v>315</v>
      </c>
      <c r="R623" s="80">
        <f t="shared" si="97"/>
        <v>100</v>
      </c>
      <c r="S623" s="77">
        <f t="shared" si="98"/>
        <v>695</v>
      </c>
      <c r="T623" s="77">
        <f>50</f>
        <v>50</v>
      </c>
      <c r="U623" s="78"/>
      <c r="V623" s="78"/>
      <c r="W623" s="78"/>
      <c r="X623" s="78"/>
      <c r="Y623" s="78"/>
      <c r="Z623" s="78"/>
      <c r="AA623" s="78"/>
      <c r="AB623" s="78"/>
      <c r="AC623" s="78"/>
      <c r="AD623" s="78"/>
    </row>
    <row r="624" spans="1:30" ht="15.75" x14ac:dyDescent="0.25">
      <c r="A624" s="13">
        <v>60298</v>
      </c>
      <c r="B624" s="88">
        <f t="shared" si="94"/>
        <v>31</v>
      </c>
      <c r="C624" s="77">
        <f>122.58</f>
        <v>122.58</v>
      </c>
      <c r="D624" s="77">
        <f>297.941</f>
        <v>297.94099999999997</v>
      </c>
      <c r="E624" s="85">
        <f>89.177</f>
        <v>89.177000000000007</v>
      </c>
      <c r="F624" s="77">
        <f>240.302-40-60-100</f>
        <v>40.301999999999992</v>
      </c>
      <c r="G624" s="80">
        <v>40</v>
      </c>
      <c r="H624" s="77">
        <f>60+100</f>
        <v>160</v>
      </c>
      <c r="I624" s="77">
        <f t="shared" si="102"/>
        <v>0</v>
      </c>
      <c r="J624" s="80">
        <v>100</v>
      </c>
      <c r="K624" s="80">
        <v>300</v>
      </c>
      <c r="L624" s="77">
        <f t="shared" si="95"/>
        <v>1150</v>
      </c>
      <c r="M624" s="87">
        <v>600</v>
      </c>
      <c r="N624" s="77">
        <f>100</f>
        <v>100</v>
      </c>
      <c r="O624" s="80">
        <v>240</v>
      </c>
      <c r="P624" s="80">
        <v>40</v>
      </c>
      <c r="Q624" s="80">
        <f t="shared" si="96"/>
        <v>315</v>
      </c>
      <c r="R624" s="80">
        <f t="shared" si="97"/>
        <v>100</v>
      </c>
      <c r="S624" s="77">
        <f t="shared" si="98"/>
        <v>695</v>
      </c>
      <c r="T624" s="77">
        <f>50</f>
        <v>50</v>
      </c>
      <c r="U624" s="78"/>
      <c r="V624" s="78"/>
      <c r="W624" s="78"/>
      <c r="X624" s="78"/>
      <c r="Y624" s="78"/>
      <c r="Z624" s="78"/>
      <c r="AA624" s="78"/>
      <c r="AB624" s="78"/>
      <c r="AC624" s="78"/>
      <c r="AD624" s="78"/>
    </row>
    <row r="625" spans="1:30" ht="15.75" x14ac:dyDescent="0.25">
      <c r="A625" s="13">
        <v>60326</v>
      </c>
      <c r="B625" s="88">
        <f t="shared" si="94"/>
        <v>28</v>
      </c>
      <c r="C625" s="77">
        <f>122.58</f>
        <v>122.58</v>
      </c>
      <c r="D625" s="77">
        <f>297.941</f>
        <v>297.94099999999997</v>
      </c>
      <c r="E625" s="85">
        <f>89.177</f>
        <v>89.177000000000007</v>
      </c>
      <c r="F625" s="77">
        <f>240.302-40-60-100</f>
        <v>40.301999999999992</v>
      </c>
      <c r="G625" s="80">
        <v>40</v>
      </c>
      <c r="H625" s="77">
        <f>60+100</f>
        <v>160</v>
      </c>
      <c r="I625" s="77">
        <f t="shared" si="102"/>
        <v>0</v>
      </c>
      <c r="J625" s="80">
        <v>100</v>
      </c>
      <c r="K625" s="80">
        <v>300</v>
      </c>
      <c r="L625" s="77">
        <f t="shared" si="95"/>
        <v>1150</v>
      </c>
      <c r="M625" s="87">
        <v>600</v>
      </c>
      <c r="N625" s="77">
        <f>100</f>
        <v>100</v>
      </c>
      <c r="O625" s="80">
        <v>240</v>
      </c>
      <c r="P625" s="80">
        <v>40</v>
      </c>
      <c r="Q625" s="80">
        <f t="shared" si="96"/>
        <v>315</v>
      </c>
      <c r="R625" s="80">
        <f t="shared" si="97"/>
        <v>100</v>
      </c>
      <c r="S625" s="77">
        <f t="shared" si="98"/>
        <v>695</v>
      </c>
      <c r="T625" s="77">
        <f>50</f>
        <v>50</v>
      </c>
      <c r="U625" s="78"/>
      <c r="V625" s="78"/>
      <c r="W625" s="78"/>
      <c r="X625" s="78"/>
      <c r="Y625" s="78"/>
      <c r="Z625" s="78"/>
      <c r="AA625" s="78"/>
      <c r="AB625" s="78"/>
      <c r="AC625" s="78"/>
      <c r="AD625" s="78"/>
    </row>
    <row r="626" spans="1:30" ht="15.75" x14ac:dyDescent="0.25">
      <c r="A626" s="13">
        <v>60357</v>
      </c>
      <c r="B626" s="88">
        <f t="shared" si="94"/>
        <v>31</v>
      </c>
      <c r="C626" s="77">
        <f>122.58</f>
        <v>122.58</v>
      </c>
      <c r="D626" s="77">
        <f>297.941</f>
        <v>297.94099999999997</v>
      </c>
      <c r="E626" s="85">
        <f>89.177</f>
        <v>89.177000000000007</v>
      </c>
      <c r="F626" s="77">
        <f>240.302-40-60-100</f>
        <v>40.301999999999992</v>
      </c>
      <c r="G626" s="80">
        <v>40</v>
      </c>
      <c r="H626" s="77">
        <f>60+100</f>
        <v>160</v>
      </c>
      <c r="I626" s="77">
        <f t="shared" si="102"/>
        <v>0</v>
      </c>
      <c r="J626" s="80">
        <v>100</v>
      </c>
      <c r="K626" s="80">
        <v>300</v>
      </c>
      <c r="L626" s="77">
        <f t="shared" si="95"/>
        <v>1150</v>
      </c>
      <c r="M626" s="87">
        <v>600</v>
      </c>
      <c r="N626" s="77">
        <f>100</f>
        <v>100</v>
      </c>
      <c r="O626" s="80">
        <v>240</v>
      </c>
      <c r="P626" s="80">
        <v>40</v>
      </c>
      <c r="Q626" s="80">
        <f t="shared" si="96"/>
        <v>315</v>
      </c>
      <c r="R626" s="80">
        <f t="shared" si="97"/>
        <v>100</v>
      </c>
      <c r="S626" s="77">
        <f t="shared" si="98"/>
        <v>695</v>
      </c>
      <c r="T626" s="77">
        <f>50</f>
        <v>50</v>
      </c>
      <c r="U626" s="78"/>
      <c r="V626" s="78"/>
      <c r="W626" s="78"/>
      <c r="X626" s="78"/>
      <c r="Y626" s="78"/>
      <c r="Z626" s="78"/>
      <c r="AA626" s="78"/>
      <c r="AB626" s="78"/>
      <c r="AC626" s="78"/>
      <c r="AD626" s="78"/>
    </row>
    <row r="627" spans="1:30" ht="15.75" x14ac:dyDescent="0.25">
      <c r="A627" s="13">
        <v>60387</v>
      </c>
      <c r="B627" s="88">
        <f t="shared" si="94"/>
        <v>30</v>
      </c>
      <c r="C627" s="77">
        <f>141.293</f>
        <v>141.29300000000001</v>
      </c>
      <c r="D627" s="77">
        <f>267.993</f>
        <v>267.99299999999999</v>
      </c>
      <c r="E627" s="85">
        <f>115.016</f>
        <v>115.01600000000001</v>
      </c>
      <c r="F627" s="77">
        <f>314.698-40-25-60-100</f>
        <v>89.697999999999979</v>
      </c>
      <c r="G627" s="80">
        <v>40</v>
      </c>
      <c r="H627" s="77">
        <f t="shared" ref="H627:H633" si="103">25+60+100</f>
        <v>185</v>
      </c>
      <c r="I627" s="77">
        <f t="shared" si="102"/>
        <v>0</v>
      </c>
      <c r="J627" s="80">
        <v>100</v>
      </c>
      <c r="K627" s="80">
        <v>300</v>
      </c>
      <c r="L627" s="77">
        <f t="shared" si="95"/>
        <v>1239</v>
      </c>
      <c r="M627" s="87">
        <v>600</v>
      </c>
      <c r="N627" s="77">
        <f>100</f>
        <v>100</v>
      </c>
      <c r="O627" s="80">
        <v>240</v>
      </c>
      <c r="P627" s="80">
        <v>40</v>
      </c>
      <c r="Q627" s="80">
        <f t="shared" si="96"/>
        <v>315</v>
      </c>
      <c r="R627" s="80">
        <f t="shared" si="97"/>
        <v>100</v>
      </c>
      <c r="S627" s="77">
        <f t="shared" si="98"/>
        <v>695</v>
      </c>
      <c r="T627" s="77">
        <f>50</f>
        <v>50</v>
      </c>
      <c r="U627" s="78"/>
      <c r="V627" s="78"/>
      <c r="W627" s="78"/>
      <c r="X627" s="78"/>
      <c r="Y627" s="78"/>
      <c r="Z627" s="78"/>
      <c r="AA627" s="78"/>
      <c r="AB627" s="78"/>
      <c r="AC627" s="78"/>
      <c r="AD627" s="78"/>
    </row>
    <row r="628" spans="1:30" ht="15.75" x14ac:dyDescent="0.25">
      <c r="A628" s="13">
        <v>60418</v>
      </c>
      <c r="B628" s="88">
        <f t="shared" si="94"/>
        <v>31</v>
      </c>
      <c r="C628" s="77">
        <f>194.205</f>
        <v>194.20500000000001</v>
      </c>
      <c r="D628" s="77">
        <f>267.466</f>
        <v>267.46600000000001</v>
      </c>
      <c r="E628" s="85">
        <f>133.845</f>
        <v>133.845</v>
      </c>
      <c r="F628" s="77">
        <f>278.484-40-25-60-100</f>
        <v>53.48399999999998</v>
      </c>
      <c r="G628" s="80">
        <v>40</v>
      </c>
      <c r="H628" s="77">
        <f t="shared" si="103"/>
        <v>185</v>
      </c>
      <c r="I628" s="77">
        <f t="shared" si="102"/>
        <v>0</v>
      </c>
      <c r="J628" s="80">
        <v>100</v>
      </c>
      <c r="K628" s="80">
        <v>300</v>
      </c>
      <c r="L628" s="77">
        <f t="shared" si="95"/>
        <v>1274</v>
      </c>
      <c r="M628" s="87">
        <v>600</v>
      </c>
      <c r="N628" s="77">
        <f>75</f>
        <v>75</v>
      </c>
      <c r="O628" s="80">
        <v>240</v>
      </c>
      <c r="P628" s="80">
        <v>40</v>
      </c>
      <c r="Q628" s="80">
        <f t="shared" si="96"/>
        <v>315</v>
      </c>
      <c r="R628" s="80">
        <f t="shared" si="97"/>
        <v>100</v>
      </c>
      <c r="S628" s="77">
        <f t="shared" si="98"/>
        <v>695</v>
      </c>
      <c r="T628" s="77">
        <f>50</f>
        <v>50</v>
      </c>
      <c r="U628" s="78"/>
      <c r="V628" s="78"/>
      <c r="W628" s="78"/>
      <c r="X628" s="78"/>
      <c r="Y628" s="78"/>
      <c r="Z628" s="78"/>
      <c r="AA628" s="78"/>
      <c r="AB628" s="78"/>
      <c r="AC628" s="78"/>
      <c r="AD628" s="78"/>
    </row>
    <row r="629" spans="1:30" ht="15.75" x14ac:dyDescent="0.25">
      <c r="A629" s="13">
        <v>60448</v>
      </c>
      <c r="B629" s="88">
        <f t="shared" si="94"/>
        <v>30</v>
      </c>
      <c r="C629" s="77">
        <f>194.205</f>
        <v>194.20500000000001</v>
      </c>
      <c r="D629" s="77">
        <f>267.466</f>
        <v>267.46600000000001</v>
      </c>
      <c r="E629" s="85">
        <f>133.845</f>
        <v>133.845</v>
      </c>
      <c r="F629" s="77">
        <f>278.484-40-25-60-100</f>
        <v>53.48399999999998</v>
      </c>
      <c r="G629" s="80">
        <v>40</v>
      </c>
      <c r="H629" s="77">
        <f t="shared" si="103"/>
        <v>185</v>
      </c>
      <c r="I629" s="77">
        <f t="shared" si="102"/>
        <v>0</v>
      </c>
      <c r="J629" s="80">
        <v>100</v>
      </c>
      <c r="K629" s="80">
        <v>300</v>
      </c>
      <c r="L629" s="77">
        <f t="shared" si="95"/>
        <v>1274</v>
      </c>
      <c r="M629" s="87">
        <v>600</v>
      </c>
      <c r="N629" s="77">
        <f>30</f>
        <v>30</v>
      </c>
      <c r="O629" s="80">
        <v>240</v>
      </c>
      <c r="P629" s="80">
        <v>40</v>
      </c>
      <c r="Q629" s="80">
        <f t="shared" si="96"/>
        <v>315</v>
      </c>
      <c r="R629" s="80">
        <f t="shared" si="97"/>
        <v>100</v>
      </c>
      <c r="S629" s="77">
        <f t="shared" si="98"/>
        <v>695</v>
      </c>
      <c r="T629" s="77">
        <f>50</f>
        <v>50</v>
      </c>
      <c r="U629" s="78"/>
      <c r="V629" s="78"/>
      <c r="W629" s="78"/>
      <c r="X629" s="78"/>
      <c r="Y629" s="78"/>
      <c r="Z629" s="78"/>
      <c r="AA629" s="78"/>
      <c r="AB629" s="78"/>
      <c r="AC629" s="78"/>
      <c r="AD629" s="78"/>
    </row>
    <row r="630" spans="1:30" ht="15.75" x14ac:dyDescent="0.25">
      <c r="A630" s="13">
        <v>60479</v>
      </c>
      <c r="B630" s="88">
        <f t="shared" si="94"/>
        <v>31</v>
      </c>
      <c r="C630" s="77">
        <f>194.205</f>
        <v>194.20500000000001</v>
      </c>
      <c r="D630" s="77">
        <f>267.466</f>
        <v>267.46600000000001</v>
      </c>
      <c r="E630" s="85">
        <f>133.845</f>
        <v>133.845</v>
      </c>
      <c r="F630" s="77">
        <f>278.484-40-25-60-100</f>
        <v>53.48399999999998</v>
      </c>
      <c r="G630" s="80">
        <v>40</v>
      </c>
      <c r="H630" s="77">
        <f t="shared" si="103"/>
        <v>185</v>
      </c>
      <c r="I630" s="77">
        <f t="shared" si="102"/>
        <v>0</v>
      </c>
      <c r="J630" s="80">
        <v>100</v>
      </c>
      <c r="K630" s="80">
        <v>300</v>
      </c>
      <c r="L630" s="77">
        <f t="shared" si="95"/>
        <v>1274</v>
      </c>
      <c r="M630" s="87">
        <v>600</v>
      </c>
      <c r="N630" s="77">
        <f>30</f>
        <v>30</v>
      </c>
      <c r="O630" s="80">
        <v>240</v>
      </c>
      <c r="P630" s="80">
        <v>40</v>
      </c>
      <c r="Q630" s="80">
        <f t="shared" si="96"/>
        <v>315</v>
      </c>
      <c r="R630" s="80">
        <f t="shared" si="97"/>
        <v>100</v>
      </c>
      <c r="S630" s="77">
        <f t="shared" si="98"/>
        <v>695</v>
      </c>
      <c r="T630" s="77">
        <f>0</f>
        <v>0</v>
      </c>
      <c r="U630" s="78"/>
      <c r="V630" s="78"/>
      <c r="W630" s="78"/>
      <c r="X630" s="78"/>
      <c r="Y630" s="78"/>
      <c r="Z630" s="78"/>
      <c r="AA630" s="78"/>
      <c r="AB630" s="78"/>
      <c r="AC630" s="78"/>
      <c r="AD630" s="78"/>
    </row>
    <row r="631" spans="1:30" ht="15.75" x14ac:dyDescent="0.25">
      <c r="A631" s="13">
        <v>60510</v>
      </c>
      <c r="B631" s="88">
        <f t="shared" si="94"/>
        <v>31</v>
      </c>
      <c r="C631" s="77">
        <f>194.205</f>
        <v>194.20500000000001</v>
      </c>
      <c r="D631" s="77">
        <f>267.466</f>
        <v>267.46600000000001</v>
      </c>
      <c r="E631" s="85">
        <f>133.845</f>
        <v>133.845</v>
      </c>
      <c r="F631" s="77">
        <f>278.484-40-25-60-100</f>
        <v>53.48399999999998</v>
      </c>
      <c r="G631" s="80">
        <v>40</v>
      </c>
      <c r="H631" s="77">
        <f t="shared" si="103"/>
        <v>185</v>
      </c>
      <c r="I631" s="77">
        <f t="shared" si="102"/>
        <v>0</v>
      </c>
      <c r="J631" s="80">
        <v>100</v>
      </c>
      <c r="K631" s="80">
        <v>300</v>
      </c>
      <c r="L631" s="77">
        <f t="shared" si="95"/>
        <v>1274</v>
      </c>
      <c r="M631" s="87">
        <v>600</v>
      </c>
      <c r="N631" s="77">
        <f>30</f>
        <v>30</v>
      </c>
      <c r="O631" s="80">
        <v>240</v>
      </c>
      <c r="P631" s="80">
        <v>40</v>
      </c>
      <c r="Q631" s="80">
        <f t="shared" si="96"/>
        <v>315</v>
      </c>
      <c r="R631" s="80">
        <f t="shared" si="97"/>
        <v>100</v>
      </c>
      <c r="S631" s="77">
        <f t="shared" si="98"/>
        <v>695</v>
      </c>
      <c r="T631" s="77">
        <f>0</f>
        <v>0</v>
      </c>
      <c r="U631" s="78"/>
      <c r="V631" s="78"/>
      <c r="W631" s="78"/>
      <c r="X631" s="78"/>
      <c r="Y631" s="78"/>
      <c r="Z631" s="78"/>
      <c r="AA631" s="78"/>
      <c r="AB631" s="78"/>
      <c r="AC631" s="78"/>
      <c r="AD631" s="78"/>
    </row>
    <row r="632" spans="1:30" ht="15.75" x14ac:dyDescent="0.25">
      <c r="A632" s="13">
        <v>60540</v>
      </c>
      <c r="B632" s="88">
        <f t="shared" si="94"/>
        <v>30</v>
      </c>
      <c r="C632" s="77">
        <f>194.205</f>
        <v>194.20500000000001</v>
      </c>
      <c r="D632" s="77">
        <f>267.466</f>
        <v>267.46600000000001</v>
      </c>
      <c r="E632" s="85">
        <f>133.845</f>
        <v>133.845</v>
      </c>
      <c r="F632" s="77">
        <f>278.484-40-25-60-100</f>
        <v>53.48399999999998</v>
      </c>
      <c r="G632" s="80">
        <v>40</v>
      </c>
      <c r="H632" s="77">
        <f t="shared" si="103"/>
        <v>185</v>
      </c>
      <c r="I632" s="77">
        <f t="shared" si="102"/>
        <v>0</v>
      </c>
      <c r="J632" s="80">
        <v>100</v>
      </c>
      <c r="K632" s="80">
        <v>300</v>
      </c>
      <c r="L632" s="77">
        <f t="shared" si="95"/>
        <v>1274</v>
      </c>
      <c r="M632" s="87">
        <v>600</v>
      </c>
      <c r="N632" s="77">
        <f>30</f>
        <v>30</v>
      </c>
      <c r="O632" s="80">
        <v>240</v>
      </c>
      <c r="P632" s="80">
        <v>40</v>
      </c>
      <c r="Q632" s="80">
        <f t="shared" si="96"/>
        <v>315</v>
      </c>
      <c r="R632" s="80">
        <f t="shared" si="97"/>
        <v>100</v>
      </c>
      <c r="S632" s="77">
        <f t="shared" si="98"/>
        <v>695</v>
      </c>
      <c r="T632" s="77">
        <f>0</f>
        <v>0</v>
      </c>
      <c r="U632" s="78"/>
      <c r="V632" s="78"/>
      <c r="W632" s="78"/>
      <c r="X632" s="78"/>
      <c r="Y632" s="78"/>
      <c r="Z632" s="78"/>
      <c r="AA632" s="78"/>
      <c r="AB632" s="78"/>
      <c r="AC632" s="78"/>
      <c r="AD632" s="78"/>
    </row>
    <row r="633" spans="1:30" ht="15.75" x14ac:dyDescent="0.25">
      <c r="A633" s="13">
        <v>60571</v>
      </c>
      <c r="B633" s="88">
        <f t="shared" si="94"/>
        <v>31</v>
      </c>
      <c r="C633" s="77">
        <f>131.881</f>
        <v>131.881</v>
      </c>
      <c r="D633" s="77">
        <f>277.167</f>
        <v>277.16699999999997</v>
      </c>
      <c r="E633" s="85">
        <f>79.08</f>
        <v>79.08</v>
      </c>
      <c r="F633" s="77">
        <f>350.872-40-25-60-100</f>
        <v>125.87200000000001</v>
      </c>
      <c r="G633" s="80">
        <v>40</v>
      </c>
      <c r="H633" s="77">
        <f t="shared" si="103"/>
        <v>185</v>
      </c>
      <c r="I633" s="77">
        <f t="shared" si="102"/>
        <v>0</v>
      </c>
      <c r="J633" s="80">
        <v>100</v>
      </c>
      <c r="K633" s="80">
        <v>300</v>
      </c>
      <c r="L633" s="77">
        <f t="shared" si="95"/>
        <v>1239</v>
      </c>
      <c r="M633" s="87">
        <v>600</v>
      </c>
      <c r="N633" s="77">
        <f>75</f>
        <v>75</v>
      </c>
      <c r="O633" s="80">
        <v>240</v>
      </c>
      <c r="P633" s="80">
        <v>40</v>
      </c>
      <c r="Q633" s="80">
        <f t="shared" si="96"/>
        <v>315</v>
      </c>
      <c r="R633" s="80">
        <f t="shared" si="97"/>
        <v>100</v>
      </c>
      <c r="S633" s="77">
        <f t="shared" si="98"/>
        <v>695</v>
      </c>
      <c r="T633" s="77">
        <f>0</f>
        <v>0</v>
      </c>
      <c r="U633" s="78"/>
      <c r="V633" s="78"/>
      <c r="W633" s="78"/>
      <c r="X633" s="78"/>
      <c r="Y633" s="78"/>
      <c r="Z633" s="78"/>
      <c r="AA633" s="78"/>
      <c r="AB633" s="78"/>
      <c r="AC633" s="78"/>
      <c r="AD633" s="78"/>
    </row>
    <row r="634" spans="1:30" ht="15.75" x14ac:dyDescent="0.25">
      <c r="A634" s="13">
        <v>60601</v>
      </c>
      <c r="B634" s="88">
        <f t="shared" si="94"/>
        <v>30</v>
      </c>
      <c r="C634" s="77">
        <f>122.58</f>
        <v>122.58</v>
      </c>
      <c r="D634" s="77">
        <f>297.941</f>
        <v>297.94099999999997</v>
      </c>
      <c r="E634" s="85">
        <f>89.177</f>
        <v>89.177000000000007</v>
      </c>
      <c r="F634" s="77">
        <f>240.302-40-60-100</f>
        <v>40.301999999999992</v>
      </c>
      <c r="G634" s="80">
        <v>40</v>
      </c>
      <c r="H634" s="77">
        <f>60+100</f>
        <v>160</v>
      </c>
      <c r="I634" s="77">
        <f t="shared" si="102"/>
        <v>0</v>
      </c>
      <c r="J634" s="80">
        <v>100</v>
      </c>
      <c r="K634" s="80">
        <v>300</v>
      </c>
      <c r="L634" s="77">
        <f t="shared" si="95"/>
        <v>1150</v>
      </c>
      <c r="M634" s="87">
        <v>600</v>
      </c>
      <c r="N634" s="77">
        <f>100</f>
        <v>100</v>
      </c>
      <c r="O634" s="80">
        <v>240</v>
      </c>
      <c r="P634" s="80">
        <v>40</v>
      </c>
      <c r="Q634" s="80">
        <f t="shared" si="96"/>
        <v>315</v>
      </c>
      <c r="R634" s="80">
        <f t="shared" si="97"/>
        <v>100</v>
      </c>
      <c r="S634" s="77">
        <f t="shared" si="98"/>
        <v>695</v>
      </c>
      <c r="T634" s="77">
        <f>50</f>
        <v>50</v>
      </c>
      <c r="U634" s="78"/>
      <c r="V634" s="78"/>
      <c r="W634" s="78"/>
      <c r="X634" s="78"/>
      <c r="Y634" s="78"/>
      <c r="Z634" s="78"/>
      <c r="AA634" s="78"/>
      <c r="AB634" s="78"/>
      <c r="AC634" s="78"/>
      <c r="AD634" s="78"/>
    </row>
    <row r="635" spans="1:30" ht="15.75" x14ac:dyDescent="0.25">
      <c r="A635" s="13">
        <v>60632</v>
      </c>
      <c r="B635" s="88">
        <f t="shared" si="94"/>
        <v>31</v>
      </c>
      <c r="C635" s="77">
        <f>122.58</f>
        <v>122.58</v>
      </c>
      <c r="D635" s="77">
        <f>297.941</f>
        <v>297.94099999999997</v>
      </c>
      <c r="E635" s="85">
        <f>89.177</f>
        <v>89.177000000000007</v>
      </c>
      <c r="F635" s="77">
        <f>240.302-40-60-100</f>
        <v>40.301999999999992</v>
      </c>
      <c r="G635" s="80">
        <v>40</v>
      </c>
      <c r="H635" s="77">
        <f>60+100</f>
        <v>160</v>
      </c>
      <c r="I635" s="77">
        <f t="shared" si="102"/>
        <v>0</v>
      </c>
      <c r="J635" s="80">
        <v>100</v>
      </c>
      <c r="K635" s="80">
        <v>300</v>
      </c>
      <c r="L635" s="77">
        <f t="shared" si="95"/>
        <v>1150</v>
      </c>
      <c r="M635" s="87">
        <v>600</v>
      </c>
      <c r="N635" s="77">
        <f>100</f>
        <v>100</v>
      </c>
      <c r="O635" s="80">
        <v>240</v>
      </c>
      <c r="P635" s="80">
        <v>40</v>
      </c>
      <c r="Q635" s="80">
        <f t="shared" si="96"/>
        <v>315</v>
      </c>
      <c r="R635" s="80">
        <f t="shared" si="97"/>
        <v>100</v>
      </c>
      <c r="S635" s="77">
        <f t="shared" si="98"/>
        <v>695</v>
      </c>
      <c r="T635" s="77">
        <f>50</f>
        <v>50</v>
      </c>
      <c r="U635" s="78"/>
      <c r="V635" s="78"/>
      <c r="W635" s="78"/>
      <c r="X635" s="78"/>
      <c r="Y635" s="78"/>
      <c r="Z635" s="78"/>
      <c r="AA635" s="78"/>
      <c r="AB635" s="78"/>
      <c r="AC635" s="78"/>
      <c r="AD635" s="78"/>
    </row>
    <row r="636" spans="1:30" ht="15.75" x14ac:dyDescent="0.25">
      <c r="A636" s="13">
        <v>60663</v>
      </c>
      <c r="B636" s="88">
        <f t="shared" si="94"/>
        <v>31</v>
      </c>
      <c r="C636" s="77">
        <f>122.58</f>
        <v>122.58</v>
      </c>
      <c r="D636" s="77">
        <f>297.941</f>
        <v>297.94099999999997</v>
      </c>
      <c r="E636" s="85">
        <f>89.177</f>
        <v>89.177000000000007</v>
      </c>
      <c r="F636" s="77">
        <f>240.302-40-60-100</f>
        <v>40.301999999999992</v>
      </c>
      <c r="G636" s="80">
        <v>40</v>
      </c>
      <c r="H636" s="77">
        <f>60+100</f>
        <v>160</v>
      </c>
      <c r="I636" s="77">
        <f t="shared" si="102"/>
        <v>0</v>
      </c>
      <c r="J636" s="80">
        <v>100</v>
      </c>
      <c r="K636" s="80">
        <v>300</v>
      </c>
      <c r="L636" s="77">
        <f t="shared" si="95"/>
        <v>1150</v>
      </c>
      <c r="M636" s="87">
        <v>600</v>
      </c>
      <c r="N636" s="77">
        <f>100</f>
        <v>100</v>
      </c>
      <c r="O636" s="80">
        <v>240</v>
      </c>
      <c r="P636" s="80">
        <v>40</v>
      </c>
      <c r="Q636" s="80">
        <f t="shared" si="96"/>
        <v>315</v>
      </c>
      <c r="R636" s="80">
        <f t="shared" si="97"/>
        <v>100</v>
      </c>
      <c r="S636" s="77">
        <f t="shared" si="98"/>
        <v>695</v>
      </c>
      <c r="T636" s="77">
        <f>50</f>
        <v>50</v>
      </c>
      <c r="U636" s="78"/>
      <c r="V636" s="78"/>
      <c r="W636" s="78"/>
      <c r="X636" s="78"/>
      <c r="Y636" s="78"/>
      <c r="Z636" s="78"/>
      <c r="AA636" s="78"/>
      <c r="AB636" s="78"/>
      <c r="AC636" s="78"/>
      <c r="AD636" s="78"/>
    </row>
    <row r="637" spans="1:30" ht="15.75" x14ac:dyDescent="0.25">
      <c r="A637" s="13">
        <v>60691</v>
      </c>
      <c r="B637" s="88">
        <f t="shared" si="94"/>
        <v>28</v>
      </c>
      <c r="C637" s="77">
        <f>122.58</f>
        <v>122.58</v>
      </c>
      <c r="D637" s="77">
        <f>297.941</f>
        <v>297.94099999999997</v>
      </c>
      <c r="E637" s="85">
        <f>89.177</f>
        <v>89.177000000000007</v>
      </c>
      <c r="F637" s="77">
        <f>240.302-40-60-100</f>
        <v>40.301999999999992</v>
      </c>
      <c r="G637" s="80">
        <v>40</v>
      </c>
      <c r="H637" s="77">
        <f>60+100</f>
        <v>160</v>
      </c>
      <c r="I637" s="77">
        <f t="shared" si="102"/>
        <v>0</v>
      </c>
      <c r="J637" s="80">
        <v>100</v>
      </c>
      <c r="K637" s="80">
        <v>300</v>
      </c>
      <c r="L637" s="77">
        <f t="shared" si="95"/>
        <v>1150</v>
      </c>
      <c r="M637" s="87">
        <v>600</v>
      </c>
      <c r="N637" s="77">
        <f>100</f>
        <v>100</v>
      </c>
      <c r="O637" s="80">
        <v>240</v>
      </c>
      <c r="P637" s="80">
        <v>40</v>
      </c>
      <c r="Q637" s="80">
        <f t="shared" si="96"/>
        <v>315</v>
      </c>
      <c r="R637" s="80">
        <f t="shared" si="97"/>
        <v>100</v>
      </c>
      <c r="S637" s="77">
        <f t="shared" si="98"/>
        <v>695</v>
      </c>
      <c r="T637" s="77">
        <f>50</f>
        <v>50</v>
      </c>
      <c r="U637" s="78"/>
      <c r="V637" s="78"/>
      <c r="W637" s="78"/>
      <c r="X637" s="78"/>
      <c r="Y637" s="78"/>
      <c r="Z637" s="78"/>
      <c r="AA637" s="78"/>
      <c r="AB637" s="78"/>
      <c r="AC637" s="78"/>
      <c r="AD637" s="78"/>
    </row>
    <row r="638" spans="1:30" ht="15.75" x14ac:dyDescent="0.25">
      <c r="A638" s="13">
        <v>60722</v>
      </c>
      <c r="B638" s="88">
        <f t="shared" si="94"/>
        <v>31</v>
      </c>
      <c r="C638" s="77">
        <f>122.58</f>
        <v>122.58</v>
      </c>
      <c r="D638" s="77">
        <f>297.941</f>
        <v>297.94099999999997</v>
      </c>
      <c r="E638" s="85">
        <f>89.177</f>
        <v>89.177000000000007</v>
      </c>
      <c r="F638" s="77">
        <f>240.302-40-60-100</f>
        <v>40.301999999999992</v>
      </c>
      <c r="G638" s="80">
        <v>40</v>
      </c>
      <c r="H638" s="77">
        <f>60+100</f>
        <v>160</v>
      </c>
      <c r="I638" s="77">
        <f t="shared" si="102"/>
        <v>0</v>
      </c>
      <c r="J638" s="80">
        <v>100</v>
      </c>
      <c r="K638" s="80">
        <v>300</v>
      </c>
      <c r="L638" s="77">
        <f t="shared" si="95"/>
        <v>1150</v>
      </c>
      <c r="M638" s="87">
        <v>600</v>
      </c>
      <c r="N638" s="77">
        <f>100</f>
        <v>100</v>
      </c>
      <c r="O638" s="80">
        <v>240</v>
      </c>
      <c r="P638" s="80">
        <v>40</v>
      </c>
      <c r="Q638" s="80">
        <f t="shared" si="96"/>
        <v>315</v>
      </c>
      <c r="R638" s="80">
        <f t="shared" si="97"/>
        <v>100</v>
      </c>
      <c r="S638" s="77">
        <f t="shared" si="98"/>
        <v>695</v>
      </c>
      <c r="T638" s="77">
        <f>50</f>
        <v>50</v>
      </c>
      <c r="U638" s="78"/>
      <c r="V638" s="78"/>
      <c r="W638" s="78"/>
      <c r="X638" s="78"/>
      <c r="Y638" s="78"/>
      <c r="Z638" s="78"/>
      <c r="AA638" s="78"/>
      <c r="AB638" s="78"/>
      <c r="AC638" s="78"/>
      <c r="AD638" s="78"/>
    </row>
    <row r="639" spans="1:30" ht="15.75" x14ac:dyDescent="0.25">
      <c r="A639" s="13">
        <v>60752</v>
      </c>
      <c r="B639" s="88">
        <f t="shared" si="94"/>
        <v>30</v>
      </c>
      <c r="C639" s="77">
        <f>141.293</f>
        <v>141.29300000000001</v>
      </c>
      <c r="D639" s="77">
        <f>267.993</f>
        <v>267.99299999999999</v>
      </c>
      <c r="E639" s="85">
        <f>115.016</f>
        <v>115.01600000000001</v>
      </c>
      <c r="F639" s="77">
        <f>314.698-40-25-60-100</f>
        <v>89.697999999999979</v>
      </c>
      <c r="G639" s="80">
        <v>40</v>
      </c>
      <c r="H639" s="77">
        <f t="shared" ref="H639:H645" si="104">25+60+100</f>
        <v>185</v>
      </c>
      <c r="I639" s="77">
        <f t="shared" si="102"/>
        <v>0</v>
      </c>
      <c r="J639" s="80">
        <v>100</v>
      </c>
      <c r="K639" s="80">
        <v>300</v>
      </c>
      <c r="L639" s="77">
        <f t="shared" si="95"/>
        <v>1239</v>
      </c>
      <c r="M639" s="87">
        <v>600</v>
      </c>
      <c r="N639" s="77">
        <f>100</f>
        <v>100</v>
      </c>
      <c r="O639" s="80">
        <v>240</v>
      </c>
      <c r="P639" s="80">
        <v>40</v>
      </c>
      <c r="Q639" s="80">
        <f t="shared" si="96"/>
        <v>315</v>
      </c>
      <c r="R639" s="80">
        <f t="shared" si="97"/>
        <v>100</v>
      </c>
      <c r="S639" s="77">
        <f t="shared" si="98"/>
        <v>695</v>
      </c>
      <c r="T639" s="77">
        <f>50</f>
        <v>50</v>
      </c>
      <c r="U639" s="78"/>
      <c r="V639" s="78"/>
      <c r="W639" s="78"/>
      <c r="X639" s="78"/>
      <c r="Y639" s="78"/>
      <c r="Z639" s="78"/>
      <c r="AA639" s="78"/>
      <c r="AB639" s="78"/>
      <c r="AC639" s="78"/>
      <c r="AD639" s="78"/>
    </row>
    <row r="640" spans="1:30" ht="15.75" x14ac:dyDescent="0.25">
      <c r="A640" s="13">
        <v>60783</v>
      </c>
      <c r="B640" s="88">
        <f t="shared" si="94"/>
        <v>31</v>
      </c>
      <c r="C640" s="77">
        <f>194.205</f>
        <v>194.20500000000001</v>
      </c>
      <c r="D640" s="77">
        <f>267.466</f>
        <v>267.46600000000001</v>
      </c>
      <c r="E640" s="85">
        <f>133.845</f>
        <v>133.845</v>
      </c>
      <c r="F640" s="77">
        <f>278.484-40-25-60-100</f>
        <v>53.48399999999998</v>
      </c>
      <c r="G640" s="80">
        <v>40</v>
      </c>
      <c r="H640" s="77">
        <f t="shared" si="104"/>
        <v>185</v>
      </c>
      <c r="I640" s="77">
        <f t="shared" si="102"/>
        <v>0</v>
      </c>
      <c r="J640" s="80">
        <v>100</v>
      </c>
      <c r="K640" s="80">
        <v>300</v>
      </c>
      <c r="L640" s="77">
        <f t="shared" si="95"/>
        <v>1274</v>
      </c>
      <c r="M640" s="87">
        <v>600</v>
      </c>
      <c r="N640" s="77">
        <f>75</f>
        <v>75</v>
      </c>
      <c r="O640" s="80">
        <v>240</v>
      </c>
      <c r="P640" s="80">
        <v>40</v>
      </c>
      <c r="Q640" s="80">
        <f t="shared" si="96"/>
        <v>315</v>
      </c>
      <c r="R640" s="80">
        <f t="shared" si="97"/>
        <v>100</v>
      </c>
      <c r="S640" s="77">
        <f t="shared" si="98"/>
        <v>695</v>
      </c>
      <c r="T640" s="77">
        <f>50</f>
        <v>50</v>
      </c>
      <c r="U640" s="78"/>
      <c r="V640" s="78"/>
      <c r="W640" s="78"/>
      <c r="X640" s="78"/>
      <c r="Y640" s="78"/>
      <c r="Z640" s="78"/>
      <c r="AA640" s="78"/>
      <c r="AB640" s="78"/>
      <c r="AC640" s="78"/>
      <c r="AD640" s="78"/>
    </row>
    <row r="641" spans="1:30" ht="15.75" x14ac:dyDescent="0.25">
      <c r="A641" s="13">
        <v>60813</v>
      </c>
      <c r="B641" s="88">
        <f t="shared" si="94"/>
        <v>30</v>
      </c>
      <c r="C641" s="77">
        <f>194.205</f>
        <v>194.20500000000001</v>
      </c>
      <c r="D641" s="77">
        <f>267.466</f>
        <v>267.46600000000001</v>
      </c>
      <c r="E641" s="85">
        <f>133.845</f>
        <v>133.845</v>
      </c>
      <c r="F641" s="77">
        <f>278.484-40-25-60-100</f>
        <v>53.48399999999998</v>
      </c>
      <c r="G641" s="80">
        <v>40</v>
      </c>
      <c r="H641" s="77">
        <f t="shared" si="104"/>
        <v>185</v>
      </c>
      <c r="I641" s="77">
        <f t="shared" si="102"/>
        <v>0</v>
      </c>
      <c r="J641" s="80">
        <v>100</v>
      </c>
      <c r="K641" s="80">
        <v>300</v>
      </c>
      <c r="L641" s="77">
        <f t="shared" si="95"/>
        <v>1274</v>
      </c>
      <c r="M641" s="87">
        <v>600</v>
      </c>
      <c r="N641" s="77">
        <f>30</f>
        <v>30</v>
      </c>
      <c r="O641" s="80">
        <v>240</v>
      </c>
      <c r="P641" s="80">
        <v>40</v>
      </c>
      <c r="Q641" s="80">
        <f t="shared" si="96"/>
        <v>315</v>
      </c>
      <c r="R641" s="80">
        <f t="shared" si="97"/>
        <v>100</v>
      </c>
      <c r="S641" s="77">
        <f t="shared" si="98"/>
        <v>695</v>
      </c>
      <c r="T641" s="77">
        <f>50</f>
        <v>50</v>
      </c>
      <c r="U641" s="78"/>
      <c r="V641" s="78"/>
      <c r="W641" s="78"/>
      <c r="X641" s="78"/>
      <c r="Y641" s="78"/>
      <c r="Z641" s="78"/>
      <c r="AA641" s="78"/>
      <c r="AB641" s="78"/>
      <c r="AC641" s="78"/>
      <c r="AD641" s="78"/>
    </row>
    <row r="642" spans="1:30" ht="15.75" x14ac:dyDescent="0.25">
      <c r="A642" s="13">
        <v>60844</v>
      </c>
      <c r="B642" s="88">
        <f t="shared" si="94"/>
        <v>31</v>
      </c>
      <c r="C642" s="77">
        <f>194.205</f>
        <v>194.20500000000001</v>
      </c>
      <c r="D642" s="77">
        <f>267.466</f>
        <v>267.46600000000001</v>
      </c>
      <c r="E642" s="85">
        <f>133.845</f>
        <v>133.845</v>
      </c>
      <c r="F642" s="77">
        <f>278.484-40-25-60-100</f>
        <v>53.48399999999998</v>
      </c>
      <c r="G642" s="80">
        <v>40</v>
      </c>
      <c r="H642" s="77">
        <f t="shared" si="104"/>
        <v>185</v>
      </c>
      <c r="I642" s="77">
        <f t="shared" si="102"/>
        <v>0</v>
      </c>
      <c r="J642" s="80">
        <v>100</v>
      </c>
      <c r="K642" s="80">
        <v>300</v>
      </c>
      <c r="L642" s="77">
        <f t="shared" si="95"/>
        <v>1274</v>
      </c>
      <c r="M642" s="87">
        <v>600</v>
      </c>
      <c r="N642" s="77">
        <f>30</f>
        <v>30</v>
      </c>
      <c r="O642" s="80">
        <v>240</v>
      </c>
      <c r="P642" s="80">
        <v>40</v>
      </c>
      <c r="Q642" s="80">
        <f t="shared" si="96"/>
        <v>315</v>
      </c>
      <c r="R642" s="80">
        <f t="shared" si="97"/>
        <v>100</v>
      </c>
      <c r="S642" s="77">
        <f t="shared" si="98"/>
        <v>695</v>
      </c>
      <c r="T642" s="77">
        <f>0</f>
        <v>0</v>
      </c>
      <c r="U642" s="78"/>
      <c r="V642" s="78"/>
      <c r="W642" s="78"/>
      <c r="X642" s="78"/>
      <c r="Y642" s="78"/>
      <c r="Z642" s="78"/>
      <c r="AA642" s="78"/>
      <c r="AB642" s="78"/>
      <c r="AC642" s="78"/>
      <c r="AD642" s="78"/>
    </row>
    <row r="643" spans="1:30" ht="15.75" x14ac:dyDescent="0.25">
      <c r="A643" s="13">
        <v>60875</v>
      </c>
      <c r="B643" s="88">
        <f t="shared" si="94"/>
        <v>31</v>
      </c>
      <c r="C643" s="77">
        <f>194.205</f>
        <v>194.20500000000001</v>
      </c>
      <c r="D643" s="77">
        <f>267.466</f>
        <v>267.46600000000001</v>
      </c>
      <c r="E643" s="85">
        <f>133.845</f>
        <v>133.845</v>
      </c>
      <c r="F643" s="77">
        <f>278.484-40-25-60-100</f>
        <v>53.48399999999998</v>
      </c>
      <c r="G643" s="80">
        <v>40</v>
      </c>
      <c r="H643" s="77">
        <f t="shared" si="104"/>
        <v>185</v>
      </c>
      <c r="I643" s="77">
        <f t="shared" si="102"/>
        <v>0</v>
      </c>
      <c r="J643" s="80">
        <v>100</v>
      </c>
      <c r="K643" s="80">
        <v>300</v>
      </c>
      <c r="L643" s="77">
        <f t="shared" si="95"/>
        <v>1274</v>
      </c>
      <c r="M643" s="87">
        <v>600</v>
      </c>
      <c r="N643" s="77">
        <f>30</f>
        <v>30</v>
      </c>
      <c r="O643" s="80">
        <v>240</v>
      </c>
      <c r="P643" s="80">
        <v>40</v>
      </c>
      <c r="Q643" s="80">
        <f t="shared" si="96"/>
        <v>315</v>
      </c>
      <c r="R643" s="80">
        <f t="shared" si="97"/>
        <v>100</v>
      </c>
      <c r="S643" s="77">
        <f t="shared" si="98"/>
        <v>695</v>
      </c>
      <c r="T643" s="77">
        <f>0</f>
        <v>0</v>
      </c>
      <c r="U643" s="78"/>
      <c r="V643" s="78"/>
      <c r="W643" s="78"/>
      <c r="X643" s="78"/>
      <c r="Y643" s="78"/>
      <c r="Z643" s="78"/>
      <c r="AA643" s="78"/>
      <c r="AB643" s="78"/>
      <c r="AC643" s="78"/>
      <c r="AD643" s="78"/>
    </row>
    <row r="644" spans="1:30" ht="15.75" x14ac:dyDescent="0.25">
      <c r="A644" s="13">
        <v>60905</v>
      </c>
      <c r="B644" s="88">
        <f t="shared" si="94"/>
        <v>30</v>
      </c>
      <c r="C644" s="77">
        <f>194.205</f>
        <v>194.20500000000001</v>
      </c>
      <c r="D644" s="77">
        <f>267.466</f>
        <v>267.46600000000001</v>
      </c>
      <c r="E644" s="85">
        <f>133.845</f>
        <v>133.845</v>
      </c>
      <c r="F644" s="77">
        <f>278.484-40-25-60-100</f>
        <v>53.48399999999998</v>
      </c>
      <c r="G644" s="80">
        <v>40</v>
      </c>
      <c r="H644" s="77">
        <f t="shared" si="104"/>
        <v>185</v>
      </c>
      <c r="I644" s="77">
        <f t="shared" si="102"/>
        <v>0</v>
      </c>
      <c r="J644" s="80">
        <v>100</v>
      </c>
      <c r="K644" s="80">
        <v>300</v>
      </c>
      <c r="L644" s="77">
        <f t="shared" si="95"/>
        <v>1274</v>
      </c>
      <c r="M644" s="87">
        <v>600</v>
      </c>
      <c r="N644" s="77">
        <f>30</f>
        <v>30</v>
      </c>
      <c r="O644" s="80">
        <v>240</v>
      </c>
      <c r="P644" s="80">
        <v>40</v>
      </c>
      <c r="Q644" s="80">
        <f t="shared" si="96"/>
        <v>315</v>
      </c>
      <c r="R644" s="80">
        <f t="shared" si="97"/>
        <v>100</v>
      </c>
      <c r="S644" s="77">
        <f t="shared" si="98"/>
        <v>695</v>
      </c>
      <c r="T644" s="77">
        <f>0</f>
        <v>0</v>
      </c>
      <c r="U644" s="78"/>
      <c r="V644" s="78"/>
      <c r="W644" s="78"/>
      <c r="X644" s="78"/>
      <c r="Y644" s="78"/>
      <c r="Z644" s="78"/>
      <c r="AA644" s="78"/>
      <c r="AB644" s="78"/>
      <c r="AC644" s="78"/>
      <c r="AD644" s="78"/>
    </row>
    <row r="645" spans="1:30" ht="15.75" x14ac:dyDescent="0.25">
      <c r="A645" s="13">
        <v>60936</v>
      </c>
      <c r="B645" s="88">
        <f t="shared" si="94"/>
        <v>31</v>
      </c>
      <c r="C645" s="77">
        <f>131.881</f>
        <v>131.881</v>
      </c>
      <c r="D645" s="77">
        <f>277.167</f>
        <v>277.16699999999997</v>
      </c>
      <c r="E645" s="85">
        <f>79.08</f>
        <v>79.08</v>
      </c>
      <c r="F645" s="77">
        <f>350.872-40-25-60-100</f>
        <v>125.87200000000001</v>
      </c>
      <c r="G645" s="80">
        <v>40</v>
      </c>
      <c r="H645" s="77">
        <f t="shared" si="104"/>
        <v>185</v>
      </c>
      <c r="I645" s="77">
        <f t="shared" si="102"/>
        <v>0</v>
      </c>
      <c r="J645" s="80">
        <v>100</v>
      </c>
      <c r="K645" s="80">
        <v>300</v>
      </c>
      <c r="L645" s="77">
        <f t="shared" si="95"/>
        <v>1239</v>
      </c>
      <c r="M645" s="87">
        <v>600</v>
      </c>
      <c r="N645" s="77">
        <f>75</f>
        <v>75</v>
      </c>
      <c r="O645" s="80">
        <v>240</v>
      </c>
      <c r="P645" s="80">
        <v>40</v>
      </c>
      <c r="Q645" s="80">
        <f t="shared" si="96"/>
        <v>315</v>
      </c>
      <c r="R645" s="80">
        <f t="shared" si="97"/>
        <v>100</v>
      </c>
      <c r="S645" s="77">
        <f t="shared" si="98"/>
        <v>695</v>
      </c>
      <c r="T645" s="77">
        <f>0</f>
        <v>0</v>
      </c>
      <c r="U645" s="78"/>
      <c r="V645" s="78"/>
      <c r="W645" s="78"/>
      <c r="X645" s="78"/>
      <c r="Y645" s="78"/>
      <c r="Z645" s="78"/>
      <c r="AA645" s="78"/>
      <c r="AB645" s="78"/>
      <c r="AC645" s="78"/>
      <c r="AD645" s="78"/>
    </row>
    <row r="646" spans="1:30" ht="15.75" x14ac:dyDescent="0.25">
      <c r="A646" s="13">
        <v>60966</v>
      </c>
      <c r="B646" s="88">
        <f t="shared" si="94"/>
        <v>30</v>
      </c>
      <c r="C646" s="77">
        <f>122.58</f>
        <v>122.58</v>
      </c>
      <c r="D646" s="77">
        <f>297.941</f>
        <v>297.94099999999997</v>
      </c>
      <c r="E646" s="85">
        <f>89.177</f>
        <v>89.177000000000007</v>
      </c>
      <c r="F646" s="77">
        <f>240.302-40-60-100</f>
        <v>40.301999999999992</v>
      </c>
      <c r="G646" s="80">
        <v>40</v>
      </c>
      <c r="H646" s="77">
        <f>60+100</f>
        <v>160</v>
      </c>
      <c r="I646" s="77">
        <f t="shared" si="102"/>
        <v>0</v>
      </c>
      <c r="J646" s="80">
        <v>100</v>
      </c>
      <c r="K646" s="80">
        <v>300</v>
      </c>
      <c r="L646" s="77">
        <f t="shared" si="95"/>
        <v>1150</v>
      </c>
      <c r="M646" s="87">
        <v>600</v>
      </c>
      <c r="N646" s="77">
        <f>100</f>
        <v>100</v>
      </c>
      <c r="O646" s="80">
        <v>240</v>
      </c>
      <c r="P646" s="80">
        <v>40</v>
      </c>
      <c r="Q646" s="80">
        <f t="shared" si="96"/>
        <v>315</v>
      </c>
      <c r="R646" s="80">
        <f t="shared" si="97"/>
        <v>100</v>
      </c>
      <c r="S646" s="77">
        <f t="shared" si="98"/>
        <v>695</v>
      </c>
      <c r="T646" s="77">
        <f>50</f>
        <v>50</v>
      </c>
      <c r="U646" s="78"/>
      <c r="V646" s="78"/>
      <c r="W646" s="78"/>
      <c r="X646" s="78"/>
      <c r="Y646" s="78"/>
      <c r="Z646" s="78"/>
      <c r="AA646" s="78"/>
      <c r="AB646" s="78"/>
      <c r="AC646" s="78"/>
      <c r="AD646" s="78"/>
    </row>
    <row r="647" spans="1:30" ht="15.75" x14ac:dyDescent="0.25">
      <c r="A647" s="13">
        <v>60997</v>
      </c>
      <c r="B647" s="88">
        <f t="shared" si="94"/>
        <v>31</v>
      </c>
      <c r="C647" s="77">
        <f>122.58</f>
        <v>122.58</v>
      </c>
      <c r="D647" s="77">
        <f>297.941</f>
        <v>297.94099999999997</v>
      </c>
      <c r="E647" s="85">
        <f>89.177</f>
        <v>89.177000000000007</v>
      </c>
      <c r="F647" s="77">
        <f>240.302-40-60-100</f>
        <v>40.301999999999992</v>
      </c>
      <c r="G647" s="80">
        <v>40</v>
      </c>
      <c r="H647" s="77">
        <f>60+100</f>
        <v>160</v>
      </c>
      <c r="I647" s="77">
        <f t="shared" si="102"/>
        <v>0</v>
      </c>
      <c r="J647" s="80">
        <v>100</v>
      </c>
      <c r="K647" s="80">
        <v>300</v>
      </c>
      <c r="L647" s="77">
        <f t="shared" si="95"/>
        <v>1150</v>
      </c>
      <c r="M647" s="87">
        <v>600</v>
      </c>
      <c r="N647" s="77">
        <f>100</f>
        <v>100</v>
      </c>
      <c r="O647" s="80">
        <v>240</v>
      </c>
      <c r="P647" s="80">
        <v>40</v>
      </c>
      <c r="Q647" s="80">
        <f t="shared" si="96"/>
        <v>315</v>
      </c>
      <c r="R647" s="80">
        <f t="shared" si="97"/>
        <v>100</v>
      </c>
      <c r="S647" s="77">
        <f t="shared" si="98"/>
        <v>695</v>
      </c>
      <c r="T647" s="77">
        <f>50</f>
        <v>50</v>
      </c>
      <c r="U647" s="78"/>
      <c r="V647" s="78"/>
      <c r="W647" s="78"/>
      <c r="X647" s="78"/>
      <c r="Y647" s="78"/>
      <c r="Z647" s="78"/>
      <c r="AA647" s="78"/>
      <c r="AB647" s="78"/>
      <c r="AC647" s="78"/>
      <c r="AD647" s="78"/>
    </row>
    <row r="648" spans="1:30" ht="15.75" x14ac:dyDescent="0.25">
      <c r="A648" s="13">
        <v>61028</v>
      </c>
      <c r="B648" s="88">
        <f t="shared" si="94"/>
        <v>31</v>
      </c>
      <c r="C648" s="77">
        <f>122.58</f>
        <v>122.58</v>
      </c>
      <c r="D648" s="77">
        <f>297.941</f>
        <v>297.94099999999997</v>
      </c>
      <c r="E648" s="85">
        <f>89.177</f>
        <v>89.177000000000007</v>
      </c>
      <c r="F648" s="77">
        <f>240.302-40-60-100</f>
        <v>40.301999999999992</v>
      </c>
      <c r="G648" s="80">
        <v>40</v>
      </c>
      <c r="H648" s="77">
        <f>60+100</f>
        <v>160</v>
      </c>
      <c r="I648" s="77">
        <f t="shared" si="102"/>
        <v>0</v>
      </c>
      <c r="J648" s="80">
        <v>100</v>
      </c>
      <c r="K648" s="80">
        <v>300</v>
      </c>
      <c r="L648" s="77">
        <f t="shared" si="95"/>
        <v>1150</v>
      </c>
      <c r="M648" s="87">
        <v>600</v>
      </c>
      <c r="N648" s="77">
        <f>100</f>
        <v>100</v>
      </c>
      <c r="O648" s="80">
        <v>240</v>
      </c>
      <c r="P648" s="80">
        <v>40</v>
      </c>
      <c r="Q648" s="80">
        <f t="shared" si="96"/>
        <v>315</v>
      </c>
      <c r="R648" s="80">
        <f t="shared" si="97"/>
        <v>100</v>
      </c>
      <c r="S648" s="77">
        <f t="shared" si="98"/>
        <v>695</v>
      </c>
      <c r="T648" s="77">
        <f>50</f>
        <v>50</v>
      </c>
      <c r="U648" s="78"/>
      <c r="V648" s="78"/>
      <c r="W648" s="78"/>
      <c r="X648" s="78"/>
      <c r="Y648" s="78"/>
      <c r="Z648" s="78"/>
      <c r="AA648" s="78"/>
      <c r="AB648" s="78"/>
      <c r="AC648" s="78"/>
      <c r="AD648" s="78"/>
    </row>
    <row r="649" spans="1:30" ht="15.75" x14ac:dyDescent="0.25">
      <c r="A649" s="13">
        <v>61056</v>
      </c>
      <c r="B649" s="88">
        <f t="shared" si="94"/>
        <v>28</v>
      </c>
      <c r="C649" s="77">
        <f>122.58</f>
        <v>122.58</v>
      </c>
      <c r="D649" s="77">
        <f>297.941</f>
        <v>297.94099999999997</v>
      </c>
      <c r="E649" s="85">
        <f>89.177</f>
        <v>89.177000000000007</v>
      </c>
      <c r="F649" s="77">
        <f>240.302-40-60-100</f>
        <v>40.301999999999992</v>
      </c>
      <c r="G649" s="80">
        <v>40</v>
      </c>
      <c r="H649" s="77">
        <f>60+100</f>
        <v>160</v>
      </c>
      <c r="I649" s="77">
        <f t="shared" si="102"/>
        <v>0</v>
      </c>
      <c r="J649" s="80">
        <v>100</v>
      </c>
      <c r="K649" s="80">
        <v>300</v>
      </c>
      <c r="L649" s="77">
        <f t="shared" si="95"/>
        <v>1150</v>
      </c>
      <c r="M649" s="87">
        <v>600</v>
      </c>
      <c r="N649" s="77">
        <f>100</f>
        <v>100</v>
      </c>
      <c r="O649" s="80">
        <v>240</v>
      </c>
      <c r="P649" s="80">
        <v>40</v>
      </c>
      <c r="Q649" s="80">
        <f t="shared" si="96"/>
        <v>315</v>
      </c>
      <c r="R649" s="80">
        <f t="shared" si="97"/>
        <v>100</v>
      </c>
      <c r="S649" s="77">
        <f t="shared" si="98"/>
        <v>695</v>
      </c>
      <c r="T649" s="77">
        <f>50</f>
        <v>50</v>
      </c>
      <c r="U649" s="78"/>
      <c r="V649" s="78"/>
      <c r="W649" s="78"/>
      <c r="X649" s="78"/>
      <c r="Y649" s="78"/>
      <c r="Z649" s="78"/>
      <c r="AA649" s="78"/>
      <c r="AB649" s="78"/>
      <c r="AC649" s="78"/>
      <c r="AD649" s="78"/>
    </row>
    <row r="650" spans="1:30" ht="15.75" x14ac:dyDescent="0.25">
      <c r="A650" s="13">
        <v>61087</v>
      </c>
      <c r="B650" s="88">
        <f t="shared" si="94"/>
        <v>31</v>
      </c>
      <c r="C650" s="77">
        <f>122.58</f>
        <v>122.58</v>
      </c>
      <c r="D650" s="77">
        <f>297.941</f>
        <v>297.94099999999997</v>
      </c>
      <c r="E650" s="85">
        <f>89.177</f>
        <v>89.177000000000007</v>
      </c>
      <c r="F650" s="77">
        <f>240.302-40-60-100</f>
        <v>40.301999999999992</v>
      </c>
      <c r="G650" s="80">
        <v>40</v>
      </c>
      <c r="H650" s="77">
        <f>60+100</f>
        <v>160</v>
      </c>
      <c r="I650" s="77">
        <f t="shared" si="102"/>
        <v>0</v>
      </c>
      <c r="J650" s="80">
        <v>100</v>
      </c>
      <c r="K650" s="80">
        <v>300</v>
      </c>
      <c r="L650" s="77">
        <f t="shared" si="95"/>
        <v>1150</v>
      </c>
      <c r="M650" s="87">
        <v>600</v>
      </c>
      <c r="N650" s="77">
        <f>100</f>
        <v>100</v>
      </c>
      <c r="O650" s="80">
        <v>240</v>
      </c>
      <c r="P650" s="80">
        <v>40</v>
      </c>
      <c r="Q650" s="80">
        <f t="shared" si="96"/>
        <v>315</v>
      </c>
      <c r="R650" s="80">
        <f t="shared" si="97"/>
        <v>100</v>
      </c>
      <c r="S650" s="77">
        <f t="shared" si="98"/>
        <v>695</v>
      </c>
      <c r="T650" s="77">
        <f>50</f>
        <v>50</v>
      </c>
      <c r="U650" s="78"/>
      <c r="V650" s="78"/>
      <c r="W650" s="78"/>
      <c r="X650" s="78"/>
      <c r="Y650" s="78"/>
      <c r="Z650" s="78"/>
      <c r="AA650" s="78"/>
      <c r="AB650" s="78"/>
      <c r="AC650" s="78"/>
      <c r="AD650" s="78"/>
    </row>
    <row r="651" spans="1:30" ht="15.75" x14ac:dyDescent="0.25">
      <c r="A651" s="13">
        <v>61117</v>
      </c>
      <c r="B651" s="88">
        <f t="shared" si="94"/>
        <v>30</v>
      </c>
      <c r="C651" s="77">
        <f>141.293</f>
        <v>141.29300000000001</v>
      </c>
      <c r="D651" s="77">
        <f>267.993</f>
        <v>267.99299999999999</v>
      </c>
      <c r="E651" s="85">
        <f>115.016</f>
        <v>115.01600000000001</v>
      </c>
      <c r="F651" s="77">
        <f>314.698-40-25-60-100</f>
        <v>89.697999999999979</v>
      </c>
      <c r="G651" s="80">
        <v>40</v>
      </c>
      <c r="H651" s="77">
        <f t="shared" ref="H651:H657" si="105">25+60+100</f>
        <v>185</v>
      </c>
      <c r="I651" s="77">
        <f t="shared" si="102"/>
        <v>0</v>
      </c>
      <c r="J651" s="80">
        <v>100</v>
      </c>
      <c r="K651" s="80">
        <v>300</v>
      </c>
      <c r="L651" s="77">
        <f t="shared" si="95"/>
        <v>1239</v>
      </c>
      <c r="M651" s="87">
        <v>600</v>
      </c>
      <c r="N651" s="77">
        <f>100</f>
        <v>100</v>
      </c>
      <c r="O651" s="80">
        <v>240</v>
      </c>
      <c r="P651" s="80">
        <v>40</v>
      </c>
      <c r="Q651" s="80">
        <f t="shared" si="96"/>
        <v>315</v>
      </c>
      <c r="R651" s="80">
        <f t="shared" si="97"/>
        <v>100</v>
      </c>
      <c r="S651" s="77">
        <f t="shared" si="98"/>
        <v>695</v>
      </c>
      <c r="T651" s="77">
        <f>50</f>
        <v>50</v>
      </c>
      <c r="U651" s="78"/>
      <c r="V651" s="78"/>
      <c r="W651" s="78"/>
      <c r="X651" s="78"/>
      <c r="Y651" s="78"/>
      <c r="Z651" s="78"/>
      <c r="AA651" s="78"/>
      <c r="AB651" s="78"/>
      <c r="AC651" s="78"/>
      <c r="AD651" s="78"/>
    </row>
    <row r="652" spans="1:30" ht="15.75" x14ac:dyDescent="0.25">
      <c r="A652" s="13">
        <v>61148</v>
      </c>
      <c r="B652" s="88">
        <f t="shared" ref="B652:B715" si="106">EOMONTH(A652,0)-EOMONTH(A652,-1)</f>
        <v>31</v>
      </c>
      <c r="C652" s="77">
        <f>194.205</f>
        <v>194.20500000000001</v>
      </c>
      <c r="D652" s="77">
        <f>267.466</f>
        <v>267.46600000000001</v>
      </c>
      <c r="E652" s="85">
        <f>133.845</f>
        <v>133.845</v>
      </c>
      <c r="F652" s="77">
        <f>278.484-40-25-60-100</f>
        <v>53.48399999999998</v>
      </c>
      <c r="G652" s="80">
        <v>40</v>
      </c>
      <c r="H652" s="77">
        <f t="shared" si="105"/>
        <v>185</v>
      </c>
      <c r="I652" s="77">
        <f t="shared" si="102"/>
        <v>0</v>
      </c>
      <c r="J652" s="80">
        <v>100</v>
      </c>
      <c r="K652" s="80">
        <v>300</v>
      </c>
      <c r="L652" s="77">
        <f t="shared" si="95"/>
        <v>1274</v>
      </c>
      <c r="M652" s="87">
        <v>600</v>
      </c>
      <c r="N652" s="77">
        <f>75</f>
        <v>75</v>
      </c>
      <c r="O652" s="80">
        <v>240</v>
      </c>
      <c r="P652" s="80">
        <v>40</v>
      </c>
      <c r="Q652" s="80">
        <f t="shared" si="96"/>
        <v>315</v>
      </c>
      <c r="R652" s="80">
        <f t="shared" si="97"/>
        <v>100</v>
      </c>
      <c r="S652" s="77">
        <f t="shared" si="98"/>
        <v>695</v>
      </c>
      <c r="T652" s="77">
        <f>50</f>
        <v>50</v>
      </c>
      <c r="U652" s="78"/>
      <c r="V652" s="78"/>
      <c r="W652" s="78"/>
      <c r="X652" s="78"/>
      <c r="Y652" s="78"/>
      <c r="Z652" s="78"/>
      <c r="AA652" s="78"/>
      <c r="AB652" s="78"/>
      <c r="AC652" s="78"/>
      <c r="AD652" s="78"/>
    </row>
    <row r="653" spans="1:30" ht="15.75" x14ac:dyDescent="0.25">
      <c r="A653" s="13">
        <v>61178</v>
      </c>
      <c r="B653" s="88">
        <f t="shared" si="106"/>
        <v>30</v>
      </c>
      <c r="C653" s="77">
        <f>194.205</f>
        <v>194.20500000000001</v>
      </c>
      <c r="D653" s="77">
        <f>267.466</f>
        <v>267.46600000000001</v>
      </c>
      <c r="E653" s="85">
        <f>133.845</f>
        <v>133.845</v>
      </c>
      <c r="F653" s="77">
        <f>278.484-40-25-60-100</f>
        <v>53.48399999999998</v>
      </c>
      <c r="G653" s="80">
        <v>40</v>
      </c>
      <c r="H653" s="77">
        <f t="shared" si="105"/>
        <v>185</v>
      </c>
      <c r="I653" s="77">
        <f t="shared" si="102"/>
        <v>0</v>
      </c>
      <c r="J653" s="80">
        <v>100</v>
      </c>
      <c r="K653" s="80">
        <v>300</v>
      </c>
      <c r="L653" s="77">
        <f t="shared" si="95"/>
        <v>1274</v>
      </c>
      <c r="M653" s="87">
        <v>600</v>
      </c>
      <c r="N653" s="77">
        <f>30</f>
        <v>30</v>
      </c>
      <c r="O653" s="80">
        <v>240</v>
      </c>
      <c r="P653" s="80">
        <v>40</v>
      </c>
      <c r="Q653" s="80">
        <f t="shared" si="96"/>
        <v>315</v>
      </c>
      <c r="R653" s="80">
        <f t="shared" si="97"/>
        <v>100</v>
      </c>
      <c r="S653" s="77">
        <f t="shared" si="98"/>
        <v>695</v>
      </c>
      <c r="T653" s="77">
        <f>50</f>
        <v>50</v>
      </c>
      <c r="U653" s="78"/>
      <c r="V653" s="78"/>
      <c r="W653" s="78"/>
      <c r="X653" s="78"/>
      <c r="Y653" s="78"/>
      <c r="Z653" s="78"/>
      <c r="AA653" s="78"/>
      <c r="AB653" s="78"/>
      <c r="AC653" s="78"/>
      <c r="AD653" s="78"/>
    </row>
    <row r="654" spans="1:30" ht="15.75" x14ac:dyDescent="0.25">
      <c r="A654" s="13">
        <v>61209</v>
      </c>
      <c r="B654" s="88">
        <f t="shared" si="106"/>
        <v>31</v>
      </c>
      <c r="C654" s="77">
        <f>194.205</f>
        <v>194.20500000000001</v>
      </c>
      <c r="D654" s="77">
        <f>267.466</f>
        <v>267.46600000000001</v>
      </c>
      <c r="E654" s="85">
        <f>133.845</f>
        <v>133.845</v>
      </c>
      <c r="F654" s="77">
        <f>278.484-40-25-60-100</f>
        <v>53.48399999999998</v>
      </c>
      <c r="G654" s="80">
        <v>40</v>
      </c>
      <c r="H654" s="77">
        <f t="shared" si="105"/>
        <v>185</v>
      </c>
      <c r="I654" s="77">
        <f t="shared" si="102"/>
        <v>0</v>
      </c>
      <c r="J654" s="80">
        <v>100</v>
      </c>
      <c r="K654" s="80">
        <v>300</v>
      </c>
      <c r="L654" s="77">
        <f t="shared" ref="L654:L717" si="107">SUM(C654:K654)</f>
        <v>1274</v>
      </c>
      <c r="M654" s="87">
        <v>600</v>
      </c>
      <c r="N654" s="77">
        <f>30</f>
        <v>30</v>
      </c>
      <c r="O654" s="80">
        <v>240</v>
      </c>
      <c r="P654" s="80">
        <v>40</v>
      </c>
      <c r="Q654" s="80">
        <f t="shared" ref="Q654:Q717" si="108">695-R654-O654-P654</f>
        <v>315</v>
      </c>
      <c r="R654" s="80">
        <f t="shared" ref="R654:R717" si="109">200-J654</f>
        <v>100</v>
      </c>
      <c r="S654" s="77">
        <f t="shared" ref="S654:S717" si="110">SUM(O654:R654)</f>
        <v>695</v>
      </c>
      <c r="T654" s="77">
        <f>0</f>
        <v>0</v>
      </c>
      <c r="U654" s="78"/>
      <c r="V654" s="78"/>
      <c r="W654" s="78"/>
      <c r="X654" s="78"/>
      <c r="Y654" s="78"/>
      <c r="Z654" s="78"/>
      <c r="AA654" s="78"/>
      <c r="AB654" s="78"/>
      <c r="AC654" s="78"/>
      <c r="AD654" s="78"/>
    </row>
    <row r="655" spans="1:30" ht="15.75" x14ac:dyDescent="0.25">
      <c r="A655" s="13">
        <v>61240</v>
      </c>
      <c r="B655" s="88">
        <f t="shared" si="106"/>
        <v>31</v>
      </c>
      <c r="C655" s="77">
        <f>194.205</f>
        <v>194.20500000000001</v>
      </c>
      <c r="D655" s="77">
        <f>267.466</f>
        <v>267.46600000000001</v>
      </c>
      <c r="E655" s="85">
        <f>133.845</f>
        <v>133.845</v>
      </c>
      <c r="F655" s="77">
        <f>278.484-40-25-60-100</f>
        <v>53.48399999999998</v>
      </c>
      <c r="G655" s="80">
        <v>40</v>
      </c>
      <c r="H655" s="77">
        <f t="shared" si="105"/>
        <v>185</v>
      </c>
      <c r="I655" s="77">
        <f t="shared" si="102"/>
        <v>0</v>
      </c>
      <c r="J655" s="80">
        <v>100</v>
      </c>
      <c r="K655" s="80">
        <v>300</v>
      </c>
      <c r="L655" s="77">
        <f t="shared" si="107"/>
        <v>1274</v>
      </c>
      <c r="M655" s="87">
        <v>600</v>
      </c>
      <c r="N655" s="77">
        <f>30</f>
        <v>30</v>
      </c>
      <c r="O655" s="80">
        <v>240</v>
      </c>
      <c r="P655" s="80">
        <v>40</v>
      </c>
      <c r="Q655" s="80">
        <f t="shared" si="108"/>
        <v>315</v>
      </c>
      <c r="R655" s="80">
        <f t="shared" si="109"/>
        <v>100</v>
      </c>
      <c r="S655" s="77">
        <f t="shared" si="110"/>
        <v>695</v>
      </c>
      <c r="T655" s="77">
        <f>0</f>
        <v>0</v>
      </c>
      <c r="U655" s="78"/>
      <c r="V655" s="78"/>
      <c r="W655" s="78"/>
      <c r="X655" s="78"/>
      <c r="Y655" s="78"/>
      <c r="Z655" s="78"/>
      <c r="AA655" s="78"/>
      <c r="AB655" s="78"/>
      <c r="AC655" s="78"/>
      <c r="AD655" s="78"/>
    </row>
    <row r="656" spans="1:30" ht="15.75" x14ac:dyDescent="0.25">
      <c r="A656" s="13">
        <v>61270</v>
      </c>
      <c r="B656" s="88">
        <f t="shared" si="106"/>
        <v>30</v>
      </c>
      <c r="C656" s="77">
        <f>194.205</f>
        <v>194.20500000000001</v>
      </c>
      <c r="D656" s="77">
        <f>267.466</f>
        <v>267.46600000000001</v>
      </c>
      <c r="E656" s="85">
        <f>133.845</f>
        <v>133.845</v>
      </c>
      <c r="F656" s="77">
        <f>278.484-40-25-60-100</f>
        <v>53.48399999999998</v>
      </c>
      <c r="G656" s="80">
        <v>40</v>
      </c>
      <c r="H656" s="77">
        <f t="shared" si="105"/>
        <v>185</v>
      </c>
      <c r="I656" s="77">
        <f t="shared" si="102"/>
        <v>0</v>
      </c>
      <c r="J656" s="80">
        <v>100</v>
      </c>
      <c r="K656" s="80">
        <v>300</v>
      </c>
      <c r="L656" s="77">
        <f t="shared" si="107"/>
        <v>1274</v>
      </c>
      <c r="M656" s="87">
        <v>600</v>
      </c>
      <c r="N656" s="77">
        <f>30</f>
        <v>30</v>
      </c>
      <c r="O656" s="80">
        <v>240</v>
      </c>
      <c r="P656" s="80">
        <v>40</v>
      </c>
      <c r="Q656" s="80">
        <f t="shared" si="108"/>
        <v>315</v>
      </c>
      <c r="R656" s="80">
        <f t="shared" si="109"/>
        <v>100</v>
      </c>
      <c r="S656" s="77">
        <f t="shared" si="110"/>
        <v>695</v>
      </c>
      <c r="T656" s="77">
        <f>0</f>
        <v>0</v>
      </c>
      <c r="U656" s="78"/>
      <c r="V656" s="78"/>
      <c r="W656" s="78"/>
      <c r="X656" s="78"/>
      <c r="Y656" s="78"/>
      <c r="Z656" s="78"/>
      <c r="AA656" s="78"/>
      <c r="AB656" s="78"/>
      <c r="AC656" s="78"/>
      <c r="AD656" s="78"/>
    </row>
    <row r="657" spans="1:30" ht="15.75" x14ac:dyDescent="0.25">
      <c r="A657" s="13">
        <v>61301</v>
      </c>
      <c r="B657" s="88">
        <f t="shared" si="106"/>
        <v>31</v>
      </c>
      <c r="C657" s="77">
        <f>131.881</f>
        <v>131.881</v>
      </c>
      <c r="D657" s="77">
        <f>277.167</f>
        <v>277.16699999999997</v>
      </c>
      <c r="E657" s="85">
        <f>79.08</f>
        <v>79.08</v>
      </c>
      <c r="F657" s="77">
        <f>350.872-40-25-60-100</f>
        <v>125.87200000000001</v>
      </c>
      <c r="G657" s="80">
        <v>40</v>
      </c>
      <c r="H657" s="77">
        <f t="shared" si="105"/>
        <v>185</v>
      </c>
      <c r="I657" s="77">
        <f t="shared" si="102"/>
        <v>0</v>
      </c>
      <c r="J657" s="80">
        <v>100</v>
      </c>
      <c r="K657" s="80">
        <v>300</v>
      </c>
      <c r="L657" s="77">
        <f t="shared" si="107"/>
        <v>1239</v>
      </c>
      <c r="M657" s="87">
        <v>600</v>
      </c>
      <c r="N657" s="77">
        <f>75</f>
        <v>75</v>
      </c>
      <c r="O657" s="80">
        <v>240</v>
      </c>
      <c r="P657" s="80">
        <v>40</v>
      </c>
      <c r="Q657" s="80">
        <f t="shared" si="108"/>
        <v>315</v>
      </c>
      <c r="R657" s="80">
        <f t="shared" si="109"/>
        <v>100</v>
      </c>
      <c r="S657" s="77">
        <f t="shared" si="110"/>
        <v>695</v>
      </c>
      <c r="T657" s="77">
        <f>0</f>
        <v>0</v>
      </c>
      <c r="U657" s="78"/>
      <c r="V657" s="78"/>
      <c r="W657" s="78"/>
      <c r="X657" s="78"/>
      <c r="Y657" s="78"/>
      <c r="Z657" s="78"/>
      <c r="AA657" s="78"/>
      <c r="AB657" s="78"/>
      <c r="AC657" s="78"/>
      <c r="AD657" s="78"/>
    </row>
    <row r="658" spans="1:30" ht="15.75" x14ac:dyDescent="0.25">
      <c r="A658" s="13">
        <v>61331</v>
      </c>
      <c r="B658" s="88">
        <f t="shared" si="106"/>
        <v>30</v>
      </c>
      <c r="C658" s="77">
        <f>122.58</f>
        <v>122.58</v>
      </c>
      <c r="D658" s="77">
        <f>297.941</f>
        <v>297.94099999999997</v>
      </c>
      <c r="E658" s="85">
        <f>89.177</f>
        <v>89.177000000000007</v>
      </c>
      <c r="F658" s="77">
        <f>240.302-40-60-100</f>
        <v>40.301999999999992</v>
      </c>
      <c r="G658" s="80">
        <v>40</v>
      </c>
      <c r="H658" s="77">
        <f>60+100</f>
        <v>160</v>
      </c>
      <c r="I658" s="77">
        <f t="shared" si="102"/>
        <v>0</v>
      </c>
      <c r="J658" s="80">
        <v>100</v>
      </c>
      <c r="K658" s="80">
        <v>300</v>
      </c>
      <c r="L658" s="77">
        <f t="shared" si="107"/>
        <v>1150</v>
      </c>
      <c r="M658" s="87">
        <v>600</v>
      </c>
      <c r="N658" s="77">
        <f>100</f>
        <v>100</v>
      </c>
      <c r="O658" s="80">
        <v>240</v>
      </c>
      <c r="P658" s="80">
        <v>40</v>
      </c>
      <c r="Q658" s="80">
        <f t="shared" si="108"/>
        <v>315</v>
      </c>
      <c r="R658" s="80">
        <f t="shared" si="109"/>
        <v>100</v>
      </c>
      <c r="S658" s="77">
        <f t="shared" si="110"/>
        <v>695</v>
      </c>
      <c r="T658" s="77">
        <f>50</f>
        <v>50</v>
      </c>
      <c r="U658" s="78"/>
      <c r="V658" s="78"/>
      <c r="W658" s="78"/>
      <c r="X658" s="78"/>
      <c r="Y658" s="78"/>
      <c r="Z658" s="78"/>
      <c r="AA658" s="78"/>
      <c r="AB658" s="78"/>
      <c r="AC658" s="78"/>
      <c r="AD658" s="78"/>
    </row>
    <row r="659" spans="1:30" ht="15.75" x14ac:dyDescent="0.25">
      <c r="A659" s="13">
        <v>61362</v>
      </c>
      <c r="B659" s="88">
        <f t="shared" si="106"/>
        <v>31</v>
      </c>
      <c r="C659" s="77">
        <f>122.58</f>
        <v>122.58</v>
      </c>
      <c r="D659" s="77">
        <f>297.941</f>
        <v>297.94099999999997</v>
      </c>
      <c r="E659" s="85">
        <f>89.177</f>
        <v>89.177000000000007</v>
      </c>
      <c r="F659" s="77">
        <f>240.302-40-60-100</f>
        <v>40.301999999999992</v>
      </c>
      <c r="G659" s="80">
        <v>40</v>
      </c>
      <c r="H659" s="77">
        <f>60+100</f>
        <v>160</v>
      </c>
      <c r="I659" s="77">
        <f t="shared" si="102"/>
        <v>0</v>
      </c>
      <c r="J659" s="80">
        <v>100</v>
      </c>
      <c r="K659" s="80">
        <v>300</v>
      </c>
      <c r="L659" s="77">
        <f t="shared" si="107"/>
        <v>1150</v>
      </c>
      <c r="M659" s="87">
        <v>600</v>
      </c>
      <c r="N659" s="77">
        <f>100</f>
        <v>100</v>
      </c>
      <c r="O659" s="80">
        <v>240</v>
      </c>
      <c r="P659" s="80">
        <v>40</v>
      </c>
      <c r="Q659" s="80">
        <f t="shared" si="108"/>
        <v>315</v>
      </c>
      <c r="R659" s="80">
        <f t="shared" si="109"/>
        <v>100</v>
      </c>
      <c r="S659" s="77">
        <f t="shared" si="110"/>
        <v>695</v>
      </c>
      <c r="T659" s="77">
        <f>50</f>
        <v>50</v>
      </c>
      <c r="U659" s="78"/>
      <c r="V659" s="78"/>
      <c r="W659" s="78"/>
      <c r="X659" s="78"/>
      <c r="Y659" s="78"/>
      <c r="Z659" s="78"/>
      <c r="AA659" s="78"/>
      <c r="AB659" s="78"/>
      <c r="AC659" s="78"/>
      <c r="AD659" s="78"/>
    </row>
    <row r="660" spans="1:30" ht="15.75" x14ac:dyDescent="0.25">
      <c r="A660" s="13">
        <v>61393</v>
      </c>
      <c r="B660" s="88">
        <f t="shared" si="106"/>
        <v>31</v>
      </c>
      <c r="C660" s="77">
        <f>122.58</f>
        <v>122.58</v>
      </c>
      <c r="D660" s="77">
        <f>297.941</f>
        <v>297.94099999999997</v>
      </c>
      <c r="E660" s="85">
        <f>89.177</f>
        <v>89.177000000000007</v>
      </c>
      <c r="F660" s="77">
        <f>240.302-40-60-100</f>
        <v>40.301999999999992</v>
      </c>
      <c r="G660" s="80">
        <v>40</v>
      </c>
      <c r="H660" s="77">
        <f>60+100</f>
        <v>160</v>
      </c>
      <c r="I660" s="77">
        <f t="shared" si="102"/>
        <v>0</v>
      </c>
      <c r="J660" s="80">
        <v>100</v>
      </c>
      <c r="K660" s="80">
        <v>300</v>
      </c>
      <c r="L660" s="77">
        <f t="shared" si="107"/>
        <v>1150</v>
      </c>
      <c r="M660" s="87">
        <v>600</v>
      </c>
      <c r="N660" s="77">
        <f>100</f>
        <v>100</v>
      </c>
      <c r="O660" s="80">
        <v>240</v>
      </c>
      <c r="P660" s="80">
        <v>40</v>
      </c>
      <c r="Q660" s="80">
        <f t="shared" si="108"/>
        <v>315</v>
      </c>
      <c r="R660" s="80">
        <f t="shared" si="109"/>
        <v>100</v>
      </c>
      <c r="S660" s="77">
        <f t="shared" si="110"/>
        <v>695</v>
      </c>
      <c r="T660" s="77">
        <f>50</f>
        <v>50</v>
      </c>
      <c r="U660" s="78"/>
      <c r="V660" s="78"/>
      <c r="W660" s="78"/>
      <c r="X660" s="78"/>
      <c r="Y660" s="78"/>
      <c r="Z660" s="78"/>
      <c r="AA660" s="78"/>
      <c r="AB660" s="78"/>
      <c r="AC660" s="78"/>
      <c r="AD660" s="78"/>
    </row>
    <row r="661" spans="1:30" ht="15.75" x14ac:dyDescent="0.25">
      <c r="A661" s="13">
        <v>61422</v>
      </c>
      <c r="B661" s="88">
        <f t="shared" si="106"/>
        <v>29</v>
      </c>
      <c r="C661" s="77">
        <f>122.58</f>
        <v>122.58</v>
      </c>
      <c r="D661" s="77">
        <f>297.941</f>
        <v>297.94099999999997</v>
      </c>
      <c r="E661" s="85">
        <f>89.177</f>
        <v>89.177000000000007</v>
      </c>
      <c r="F661" s="77">
        <f>240.302-40-60-100</f>
        <v>40.301999999999992</v>
      </c>
      <c r="G661" s="80">
        <v>40</v>
      </c>
      <c r="H661" s="77">
        <f>60+100</f>
        <v>160</v>
      </c>
      <c r="I661" s="77">
        <f t="shared" si="102"/>
        <v>0</v>
      </c>
      <c r="J661" s="80">
        <v>100</v>
      </c>
      <c r="K661" s="80">
        <v>300</v>
      </c>
      <c r="L661" s="77">
        <f t="shared" si="107"/>
        <v>1150</v>
      </c>
      <c r="M661" s="87">
        <v>600</v>
      </c>
      <c r="N661" s="77">
        <f>100</f>
        <v>100</v>
      </c>
      <c r="O661" s="80">
        <v>240</v>
      </c>
      <c r="P661" s="80">
        <v>40</v>
      </c>
      <c r="Q661" s="80">
        <f t="shared" si="108"/>
        <v>315</v>
      </c>
      <c r="R661" s="80">
        <f t="shared" si="109"/>
        <v>100</v>
      </c>
      <c r="S661" s="77">
        <f t="shared" si="110"/>
        <v>695</v>
      </c>
      <c r="T661" s="77">
        <f>50</f>
        <v>50</v>
      </c>
      <c r="U661" s="78"/>
      <c r="V661" s="78"/>
      <c r="W661" s="78"/>
      <c r="X661" s="78"/>
      <c r="Y661" s="78"/>
      <c r="Z661" s="78"/>
      <c r="AA661" s="78"/>
      <c r="AB661" s="78"/>
      <c r="AC661" s="78"/>
      <c r="AD661" s="78"/>
    </row>
    <row r="662" spans="1:30" ht="15.75" x14ac:dyDescent="0.25">
      <c r="A662" s="13">
        <v>61453</v>
      </c>
      <c r="B662" s="88">
        <f t="shared" si="106"/>
        <v>31</v>
      </c>
      <c r="C662" s="77">
        <f>122.58</f>
        <v>122.58</v>
      </c>
      <c r="D662" s="77">
        <f>297.941</f>
        <v>297.94099999999997</v>
      </c>
      <c r="E662" s="85">
        <f>89.177</f>
        <v>89.177000000000007</v>
      </c>
      <c r="F662" s="77">
        <f>240.302-40-60-100</f>
        <v>40.301999999999992</v>
      </c>
      <c r="G662" s="80">
        <v>40</v>
      </c>
      <c r="H662" s="77">
        <f>60+100</f>
        <v>160</v>
      </c>
      <c r="I662" s="77">
        <f t="shared" si="102"/>
        <v>0</v>
      </c>
      <c r="J662" s="80">
        <v>100</v>
      </c>
      <c r="K662" s="80">
        <v>300</v>
      </c>
      <c r="L662" s="77">
        <f t="shared" si="107"/>
        <v>1150</v>
      </c>
      <c r="M662" s="87">
        <v>600</v>
      </c>
      <c r="N662" s="77">
        <f>100</f>
        <v>100</v>
      </c>
      <c r="O662" s="80">
        <v>240</v>
      </c>
      <c r="P662" s="80">
        <v>40</v>
      </c>
      <c r="Q662" s="80">
        <f t="shared" si="108"/>
        <v>315</v>
      </c>
      <c r="R662" s="80">
        <f t="shared" si="109"/>
        <v>100</v>
      </c>
      <c r="S662" s="77">
        <f t="shared" si="110"/>
        <v>695</v>
      </c>
      <c r="T662" s="77">
        <f>50</f>
        <v>50</v>
      </c>
      <c r="U662" s="78"/>
      <c r="V662" s="78"/>
      <c r="W662" s="78"/>
      <c r="X662" s="78"/>
      <c r="Y662" s="78"/>
      <c r="Z662" s="78"/>
      <c r="AA662" s="78"/>
      <c r="AB662" s="78"/>
      <c r="AC662" s="78"/>
      <c r="AD662" s="78"/>
    </row>
    <row r="663" spans="1:30" ht="15.75" x14ac:dyDescent="0.25">
      <c r="A663" s="13">
        <v>61483</v>
      </c>
      <c r="B663" s="88">
        <f t="shared" si="106"/>
        <v>30</v>
      </c>
      <c r="C663" s="77">
        <f>141.293</f>
        <v>141.29300000000001</v>
      </c>
      <c r="D663" s="77">
        <f>267.993</f>
        <v>267.99299999999999</v>
      </c>
      <c r="E663" s="85">
        <f>115.016</f>
        <v>115.01600000000001</v>
      </c>
      <c r="F663" s="77">
        <f>314.698-40-25-60-100</f>
        <v>89.697999999999979</v>
      </c>
      <c r="G663" s="80">
        <v>40</v>
      </c>
      <c r="H663" s="77">
        <f t="shared" ref="H663:H669" si="111">25+60+100</f>
        <v>185</v>
      </c>
      <c r="I663" s="77">
        <f t="shared" si="102"/>
        <v>0</v>
      </c>
      <c r="J663" s="80">
        <v>100</v>
      </c>
      <c r="K663" s="80">
        <v>300</v>
      </c>
      <c r="L663" s="77">
        <f t="shared" si="107"/>
        <v>1239</v>
      </c>
      <c r="M663" s="87">
        <v>600</v>
      </c>
      <c r="N663" s="77">
        <f>100</f>
        <v>100</v>
      </c>
      <c r="O663" s="80">
        <v>240</v>
      </c>
      <c r="P663" s="80">
        <v>40</v>
      </c>
      <c r="Q663" s="80">
        <f t="shared" si="108"/>
        <v>315</v>
      </c>
      <c r="R663" s="80">
        <f t="shared" si="109"/>
        <v>100</v>
      </c>
      <c r="S663" s="77">
        <f t="shared" si="110"/>
        <v>695</v>
      </c>
      <c r="T663" s="77">
        <f>50</f>
        <v>50</v>
      </c>
      <c r="U663" s="78"/>
      <c r="V663" s="78"/>
      <c r="W663" s="78"/>
      <c r="X663" s="78"/>
      <c r="Y663" s="78"/>
      <c r="Z663" s="78"/>
      <c r="AA663" s="78"/>
      <c r="AB663" s="78"/>
      <c r="AC663" s="78"/>
      <c r="AD663" s="78"/>
    </row>
    <row r="664" spans="1:30" ht="15.75" x14ac:dyDescent="0.25">
      <c r="A664" s="13">
        <v>61514</v>
      </c>
      <c r="B664" s="88">
        <f t="shared" si="106"/>
        <v>31</v>
      </c>
      <c r="C664" s="77">
        <f>194.205</f>
        <v>194.20500000000001</v>
      </c>
      <c r="D664" s="77">
        <f>267.466</f>
        <v>267.46600000000001</v>
      </c>
      <c r="E664" s="85">
        <f>133.845</f>
        <v>133.845</v>
      </c>
      <c r="F664" s="77">
        <f>278.484-40-25-60-100</f>
        <v>53.48399999999998</v>
      </c>
      <c r="G664" s="80">
        <v>40</v>
      </c>
      <c r="H664" s="77">
        <f t="shared" si="111"/>
        <v>185</v>
      </c>
      <c r="I664" s="77">
        <f t="shared" si="102"/>
        <v>0</v>
      </c>
      <c r="J664" s="80">
        <v>100</v>
      </c>
      <c r="K664" s="80">
        <v>300</v>
      </c>
      <c r="L664" s="77">
        <f t="shared" si="107"/>
        <v>1274</v>
      </c>
      <c r="M664" s="87">
        <v>600</v>
      </c>
      <c r="N664" s="77">
        <f>75</f>
        <v>75</v>
      </c>
      <c r="O664" s="80">
        <v>240</v>
      </c>
      <c r="P664" s="80">
        <v>40</v>
      </c>
      <c r="Q664" s="80">
        <f t="shared" si="108"/>
        <v>315</v>
      </c>
      <c r="R664" s="80">
        <f t="shared" si="109"/>
        <v>100</v>
      </c>
      <c r="S664" s="77">
        <f t="shared" si="110"/>
        <v>695</v>
      </c>
      <c r="T664" s="77">
        <f>50</f>
        <v>50</v>
      </c>
      <c r="U664" s="78"/>
      <c r="V664" s="78"/>
      <c r="W664" s="78"/>
      <c r="X664" s="78"/>
      <c r="Y664" s="78"/>
      <c r="Z664" s="78"/>
      <c r="AA664" s="78"/>
      <c r="AB664" s="78"/>
      <c r="AC664" s="78"/>
      <c r="AD664" s="78"/>
    </row>
    <row r="665" spans="1:30" ht="15.75" x14ac:dyDescent="0.25">
      <c r="A665" s="13">
        <v>61544</v>
      </c>
      <c r="B665" s="88">
        <f t="shared" si="106"/>
        <v>30</v>
      </c>
      <c r="C665" s="77">
        <f>194.205</f>
        <v>194.20500000000001</v>
      </c>
      <c r="D665" s="77">
        <f>267.466</f>
        <v>267.46600000000001</v>
      </c>
      <c r="E665" s="85">
        <f>133.845</f>
        <v>133.845</v>
      </c>
      <c r="F665" s="77">
        <f>278.484-40-25-60-100</f>
        <v>53.48399999999998</v>
      </c>
      <c r="G665" s="80">
        <v>40</v>
      </c>
      <c r="H665" s="77">
        <f t="shared" si="111"/>
        <v>185</v>
      </c>
      <c r="I665" s="77">
        <f t="shared" si="102"/>
        <v>0</v>
      </c>
      <c r="J665" s="80">
        <v>100</v>
      </c>
      <c r="K665" s="80">
        <v>300</v>
      </c>
      <c r="L665" s="77">
        <f t="shared" si="107"/>
        <v>1274</v>
      </c>
      <c r="M665" s="87">
        <v>600</v>
      </c>
      <c r="N665" s="77">
        <f>30</f>
        <v>30</v>
      </c>
      <c r="O665" s="80">
        <v>240</v>
      </c>
      <c r="P665" s="80">
        <v>40</v>
      </c>
      <c r="Q665" s="80">
        <f t="shared" si="108"/>
        <v>315</v>
      </c>
      <c r="R665" s="80">
        <f t="shared" si="109"/>
        <v>100</v>
      </c>
      <c r="S665" s="77">
        <f t="shared" si="110"/>
        <v>695</v>
      </c>
      <c r="T665" s="77">
        <f>50</f>
        <v>50</v>
      </c>
      <c r="U665" s="78"/>
      <c r="V665" s="78"/>
      <c r="W665" s="78"/>
      <c r="X665" s="78"/>
      <c r="Y665" s="78"/>
      <c r="Z665" s="78"/>
      <c r="AA665" s="78"/>
      <c r="AB665" s="78"/>
      <c r="AC665" s="78"/>
      <c r="AD665" s="78"/>
    </row>
    <row r="666" spans="1:30" ht="15.75" x14ac:dyDescent="0.25">
      <c r="A666" s="13">
        <v>61575</v>
      </c>
      <c r="B666" s="88">
        <f t="shared" si="106"/>
        <v>31</v>
      </c>
      <c r="C666" s="77">
        <f>194.205</f>
        <v>194.20500000000001</v>
      </c>
      <c r="D666" s="77">
        <f>267.466</f>
        <v>267.46600000000001</v>
      </c>
      <c r="E666" s="85">
        <f>133.845</f>
        <v>133.845</v>
      </c>
      <c r="F666" s="77">
        <f>278.484-40-25-60-100</f>
        <v>53.48399999999998</v>
      </c>
      <c r="G666" s="80">
        <v>40</v>
      </c>
      <c r="H666" s="77">
        <f t="shared" si="111"/>
        <v>185</v>
      </c>
      <c r="I666" s="77">
        <f t="shared" si="102"/>
        <v>0</v>
      </c>
      <c r="J666" s="80">
        <v>100</v>
      </c>
      <c r="K666" s="80">
        <v>300</v>
      </c>
      <c r="L666" s="77">
        <f t="shared" si="107"/>
        <v>1274</v>
      </c>
      <c r="M666" s="87">
        <v>600</v>
      </c>
      <c r="N666" s="77">
        <f>30</f>
        <v>30</v>
      </c>
      <c r="O666" s="80">
        <v>240</v>
      </c>
      <c r="P666" s="80">
        <v>40</v>
      </c>
      <c r="Q666" s="80">
        <f t="shared" si="108"/>
        <v>315</v>
      </c>
      <c r="R666" s="80">
        <f t="shared" si="109"/>
        <v>100</v>
      </c>
      <c r="S666" s="77">
        <f t="shared" si="110"/>
        <v>695</v>
      </c>
      <c r="T666" s="77">
        <f>0</f>
        <v>0</v>
      </c>
      <c r="U666" s="78"/>
      <c r="V666" s="78"/>
      <c r="W666" s="78"/>
      <c r="X666" s="78"/>
      <c r="Y666" s="78"/>
      <c r="Z666" s="78"/>
      <c r="AA666" s="78"/>
      <c r="AB666" s="78"/>
      <c r="AC666" s="78"/>
      <c r="AD666" s="78"/>
    </row>
    <row r="667" spans="1:30" ht="15.75" x14ac:dyDescent="0.25">
      <c r="A667" s="13">
        <v>61606</v>
      </c>
      <c r="B667" s="88">
        <f t="shared" si="106"/>
        <v>31</v>
      </c>
      <c r="C667" s="77">
        <f>194.205</f>
        <v>194.20500000000001</v>
      </c>
      <c r="D667" s="77">
        <f>267.466</f>
        <v>267.46600000000001</v>
      </c>
      <c r="E667" s="85">
        <f>133.845</f>
        <v>133.845</v>
      </c>
      <c r="F667" s="77">
        <f>278.484-40-25-60-100</f>
        <v>53.48399999999998</v>
      </c>
      <c r="G667" s="80">
        <v>40</v>
      </c>
      <c r="H667" s="77">
        <f t="shared" si="111"/>
        <v>185</v>
      </c>
      <c r="I667" s="77">
        <f t="shared" si="102"/>
        <v>0</v>
      </c>
      <c r="J667" s="80">
        <v>100</v>
      </c>
      <c r="K667" s="80">
        <v>300</v>
      </c>
      <c r="L667" s="77">
        <f t="shared" si="107"/>
        <v>1274</v>
      </c>
      <c r="M667" s="87">
        <v>600</v>
      </c>
      <c r="N667" s="77">
        <f>30</f>
        <v>30</v>
      </c>
      <c r="O667" s="80">
        <v>240</v>
      </c>
      <c r="P667" s="80">
        <v>40</v>
      </c>
      <c r="Q667" s="80">
        <f t="shared" si="108"/>
        <v>315</v>
      </c>
      <c r="R667" s="80">
        <f t="shared" si="109"/>
        <v>100</v>
      </c>
      <c r="S667" s="77">
        <f t="shared" si="110"/>
        <v>695</v>
      </c>
      <c r="T667" s="77">
        <f>0</f>
        <v>0</v>
      </c>
      <c r="U667" s="78"/>
      <c r="V667" s="78"/>
      <c r="W667" s="78"/>
      <c r="X667" s="78"/>
      <c r="Y667" s="78"/>
      <c r="Z667" s="78"/>
      <c r="AA667" s="78"/>
      <c r="AB667" s="78"/>
      <c r="AC667" s="78"/>
      <c r="AD667" s="78"/>
    </row>
    <row r="668" spans="1:30" ht="15.75" x14ac:dyDescent="0.25">
      <c r="A668" s="13">
        <v>61636</v>
      </c>
      <c r="B668" s="88">
        <f t="shared" si="106"/>
        <v>30</v>
      </c>
      <c r="C668" s="77">
        <f>194.205</f>
        <v>194.20500000000001</v>
      </c>
      <c r="D668" s="77">
        <f>267.466</f>
        <v>267.46600000000001</v>
      </c>
      <c r="E668" s="85">
        <f>133.845</f>
        <v>133.845</v>
      </c>
      <c r="F668" s="77">
        <f>278.484-40-25-60-100</f>
        <v>53.48399999999998</v>
      </c>
      <c r="G668" s="80">
        <v>40</v>
      </c>
      <c r="H668" s="77">
        <f t="shared" si="111"/>
        <v>185</v>
      </c>
      <c r="I668" s="77">
        <f t="shared" si="102"/>
        <v>0</v>
      </c>
      <c r="J668" s="80">
        <v>100</v>
      </c>
      <c r="K668" s="80">
        <v>300</v>
      </c>
      <c r="L668" s="77">
        <f t="shared" si="107"/>
        <v>1274</v>
      </c>
      <c r="M668" s="87">
        <v>600</v>
      </c>
      <c r="N668" s="77">
        <f>30</f>
        <v>30</v>
      </c>
      <c r="O668" s="80">
        <v>240</v>
      </c>
      <c r="P668" s="80">
        <v>40</v>
      </c>
      <c r="Q668" s="80">
        <f t="shared" si="108"/>
        <v>315</v>
      </c>
      <c r="R668" s="80">
        <f t="shared" si="109"/>
        <v>100</v>
      </c>
      <c r="S668" s="77">
        <f t="shared" si="110"/>
        <v>695</v>
      </c>
      <c r="T668" s="77">
        <f>0</f>
        <v>0</v>
      </c>
      <c r="U668" s="78"/>
      <c r="V668" s="78"/>
      <c r="W668" s="78"/>
      <c r="X668" s="78"/>
      <c r="Y668" s="78"/>
      <c r="Z668" s="78"/>
      <c r="AA668" s="78"/>
      <c r="AB668" s="78"/>
      <c r="AC668" s="78"/>
      <c r="AD668" s="78"/>
    </row>
    <row r="669" spans="1:30" ht="15.75" x14ac:dyDescent="0.25">
      <c r="A669" s="13">
        <v>61667</v>
      </c>
      <c r="B669" s="88">
        <f t="shared" si="106"/>
        <v>31</v>
      </c>
      <c r="C669" s="77">
        <f>131.881</f>
        <v>131.881</v>
      </c>
      <c r="D669" s="77">
        <f>277.167</f>
        <v>277.16699999999997</v>
      </c>
      <c r="E669" s="85">
        <f>79.08</f>
        <v>79.08</v>
      </c>
      <c r="F669" s="77">
        <f>350.872-40-25-60-100</f>
        <v>125.87200000000001</v>
      </c>
      <c r="G669" s="80">
        <v>40</v>
      </c>
      <c r="H669" s="77">
        <f t="shared" si="111"/>
        <v>185</v>
      </c>
      <c r="I669" s="77">
        <f t="shared" si="102"/>
        <v>0</v>
      </c>
      <c r="J669" s="80">
        <v>100</v>
      </c>
      <c r="K669" s="80">
        <v>300</v>
      </c>
      <c r="L669" s="77">
        <f t="shared" si="107"/>
        <v>1239</v>
      </c>
      <c r="M669" s="87">
        <v>600</v>
      </c>
      <c r="N669" s="77">
        <f>75</f>
        <v>75</v>
      </c>
      <c r="O669" s="80">
        <v>240</v>
      </c>
      <c r="P669" s="80">
        <v>40</v>
      </c>
      <c r="Q669" s="80">
        <f t="shared" si="108"/>
        <v>315</v>
      </c>
      <c r="R669" s="80">
        <f t="shared" si="109"/>
        <v>100</v>
      </c>
      <c r="S669" s="77">
        <f t="shared" si="110"/>
        <v>695</v>
      </c>
      <c r="T669" s="77">
        <f>0</f>
        <v>0</v>
      </c>
      <c r="U669" s="78"/>
      <c r="V669" s="78"/>
      <c r="W669" s="78"/>
      <c r="X669" s="78"/>
      <c r="Y669" s="78"/>
      <c r="Z669" s="78"/>
      <c r="AA669" s="78"/>
      <c r="AB669" s="78"/>
      <c r="AC669" s="78"/>
      <c r="AD669" s="78"/>
    </row>
    <row r="670" spans="1:30" ht="15.75" x14ac:dyDescent="0.25">
      <c r="A670" s="13">
        <v>61697</v>
      </c>
      <c r="B670" s="88">
        <f t="shared" si="106"/>
        <v>30</v>
      </c>
      <c r="C670" s="77">
        <f>122.58</f>
        <v>122.58</v>
      </c>
      <c r="D670" s="77">
        <f>297.941</f>
        <v>297.94099999999997</v>
      </c>
      <c r="E670" s="85">
        <f>89.177</f>
        <v>89.177000000000007</v>
      </c>
      <c r="F670" s="77">
        <f>240.302-40-60-100</f>
        <v>40.301999999999992</v>
      </c>
      <c r="G670" s="80">
        <v>40</v>
      </c>
      <c r="H670" s="77">
        <f>60+100</f>
        <v>160</v>
      </c>
      <c r="I670" s="77">
        <f t="shared" si="102"/>
        <v>0</v>
      </c>
      <c r="J670" s="80">
        <v>100</v>
      </c>
      <c r="K670" s="80">
        <v>300</v>
      </c>
      <c r="L670" s="77">
        <f t="shared" si="107"/>
        <v>1150</v>
      </c>
      <c r="M670" s="87">
        <v>600</v>
      </c>
      <c r="N670" s="77">
        <f>100</f>
        <v>100</v>
      </c>
      <c r="O670" s="80">
        <v>240</v>
      </c>
      <c r="P670" s="80">
        <v>40</v>
      </c>
      <c r="Q670" s="80">
        <f t="shared" si="108"/>
        <v>315</v>
      </c>
      <c r="R670" s="80">
        <f t="shared" si="109"/>
        <v>100</v>
      </c>
      <c r="S670" s="77">
        <f t="shared" si="110"/>
        <v>695</v>
      </c>
      <c r="T670" s="77">
        <f>50</f>
        <v>50</v>
      </c>
      <c r="U670" s="78"/>
      <c r="V670" s="78"/>
      <c r="W670" s="78"/>
      <c r="X670" s="78"/>
      <c r="Y670" s="78"/>
      <c r="Z670" s="78"/>
      <c r="AA670" s="78"/>
      <c r="AB670" s="78"/>
      <c r="AC670" s="78"/>
      <c r="AD670" s="78"/>
    </row>
    <row r="671" spans="1:30" ht="15.75" x14ac:dyDescent="0.25">
      <c r="A671" s="13">
        <v>61728</v>
      </c>
      <c r="B671" s="88">
        <f t="shared" si="106"/>
        <v>31</v>
      </c>
      <c r="C671" s="77">
        <f>122.58</f>
        <v>122.58</v>
      </c>
      <c r="D671" s="77">
        <f>297.941</f>
        <v>297.94099999999997</v>
      </c>
      <c r="E671" s="85">
        <f>89.177</f>
        <v>89.177000000000007</v>
      </c>
      <c r="F671" s="77">
        <f>240.302-40-60-100</f>
        <v>40.301999999999992</v>
      </c>
      <c r="G671" s="80">
        <v>40</v>
      </c>
      <c r="H671" s="77">
        <f>60+100</f>
        <v>160</v>
      </c>
      <c r="I671" s="77">
        <f t="shared" si="102"/>
        <v>0</v>
      </c>
      <c r="J671" s="80">
        <v>100</v>
      </c>
      <c r="K671" s="80">
        <v>300</v>
      </c>
      <c r="L671" s="77">
        <f t="shared" si="107"/>
        <v>1150</v>
      </c>
      <c r="M671" s="87">
        <v>600</v>
      </c>
      <c r="N671" s="77">
        <f>100</f>
        <v>100</v>
      </c>
      <c r="O671" s="80">
        <v>240</v>
      </c>
      <c r="P671" s="80">
        <v>40</v>
      </c>
      <c r="Q671" s="80">
        <f t="shared" si="108"/>
        <v>315</v>
      </c>
      <c r="R671" s="80">
        <f t="shared" si="109"/>
        <v>100</v>
      </c>
      <c r="S671" s="77">
        <f t="shared" si="110"/>
        <v>695</v>
      </c>
      <c r="T671" s="77">
        <f>50</f>
        <v>50</v>
      </c>
      <c r="U671" s="78"/>
      <c r="V671" s="78"/>
      <c r="W671" s="78"/>
      <c r="X671" s="78"/>
      <c r="Y671" s="78"/>
      <c r="Z671" s="78"/>
      <c r="AA671" s="78"/>
      <c r="AB671" s="78"/>
      <c r="AC671" s="78"/>
      <c r="AD671" s="78"/>
    </row>
    <row r="672" spans="1:30" ht="15.75" x14ac:dyDescent="0.25">
      <c r="A672" s="13">
        <v>61759</v>
      </c>
      <c r="B672" s="88">
        <f t="shared" si="106"/>
        <v>31</v>
      </c>
      <c r="C672" s="77">
        <f>122.58</f>
        <v>122.58</v>
      </c>
      <c r="D672" s="77">
        <f>297.941</f>
        <v>297.94099999999997</v>
      </c>
      <c r="E672" s="85">
        <f>89.177</f>
        <v>89.177000000000007</v>
      </c>
      <c r="F672" s="77">
        <f>240.302-40-60-100</f>
        <v>40.301999999999992</v>
      </c>
      <c r="G672" s="80">
        <v>40</v>
      </c>
      <c r="H672" s="77">
        <f>60+100</f>
        <v>160</v>
      </c>
      <c r="I672" s="77">
        <f t="shared" si="102"/>
        <v>0</v>
      </c>
      <c r="J672" s="80">
        <v>100</v>
      </c>
      <c r="K672" s="80">
        <v>300</v>
      </c>
      <c r="L672" s="77">
        <f t="shared" si="107"/>
        <v>1150</v>
      </c>
      <c r="M672" s="87">
        <v>600</v>
      </c>
      <c r="N672" s="77">
        <f>100</f>
        <v>100</v>
      </c>
      <c r="O672" s="80">
        <v>240</v>
      </c>
      <c r="P672" s="80">
        <v>40</v>
      </c>
      <c r="Q672" s="80">
        <f t="shared" si="108"/>
        <v>315</v>
      </c>
      <c r="R672" s="80">
        <f t="shared" si="109"/>
        <v>100</v>
      </c>
      <c r="S672" s="77">
        <f t="shared" si="110"/>
        <v>695</v>
      </c>
      <c r="T672" s="77">
        <f>50</f>
        <v>50</v>
      </c>
      <c r="U672" s="78"/>
      <c r="V672" s="78"/>
      <c r="W672" s="78"/>
      <c r="X672" s="78"/>
      <c r="Y672" s="78"/>
      <c r="Z672" s="78"/>
      <c r="AA672" s="78"/>
      <c r="AB672" s="78"/>
      <c r="AC672" s="78"/>
      <c r="AD672" s="78"/>
    </row>
    <row r="673" spans="1:30" ht="15.75" x14ac:dyDescent="0.25">
      <c r="A673" s="13">
        <v>61787</v>
      </c>
      <c r="B673" s="88">
        <f t="shared" si="106"/>
        <v>28</v>
      </c>
      <c r="C673" s="77">
        <f>122.58</f>
        <v>122.58</v>
      </c>
      <c r="D673" s="77">
        <f>297.941</f>
        <v>297.94099999999997</v>
      </c>
      <c r="E673" s="85">
        <f>89.177</f>
        <v>89.177000000000007</v>
      </c>
      <c r="F673" s="77">
        <f>240.302-40-60-100</f>
        <v>40.301999999999992</v>
      </c>
      <c r="G673" s="80">
        <v>40</v>
      </c>
      <c r="H673" s="77">
        <f>60+100</f>
        <v>160</v>
      </c>
      <c r="I673" s="77">
        <f t="shared" si="102"/>
        <v>0</v>
      </c>
      <c r="J673" s="80">
        <v>100</v>
      </c>
      <c r="K673" s="80">
        <v>300</v>
      </c>
      <c r="L673" s="77">
        <f t="shared" si="107"/>
        <v>1150</v>
      </c>
      <c r="M673" s="87">
        <v>600</v>
      </c>
      <c r="N673" s="77">
        <f>100</f>
        <v>100</v>
      </c>
      <c r="O673" s="80">
        <v>240</v>
      </c>
      <c r="P673" s="80">
        <v>40</v>
      </c>
      <c r="Q673" s="80">
        <f t="shared" si="108"/>
        <v>315</v>
      </c>
      <c r="R673" s="80">
        <f t="shared" si="109"/>
        <v>100</v>
      </c>
      <c r="S673" s="77">
        <f t="shared" si="110"/>
        <v>695</v>
      </c>
      <c r="T673" s="77">
        <f>50</f>
        <v>50</v>
      </c>
      <c r="U673" s="78"/>
      <c r="V673" s="78"/>
      <c r="W673" s="78"/>
      <c r="X673" s="78"/>
      <c r="Y673" s="78"/>
      <c r="Z673" s="78"/>
      <c r="AA673" s="78"/>
      <c r="AB673" s="78"/>
      <c r="AC673" s="78"/>
      <c r="AD673" s="78"/>
    </row>
    <row r="674" spans="1:30" ht="15.75" x14ac:dyDescent="0.25">
      <c r="A674" s="13">
        <v>61818</v>
      </c>
      <c r="B674" s="88">
        <f t="shared" si="106"/>
        <v>31</v>
      </c>
      <c r="C674" s="77">
        <f>122.58</f>
        <v>122.58</v>
      </c>
      <c r="D674" s="77">
        <f>297.941</f>
        <v>297.94099999999997</v>
      </c>
      <c r="E674" s="85">
        <f>89.177</f>
        <v>89.177000000000007</v>
      </c>
      <c r="F674" s="77">
        <f>240.302-40-60-100</f>
        <v>40.301999999999992</v>
      </c>
      <c r="G674" s="80">
        <v>40</v>
      </c>
      <c r="H674" s="77">
        <f>60+100</f>
        <v>160</v>
      </c>
      <c r="I674" s="77">
        <f t="shared" si="102"/>
        <v>0</v>
      </c>
      <c r="J674" s="80">
        <v>100</v>
      </c>
      <c r="K674" s="80">
        <v>300</v>
      </c>
      <c r="L674" s="77">
        <f t="shared" si="107"/>
        <v>1150</v>
      </c>
      <c r="M674" s="87">
        <v>600</v>
      </c>
      <c r="N674" s="77">
        <f>100</f>
        <v>100</v>
      </c>
      <c r="O674" s="80">
        <v>240</v>
      </c>
      <c r="P674" s="80">
        <v>40</v>
      </c>
      <c r="Q674" s="80">
        <f t="shared" si="108"/>
        <v>315</v>
      </c>
      <c r="R674" s="80">
        <f t="shared" si="109"/>
        <v>100</v>
      </c>
      <c r="S674" s="77">
        <f t="shared" si="110"/>
        <v>695</v>
      </c>
      <c r="T674" s="77">
        <f>50</f>
        <v>50</v>
      </c>
      <c r="U674" s="78"/>
      <c r="V674" s="78"/>
      <c r="W674" s="78"/>
      <c r="X674" s="78"/>
      <c r="Y674" s="78"/>
      <c r="Z674" s="78"/>
      <c r="AA674" s="78"/>
      <c r="AB674" s="78"/>
      <c r="AC674" s="78"/>
      <c r="AD674" s="78"/>
    </row>
    <row r="675" spans="1:30" ht="15.75" x14ac:dyDescent="0.25">
      <c r="A675" s="13">
        <v>61848</v>
      </c>
      <c r="B675" s="88">
        <f t="shared" si="106"/>
        <v>30</v>
      </c>
      <c r="C675" s="77">
        <f>141.293</f>
        <v>141.29300000000001</v>
      </c>
      <c r="D675" s="77">
        <f>267.993</f>
        <v>267.99299999999999</v>
      </c>
      <c r="E675" s="85">
        <f>115.016</f>
        <v>115.01600000000001</v>
      </c>
      <c r="F675" s="77">
        <f>314.698-40-25-60-100</f>
        <v>89.697999999999979</v>
      </c>
      <c r="G675" s="80">
        <v>40</v>
      </c>
      <c r="H675" s="77">
        <f t="shared" ref="H675:H681" si="112">25+60+100</f>
        <v>185</v>
      </c>
      <c r="I675" s="77">
        <f t="shared" si="102"/>
        <v>0</v>
      </c>
      <c r="J675" s="80">
        <v>100</v>
      </c>
      <c r="K675" s="80">
        <v>300</v>
      </c>
      <c r="L675" s="77">
        <f t="shared" si="107"/>
        <v>1239</v>
      </c>
      <c r="M675" s="87">
        <v>600</v>
      </c>
      <c r="N675" s="77">
        <f>100</f>
        <v>100</v>
      </c>
      <c r="O675" s="80">
        <v>240</v>
      </c>
      <c r="P675" s="80">
        <v>40</v>
      </c>
      <c r="Q675" s="80">
        <f t="shared" si="108"/>
        <v>315</v>
      </c>
      <c r="R675" s="80">
        <f t="shared" si="109"/>
        <v>100</v>
      </c>
      <c r="S675" s="77">
        <f t="shared" si="110"/>
        <v>695</v>
      </c>
      <c r="T675" s="77">
        <f>50</f>
        <v>50</v>
      </c>
      <c r="U675" s="78"/>
      <c r="V675" s="78"/>
      <c r="W675" s="78"/>
      <c r="X675" s="78"/>
      <c r="Y675" s="78"/>
      <c r="Z675" s="78"/>
      <c r="AA675" s="78"/>
      <c r="AB675" s="78"/>
      <c r="AC675" s="78"/>
      <c r="AD675" s="78"/>
    </row>
    <row r="676" spans="1:30" ht="15.75" x14ac:dyDescent="0.25">
      <c r="A676" s="13">
        <v>61879</v>
      </c>
      <c r="B676" s="88">
        <f t="shared" si="106"/>
        <v>31</v>
      </c>
      <c r="C676" s="77">
        <f>194.205</f>
        <v>194.20500000000001</v>
      </c>
      <c r="D676" s="77">
        <f>267.466</f>
        <v>267.46600000000001</v>
      </c>
      <c r="E676" s="85">
        <f>133.845</f>
        <v>133.845</v>
      </c>
      <c r="F676" s="77">
        <f>278.484-40-25-60-100</f>
        <v>53.48399999999998</v>
      </c>
      <c r="G676" s="80">
        <v>40</v>
      </c>
      <c r="H676" s="77">
        <f t="shared" si="112"/>
        <v>185</v>
      </c>
      <c r="I676" s="77">
        <f t="shared" si="102"/>
        <v>0</v>
      </c>
      <c r="J676" s="80">
        <v>100</v>
      </c>
      <c r="K676" s="80">
        <v>300</v>
      </c>
      <c r="L676" s="77">
        <f t="shared" si="107"/>
        <v>1274</v>
      </c>
      <c r="M676" s="87">
        <v>600</v>
      </c>
      <c r="N676" s="77">
        <f>75</f>
        <v>75</v>
      </c>
      <c r="O676" s="80">
        <v>240</v>
      </c>
      <c r="P676" s="80">
        <v>40</v>
      </c>
      <c r="Q676" s="80">
        <f t="shared" si="108"/>
        <v>315</v>
      </c>
      <c r="R676" s="80">
        <f t="shared" si="109"/>
        <v>100</v>
      </c>
      <c r="S676" s="77">
        <f t="shared" si="110"/>
        <v>695</v>
      </c>
      <c r="T676" s="77">
        <f>50</f>
        <v>50</v>
      </c>
      <c r="U676" s="78"/>
      <c r="V676" s="78"/>
      <c r="W676" s="78"/>
      <c r="X676" s="78"/>
      <c r="Y676" s="78"/>
      <c r="Z676" s="78"/>
      <c r="AA676" s="78"/>
      <c r="AB676" s="78"/>
      <c r="AC676" s="78"/>
      <c r="AD676" s="78"/>
    </row>
    <row r="677" spans="1:30" ht="15.75" x14ac:dyDescent="0.25">
      <c r="A677" s="13">
        <v>61909</v>
      </c>
      <c r="B677" s="88">
        <f t="shared" si="106"/>
        <v>30</v>
      </c>
      <c r="C677" s="77">
        <f>194.205</f>
        <v>194.20500000000001</v>
      </c>
      <c r="D677" s="77">
        <f>267.466</f>
        <v>267.46600000000001</v>
      </c>
      <c r="E677" s="85">
        <f>133.845</f>
        <v>133.845</v>
      </c>
      <c r="F677" s="77">
        <f>278.484-40-25-60-100</f>
        <v>53.48399999999998</v>
      </c>
      <c r="G677" s="80">
        <v>40</v>
      </c>
      <c r="H677" s="77">
        <f t="shared" si="112"/>
        <v>185</v>
      </c>
      <c r="I677" s="77">
        <f t="shared" si="102"/>
        <v>0</v>
      </c>
      <c r="J677" s="80">
        <v>100</v>
      </c>
      <c r="K677" s="80">
        <v>300</v>
      </c>
      <c r="L677" s="77">
        <f t="shared" si="107"/>
        <v>1274</v>
      </c>
      <c r="M677" s="87">
        <v>600</v>
      </c>
      <c r="N677" s="77">
        <f>30</f>
        <v>30</v>
      </c>
      <c r="O677" s="80">
        <v>240</v>
      </c>
      <c r="P677" s="80">
        <v>40</v>
      </c>
      <c r="Q677" s="80">
        <f t="shared" si="108"/>
        <v>315</v>
      </c>
      <c r="R677" s="80">
        <f t="shared" si="109"/>
        <v>100</v>
      </c>
      <c r="S677" s="77">
        <f t="shared" si="110"/>
        <v>695</v>
      </c>
      <c r="T677" s="77">
        <f>50</f>
        <v>50</v>
      </c>
      <c r="U677" s="78"/>
      <c r="V677" s="78"/>
      <c r="W677" s="78"/>
      <c r="X677" s="78"/>
      <c r="Y677" s="78"/>
      <c r="Z677" s="78"/>
      <c r="AA677" s="78"/>
      <c r="AB677" s="78"/>
      <c r="AC677" s="78"/>
      <c r="AD677" s="78"/>
    </row>
    <row r="678" spans="1:30" ht="15.75" x14ac:dyDescent="0.25">
      <c r="A678" s="13">
        <v>61940</v>
      </c>
      <c r="B678" s="88">
        <f t="shared" si="106"/>
        <v>31</v>
      </c>
      <c r="C678" s="77">
        <f>194.205</f>
        <v>194.20500000000001</v>
      </c>
      <c r="D678" s="77">
        <f>267.466</f>
        <v>267.46600000000001</v>
      </c>
      <c r="E678" s="85">
        <f>133.845</f>
        <v>133.845</v>
      </c>
      <c r="F678" s="77">
        <f>278.484-40-25-60-100</f>
        <v>53.48399999999998</v>
      </c>
      <c r="G678" s="80">
        <v>40</v>
      </c>
      <c r="H678" s="77">
        <f t="shared" si="112"/>
        <v>185</v>
      </c>
      <c r="I678" s="77">
        <f t="shared" si="102"/>
        <v>0</v>
      </c>
      <c r="J678" s="80">
        <v>100</v>
      </c>
      <c r="K678" s="80">
        <v>300</v>
      </c>
      <c r="L678" s="77">
        <f t="shared" si="107"/>
        <v>1274</v>
      </c>
      <c r="M678" s="87">
        <v>600</v>
      </c>
      <c r="N678" s="77">
        <f>30</f>
        <v>30</v>
      </c>
      <c r="O678" s="80">
        <v>240</v>
      </c>
      <c r="P678" s="80">
        <v>40</v>
      </c>
      <c r="Q678" s="80">
        <f t="shared" si="108"/>
        <v>315</v>
      </c>
      <c r="R678" s="80">
        <f t="shared" si="109"/>
        <v>100</v>
      </c>
      <c r="S678" s="77">
        <f t="shared" si="110"/>
        <v>695</v>
      </c>
      <c r="T678" s="77">
        <f>0</f>
        <v>0</v>
      </c>
      <c r="U678" s="78"/>
      <c r="V678" s="78"/>
      <c r="W678" s="78"/>
      <c r="X678" s="78"/>
      <c r="Y678" s="78"/>
      <c r="Z678" s="78"/>
      <c r="AA678" s="78"/>
      <c r="AB678" s="78"/>
      <c r="AC678" s="78"/>
      <c r="AD678" s="78"/>
    </row>
    <row r="679" spans="1:30" ht="15.75" x14ac:dyDescent="0.25">
      <c r="A679" s="13">
        <v>61971</v>
      </c>
      <c r="B679" s="88">
        <f t="shared" si="106"/>
        <v>31</v>
      </c>
      <c r="C679" s="77">
        <f>194.205</f>
        <v>194.20500000000001</v>
      </c>
      <c r="D679" s="77">
        <f>267.466</f>
        <v>267.46600000000001</v>
      </c>
      <c r="E679" s="85">
        <f>133.845</f>
        <v>133.845</v>
      </c>
      <c r="F679" s="77">
        <f>278.484-40-25-60-100</f>
        <v>53.48399999999998</v>
      </c>
      <c r="G679" s="80">
        <v>40</v>
      </c>
      <c r="H679" s="77">
        <f t="shared" si="112"/>
        <v>185</v>
      </c>
      <c r="I679" s="77">
        <f t="shared" si="102"/>
        <v>0</v>
      </c>
      <c r="J679" s="80">
        <v>100</v>
      </c>
      <c r="K679" s="80">
        <v>300</v>
      </c>
      <c r="L679" s="77">
        <f t="shared" si="107"/>
        <v>1274</v>
      </c>
      <c r="M679" s="87">
        <v>600</v>
      </c>
      <c r="N679" s="77">
        <f>30</f>
        <v>30</v>
      </c>
      <c r="O679" s="80">
        <v>240</v>
      </c>
      <c r="P679" s="80">
        <v>40</v>
      </c>
      <c r="Q679" s="80">
        <f t="shared" si="108"/>
        <v>315</v>
      </c>
      <c r="R679" s="80">
        <f t="shared" si="109"/>
        <v>100</v>
      </c>
      <c r="S679" s="77">
        <f t="shared" si="110"/>
        <v>695</v>
      </c>
      <c r="T679" s="77">
        <f>0</f>
        <v>0</v>
      </c>
      <c r="U679" s="78"/>
      <c r="V679" s="78"/>
      <c r="W679" s="78"/>
      <c r="X679" s="78"/>
      <c r="Y679" s="78"/>
      <c r="Z679" s="78"/>
      <c r="AA679" s="78"/>
      <c r="AB679" s="78"/>
      <c r="AC679" s="78"/>
      <c r="AD679" s="78"/>
    </row>
    <row r="680" spans="1:30" ht="15.75" x14ac:dyDescent="0.25">
      <c r="A680" s="13">
        <v>62001</v>
      </c>
      <c r="B680" s="88">
        <f t="shared" si="106"/>
        <v>30</v>
      </c>
      <c r="C680" s="77">
        <f>194.205</f>
        <v>194.20500000000001</v>
      </c>
      <c r="D680" s="77">
        <f>267.466</f>
        <v>267.46600000000001</v>
      </c>
      <c r="E680" s="85">
        <f>133.845</f>
        <v>133.845</v>
      </c>
      <c r="F680" s="77">
        <f>278.484-40-25-60-100</f>
        <v>53.48399999999998</v>
      </c>
      <c r="G680" s="80">
        <v>40</v>
      </c>
      <c r="H680" s="77">
        <f t="shared" si="112"/>
        <v>185</v>
      </c>
      <c r="I680" s="77">
        <f t="shared" ref="I680:I743" si="113">400-J680-K680</f>
        <v>0</v>
      </c>
      <c r="J680" s="80">
        <v>100</v>
      </c>
      <c r="K680" s="80">
        <v>300</v>
      </c>
      <c r="L680" s="77">
        <f t="shared" si="107"/>
        <v>1274</v>
      </c>
      <c r="M680" s="87">
        <v>600</v>
      </c>
      <c r="N680" s="77">
        <f>30</f>
        <v>30</v>
      </c>
      <c r="O680" s="80">
        <v>240</v>
      </c>
      <c r="P680" s="80">
        <v>40</v>
      </c>
      <c r="Q680" s="80">
        <f t="shared" si="108"/>
        <v>315</v>
      </c>
      <c r="R680" s="80">
        <f t="shared" si="109"/>
        <v>100</v>
      </c>
      <c r="S680" s="77">
        <f t="shared" si="110"/>
        <v>695</v>
      </c>
      <c r="T680" s="77">
        <f>0</f>
        <v>0</v>
      </c>
      <c r="U680" s="78"/>
      <c r="V680" s="78"/>
      <c r="W680" s="78"/>
      <c r="X680" s="78"/>
      <c r="Y680" s="78"/>
      <c r="Z680" s="78"/>
      <c r="AA680" s="78"/>
      <c r="AB680" s="78"/>
      <c r="AC680" s="78"/>
      <c r="AD680" s="78"/>
    </row>
    <row r="681" spans="1:30" ht="15.75" x14ac:dyDescent="0.25">
      <c r="A681" s="13">
        <v>62032</v>
      </c>
      <c r="B681" s="88">
        <f t="shared" si="106"/>
        <v>31</v>
      </c>
      <c r="C681" s="77">
        <f>131.881</f>
        <v>131.881</v>
      </c>
      <c r="D681" s="77">
        <f>277.167</f>
        <v>277.16699999999997</v>
      </c>
      <c r="E681" s="85">
        <f>79.08</f>
        <v>79.08</v>
      </c>
      <c r="F681" s="77">
        <f>350.872-40-25-60-100</f>
        <v>125.87200000000001</v>
      </c>
      <c r="G681" s="80">
        <v>40</v>
      </c>
      <c r="H681" s="77">
        <f t="shared" si="112"/>
        <v>185</v>
      </c>
      <c r="I681" s="77">
        <f t="shared" si="113"/>
        <v>0</v>
      </c>
      <c r="J681" s="80">
        <v>100</v>
      </c>
      <c r="K681" s="80">
        <v>300</v>
      </c>
      <c r="L681" s="77">
        <f t="shared" si="107"/>
        <v>1239</v>
      </c>
      <c r="M681" s="87">
        <v>600</v>
      </c>
      <c r="N681" s="77">
        <f>75</f>
        <v>75</v>
      </c>
      <c r="O681" s="80">
        <v>240</v>
      </c>
      <c r="P681" s="80">
        <v>40</v>
      </c>
      <c r="Q681" s="80">
        <f t="shared" si="108"/>
        <v>315</v>
      </c>
      <c r="R681" s="80">
        <f t="shared" si="109"/>
        <v>100</v>
      </c>
      <c r="S681" s="77">
        <f t="shared" si="110"/>
        <v>695</v>
      </c>
      <c r="T681" s="77">
        <f>0</f>
        <v>0</v>
      </c>
      <c r="U681" s="78"/>
      <c r="V681" s="78"/>
      <c r="W681" s="78"/>
      <c r="X681" s="78"/>
      <c r="Y681" s="78"/>
      <c r="Z681" s="78"/>
      <c r="AA681" s="78"/>
      <c r="AB681" s="78"/>
      <c r="AC681" s="78"/>
      <c r="AD681" s="78"/>
    </row>
    <row r="682" spans="1:30" ht="15.75" x14ac:dyDescent="0.25">
      <c r="A682" s="13">
        <v>62062</v>
      </c>
      <c r="B682" s="88">
        <f t="shared" si="106"/>
        <v>30</v>
      </c>
      <c r="C682" s="77">
        <f>122.58</f>
        <v>122.58</v>
      </c>
      <c r="D682" s="77">
        <f>297.941</f>
        <v>297.94099999999997</v>
      </c>
      <c r="E682" s="85">
        <f>89.177</f>
        <v>89.177000000000007</v>
      </c>
      <c r="F682" s="77">
        <f>240.302-40-60-100</f>
        <v>40.301999999999992</v>
      </c>
      <c r="G682" s="80">
        <v>40</v>
      </c>
      <c r="H682" s="77">
        <f>60+100</f>
        <v>160</v>
      </c>
      <c r="I682" s="77">
        <f t="shared" si="113"/>
        <v>0</v>
      </c>
      <c r="J682" s="80">
        <v>100</v>
      </c>
      <c r="K682" s="80">
        <v>300</v>
      </c>
      <c r="L682" s="77">
        <f t="shared" si="107"/>
        <v>1150</v>
      </c>
      <c r="M682" s="87">
        <v>600</v>
      </c>
      <c r="N682" s="77">
        <f>100</f>
        <v>100</v>
      </c>
      <c r="O682" s="80">
        <v>240</v>
      </c>
      <c r="P682" s="80">
        <v>40</v>
      </c>
      <c r="Q682" s="80">
        <f t="shared" si="108"/>
        <v>315</v>
      </c>
      <c r="R682" s="80">
        <f t="shared" si="109"/>
        <v>100</v>
      </c>
      <c r="S682" s="77">
        <f t="shared" si="110"/>
        <v>695</v>
      </c>
      <c r="T682" s="77">
        <f>50</f>
        <v>50</v>
      </c>
      <c r="U682" s="78"/>
      <c r="V682" s="78"/>
      <c r="W682" s="78"/>
      <c r="X682" s="78"/>
      <c r="Y682" s="78"/>
      <c r="Z682" s="78"/>
      <c r="AA682" s="78"/>
      <c r="AB682" s="78"/>
      <c r="AC682" s="78"/>
      <c r="AD682" s="78"/>
    </row>
    <row r="683" spans="1:30" ht="15.75" x14ac:dyDescent="0.25">
      <c r="A683" s="13">
        <v>62093</v>
      </c>
      <c r="B683" s="88">
        <f t="shared" si="106"/>
        <v>31</v>
      </c>
      <c r="C683" s="77">
        <f>122.58</f>
        <v>122.58</v>
      </c>
      <c r="D683" s="77">
        <f>297.941</f>
        <v>297.94099999999997</v>
      </c>
      <c r="E683" s="85">
        <f>89.177</f>
        <v>89.177000000000007</v>
      </c>
      <c r="F683" s="77">
        <f>240.302-40-60-100</f>
        <v>40.301999999999992</v>
      </c>
      <c r="G683" s="80">
        <v>40</v>
      </c>
      <c r="H683" s="77">
        <f>60+100</f>
        <v>160</v>
      </c>
      <c r="I683" s="77">
        <f t="shared" si="113"/>
        <v>0</v>
      </c>
      <c r="J683" s="80">
        <v>100</v>
      </c>
      <c r="K683" s="80">
        <v>300</v>
      </c>
      <c r="L683" s="77">
        <f t="shared" si="107"/>
        <v>1150</v>
      </c>
      <c r="M683" s="87">
        <v>600</v>
      </c>
      <c r="N683" s="77">
        <f>100</f>
        <v>100</v>
      </c>
      <c r="O683" s="80">
        <v>240</v>
      </c>
      <c r="P683" s="80">
        <v>40</v>
      </c>
      <c r="Q683" s="80">
        <f t="shared" si="108"/>
        <v>315</v>
      </c>
      <c r="R683" s="80">
        <f t="shared" si="109"/>
        <v>100</v>
      </c>
      <c r="S683" s="77">
        <f t="shared" si="110"/>
        <v>695</v>
      </c>
      <c r="T683" s="77">
        <f>50</f>
        <v>50</v>
      </c>
      <c r="U683" s="78"/>
      <c r="V683" s="78"/>
      <c r="W683" s="78"/>
      <c r="X683" s="78"/>
      <c r="Y683" s="78"/>
      <c r="Z683" s="78"/>
      <c r="AA683" s="78"/>
      <c r="AB683" s="78"/>
      <c r="AC683" s="78"/>
      <c r="AD683" s="78"/>
    </row>
    <row r="684" spans="1:30" ht="15.75" x14ac:dyDescent="0.25">
      <c r="A684" s="13">
        <v>62124</v>
      </c>
      <c r="B684" s="88">
        <f t="shared" si="106"/>
        <v>31</v>
      </c>
      <c r="C684" s="77">
        <f>122.58</f>
        <v>122.58</v>
      </c>
      <c r="D684" s="77">
        <f>297.941</f>
        <v>297.94099999999997</v>
      </c>
      <c r="E684" s="85">
        <f>89.177</f>
        <v>89.177000000000007</v>
      </c>
      <c r="F684" s="77">
        <f>240.302-40-60-100</f>
        <v>40.301999999999992</v>
      </c>
      <c r="G684" s="80">
        <v>40</v>
      </c>
      <c r="H684" s="77">
        <f>60+100</f>
        <v>160</v>
      </c>
      <c r="I684" s="77">
        <f t="shared" si="113"/>
        <v>0</v>
      </c>
      <c r="J684" s="80">
        <v>100</v>
      </c>
      <c r="K684" s="80">
        <v>300</v>
      </c>
      <c r="L684" s="77">
        <f t="shared" si="107"/>
        <v>1150</v>
      </c>
      <c r="M684" s="87">
        <v>600</v>
      </c>
      <c r="N684" s="77">
        <f>100</f>
        <v>100</v>
      </c>
      <c r="O684" s="80">
        <v>240</v>
      </c>
      <c r="P684" s="80">
        <v>40</v>
      </c>
      <c r="Q684" s="80">
        <f t="shared" si="108"/>
        <v>315</v>
      </c>
      <c r="R684" s="80">
        <f t="shared" si="109"/>
        <v>100</v>
      </c>
      <c r="S684" s="77">
        <f t="shared" si="110"/>
        <v>695</v>
      </c>
      <c r="T684" s="77">
        <f>50</f>
        <v>50</v>
      </c>
      <c r="U684" s="78"/>
      <c r="V684" s="78"/>
      <c r="W684" s="78"/>
      <c r="X684" s="78"/>
      <c r="Y684" s="78"/>
      <c r="Z684" s="78"/>
      <c r="AA684" s="78"/>
      <c r="AB684" s="78"/>
      <c r="AC684" s="78"/>
      <c r="AD684" s="78"/>
    </row>
    <row r="685" spans="1:30" ht="15.75" x14ac:dyDescent="0.25">
      <c r="A685" s="13">
        <v>62152</v>
      </c>
      <c r="B685" s="88">
        <f t="shared" si="106"/>
        <v>28</v>
      </c>
      <c r="C685" s="77">
        <f>122.58</f>
        <v>122.58</v>
      </c>
      <c r="D685" s="77">
        <f>297.941</f>
        <v>297.94099999999997</v>
      </c>
      <c r="E685" s="85">
        <f>89.177</f>
        <v>89.177000000000007</v>
      </c>
      <c r="F685" s="77">
        <f>240.302-40-60-100</f>
        <v>40.301999999999992</v>
      </c>
      <c r="G685" s="80">
        <v>40</v>
      </c>
      <c r="H685" s="77">
        <f>60+100</f>
        <v>160</v>
      </c>
      <c r="I685" s="77">
        <f t="shared" si="113"/>
        <v>0</v>
      </c>
      <c r="J685" s="80">
        <v>100</v>
      </c>
      <c r="K685" s="80">
        <v>300</v>
      </c>
      <c r="L685" s="77">
        <f t="shared" si="107"/>
        <v>1150</v>
      </c>
      <c r="M685" s="87">
        <v>600</v>
      </c>
      <c r="N685" s="77">
        <f>100</f>
        <v>100</v>
      </c>
      <c r="O685" s="80">
        <v>240</v>
      </c>
      <c r="P685" s="80">
        <v>40</v>
      </c>
      <c r="Q685" s="80">
        <f t="shared" si="108"/>
        <v>315</v>
      </c>
      <c r="R685" s="80">
        <f t="shared" si="109"/>
        <v>100</v>
      </c>
      <c r="S685" s="77">
        <f t="shared" si="110"/>
        <v>695</v>
      </c>
      <c r="T685" s="77">
        <f>50</f>
        <v>50</v>
      </c>
      <c r="U685" s="78"/>
      <c r="V685" s="78"/>
      <c r="W685" s="78"/>
      <c r="X685" s="78"/>
      <c r="Y685" s="78"/>
      <c r="Z685" s="78"/>
      <c r="AA685" s="78"/>
      <c r="AB685" s="78"/>
      <c r="AC685" s="78"/>
      <c r="AD685" s="78"/>
    </row>
    <row r="686" spans="1:30" ht="15.75" x14ac:dyDescent="0.25">
      <c r="A686" s="13">
        <v>62183</v>
      </c>
      <c r="B686" s="88">
        <f t="shared" si="106"/>
        <v>31</v>
      </c>
      <c r="C686" s="77">
        <f>122.58</f>
        <v>122.58</v>
      </c>
      <c r="D686" s="77">
        <f>297.941</f>
        <v>297.94099999999997</v>
      </c>
      <c r="E686" s="85">
        <f>89.177</f>
        <v>89.177000000000007</v>
      </c>
      <c r="F686" s="77">
        <f>240.302-40-60-100</f>
        <v>40.301999999999992</v>
      </c>
      <c r="G686" s="80">
        <v>40</v>
      </c>
      <c r="H686" s="77">
        <f>60+100</f>
        <v>160</v>
      </c>
      <c r="I686" s="77">
        <f t="shared" si="113"/>
        <v>0</v>
      </c>
      <c r="J686" s="80">
        <v>100</v>
      </c>
      <c r="K686" s="80">
        <v>300</v>
      </c>
      <c r="L686" s="77">
        <f t="shared" si="107"/>
        <v>1150</v>
      </c>
      <c r="M686" s="87">
        <v>600</v>
      </c>
      <c r="N686" s="77">
        <f>100</f>
        <v>100</v>
      </c>
      <c r="O686" s="80">
        <v>240</v>
      </c>
      <c r="P686" s="80">
        <v>40</v>
      </c>
      <c r="Q686" s="80">
        <f t="shared" si="108"/>
        <v>315</v>
      </c>
      <c r="R686" s="80">
        <f t="shared" si="109"/>
        <v>100</v>
      </c>
      <c r="S686" s="77">
        <f t="shared" si="110"/>
        <v>695</v>
      </c>
      <c r="T686" s="77">
        <f>50</f>
        <v>50</v>
      </c>
      <c r="U686" s="78"/>
      <c r="V686" s="78"/>
      <c r="W686" s="78"/>
      <c r="X686" s="78"/>
      <c r="Y686" s="78"/>
      <c r="Z686" s="78"/>
      <c r="AA686" s="78"/>
      <c r="AB686" s="78"/>
      <c r="AC686" s="78"/>
      <c r="AD686" s="78"/>
    </row>
    <row r="687" spans="1:30" ht="15.75" x14ac:dyDescent="0.25">
      <c r="A687" s="13">
        <v>62213</v>
      </c>
      <c r="B687" s="88">
        <f t="shared" si="106"/>
        <v>30</v>
      </c>
      <c r="C687" s="77">
        <f>141.293</f>
        <v>141.29300000000001</v>
      </c>
      <c r="D687" s="77">
        <f>267.993</f>
        <v>267.99299999999999</v>
      </c>
      <c r="E687" s="85">
        <f>115.016</f>
        <v>115.01600000000001</v>
      </c>
      <c r="F687" s="77">
        <f>314.698-40-25-60-100</f>
        <v>89.697999999999979</v>
      </c>
      <c r="G687" s="80">
        <v>40</v>
      </c>
      <c r="H687" s="77">
        <f t="shared" ref="H687:H693" si="114">25+60+100</f>
        <v>185</v>
      </c>
      <c r="I687" s="77">
        <f t="shared" si="113"/>
        <v>0</v>
      </c>
      <c r="J687" s="80">
        <v>100</v>
      </c>
      <c r="K687" s="80">
        <v>300</v>
      </c>
      <c r="L687" s="77">
        <f t="shared" si="107"/>
        <v>1239</v>
      </c>
      <c r="M687" s="87">
        <v>600</v>
      </c>
      <c r="N687" s="77">
        <f>100</f>
        <v>100</v>
      </c>
      <c r="O687" s="80">
        <v>240</v>
      </c>
      <c r="P687" s="80">
        <v>40</v>
      </c>
      <c r="Q687" s="80">
        <f t="shared" si="108"/>
        <v>315</v>
      </c>
      <c r="R687" s="80">
        <f t="shared" si="109"/>
        <v>100</v>
      </c>
      <c r="S687" s="77">
        <f t="shared" si="110"/>
        <v>695</v>
      </c>
      <c r="T687" s="77">
        <f>50</f>
        <v>50</v>
      </c>
      <c r="U687" s="78"/>
      <c r="V687" s="78"/>
      <c r="W687" s="78"/>
      <c r="X687" s="78"/>
      <c r="Y687" s="78"/>
      <c r="Z687" s="78"/>
      <c r="AA687" s="78"/>
      <c r="AB687" s="78"/>
      <c r="AC687" s="78"/>
      <c r="AD687" s="78"/>
    </row>
    <row r="688" spans="1:30" ht="15.75" x14ac:dyDescent="0.25">
      <c r="A688" s="13">
        <v>62244</v>
      </c>
      <c r="B688" s="88">
        <f t="shared" si="106"/>
        <v>31</v>
      </c>
      <c r="C688" s="77">
        <f>194.205</f>
        <v>194.20500000000001</v>
      </c>
      <c r="D688" s="77">
        <f>267.466</f>
        <v>267.46600000000001</v>
      </c>
      <c r="E688" s="85">
        <f>133.845</f>
        <v>133.845</v>
      </c>
      <c r="F688" s="77">
        <f>278.484-40-25-60-100</f>
        <v>53.48399999999998</v>
      </c>
      <c r="G688" s="80">
        <v>40</v>
      </c>
      <c r="H688" s="77">
        <f t="shared" si="114"/>
        <v>185</v>
      </c>
      <c r="I688" s="77">
        <f t="shared" si="113"/>
        <v>0</v>
      </c>
      <c r="J688" s="80">
        <v>100</v>
      </c>
      <c r="K688" s="80">
        <v>300</v>
      </c>
      <c r="L688" s="77">
        <f t="shared" si="107"/>
        <v>1274</v>
      </c>
      <c r="M688" s="87">
        <v>600</v>
      </c>
      <c r="N688" s="77">
        <f>75</f>
        <v>75</v>
      </c>
      <c r="O688" s="80">
        <v>240</v>
      </c>
      <c r="P688" s="80">
        <v>40</v>
      </c>
      <c r="Q688" s="80">
        <f t="shared" si="108"/>
        <v>315</v>
      </c>
      <c r="R688" s="80">
        <f t="shared" si="109"/>
        <v>100</v>
      </c>
      <c r="S688" s="77">
        <f t="shared" si="110"/>
        <v>695</v>
      </c>
      <c r="T688" s="77">
        <f>50</f>
        <v>50</v>
      </c>
      <c r="U688" s="78"/>
      <c r="V688" s="78"/>
      <c r="W688" s="78"/>
      <c r="X688" s="78"/>
      <c r="Y688" s="78"/>
      <c r="Z688" s="78"/>
      <c r="AA688" s="78"/>
      <c r="AB688" s="78"/>
      <c r="AC688" s="78"/>
      <c r="AD688" s="78"/>
    </row>
    <row r="689" spans="1:30" ht="15.75" x14ac:dyDescent="0.25">
      <c r="A689" s="13">
        <v>62274</v>
      </c>
      <c r="B689" s="88">
        <f t="shared" si="106"/>
        <v>30</v>
      </c>
      <c r="C689" s="77">
        <f>194.205</f>
        <v>194.20500000000001</v>
      </c>
      <c r="D689" s="77">
        <f>267.466</f>
        <v>267.46600000000001</v>
      </c>
      <c r="E689" s="85">
        <f>133.845</f>
        <v>133.845</v>
      </c>
      <c r="F689" s="77">
        <f>278.484-40-25-60-100</f>
        <v>53.48399999999998</v>
      </c>
      <c r="G689" s="80">
        <v>40</v>
      </c>
      <c r="H689" s="77">
        <f t="shared" si="114"/>
        <v>185</v>
      </c>
      <c r="I689" s="77">
        <f t="shared" si="113"/>
        <v>0</v>
      </c>
      <c r="J689" s="80">
        <v>100</v>
      </c>
      <c r="K689" s="80">
        <v>300</v>
      </c>
      <c r="L689" s="77">
        <f t="shared" si="107"/>
        <v>1274</v>
      </c>
      <c r="M689" s="87">
        <v>600</v>
      </c>
      <c r="N689" s="77">
        <f>30</f>
        <v>30</v>
      </c>
      <c r="O689" s="80">
        <v>240</v>
      </c>
      <c r="P689" s="80">
        <v>40</v>
      </c>
      <c r="Q689" s="80">
        <f t="shared" si="108"/>
        <v>315</v>
      </c>
      <c r="R689" s="80">
        <f t="shared" si="109"/>
        <v>100</v>
      </c>
      <c r="S689" s="77">
        <f t="shared" si="110"/>
        <v>695</v>
      </c>
      <c r="T689" s="77">
        <f>50</f>
        <v>50</v>
      </c>
      <c r="U689" s="78"/>
      <c r="V689" s="78"/>
      <c r="W689" s="78"/>
      <c r="X689" s="78"/>
      <c r="Y689" s="78"/>
      <c r="Z689" s="78"/>
      <c r="AA689" s="78"/>
      <c r="AB689" s="78"/>
      <c r="AC689" s="78"/>
      <c r="AD689" s="78"/>
    </row>
    <row r="690" spans="1:30" ht="15.75" x14ac:dyDescent="0.25">
      <c r="A690" s="13">
        <v>62305</v>
      </c>
      <c r="B690" s="88">
        <f t="shared" si="106"/>
        <v>31</v>
      </c>
      <c r="C690" s="77">
        <f>194.205</f>
        <v>194.20500000000001</v>
      </c>
      <c r="D690" s="77">
        <f>267.466</f>
        <v>267.46600000000001</v>
      </c>
      <c r="E690" s="85">
        <f>133.845</f>
        <v>133.845</v>
      </c>
      <c r="F690" s="77">
        <f>278.484-40-25-60-100</f>
        <v>53.48399999999998</v>
      </c>
      <c r="G690" s="80">
        <v>40</v>
      </c>
      <c r="H690" s="77">
        <f t="shared" si="114"/>
        <v>185</v>
      </c>
      <c r="I690" s="77">
        <f t="shared" si="113"/>
        <v>0</v>
      </c>
      <c r="J690" s="80">
        <v>100</v>
      </c>
      <c r="K690" s="80">
        <v>300</v>
      </c>
      <c r="L690" s="77">
        <f t="shared" si="107"/>
        <v>1274</v>
      </c>
      <c r="M690" s="87">
        <v>600</v>
      </c>
      <c r="N690" s="77">
        <f>30</f>
        <v>30</v>
      </c>
      <c r="O690" s="80">
        <v>240</v>
      </c>
      <c r="P690" s="80">
        <v>40</v>
      </c>
      <c r="Q690" s="80">
        <f t="shared" si="108"/>
        <v>315</v>
      </c>
      <c r="R690" s="80">
        <f t="shared" si="109"/>
        <v>100</v>
      </c>
      <c r="S690" s="77">
        <f t="shared" si="110"/>
        <v>695</v>
      </c>
      <c r="T690" s="77">
        <f>0</f>
        <v>0</v>
      </c>
      <c r="U690" s="78"/>
      <c r="V690" s="78"/>
      <c r="W690" s="78"/>
      <c r="X690" s="78"/>
      <c r="Y690" s="78"/>
      <c r="Z690" s="78"/>
      <c r="AA690" s="78"/>
      <c r="AB690" s="78"/>
      <c r="AC690" s="78"/>
      <c r="AD690" s="78"/>
    </row>
    <row r="691" spans="1:30" ht="15.75" x14ac:dyDescent="0.25">
      <c r="A691" s="13">
        <v>62336</v>
      </c>
      <c r="B691" s="88">
        <f t="shared" si="106"/>
        <v>31</v>
      </c>
      <c r="C691" s="77">
        <f>194.205</f>
        <v>194.20500000000001</v>
      </c>
      <c r="D691" s="77">
        <f>267.466</f>
        <v>267.46600000000001</v>
      </c>
      <c r="E691" s="85">
        <f>133.845</f>
        <v>133.845</v>
      </c>
      <c r="F691" s="77">
        <f>278.484-40-25-60-100</f>
        <v>53.48399999999998</v>
      </c>
      <c r="G691" s="80">
        <v>40</v>
      </c>
      <c r="H691" s="77">
        <f t="shared" si="114"/>
        <v>185</v>
      </c>
      <c r="I691" s="77">
        <f t="shared" si="113"/>
        <v>0</v>
      </c>
      <c r="J691" s="80">
        <v>100</v>
      </c>
      <c r="K691" s="80">
        <v>300</v>
      </c>
      <c r="L691" s="77">
        <f t="shared" si="107"/>
        <v>1274</v>
      </c>
      <c r="M691" s="87">
        <v>600</v>
      </c>
      <c r="N691" s="77">
        <f>30</f>
        <v>30</v>
      </c>
      <c r="O691" s="80">
        <v>240</v>
      </c>
      <c r="P691" s="80">
        <v>40</v>
      </c>
      <c r="Q691" s="80">
        <f t="shared" si="108"/>
        <v>315</v>
      </c>
      <c r="R691" s="80">
        <f t="shared" si="109"/>
        <v>100</v>
      </c>
      <c r="S691" s="77">
        <f t="shared" si="110"/>
        <v>695</v>
      </c>
      <c r="T691" s="77">
        <f>0</f>
        <v>0</v>
      </c>
      <c r="U691" s="78"/>
      <c r="V691" s="78"/>
      <c r="W691" s="78"/>
      <c r="X691" s="78"/>
      <c r="Y691" s="78"/>
      <c r="Z691" s="78"/>
      <c r="AA691" s="78"/>
      <c r="AB691" s="78"/>
      <c r="AC691" s="78"/>
      <c r="AD691" s="78"/>
    </row>
    <row r="692" spans="1:30" ht="15.75" x14ac:dyDescent="0.25">
      <c r="A692" s="13">
        <v>62366</v>
      </c>
      <c r="B692" s="88">
        <f t="shared" si="106"/>
        <v>30</v>
      </c>
      <c r="C692" s="77">
        <f>194.205</f>
        <v>194.20500000000001</v>
      </c>
      <c r="D692" s="77">
        <f>267.466</f>
        <v>267.46600000000001</v>
      </c>
      <c r="E692" s="85">
        <f>133.845</f>
        <v>133.845</v>
      </c>
      <c r="F692" s="77">
        <f>278.484-40-25-60-100</f>
        <v>53.48399999999998</v>
      </c>
      <c r="G692" s="80">
        <v>40</v>
      </c>
      <c r="H692" s="77">
        <f t="shared" si="114"/>
        <v>185</v>
      </c>
      <c r="I692" s="77">
        <f t="shared" si="113"/>
        <v>0</v>
      </c>
      <c r="J692" s="80">
        <v>100</v>
      </c>
      <c r="K692" s="80">
        <v>300</v>
      </c>
      <c r="L692" s="77">
        <f t="shared" si="107"/>
        <v>1274</v>
      </c>
      <c r="M692" s="87">
        <v>600</v>
      </c>
      <c r="N692" s="77">
        <f>30</f>
        <v>30</v>
      </c>
      <c r="O692" s="80">
        <v>240</v>
      </c>
      <c r="P692" s="80">
        <v>40</v>
      </c>
      <c r="Q692" s="80">
        <f t="shared" si="108"/>
        <v>315</v>
      </c>
      <c r="R692" s="80">
        <f t="shared" si="109"/>
        <v>100</v>
      </c>
      <c r="S692" s="77">
        <f t="shared" si="110"/>
        <v>695</v>
      </c>
      <c r="T692" s="77">
        <f>0</f>
        <v>0</v>
      </c>
      <c r="U692" s="78"/>
      <c r="V692" s="78"/>
      <c r="W692" s="78"/>
      <c r="X692" s="78"/>
      <c r="Y692" s="78"/>
      <c r="Z692" s="78"/>
      <c r="AA692" s="78"/>
      <c r="AB692" s="78"/>
      <c r="AC692" s="78"/>
      <c r="AD692" s="78"/>
    </row>
    <row r="693" spans="1:30" ht="15.75" x14ac:dyDescent="0.25">
      <c r="A693" s="13">
        <v>62397</v>
      </c>
      <c r="B693" s="88">
        <f t="shared" si="106"/>
        <v>31</v>
      </c>
      <c r="C693" s="77">
        <f>131.881</f>
        <v>131.881</v>
      </c>
      <c r="D693" s="77">
        <f>277.167</f>
        <v>277.16699999999997</v>
      </c>
      <c r="E693" s="85">
        <f>79.08</f>
        <v>79.08</v>
      </c>
      <c r="F693" s="77">
        <f>350.872-40-25-60-100</f>
        <v>125.87200000000001</v>
      </c>
      <c r="G693" s="80">
        <v>40</v>
      </c>
      <c r="H693" s="77">
        <f t="shared" si="114"/>
        <v>185</v>
      </c>
      <c r="I693" s="77">
        <f t="shared" si="113"/>
        <v>0</v>
      </c>
      <c r="J693" s="80">
        <v>100</v>
      </c>
      <c r="K693" s="80">
        <v>300</v>
      </c>
      <c r="L693" s="77">
        <f t="shared" si="107"/>
        <v>1239</v>
      </c>
      <c r="M693" s="87">
        <v>600</v>
      </c>
      <c r="N693" s="77">
        <f>75</f>
        <v>75</v>
      </c>
      <c r="O693" s="80">
        <v>240</v>
      </c>
      <c r="P693" s="80">
        <v>40</v>
      </c>
      <c r="Q693" s="80">
        <f t="shared" si="108"/>
        <v>315</v>
      </c>
      <c r="R693" s="80">
        <f t="shared" si="109"/>
        <v>100</v>
      </c>
      <c r="S693" s="77">
        <f t="shared" si="110"/>
        <v>695</v>
      </c>
      <c r="T693" s="77">
        <f>0</f>
        <v>0</v>
      </c>
      <c r="U693" s="78"/>
      <c r="V693" s="78"/>
      <c r="W693" s="78"/>
      <c r="X693" s="78"/>
      <c r="Y693" s="78"/>
      <c r="Z693" s="78"/>
      <c r="AA693" s="78"/>
      <c r="AB693" s="78"/>
      <c r="AC693" s="78"/>
      <c r="AD693" s="78"/>
    </row>
    <row r="694" spans="1:30" ht="15.75" x14ac:dyDescent="0.25">
      <c r="A694" s="13">
        <v>62427</v>
      </c>
      <c r="B694" s="88">
        <f t="shared" si="106"/>
        <v>30</v>
      </c>
      <c r="C694" s="77">
        <f>122.58</f>
        <v>122.58</v>
      </c>
      <c r="D694" s="77">
        <f>297.941</f>
        <v>297.94099999999997</v>
      </c>
      <c r="E694" s="85">
        <f>89.177</f>
        <v>89.177000000000007</v>
      </c>
      <c r="F694" s="77">
        <f>240.302-40-60-100</f>
        <v>40.301999999999992</v>
      </c>
      <c r="G694" s="80">
        <v>40</v>
      </c>
      <c r="H694" s="77">
        <f>60+100</f>
        <v>160</v>
      </c>
      <c r="I694" s="77">
        <f t="shared" si="113"/>
        <v>0</v>
      </c>
      <c r="J694" s="80">
        <v>100</v>
      </c>
      <c r="K694" s="80">
        <v>300</v>
      </c>
      <c r="L694" s="77">
        <f t="shared" si="107"/>
        <v>1150</v>
      </c>
      <c r="M694" s="87">
        <v>600</v>
      </c>
      <c r="N694" s="77">
        <f>100</f>
        <v>100</v>
      </c>
      <c r="O694" s="80">
        <v>240</v>
      </c>
      <c r="P694" s="80">
        <v>40</v>
      </c>
      <c r="Q694" s="80">
        <f t="shared" si="108"/>
        <v>315</v>
      </c>
      <c r="R694" s="80">
        <f t="shared" si="109"/>
        <v>100</v>
      </c>
      <c r="S694" s="77">
        <f t="shared" si="110"/>
        <v>695</v>
      </c>
      <c r="T694" s="77">
        <f>50</f>
        <v>50</v>
      </c>
      <c r="U694" s="78"/>
      <c r="V694" s="78"/>
      <c r="W694" s="78"/>
      <c r="X694" s="78"/>
      <c r="Y694" s="78"/>
      <c r="Z694" s="78"/>
      <c r="AA694" s="78"/>
      <c r="AB694" s="78"/>
      <c r="AC694" s="78"/>
      <c r="AD694" s="78"/>
    </row>
    <row r="695" spans="1:30" ht="15.75" x14ac:dyDescent="0.25">
      <c r="A695" s="13">
        <v>62458</v>
      </c>
      <c r="B695" s="88">
        <f t="shared" si="106"/>
        <v>31</v>
      </c>
      <c r="C695" s="77">
        <f>122.58</f>
        <v>122.58</v>
      </c>
      <c r="D695" s="77">
        <f>297.941</f>
        <v>297.94099999999997</v>
      </c>
      <c r="E695" s="85">
        <f>89.177</f>
        <v>89.177000000000007</v>
      </c>
      <c r="F695" s="77">
        <f>240.302-40-60-100</f>
        <v>40.301999999999992</v>
      </c>
      <c r="G695" s="80">
        <v>40</v>
      </c>
      <c r="H695" s="77">
        <f>60+100</f>
        <v>160</v>
      </c>
      <c r="I695" s="77">
        <f t="shared" si="113"/>
        <v>0</v>
      </c>
      <c r="J695" s="80">
        <v>100</v>
      </c>
      <c r="K695" s="80">
        <v>300</v>
      </c>
      <c r="L695" s="77">
        <f t="shared" si="107"/>
        <v>1150</v>
      </c>
      <c r="M695" s="87">
        <v>600</v>
      </c>
      <c r="N695" s="77">
        <f>100</f>
        <v>100</v>
      </c>
      <c r="O695" s="80">
        <v>240</v>
      </c>
      <c r="P695" s="80">
        <v>40</v>
      </c>
      <c r="Q695" s="80">
        <f t="shared" si="108"/>
        <v>315</v>
      </c>
      <c r="R695" s="80">
        <f t="shared" si="109"/>
        <v>100</v>
      </c>
      <c r="S695" s="77">
        <f t="shared" si="110"/>
        <v>695</v>
      </c>
      <c r="T695" s="77">
        <f>50</f>
        <v>50</v>
      </c>
      <c r="U695" s="78"/>
      <c r="V695" s="78"/>
      <c r="W695" s="78"/>
      <c r="X695" s="78"/>
      <c r="Y695" s="78"/>
      <c r="Z695" s="78"/>
      <c r="AA695" s="78"/>
      <c r="AB695" s="78"/>
      <c r="AC695" s="78"/>
      <c r="AD695" s="78"/>
    </row>
    <row r="696" spans="1:30" ht="15.75" x14ac:dyDescent="0.25">
      <c r="A696" s="13">
        <v>62489</v>
      </c>
      <c r="B696" s="88">
        <f t="shared" si="106"/>
        <v>31</v>
      </c>
      <c r="C696" s="77">
        <f>122.58</f>
        <v>122.58</v>
      </c>
      <c r="D696" s="77">
        <f>297.941</f>
        <v>297.94099999999997</v>
      </c>
      <c r="E696" s="85">
        <f>89.177</f>
        <v>89.177000000000007</v>
      </c>
      <c r="F696" s="77">
        <f>240.302-40-60-100</f>
        <v>40.301999999999992</v>
      </c>
      <c r="G696" s="80">
        <v>40</v>
      </c>
      <c r="H696" s="77">
        <f>60+100</f>
        <v>160</v>
      </c>
      <c r="I696" s="77">
        <f t="shared" si="113"/>
        <v>0</v>
      </c>
      <c r="J696" s="80">
        <v>100</v>
      </c>
      <c r="K696" s="80">
        <v>300</v>
      </c>
      <c r="L696" s="77">
        <f t="shared" si="107"/>
        <v>1150</v>
      </c>
      <c r="M696" s="87">
        <v>600</v>
      </c>
      <c r="N696" s="77">
        <f>100</f>
        <v>100</v>
      </c>
      <c r="O696" s="80">
        <v>240</v>
      </c>
      <c r="P696" s="80">
        <v>40</v>
      </c>
      <c r="Q696" s="80">
        <f t="shared" si="108"/>
        <v>315</v>
      </c>
      <c r="R696" s="80">
        <f t="shared" si="109"/>
        <v>100</v>
      </c>
      <c r="S696" s="77">
        <f t="shared" si="110"/>
        <v>695</v>
      </c>
      <c r="T696" s="77">
        <f>50</f>
        <v>50</v>
      </c>
      <c r="U696" s="78"/>
      <c r="V696" s="78"/>
      <c r="W696" s="78"/>
      <c r="X696" s="78"/>
      <c r="Y696" s="78"/>
      <c r="Z696" s="78"/>
      <c r="AA696" s="78"/>
      <c r="AB696" s="78"/>
      <c r="AC696" s="78"/>
      <c r="AD696" s="78"/>
    </row>
    <row r="697" spans="1:30" ht="15.75" x14ac:dyDescent="0.25">
      <c r="A697" s="13">
        <v>62517</v>
      </c>
      <c r="B697" s="88">
        <f t="shared" si="106"/>
        <v>28</v>
      </c>
      <c r="C697" s="77">
        <f>122.58</f>
        <v>122.58</v>
      </c>
      <c r="D697" s="77">
        <f>297.941</f>
        <v>297.94099999999997</v>
      </c>
      <c r="E697" s="85">
        <f>89.177</f>
        <v>89.177000000000007</v>
      </c>
      <c r="F697" s="77">
        <f>240.302-40-60-100</f>
        <v>40.301999999999992</v>
      </c>
      <c r="G697" s="80">
        <v>40</v>
      </c>
      <c r="H697" s="77">
        <f>60+100</f>
        <v>160</v>
      </c>
      <c r="I697" s="77">
        <f t="shared" si="113"/>
        <v>0</v>
      </c>
      <c r="J697" s="80">
        <v>100</v>
      </c>
      <c r="K697" s="80">
        <v>300</v>
      </c>
      <c r="L697" s="77">
        <f t="shared" si="107"/>
        <v>1150</v>
      </c>
      <c r="M697" s="87">
        <v>600</v>
      </c>
      <c r="N697" s="77">
        <f>100</f>
        <v>100</v>
      </c>
      <c r="O697" s="80">
        <v>240</v>
      </c>
      <c r="P697" s="80">
        <v>40</v>
      </c>
      <c r="Q697" s="80">
        <f t="shared" si="108"/>
        <v>315</v>
      </c>
      <c r="R697" s="80">
        <f t="shared" si="109"/>
        <v>100</v>
      </c>
      <c r="S697" s="77">
        <f t="shared" si="110"/>
        <v>695</v>
      </c>
      <c r="T697" s="77">
        <f>50</f>
        <v>50</v>
      </c>
      <c r="U697" s="78"/>
      <c r="V697" s="78"/>
      <c r="W697" s="78"/>
      <c r="X697" s="78"/>
      <c r="Y697" s="78"/>
      <c r="Z697" s="78"/>
      <c r="AA697" s="78"/>
      <c r="AB697" s="78"/>
      <c r="AC697" s="78"/>
      <c r="AD697" s="78"/>
    </row>
    <row r="698" spans="1:30" ht="15.75" x14ac:dyDescent="0.25">
      <c r="A698" s="13">
        <v>62548</v>
      </c>
      <c r="B698" s="88">
        <f t="shared" si="106"/>
        <v>31</v>
      </c>
      <c r="C698" s="77">
        <f>122.58</f>
        <v>122.58</v>
      </c>
      <c r="D698" s="77">
        <f>297.941</f>
        <v>297.94099999999997</v>
      </c>
      <c r="E698" s="85">
        <f>89.177</f>
        <v>89.177000000000007</v>
      </c>
      <c r="F698" s="77">
        <f>240.302-40-60-100</f>
        <v>40.301999999999992</v>
      </c>
      <c r="G698" s="80">
        <v>40</v>
      </c>
      <c r="H698" s="77">
        <f>60+100</f>
        <v>160</v>
      </c>
      <c r="I698" s="77">
        <f t="shared" si="113"/>
        <v>0</v>
      </c>
      <c r="J698" s="80">
        <v>100</v>
      </c>
      <c r="K698" s="80">
        <v>300</v>
      </c>
      <c r="L698" s="77">
        <f t="shared" si="107"/>
        <v>1150</v>
      </c>
      <c r="M698" s="87">
        <v>600</v>
      </c>
      <c r="N698" s="77">
        <f>100</f>
        <v>100</v>
      </c>
      <c r="O698" s="80">
        <v>240</v>
      </c>
      <c r="P698" s="80">
        <v>40</v>
      </c>
      <c r="Q698" s="80">
        <f t="shared" si="108"/>
        <v>315</v>
      </c>
      <c r="R698" s="80">
        <f t="shared" si="109"/>
        <v>100</v>
      </c>
      <c r="S698" s="77">
        <f t="shared" si="110"/>
        <v>695</v>
      </c>
      <c r="T698" s="77">
        <f>50</f>
        <v>50</v>
      </c>
      <c r="U698" s="78"/>
      <c r="V698" s="78"/>
      <c r="W698" s="78"/>
      <c r="X698" s="78"/>
      <c r="Y698" s="78"/>
      <c r="Z698" s="78"/>
      <c r="AA698" s="78"/>
      <c r="AB698" s="78"/>
      <c r="AC698" s="78"/>
      <c r="AD698" s="78"/>
    </row>
    <row r="699" spans="1:30" ht="15.75" x14ac:dyDescent="0.25">
      <c r="A699" s="13">
        <v>62578</v>
      </c>
      <c r="B699" s="88">
        <f t="shared" si="106"/>
        <v>30</v>
      </c>
      <c r="C699" s="77">
        <f>141.293</f>
        <v>141.29300000000001</v>
      </c>
      <c r="D699" s="77">
        <f>267.993</f>
        <v>267.99299999999999</v>
      </c>
      <c r="E699" s="85">
        <f>115.016</f>
        <v>115.01600000000001</v>
      </c>
      <c r="F699" s="77">
        <f>314.698-40-25-60-100</f>
        <v>89.697999999999979</v>
      </c>
      <c r="G699" s="80">
        <v>40</v>
      </c>
      <c r="H699" s="77">
        <f t="shared" ref="H699:H705" si="115">25+60+100</f>
        <v>185</v>
      </c>
      <c r="I699" s="77">
        <f t="shared" si="113"/>
        <v>0</v>
      </c>
      <c r="J699" s="80">
        <v>100</v>
      </c>
      <c r="K699" s="80">
        <v>300</v>
      </c>
      <c r="L699" s="77">
        <f t="shared" si="107"/>
        <v>1239</v>
      </c>
      <c r="M699" s="87">
        <v>600</v>
      </c>
      <c r="N699" s="77">
        <f>100</f>
        <v>100</v>
      </c>
      <c r="O699" s="80">
        <v>240</v>
      </c>
      <c r="P699" s="80">
        <v>40</v>
      </c>
      <c r="Q699" s="80">
        <f t="shared" si="108"/>
        <v>315</v>
      </c>
      <c r="R699" s="80">
        <f t="shared" si="109"/>
        <v>100</v>
      </c>
      <c r="S699" s="77">
        <f t="shared" si="110"/>
        <v>695</v>
      </c>
      <c r="T699" s="77">
        <f>50</f>
        <v>50</v>
      </c>
      <c r="U699" s="78"/>
      <c r="V699" s="78"/>
      <c r="W699" s="78"/>
      <c r="X699" s="78"/>
      <c r="Y699" s="78"/>
      <c r="Z699" s="78"/>
      <c r="AA699" s="78"/>
      <c r="AB699" s="78"/>
      <c r="AC699" s="78"/>
      <c r="AD699" s="78"/>
    </row>
    <row r="700" spans="1:30" ht="15.75" x14ac:dyDescent="0.25">
      <c r="A700" s="13">
        <v>62609</v>
      </c>
      <c r="B700" s="88">
        <f t="shared" si="106"/>
        <v>31</v>
      </c>
      <c r="C700" s="77">
        <f>194.205</f>
        <v>194.20500000000001</v>
      </c>
      <c r="D700" s="77">
        <f>267.466</f>
        <v>267.46600000000001</v>
      </c>
      <c r="E700" s="85">
        <f>133.845</f>
        <v>133.845</v>
      </c>
      <c r="F700" s="77">
        <f>278.484-40-25-60-100</f>
        <v>53.48399999999998</v>
      </c>
      <c r="G700" s="80">
        <v>40</v>
      </c>
      <c r="H700" s="77">
        <f t="shared" si="115"/>
        <v>185</v>
      </c>
      <c r="I700" s="77">
        <f t="shared" si="113"/>
        <v>0</v>
      </c>
      <c r="J700" s="80">
        <v>100</v>
      </c>
      <c r="K700" s="80">
        <v>300</v>
      </c>
      <c r="L700" s="77">
        <f t="shared" si="107"/>
        <v>1274</v>
      </c>
      <c r="M700" s="87">
        <v>600</v>
      </c>
      <c r="N700" s="77">
        <f>75</f>
        <v>75</v>
      </c>
      <c r="O700" s="80">
        <v>240</v>
      </c>
      <c r="P700" s="80">
        <v>40</v>
      </c>
      <c r="Q700" s="80">
        <f t="shared" si="108"/>
        <v>315</v>
      </c>
      <c r="R700" s="80">
        <f t="shared" si="109"/>
        <v>100</v>
      </c>
      <c r="S700" s="77">
        <f t="shared" si="110"/>
        <v>695</v>
      </c>
      <c r="T700" s="77">
        <f>50</f>
        <v>50</v>
      </c>
      <c r="U700" s="78"/>
      <c r="V700" s="78"/>
      <c r="W700" s="78"/>
      <c r="X700" s="78"/>
      <c r="Y700" s="78"/>
      <c r="Z700" s="78"/>
      <c r="AA700" s="78"/>
      <c r="AB700" s="78"/>
      <c r="AC700" s="78"/>
      <c r="AD700" s="78"/>
    </row>
    <row r="701" spans="1:30" ht="15.75" x14ac:dyDescent="0.25">
      <c r="A701" s="13">
        <v>62639</v>
      </c>
      <c r="B701" s="88">
        <f t="shared" si="106"/>
        <v>30</v>
      </c>
      <c r="C701" s="77">
        <f>194.205</f>
        <v>194.20500000000001</v>
      </c>
      <c r="D701" s="77">
        <f>267.466</f>
        <v>267.46600000000001</v>
      </c>
      <c r="E701" s="85">
        <f>133.845</f>
        <v>133.845</v>
      </c>
      <c r="F701" s="77">
        <f>278.484-40-25-60-100</f>
        <v>53.48399999999998</v>
      </c>
      <c r="G701" s="80">
        <v>40</v>
      </c>
      <c r="H701" s="77">
        <f t="shared" si="115"/>
        <v>185</v>
      </c>
      <c r="I701" s="77">
        <f t="shared" si="113"/>
        <v>0</v>
      </c>
      <c r="J701" s="80">
        <v>100</v>
      </c>
      <c r="K701" s="80">
        <v>300</v>
      </c>
      <c r="L701" s="77">
        <f t="shared" si="107"/>
        <v>1274</v>
      </c>
      <c r="M701" s="87">
        <v>600</v>
      </c>
      <c r="N701" s="77">
        <f>30</f>
        <v>30</v>
      </c>
      <c r="O701" s="80">
        <v>240</v>
      </c>
      <c r="P701" s="80">
        <v>40</v>
      </c>
      <c r="Q701" s="80">
        <f t="shared" si="108"/>
        <v>315</v>
      </c>
      <c r="R701" s="80">
        <f t="shared" si="109"/>
        <v>100</v>
      </c>
      <c r="S701" s="77">
        <f t="shared" si="110"/>
        <v>695</v>
      </c>
      <c r="T701" s="77">
        <f>50</f>
        <v>50</v>
      </c>
      <c r="U701" s="78"/>
      <c r="V701" s="78"/>
      <c r="W701" s="78"/>
      <c r="X701" s="78"/>
      <c r="Y701" s="78"/>
      <c r="Z701" s="78"/>
      <c r="AA701" s="78"/>
      <c r="AB701" s="78"/>
      <c r="AC701" s="78"/>
      <c r="AD701" s="78"/>
    </row>
    <row r="702" spans="1:30" ht="15.75" x14ac:dyDescent="0.25">
      <c r="A702" s="13">
        <v>62670</v>
      </c>
      <c r="B702" s="88">
        <f t="shared" si="106"/>
        <v>31</v>
      </c>
      <c r="C702" s="77">
        <f>194.205</f>
        <v>194.20500000000001</v>
      </c>
      <c r="D702" s="77">
        <f>267.466</f>
        <v>267.46600000000001</v>
      </c>
      <c r="E702" s="85">
        <f>133.845</f>
        <v>133.845</v>
      </c>
      <c r="F702" s="77">
        <f>278.484-40-25-60-100</f>
        <v>53.48399999999998</v>
      </c>
      <c r="G702" s="80">
        <v>40</v>
      </c>
      <c r="H702" s="77">
        <f t="shared" si="115"/>
        <v>185</v>
      </c>
      <c r="I702" s="77">
        <f t="shared" si="113"/>
        <v>0</v>
      </c>
      <c r="J702" s="80">
        <v>100</v>
      </c>
      <c r="K702" s="80">
        <v>300</v>
      </c>
      <c r="L702" s="77">
        <f t="shared" si="107"/>
        <v>1274</v>
      </c>
      <c r="M702" s="87">
        <v>600</v>
      </c>
      <c r="N702" s="77">
        <f>30</f>
        <v>30</v>
      </c>
      <c r="O702" s="80">
        <v>240</v>
      </c>
      <c r="P702" s="80">
        <v>40</v>
      </c>
      <c r="Q702" s="80">
        <f t="shared" si="108"/>
        <v>315</v>
      </c>
      <c r="R702" s="80">
        <f t="shared" si="109"/>
        <v>100</v>
      </c>
      <c r="S702" s="77">
        <f t="shared" si="110"/>
        <v>695</v>
      </c>
      <c r="T702" s="77">
        <f>0</f>
        <v>0</v>
      </c>
      <c r="U702" s="78"/>
      <c r="V702" s="78"/>
      <c r="W702" s="78"/>
      <c r="X702" s="78"/>
      <c r="Y702" s="78"/>
      <c r="Z702" s="78"/>
      <c r="AA702" s="78"/>
      <c r="AB702" s="78"/>
      <c r="AC702" s="78"/>
      <c r="AD702" s="78"/>
    </row>
    <row r="703" spans="1:30" ht="15.75" x14ac:dyDescent="0.25">
      <c r="A703" s="13">
        <v>62701</v>
      </c>
      <c r="B703" s="88">
        <f t="shared" si="106"/>
        <v>31</v>
      </c>
      <c r="C703" s="77">
        <f>194.205</f>
        <v>194.20500000000001</v>
      </c>
      <c r="D703" s="77">
        <f>267.466</f>
        <v>267.46600000000001</v>
      </c>
      <c r="E703" s="85">
        <f>133.845</f>
        <v>133.845</v>
      </c>
      <c r="F703" s="77">
        <f>278.484-40-25-60-100</f>
        <v>53.48399999999998</v>
      </c>
      <c r="G703" s="80">
        <v>40</v>
      </c>
      <c r="H703" s="77">
        <f t="shared" si="115"/>
        <v>185</v>
      </c>
      <c r="I703" s="77">
        <f t="shared" si="113"/>
        <v>0</v>
      </c>
      <c r="J703" s="80">
        <v>100</v>
      </c>
      <c r="K703" s="80">
        <v>300</v>
      </c>
      <c r="L703" s="77">
        <f t="shared" si="107"/>
        <v>1274</v>
      </c>
      <c r="M703" s="87">
        <v>600</v>
      </c>
      <c r="N703" s="77">
        <f>30</f>
        <v>30</v>
      </c>
      <c r="O703" s="80">
        <v>240</v>
      </c>
      <c r="P703" s="80">
        <v>40</v>
      </c>
      <c r="Q703" s="80">
        <f t="shared" si="108"/>
        <v>315</v>
      </c>
      <c r="R703" s="80">
        <f t="shared" si="109"/>
        <v>100</v>
      </c>
      <c r="S703" s="77">
        <f t="shared" si="110"/>
        <v>695</v>
      </c>
      <c r="T703" s="77">
        <f>0</f>
        <v>0</v>
      </c>
      <c r="U703" s="78"/>
      <c r="V703" s="78"/>
      <c r="W703" s="78"/>
      <c r="X703" s="78"/>
      <c r="Y703" s="78"/>
      <c r="Z703" s="78"/>
      <c r="AA703" s="78"/>
      <c r="AB703" s="78"/>
      <c r="AC703" s="78"/>
      <c r="AD703" s="78"/>
    </row>
    <row r="704" spans="1:30" ht="15.75" x14ac:dyDescent="0.25">
      <c r="A704" s="13">
        <v>62731</v>
      </c>
      <c r="B704" s="88">
        <f t="shared" si="106"/>
        <v>30</v>
      </c>
      <c r="C704" s="77">
        <f>194.205</f>
        <v>194.20500000000001</v>
      </c>
      <c r="D704" s="77">
        <f>267.466</f>
        <v>267.46600000000001</v>
      </c>
      <c r="E704" s="85">
        <f>133.845</f>
        <v>133.845</v>
      </c>
      <c r="F704" s="77">
        <f>278.484-40-25-60-100</f>
        <v>53.48399999999998</v>
      </c>
      <c r="G704" s="80">
        <v>40</v>
      </c>
      <c r="H704" s="77">
        <f t="shared" si="115"/>
        <v>185</v>
      </c>
      <c r="I704" s="77">
        <f t="shared" si="113"/>
        <v>0</v>
      </c>
      <c r="J704" s="80">
        <v>100</v>
      </c>
      <c r="K704" s="80">
        <v>300</v>
      </c>
      <c r="L704" s="77">
        <f t="shared" si="107"/>
        <v>1274</v>
      </c>
      <c r="M704" s="87">
        <v>600</v>
      </c>
      <c r="N704" s="77">
        <f>30</f>
        <v>30</v>
      </c>
      <c r="O704" s="80">
        <v>240</v>
      </c>
      <c r="P704" s="80">
        <v>40</v>
      </c>
      <c r="Q704" s="80">
        <f t="shared" si="108"/>
        <v>315</v>
      </c>
      <c r="R704" s="80">
        <f t="shared" si="109"/>
        <v>100</v>
      </c>
      <c r="S704" s="77">
        <f t="shared" si="110"/>
        <v>695</v>
      </c>
      <c r="T704" s="77">
        <f>0</f>
        <v>0</v>
      </c>
      <c r="U704" s="78"/>
      <c r="V704" s="78"/>
      <c r="W704" s="78"/>
      <c r="X704" s="78"/>
      <c r="Y704" s="78"/>
      <c r="Z704" s="78"/>
      <c r="AA704" s="78"/>
      <c r="AB704" s="78"/>
      <c r="AC704" s="78"/>
      <c r="AD704" s="78"/>
    </row>
    <row r="705" spans="1:30" ht="15.75" x14ac:dyDescent="0.25">
      <c r="A705" s="13">
        <v>62762</v>
      </c>
      <c r="B705" s="88">
        <f t="shared" si="106"/>
        <v>31</v>
      </c>
      <c r="C705" s="77">
        <f>131.881</f>
        <v>131.881</v>
      </c>
      <c r="D705" s="77">
        <f>277.167</f>
        <v>277.16699999999997</v>
      </c>
      <c r="E705" s="85">
        <f>79.08</f>
        <v>79.08</v>
      </c>
      <c r="F705" s="77">
        <f>350.872-40-25-60-100</f>
        <v>125.87200000000001</v>
      </c>
      <c r="G705" s="80">
        <v>40</v>
      </c>
      <c r="H705" s="77">
        <f t="shared" si="115"/>
        <v>185</v>
      </c>
      <c r="I705" s="77">
        <f t="shared" si="113"/>
        <v>0</v>
      </c>
      <c r="J705" s="80">
        <v>100</v>
      </c>
      <c r="K705" s="80">
        <v>300</v>
      </c>
      <c r="L705" s="77">
        <f t="shared" si="107"/>
        <v>1239</v>
      </c>
      <c r="M705" s="87">
        <v>600</v>
      </c>
      <c r="N705" s="77">
        <f>75</f>
        <v>75</v>
      </c>
      <c r="O705" s="80">
        <v>240</v>
      </c>
      <c r="P705" s="80">
        <v>40</v>
      </c>
      <c r="Q705" s="80">
        <f t="shared" si="108"/>
        <v>315</v>
      </c>
      <c r="R705" s="80">
        <f t="shared" si="109"/>
        <v>100</v>
      </c>
      <c r="S705" s="77">
        <f t="shared" si="110"/>
        <v>695</v>
      </c>
      <c r="T705" s="77">
        <f>0</f>
        <v>0</v>
      </c>
      <c r="U705" s="78"/>
      <c r="V705" s="78"/>
      <c r="W705" s="78"/>
      <c r="X705" s="78"/>
      <c r="Y705" s="78"/>
      <c r="Z705" s="78"/>
      <c r="AA705" s="78"/>
      <c r="AB705" s="78"/>
      <c r="AC705" s="78"/>
      <c r="AD705" s="78"/>
    </row>
    <row r="706" spans="1:30" ht="15.75" x14ac:dyDescent="0.25">
      <c r="A706" s="13">
        <v>62792</v>
      </c>
      <c r="B706" s="88">
        <f t="shared" si="106"/>
        <v>30</v>
      </c>
      <c r="C706" s="77">
        <f>122.58</f>
        <v>122.58</v>
      </c>
      <c r="D706" s="77">
        <f>297.941</f>
        <v>297.94099999999997</v>
      </c>
      <c r="E706" s="85">
        <f>89.177</f>
        <v>89.177000000000007</v>
      </c>
      <c r="F706" s="77">
        <f>240.302-40-60-100</f>
        <v>40.301999999999992</v>
      </c>
      <c r="G706" s="80">
        <v>40</v>
      </c>
      <c r="H706" s="77">
        <f>60+100</f>
        <v>160</v>
      </c>
      <c r="I706" s="77">
        <f t="shared" si="113"/>
        <v>0</v>
      </c>
      <c r="J706" s="80">
        <v>100</v>
      </c>
      <c r="K706" s="80">
        <v>300</v>
      </c>
      <c r="L706" s="77">
        <f t="shared" si="107"/>
        <v>1150</v>
      </c>
      <c r="M706" s="87">
        <v>600</v>
      </c>
      <c r="N706" s="77">
        <f>100</f>
        <v>100</v>
      </c>
      <c r="O706" s="80">
        <v>240</v>
      </c>
      <c r="P706" s="80">
        <v>40</v>
      </c>
      <c r="Q706" s="80">
        <f t="shared" si="108"/>
        <v>315</v>
      </c>
      <c r="R706" s="80">
        <f t="shared" si="109"/>
        <v>100</v>
      </c>
      <c r="S706" s="77">
        <f t="shared" si="110"/>
        <v>695</v>
      </c>
      <c r="T706" s="77">
        <f>50</f>
        <v>50</v>
      </c>
      <c r="U706" s="78"/>
      <c r="V706" s="78"/>
      <c r="W706" s="78"/>
      <c r="X706" s="78"/>
      <c r="Y706" s="78"/>
      <c r="Z706" s="78"/>
      <c r="AA706" s="78"/>
      <c r="AB706" s="78"/>
      <c r="AC706" s="78"/>
      <c r="AD706" s="78"/>
    </row>
    <row r="707" spans="1:30" ht="15.75" x14ac:dyDescent="0.25">
      <c r="A707" s="13">
        <v>62823</v>
      </c>
      <c r="B707" s="88">
        <f t="shared" si="106"/>
        <v>31</v>
      </c>
      <c r="C707" s="77">
        <f>122.58</f>
        <v>122.58</v>
      </c>
      <c r="D707" s="77">
        <f>297.941</f>
        <v>297.94099999999997</v>
      </c>
      <c r="E707" s="85">
        <f>89.177</f>
        <v>89.177000000000007</v>
      </c>
      <c r="F707" s="77">
        <f>240.302-40-60-100</f>
        <v>40.301999999999992</v>
      </c>
      <c r="G707" s="80">
        <v>40</v>
      </c>
      <c r="H707" s="77">
        <f>60+100</f>
        <v>160</v>
      </c>
      <c r="I707" s="77">
        <f t="shared" si="113"/>
        <v>0</v>
      </c>
      <c r="J707" s="80">
        <v>100</v>
      </c>
      <c r="K707" s="80">
        <v>300</v>
      </c>
      <c r="L707" s="77">
        <f t="shared" si="107"/>
        <v>1150</v>
      </c>
      <c r="M707" s="87">
        <v>600</v>
      </c>
      <c r="N707" s="77">
        <f>100</f>
        <v>100</v>
      </c>
      <c r="O707" s="80">
        <v>240</v>
      </c>
      <c r="P707" s="80">
        <v>40</v>
      </c>
      <c r="Q707" s="80">
        <f t="shared" si="108"/>
        <v>315</v>
      </c>
      <c r="R707" s="80">
        <f t="shared" si="109"/>
        <v>100</v>
      </c>
      <c r="S707" s="77">
        <f t="shared" si="110"/>
        <v>695</v>
      </c>
      <c r="T707" s="77">
        <f>50</f>
        <v>50</v>
      </c>
      <c r="U707" s="78"/>
      <c r="V707" s="78"/>
      <c r="W707" s="78"/>
      <c r="X707" s="78"/>
      <c r="Y707" s="78"/>
      <c r="Z707" s="78"/>
      <c r="AA707" s="78"/>
      <c r="AB707" s="78"/>
      <c r="AC707" s="78"/>
      <c r="AD707" s="78"/>
    </row>
    <row r="708" spans="1:30" ht="15.75" x14ac:dyDescent="0.25">
      <c r="A708" s="13">
        <v>62854</v>
      </c>
      <c r="B708" s="88">
        <f t="shared" si="106"/>
        <v>31</v>
      </c>
      <c r="C708" s="77">
        <f>122.58</f>
        <v>122.58</v>
      </c>
      <c r="D708" s="77">
        <f>297.941</f>
        <v>297.94099999999997</v>
      </c>
      <c r="E708" s="85">
        <f>89.177</f>
        <v>89.177000000000007</v>
      </c>
      <c r="F708" s="77">
        <f>240.302-40-60-100</f>
        <v>40.301999999999992</v>
      </c>
      <c r="G708" s="80">
        <v>40</v>
      </c>
      <c r="H708" s="77">
        <f>60+100</f>
        <v>160</v>
      </c>
      <c r="I708" s="77">
        <f t="shared" si="113"/>
        <v>0</v>
      </c>
      <c r="J708" s="80">
        <v>100</v>
      </c>
      <c r="K708" s="80">
        <v>300</v>
      </c>
      <c r="L708" s="77">
        <f t="shared" si="107"/>
        <v>1150</v>
      </c>
      <c r="M708" s="87">
        <v>600</v>
      </c>
      <c r="N708" s="77">
        <f>100</f>
        <v>100</v>
      </c>
      <c r="O708" s="80">
        <v>240</v>
      </c>
      <c r="P708" s="80">
        <v>40</v>
      </c>
      <c r="Q708" s="80">
        <f t="shared" si="108"/>
        <v>315</v>
      </c>
      <c r="R708" s="80">
        <f t="shared" si="109"/>
        <v>100</v>
      </c>
      <c r="S708" s="77">
        <f t="shared" si="110"/>
        <v>695</v>
      </c>
      <c r="T708" s="77">
        <f>50</f>
        <v>50</v>
      </c>
      <c r="U708" s="78"/>
      <c r="V708" s="78"/>
      <c r="W708" s="78"/>
      <c r="X708" s="78"/>
      <c r="Y708" s="78"/>
      <c r="Z708" s="78"/>
      <c r="AA708" s="78"/>
      <c r="AB708" s="78"/>
      <c r="AC708" s="78"/>
      <c r="AD708" s="78"/>
    </row>
    <row r="709" spans="1:30" ht="15.75" x14ac:dyDescent="0.25">
      <c r="A709" s="13">
        <v>62883</v>
      </c>
      <c r="B709" s="88">
        <f t="shared" si="106"/>
        <v>29</v>
      </c>
      <c r="C709" s="77">
        <f>122.58</f>
        <v>122.58</v>
      </c>
      <c r="D709" s="77">
        <f>297.941</f>
        <v>297.94099999999997</v>
      </c>
      <c r="E709" s="85">
        <f>89.177</f>
        <v>89.177000000000007</v>
      </c>
      <c r="F709" s="77">
        <f>240.302-40-60-100</f>
        <v>40.301999999999992</v>
      </c>
      <c r="G709" s="80">
        <v>40</v>
      </c>
      <c r="H709" s="77">
        <f>60+100</f>
        <v>160</v>
      </c>
      <c r="I709" s="77">
        <f t="shared" si="113"/>
        <v>0</v>
      </c>
      <c r="J709" s="80">
        <v>100</v>
      </c>
      <c r="K709" s="80">
        <v>300</v>
      </c>
      <c r="L709" s="77">
        <f t="shared" si="107"/>
        <v>1150</v>
      </c>
      <c r="M709" s="87">
        <v>600</v>
      </c>
      <c r="N709" s="77">
        <f>100</f>
        <v>100</v>
      </c>
      <c r="O709" s="80">
        <v>240</v>
      </c>
      <c r="P709" s="80">
        <v>40</v>
      </c>
      <c r="Q709" s="80">
        <f t="shared" si="108"/>
        <v>315</v>
      </c>
      <c r="R709" s="80">
        <f t="shared" si="109"/>
        <v>100</v>
      </c>
      <c r="S709" s="77">
        <f t="shared" si="110"/>
        <v>695</v>
      </c>
      <c r="T709" s="77">
        <f>50</f>
        <v>50</v>
      </c>
      <c r="U709" s="78"/>
      <c r="V709" s="78"/>
      <c r="W709" s="78"/>
      <c r="X709" s="78"/>
      <c r="Y709" s="78"/>
      <c r="Z709" s="78"/>
      <c r="AA709" s="78"/>
      <c r="AB709" s="78"/>
      <c r="AC709" s="78"/>
      <c r="AD709" s="78"/>
    </row>
    <row r="710" spans="1:30" ht="15.75" x14ac:dyDescent="0.25">
      <c r="A710" s="13">
        <v>62914</v>
      </c>
      <c r="B710" s="88">
        <f t="shared" si="106"/>
        <v>31</v>
      </c>
      <c r="C710" s="77">
        <f>122.58</f>
        <v>122.58</v>
      </c>
      <c r="D710" s="77">
        <f>297.941</f>
        <v>297.94099999999997</v>
      </c>
      <c r="E710" s="85">
        <f>89.177</f>
        <v>89.177000000000007</v>
      </c>
      <c r="F710" s="77">
        <f>240.302-40-60-100</f>
        <v>40.301999999999992</v>
      </c>
      <c r="G710" s="80">
        <v>40</v>
      </c>
      <c r="H710" s="77">
        <f>60+100</f>
        <v>160</v>
      </c>
      <c r="I710" s="77">
        <f t="shared" si="113"/>
        <v>0</v>
      </c>
      <c r="J710" s="80">
        <v>100</v>
      </c>
      <c r="K710" s="80">
        <v>300</v>
      </c>
      <c r="L710" s="77">
        <f t="shared" si="107"/>
        <v>1150</v>
      </c>
      <c r="M710" s="87">
        <v>600</v>
      </c>
      <c r="N710" s="77">
        <f>100</f>
        <v>100</v>
      </c>
      <c r="O710" s="80">
        <v>240</v>
      </c>
      <c r="P710" s="80">
        <v>40</v>
      </c>
      <c r="Q710" s="80">
        <f t="shared" si="108"/>
        <v>315</v>
      </c>
      <c r="R710" s="80">
        <f t="shared" si="109"/>
        <v>100</v>
      </c>
      <c r="S710" s="77">
        <f t="shared" si="110"/>
        <v>695</v>
      </c>
      <c r="T710" s="77">
        <f>50</f>
        <v>50</v>
      </c>
      <c r="U710" s="78"/>
      <c r="V710" s="78"/>
      <c r="W710" s="78"/>
      <c r="X710" s="78"/>
      <c r="Y710" s="78"/>
      <c r="Z710" s="78"/>
      <c r="AA710" s="78"/>
      <c r="AB710" s="78"/>
      <c r="AC710" s="78"/>
      <c r="AD710" s="78"/>
    </row>
    <row r="711" spans="1:30" ht="15.75" x14ac:dyDescent="0.25">
      <c r="A711" s="13">
        <v>62944</v>
      </c>
      <c r="B711" s="88">
        <f t="shared" si="106"/>
        <v>30</v>
      </c>
      <c r="C711" s="77">
        <f>141.293</f>
        <v>141.29300000000001</v>
      </c>
      <c r="D711" s="77">
        <f>267.993</f>
        <v>267.99299999999999</v>
      </c>
      <c r="E711" s="85">
        <f>115.016</f>
        <v>115.01600000000001</v>
      </c>
      <c r="F711" s="77">
        <f>314.698-40-25-60-100</f>
        <v>89.697999999999979</v>
      </c>
      <c r="G711" s="80">
        <v>40</v>
      </c>
      <c r="H711" s="77">
        <f t="shared" ref="H711:H717" si="116">25+60+100</f>
        <v>185</v>
      </c>
      <c r="I711" s="77">
        <f t="shared" si="113"/>
        <v>0</v>
      </c>
      <c r="J711" s="80">
        <v>100</v>
      </c>
      <c r="K711" s="80">
        <v>300</v>
      </c>
      <c r="L711" s="77">
        <f t="shared" si="107"/>
        <v>1239</v>
      </c>
      <c r="M711" s="87">
        <v>600</v>
      </c>
      <c r="N711" s="77">
        <f>100</f>
        <v>100</v>
      </c>
      <c r="O711" s="80">
        <v>240</v>
      </c>
      <c r="P711" s="80">
        <v>40</v>
      </c>
      <c r="Q711" s="80">
        <f t="shared" si="108"/>
        <v>315</v>
      </c>
      <c r="R711" s="80">
        <f t="shared" si="109"/>
        <v>100</v>
      </c>
      <c r="S711" s="77">
        <f t="shared" si="110"/>
        <v>695</v>
      </c>
      <c r="T711" s="77">
        <f>50</f>
        <v>50</v>
      </c>
      <c r="U711" s="78"/>
      <c r="V711" s="78"/>
      <c r="W711" s="78"/>
      <c r="X711" s="78"/>
      <c r="Y711" s="78"/>
      <c r="Z711" s="78"/>
      <c r="AA711" s="78"/>
      <c r="AB711" s="78"/>
      <c r="AC711" s="78"/>
      <c r="AD711" s="78"/>
    </row>
    <row r="712" spans="1:30" ht="15.75" x14ac:dyDescent="0.25">
      <c r="A712" s="13">
        <v>62975</v>
      </c>
      <c r="B712" s="88">
        <f t="shared" si="106"/>
        <v>31</v>
      </c>
      <c r="C712" s="77">
        <f>194.205</f>
        <v>194.20500000000001</v>
      </c>
      <c r="D712" s="77">
        <f>267.466</f>
        <v>267.46600000000001</v>
      </c>
      <c r="E712" s="85">
        <f>133.845</f>
        <v>133.845</v>
      </c>
      <c r="F712" s="77">
        <f>278.484-40-25-60-100</f>
        <v>53.48399999999998</v>
      </c>
      <c r="G712" s="80">
        <v>40</v>
      </c>
      <c r="H712" s="77">
        <f t="shared" si="116"/>
        <v>185</v>
      </c>
      <c r="I712" s="77">
        <f t="shared" si="113"/>
        <v>0</v>
      </c>
      <c r="J712" s="80">
        <v>100</v>
      </c>
      <c r="K712" s="80">
        <v>300</v>
      </c>
      <c r="L712" s="77">
        <f t="shared" si="107"/>
        <v>1274</v>
      </c>
      <c r="M712" s="87">
        <v>600</v>
      </c>
      <c r="N712" s="77">
        <f>75</f>
        <v>75</v>
      </c>
      <c r="O712" s="80">
        <v>240</v>
      </c>
      <c r="P712" s="80">
        <v>40</v>
      </c>
      <c r="Q712" s="80">
        <f t="shared" si="108"/>
        <v>315</v>
      </c>
      <c r="R712" s="80">
        <f t="shared" si="109"/>
        <v>100</v>
      </c>
      <c r="S712" s="77">
        <f t="shared" si="110"/>
        <v>695</v>
      </c>
      <c r="T712" s="77">
        <f>50</f>
        <v>50</v>
      </c>
      <c r="U712" s="78"/>
      <c r="V712" s="78"/>
      <c r="W712" s="78"/>
      <c r="X712" s="78"/>
      <c r="Y712" s="78"/>
      <c r="Z712" s="78"/>
      <c r="AA712" s="78"/>
      <c r="AB712" s="78"/>
      <c r="AC712" s="78"/>
      <c r="AD712" s="78"/>
    </row>
    <row r="713" spans="1:30" ht="15.75" x14ac:dyDescent="0.25">
      <c r="A713" s="13">
        <v>63005</v>
      </c>
      <c r="B713" s="88">
        <f t="shared" si="106"/>
        <v>30</v>
      </c>
      <c r="C713" s="77">
        <f>194.205</f>
        <v>194.20500000000001</v>
      </c>
      <c r="D713" s="77">
        <f>267.466</f>
        <v>267.46600000000001</v>
      </c>
      <c r="E713" s="85">
        <f>133.845</f>
        <v>133.845</v>
      </c>
      <c r="F713" s="77">
        <f>278.484-40-25-60-100</f>
        <v>53.48399999999998</v>
      </c>
      <c r="G713" s="80">
        <v>40</v>
      </c>
      <c r="H713" s="77">
        <f t="shared" si="116"/>
        <v>185</v>
      </c>
      <c r="I713" s="77">
        <f t="shared" si="113"/>
        <v>0</v>
      </c>
      <c r="J713" s="80">
        <v>100</v>
      </c>
      <c r="K713" s="80">
        <v>300</v>
      </c>
      <c r="L713" s="77">
        <f t="shared" si="107"/>
        <v>1274</v>
      </c>
      <c r="M713" s="87">
        <v>600</v>
      </c>
      <c r="N713" s="77">
        <f>30</f>
        <v>30</v>
      </c>
      <c r="O713" s="80">
        <v>240</v>
      </c>
      <c r="P713" s="80">
        <v>40</v>
      </c>
      <c r="Q713" s="80">
        <f t="shared" si="108"/>
        <v>315</v>
      </c>
      <c r="R713" s="80">
        <f t="shared" si="109"/>
        <v>100</v>
      </c>
      <c r="S713" s="77">
        <f t="shared" si="110"/>
        <v>695</v>
      </c>
      <c r="T713" s="77">
        <f>50</f>
        <v>50</v>
      </c>
      <c r="U713" s="78"/>
      <c r="V713" s="78"/>
      <c r="W713" s="78"/>
      <c r="X713" s="78"/>
      <c r="Y713" s="78"/>
      <c r="Z713" s="78"/>
      <c r="AA713" s="78"/>
      <c r="AB713" s="78"/>
      <c r="AC713" s="78"/>
      <c r="AD713" s="78"/>
    </row>
    <row r="714" spans="1:30" ht="15.75" x14ac:dyDescent="0.25">
      <c r="A714" s="13">
        <v>63036</v>
      </c>
      <c r="B714" s="88">
        <f t="shared" si="106"/>
        <v>31</v>
      </c>
      <c r="C714" s="77">
        <f>194.205</f>
        <v>194.20500000000001</v>
      </c>
      <c r="D714" s="77">
        <f>267.466</f>
        <v>267.46600000000001</v>
      </c>
      <c r="E714" s="85">
        <f>133.845</f>
        <v>133.845</v>
      </c>
      <c r="F714" s="77">
        <f>278.484-40-25-60-100</f>
        <v>53.48399999999998</v>
      </c>
      <c r="G714" s="80">
        <v>40</v>
      </c>
      <c r="H714" s="77">
        <f t="shared" si="116"/>
        <v>185</v>
      </c>
      <c r="I714" s="77">
        <f t="shared" si="113"/>
        <v>0</v>
      </c>
      <c r="J714" s="80">
        <v>100</v>
      </c>
      <c r="K714" s="80">
        <v>300</v>
      </c>
      <c r="L714" s="77">
        <f t="shared" si="107"/>
        <v>1274</v>
      </c>
      <c r="M714" s="87">
        <v>600</v>
      </c>
      <c r="N714" s="77">
        <f>30</f>
        <v>30</v>
      </c>
      <c r="O714" s="80">
        <v>240</v>
      </c>
      <c r="P714" s="80">
        <v>40</v>
      </c>
      <c r="Q714" s="80">
        <f t="shared" si="108"/>
        <v>315</v>
      </c>
      <c r="R714" s="80">
        <f t="shared" si="109"/>
        <v>100</v>
      </c>
      <c r="S714" s="77">
        <f t="shared" si="110"/>
        <v>695</v>
      </c>
      <c r="T714" s="77">
        <f>0</f>
        <v>0</v>
      </c>
      <c r="U714" s="78"/>
      <c r="V714" s="78"/>
      <c r="W714" s="78"/>
      <c r="X714" s="78"/>
      <c r="Y714" s="78"/>
      <c r="Z714" s="78"/>
      <c r="AA714" s="78"/>
      <c r="AB714" s="78"/>
      <c r="AC714" s="78"/>
      <c r="AD714" s="78"/>
    </row>
    <row r="715" spans="1:30" ht="15.75" x14ac:dyDescent="0.25">
      <c r="A715" s="13">
        <v>63067</v>
      </c>
      <c r="B715" s="88">
        <f t="shared" si="106"/>
        <v>31</v>
      </c>
      <c r="C715" s="77">
        <f>194.205</f>
        <v>194.20500000000001</v>
      </c>
      <c r="D715" s="77">
        <f>267.466</f>
        <v>267.46600000000001</v>
      </c>
      <c r="E715" s="85">
        <f>133.845</f>
        <v>133.845</v>
      </c>
      <c r="F715" s="77">
        <f>278.484-40-25-60-100</f>
        <v>53.48399999999998</v>
      </c>
      <c r="G715" s="80">
        <v>40</v>
      </c>
      <c r="H715" s="77">
        <f t="shared" si="116"/>
        <v>185</v>
      </c>
      <c r="I715" s="77">
        <f t="shared" si="113"/>
        <v>0</v>
      </c>
      <c r="J715" s="80">
        <v>100</v>
      </c>
      <c r="K715" s="80">
        <v>300</v>
      </c>
      <c r="L715" s="77">
        <f t="shared" si="107"/>
        <v>1274</v>
      </c>
      <c r="M715" s="87">
        <v>600</v>
      </c>
      <c r="N715" s="77">
        <f>30</f>
        <v>30</v>
      </c>
      <c r="O715" s="80">
        <v>240</v>
      </c>
      <c r="P715" s="80">
        <v>40</v>
      </c>
      <c r="Q715" s="80">
        <f t="shared" si="108"/>
        <v>315</v>
      </c>
      <c r="R715" s="80">
        <f t="shared" si="109"/>
        <v>100</v>
      </c>
      <c r="S715" s="77">
        <f t="shared" si="110"/>
        <v>695</v>
      </c>
      <c r="T715" s="77">
        <f>0</f>
        <v>0</v>
      </c>
      <c r="U715" s="78"/>
      <c r="V715" s="78"/>
      <c r="W715" s="78"/>
      <c r="X715" s="78"/>
      <c r="Y715" s="78"/>
      <c r="Z715" s="78"/>
      <c r="AA715" s="78"/>
      <c r="AB715" s="78"/>
      <c r="AC715" s="78"/>
      <c r="AD715" s="78"/>
    </row>
    <row r="716" spans="1:30" ht="15.75" x14ac:dyDescent="0.25">
      <c r="A716" s="13">
        <v>63097</v>
      </c>
      <c r="B716" s="88">
        <f t="shared" ref="B716:B779" si="117">EOMONTH(A716,0)-EOMONTH(A716,-1)</f>
        <v>30</v>
      </c>
      <c r="C716" s="77">
        <f>194.205</f>
        <v>194.20500000000001</v>
      </c>
      <c r="D716" s="77">
        <f>267.466</f>
        <v>267.46600000000001</v>
      </c>
      <c r="E716" s="85">
        <f>133.845</f>
        <v>133.845</v>
      </c>
      <c r="F716" s="77">
        <f>278.484-40-25-60-100</f>
        <v>53.48399999999998</v>
      </c>
      <c r="G716" s="80">
        <v>40</v>
      </c>
      <c r="H716" s="77">
        <f t="shared" si="116"/>
        <v>185</v>
      </c>
      <c r="I716" s="77">
        <f t="shared" si="113"/>
        <v>0</v>
      </c>
      <c r="J716" s="80">
        <v>100</v>
      </c>
      <c r="K716" s="80">
        <v>300</v>
      </c>
      <c r="L716" s="77">
        <f t="shared" si="107"/>
        <v>1274</v>
      </c>
      <c r="M716" s="87">
        <v>600</v>
      </c>
      <c r="N716" s="77">
        <f>30</f>
        <v>30</v>
      </c>
      <c r="O716" s="80">
        <v>240</v>
      </c>
      <c r="P716" s="80">
        <v>40</v>
      </c>
      <c r="Q716" s="80">
        <f t="shared" si="108"/>
        <v>315</v>
      </c>
      <c r="R716" s="80">
        <f t="shared" si="109"/>
        <v>100</v>
      </c>
      <c r="S716" s="77">
        <f t="shared" si="110"/>
        <v>695</v>
      </c>
      <c r="T716" s="77">
        <f>0</f>
        <v>0</v>
      </c>
      <c r="U716" s="78"/>
      <c r="V716" s="78"/>
      <c r="W716" s="78"/>
      <c r="X716" s="78"/>
      <c r="Y716" s="78"/>
      <c r="Z716" s="78"/>
      <c r="AA716" s="78"/>
      <c r="AB716" s="78"/>
      <c r="AC716" s="78"/>
      <c r="AD716" s="78"/>
    </row>
    <row r="717" spans="1:30" ht="15.75" x14ac:dyDescent="0.25">
      <c r="A717" s="13">
        <v>63128</v>
      </c>
      <c r="B717" s="88">
        <f t="shared" si="117"/>
        <v>31</v>
      </c>
      <c r="C717" s="77">
        <f>131.881</f>
        <v>131.881</v>
      </c>
      <c r="D717" s="77">
        <f>277.167</f>
        <v>277.16699999999997</v>
      </c>
      <c r="E717" s="85">
        <f>79.08</f>
        <v>79.08</v>
      </c>
      <c r="F717" s="77">
        <f>350.872-40-25-60-100</f>
        <v>125.87200000000001</v>
      </c>
      <c r="G717" s="80">
        <v>40</v>
      </c>
      <c r="H717" s="77">
        <f t="shared" si="116"/>
        <v>185</v>
      </c>
      <c r="I717" s="77">
        <f t="shared" si="113"/>
        <v>0</v>
      </c>
      <c r="J717" s="80">
        <v>100</v>
      </c>
      <c r="K717" s="80">
        <v>300</v>
      </c>
      <c r="L717" s="77">
        <f t="shared" si="107"/>
        <v>1239</v>
      </c>
      <c r="M717" s="87">
        <v>600</v>
      </c>
      <c r="N717" s="77">
        <f>75</f>
        <v>75</v>
      </c>
      <c r="O717" s="80">
        <v>240</v>
      </c>
      <c r="P717" s="80">
        <v>40</v>
      </c>
      <c r="Q717" s="80">
        <f t="shared" si="108"/>
        <v>315</v>
      </c>
      <c r="R717" s="80">
        <f t="shared" si="109"/>
        <v>100</v>
      </c>
      <c r="S717" s="77">
        <f t="shared" si="110"/>
        <v>695</v>
      </c>
      <c r="T717" s="77">
        <f>0</f>
        <v>0</v>
      </c>
      <c r="U717" s="78"/>
      <c r="V717" s="78"/>
      <c r="W717" s="78"/>
      <c r="X717" s="78"/>
      <c r="Y717" s="78"/>
      <c r="Z717" s="78"/>
      <c r="AA717" s="78"/>
      <c r="AB717" s="78"/>
      <c r="AC717" s="78"/>
      <c r="AD717" s="78"/>
    </row>
    <row r="718" spans="1:30" ht="15.75" x14ac:dyDescent="0.25">
      <c r="A718" s="13">
        <v>63158</v>
      </c>
      <c r="B718" s="88">
        <f t="shared" si="117"/>
        <v>30</v>
      </c>
      <c r="C718" s="77">
        <f>122.58</f>
        <v>122.58</v>
      </c>
      <c r="D718" s="77">
        <f>297.941</f>
        <v>297.94099999999997</v>
      </c>
      <c r="E718" s="85">
        <f>89.177</f>
        <v>89.177000000000007</v>
      </c>
      <c r="F718" s="77">
        <f>240.302-40-60-100</f>
        <v>40.301999999999992</v>
      </c>
      <c r="G718" s="80">
        <v>40</v>
      </c>
      <c r="H718" s="77">
        <f>60+100</f>
        <v>160</v>
      </c>
      <c r="I718" s="77">
        <f t="shared" si="113"/>
        <v>0</v>
      </c>
      <c r="J718" s="80">
        <v>100</v>
      </c>
      <c r="K718" s="80">
        <v>300</v>
      </c>
      <c r="L718" s="77">
        <f t="shared" ref="L718:L781" si="118">SUM(C718:K718)</f>
        <v>1150</v>
      </c>
      <c r="M718" s="87">
        <v>600</v>
      </c>
      <c r="N718" s="77">
        <f>100</f>
        <v>100</v>
      </c>
      <c r="O718" s="80">
        <v>240</v>
      </c>
      <c r="P718" s="80">
        <v>40</v>
      </c>
      <c r="Q718" s="80">
        <f t="shared" ref="Q718:Q781" si="119">695-R718-O718-P718</f>
        <v>315</v>
      </c>
      <c r="R718" s="80">
        <f t="shared" ref="R718:R781" si="120">200-J718</f>
        <v>100</v>
      </c>
      <c r="S718" s="77">
        <f t="shared" ref="S718:S781" si="121">SUM(O718:R718)</f>
        <v>695</v>
      </c>
      <c r="T718" s="77">
        <f>50</f>
        <v>50</v>
      </c>
      <c r="U718" s="78"/>
      <c r="V718" s="78"/>
      <c r="W718" s="78"/>
      <c r="X718" s="78"/>
      <c r="Y718" s="78"/>
      <c r="Z718" s="78"/>
      <c r="AA718" s="78"/>
      <c r="AB718" s="78"/>
      <c r="AC718" s="78"/>
      <c r="AD718" s="78"/>
    </row>
    <row r="719" spans="1:30" ht="15.75" x14ac:dyDescent="0.25">
      <c r="A719" s="13">
        <v>63189</v>
      </c>
      <c r="B719" s="88">
        <f t="shared" si="117"/>
        <v>31</v>
      </c>
      <c r="C719" s="77">
        <f>122.58</f>
        <v>122.58</v>
      </c>
      <c r="D719" s="77">
        <f>297.941</f>
        <v>297.94099999999997</v>
      </c>
      <c r="E719" s="85">
        <f>89.177</f>
        <v>89.177000000000007</v>
      </c>
      <c r="F719" s="77">
        <f>240.302-40-60-100</f>
        <v>40.301999999999992</v>
      </c>
      <c r="G719" s="80">
        <v>40</v>
      </c>
      <c r="H719" s="77">
        <f>60+100</f>
        <v>160</v>
      </c>
      <c r="I719" s="77">
        <f t="shared" si="113"/>
        <v>0</v>
      </c>
      <c r="J719" s="80">
        <v>100</v>
      </c>
      <c r="K719" s="80">
        <v>300</v>
      </c>
      <c r="L719" s="77">
        <f t="shared" si="118"/>
        <v>1150</v>
      </c>
      <c r="M719" s="87">
        <v>600</v>
      </c>
      <c r="N719" s="77">
        <f>100</f>
        <v>100</v>
      </c>
      <c r="O719" s="80">
        <v>240</v>
      </c>
      <c r="P719" s="80">
        <v>40</v>
      </c>
      <c r="Q719" s="80">
        <f t="shared" si="119"/>
        <v>315</v>
      </c>
      <c r="R719" s="80">
        <f t="shared" si="120"/>
        <v>100</v>
      </c>
      <c r="S719" s="77">
        <f t="shared" si="121"/>
        <v>695</v>
      </c>
      <c r="T719" s="77">
        <f>50</f>
        <v>50</v>
      </c>
      <c r="U719" s="78"/>
      <c r="V719" s="78"/>
      <c r="W719" s="78"/>
      <c r="X719" s="78"/>
      <c r="Y719" s="78"/>
      <c r="Z719" s="78"/>
      <c r="AA719" s="78"/>
      <c r="AB719" s="78"/>
      <c r="AC719" s="78"/>
      <c r="AD719" s="78"/>
    </row>
    <row r="720" spans="1:30" ht="15.75" x14ac:dyDescent="0.25">
      <c r="A720" s="13">
        <v>63220</v>
      </c>
      <c r="B720" s="88">
        <f t="shared" si="117"/>
        <v>31</v>
      </c>
      <c r="C720" s="77">
        <f>122.58</f>
        <v>122.58</v>
      </c>
      <c r="D720" s="77">
        <f>297.941</f>
        <v>297.94099999999997</v>
      </c>
      <c r="E720" s="85">
        <f>89.177</f>
        <v>89.177000000000007</v>
      </c>
      <c r="F720" s="77">
        <f>240.302-40-60-100</f>
        <v>40.301999999999992</v>
      </c>
      <c r="G720" s="80">
        <v>40</v>
      </c>
      <c r="H720" s="77">
        <f>60+100</f>
        <v>160</v>
      </c>
      <c r="I720" s="77">
        <f t="shared" si="113"/>
        <v>0</v>
      </c>
      <c r="J720" s="80">
        <v>100</v>
      </c>
      <c r="K720" s="80">
        <v>300</v>
      </c>
      <c r="L720" s="77">
        <f t="shared" si="118"/>
        <v>1150</v>
      </c>
      <c r="M720" s="87">
        <v>600</v>
      </c>
      <c r="N720" s="77">
        <f>100</f>
        <v>100</v>
      </c>
      <c r="O720" s="80">
        <v>240</v>
      </c>
      <c r="P720" s="80">
        <v>40</v>
      </c>
      <c r="Q720" s="80">
        <f t="shared" si="119"/>
        <v>315</v>
      </c>
      <c r="R720" s="80">
        <f t="shared" si="120"/>
        <v>100</v>
      </c>
      <c r="S720" s="77">
        <f t="shared" si="121"/>
        <v>695</v>
      </c>
      <c r="T720" s="77">
        <f>50</f>
        <v>50</v>
      </c>
      <c r="U720" s="78"/>
      <c r="V720" s="78"/>
      <c r="W720" s="78"/>
      <c r="X720" s="78"/>
      <c r="Y720" s="78"/>
      <c r="Z720" s="78"/>
      <c r="AA720" s="78"/>
      <c r="AB720" s="78"/>
      <c r="AC720" s="78"/>
      <c r="AD720" s="78"/>
    </row>
    <row r="721" spans="1:30" ht="15.75" x14ac:dyDescent="0.25">
      <c r="A721" s="13">
        <v>63248</v>
      </c>
      <c r="B721" s="88">
        <f t="shared" si="117"/>
        <v>28</v>
      </c>
      <c r="C721" s="77">
        <f>122.58</f>
        <v>122.58</v>
      </c>
      <c r="D721" s="77">
        <f>297.941</f>
        <v>297.94099999999997</v>
      </c>
      <c r="E721" s="85">
        <f>89.177</f>
        <v>89.177000000000007</v>
      </c>
      <c r="F721" s="77">
        <f>240.302-40-60-100</f>
        <v>40.301999999999992</v>
      </c>
      <c r="G721" s="80">
        <v>40</v>
      </c>
      <c r="H721" s="77">
        <f>60+100</f>
        <v>160</v>
      </c>
      <c r="I721" s="77">
        <f t="shared" si="113"/>
        <v>0</v>
      </c>
      <c r="J721" s="80">
        <v>100</v>
      </c>
      <c r="K721" s="80">
        <v>300</v>
      </c>
      <c r="L721" s="77">
        <f t="shared" si="118"/>
        <v>1150</v>
      </c>
      <c r="M721" s="87">
        <v>600</v>
      </c>
      <c r="N721" s="77">
        <f>100</f>
        <v>100</v>
      </c>
      <c r="O721" s="80">
        <v>240</v>
      </c>
      <c r="P721" s="80">
        <v>40</v>
      </c>
      <c r="Q721" s="80">
        <f t="shared" si="119"/>
        <v>315</v>
      </c>
      <c r="R721" s="80">
        <f t="shared" si="120"/>
        <v>100</v>
      </c>
      <c r="S721" s="77">
        <f t="shared" si="121"/>
        <v>695</v>
      </c>
      <c r="T721" s="77">
        <f>50</f>
        <v>50</v>
      </c>
      <c r="U721" s="78"/>
      <c r="V721" s="78"/>
      <c r="W721" s="78"/>
      <c r="X721" s="78"/>
      <c r="Y721" s="78"/>
      <c r="Z721" s="78"/>
      <c r="AA721" s="78"/>
      <c r="AB721" s="78"/>
      <c r="AC721" s="78"/>
      <c r="AD721" s="78"/>
    </row>
    <row r="722" spans="1:30" ht="15.75" x14ac:dyDescent="0.25">
      <c r="A722" s="13">
        <v>63279</v>
      </c>
      <c r="B722" s="88">
        <f t="shared" si="117"/>
        <v>31</v>
      </c>
      <c r="C722" s="77">
        <f>122.58</f>
        <v>122.58</v>
      </c>
      <c r="D722" s="77">
        <f>297.941</f>
        <v>297.94099999999997</v>
      </c>
      <c r="E722" s="85">
        <f>89.177</f>
        <v>89.177000000000007</v>
      </c>
      <c r="F722" s="77">
        <f>240.302-40-60-100</f>
        <v>40.301999999999992</v>
      </c>
      <c r="G722" s="80">
        <v>40</v>
      </c>
      <c r="H722" s="77">
        <f>60+100</f>
        <v>160</v>
      </c>
      <c r="I722" s="77">
        <f t="shared" si="113"/>
        <v>0</v>
      </c>
      <c r="J722" s="80">
        <v>100</v>
      </c>
      <c r="K722" s="80">
        <v>300</v>
      </c>
      <c r="L722" s="77">
        <f t="shared" si="118"/>
        <v>1150</v>
      </c>
      <c r="M722" s="87">
        <v>600</v>
      </c>
      <c r="N722" s="77">
        <f>100</f>
        <v>100</v>
      </c>
      <c r="O722" s="80">
        <v>240</v>
      </c>
      <c r="P722" s="80">
        <v>40</v>
      </c>
      <c r="Q722" s="80">
        <f t="shared" si="119"/>
        <v>315</v>
      </c>
      <c r="R722" s="80">
        <f t="shared" si="120"/>
        <v>100</v>
      </c>
      <c r="S722" s="77">
        <f t="shared" si="121"/>
        <v>695</v>
      </c>
      <c r="T722" s="77">
        <f>50</f>
        <v>50</v>
      </c>
      <c r="U722" s="78"/>
      <c r="V722" s="78"/>
      <c r="W722" s="78"/>
      <c r="X722" s="78"/>
      <c r="Y722" s="78"/>
      <c r="Z722" s="78"/>
      <c r="AA722" s="78"/>
      <c r="AB722" s="78"/>
      <c r="AC722" s="78"/>
      <c r="AD722" s="78"/>
    </row>
    <row r="723" spans="1:30" ht="15.75" x14ac:dyDescent="0.25">
      <c r="A723" s="13">
        <v>63309</v>
      </c>
      <c r="B723" s="88">
        <f t="shared" si="117"/>
        <v>30</v>
      </c>
      <c r="C723" s="77">
        <f>141.293</f>
        <v>141.29300000000001</v>
      </c>
      <c r="D723" s="77">
        <f>267.993</f>
        <v>267.99299999999999</v>
      </c>
      <c r="E723" s="85">
        <f>115.016</f>
        <v>115.01600000000001</v>
      </c>
      <c r="F723" s="77">
        <f>314.698-40-25-60-100</f>
        <v>89.697999999999979</v>
      </c>
      <c r="G723" s="80">
        <v>40</v>
      </c>
      <c r="H723" s="77">
        <f t="shared" ref="H723:H729" si="122">25+60+100</f>
        <v>185</v>
      </c>
      <c r="I723" s="77">
        <f t="shared" si="113"/>
        <v>0</v>
      </c>
      <c r="J723" s="80">
        <v>100</v>
      </c>
      <c r="K723" s="80">
        <v>300</v>
      </c>
      <c r="L723" s="77">
        <f t="shared" si="118"/>
        <v>1239</v>
      </c>
      <c r="M723" s="87">
        <v>600</v>
      </c>
      <c r="N723" s="77">
        <f>100</f>
        <v>100</v>
      </c>
      <c r="O723" s="80">
        <v>240</v>
      </c>
      <c r="P723" s="80">
        <v>40</v>
      </c>
      <c r="Q723" s="80">
        <f t="shared" si="119"/>
        <v>315</v>
      </c>
      <c r="R723" s="80">
        <f t="shared" si="120"/>
        <v>100</v>
      </c>
      <c r="S723" s="77">
        <f t="shared" si="121"/>
        <v>695</v>
      </c>
      <c r="T723" s="77">
        <f>50</f>
        <v>50</v>
      </c>
      <c r="U723" s="78"/>
      <c r="V723" s="78"/>
      <c r="W723" s="78"/>
      <c r="X723" s="78"/>
      <c r="Y723" s="78"/>
      <c r="Z723" s="78"/>
      <c r="AA723" s="78"/>
      <c r="AB723" s="78"/>
      <c r="AC723" s="78"/>
      <c r="AD723" s="78"/>
    </row>
    <row r="724" spans="1:30" ht="15.75" x14ac:dyDescent="0.25">
      <c r="A724" s="13">
        <v>63340</v>
      </c>
      <c r="B724" s="88">
        <f t="shared" si="117"/>
        <v>31</v>
      </c>
      <c r="C724" s="77">
        <f>194.205</f>
        <v>194.20500000000001</v>
      </c>
      <c r="D724" s="77">
        <f>267.466</f>
        <v>267.46600000000001</v>
      </c>
      <c r="E724" s="85">
        <f>133.845</f>
        <v>133.845</v>
      </c>
      <c r="F724" s="77">
        <f>278.484-40-25-60-100</f>
        <v>53.48399999999998</v>
      </c>
      <c r="G724" s="80">
        <v>40</v>
      </c>
      <c r="H724" s="77">
        <f t="shared" si="122"/>
        <v>185</v>
      </c>
      <c r="I724" s="77">
        <f t="shared" si="113"/>
        <v>0</v>
      </c>
      <c r="J724" s="80">
        <v>100</v>
      </c>
      <c r="K724" s="80">
        <v>300</v>
      </c>
      <c r="L724" s="77">
        <f t="shared" si="118"/>
        <v>1274</v>
      </c>
      <c r="M724" s="87">
        <v>600</v>
      </c>
      <c r="N724" s="77">
        <f>75</f>
        <v>75</v>
      </c>
      <c r="O724" s="80">
        <v>240</v>
      </c>
      <c r="P724" s="80">
        <v>40</v>
      </c>
      <c r="Q724" s="80">
        <f t="shared" si="119"/>
        <v>315</v>
      </c>
      <c r="R724" s="80">
        <f t="shared" si="120"/>
        <v>100</v>
      </c>
      <c r="S724" s="77">
        <f t="shared" si="121"/>
        <v>695</v>
      </c>
      <c r="T724" s="77">
        <f>50</f>
        <v>50</v>
      </c>
      <c r="U724" s="78"/>
      <c r="V724" s="78"/>
      <c r="W724" s="78"/>
      <c r="X724" s="78"/>
      <c r="Y724" s="78"/>
      <c r="Z724" s="78"/>
      <c r="AA724" s="78"/>
      <c r="AB724" s="78"/>
      <c r="AC724" s="78"/>
      <c r="AD724" s="78"/>
    </row>
    <row r="725" spans="1:30" ht="15.75" x14ac:dyDescent="0.25">
      <c r="A725" s="13">
        <v>63370</v>
      </c>
      <c r="B725" s="88">
        <f t="shared" si="117"/>
        <v>30</v>
      </c>
      <c r="C725" s="77">
        <f>194.205</f>
        <v>194.20500000000001</v>
      </c>
      <c r="D725" s="77">
        <f>267.466</f>
        <v>267.46600000000001</v>
      </c>
      <c r="E725" s="85">
        <f>133.845</f>
        <v>133.845</v>
      </c>
      <c r="F725" s="77">
        <f>278.484-40-25-60-100</f>
        <v>53.48399999999998</v>
      </c>
      <c r="G725" s="80">
        <v>40</v>
      </c>
      <c r="H725" s="77">
        <f t="shared" si="122"/>
        <v>185</v>
      </c>
      <c r="I725" s="77">
        <f t="shared" si="113"/>
        <v>0</v>
      </c>
      <c r="J725" s="80">
        <v>100</v>
      </c>
      <c r="K725" s="80">
        <v>300</v>
      </c>
      <c r="L725" s="77">
        <f t="shared" si="118"/>
        <v>1274</v>
      </c>
      <c r="M725" s="87">
        <v>600</v>
      </c>
      <c r="N725" s="77">
        <f>30</f>
        <v>30</v>
      </c>
      <c r="O725" s="80">
        <v>240</v>
      </c>
      <c r="P725" s="80">
        <v>40</v>
      </c>
      <c r="Q725" s="80">
        <f t="shared" si="119"/>
        <v>315</v>
      </c>
      <c r="R725" s="80">
        <f t="shared" si="120"/>
        <v>100</v>
      </c>
      <c r="S725" s="77">
        <f t="shared" si="121"/>
        <v>695</v>
      </c>
      <c r="T725" s="77">
        <f>50</f>
        <v>50</v>
      </c>
      <c r="U725" s="78"/>
      <c r="V725" s="78"/>
      <c r="W725" s="78"/>
      <c r="X725" s="78"/>
      <c r="Y725" s="78"/>
      <c r="Z725" s="78"/>
      <c r="AA725" s="78"/>
      <c r="AB725" s="78"/>
      <c r="AC725" s="78"/>
      <c r="AD725" s="78"/>
    </row>
    <row r="726" spans="1:30" ht="15.75" x14ac:dyDescent="0.25">
      <c r="A726" s="13">
        <v>63401</v>
      </c>
      <c r="B726" s="88">
        <f t="shared" si="117"/>
        <v>31</v>
      </c>
      <c r="C726" s="77">
        <f>194.205</f>
        <v>194.20500000000001</v>
      </c>
      <c r="D726" s="77">
        <f>267.466</f>
        <v>267.46600000000001</v>
      </c>
      <c r="E726" s="85">
        <f>133.845</f>
        <v>133.845</v>
      </c>
      <c r="F726" s="77">
        <f>278.484-40-25-60-100</f>
        <v>53.48399999999998</v>
      </c>
      <c r="G726" s="80">
        <v>40</v>
      </c>
      <c r="H726" s="77">
        <f t="shared" si="122"/>
        <v>185</v>
      </c>
      <c r="I726" s="77">
        <f t="shared" si="113"/>
        <v>0</v>
      </c>
      <c r="J726" s="80">
        <v>100</v>
      </c>
      <c r="K726" s="80">
        <v>300</v>
      </c>
      <c r="L726" s="77">
        <f t="shared" si="118"/>
        <v>1274</v>
      </c>
      <c r="M726" s="87">
        <v>600</v>
      </c>
      <c r="N726" s="77">
        <f>30</f>
        <v>30</v>
      </c>
      <c r="O726" s="80">
        <v>240</v>
      </c>
      <c r="P726" s="80">
        <v>40</v>
      </c>
      <c r="Q726" s="80">
        <f t="shared" si="119"/>
        <v>315</v>
      </c>
      <c r="R726" s="80">
        <f t="shared" si="120"/>
        <v>100</v>
      </c>
      <c r="S726" s="77">
        <f t="shared" si="121"/>
        <v>695</v>
      </c>
      <c r="T726" s="77">
        <f>0</f>
        <v>0</v>
      </c>
      <c r="U726" s="78"/>
      <c r="V726" s="78"/>
      <c r="W726" s="78"/>
      <c r="X726" s="78"/>
      <c r="Y726" s="78"/>
      <c r="Z726" s="78"/>
      <c r="AA726" s="78"/>
      <c r="AB726" s="78"/>
      <c r="AC726" s="78"/>
      <c r="AD726" s="78"/>
    </row>
    <row r="727" spans="1:30" ht="15.75" x14ac:dyDescent="0.25">
      <c r="A727" s="13">
        <v>63432</v>
      </c>
      <c r="B727" s="88">
        <f t="shared" si="117"/>
        <v>31</v>
      </c>
      <c r="C727" s="77">
        <f>194.205</f>
        <v>194.20500000000001</v>
      </c>
      <c r="D727" s="77">
        <f>267.466</f>
        <v>267.46600000000001</v>
      </c>
      <c r="E727" s="85">
        <f>133.845</f>
        <v>133.845</v>
      </c>
      <c r="F727" s="77">
        <f>278.484-40-25-60-100</f>
        <v>53.48399999999998</v>
      </c>
      <c r="G727" s="80">
        <v>40</v>
      </c>
      <c r="H727" s="77">
        <f t="shared" si="122"/>
        <v>185</v>
      </c>
      <c r="I727" s="77">
        <f t="shared" si="113"/>
        <v>0</v>
      </c>
      <c r="J727" s="80">
        <v>100</v>
      </c>
      <c r="K727" s="80">
        <v>300</v>
      </c>
      <c r="L727" s="77">
        <f t="shared" si="118"/>
        <v>1274</v>
      </c>
      <c r="M727" s="87">
        <v>600</v>
      </c>
      <c r="N727" s="77">
        <f>30</f>
        <v>30</v>
      </c>
      <c r="O727" s="80">
        <v>240</v>
      </c>
      <c r="P727" s="80">
        <v>40</v>
      </c>
      <c r="Q727" s="80">
        <f t="shared" si="119"/>
        <v>315</v>
      </c>
      <c r="R727" s="80">
        <f t="shared" si="120"/>
        <v>100</v>
      </c>
      <c r="S727" s="77">
        <f t="shared" si="121"/>
        <v>695</v>
      </c>
      <c r="T727" s="77">
        <f>0</f>
        <v>0</v>
      </c>
      <c r="U727" s="78"/>
      <c r="V727" s="78"/>
      <c r="W727" s="78"/>
      <c r="X727" s="78"/>
      <c r="Y727" s="78"/>
      <c r="Z727" s="78"/>
      <c r="AA727" s="78"/>
      <c r="AB727" s="78"/>
      <c r="AC727" s="78"/>
      <c r="AD727" s="78"/>
    </row>
    <row r="728" spans="1:30" ht="15.75" x14ac:dyDescent="0.25">
      <c r="A728" s="13">
        <v>63462</v>
      </c>
      <c r="B728" s="88">
        <f t="shared" si="117"/>
        <v>30</v>
      </c>
      <c r="C728" s="77">
        <f>194.205</f>
        <v>194.20500000000001</v>
      </c>
      <c r="D728" s="77">
        <f>267.466</f>
        <v>267.46600000000001</v>
      </c>
      <c r="E728" s="85">
        <f>133.845</f>
        <v>133.845</v>
      </c>
      <c r="F728" s="77">
        <f>278.484-40-25-60-100</f>
        <v>53.48399999999998</v>
      </c>
      <c r="G728" s="80">
        <v>40</v>
      </c>
      <c r="H728" s="77">
        <f t="shared" si="122"/>
        <v>185</v>
      </c>
      <c r="I728" s="77">
        <f t="shared" si="113"/>
        <v>0</v>
      </c>
      <c r="J728" s="80">
        <v>100</v>
      </c>
      <c r="K728" s="80">
        <v>300</v>
      </c>
      <c r="L728" s="77">
        <f t="shared" si="118"/>
        <v>1274</v>
      </c>
      <c r="M728" s="87">
        <v>600</v>
      </c>
      <c r="N728" s="77">
        <f>30</f>
        <v>30</v>
      </c>
      <c r="O728" s="80">
        <v>240</v>
      </c>
      <c r="P728" s="80">
        <v>40</v>
      </c>
      <c r="Q728" s="80">
        <f t="shared" si="119"/>
        <v>315</v>
      </c>
      <c r="R728" s="80">
        <f t="shared" si="120"/>
        <v>100</v>
      </c>
      <c r="S728" s="77">
        <f t="shared" si="121"/>
        <v>695</v>
      </c>
      <c r="T728" s="77">
        <f>0</f>
        <v>0</v>
      </c>
      <c r="U728" s="78"/>
      <c r="V728" s="78"/>
      <c r="W728" s="78"/>
      <c r="X728" s="78"/>
      <c r="Y728" s="78"/>
      <c r="Z728" s="78"/>
      <c r="AA728" s="78"/>
      <c r="AB728" s="78"/>
      <c r="AC728" s="78"/>
      <c r="AD728" s="78"/>
    </row>
    <row r="729" spans="1:30" ht="15.75" x14ac:dyDescent="0.25">
      <c r="A729" s="13">
        <v>63493</v>
      </c>
      <c r="B729" s="88">
        <f t="shared" si="117"/>
        <v>31</v>
      </c>
      <c r="C729" s="77">
        <f>131.881</f>
        <v>131.881</v>
      </c>
      <c r="D729" s="77">
        <f>277.167</f>
        <v>277.16699999999997</v>
      </c>
      <c r="E729" s="85">
        <f>79.08</f>
        <v>79.08</v>
      </c>
      <c r="F729" s="77">
        <f>350.872-40-25-60-100</f>
        <v>125.87200000000001</v>
      </c>
      <c r="G729" s="80">
        <v>40</v>
      </c>
      <c r="H729" s="77">
        <f t="shared" si="122"/>
        <v>185</v>
      </c>
      <c r="I729" s="77">
        <f t="shared" si="113"/>
        <v>0</v>
      </c>
      <c r="J729" s="80">
        <v>100</v>
      </c>
      <c r="K729" s="80">
        <v>300</v>
      </c>
      <c r="L729" s="77">
        <f t="shared" si="118"/>
        <v>1239</v>
      </c>
      <c r="M729" s="87">
        <v>600</v>
      </c>
      <c r="N729" s="77">
        <f>75</f>
        <v>75</v>
      </c>
      <c r="O729" s="80">
        <v>240</v>
      </c>
      <c r="P729" s="80">
        <v>40</v>
      </c>
      <c r="Q729" s="80">
        <f t="shared" si="119"/>
        <v>315</v>
      </c>
      <c r="R729" s="80">
        <f t="shared" si="120"/>
        <v>100</v>
      </c>
      <c r="S729" s="77">
        <f t="shared" si="121"/>
        <v>695</v>
      </c>
      <c r="T729" s="77">
        <f>0</f>
        <v>0</v>
      </c>
      <c r="U729" s="78"/>
      <c r="V729" s="78"/>
      <c r="W729" s="78"/>
      <c r="X729" s="78"/>
      <c r="Y729" s="78"/>
      <c r="Z729" s="78"/>
      <c r="AA729" s="78"/>
      <c r="AB729" s="78"/>
      <c r="AC729" s="78"/>
      <c r="AD729" s="78"/>
    </row>
    <row r="730" spans="1:30" ht="15.75" x14ac:dyDescent="0.25">
      <c r="A730" s="13">
        <v>63523</v>
      </c>
      <c r="B730" s="88">
        <f t="shared" si="117"/>
        <v>30</v>
      </c>
      <c r="C730" s="77">
        <f>122.58</f>
        <v>122.58</v>
      </c>
      <c r="D730" s="77">
        <f>297.941</f>
        <v>297.94099999999997</v>
      </c>
      <c r="E730" s="85">
        <f>89.177</f>
        <v>89.177000000000007</v>
      </c>
      <c r="F730" s="77">
        <f>240.302-40-60-100</f>
        <v>40.301999999999992</v>
      </c>
      <c r="G730" s="80">
        <v>40</v>
      </c>
      <c r="H730" s="77">
        <f>60+100</f>
        <v>160</v>
      </c>
      <c r="I730" s="77">
        <f t="shared" si="113"/>
        <v>0</v>
      </c>
      <c r="J730" s="80">
        <v>100</v>
      </c>
      <c r="K730" s="80">
        <v>300</v>
      </c>
      <c r="L730" s="77">
        <f t="shared" si="118"/>
        <v>1150</v>
      </c>
      <c r="M730" s="87">
        <v>600</v>
      </c>
      <c r="N730" s="77">
        <f>100</f>
        <v>100</v>
      </c>
      <c r="O730" s="80">
        <v>240</v>
      </c>
      <c r="P730" s="80">
        <v>40</v>
      </c>
      <c r="Q730" s="80">
        <f t="shared" si="119"/>
        <v>315</v>
      </c>
      <c r="R730" s="80">
        <f t="shared" si="120"/>
        <v>100</v>
      </c>
      <c r="S730" s="77">
        <f t="shared" si="121"/>
        <v>695</v>
      </c>
      <c r="T730" s="77">
        <f>50</f>
        <v>50</v>
      </c>
      <c r="U730" s="78"/>
      <c r="V730" s="78"/>
      <c r="W730" s="78"/>
      <c r="X730" s="78"/>
      <c r="Y730" s="78"/>
      <c r="Z730" s="78"/>
      <c r="AA730" s="78"/>
      <c r="AB730" s="78"/>
      <c r="AC730" s="78"/>
      <c r="AD730" s="78"/>
    </row>
    <row r="731" spans="1:30" ht="15.75" x14ac:dyDescent="0.25">
      <c r="A731" s="13">
        <v>63554</v>
      </c>
      <c r="B731" s="88">
        <f t="shared" si="117"/>
        <v>31</v>
      </c>
      <c r="C731" s="77">
        <f>122.58</f>
        <v>122.58</v>
      </c>
      <c r="D731" s="77">
        <f>297.941</f>
        <v>297.94099999999997</v>
      </c>
      <c r="E731" s="85">
        <f>89.177</f>
        <v>89.177000000000007</v>
      </c>
      <c r="F731" s="77">
        <f>240.302-40-60-100</f>
        <v>40.301999999999992</v>
      </c>
      <c r="G731" s="80">
        <v>40</v>
      </c>
      <c r="H731" s="77">
        <f>60+100</f>
        <v>160</v>
      </c>
      <c r="I731" s="77">
        <f t="shared" si="113"/>
        <v>0</v>
      </c>
      <c r="J731" s="80">
        <v>100</v>
      </c>
      <c r="K731" s="80">
        <v>300</v>
      </c>
      <c r="L731" s="77">
        <f t="shared" si="118"/>
        <v>1150</v>
      </c>
      <c r="M731" s="87">
        <v>600</v>
      </c>
      <c r="N731" s="77">
        <f>100</f>
        <v>100</v>
      </c>
      <c r="O731" s="80">
        <v>240</v>
      </c>
      <c r="P731" s="80">
        <v>40</v>
      </c>
      <c r="Q731" s="80">
        <f t="shared" si="119"/>
        <v>315</v>
      </c>
      <c r="R731" s="80">
        <f t="shared" si="120"/>
        <v>100</v>
      </c>
      <c r="S731" s="77">
        <f t="shared" si="121"/>
        <v>695</v>
      </c>
      <c r="T731" s="77">
        <f>50</f>
        <v>50</v>
      </c>
      <c r="U731" s="78"/>
      <c r="V731" s="78"/>
      <c r="W731" s="78"/>
      <c r="X731" s="78"/>
      <c r="Y731" s="78"/>
      <c r="Z731" s="78"/>
      <c r="AA731" s="78"/>
      <c r="AB731" s="78"/>
      <c r="AC731" s="78"/>
      <c r="AD731" s="78"/>
    </row>
    <row r="732" spans="1:30" ht="15.75" x14ac:dyDescent="0.25">
      <c r="A732" s="13">
        <v>63585</v>
      </c>
      <c r="B732" s="88">
        <f t="shared" si="117"/>
        <v>31</v>
      </c>
      <c r="C732" s="77">
        <f>122.58</f>
        <v>122.58</v>
      </c>
      <c r="D732" s="77">
        <f>297.941</f>
        <v>297.94099999999997</v>
      </c>
      <c r="E732" s="85">
        <f>89.177</f>
        <v>89.177000000000007</v>
      </c>
      <c r="F732" s="77">
        <f>240.302-40-60-100</f>
        <v>40.301999999999992</v>
      </c>
      <c r="G732" s="80">
        <v>40</v>
      </c>
      <c r="H732" s="77">
        <f>60+100</f>
        <v>160</v>
      </c>
      <c r="I732" s="77">
        <f t="shared" si="113"/>
        <v>0</v>
      </c>
      <c r="J732" s="80">
        <v>100</v>
      </c>
      <c r="K732" s="80">
        <v>300</v>
      </c>
      <c r="L732" s="77">
        <f t="shared" si="118"/>
        <v>1150</v>
      </c>
      <c r="M732" s="87">
        <v>600</v>
      </c>
      <c r="N732" s="77">
        <f>100</f>
        <v>100</v>
      </c>
      <c r="O732" s="80">
        <v>240</v>
      </c>
      <c r="P732" s="80">
        <v>40</v>
      </c>
      <c r="Q732" s="80">
        <f t="shared" si="119"/>
        <v>315</v>
      </c>
      <c r="R732" s="80">
        <f t="shared" si="120"/>
        <v>100</v>
      </c>
      <c r="S732" s="77">
        <f t="shared" si="121"/>
        <v>695</v>
      </c>
      <c r="T732" s="77">
        <f>50</f>
        <v>50</v>
      </c>
      <c r="U732" s="78"/>
      <c r="V732" s="78"/>
      <c r="W732" s="78"/>
      <c r="X732" s="78"/>
      <c r="Y732" s="78"/>
      <c r="Z732" s="78"/>
      <c r="AA732" s="78"/>
      <c r="AB732" s="78"/>
      <c r="AC732" s="78"/>
      <c r="AD732" s="78"/>
    </row>
    <row r="733" spans="1:30" ht="15.75" x14ac:dyDescent="0.25">
      <c r="A733" s="13">
        <v>63613</v>
      </c>
      <c r="B733" s="88">
        <f t="shared" si="117"/>
        <v>28</v>
      </c>
      <c r="C733" s="77">
        <f>122.58</f>
        <v>122.58</v>
      </c>
      <c r="D733" s="77">
        <f>297.941</f>
        <v>297.94099999999997</v>
      </c>
      <c r="E733" s="85">
        <f>89.177</f>
        <v>89.177000000000007</v>
      </c>
      <c r="F733" s="77">
        <f>240.302-40-60-100</f>
        <v>40.301999999999992</v>
      </c>
      <c r="G733" s="80">
        <v>40</v>
      </c>
      <c r="H733" s="77">
        <f>60+100</f>
        <v>160</v>
      </c>
      <c r="I733" s="77">
        <f t="shared" si="113"/>
        <v>0</v>
      </c>
      <c r="J733" s="80">
        <v>100</v>
      </c>
      <c r="K733" s="80">
        <v>300</v>
      </c>
      <c r="L733" s="77">
        <f t="shared" si="118"/>
        <v>1150</v>
      </c>
      <c r="M733" s="87">
        <v>600</v>
      </c>
      <c r="N733" s="77">
        <f>100</f>
        <v>100</v>
      </c>
      <c r="O733" s="80">
        <v>240</v>
      </c>
      <c r="P733" s="80">
        <v>40</v>
      </c>
      <c r="Q733" s="80">
        <f t="shared" si="119"/>
        <v>315</v>
      </c>
      <c r="R733" s="80">
        <f t="shared" si="120"/>
        <v>100</v>
      </c>
      <c r="S733" s="77">
        <f t="shared" si="121"/>
        <v>695</v>
      </c>
      <c r="T733" s="77">
        <f>50</f>
        <v>50</v>
      </c>
      <c r="U733" s="78"/>
      <c r="V733" s="78"/>
      <c r="W733" s="78"/>
      <c r="X733" s="78"/>
      <c r="Y733" s="78"/>
      <c r="Z733" s="78"/>
      <c r="AA733" s="78"/>
      <c r="AB733" s="78"/>
      <c r="AC733" s="78"/>
      <c r="AD733" s="78"/>
    </row>
    <row r="734" spans="1:30" ht="15.75" x14ac:dyDescent="0.25">
      <c r="A734" s="13">
        <v>63644</v>
      </c>
      <c r="B734" s="88">
        <f t="shared" si="117"/>
        <v>31</v>
      </c>
      <c r="C734" s="77">
        <f>122.58</f>
        <v>122.58</v>
      </c>
      <c r="D734" s="77">
        <f>297.941</f>
        <v>297.94099999999997</v>
      </c>
      <c r="E734" s="85">
        <f>89.177</f>
        <v>89.177000000000007</v>
      </c>
      <c r="F734" s="77">
        <f>240.302-40-60-100</f>
        <v>40.301999999999992</v>
      </c>
      <c r="G734" s="80">
        <v>40</v>
      </c>
      <c r="H734" s="77">
        <f>60+100</f>
        <v>160</v>
      </c>
      <c r="I734" s="77">
        <f t="shared" si="113"/>
        <v>0</v>
      </c>
      <c r="J734" s="80">
        <v>100</v>
      </c>
      <c r="K734" s="80">
        <v>300</v>
      </c>
      <c r="L734" s="77">
        <f t="shared" si="118"/>
        <v>1150</v>
      </c>
      <c r="M734" s="87">
        <v>600</v>
      </c>
      <c r="N734" s="77">
        <f>100</f>
        <v>100</v>
      </c>
      <c r="O734" s="80">
        <v>240</v>
      </c>
      <c r="P734" s="80">
        <v>40</v>
      </c>
      <c r="Q734" s="80">
        <f t="shared" si="119"/>
        <v>315</v>
      </c>
      <c r="R734" s="80">
        <f t="shared" si="120"/>
        <v>100</v>
      </c>
      <c r="S734" s="77">
        <f t="shared" si="121"/>
        <v>695</v>
      </c>
      <c r="T734" s="77">
        <f>50</f>
        <v>50</v>
      </c>
      <c r="U734" s="78"/>
      <c r="V734" s="78"/>
      <c r="W734" s="78"/>
      <c r="X734" s="78"/>
      <c r="Y734" s="78"/>
      <c r="Z734" s="78"/>
      <c r="AA734" s="78"/>
      <c r="AB734" s="78"/>
      <c r="AC734" s="78"/>
      <c r="AD734" s="78"/>
    </row>
    <row r="735" spans="1:30" ht="15.75" x14ac:dyDescent="0.25">
      <c r="A735" s="13">
        <v>63674</v>
      </c>
      <c r="B735" s="88">
        <f t="shared" si="117"/>
        <v>30</v>
      </c>
      <c r="C735" s="77">
        <f>141.293</f>
        <v>141.29300000000001</v>
      </c>
      <c r="D735" s="77">
        <f>267.993</f>
        <v>267.99299999999999</v>
      </c>
      <c r="E735" s="85">
        <f>115.016</f>
        <v>115.01600000000001</v>
      </c>
      <c r="F735" s="77">
        <f>314.698-40-25-60-100</f>
        <v>89.697999999999979</v>
      </c>
      <c r="G735" s="80">
        <v>40</v>
      </c>
      <c r="H735" s="77">
        <f t="shared" ref="H735:H741" si="123">25+60+100</f>
        <v>185</v>
      </c>
      <c r="I735" s="77">
        <f t="shared" si="113"/>
        <v>0</v>
      </c>
      <c r="J735" s="80">
        <v>100</v>
      </c>
      <c r="K735" s="80">
        <v>300</v>
      </c>
      <c r="L735" s="77">
        <f t="shared" si="118"/>
        <v>1239</v>
      </c>
      <c r="M735" s="87">
        <v>600</v>
      </c>
      <c r="N735" s="77">
        <f>100</f>
        <v>100</v>
      </c>
      <c r="O735" s="80">
        <v>240</v>
      </c>
      <c r="P735" s="80">
        <v>40</v>
      </c>
      <c r="Q735" s="80">
        <f t="shared" si="119"/>
        <v>315</v>
      </c>
      <c r="R735" s="80">
        <f t="shared" si="120"/>
        <v>100</v>
      </c>
      <c r="S735" s="77">
        <f t="shared" si="121"/>
        <v>695</v>
      </c>
      <c r="T735" s="77">
        <f>50</f>
        <v>50</v>
      </c>
      <c r="U735" s="78"/>
      <c r="V735" s="78"/>
      <c r="W735" s="78"/>
      <c r="X735" s="78"/>
      <c r="Y735" s="78"/>
      <c r="Z735" s="78"/>
      <c r="AA735" s="78"/>
      <c r="AB735" s="78"/>
      <c r="AC735" s="78"/>
      <c r="AD735" s="78"/>
    </row>
    <row r="736" spans="1:30" ht="15.75" x14ac:dyDescent="0.25">
      <c r="A736" s="13">
        <v>63705</v>
      </c>
      <c r="B736" s="88">
        <f t="shared" si="117"/>
        <v>31</v>
      </c>
      <c r="C736" s="77">
        <f>194.205</f>
        <v>194.20500000000001</v>
      </c>
      <c r="D736" s="77">
        <f>267.466</f>
        <v>267.46600000000001</v>
      </c>
      <c r="E736" s="85">
        <f>133.845</f>
        <v>133.845</v>
      </c>
      <c r="F736" s="77">
        <f>278.484-40-25-60-100</f>
        <v>53.48399999999998</v>
      </c>
      <c r="G736" s="80">
        <v>40</v>
      </c>
      <c r="H736" s="77">
        <f t="shared" si="123"/>
        <v>185</v>
      </c>
      <c r="I736" s="77">
        <f t="shared" si="113"/>
        <v>0</v>
      </c>
      <c r="J736" s="80">
        <v>100</v>
      </c>
      <c r="K736" s="80">
        <v>300</v>
      </c>
      <c r="L736" s="77">
        <f t="shared" si="118"/>
        <v>1274</v>
      </c>
      <c r="M736" s="87">
        <v>600</v>
      </c>
      <c r="N736" s="77">
        <f>75</f>
        <v>75</v>
      </c>
      <c r="O736" s="80">
        <v>240</v>
      </c>
      <c r="P736" s="80">
        <v>40</v>
      </c>
      <c r="Q736" s="80">
        <f t="shared" si="119"/>
        <v>315</v>
      </c>
      <c r="R736" s="80">
        <f t="shared" si="120"/>
        <v>100</v>
      </c>
      <c r="S736" s="77">
        <f t="shared" si="121"/>
        <v>695</v>
      </c>
      <c r="T736" s="77">
        <f>50</f>
        <v>50</v>
      </c>
      <c r="U736" s="78"/>
      <c r="V736" s="78"/>
      <c r="W736" s="78"/>
      <c r="X736" s="78"/>
      <c r="Y736" s="78"/>
      <c r="Z736" s="78"/>
      <c r="AA736" s="78"/>
      <c r="AB736" s="78"/>
      <c r="AC736" s="78"/>
      <c r="AD736" s="78"/>
    </row>
    <row r="737" spans="1:30" ht="15.75" x14ac:dyDescent="0.25">
      <c r="A737" s="13">
        <v>63735</v>
      </c>
      <c r="B737" s="88">
        <f t="shared" si="117"/>
        <v>30</v>
      </c>
      <c r="C737" s="77">
        <f>194.205</f>
        <v>194.20500000000001</v>
      </c>
      <c r="D737" s="77">
        <f>267.466</f>
        <v>267.46600000000001</v>
      </c>
      <c r="E737" s="85">
        <f>133.845</f>
        <v>133.845</v>
      </c>
      <c r="F737" s="77">
        <f>278.484-40-25-60-100</f>
        <v>53.48399999999998</v>
      </c>
      <c r="G737" s="80">
        <v>40</v>
      </c>
      <c r="H737" s="77">
        <f t="shared" si="123"/>
        <v>185</v>
      </c>
      <c r="I737" s="77">
        <f t="shared" si="113"/>
        <v>0</v>
      </c>
      <c r="J737" s="80">
        <v>100</v>
      </c>
      <c r="K737" s="80">
        <v>300</v>
      </c>
      <c r="L737" s="77">
        <f t="shared" si="118"/>
        <v>1274</v>
      </c>
      <c r="M737" s="87">
        <v>600</v>
      </c>
      <c r="N737" s="77">
        <f>30</f>
        <v>30</v>
      </c>
      <c r="O737" s="80">
        <v>240</v>
      </c>
      <c r="P737" s="80">
        <v>40</v>
      </c>
      <c r="Q737" s="80">
        <f t="shared" si="119"/>
        <v>315</v>
      </c>
      <c r="R737" s="80">
        <f t="shared" si="120"/>
        <v>100</v>
      </c>
      <c r="S737" s="77">
        <f t="shared" si="121"/>
        <v>695</v>
      </c>
      <c r="T737" s="77">
        <f>50</f>
        <v>50</v>
      </c>
      <c r="U737" s="78"/>
      <c r="V737" s="78"/>
      <c r="W737" s="78"/>
      <c r="X737" s="78"/>
      <c r="Y737" s="78"/>
      <c r="Z737" s="78"/>
      <c r="AA737" s="78"/>
      <c r="AB737" s="78"/>
      <c r="AC737" s="78"/>
      <c r="AD737" s="78"/>
    </row>
    <row r="738" spans="1:30" ht="15.75" x14ac:dyDescent="0.25">
      <c r="A738" s="13">
        <v>63766</v>
      </c>
      <c r="B738" s="88">
        <f t="shared" si="117"/>
        <v>31</v>
      </c>
      <c r="C738" s="77">
        <f>194.205</f>
        <v>194.20500000000001</v>
      </c>
      <c r="D738" s="77">
        <f>267.466</f>
        <v>267.46600000000001</v>
      </c>
      <c r="E738" s="85">
        <f>133.845</f>
        <v>133.845</v>
      </c>
      <c r="F738" s="77">
        <f>278.484-40-25-60-100</f>
        <v>53.48399999999998</v>
      </c>
      <c r="G738" s="80">
        <v>40</v>
      </c>
      <c r="H738" s="77">
        <f t="shared" si="123"/>
        <v>185</v>
      </c>
      <c r="I738" s="77">
        <f t="shared" si="113"/>
        <v>0</v>
      </c>
      <c r="J738" s="80">
        <v>100</v>
      </c>
      <c r="K738" s="80">
        <v>300</v>
      </c>
      <c r="L738" s="77">
        <f t="shared" si="118"/>
        <v>1274</v>
      </c>
      <c r="M738" s="87">
        <v>600</v>
      </c>
      <c r="N738" s="77">
        <f>30</f>
        <v>30</v>
      </c>
      <c r="O738" s="80">
        <v>240</v>
      </c>
      <c r="P738" s="80">
        <v>40</v>
      </c>
      <c r="Q738" s="80">
        <f t="shared" si="119"/>
        <v>315</v>
      </c>
      <c r="R738" s="80">
        <f t="shared" si="120"/>
        <v>100</v>
      </c>
      <c r="S738" s="77">
        <f t="shared" si="121"/>
        <v>695</v>
      </c>
      <c r="T738" s="77">
        <f>0</f>
        <v>0</v>
      </c>
      <c r="U738" s="78"/>
      <c r="V738" s="78"/>
      <c r="W738" s="78"/>
      <c r="X738" s="78"/>
      <c r="Y738" s="78"/>
      <c r="Z738" s="78"/>
      <c r="AA738" s="78"/>
      <c r="AB738" s="78"/>
      <c r="AC738" s="78"/>
      <c r="AD738" s="78"/>
    </row>
    <row r="739" spans="1:30" ht="15.75" x14ac:dyDescent="0.25">
      <c r="A739" s="13">
        <v>63797</v>
      </c>
      <c r="B739" s="88">
        <f t="shared" si="117"/>
        <v>31</v>
      </c>
      <c r="C739" s="77">
        <f>194.205</f>
        <v>194.20500000000001</v>
      </c>
      <c r="D739" s="77">
        <f>267.466</f>
        <v>267.46600000000001</v>
      </c>
      <c r="E739" s="85">
        <f>133.845</f>
        <v>133.845</v>
      </c>
      <c r="F739" s="77">
        <f>278.484-40-25-60-100</f>
        <v>53.48399999999998</v>
      </c>
      <c r="G739" s="80">
        <v>40</v>
      </c>
      <c r="H739" s="77">
        <f t="shared" si="123"/>
        <v>185</v>
      </c>
      <c r="I739" s="77">
        <f t="shared" si="113"/>
        <v>0</v>
      </c>
      <c r="J739" s="80">
        <v>100</v>
      </c>
      <c r="K739" s="80">
        <v>300</v>
      </c>
      <c r="L739" s="77">
        <f t="shared" si="118"/>
        <v>1274</v>
      </c>
      <c r="M739" s="87">
        <v>600</v>
      </c>
      <c r="N739" s="77">
        <f>30</f>
        <v>30</v>
      </c>
      <c r="O739" s="80">
        <v>240</v>
      </c>
      <c r="P739" s="80">
        <v>40</v>
      </c>
      <c r="Q739" s="80">
        <f t="shared" si="119"/>
        <v>315</v>
      </c>
      <c r="R739" s="80">
        <f t="shared" si="120"/>
        <v>100</v>
      </c>
      <c r="S739" s="77">
        <f t="shared" si="121"/>
        <v>695</v>
      </c>
      <c r="T739" s="77">
        <f>0</f>
        <v>0</v>
      </c>
      <c r="U739" s="78"/>
      <c r="V739" s="78"/>
      <c r="W739" s="78"/>
      <c r="X739" s="78"/>
      <c r="Y739" s="78"/>
      <c r="Z739" s="78"/>
      <c r="AA739" s="78"/>
      <c r="AB739" s="78"/>
      <c r="AC739" s="78"/>
      <c r="AD739" s="78"/>
    </row>
    <row r="740" spans="1:30" ht="15.75" x14ac:dyDescent="0.25">
      <c r="A740" s="13">
        <v>63827</v>
      </c>
      <c r="B740" s="88">
        <f t="shared" si="117"/>
        <v>30</v>
      </c>
      <c r="C740" s="77">
        <f>194.205</f>
        <v>194.20500000000001</v>
      </c>
      <c r="D740" s="77">
        <f>267.466</f>
        <v>267.46600000000001</v>
      </c>
      <c r="E740" s="85">
        <f>133.845</f>
        <v>133.845</v>
      </c>
      <c r="F740" s="77">
        <f>278.484-40-25-60-100</f>
        <v>53.48399999999998</v>
      </c>
      <c r="G740" s="80">
        <v>40</v>
      </c>
      <c r="H740" s="77">
        <f t="shared" si="123"/>
        <v>185</v>
      </c>
      <c r="I740" s="77">
        <f t="shared" si="113"/>
        <v>0</v>
      </c>
      <c r="J740" s="80">
        <v>100</v>
      </c>
      <c r="K740" s="80">
        <v>300</v>
      </c>
      <c r="L740" s="77">
        <f t="shared" si="118"/>
        <v>1274</v>
      </c>
      <c r="M740" s="87">
        <v>600</v>
      </c>
      <c r="N740" s="77">
        <f>30</f>
        <v>30</v>
      </c>
      <c r="O740" s="80">
        <v>240</v>
      </c>
      <c r="P740" s="80">
        <v>40</v>
      </c>
      <c r="Q740" s="80">
        <f t="shared" si="119"/>
        <v>315</v>
      </c>
      <c r="R740" s="80">
        <f t="shared" si="120"/>
        <v>100</v>
      </c>
      <c r="S740" s="77">
        <f t="shared" si="121"/>
        <v>695</v>
      </c>
      <c r="T740" s="77">
        <f>0</f>
        <v>0</v>
      </c>
      <c r="U740" s="78"/>
      <c r="V740" s="78"/>
      <c r="W740" s="78"/>
      <c r="X740" s="78"/>
      <c r="Y740" s="78"/>
      <c r="Z740" s="78"/>
      <c r="AA740" s="78"/>
      <c r="AB740" s="78"/>
      <c r="AC740" s="78"/>
      <c r="AD740" s="78"/>
    </row>
    <row r="741" spans="1:30" ht="15.75" x14ac:dyDescent="0.25">
      <c r="A741" s="13">
        <v>63858</v>
      </c>
      <c r="B741" s="88">
        <f t="shared" si="117"/>
        <v>31</v>
      </c>
      <c r="C741" s="77">
        <f>131.881</f>
        <v>131.881</v>
      </c>
      <c r="D741" s="77">
        <f>277.167</f>
        <v>277.16699999999997</v>
      </c>
      <c r="E741" s="85">
        <f>79.08</f>
        <v>79.08</v>
      </c>
      <c r="F741" s="77">
        <f>350.872-40-25-60-100</f>
        <v>125.87200000000001</v>
      </c>
      <c r="G741" s="80">
        <v>40</v>
      </c>
      <c r="H741" s="77">
        <f t="shared" si="123"/>
        <v>185</v>
      </c>
      <c r="I741" s="77">
        <f t="shared" si="113"/>
        <v>0</v>
      </c>
      <c r="J741" s="80">
        <v>100</v>
      </c>
      <c r="K741" s="80">
        <v>300</v>
      </c>
      <c r="L741" s="77">
        <f t="shared" si="118"/>
        <v>1239</v>
      </c>
      <c r="M741" s="87">
        <v>600</v>
      </c>
      <c r="N741" s="77">
        <f>75</f>
        <v>75</v>
      </c>
      <c r="O741" s="80">
        <v>240</v>
      </c>
      <c r="P741" s="80">
        <v>40</v>
      </c>
      <c r="Q741" s="80">
        <f t="shared" si="119"/>
        <v>315</v>
      </c>
      <c r="R741" s="80">
        <f t="shared" si="120"/>
        <v>100</v>
      </c>
      <c r="S741" s="77">
        <f t="shared" si="121"/>
        <v>695</v>
      </c>
      <c r="T741" s="77">
        <f>0</f>
        <v>0</v>
      </c>
      <c r="U741" s="78"/>
      <c r="V741" s="78"/>
      <c r="W741" s="78"/>
      <c r="X741" s="78"/>
      <c r="Y741" s="78"/>
      <c r="Z741" s="78"/>
      <c r="AA741" s="78"/>
      <c r="AB741" s="78"/>
      <c r="AC741" s="78"/>
      <c r="AD741" s="78"/>
    </row>
    <row r="742" spans="1:30" ht="15.75" x14ac:dyDescent="0.25">
      <c r="A742" s="13">
        <v>63888</v>
      </c>
      <c r="B742" s="88">
        <f t="shared" si="117"/>
        <v>30</v>
      </c>
      <c r="C742" s="77">
        <f>122.58</f>
        <v>122.58</v>
      </c>
      <c r="D742" s="77">
        <f>297.941</f>
        <v>297.94099999999997</v>
      </c>
      <c r="E742" s="85">
        <f>89.177</f>
        <v>89.177000000000007</v>
      </c>
      <c r="F742" s="77">
        <f>240.302-40-60-100</f>
        <v>40.301999999999992</v>
      </c>
      <c r="G742" s="80">
        <v>40</v>
      </c>
      <c r="H742" s="77">
        <f>60+100</f>
        <v>160</v>
      </c>
      <c r="I742" s="77">
        <f t="shared" si="113"/>
        <v>0</v>
      </c>
      <c r="J742" s="80">
        <v>100</v>
      </c>
      <c r="K742" s="80">
        <v>300</v>
      </c>
      <c r="L742" s="77">
        <f t="shared" si="118"/>
        <v>1150</v>
      </c>
      <c r="M742" s="87">
        <v>600</v>
      </c>
      <c r="N742" s="77">
        <f>100</f>
        <v>100</v>
      </c>
      <c r="O742" s="80">
        <v>240</v>
      </c>
      <c r="P742" s="80">
        <v>40</v>
      </c>
      <c r="Q742" s="80">
        <f t="shared" si="119"/>
        <v>315</v>
      </c>
      <c r="R742" s="80">
        <f t="shared" si="120"/>
        <v>100</v>
      </c>
      <c r="S742" s="77">
        <f t="shared" si="121"/>
        <v>695</v>
      </c>
      <c r="T742" s="77">
        <f>50</f>
        <v>50</v>
      </c>
      <c r="U742" s="78"/>
      <c r="V742" s="78"/>
      <c r="W742" s="78"/>
      <c r="X742" s="78"/>
      <c r="Y742" s="78"/>
      <c r="Z742" s="78"/>
      <c r="AA742" s="78"/>
      <c r="AB742" s="78"/>
      <c r="AC742" s="78"/>
      <c r="AD742" s="78"/>
    </row>
    <row r="743" spans="1:30" ht="15.75" x14ac:dyDescent="0.25">
      <c r="A743" s="13">
        <v>63919</v>
      </c>
      <c r="B743" s="88">
        <f t="shared" si="117"/>
        <v>31</v>
      </c>
      <c r="C743" s="77">
        <f>122.58</f>
        <v>122.58</v>
      </c>
      <c r="D743" s="77">
        <f>297.941</f>
        <v>297.94099999999997</v>
      </c>
      <c r="E743" s="85">
        <f>89.177</f>
        <v>89.177000000000007</v>
      </c>
      <c r="F743" s="77">
        <f>240.302-40-60-100</f>
        <v>40.301999999999992</v>
      </c>
      <c r="G743" s="80">
        <v>40</v>
      </c>
      <c r="H743" s="77">
        <f>60+100</f>
        <v>160</v>
      </c>
      <c r="I743" s="77">
        <f t="shared" si="113"/>
        <v>0</v>
      </c>
      <c r="J743" s="80">
        <v>100</v>
      </c>
      <c r="K743" s="80">
        <v>300</v>
      </c>
      <c r="L743" s="77">
        <f t="shared" si="118"/>
        <v>1150</v>
      </c>
      <c r="M743" s="87">
        <v>600</v>
      </c>
      <c r="N743" s="77">
        <f>100</f>
        <v>100</v>
      </c>
      <c r="O743" s="80">
        <v>240</v>
      </c>
      <c r="P743" s="80">
        <v>40</v>
      </c>
      <c r="Q743" s="80">
        <f t="shared" si="119"/>
        <v>315</v>
      </c>
      <c r="R743" s="80">
        <f t="shared" si="120"/>
        <v>100</v>
      </c>
      <c r="S743" s="77">
        <f t="shared" si="121"/>
        <v>695</v>
      </c>
      <c r="T743" s="77">
        <f>50</f>
        <v>50</v>
      </c>
      <c r="U743" s="78"/>
      <c r="V743" s="78"/>
      <c r="W743" s="78"/>
      <c r="X743" s="78"/>
      <c r="Y743" s="78"/>
      <c r="Z743" s="78"/>
      <c r="AA743" s="78"/>
      <c r="AB743" s="78"/>
      <c r="AC743" s="78"/>
      <c r="AD743" s="78"/>
    </row>
    <row r="744" spans="1:30" ht="15.75" x14ac:dyDescent="0.25">
      <c r="A744" s="13">
        <v>63950</v>
      </c>
      <c r="B744" s="88">
        <f t="shared" si="117"/>
        <v>31</v>
      </c>
      <c r="C744" s="77">
        <f>122.58</f>
        <v>122.58</v>
      </c>
      <c r="D744" s="77">
        <f>297.941</f>
        <v>297.94099999999997</v>
      </c>
      <c r="E744" s="85">
        <f>89.177</f>
        <v>89.177000000000007</v>
      </c>
      <c r="F744" s="77">
        <f>240.302-40-60-100</f>
        <v>40.301999999999992</v>
      </c>
      <c r="G744" s="80">
        <v>40</v>
      </c>
      <c r="H744" s="77">
        <f>60+100</f>
        <v>160</v>
      </c>
      <c r="I744" s="77">
        <f t="shared" ref="I744:I807" si="124">400-J744-K744</f>
        <v>0</v>
      </c>
      <c r="J744" s="80">
        <v>100</v>
      </c>
      <c r="K744" s="80">
        <v>300</v>
      </c>
      <c r="L744" s="77">
        <f t="shared" si="118"/>
        <v>1150</v>
      </c>
      <c r="M744" s="87">
        <v>600</v>
      </c>
      <c r="N744" s="77">
        <f>100</f>
        <v>100</v>
      </c>
      <c r="O744" s="80">
        <v>240</v>
      </c>
      <c r="P744" s="80">
        <v>40</v>
      </c>
      <c r="Q744" s="80">
        <f t="shared" si="119"/>
        <v>315</v>
      </c>
      <c r="R744" s="80">
        <f t="shared" si="120"/>
        <v>100</v>
      </c>
      <c r="S744" s="77">
        <f t="shared" si="121"/>
        <v>695</v>
      </c>
      <c r="T744" s="77">
        <f>50</f>
        <v>50</v>
      </c>
      <c r="U744" s="78"/>
      <c r="V744" s="78"/>
      <c r="W744" s="78"/>
      <c r="X744" s="78"/>
      <c r="Y744" s="78"/>
      <c r="Z744" s="78"/>
      <c r="AA744" s="78"/>
      <c r="AB744" s="78"/>
      <c r="AC744" s="78"/>
      <c r="AD744" s="78"/>
    </row>
    <row r="745" spans="1:30" ht="15.75" x14ac:dyDescent="0.25">
      <c r="A745" s="13">
        <v>63978</v>
      </c>
      <c r="B745" s="88">
        <f t="shared" si="117"/>
        <v>28</v>
      </c>
      <c r="C745" s="77">
        <f>122.58</f>
        <v>122.58</v>
      </c>
      <c r="D745" s="77">
        <f>297.941</f>
        <v>297.94099999999997</v>
      </c>
      <c r="E745" s="85">
        <f>89.177</f>
        <v>89.177000000000007</v>
      </c>
      <c r="F745" s="77">
        <f>240.302-40-60-100</f>
        <v>40.301999999999992</v>
      </c>
      <c r="G745" s="80">
        <v>40</v>
      </c>
      <c r="H745" s="77">
        <f>60+100</f>
        <v>160</v>
      </c>
      <c r="I745" s="77">
        <f t="shared" si="124"/>
        <v>0</v>
      </c>
      <c r="J745" s="80">
        <v>100</v>
      </c>
      <c r="K745" s="80">
        <v>300</v>
      </c>
      <c r="L745" s="77">
        <f t="shared" si="118"/>
        <v>1150</v>
      </c>
      <c r="M745" s="87">
        <v>600</v>
      </c>
      <c r="N745" s="77">
        <f>100</f>
        <v>100</v>
      </c>
      <c r="O745" s="80">
        <v>240</v>
      </c>
      <c r="P745" s="80">
        <v>40</v>
      </c>
      <c r="Q745" s="80">
        <f t="shared" si="119"/>
        <v>315</v>
      </c>
      <c r="R745" s="80">
        <f t="shared" si="120"/>
        <v>100</v>
      </c>
      <c r="S745" s="77">
        <f t="shared" si="121"/>
        <v>695</v>
      </c>
      <c r="T745" s="77">
        <f>50</f>
        <v>50</v>
      </c>
      <c r="U745" s="78"/>
      <c r="V745" s="78"/>
      <c r="W745" s="78"/>
      <c r="X745" s="78"/>
      <c r="Y745" s="78"/>
      <c r="Z745" s="78"/>
      <c r="AA745" s="78"/>
      <c r="AB745" s="78"/>
      <c r="AC745" s="78"/>
      <c r="AD745" s="78"/>
    </row>
    <row r="746" spans="1:30" ht="15.75" x14ac:dyDescent="0.25">
      <c r="A746" s="13">
        <v>64009</v>
      </c>
      <c r="B746" s="88">
        <f t="shared" si="117"/>
        <v>31</v>
      </c>
      <c r="C746" s="77">
        <f>122.58</f>
        <v>122.58</v>
      </c>
      <c r="D746" s="77">
        <f>297.941</f>
        <v>297.94099999999997</v>
      </c>
      <c r="E746" s="85">
        <f>89.177</f>
        <v>89.177000000000007</v>
      </c>
      <c r="F746" s="77">
        <f>240.302-40-60-100</f>
        <v>40.301999999999992</v>
      </c>
      <c r="G746" s="80">
        <v>40</v>
      </c>
      <c r="H746" s="77">
        <f>60+100</f>
        <v>160</v>
      </c>
      <c r="I746" s="77">
        <f t="shared" si="124"/>
        <v>0</v>
      </c>
      <c r="J746" s="80">
        <v>100</v>
      </c>
      <c r="K746" s="80">
        <v>300</v>
      </c>
      <c r="L746" s="77">
        <f t="shared" si="118"/>
        <v>1150</v>
      </c>
      <c r="M746" s="87">
        <v>600</v>
      </c>
      <c r="N746" s="77">
        <f>100</f>
        <v>100</v>
      </c>
      <c r="O746" s="80">
        <v>240</v>
      </c>
      <c r="P746" s="80">
        <v>40</v>
      </c>
      <c r="Q746" s="80">
        <f t="shared" si="119"/>
        <v>315</v>
      </c>
      <c r="R746" s="80">
        <f t="shared" si="120"/>
        <v>100</v>
      </c>
      <c r="S746" s="77">
        <f t="shared" si="121"/>
        <v>695</v>
      </c>
      <c r="T746" s="77">
        <f>50</f>
        <v>50</v>
      </c>
      <c r="U746" s="78"/>
      <c r="V746" s="78"/>
      <c r="W746" s="78"/>
      <c r="X746" s="78"/>
      <c r="Y746" s="78"/>
      <c r="Z746" s="78"/>
      <c r="AA746" s="78"/>
      <c r="AB746" s="78"/>
      <c r="AC746" s="78"/>
      <c r="AD746" s="78"/>
    </row>
    <row r="747" spans="1:30" ht="15.75" x14ac:dyDescent="0.25">
      <c r="A747" s="13">
        <v>64039</v>
      </c>
      <c r="B747" s="88">
        <f t="shared" si="117"/>
        <v>30</v>
      </c>
      <c r="C747" s="77">
        <f>141.293</f>
        <v>141.29300000000001</v>
      </c>
      <c r="D747" s="77">
        <f>267.993</f>
        <v>267.99299999999999</v>
      </c>
      <c r="E747" s="85">
        <f>115.016</f>
        <v>115.01600000000001</v>
      </c>
      <c r="F747" s="77">
        <f>314.698-40-25-60-100</f>
        <v>89.697999999999979</v>
      </c>
      <c r="G747" s="80">
        <v>40</v>
      </c>
      <c r="H747" s="77">
        <f t="shared" ref="H747:H753" si="125">25+60+100</f>
        <v>185</v>
      </c>
      <c r="I747" s="77">
        <f t="shared" si="124"/>
        <v>0</v>
      </c>
      <c r="J747" s="80">
        <v>100</v>
      </c>
      <c r="K747" s="80">
        <v>300</v>
      </c>
      <c r="L747" s="77">
        <f t="shared" si="118"/>
        <v>1239</v>
      </c>
      <c r="M747" s="87">
        <v>600</v>
      </c>
      <c r="N747" s="77">
        <f>100</f>
        <v>100</v>
      </c>
      <c r="O747" s="80">
        <v>240</v>
      </c>
      <c r="P747" s="80">
        <v>40</v>
      </c>
      <c r="Q747" s="80">
        <f t="shared" si="119"/>
        <v>315</v>
      </c>
      <c r="R747" s="80">
        <f t="shared" si="120"/>
        <v>100</v>
      </c>
      <c r="S747" s="77">
        <f t="shared" si="121"/>
        <v>695</v>
      </c>
      <c r="T747" s="77">
        <f>50</f>
        <v>50</v>
      </c>
      <c r="U747" s="78"/>
      <c r="V747" s="78"/>
      <c r="W747" s="78"/>
      <c r="X747" s="78"/>
      <c r="Y747" s="78"/>
      <c r="Z747" s="78"/>
      <c r="AA747" s="78"/>
      <c r="AB747" s="78"/>
      <c r="AC747" s="78"/>
      <c r="AD747" s="78"/>
    </row>
    <row r="748" spans="1:30" ht="15.75" x14ac:dyDescent="0.25">
      <c r="A748" s="13">
        <v>64070</v>
      </c>
      <c r="B748" s="88">
        <f t="shared" si="117"/>
        <v>31</v>
      </c>
      <c r="C748" s="77">
        <f>194.205</f>
        <v>194.20500000000001</v>
      </c>
      <c r="D748" s="77">
        <f>267.466</f>
        <v>267.46600000000001</v>
      </c>
      <c r="E748" s="85">
        <f>133.845</f>
        <v>133.845</v>
      </c>
      <c r="F748" s="77">
        <f>278.484-40-25-60-100</f>
        <v>53.48399999999998</v>
      </c>
      <c r="G748" s="80">
        <v>40</v>
      </c>
      <c r="H748" s="77">
        <f t="shared" si="125"/>
        <v>185</v>
      </c>
      <c r="I748" s="77">
        <f t="shared" si="124"/>
        <v>0</v>
      </c>
      <c r="J748" s="80">
        <v>100</v>
      </c>
      <c r="K748" s="80">
        <v>300</v>
      </c>
      <c r="L748" s="77">
        <f t="shared" si="118"/>
        <v>1274</v>
      </c>
      <c r="M748" s="87">
        <v>600</v>
      </c>
      <c r="N748" s="77">
        <f>75</f>
        <v>75</v>
      </c>
      <c r="O748" s="80">
        <v>240</v>
      </c>
      <c r="P748" s="80">
        <v>40</v>
      </c>
      <c r="Q748" s="80">
        <f t="shared" si="119"/>
        <v>315</v>
      </c>
      <c r="R748" s="80">
        <f t="shared" si="120"/>
        <v>100</v>
      </c>
      <c r="S748" s="77">
        <f t="shared" si="121"/>
        <v>695</v>
      </c>
      <c r="T748" s="77">
        <f>50</f>
        <v>50</v>
      </c>
      <c r="U748" s="78"/>
      <c r="V748" s="78"/>
      <c r="W748" s="78"/>
      <c r="X748" s="78"/>
      <c r="Y748" s="78"/>
      <c r="Z748" s="78"/>
      <c r="AA748" s="78"/>
      <c r="AB748" s="78"/>
      <c r="AC748" s="78"/>
      <c r="AD748" s="78"/>
    </row>
    <row r="749" spans="1:30" ht="15.75" x14ac:dyDescent="0.25">
      <c r="A749" s="13">
        <v>64100</v>
      </c>
      <c r="B749" s="88">
        <f t="shared" si="117"/>
        <v>30</v>
      </c>
      <c r="C749" s="77">
        <f>194.205</f>
        <v>194.20500000000001</v>
      </c>
      <c r="D749" s="77">
        <f>267.466</f>
        <v>267.46600000000001</v>
      </c>
      <c r="E749" s="85">
        <f>133.845</f>
        <v>133.845</v>
      </c>
      <c r="F749" s="77">
        <f>278.484-40-25-60-100</f>
        <v>53.48399999999998</v>
      </c>
      <c r="G749" s="80">
        <v>40</v>
      </c>
      <c r="H749" s="77">
        <f t="shared" si="125"/>
        <v>185</v>
      </c>
      <c r="I749" s="77">
        <f t="shared" si="124"/>
        <v>0</v>
      </c>
      <c r="J749" s="80">
        <v>100</v>
      </c>
      <c r="K749" s="80">
        <v>300</v>
      </c>
      <c r="L749" s="77">
        <f t="shared" si="118"/>
        <v>1274</v>
      </c>
      <c r="M749" s="87">
        <v>600</v>
      </c>
      <c r="N749" s="77">
        <f>30</f>
        <v>30</v>
      </c>
      <c r="O749" s="80">
        <v>240</v>
      </c>
      <c r="P749" s="80">
        <v>40</v>
      </c>
      <c r="Q749" s="80">
        <f t="shared" si="119"/>
        <v>315</v>
      </c>
      <c r="R749" s="80">
        <f t="shared" si="120"/>
        <v>100</v>
      </c>
      <c r="S749" s="77">
        <f t="shared" si="121"/>
        <v>695</v>
      </c>
      <c r="T749" s="77">
        <f>50</f>
        <v>50</v>
      </c>
      <c r="U749" s="78"/>
      <c r="V749" s="78"/>
      <c r="W749" s="78"/>
      <c r="X749" s="78"/>
      <c r="Y749" s="78"/>
      <c r="Z749" s="78"/>
      <c r="AA749" s="78"/>
      <c r="AB749" s="78"/>
      <c r="AC749" s="78"/>
      <c r="AD749" s="78"/>
    </row>
    <row r="750" spans="1:30" ht="15.75" x14ac:dyDescent="0.25">
      <c r="A750" s="13">
        <v>64131</v>
      </c>
      <c r="B750" s="88">
        <f t="shared" si="117"/>
        <v>31</v>
      </c>
      <c r="C750" s="77">
        <f>194.205</f>
        <v>194.20500000000001</v>
      </c>
      <c r="D750" s="77">
        <f>267.466</f>
        <v>267.46600000000001</v>
      </c>
      <c r="E750" s="85">
        <f>133.845</f>
        <v>133.845</v>
      </c>
      <c r="F750" s="77">
        <f>278.484-40-25-60-100</f>
        <v>53.48399999999998</v>
      </c>
      <c r="G750" s="80">
        <v>40</v>
      </c>
      <c r="H750" s="77">
        <f t="shared" si="125"/>
        <v>185</v>
      </c>
      <c r="I750" s="77">
        <f t="shared" si="124"/>
        <v>0</v>
      </c>
      <c r="J750" s="80">
        <v>100</v>
      </c>
      <c r="K750" s="80">
        <v>300</v>
      </c>
      <c r="L750" s="77">
        <f t="shared" si="118"/>
        <v>1274</v>
      </c>
      <c r="M750" s="87">
        <v>600</v>
      </c>
      <c r="N750" s="77">
        <f>30</f>
        <v>30</v>
      </c>
      <c r="O750" s="80">
        <v>240</v>
      </c>
      <c r="P750" s="80">
        <v>40</v>
      </c>
      <c r="Q750" s="80">
        <f t="shared" si="119"/>
        <v>315</v>
      </c>
      <c r="R750" s="80">
        <f t="shared" si="120"/>
        <v>100</v>
      </c>
      <c r="S750" s="77">
        <f t="shared" si="121"/>
        <v>695</v>
      </c>
      <c r="T750" s="77">
        <f>0</f>
        <v>0</v>
      </c>
      <c r="U750" s="78"/>
      <c r="V750" s="78"/>
      <c r="W750" s="78"/>
      <c r="X750" s="78"/>
      <c r="Y750" s="78"/>
      <c r="Z750" s="78"/>
      <c r="AA750" s="78"/>
      <c r="AB750" s="78"/>
      <c r="AC750" s="78"/>
      <c r="AD750" s="78"/>
    </row>
    <row r="751" spans="1:30" ht="15.75" x14ac:dyDescent="0.25">
      <c r="A751" s="13">
        <v>64162</v>
      </c>
      <c r="B751" s="88">
        <f t="shared" si="117"/>
        <v>31</v>
      </c>
      <c r="C751" s="77">
        <f>194.205</f>
        <v>194.20500000000001</v>
      </c>
      <c r="D751" s="77">
        <f>267.466</f>
        <v>267.46600000000001</v>
      </c>
      <c r="E751" s="85">
        <f>133.845</f>
        <v>133.845</v>
      </c>
      <c r="F751" s="77">
        <f>278.484-40-25-60-100</f>
        <v>53.48399999999998</v>
      </c>
      <c r="G751" s="80">
        <v>40</v>
      </c>
      <c r="H751" s="77">
        <f t="shared" si="125"/>
        <v>185</v>
      </c>
      <c r="I751" s="77">
        <f t="shared" si="124"/>
        <v>0</v>
      </c>
      <c r="J751" s="80">
        <v>100</v>
      </c>
      <c r="K751" s="80">
        <v>300</v>
      </c>
      <c r="L751" s="77">
        <f t="shared" si="118"/>
        <v>1274</v>
      </c>
      <c r="M751" s="87">
        <v>600</v>
      </c>
      <c r="N751" s="77">
        <f>30</f>
        <v>30</v>
      </c>
      <c r="O751" s="80">
        <v>240</v>
      </c>
      <c r="P751" s="80">
        <v>40</v>
      </c>
      <c r="Q751" s="80">
        <f t="shared" si="119"/>
        <v>315</v>
      </c>
      <c r="R751" s="80">
        <f t="shared" si="120"/>
        <v>100</v>
      </c>
      <c r="S751" s="77">
        <f t="shared" si="121"/>
        <v>695</v>
      </c>
      <c r="T751" s="77">
        <f>0</f>
        <v>0</v>
      </c>
      <c r="U751" s="78"/>
      <c r="V751" s="78"/>
      <c r="W751" s="78"/>
      <c r="X751" s="78"/>
      <c r="Y751" s="78"/>
      <c r="Z751" s="78"/>
      <c r="AA751" s="78"/>
      <c r="AB751" s="78"/>
      <c r="AC751" s="78"/>
      <c r="AD751" s="78"/>
    </row>
    <row r="752" spans="1:30" ht="15.75" x14ac:dyDescent="0.25">
      <c r="A752" s="13">
        <v>64192</v>
      </c>
      <c r="B752" s="88">
        <f t="shared" si="117"/>
        <v>30</v>
      </c>
      <c r="C752" s="77">
        <f>194.205</f>
        <v>194.20500000000001</v>
      </c>
      <c r="D752" s="77">
        <f>267.466</f>
        <v>267.46600000000001</v>
      </c>
      <c r="E752" s="85">
        <f>133.845</f>
        <v>133.845</v>
      </c>
      <c r="F752" s="77">
        <f>278.484-40-25-60-100</f>
        <v>53.48399999999998</v>
      </c>
      <c r="G752" s="80">
        <v>40</v>
      </c>
      <c r="H752" s="77">
        <f t="shared" si="125"/>
        <v>185</v>
      </c>
      <c r="I752" s="77">
        <f t="shared" si="124"/>
        <v>0</v>
      </c>
      <c r="J752" s="80">
        <v>100</v>
      </c>
      <c r="K752" s="80">
        <v>300</v>
      </c>
      <c r="L752" s="77">
        <f t="shared" si="118"/>
        <v>1274</v>
      </c>
      <c r="M752" s="87">
        <v>600</v>
      </c>
      <c r="N752" s="77">
        <f>30</f>
        <v>30</v>
      </c>
      <c r="O752" s="80">
        <v>240</v>
      </c>
      <c r="P752" s="80">
        <v>40</v>
      </c>
      <c r="Q752" s="80">
        <f t="shared" si="119"/>
        <v>315</v>
      </c>
      <c r="R752" s="80">
        <f t="shared" si="120"/>
        <v>100</v>
      </c>
      <c r="S752" s="77">
        <f t="shared" si="121"/>
        <v>695</v>
      </c>
      <c r="T752" s="77">
        <f>0</f>
        <v>0</v>
      </c>
      <c r="U752" s="78"/>
      <c r="V752" s="78"/>
      <c r="W752" s="78"/>
      <c r="X752" s="78"/>
      <c r="Y752" s="78"/>
      <c r="Z752" s="78"/>
      <c r="AA752" s="78"/>
      <c r="AB752" s="78"/>
      <c r="AC752" s="78"/>
      <c r="AD752" s="78"/>
    </row>
    <row r="753" spans="1:30" ht="15.75" x14ac:dyDescent="0.25">
      <c r="A753" s="13">
        <v>64223</v>
      </c>
      <c r="B753" s="88">
        <f t="shared" si="117"/>
        <v>31</v>
      </c>
      <c r="C753" s="77">
        <f>131.881</f>
        <v>131.881</v>
      </c>
      <c r="D753" s="77">
        <f>277.167</f>
        <v>277.16699999999997</v>
      </c>
      <c r="E753" s="85">
        <f>79.08</f>
        <v>79.08</v>
      </c>
      <c r="F753" s="77">
        <f>350.872-40-25-60-100</f>
        <v>125.87200000000001</v>
      </c>
      <c r="G753" s="80">
        <v>40</v>
      </c>
      <c r="H753" s="77">
        <f t="shared" si="125"/>
        <v>185</v>
      </c>
      <c r="I753" s="77">
        <f t="shared" si="124"/>
        <v>0</v>
      </c>
      <c r="J753" s="80">
        <v>100</v>
      </c>
      <c r="K753" s="80">
        <v>300</v>
      </c>
      <c r="L753" s="77">
        <f t="shared" si="118"/>
        <v>1239</v>
      </c>
      <c r="M753" s="87">
        <v>600</v>
      </c>
      <c r="N753" s="77">
        <f>75</f>
        <v>75</v>
      </c>
      <c r="O753" s="80">
        <v>240</v>
      </c>
      <c r="P753" s="80">
        <v>40</v>
      </c>
      <c r="Q753" s="80">
        <f t="shared" si="119"/>
        <v>315</v>
      </c>
      <c r="R753" s="80">
        <f t="shared" si="120"/>
        <v>100</v>
      </c>
      <c r="S753" s="77">
        <f t="shared" si="121"/>
        <v>695</v>
      </c>
      <c r="T753" s="77">
        <f>0</f>
        <v>0</v>
      </c>
      <c r="U753" s="78"/>
      <c r="V753" s="78"/>
      <c r="W753" s="78"/>
      <c r="X753" s="78"/>
      <c r="Y753" s="78"/>
      <c r="Z753" s="78"/>
      <c r="AA753" s="78"/>
      <c r="AB753" s="78"/>
      <c r="AC753" s="78"/>
      <c r="AD753" s="78"/>
    </row>
    <row r="754" spans="1:30" ht="15.75" x14ac:dyDescent="0.25">
      <c r="A754" s="13">
        <v>64253</v>
      </c>
      <c r="B754" s="88">
        <f t="shared" si="117"/>
        <v>30</v>
      </c>
      <c r="C754" s="77">
        <f>122.58</f>
        <v>122.58</v>
      </c>
      <c r="D754" s="77">
        <f>297.941</f>
        <v>297.94099999999997</v>
      </c>
      <c r="E754" s="85">
        <f>89.177</f>
        <v>89.177000000000007</v>
      </c>
      <c r="F754" s="77">
        <f>240.302-40-60-100</f>
        <v>40.301999999999992</v>
      </c>
      <c r="G754" s="80">
        <v>40</v>
      </c>
      <c r="H754" s="77">
        <f>60+100</f>
        <v>160</v>
      </c>
      <c r="I754" s="77">
        <f t="shared" si="124"/>
        <v>0</v>
      </c>
      <c r="J754" s="80">
        <v>100</v>
      </c>
      <c r="K754" s="80">
        <v>300</v>
      </c>
      <c r="L754" s="77">
        <f t="shared" si="118"/>
        <v>1150</v>
      </c>
      <c r="M754" s="87">
        <v>600</v>
      </c>
      <c r="N754" s="77">
        <f>100</f>
        <v>100</v>
      </c>
      <c r="O754" s="80">
        <v>240</v>
      </c>
      <c r="P754" s="80">
        <v>40</v>
      </c>
      <c r="Q754" s="80">
        <f t="shared" si="119"/>
        <v>315</v>
      </c>
      <c r="R754" s="80">
        <f t="shared" si="120"/>
        <v>100</v>
      </c>
      <c r="S754" s="77">
        <f t="shared" si="121"/>
        <v>695</v>
      </c>
      <c r="T754" s="77">
        <f>50</f>
        <v>50</v>
      </c>
      <c r="U754" s="78"/>
      <c r="V754" s="78"/>
      <c r="W754" s="78"/>
      <c r="X754" s="78"/>
      <c r="Y754" s="78"/>
      <c r="Z754" s="78"/>
      <c r="AA754" s="78"/>
      <c r="AB754" s="78"/>
      <c r="AC754" s="78"/>
      <c r="AD754" s="78"/>
    </row>
    <row r="755" spans="1:30" ht="15.75" x14ac:dyDescent="0.25">
      <c r="A755" s="13">
        <v>64284</v>
      </c>
      <c r="B755" s="88">
        <f t="shared" si="117"/>
        <v>31</v>
      </c>
      <c r="C755" s="77">
        <f>122.58</f>
        <v>122.58</v>
      </c>
      <c r="D755" s="77">
        <f>297.941</f>
        <v>297.94099999999997</v>
      </c>
      <c r="E755" s="85">
        <f>89.177</f>
        <v>89.177000000000007</v>
      </c>
      <c r="F755" s="77">
        <f>240.302-40-60-100</f>
        <v>40.301999999999992</v>
      </c>
      <c r="G755" s="80">
        <v>40</v>
      </c>
      <c r="H755" s="77">
        <f>60+100</f>
        <v>160</v>
      </c>
      <c r="I755" s="77">
        <f t="shared" si="124"/>
        <v>0</v>
      </c>
      <c r="J755" s="80">
        <v>100</v>
      </c>
      <c r="K755" s="80">
        <v>300</v>
      </c>
      <c r="L755" s="77">
        <f t="shared" si="118"/>
        <v>1150</v>
      </c>
      <c r="M755" s="87">
        <v>600</v>
      </c>
      <c r="N755" s="77">
        <f>100</f>
        <v>100</v>
      </c>
      <c r="O755" s="80">
        <v>240</v>
      </c>
      <c r="P755" s="80">
        <v>40</v>
      </c>
      <c r="Q755" s="80">
        <f t="shared" si="119"/>
        <v>315</v>
      </c>
      <c r="R755" s="80">
        <f t="shared" si="120"/>
        <v>100</v>
      </c>
      <c r="S755" s="77">
        <f t="shared" si="121"/>
        <v>695</v>
      </c>
      <c r="T755" s="77">
        <f>50</f>
        <v>50</v>
      </c>
      <c r="U755" s="78"/>
      <c r="V755" s="78"/>
      <c r="W755" s="78"/>
      <c r="X755" s="78"/>
      <c r="Y755" s="78"/>
      <c r="Z755" s="78"/>
      <c r="AA755" s="78"/>
      <c r="AB755" s="78"/>
      <c r="AC755" s="78"/>
      <c r="AD755" s="78"/>
    </row>
    <row r="756" spans="1:30" ht="15.75" x14ac:dyDescent="0.25">
      <c r="A756" s="13">
        <v>64315</v>
      </c>
      <c r="B756" s="88">
        <f t="shared" si="117"/>
        <v>31</v>
      </c>
      <c r="C756" s="77">
        <f>122.58</f>
        <v>122.58</v>
      </c>
      <c r="D756" s="77">
        <f>297.941</f>
        <v>297.94099999999997</v>
      </c>
      <c r="E756" s="85">
        <f>89.177</f>
        <v>89.177000000000007</v>
      </c>
      <c r="F756" s="77">
        <f>240.302-40-60-100</f>
        <v>40.301999999999992</v>
      </c>
      <c r="G756" s="80">
        <v>40</v>
      </c>
      <c r="H756" s="77">
        <f>60+100</f>
        <v>160</v>
      </c>
      <c r="I756" s="77">
        <f t="shared" si="124"/>
        <v>0</v>
      </c>
      <c r="J756" s="80">
        <v>100</v>
      </c>
      <c r="K756" s="80">
        <v>300</v>
      </c>
      <c r="L756" s="77">
        <f t="shared" si="118"/>
        <v>1150</v>
      </c>
      <c r="M756" s="87">
        <v>600</v>
      </c>
      <c r="N756" s="77">
        <f>100</f>
        <v>100</v>
      </c>
      <c r="O756" s="80">
        <v>240</v>
      </c>
      <c r="P756" s="80">
        <v>40</v>
      </c>
      <c r="Q756" s="80">
        <f t="shared" si="119"/>
        <v>315</v>
      </c>
      <c r="R756" s="80">
        <f t="shared" si="120"/>
        <v>100</v>
      </c>
      <c r="S756" s="77">
        <f t="shared" si="121"/>
        <v>695</v>
      </c>
      <c r="T756" s="77">
        <f>50</f>
        <v>50</v>
      </c>
      <c r="U756" s="78"/>
      <c r="V756" s="78"/>
      <c r="W756" s="78"/>
      <c r="X756" s="78"/>
      <c r="Y756" s="78"/>
      <c r="Z756" s="78"/>
      <c r="AA756" s="78"/>
      <c r="AB756" s="78"/>
      <c r="AC756" s="78"/>
      <c r="AD756" s="78"/>
    </row>
    <row r="757" spans="1:30" ht="15.75" x14ac:dyDescent="0.25">
      <c r="A757" s="13">
        <v>64344</v>
      </c>
      <c r="B757" s="88">
        <f t="shared" si="117"/>
        <v>29</v>
      </c>
      <c r="C757" s="77">
        <f>122.58</f>
        <v>122.58</v>
      </c>
      <c r="D757" s="77">
        <f>297.941</f>
        <v>297.94099999999997</v>
      </c>
      <c r="E757" s="85">
        <f>89.177</f>
        <v>89.177000000000007</v>
      </c>
      <c r="F757" s="77">
        <f>240.302-40-60-100</f>
        <v>40.301999999999992</v>
      </c>
      <c r="G757" s="80">
        <v>40</v>
      </c>
      <c r="H757" s="77">
        <f>60+100</f>
        <v>160</v>
      </c>
      <c r="I757" s="77">
        <f t="shared" si="124"/>
        <v>0</v>
      </c>
      <c r="J757" s="80">
        <v>100</v>
      </c>
      <c r="K757" s="80">
        <v>300</v>
      </c>
      <c r="L757" s="77">
        <f t="shared" si="118"/>
        <v>1150</v>
      </c>
      <c r="M757" s="87">
        <v>600</v>
      </c>
      <c r="N757" s="77">
        <f>100</f>
        <v>100</v>
      </c>
      <c r="O757" s="80">
        <v>240</v>
      </c>
      <c r="P757" s="80">
        <v>40</v>
      </c>
      <c r="Q757" s="80">
        <f t="shared" si="119"/>
        <v>315</v>
      </c>
      <c r="R757" s="80">
        <f t="shared" si="120"/>
        <v>100</v>
      </c>
      <c r="S757" s="77">
        <f t="shared" si="121"/>
        <v>695</v>
      </c>
      <c r="T757" s="77">
        <f>50</f>
        <v>50</v>
      </c>
      <c r="U757" s="78"/>
      <c r="V757" s="78"/>
      <c r="W757" s="78"/>
      <c r="X757" s="78"/>
      <c r="Y757" s="78"/>
      <c r="Z757" s="78"/>
      <c r="AA757" s="78"/>
      <c r="AB757" s="78"/>
      <c r="AC757" s="78"/>
      <c r="AD757" s="78"/>
    </row>
    <row r="758" spans="1:30" ht="15.75" x14ac:dyDescent="0.25">
      <c r="A758" s="13">
        <v>64375</v>
      </c>
      <c r="B758" s="88">
        <f t="shared" si="117"/>
        <v>31</v>
      </c>
      <c r="C758" s="77">
        <f>122.58</f>
        <v>122.58</v>
      </c>
      <c r="D758" s="77">
        <f>297.941</f>
        <v>297.94099999999997</v>
      </c>
      <c r="E758" s="85">
        <f>89.177</f>
        <v>89.177000000000007</v>
      </c>
      <c r="F758" s="77">
        <f>240.302-40-60-100</f>
        <v>40.301999999999992</v>
      </c>
      <c r="G758" s="80">
        <v>40</v>
      </c>
      <c r="H758" s="77">
        <f>60+100</f>
        <v>160</v>
      </c>
      <c r="I758" s="77">
        <f t="shared" si="124"/>
        <v>0</v>
      </c>
      <c r="J758" s="80">
        <v>100</v>
      </c>
      <c r="K758" s="80">
        <v>300</v>
      </c>
      <c r="L758" s="77">
        <f t="shared" si="118"/>
        <v>1150</v>
      </c>
      <c r="M758" s="87">
        <v>600</v>
      </c>
      <c r="N758" s="77">
        <f>100</f>
        <v>100</v>
      </c>
      <c r="O758" s="80">
        <v>240</v>
      </c>
      <c r="P758" s="80">
        <v>40</v>
      </c>
      <c r="Q758" s="80">
        <f t="shared" si="119"/>
        <v>315</v>
      </c>
      <c r="R758" s="80">
        <f t="shared" si="120"/>
        <v>100</v>
      </c>
      <c r="S758" s="77">
        <f t="shared" si="121"/>
        <v>695</v>
      </c>
      <c r="T758" s="77">
        <f>50</f>
        <v>50</v>
      </c>
      <c r="U758" s="78"/>
      <c r="V758" s="78"/>
      <c r="W758" s="78"/>
      <c r="X758" s="78"/>
      <c r="Y758" s="78"/>
      <c r="Z758" s="78"/>
      <c r="AA758" s="78"/>
      <c r="AB758" s="78"/>
      <c r="AC758" s="78"/>
      <c r="AD758" s="78"/>
    </row>
    <row r="759" spans="1:30" ht="15.75" x14ac:dyDescent="0.25">
      <c r="A759" s="13">
        <v>64405</v>
      </c>
      <c r="B759" s="88">
        <f t="shared" si="117"/>
        <v>30</v>
      </c>
      <c r="C759" s="77">
        <f>141.293</f>
        <v>141.29300000000001</v>
      </c>
      <c r="D759" s="77">
        <f>267.993</f>
        <v>267.99299999999999</v>
      </c>
      <c r="E759" s="85">
        <f>115.016</f>
        <v>115.01600000000001</v>
      </c>
      <c r="F759" s="77">
        <f>314.698-40-25-60-100</f>
        <v>89.697999999999979</v>
      </c>
      <c r="G759" s="80">
        <v>40</v>
      </c>
      <c r="H759" s="77">
        <f t="shared" ref="H759:H765" si="126">25+60+100</f>
        <v>185</v>
      </c>
      <c r="I759" s="77">
        <f t="shared" si="124"/>
        <v>0</v>
      </c>
      <c r="J759" s="80">
        <v>100</v>
      </c>
      <c r="K759" s="80">
        <v>300</v>
      </c>
      <c r="L759" s="77">
        <f t="shared" si="118"/>
        <v>1239</v>
      </c>
      <c r="M759" s="87">
        <v>600</v>
      </c>
      <c r="N759" s="77">
        <f>100</f>
        <v>100</v>
      </c>
      <c r="O759" s="80">
        <v>240</v>
      </c>
      <c r="P759" s="80">
        <v>40</v>
      </c>
      <c r="Q759" s="80">
        <f t="shared" si="119"/>
        <v>315</v>
      </c>
      <c r="R759" s="80">
        <f t="shared" si="120"/>
        <v>100</v>
      </c>
      <c r="S759" s="77">
        <f t="shared" si="121"/>
        <v>695</v>
      </c>
      <c r="T759" s="77">
        <f>50</f>
        <v>50</v>
      </c>
      <c r="U759" s="78"/>
      <c r="V759" s="78"/>
      <c r="W759" s="78"/>
      <c r="X759" s="78"/>
      <c r="Y759" s="78"/>
      <c r="Z759" s="78"/>
      <c r="AA759" s="78"/>
      <c r="AB759" s="78"/>
      <c r="AC759" s="78"/>
      <c r="AD759" s="78"/>
    </row>
    <row r="760" spans="1:30" ht="15.75" x14ac:dyDescent="0.25">
      <c r="A760" s="13">
        <v>64436</v>
      </c>
      <c r="B760" s="88">
        <f t="shared" si="117"/>
        <v>31</v>
      </c>
      <c r="C760" s="77">
        <f>194.205</f>
        <v>194.20500000000001</v>
      </c>
      <c r="D760" s="77">
        <f>267.466</f>
        <v>267.46600000000001</v>
      </c>
      <c r="E760" s="85">
        <f>133.845</f>
        <v>133.845</v>
      </c>
      <c r="F760" s="77">
        <f>278.484-40-25-60-100</f>
        <v>53.48399999999998</v>
      </c>
      <c r="G760" s="80">
        <v>40</v>
      </c>
      <c r="H760" s="77">
        <f t="shared" si="126"/>
        <v>185</v>
      </c>
      <c r="I760" s="77">
        <f t="shared" si="124"/>
        <v>0</v>
      </c>
      <c r="J760" s="80">
        <v>100</v>
      </c>
      <c r="K760" s="80">
        <v>300</v>
      </c>
      <c r="L760" s="77">
        <f t="shared" si="118"/>
        <v>1274</v>
      </c>
      <c r="M760" s="87">
        <v>600</v>
      </c>
      <c r="N760" s="77">
        <f>75</f>
        <v>75</v>
      </c>
      <c r="O760" s="80">
        <v>240</v>
      </c>
      <c r="P760" s="80">
        <v>40</v>
      </c>
      <c r="Q760" s="80">
        <f t="shared" si="119"/>
        <v>315</v>
      </c>
      <c r="R760" s="80">
        <f t="shared" si="120"/>
        <v>100</v>
      </c>
      <c r="S760" s="77">
        <f t="shared" si="121"/>
        <v>695</v>
      </c>
      <c r="T760" s="77">
        <f>50</f>
        <v>50</v>
      </c>
      <c r="U760" s="78"/>
      <c r="V760" s="78"/>
      <c r="W760" s="78"/>
      <c r="X760" s="78"/>
      <c r="Y760" s="78"/>
      <c r="Z760" s="78"/>
      <c r="AA760" s="78"/>
      <c r="AB760" s="78"/>
      <c r="AC760" s="78"/>
      <c r="AD760" s="78"/>
    </row>
    <row r="761" spans="1:30" ht="15.75" x14ac:dyDescent="0.25">
      <c r="A761" s="13">
        <v>64466</v>
      </c>
      <c r="B761" s="88">
        <f t="shared" si="117"/>
        <v>30</v>
      </c>
      <c r="C761" s="77">
        <f>194.205</f>
        <v>194.20500000000001</v>
      </c>
      <c r="D761" s="77">
        <f>267.466</f>
        <v>267.46600000000001</v>
      </c>
      <c r="E761" s="85">
        <f>133.845</f>
        <v>133.845</v>
      </c>
      <c r="F761" s="77">
        <f>278.484-40-25-60-100</f>
        <v>53.48399999999998</v>
      </c>
      <c r="G761" s="80">
        <v>40</v>
      </c>
      <c r="H761" s="77">
        <f t="shared" si="126"/>
        <v>185</v>
      </c>
      <c r="I761" s="77">
        <f t="shared" si="124"/>
        <v>0</v>
      </c>
      <c r="J761" s="80">
        <v>100</v>
      </c>
      <c r="K761" s="80">
        <v>300</v>
      </c>
      <c r="L761" s="77">
        <f t="shared" si="118"/>
        <v>1274</v>
      </c>
      <c r="M761" s="87">
        <v>600</v>
      </c>
      <c r="N761" s="77">
        <f>30</f>
        <v>30</v>
      </c>
      <c r="O761" s="80">
        <v>240</v>
      </c>
      <c r="P761" s="80">
        <v>40</v>
      </c>
      <c r="Q761" s="80">
        <f t="shared" si="119"/>
        <v>315</v>
      </c>
      <c r="R761" s="80">
        <f t="shared" si="120"/>
        <v>100</v>
      </c>
      <c r="S761" s="77">
        <f t="shared" si="121"/>
        <v>695</v>
      </c>
      <c r="T761" s="77">
        <f>50</f>
        <v>50</v>
      </c>
      <c r="U761" s="78"/>
      <c r="V761" s="78"/>
      <c r="W761" s="78"/>
      <c r="X761" s="78"/>
      <c r="Y761" s="78"/>
      <c r="Z761" s="78"/>
      <c r="AA761" s="78"/>
      <c r="AB761" s="78"/>
      <c r="AC761" s="78"/>
      <c r="AD761" s="78"/>
    </row>
    <row r="762" spans="1:30" ht="15.75" x14ac:dyDescent="0.25">
      <c r="A762" s="13">
        <v>64497</v>
      </c>
      <c r="B762" s="88">
        <f t="shared" si="117"/>
        <v>31</v>
      </c>
      <c r="C762" s="77">
        <f>194.205</f>
        <v>194.20500000000001</v>
      </c>
      <c r="D762" s="77">
        <f>267.466</f>
        <v>267.46600000000001</v>
      </c>
      <c r="E762" s="85">
        <f>133.845</f>
        <v>133.845</v>
      </c>
      <c r="F762" s="77">
        <f>278.484-40-25-60-100</f>
        <v>53.48399999999998</v>
      </c>
      <c r="G762" s="80">
        <v>40</v>
      </c>
      <c r="H762" s="77">
        <f t="shared" si="126"/>
        <v>185</v>
      </c>
      <c r="I762" s="77">
        <f t="shared" si="124"/>
        <v>0</v>
      </c>
      <c r="J762" s="80">
        <v>100</v>
      </c>
      <c r="K762" s="80">
        <v>300</v>
      </c>
      <c r="L762" s="77">
        <f t="shared" si="118"/>
        <v>1274</v>
      </c>
      <c r="M762" s="87">
        <v>600</v>
      </c>
      <c r="N762" s="77">
        <f>30</f>
        <v>30</v>
      </c>
      <c r="O762" s="80">
        <v>240</v>
      </c>
      <c r="P762" s="80">
        <v>40</v>
      </c>
      <c r="Q762" s="80">
        <f t="shared" si="119"/>
        <v>315</v>
      </c>
      <c r="R762" s="80">
        <f t="shared" si="120"/>
        <v>100</v>
      </c>
      <c r="S762" s="77">
        <f t="shared" si="121"/>
        <v>695</v>
      </c>
      <c r="T762" s="77">
        <f>0</f>
        <v>0</v>
      </c>
      <c r="U762" s="78"/>
      <c r="V762" s="78"/>
      <c r="W762" s="78"/>
      <c r="X762" s="78"/>
      <c r="Y762" s="78"/>
      <c r="Z762" s="78"/>
      <c r="AA762" s="78"/>
      <c r="AB762" s="78"/>
      <c r="AC762" s="78"/>
      <c r="AD762" s="78"/>
    </row>
    <row r="763" spans="1:30" ht="15.75" x14ac:dyDescent="0.25">
      <c r="A763" s="13">
        <v>64528</v>
      </c>
      <c r="B763" s="88">
        <f t="shared" si="117"/>
        <v>31</v>
      </c>
      <c r="C763" s="77">
        <f>194.205</f>
        <v>194.20500000000001</v>
      </c>
      <c r="D763" s="77">
        <f>267.466</f>
        <v>267.46600000000001</v>
      </c>
      <c r="E763" s="85">
        <f>133.845</f>
        <v>133.845</v>
      </c>
      <c r="F763" s="77">
        <f>278.484-40-25-60-100</f>
        <v>53.48399999999998</v>
      </c>
      <c r="G763" s="80">
        <v>40</v>
      </c>
      <c r="H763" s="77">
        <f t="shared" si="126"/>
        <v>185</v>
      </c>
      <c r="I763" s="77">
        <f t="shared" si="124"/>
        <v>0</v>
      </c>
      <c r="J763" s="80">
        <v>100</v>
      </c>
      <c r="K763" s="80">
        <v>300</v>
      </c>
      <c r="L763" s="77">
        <f t="shared" si="118"/>
        <v>1274</v>
      </c>
      <c r="M763" s="87">
        <v>600</v>
      </c>
      <c r="N763" s="77">
        <f>30</f>
        <v>30</v>
      </c>
      <c r="O763" s="80">
        <v>240</v>
      </c>
      <c r="P763" s="80">
        <v>40</v>
      </c>
      <c r="Q763" s="80">
        <f t="shared" si="119"/>
        <v>315</v>
      </c>
      <c r="R763" s="80">
        <f t="shared" si="120"/>
        <v>100</v>
      </c>
      <c r="S763" s="77">
        <f t="shared" si="121"/>
        <v>695</v>
      </c>
      <c r="T763" s="77">
        <f>0</f>
        <v>0</v>
      </c>
      <c r="U763" s="78"/>
      <c r="V763" s="78"/>
      <c r="W763" s="78"/>
      <c r="X763" s="78"/>
      <c r="Y763" s="78"/>
      <c r="Z763" s="78"/>
      <c r="AA763" s="78"/>
      <c r="AB763" s="78"/>
      <c r="AC763" s="78"/>
      <c r="AD763" s="78"/>
    </row>
    <row r="764" spans="1:30" ht="15.75" x14ac:dyDescent="0.25">
      <c r="A764" s="13">
        <v>64558</v>
      </c>
      <c r="B764" s="88">
        <f t="shared" si="117"/>
        <v>30</v>
      </c>
      <c r="C764" s="77">
        <f>194.205</f>
        <v>194.20500000000001</v>
      </c>
      <c r="D764" s="77">
        <f>267.466</f>
        <v>267.46600000000001</v>
      </c>
      <c r="E764" s="85">
        <f>133.845</f>
        <v>133.845</v>
      </c>
      <c r="F764" s="77">
        <f>278.484-40-25-60-100</f>
        <v>53.48399999999998</v>
      </c>
      <c r="G764" s="80">
        <v>40</v>
      </c>
      <c r="H764" s="77">
        <f t="shared" si="126"/>
        <v>185</v>
      </c>
      <c r="I764" s="77">
        <f t="shared" si="124"/>
        <v>0</v>
      </c>
      <c r="J764" s="80">
        <v>100</v>
      </c>
      <c r="K764" s="80">
        <v>300</v>
      </c>
      <c r="L764" s="77">
        <f t="shared" si="118"/>
        <v>1274</v>
      </c>
      <c r="M764" s="87">
        <v>600</v>
      </c>
      <c r="N764" s="77">
        <f>30</f>
        <v>30</v>
      </c>
      <c r="O764" s="80">
        <v>240</v>
      </c>
      <c r="P764" s="80">
        <v>40</v>
      </c>
      <c r="Q764" s="80">
        <f t="shared" si="119"/>
        <v>315</v>
      </c>
      <c r="R764" s="80">
        <f t="shared" si="120"/>
        <v>100</v>
      </c>
      <c r="S764" s="77">
        <f t="shared" si="121"/>
        <v>695</v>
      </c>
      <c r="T764" s="77">
        <f>0</f>
        <v>0</v>
      </c>
      <c r="U764" s="78"/>
      <c r="V764" s="78"/>
      <c r="W764" s="78"/>
      <c r="X764" s="78"/>
      <c r="Y764" s="78"/>
      <c r="Z764" s="78"/>
      <c r="AA764" s="78"/>
      <c r="AB764" s="78"/>
      <c r="AC764" s="78"/>
      <c r="AD764" s="78"/>
    </row>
    <row r="765" spans="1:30" ht="15.75" x14ac:dyDescent="0.25">
      <c r="A765" s="13">
        <v>64589</v>
      </c>
      <c r="B765" s="88">
        <f t="shared" si="117"/>
        <v>31</v>
      </c>
      <c r="C765" s="77">
        <f>131.881</f>
        <v>131.881</v>
      </c>
      <c r="D765" s="77">
        <f>277.167</f>
        <v>277.16699999999997</v>
      </c>
      <c r="E765" s="85">
        <f>79.08</f>
        <v>79.08</v>
      </c>
      <c r="F765" s="77">
        <f>350.872-40-25-60-100</f>
        <v>125.87200000000001</v>
      </c>
      <c r="G765" s="80">
        <v>40</v>
      </c>
      <c r="H765" s="77">
        <f t="shared" si="126"/>
        <v>185</v>
      </c>
      <c r="I765" s="77">
        <f t="shared" si="124"/>
        <v>0</v>
      </c>
      <c r="J765" s="80">
        <v>100</v>
      </c>
      <c r="K765" s="80">
        <v>300</v>
      </c>
      <c r="L765" s="77">
        <f t="shared" si="118"/>
        <v>1239</v>
      </c>
      <c r="M765" s="87">
        <v>600</v>
      </c>
      <c r="N765" s="77">
        <f>75</f>
        <v>75</v>
      </c>
      <c r="O765" s="80">
        <v>240</v>
      </c>
      <c r="P765" s="80">
        <v>40</v>
      </c>
      <c r="Q765" s="80">
        <f t="shared" si="119"/>
        <v>315</v>
      </c>
      <c r="R765" s="80">
        <f t="shared" si="120"/>
        <v>100</v>
      </c>
      <c r="S765" s="77">
        <f t="shared" si="121"/>
        <v>695</v>
      </c>
      <c r="T765" s="77">
        <f>0</f>
        <v>0</v>
      </c>
      <c r="U765" s="78"/>
      <c r="V765" s="78"/>
      <c r="W765" s="78"/>
      <c r="X765" s="78"/>
      <c r="Y765" s="78"/>
      <c r="Z765" s="78"/>
      <c r="AA765" s="78"/>
      <c r="AB765" s="78"/>
      <c r="AC765" s="78"/>
      <c r="AD765" s="78"/>
    </row>
    <row r="766" spans="1:30" ht="15.75" x14ac:dyDescent="0.25">
      <c r="A766" s="13">
        <v>64619</v>
      </c>
      <c r="B766" s="88">
        <f t="shared" si="117"/>
        <v>30</v>
      </c>
      <c r="C766" s="77">
        <f>122.58</f>
        <v>122.58</v>
      </c>
      <c r="D766" s="77">
        <f>297.941</f>
        <v>297.94099999999997</v>
      </c>
      <c r="E766" s="85">
        <f>89.177</f>
        <v>89.177000000000007</v>
      </c>
      <c r="F766" s="77">
        <f>240.302-40-60-100</f>
        <v>40.301999999999992</v>
      </c>
      <c r="G766" s="80">
        <v>40</v>
      </c>
      <c r="H766" s="77">
        <f>60+100</f>
        <v>160</v>
      </c>
      <c r="I766" s="77">
        <f t="shared" si="124"/>
        <v>0</v>
      </c>
      <c r="J766" s="80">
        <v>100</v>
      </c>
      <c r="K766" s="80">
        <v>300</v>
      </c>
      <c r="L766" s="77">
        <f t="shared" si="118"/>
        <v>1150</v>
      </c>
      <c r="M766" s="87">
        <v>600</v>
      </c>
      <c r="N766" s="77">
        <f>100</f>
        <v>100</v>
      </c>
      <c r="O766" s="80">
        <v>240</v>
      </c>
      <c r="P766" s="80">
        <v>40</v>
      </c>
      <c r="Q766" s="80">
        <f t="shared" si="119"/>
        <v>315</v>
      </c>
      <c r="R766" s="80">
        <f t="shared" si="120"/>
        <v>100</v>
      </c>
      <c r="S766" s="77">
        <f t="shared" si="121"/>
        <v>695</v>
      </c>
      <c r="T766" s="77">
        <f>50</f>
        <v>50</v>
      </c>
      <c r="U766" s="78"/>
      <c r="V766" s="78"/>
      <c r="W766" s="78"/>
      <c r="X766" s="78"/>
      <c r="Y766" s="78"/>
      <c r="Z766" s="78"/>
      <c r="AA766" s="78"/>
      <c r="AB766" s="78"/>
      <c r="AC766" s="78"/>
      <c r="AD766" s="78"/>
    </row>
    <row r="767" spans="1:30" ht="15.75" x14ac:dyDescent="0.25">
      <c r="A767" s="13">
        <v>64650</v>
      </c>
      <c r="B767" s="88">
        <f t="shared" si="117"/>
        <v>31</v>
      </c>
      <c r="C767" s="77">
        <f>122.58</f>
        <v>122.58</v>
      </c>
      <c r="D767" s="77">
        <f>297.941</f>
        <v>297.94099999999997</v>
      </c>
      <c r="E767" s="85">
        <f>89.177</f>
        <v>89.177000000000007</v>
      </c>
      <c r="F767" s="77">
        <f>240.302-40-60-100</f>
        <v>40.301999999999992</v>
      </c>
      <c r="G767" s="80">
        <v>40</v>
      </c>
      <c r="H767" s="77">
        <f>60+100</f>
        <v>160</v>
      </c>
      <c r="I767" s="77">
        <f t="shared" si="124"/>
        <v>0</v>
      </c>
      <c r="J767" s="80">
        <v>100</v>
      </c>
      <c r="K767" s="80">
        <v>300</v>
      </c>
      <c r="L767" s="77">
        <f t="shared" si="118"/>
        <v>1150</v>
      </c>
      <c r="M767" s="87">
        <v>600</v>
      </c>
      <c r="N767" s="77">
        <f>100</f>
        <v>100</v>
      </c>
      <c r="O767" s="80">
        <v>240</v>
      </c>
      <c r="P767" s="80">
        <v>40</v>
      </c>
      <c r="Q767" s="80">
        <f t="shared" si="119"/>
        <v>315</v>
      </c>
      <c r="R767" s="80">
        <f t="shared" si="120"/>
        <v>100</v>
      </c>
      <c r="S767" s="77">
        <f t="shared" si="121"/>
        <v>695</v>
      </c>
      <c r="T767" s="77">
        <f>50</f>
        <v>50</v>
      </c>
      <c r="U767" s="78"/>
      <c r="V767" s="78"/>
      <c r="W767" s="78"/>
      <c r="X767" s="78"/>
      <c r="Y767" s="78"/>
      <c r="Z767" s="78"/>
      <c r="AA767" s="78"/>
      <c r="AB767" s="78"/>
      <c r="AC767" s="78"/>
      <c r="AD767" s="78"/>
    </row>
    <row r="768" spans="1:30" ht="15.75" x14ac:dyDescent="0.25">
      <c r="A768" s="13">
        <v>64681</v>
      </c>
      <c r="B768" s="88">
        <f t="shared" si="117"/>
        <v>31</v>
      </c>
      <c r="C768" s="77">
        <f>122.58</f>
        <v>122.58</v>
      </c>
      <c r="D768" s="77">
        <f>297.941</f>
        <v>297.94099999999997</v>
      </c>
      <c r="E768" s="85">
        <f>89.177</f>
        <v>89.177000000000007</v>
      </c>
      <c r="F768" s="77">
        <f>240.302-40-60-100</f>
        <v>40.301999999999992</v>
      </c>
      <c r="G768" s="80">
        <v>40</v>
      </c>
      <c r="H768" s="77">
        <f>60+100</f>
        <v>160</v>
      </c>
      <c r="I768" s="77">
        <f t="shared" si="124"/>
        <v>0</v>
      </c>
      <c r="J768" s="80">
        <v>100</v>
      </c>
      <c r="K768" s="80">
        <v>300</v>
      </c>
      <c r="L768" s="77">
        <f t="shared" si="118"/>
        <v>1150</v>
      </c>
      <c r="M768" s="87">
        <v>600</v>
      </c>
      <c r="N768" s="77">
        <f>100</f>
        <v>100</v>
      </c>
      <c r="O768" s="80">
        <v>240</v>
      </c>
      <c r="P768" s="80">
        <v>40</v>
      </c>
      <c r="Q768" s="80">
        <f t="shared" si="119"/>
        <v>315</v>
      </c>
      <c r="R768" s="80">
        <f t="shared" si="120"/>
        <v>100</v>
      </c>
      <c r="S768" s="77">
        <f t="shared" si="121"/>
        <v>695</v>
      </c>
      <c r="T768" s="77">
        <f>50</f>
        <v>50</v>
      </c>
      <c r="U768" s="78"/>
      <c r="V768" s="78"/>
      <c r="W768" s="78"/>
      <c r="X768" s="78"/>
      <c r="Y768" s="78"/>
      <c r="Z768" s="78"/>
      <c r="AA768" s="78"/>
      <c r="AB768" s="78"/>
      <c r="AC768" s="78"/>
      <c r="AD768" s="78"/>
    </row>
    <row r="769" spans="1:30" ht="15.75" x14ac:dyDescent="0.25">
      <c r="A769" s="13">
        <v>64709</v>
      </c>
      <c r="B769" s="88">
        <f t="shared" si="117"/>
        <v>28</v>
      </c>
      <c r="C769" s="77">
        <f>122.58</f>
        <v>122.58</v>
      </c>
      <c r="D769" s="77">
        <f>297.941</f>
        <v>297.94099999999997</v>
      </c>
      <c r="E769" s="85">
        <f>89.177</f>
        <v>89.177000000000007</v>
      </c>
      <c r="F769" s="77">
        <f>240.302-40-60-100</f>
        <v>40.301999999999992</v>
      </c>
      <c r="G769" s="80">
        <v>40</v>
      </c>
      <c r="H769" s="77">
        <f>60+100</f>
        <v>160</v>
      </c>
      <c r="I769" s="77">
        <f t="shared" si="124"/>
        <v>0</v>
      </c>
      <c r="J769" s="80">
        <v>100</v>
      </c>
      <c r="K769" s="80">
        <v>300</v>
      </c>
      <c r="L769" s="77">
        <f t="shared" si="118"/>
        <v>1150</v>
      </c>
      <c r="M769" s="87">
        <v>600</v>
      </c>
      <c r="N769" s="77">
        <f>100</f>
        <v>100</v>
      </c>
      <c r="O769" s="80">
        <v>240</v>
      </c>
      <c r="P769" s="80">
        <v>40</v>
      </c>
      <c r="Q769" s="80">
        <f t="shared" si="119"/>
        <v>315</v>
      </c>
      <c r="R769" s="80">
        <f t="shared" si="120"/>
        <v>100</v>
      </c>
      <c r="S769" s="77">
        <f t="shared" si="121"/>
        <v>695</v>
      </c>
      <c r="T769" s="77">
        <f>50</f>
        <v>50</v>
      </c>
      <c r="U769" s="78"/>
      <c r="V769" s="78"/>
      <c r="W769" s="78"/>
      <c r="X769" s="78"/>
      <c r="Y769" s="78"/>
      <c r="Z769" s="78"/>
      <c r="AA769" s="78"/>
      <c r="AB769" s="78"/>
      <c r="AC769" s="78"/>
      <c r="AD769" s="78"/>
    </row>
    <row r="770" spans="1:30" ht="15.75" x14ac:dyDescent="0.25">
      <c r="A770" s="13">
        <v>64740</v>
      </c>
      <c r="B770" s="88">
        <f t="shared" si="117"/>
        <v>31</v>
      </c>
      <c r="C770" s="77">
        <f>122.58</f>
        <v>122.58</v>
      </c>
      <c r="D770" s="77">
        <f>297.941</f>
        <v>297.94099999999997</v>
      </c>
      <c r="E770" s="85">
        <f>89.177</f>
        <v>89.177000000000007</v>
      </c>
      <c r="F770" s="77">
        <f>240.302-40-60-100</f>
        <v>40.301999999999992</v>
      </c>
      <c r="G770" s="80">
        <v>40</v>
      </c>
      <c r="H770" s="77">
        <f>60+100</f>
        <v>160</v>
      </c>
      <c r="I770" s="77">
        <f t="shared" si="124"/>
        <v>0</v>
      </c>
      <c r="J770" s="80">
        <v>100</v>
      </c>
      <c r="K770" s="80">
        <v>300</v>
      </c>
      <c r="L770" s="77">
        <f t="shared" si="118"/>
        <v>1150</v>
      </c>
      <c r="M770" s="87">
        <v>600</v>
      </c>
      <c r="N770" s="77">
        <f>100</f>
        <v>100</v>
      </c>
      <c r="O770" s="80">
        <v>240</v>
      </c>
      <c r="P770" s="80">
        <v>40</v>
      </c>
      <c r="Q770" s="80">
        <f t="shared" si="119"/>
        <v>315</v>
      </c>
      <c r="R770" s="80">
        <f t="shared" si="120"/>
        <v>100</v>
      </c>
      <c r="S770" s="77">
        <f t="shared" si="121"/>
        <v>695</v>
      </c>
      <c r="T770" s="77">
        <f>50</f>
        <v>50</v>
      </c>
      <c r="U770" s="78"/>
      <c r="V770" s="78"/>
      <c r="W770" s="78"/>
      <c r="X770" s="78"/>
      <c r="Y770" s="78"/>
      <c r="Z770" s="78"/>
      <c r="AA770" s="78"/>
      <c r="AB770" s="78"/>
      <c r="AC770" s="78"/>
      <c r="AD770" s="78"/>
    </row>
    <row r="771" spans="1:30" ht="15.75" x14ac:dyDescent="0.25">
      <c r="A771" s="13">
        <v>64770</v>
      </c>
      <c r="B771" s="88">
        <f t="shared" si="117"/>
        <v>30</v>
      </c>
      <c r="C771" s="77">
        <f>141.293</f>
        <v>141.29300000000001</v>
      </c>
      <c r="D771" s="77">
        <f>267.993</f>
        <v>267.99299999999999</v>
      </c>
      <c r="E771" s="85">
        <f>115.016</f>
        <v>115.01600000000001</v>
      </c>
      <c r="F771" s="77">
        <f>314.698-40-25-60-100</f>
        <v>89.697999999999979</v>
      </c>
      <c r="G771" s="80">
        <v>40</v>
      </c>
      <c r="H771" s="77">
        <f t="shared" ref="H771:H777" si="127">25+60+100</f>
        <v>185</v>
      </c>
      <c r="I771" s="77">
        <f t="shared" si="124"/>
        <v>0</v>
      </c>
      <c r="J771" s="80">
        <v>100</v>
      </c>
      <c r="K771" s="80">
        <v>300</v>
      </c>
      <c r="L771" s="77">
        <f t="shared" si="118"/>
        <v>1239</v>
      </c>
      <c r="M771" s="87">
        <v>600</v>
      </c>
      <c r="N771" s="77">
        <f>100</f>
        <v>100</v>
      </c>
      <c r="O771" s="80">
        <v>240</v>
      </c>
      <c r="P771" s="80">
        <v>40</v>
      </c>
      <c r="Q771" s="80">
        <f t="shared" si="119"/>
        <v>315</v>
      </c>
      <c r="R771" s="80">
        <f t="shared" si="120"/>
        <v>100</v>
      </c>
      <c r="S771" s="77">
        <f t="shared" si="121"/>
        <v>695</v>
      </c>
      <c r="T771" s="77">
        <f>50</f>
        <v>50</v>
      </c>
      <c r="U771" s="78"/>
      <c r="V771" s="78"/>
      <c r="W771" s="78"/>
      <c r="X771" s="78"/>
      <c r="Y771" s="78"/>
      <c r="Z771" s="78"/>
      <c r="AA771" s="78"/>
      <c r="AB771" s="78"/>
      <c r="AC771" s="78"/>
      <c r="AD771" s="78"/>
    </row>
    <row r="772" spans="1:30" ht="15.75" x14ac:dyDescent="0.25">
      <c r="A772" s="13">
        <v>64801</v>
      </c>
      <c r="B772" s="88">
        <f t="shared" si="117"/>
        <v>31</v>
      </c>
      <c r="C772" s="77">
        <f>194.205</f>
        <v>194.20500000000001</v>
      </c>
      <c r="D772" s="77">
        <f>267.466</f>
        <v>267.46600000000001</v>
      </c>
      <c r="E772" s="85">
        <f>133.845</f>
        <v>133.845</v>
      </c>
      <c r="F772" s="77">
        <f>278.484-40-25-60-100</f>
        <v>53.48399999999998</v>
      </c>
      <c r="G772" s="80">
        <v>40</v>
      </c>
      <c r="H772" s="77">
        <f t="shared" si="127"/>
        <v>185</v>
      </c>
      <c r="I772" s="77">
        <f t="shared" si="124"/>
        <v>0</v>
      </c>
      <c r="J772" s="80">
        <v>100</v>
      </c>
      <c r="K772" s="80">
        <v>300</v>
      </c>
      <c r="L772" s="77">
        <f t="shared" si="118"/>
        <v>1274</v>
      </c>
      <c r="M772" s="87">
        <v>600</v>
      </c>
      <c r="N772" s="77">
        <f>75</f>
        <v>75</v>
      </c>
      <c r="O772" s="80">
        <v>240</v>
      </c>
      <c r="P772" s="80">
        <v>40</v>
      </c>
      <c r="Q772" s="80">
        <f t="shared" si="119"/>
        <v>315</v>
      </c>
      <c r="R772" s="80">
        <f t="shared" si="120"/>
        <v>100</v>
      </c>
      <c r="S772" s="77">
        <f t="shared" si="121"/>
        <v>695</v>
      </c>
      <c r="T772" s="77">
        <f>50</f>
        <v>50</v>
      </c>
      <c r="U772" s="78"/>
      <c r="V772" s="78"/>
      <c r="W772" s="78"/>
      <c r="X772" s="78"/>
      <c r="Y772" s="78"/>
      <c r="Z772" s="78"/>
      <c r="AA772" s="78"/>
      <c r="AB772" s="78"/>
      <c r="AC772" s="78"/>
      <c r="AD772" s="78"/>
    </row>
    <row r="773" spans="1:30" ht="15.75" x14ac:dyDescent="0.25">
      <c r="A773" s="13">
        <v>64831</v>
      </c>
      <c r="B773" s="88">
        <f t="shared" si="117"/>
        <v>30</v>
      </c>
      <c r="C773" s="77">
        <f>194.205</f>
        <v>194.20500000000001</v>
      </c>
      <c r="D773" s="77">
        <f>267.466</f>
        <v>267.46600000000001</v>
      </c>
      <c r="E773" s="85">
        <f>133.845</f>
        <v>133.845</v>
      </c>
      <c r="F773" s="77">
        <f>278.484-40-25-60-100</f>
        <v>53.48399999999998</v>
      </c>
      <c r="G773" s="80">
        <v>40</v>
      </c>
      <c r="H773" s="77">
        <f t="shared" si="127"/>
        <v>185</v>
      </c>
      <c r="I773" s="77">
        <f t="shared" si="124"/>
        <v>0</v>
      </c>
      <c r="J773" s="80">
        <v>100</v>
      </c>
      <c r="K773" s="80">
        <v>300</v>
      </c>
      <c r="L773" s="77">
        <f t="shared" si="118"/>
        <v>1274</v>
      </c>
      <c r="M773" s="87">
        <v>600</v>
      </c>
      <c r="N773" s="77">
        <f>30</f>
        <v>30</v>
      </c>
      <c r="O773" s="80">
        <v>240</v>
      </c>
      <c r="P773" s="80">
        <v>40</v>
      </c>
      <c r="Q773" s="80">
        <f t="shared" si="119"/>
        <v>315</v>
      </c>
      <c r="R773" s="80">
        <f t="shared" si="120"/>
        <v>100</v>
      </c>
      <c r="S773" s="77">
        <f t="shared" si="121"/>
        <v>695</v>
      </c>
      <c r="T773" s="77">
        <f>50</f>
        <v>50</v>
      </c>
      <c r="U773" s="78"/>
      <c r="V773" s="78"/>
      <c r="W773" s="78"/>
      <c r="X773" s="78"/>
      <c r="Y773" s="78"/>
      <c r="Z773" s="78"/>
      <c r="AA773" s="78"/>
      <c r="AB773" s="78"/>
      <c r="AC773" s="78"/>
      <c r="AD773" s="78"/>
    </row>
    <row r="774" spans="1:30" ht="15.75" x14ac:dyDescent="0.25">
      <c r="A774" s="13">
        <v>64862</v>
      </c>
      <c r="B774" s="88">
        <f t="shared" si="117"/>
        <v>31</v>
      </c>
      <c r="C774" s="77">
        <f>194.205</f>
        <v>194.20500000000001</v>
      </c>
      <c r="D774" s="77">
        <f>267.466</f>
        <v>267.46600000000001</v>
      </c>
      <c r="E774" s="85">
        <f>133.845</f>
        <v>133.845</v>
      </c>
      <c r="F774" s="77">
        <f>278.484-40-25-60-100</f>
        <v>53.48399999999998</v>
      </c>
      <c r="G774" s="80">
        <v>40</v>
      </c>
      <c r="H774" s="77">
        <f t="shared" si="127"/>
        <v>185</v>
      </c>
      <c r="I774" s="77">
        <f t="shared" si="124"/>
        <v>0</v>
      </c>
      <c r="J774" s="80">
        <v>100</v>
      </c>
      <c r="K774" s="80">
        <v>300</v>
      </c>
      <c r="L774" s="77">
        <f t="shared" si="118"/>
        <v>1274</v>
      </c>
      <c r="M774" s="87">
        <v>600</v>
      </c>
      <c r="N774" s="77">
        <f>30</f>
        <v>30</v>
      </c>
      <c r="O774" s="80">
        <v>240</v>
      </c>
      <c r="P774" s="80">
        <v>40</v>
      </c>
      <c r="Q774" s="80">
        <f t="shared" si="119"/>
        <v>315</v>
      </c>
      <c r="R774" s="80">
        <f t="shared" si="120"/>
        <v>100</v>
      </c>
      <c r="S774" s="77">
        <f t="shared" si="121"/>
        <v>695</v>
      </c>
      <c r="T774" s="77">
        <f>0</f>
        <v>0</v>
      </c>
      <c r="U774" s="78"/>
      <c r="V774" s="78"/>
      <c r="W774" s="78"/>
      <c r="X774" s="78"/>
      <c r="Y774" s="78"/>
      <c r="Z774" s="78"/>
      <c r="AA774" s="78"/>
      <c r="AB774" s="78"/>
      <c r="AC774" s="78"/>
      <c r="AD774" s="78"/>
    </row>
    <row r="775" spans="1:30" ht="15.75" x14ac:dyDescent="0.25">
      <c r="A775" s="13">
        <v>64893</v>
      </c>
      <c r="B775" s="88">
        <f t="shared" si="117"/>
        <v>31</v>
      </c>
      <c r="C775" s="77">
        <f>194.205</f>
        <v>194.20500000000001</v>
      </c>
      <c r="D775" s="77">
        <f>267.466</f>
        <v>267.46600000000001</v>
      </c>
      <c r="E775" s="85">
        <f>133.845</f>
        <v>133.845</v>
      </c>
      <c r="F775" s="77">
        <f>278.484-40-25-60-100</f>
        <v>53.48399999999998</v>
      </c>
      <c r="G775" s="80">
        <v>40</v>
      </c>
      <c r="H775" s="77">
        <f t="shared" si="127"/>
        <v>185</v>
      </c>
      <c r="I775" s="77">
        <f t="shared" si="124"/>
        <v>0</v>
      </c>
      <c r="J775" s="80">
        <v>100</v>
      </c>
      <c r="K775" s="80">
        <v>300</v>
      </c>
      <c r="L775" s="77">
        <f t="shared" si="118"/>
        <v>1274</v>
      </c>
      <c r="M775" s="87">
        <v>600</v>
      </c>
      <c r="N775" s="77">
        <f>30</f>
        <v>30</v>
      </c>
      <c r="O775" s="80">
        <v>240</v>
      </c>
      <c r="P775" s="80">
        <v>40</v>
      </c>
      <c r="Q775" s="80">
        <f t="shared" si="119"/>
        <v>315</v>
      </c>
      <c r="R775" s="80">
        <f t="shared" si="120"/>
        <v>100</v>
      </c>
      <c r="S775" s="77">
        <f t="shared" si="121"/>
        <v>695</v>
      </c>
      <c r="T775" s="77">
        <f>0</f>
        <v>0</v>
      </c>
      <c r="U775" s="78"/>
      <c r="V775" s="78"/>
      <c r="W775" s="78"/>
      <c r="X775" s="78"/>
      <c r="Y775" s="78"/>
      <c r="Z775" s="78"/>
      <c r="AA775" s="78"/>
      <c r="AB775" s="78"/>
      <c r="AC775" s="78"/>
      <c r="AD775" s="78"/>
    </row>
    <row r="776" spans="1:30" ht="15.75" x14ac:dyDescent="0.25">
      <c r="A776" s="13">
        <v>64923</v>
      </c>
      <c r="B776" s="88">
        <f t="shared" si="117"/>
        <v>30</v>
      </c>
      <c r="C776" s="77">
        <f>194.205</f>
        <v>194.20500000000001</v>
      </c>
      <c r="D776" s="77">
        <f>267.466</f>
        <v>267.46600000000001</v>
      </c>
      <c r="E776" s="85">
        <f>133.845</f>
        <v>133.845</v>
      </c>
      <c r="F776" s="77">
        <f>278.484-40-25-60-100</f>
        <v>53.48399999999998</v>
      </c>
      <c r="G776" s="80">
        <v>40</v>
      </c>
      <c r="H776" s="77">
        <f t="shared" si="127"/>
        <v>185</v>
      </c>
      <c r="I776" s="77">
        <f t="shared" si="124"/>
        <v>0</v>
      </c>
      <c r="J776" s="80">
        <v>100</v>
      </c>
      <c r="K776" s="80">
        <v>300</v>
      </c>
      <c r="L776" s="77">
        <f t="shared" si="118"/>
        <v>1274</v>
      </c>
      <c r="M776" s="87">
        <v>600</v>
      </c>
      <c r="N776" s="77">
        <f>30</f>
        <v>30</v>
      </c>
      <c r="O776" s="80">
        <v>240</v>
      </c>
      <c r="P776" s="80">
        <v>40</v>
      </c>
      <c r="Q776" s="80">
        <f t="shared" si="119"/>
        <v>315</v>
      </c>
      <c r="R776" s="80">
        <f t="shared" si="120"/>
        <v>100</v>
      </c>
      <c r="S776" s="77">
        <f t="shared" si="121"/>
        <v>695</v>
      </c>
      <c r="T776" s="77">
        <f>0</f>
        <v>0</v>
      </c>
      <c r="U776" s="78"/>
      <c r="V776" s="78"/>
      <c r="W776" s="78"/>
      <c r="X776" s="78"/>
      <c r="Y776" s="78"/>
      <c r="Z776" s="78"/>
      <c r="AA776" s="78"/>
      <c r="AB776" s="78"/>
      <c r="AC776" s="78"/>
      <c r="AD776" s="78"/>
    </row>
    <row r="777" spans="1:30" ht="15.75" x14ac:dyDescent="0.25">
      <c r="A777" s="13">
        <v>64954</v>
      </c>
      <c r="B777" s="88">
        <f t="shared" si="117"/>
        <v>31</v>
      </c>
      <c r="C777" s="77">
        <f>131.881</f>
        <v>131.881</v>
      </c>
      <c r="D777" s="77">
        <f>277.167</f>
        <v>277.16699999999997</v>
      </c>
      <c r="E777" s="85">
        <f>79.08</f>
        <v>79.08</v>
      </c>
      <c r="F777" s="77">
        <f>350.872-40-25-60-100</f>
        <v>125.87200000000001</v>
      </c>
      <c r="G777" s="80">
        <v>40</v>
      </c>
      <c r="H777" s="77">
        <f t="shared" si="127"/>
        <v>185</v>
      </c>
      <c r="I777" s="77">
        <f t="shared" si="124"/>
        <v>0</v>
      </c>
      <c r="J777" s="80">
        <v>100</v>
      </c>
      <c r="K777" s="80">
        <v>300</v>
      </c>
      <c r="L777" s="77">
        <f t="shared" si="118"/>
        <v>1239</v>
      </c>
      <c r="M777" s="87">
        <v>600</v>
      </c>
      <c r="N777" s="77">
        <f>75</f>
        <v>75</v>
      </c>
      <c r="O777" s="80">
        <v>240</v>
      </c>
      <c r="P777" s="80">
        <v>40</v>
      </c>
      <c r="Q777" s="80">
        <f t="shared" si="119"/>
        <v>315</v>
      </c>
      <c r="R777" s="80">
        <f t="shared" si="120"/>
        <v>100</v>
      </c>
      <c r="S777" s="77">
        <f t="shared" si="121"/>
        <v>695</v>
      </c>
      <c r="T777" s="77">
        <f>0</f>
        <v>0</v>
      </c>
      <c r="U777" s="78"/>
      <c r="V777" s="78"/>
      <c r="W777" s="78"/>
      <c r="X777" s="78"/>
      <c r="Y777" s="78"/>
      <c r="Z777" s="78"/>
      <c r="AA777" s="78"/>
      <c r="AB777" s="78"/>
      <c r="AC777" s="78"/>
      <c r="AD777" s="78"/>
    </row>
    <row r="778" spans="1:30" ht="15.75" x14ac:dyDescent="0.25">
      <c r="A778" s="13">
        <v>64984</v>
      </c>
      <c r="B778" s="88">
        <f t="shared" si="117"/>
        <v>30</v>
      </c>
      <c r="C778" s="77">
        <f>122.58</f>
        <v>122.58</v>
      </c>
      <c r="D778" s="77">
        <f>297.941</f>
        <v>297.94099999999997</v>
      </c>
      <c r="E778" s="85">
        <f>89.177</f>
        <v>89.177000000000007</v>
      </c>
      <c r="F778" s="77">
        <f>240.302-40-60-100</f>
        <v>40.301999999999992</v>
      </c>
      <c r="G778" s="80">
        <v>40</v>
      </c>
      <c r="H778" s="77">
        <f>60+100</f>
        <v>160</v>
      </c>
      <c r="I778" s="77">
        <f t="shared" si="124"/>
        <v>0</v>
      </c>
      <c r="J778" s="80">
        <v>100</v>
      </c>
      <c r="K778" s="80">
        <v>300</v>
      </c>
      <c r="L778" s="77">
        <f t="shared" si="118"/>
        <v>1150</v>
      </c>
      <c r="M778" s="87">
        <v>600</v>
      </c>
      <c r="N778" s="77">
        <f>100</f>
        <v>100</v>
      </c>
      <c r="O778" s="80">
        <v>240</v>
      </c>
      <c r="P778" s="80">
        <v>40</v>
      </c>
      <c r="Q778" s="80">
        <f t="shared" si="119"/>
        <v>315</v>
      </c>
      <c r="R778" s="80">
        <f t="shared" si="120"/>
        <v>100</v>
      </c>
      <c r="S778" s="77">
        <f t="shared" si="121"/>
        <v>695</v>
      </c>
      <c r="T778" s="77">
        <f>50</f>
        <v>50</v>
      </c>
      <c r="U778" s="78"/>
      <c r="V778" s="78"/>
      <c r="W778" s="78"/>
      <c r="X778" s="78"/>
      <c r="Y778" s="78"/>
      <c r="Z778" s="78"/>
      <c r="AA778" s="78"/>
      <c r="AB778" s="78"/>
      <c r="AC778" s="78"/>
      <c r="AD778" s="78"/>
    </row>
    <row r="779" spans="1:30" ht="15.75" x14ac:dyDescent="0.25">
      <c r="A779" s="13">
        <v>65015</v>
      </c>
      <c r="B779" s="88">
        <f t="shared" si="117"/>
        <v>31</v>
      </c>
      <c r="C779" s="77">
        <f>122.58</f>
        <v>122.58</v>
      </c>
      <c r="D779" s="77">
        <f>297.941</f>
        <v>297.94099999999997</v>
      </c>
      <c r="E779" s="85">
        <f>89.177</f>
        <v>89.177000000000007</v>
      </c>
      <c r="F779" s="77">
        <f>240.302-40-60-100</f>
        <v>40.301999999999992</v>
      </c>
      <c r="G779" s="80">
        <v>40</v>
      </c>
      <c r="H779" s="77">
        <f>60+100</f>
        <v>160</v>
      </c>
      <c r="I779" s="77">
        <f t="shared" si="124"/>
        <v>0</v>
      </c>
      <c r="J779" s="80">
        <v>100</v>
      </c>
      <c r="K779" s="80">
        <v>300</v>
      </c>
      <c r="L779" s="77">
        <f t="shared" si="118"/>
        <v>1150</v>
      </c>
      <c r="M779" s="87">
        <v>600</v>
      </c>
      <c r="N779" s="77">
        <f>100</f>
        <v>100</v>
      </c>
      <c r="O779" s="80">
        <v>240</v>
      </c>
      <c r="P779" s="80">
        <v>40</v>
      </c>
      <c r="Q779" s="80">
        <f t="shared" si="119"/>
        <v>315</v>
      </c>
      <c r="R779" s="80">
        <f t="shared" si="120"/>
        <v>100</v>
      </c>
      <c r="S779" s="77">
        <f t="shared" si="121"/>
        <v>695</v>
      </c>
      <c r="T779" s="77">
        <f>50</f>
        <v>50</v>
      </c>
      <c r="U779" s="78"/>
      <c r="V779" s="78"/>
      <c r="W779" s="78"/>
      <c r="X779" s="78"/>
      <c r="Y779" s="78"/>
      <c r="Z779" s="78"/>
      <c r="AA779" s="78"/>
      <c r="AB779" s="78"/>
      <c r="AC779" s="78"/>
      <c r="AD779" s="78"/>
    </row>
    <row r="780" spans="1:30" ht="15.75" x14ac:dyDescent="0.25">
      <c r="A780" s="13">
        <v>65046</v>
      </c>
      <c r="B780" s="88">
        <f t="shared" ref="B780:B843" si="128">EOMONTH(A780,0)-EOMONTH(A780,-1)</f>
        <v>31</v>
      </c>
      <c r="C780" s="77">
        <f>122.58</f>
        <v>122.58</v>
      </c>
      <c r="D780" s="77">
        <f>297.941</f>
        <v>297.94099999999997</v>
      </c>
      <c r="E780" s="85">
        <f>89.177</f>
        <v>89.177000000000007</v>
      </c>
      <c r="F780" s="77">
        <f>240.302-40-60-100</f>
        <v>40.301999999999992</v>
      </c>
      <c r="G780" s="80">
        <v>40</v>
      </c>
      <c r="H780" s="77">
        <f>60+100</f>
        <v>160</v>
      </c>
      <c r="I780" s="77">
        <f t="shared" si="124"/>
        <v>0</v>
      </c>
      <c r="J780" s="80">
        <v>100</v>
      </c>
      <c r="K780" s="80">
        <v>300</v>
      </c>
      <c r="L780" s="77">
        <f t="shared" si="118"/>
        <v>1150</v>
      </c>
      <c r="M780" s="87">
        <v>600</v>
      </c>
      <c r="N780" s="77">
        <f>100</f>
        <v>100</v>
      </c>
      <c r="O780" s="80">
        <v>240</v>
      </c>
      <c r="P780" s="80">
        <v>40</v>
      </c>
      <c r="Q780" s="80">
        <f t="shared" si="119"/>
        <v>315</v>
      </c>
      <c r="R780" s="80">
        <f t="shared" si="120"/>
        <v>100</v>
      </c>
      <c r="S780" s="77">
        <f t="shared" si="121"/>
        <v>695</v>
      </c>
      <c r="T780" s="77">
        <f>50</f>
        <v>50</v>
      </c>
      <c r="U780" s="78"/>
      <c r="V780" s="78"/>
      <c r="W780" s="78"/>
      <c r="X780" s="78"/>
      <c r="Y780" s="78"/>
      <c r="Z780" s="78"/>
      <c r="AA780" s="78"/>
      <c r="AB780" s="78"/>
      <c r="AC780" s="78"/>
      <c r="AD780" s="78"/>
    </row>
    <row r="781" spans="1:30" ht="15.75" x14ac:dyDescent="0.25">
      <c r="A781" s="13">
        <v>65074</v>
      </c>
      <c r="B781" s="88">
        <f t="shared" si="128"/>
        <v>28</v>
      </c>
      <c r="C781" s="77">
        <f>122.58</f>
        <v>122.58</v>
      </c>
      <c r="D781" s="77">
        <f>297.941</f>
        <v>297.94099999999997</v>
      </c>
      <c r="E781" s="85">
        <f>89.177</f>
        <v>89.177000000000007</v>
      </c>
      <c r="F781" s="77">
        <f>240.302-40-60-100</f>
        <v>40.301999999999992</v>
      </c>
      <c r="G781" s="80">
        <v>40</v>
      </c>
      <c r="H781" s="77">
        <f>60+100</f>
        <v>160</v>
      </c>
      <c r="I781" s="77">
        <f t="shared" si="124"/>
        <v>0</v>
      </c>
      <c r="J781" s="80">
        <v>100</v>
      </c>
      <c r="K781" s="80">
        <v>300</v>
      </c>
      <c r="L781" s="77">
        <f t="shared" si="118"/>
        <v>1150</v>
      </c>
      <c r="M781" s="87">
        <v>600</v>
      </c>
      <c r="N781" s="77">
        <f>100</f>
        <v>100</v>
      </c>
      <c r="O781" s="80">
        <v>240</v>
      </c>
      <c r="P781" s="80">
        <v>40</v>
      </c>
      <c r="Q781" s="80">
        <f t="shared" si="119"/>
        <v>315</v>
      </c>
      <c r="R781" s="80">
        <f t="shared" si="120"/>
        <v>100</v>
      </c>
      <c r="S781" s="77">
        <f t="shared" si="121"/>
        <v>695</v>
      </c>
      <c r="T781" s="77">
        <f>50</f>
        <v>50</v>
      </c>
      <c r="U781" s="78"/>
      <c r="V781" s="78"/>
      <c r="W781" s="78"/>
      <c r="X781" s="78"/>
      <c r="Y781" s="78"/>
      <c r="Z781" s="78"/>
      <c r="AA781" s="78"/>
      <c r="AB781" s="78"/>
      <c r="AC781" s="78"/>
      <c r="AD781" s="78"/>
    </row>
    <row r="782" spans="1:30" ht="15.75" x14ac:dyDescent="0.25">
      <c r="A782" s="13">
        <v>65105</v>
      </c>
      <c r="B782" s="88">
        <f t="shared" si="128"/>
        <v>31</v>
      </c>
      <c r="C782" s="77">
        <f>122.58</f>
        <v>122.58</v>
      </c>
      <c r="D782" s="77">
        <f>297.941</f>
        <v>297.94099999999997</v>
      </c>
      <c r="E782" s="85">
        <f>89.177</f>
        <v>89.177000000000007</v>
      </c>
      <c r="F782" s="77">
        <f>240.302-40-60-100</f>
        <v>40.301999999999992</v>
      </c>
      <c r="G782" s="80">
        <v>40</v>
      </c>
      <c r="H782" s="77">
        <f>60+100</f>
        <v>160</v>
      </c>
      <c r="I782" s="77">
        <f t="shared" si="124"/>
        <v>0</v>
      </c>
      <c r="J782" s="80">
        <v>100</v>
      </c>
      <c r="K782" s="80">
        <v>300</v>
      </c>
      <c r="L782" s="77">
        <f t="shared" ref="L782:L845" si="129">SUM(C782:K782)</f>
        <v>1150</v>
      </c>
      <c r="M782" s="87">
        <v>600</v>
      </c>
      <c r="N782" s="77">
        <f>100</f>
        <v>100</v>
      </c>
      <c r="O782" s="80">
        <v>240</v>
      </c>
      <c r="P782" s="80">
        <v>40</v>
      </c>
      <c r="Q782" s="80">
        <f t="shared" ref="Q782:Q845" si="130">695-R782-O782-P782</f>
        <v>315</v>
      </c>
      <c r="R782" s="80">
        <f t="shared" ref="R782:R845" si="131">200-J782</f>
        <v>100</v>
      </c>
      <c r="S782" s="77">
        <f t="shared" ref="S782:S845" si="132">SUM(O782:R782)</f>
        <v>695</v>
      </c>
      <c r="T782" s="77">
        <f>50</f>
        <v>50</v>
      </c>
      <c r="U782" s="78"/>
      <c r="V782" s="78"/>
      <c r="W782" s="78"/>
      <c r="X782" s="78"/>
      <c r="Y782" s="78"/>
      <c r="Z782" s="78"/>
      <c r="AA782" s="78"/>
      <c r="AB782" s="78"/>
      <c r="AC782" s="78"/>
      <c r="AD782" s="78"/>
    </row>
    <row r="783" spans="1:30" ht="15.75" x14ac:dyDescent="0.25">
      <c r="A783" s="13">
        <v>65135</v>
      </c>
      <c r="B783" s="88">
        <f t="shared" si="128"/>
        <v>30</v>
      </c>
      <c r="C783" s="77">
        <f>141.293</f>
        <v>141.29300000000001</v>
      </c>
      <c r="D783" s="77">
        <f>267.993</f>
        <v>267.99299999999999</v>
      </c>
      <c r="E783" s="85">
        <f>115.016</f>
        <v>115.01600000000001</v>
      </c>
      <c r="F783" s="77">
        <f>314.698-40-25-60-100</f>
        <v>89.697999999999979</v>
      </c>
      <c r="G783" s="80">
        <v>40</v>
      </c>
      <c r="H783" s="77">
        <f t="shared" ref="H783:H789" si="133">25+60+100</f>
        <v>185</v>
      </c>
      <c r="I783" s="77">
        <f t="shared" si="124"/>
        <v>0</v>
      </c>
      <c r="J783" s="80">
        <v>100</v>
      </c>
      <c r="K783" s="80">
        <v>300</v>
      </c>
      <c r="L783" s="77">
        <f t="shared" si="129"/>
        <v>1239</v>
      </c>
      <c r="M783" s="87">
        <v>600</v>
      </c>
      <c r="N783" s="77">
        <f>100</f>
        <v>100</v>
      </c>
      <c r="O783" s="80">
        <v>240</v>
      </c>
      <c r="P783" s="80">
        <v>40</v>
      </c>
      <c r="Q783" s="80">
        <f t="shared" si="130"/>
        <v>315</v>
      </c>
      <c r="R783" s="80">
        <f t="shared" si="131"/>
        <v>100</v>
      </c>
      <c r="S783" s="77">
        <f t="shared" si="132"/>
        <v>695</v>
      </c>
      <c r="T783" s="77">
        <f>50</f>
        <v>50</v>
      </c>
      <c r="U783" s="78"/>
      <c r="V783" s="78"/>
      <c r="W783" s="78"/>
      <c r="X783" s="78"/>
      <c r="Y783" s="78"/>
      <c r="Z783" s="78"/>
      <c r="AA783" s="78"/>
      <c r="AB783" s="78"/>
      <c r="AC783" s="78"/>
      <c r="AD783" s="78"/>
    </row>
    <row r="784" spans="1:30" ht="15.75" x14ac:dyDescent="0.25">
      <c r="A784" s="13">
        <v>65166</v>
      </c>
      <c r="B784" s="88">
        <f t="shared" si="128"/>
        <v>31</v>
      </c>
      <c r="C784" s="77">
        <f>194.205</f>
        <v>194.20500000000001</v>
      </c>
      <c r="D784" s="77">
        <f>267.466</f>
        <v>267.46600000000001</v>
      </c>
      <c r="E784" s="85">
        <f>133.845</f>
        <v>133.845</v>
      </c>
      <c r="F784" s="77">
        <f>278.484-40-25-60-100</f>
        <v>53.48399999999998</v>
      </c>
      <c r="G784" s="80">
        <v>40</v>
      </c>
      <c r="H784" s="77">
        <f t="shared" si="133"/>
        <v>185</v>
      </c>
      <c r="I784" s="77">
        <f t="shared" si="124"/>
        <v>0</v>
      </c>
      <c r="J784" s="80">
        <v>100</v>
      </c>
      <c r="K784" s="80">
        <v>300</v>
      </c>
      <c r="L784" s="77">
        <f t="shared" si="129"/>
        <v>1274</v>
      </c>
      <c r="M784" s="87">
        <v>600</v>
      </c>
      <c r="N784" s="77">
        <f>75</f>
        <v>75</v>
      </c>
      <c r="O784" s="80">
        <v>240</v>
      </c>
      <c r="P784" s="80">
        <v>40</v>
      </c>
      <c r="Q784" s="80">
        <f t="shared" si="130"/>
        <v>315</v>
      </c>
      <c r="R784" s="80">
        <f t="shared" si="131"/>
        <v>100</v>
      </c>
      <c r="S784" s="77">
        <f t="shared" si="132"/>
        <v>695</v>
      </c>
      <c r="T784" s="77">
        <f>50</f>
        <v>50</v>
      </c>
      <c r="U784" s="78"/>
      <c r="V784" s="78"/>
      <c r="W784" s="78"/>
      <c r="X784" s="78"/>
      <c r="Y784" s="78"/>
      <c r="Z784" s="78"/>
      <c r="AA784" s="78"/>
      <c r="AB784" s="78"/>
      <c r="AC784" s="78"/>
      <c r="AD784" s="78"/>
    </row>
    <row r="785" spans="1:30" ht="15.75" x14ac:dyDescent="0.25">
      <c r="A785" s="13">
        <v>65196</v>
      </c>
      <c r="B785" s="88">
        <f t="shared" si="128"/>
        <v>30</v>
      </c>
      <c r="C785" s="77">
        <f>194.205</f>
        <v>194.20500000000001</v>
      </c>
      <c r="D785" s="77">
        <f>267.466</f>
        <v>267.46600000000001</v>
      </c>
      <c r="E785" s="85">
        <f>133.845</f>
        <v>133.845</v>
      </c>
      <c r="F785" s="77">
        <f>278.484-40-25-60-100</f>
        <v>53.48399999999998</v>
      </c>
      <c r="G785" s="80">
        <v>40</v>
      </c>
      <c r="H785" s="77">
        <f t="shared" si="133"/>
        <v>185</v>
      </c>
      <c r="I785" s="77">
        <f t="shared" si="124"/>
        <v>0</v>
      </c>
      <c r="J785" s="80">
        <v>100</v>
      </c>
      <c r="K785" s="80">
        <v>300</v>
      </c>
      <c r="L785" s="77">
        <f t="shared" si="129"/>
        <v>1274</v>
      </c>
      <c r="M785" s="87">
        <v>600</v>
      </c>
      <c r="N785" s="77">
        <f>30</f>
        <v>30</v>
      </c>
      <c r="O785" s="80">
        <v>240</v>
      </c>
      <c r="P785" s="80">
        <v>40</v>
      </c>
      <c r="Q785" s="80">
        <f t="shared" si="130"/>
        <v>315</v>
      </c>
      <c r="R785" s="80">
        <f t="shared" si="131"/>
        <v>100</v>
      </c>
      <c r="S785" s="77">
        <f t="shared" si="132"/>
        <v>695</v>
      </c>
      <c r="T785" s="77">
        <f>50</f>
        <v>50</v>
      </c>
      <c r="U785" s="78"/>
      <c r="V785" s="78"/>
      <c r="W785" s="78"/>
      <c r="X785" s="78"/>
      <c r="Y785" s="78"/>
      <c r="Z785" s="78"/>
      <c r="AA785" s="78"/>
      <c r="AB785" s="78"/>
      <c r="AC785" s="78"/>
      <c r="AD785" s="78"/>
    </row>
    <row r="786" spans="1:30" ht="15.75" x14ac:dyDescent="0.25">
      <c r="A786" s="13">
        <v>65227</v>
      </c>
      <c r="B786" s="88">
        <f t="shared" si="128"/>
        <v>31</v>
      </c>
      <c r="C786" s="77">
        <f>194.205</f>
        <v>194.20500000000001</v>
      </c>
      <c r="D786" s="77">
        <f>267.466</f>
        <v>267.46600000000001</v>
      </c>
      <c r="E786" s="85">
        <f>133.845</f>
        <v>133.845</v>
      </c>
      <c r="F786" s="77">
        <f>278.484-40-25-60-100</f>
        <v>53.48399999999998</v>
      </c>
      <c r="G786" s="80">
        <v>40</v>
      </c>
      <c r="H786" s="77">
        <f t="shared" si="133"/>
        <v>185</v>
      </c>
      <c r="I786" s="77">
        <f t="shared" si="124"/>
        <v>0</v>
      </c>
      <c r="J786" s="80">
        <v>100</v>
      </c>
      <c r="K786" s="80">
        <v>300</v>
      </c>
      <c r="L786" s="77">
        <f t="shared" si="129"/>
        <v>1274</v>
      </c>
      <c r="M786" s="87">
        <v>600</v>
      </c>
      <c r="N786" s="77">
        <f>30</f>
        <v>30</v>
      </c>
      <c r="O786" s="80">
        <v>240</v>
      </c>
      <c r="P786" s="80">
        <v>40</v>
      </c>
      <c r="Q786" s="80">
        <f t="shared" si="130"/>
        <v>315</v>
      </c>
      <c r="R786" s="80">
        <f t="shared" si="131"/>
        <v>100</v>
      </c>
      <c r="S786" s="77">
        <f t="shared" si="132"/>
        <v>695</v>
      </c>
      <c r="T786" s="77">
        <f>0</f>
        <v>0</v>
      </c>
      <c r="U786" s="78"/>
      <c r="V786" s="78"/>
      <c r="W786" s="78"/>
      <c r="X786" s="78"/>
      <c r="Y786" s="78"/>
      <c r="Z786" s="78"/>
      <c r="AA786" s="78"/>
      <c r="AB786" s="78"/>
      <c r="AC786" s="78"/>
      <c r="AD786" s="78"/>
    </row>
    <row r="787" spans="1:30" ht="15.75" x14ac:dyDescent="0.25">
      <c r="A787" s="13">
        <v>65258</v>
      </c>
      <c r="B787" s="88">
        <f t="shared" si="128"/>
        <v>31</v>
      </c>
      <c r="C787" s="77">
        <f>194.205</f>
        <v>194.20500000000001</v>
      </c>
      <c r="D787" s="77">
        <f>267.466</f>
        <v>267.46600000000001</v>
      </c>
      <c r="E787" s="85">
        <f>133.845</f>
        <v>133.845</v>
      </c>
      <c r="F787" s="77">
        <f>278.484-40-25-60-100</f>
        <v>53.48399999999998</v>
      </c>
      <c r="G787" s="80">
        <v>40</v>
      </c>
      <c r="H787" s="77">
        <f t="shared" si="133"/>
        <v>185</v>
      </c>
      <c r="I787" s="77">
        <f t="shared" si="124"/>
        <v>0</v>
      </c>
      <c r="J787" s="80">
        <v>100</v>
      </c>
      <c r="K787" s="80">
        <v>300</v>
      </c>
      <c r="L787" s="77">
        <f t="shared" si="129"/>
        <v>1274</v>
      </c>
      <c r="M787" s="87">
        <v>600</v>
      </c>
      <c r="N787" s="77">
        <f>30</f>
        <v>30</v>
      </c>
      <c r="O787" s="80">
        <v>240</v>
      </c>
      <c r="P787" s="80">
        <v>40</v>
      </c>
      <c r="Q787" s="80">
        <f t="shared" si="130"/>
        <v>315</v>
      </c>
      <c r="R787" s="80">
        <f t="shared" si="131"/>
        <v>100</v>
      </c>
      <c r="S787" s="77">
        <f t="shared" si="132"/>
        <v>695</v>
      </c>
      <c r="T787" s="77">
        <f>0</f>
        <v>0</v>
      </c>
      <c r="U787" s="78"/>
      <c r="V787" s="78"/>
      <c r="W787" s="78"/>
      <c r="X787" s="78"/>
      <c r="Y787" s="78"/>
      <c r="Z787" s="78"/>
      <c r="AA787" s="78"/>
      <c r="AB787" s="78"/>
      <c r="AC787" s="78"/>
      <c r="AD787" s="78"/>
    </row>
    <row r="788" spans="1:30" ht="15.75" x14ac:dyDescent="0.25">
      <c r="A788" s="13">
        <v>65288</v>
      </c>
      <c r="B788" s="88">
        <f t="shared" si="128"/>
        <v>30</v>
      </c>
      <c r="C788" s="77">
        <f>194.205</f>
        <v>194.20500000000001</v>
      </c>
      <c r="D788" s="77">
        <f>267.466</f>
        <v>267.46600000000001</v>
      </c>
      <c r="E788" s="85">
        <f>133.845</f>
        <v>133.845</v>
      </c>
      <c r="F788" s="77">
        <f>278.484-40-25-60-100</f>
        <v>53.48399999999998</v>
      </c>
      <c r="G788" s="80">
        <v>40</v>
      </c>
      <c r="H788" s="77">
        <f t="shared" si="133"/>
        <v>185</v>
      </c>
      <c r="I788" s="77">
        <f t="shared" si="124"/>
        <v>0</v>
      </c>
      <c r="J788" s="80">
        <v>100</v>
      </c>
      <c r="K788" s="80">
        <v>300</v>
      </c>
      <c r="L788" s="77">
        <f t="shared" si="129"/>
        <v>1274</v>
      </c>
      <c r="M788" s="87">
        <v>600</v>
      </c>
      <c r="N788" s="77">
        <f>30</f>
        <v>30</v>
      </c>
      <c r="O788" s="80">
        <v>240</v>
      </c>
      <c r="P788" s="80">
        <v>40</v>
      </c>
      <c r="Q788" s="80">
        <f t="shared" si="130"/>
        <v>315</v>
      </c>
      <c r="R788" s="80">
        <f t="shared" si="131"/>
        <v>100</v>
      </c>
      <c r="S788" s="77">
        <f t="shared" si="132"/>
        <v>695</v>
      </c>
      <c r="T788" s="77">
        <f>0</f>
        <v>0</v>
      </c>
      <c r="U788" s="78"/>
      <c r="V788" s="78"/>
      <c r="W788" s="78"/>
      <c r="X788" s="78"/>
      <c r="Y788" s="78"/>
      <c r="Z788" s="78"/>
      <c r="AA788" s="78"/>
      <c r="AB788" s="78"/>
      <c r="AC788" s="78"/>
      <c r="AD788" s="78"/>
    </row>
    <row r="789" spans="1:30" ht="15.75" x14ac:dyDescent="0.25">
      <c r="A789" s="13">
        <v>65319</v>
      </c>
      <c r="B789" s="88">
        <f t="shared" si="128"/>
        <v>31</v>
      </c>
      <c r="C789" s="77">
        <f>131.881</f>
        <v>131.881</v>
      </c>
      <c r="D789" s="77">
        <f>277.167</f>
        <v>277.16699999999997</v>
      </c>
      <c r="E789" s="85">
        <f>79.08</f>
        <v>79.08</v>
      </c>
      <c r="F789" s="77">
        <f>350.872-40-25-60-100</f>
        <v>125.87200000000001</v>
      </c>
      <c r="G789" s="80">
        <v>40</v>
      </c>
      <c r="H789" s="77">
        <f t="shared" si="133"/>
        <v>185</v>
      </c>
      <c r="I789" s="77">
        <f t="shared" si="124"/>
        <v>0</v>
      </c>
      <c r="J789" s="80">
        <v>100</v>
      </c>
      <c r="K789" s="80">
        <v>300</v>
      </c>
      <c r="L789" s="77">
        <f t="shared" si="129"/>
        <v>1239</v>
      </c>
      <c r="M789" s="87">
        <v>600</v>
      </c>
      <c r="N789" s="77">
        <f>75</f>
        <v>75</v>
      </c>
      <c r="O789" s="80">
        <v>240</v>
      </c>
      <c r="P789" s="80">
        <v>40</v>
      </c>
      <c r="Q789" s="80">
        <f t="shared" si="130"/>
        <v>315</v>
      </c>
      <c r="R789" s="80">
        <f t="shared" si="131"/>
        <v>100</v>
      </c>
      <c r="S789" s="77">
        <f t="shared" si="132"/>
        <v>695</v>
      </c>
      <c r="T789" s="77">
        <f>0</f>
        <v>0</v>
      </c>
      <c r="U789" s="78"/>
      <c r="V789" s="78"/>
      <c r="W789" s="78"/>
      <c r="X789" s="78"/>
      <c r="Y789" s="78"/>
      <c r="Z789" s="78"/>
      <c r="AA789" s="78"/>
      <c r="AB789" s="78"/>
      <c r="AC789" s="78"/>
      <c r="AD789" s="78"/>
    </row>
    <row r="790" spans="1:30" ht="15.75" x14ac:dyDescent="0.25">
      <c r="A790" s="13">
        <v>65349</v>
      </c>
      <c r="B790" s="88">
        <f t="shared" si="128"/>
        <v>30</v>
      </c>
      <c r="C790" s="77">
        <f>122.58</f>
        <v>122.58</v>
      </c>
      <c r="D790" s="77">
        <f>297.941</f>
        <v>297.94099999999997</v>
      </c>
      <c r="E790" s="85">
        <f>89.177</f>
        <v>89.177000000000007</v>
      </c>
      <c r="F790" s="77">
        <f>240.302-40-60-100</f>
        <v>40.301999999999992</v>
      </c>
      <c r="G790" s="80">
        <v>40</v>
      </c>
      <c r="H790" s="77">
        <f>60+100</f>
        <v>160</v>
      </c>
      <c r="I790" s="77">
        <f t="shared" si="124"/>
        <v>0</v>
      </c>
      <c r="J790" s="80">
        <v>100</v>
      </c>
      <c r="K790" s="80">
        <v>300</v>
      </c>
      <c r="L790" s="77">
        <f t="shared" si="129"/>
        <v>1150</v>
      </c>
      <c r="M790" s="87">
        <v>600</v>
      </c>
      <c r="N790" s="77">
        <f>100</f>
        <v>100</v>
      </c>
      <c r="O790" s="80">
        <v>240</v>
      </c>
      <c r="P790" s="80">
        <v>40</v>
      </c>
      <c r="Q790" s="80">
        <f t="shared" si="130"/>
        <v>315</v>
      </c>
      <c r="R790" s="80">
        <f t="shared" si="131"/>
        <v>100</v>
      </c>
      <c r="S790" s="77">
        <f t="shared" si="132"/>
        <v>695</v>
      </c>
      <c r="T790" s="77">
        <f>50</f>
        <v>50</v>
      </c>
      <c r="U790" s="78"/>
      <c r="V790" s="78"/>
      <c r="W790" s="78"/>
      <c r="X790" s="78"/>
      <c r="Y790" s="78"/>
      <c r="Z790" s="78"/>
      <c r="AA790" s="78"/>
      <c r="AB790" s="78"/>
      <c r="AC790" s="78"/>
      <c r="AD790" s="78"/>
    </row>
    <row r="791" spans="1:30" ht="15.75" x14ac:dyDescent="0.25">
      <c r="A791" s="13">
        <v>65380</v>
      </c>
      <c r="B791" s="88">
        <f t="shared" si="128"/>
        <v>31</v>
      </c>
      <c r="C791" s="77">
        <f>122.58</f>
        <v>122.58</v>
      </c>
      <c r="D791" s="77">
        <f>297.941</f>
        <v>297.94099999999997</v>
      </c>
      <c r="E791" s="85">
        <f>89.177</f>
        <v>89.177000000000007</v>
      </c>
      <c r="F791" s="77">
        <f>240.302-40-60-100</f>
        <v>40.301999999999992</v>
      </c>
      <c r="G791" s="80">
        <v>40</v>
      </c>
      <c r="H791" s="77">
        <f>60+100</f>
        <v>160</v>
      </c>
      <c r="I791" s="77">
        <f t="shared" si="124"/>
        <v>0</v>
      </c>
      <c r="J791" s="80">
        <v>100</v>
      </c>
      <c r="K791" s="80">
        <v>300</v>
      </c>
      <c r="L791" s="77">
        <f t="shared" si="129"/>
        <v>1150</v>
      </c>
      <c r="M791" s="87">
        <v>600</v>
      </c>
      <c r="N791" s="77">
        <f>100</f>
        <v>100</v>
      </c>
      <c r="O791" s="80">
        <v>240</v>
      </c>
      <c r="P791" s="80">
        <v>40</v>
      </c>
      <c r="Q791" s="80">
        <f t="shared" si="130"/>
        <v>315</v>
      </c>
      <c r="R791" s="80">
        <f t="shared" si="131"/>
        <v>100</v>
      </c>
      <c r="S791" s="77">
        <f t="shared" si="132"/>
        <v>695</v>
      </c>
      <c r="T791" s="77">
        <f>50</f>
        <v>50</v>
      </c>
      <c r="U791" s="78"/>
      <c r="V791" s="78"/>
      <c r="W791" s="78"/>
      <c r="X791" s="78"/>
      <c r="Y791" s="78"/>
      <c r="Z791" s="78"/>
      <c r="AA791" s="78"/>
      <c r="AB791" s="78"/>
      <c r="AC791" s="78"/>
      <c r="AD791" s="78"/>
    </row>
    <row r="792" spans="1:30" ht="15.75" x14ac:dyDescent="0.25">
      <c r="A792" s="13">
        <v>65411</v>
      </c>
      <c r="B792" s="88">
        <f t="shared" si="128"/>
        <v>31</v>
      </c>
      <c r="C792" s="77">
        <f>122.58</f>
        <v>122.58</v>
      </c>
      <c r="D792" s="77">
        <f>297.941</f>
        <v>297.94099999999997</v>
      </c>
      <c r="E792" s="85">
        <f>89.177</f>
        <v>89.177000000000007</v>
      </c>
      <c r="F792" s="77">
        <f>240.302-40-60-100</f>
        <v>40.301999999999992</v>
      </c>
      <c r="G792" s="80">
        <v>40</v>
      </c>
      <c r="H792" s="77">
        <f>60+100</f>
        <v>160</v>
      </c>
      <c r="I792" s="77">
        <f t="shared" si="124"/>
        <v>0</v>
      </c>
      <c r="J792" s="80">
        <v>100</v>
      </c>
      <c r="K792" s="80">
        <v>300</v>
      </c>
      <c r="L792" s="77">
        <f t="shared" si="129"/>
        <v>1150</v>
      </c>
      <c r="M792" s="87">
        <v>600</v>
      </c>
      <c r="N792" s="77">
        <f>100</f>
        <v>100</v>
      </c>
      <c r="O792" s="80">
        <v>240</v>
      </c>
      <c r="P792" s="80">
        <v>40</v>
      </c>
      <c r="Q792" s="80">
        <f t="shared" si="130"/>
        <v>315</v>
      </c>
      <c r="R792" s="80">
        <f t="shared" si="131"/>
        <v>100</v>
      </c>
      <c r="S792" s="77">
        <f t="shared" si="132"/>
        <v>695</v>
      </c>
      <c r="T792" s="77">
        <f>50</f>
        <v>50</v>
      </c>
      <c r="U792" s="78"/>
      <c r="V792" s="78"/>
      <c r="W792" s="78"/>
      <c r="X792" s="78"/>
      <c r="Y792" s="78"/>
      <c r="Z792" s="78"/>
      <c r="AA792" s="78"/>
      <c r="AB792" s="78"/>
      <c r="AC792" s="78"/>
      <c r="AD792" s="78"/>
    </row>
    <row r="793" spans="1:30" ht="15.75" x14ac:dyDescent="0.25">
      <c r="A793" s="13">
        <v>65439</v>
      </c>
      <c r="B793" s="88">
        <f t="shared" si="128"/>
        <v>28</v>
      </c>
      <c r="C793" s="77">
        <f>122.58</f>
        <v>122.58</v>
      </c>
      <c r="D793" s="77">
        <f>297.941</f>
        <v>297.94099999999997</v>
      </c>
      <c r="E793" s="85">
        <f>89.177</f>
        <v>89.177000000000007</v>
      </c>
      <c r="F793" s="77">
        <f>240.302-40-60-100</f>
        <v>40.301999999999992</v>
      </c>
      <c r="G793" s="80">
        <v>40</v>
      </c>
      <c r="H793" s="77">
        <f>60+100</f>
        <v>160</v>
      </c>
      <c r="I793" s="77">
        <f t="shared" si="124"/>
        <v>0</v>
      </c>
      <c r="J793" s="80">
        <v>100</v>
      </c>
      <c r="K793" s="80">
        <v>300</v>
      </c>
      <c r="L793" s="77">
        <f t="shared" si="129"/>
        <v>1150</v>
      </c>
      <c r="M793" s="87">
        <v>600</v>
      </c>
      <c r="N793" s="77">
        <f>100</f>
        <v>100</v>
      </c>
      <c r="O793" s="80">
        <v>240</v>
      </c>
      <c r="P793" s="80">
        <v>40</v>
      </c>
      <c r="Q793" s="80">
        <f t="shared" si="130"/>
        <v>315</v>
      </c>
      <c r="R793" s="80">
        <f t="shared" si="131"/>
        <v>100</v>
      </c>
      <c r="S793" s="77">
        <f t="shared" si="132"/>
        <v>695</v>
      </c>
      <c r="T793" s="77">
        <f>50</f>
        <v>50</v>
      </c>
      <c r="U793" s="78"/>
      <c r="V793" s="78"/>
      <c r="W793" s="78"/>
      <c r="X793" s="78"/>
      <c r="Y793" s="78"/>
      <c r="Z793" s="78"/>
      <c r="AA793" s="78"/>
      <c r="AB793" s="78"/>
      <c r="AC793" s="78"/>
      <c r="AD793" s="78"/>
    </row>
    <row r="794" spans="1:30" ht="15.75" x14ac:dyDescent="0.25">
      <c r="A794" s="13">
        <v>65470</v>
      </c>
      <c r="B794" s="88">
        <f t="shared" si="128"/>
        <v>31</v>
      </c>
      <c r="C794" s="77">
        <f>122.58</f>
        <v>122.58</v>
      </c>
      <c r="D794" s="77">
        <f>297.941</f>
        <v>297.94099999999997</v>
      </c>
      <c r="E794" s="85">
        <f>89.177</f>
        <v>89.177000000000007</v>
      </c>
      <c r="F794" s="77">
        <f>240.302-40-60-100</f>
        <v>40.301999999999992</v>
      </c>
      <c r="G794" s="80">
        <v>40</v>
      </c>
      <c r="H794" s="77">
        <f>60+100</f>
        <v>160</v>
      </c>
      <c r="I794" s="77">
        <f t="shared" si="124"/>
        <v>0</v>
      </c>
      <c r="J794" s="80">
        <v>100</v>
      </c>
      <c r="K794" s="80">
        <v>300</v>
      </c>
      <c r="L794" s="77">
        <f t="shared" si="129"/>
        <v>1150</v>
      </c>
      <c r="M794" s="87">
        <v>600</v>
      </c>
      <c r="N794" s="77">
        <f>100</f>
        <v>100</v>
      </c>
      <c r="O794" s="80">
        <v>240</v>
      </c>
      <c r="P794" s="80">
        <v>40</v>
      </c>
      <c r="Q794" s="80">
        <f t="shared" si="130"/>
        <v>315</v>
      </c>
      <c r="R794" s="80">
        <f t="shared" si="131"/>
        <v>100</v>
      </c>
      <c r="S794" s="77">
        <f t="shared" si="132"/>
        <v>695</v>
      </c>
      <c r="T794" s="77">
        <f>50</f>
        <v>50</v>
      </c>
      <c r="U794" s="78"/>
      <c r="V794" s="78"/>
      <c r="W794" s="78"/>
      <c r="X794" s="78"/>
      <c r="Y794" s="78"/>
      <c r="Z794" s="78"/>
      <c r="AA794" s="78"/>
      <c r="AB794" s="78"/>
      <c r="AC794" s="78"/>
      <c r="AD794" s="78"/>
    </row>
    <row r="795" spans="1:30" ht="15.75" x14ac:dyDescent="0.25">
      <c r="A795" s="13">
        <v>65500</v>
      </c>
      <c r="B795" s="88">
        <f t="shared" si="128"/>
        <v>30</v>
      </c>
      <c r="C795" s="77">
        <f>141.293</f>
        <v>141.29300000000001</v>
      </c>
      <c r="D795" s="77">
        <f>267.993</f>
        <v>267.99299999999999</v>
      </c>
      <c r="E795" s="85">
        <f>115.016</f>
        <v>115.01600000000001</v>
      </c>
      <c r="F795" s="77">
        <f>314.698-40-25-60-100</f>
        <v>89.697999999999979</v>
      </c>
      <c r="G795" s="80">
        <v>40</v>
      </c>
      <c r="H795" s="77">
        <f t="shared" ref="H795:H801" si="134">25+60+100</f>
        <v>185</v>
      </c>
      <c r="I795" s="77">
        <f t="shared" si="124"/>
        <v>0</v>
      </c>
      <c r="J795" s="80">
        <v>100</v>
      </c>
      <c r="K795" s="80">
        <v>300</v>
      </c>
      <c r="L795" s="77">
        <f t="shared" si="129"/>
        <v>1239</v>
      </c>
      <c r="M795" s="87">
        <v>600</v>
      </c>
      <c r="N795" s="77">
        <f>100</f>
        <v>100</v>
      </c>
      <c r="O795" s="80">
        <v>240</v>
      </c>
      <c r="P795" s="80">
        <v>40</v>
      </c>
      <c r="Q795" s="80">
        <f t="shared" si="130"/>
        <v>315</v>
      </c>
      <c r="R795" s="80">
        <f t="shared" si="131"/>
        <v>100</v>
      </c>
      <c r="S795" s="77">
        <f t="shared" si="132"/>
        <v>695</v>
      </c>
      <c r="T795" s="77">
        <f>50</f>
        <v>50</v>
      </c>
      <c r="U795" s="78"/>
      <c r="V795" s="78"/>
      <c r="W795" s="78"/>
      <c r="X795" s="78"/>
      <c r="Y795" s="78"/>
      <c r="Z795" s="78"/>
      <c r="AA795" s="78"/>
      <c r="AB795" s="78"/>
      <c r="AC795" s="78"/>
      <c r="AD795" s="78"/>
    </row>
    <row r="796" spans="1:30" ht="15.75" x14ac:dyDescent="0.25">
      <c r="A796" s="13">
        <v>65531</v>
      </c>
      <c r="B796" s="88">
        <f t="shared" si="128"/>
        <v>31</v>
      </c>
      <c r="C796" s="77">
        <f>194.205</f>
        <v>194.20500000000001</v>
      </c>
      <c r="D796" s="77">
        <f>267.466</f>
        <v>267.46600000000001</v>
      </c>
      <c r="E796" s="85">
        <f>133.845</f>
        <v>133.845</v>
      </c>
      <c r="F796" s="77">
        <f>278.484-40-25-60-100</f>
        <v>53.48399999999998</v>
      </c>
      <c r="G796" s="80">
        <v>40</v>
      </c>
      <c r="H796" s="77">
        <f t="shared" si="134"/>
        <v>185</v>
      </c>
      <c r="I796" s="77">
        <f t="shared" si="124"/>
        <v>0</v>
      </c>
      <c r="J796" s="80">
        <v>100</v>
      </c>
      <c r="K796" s="80">
        <v>300</v>
      </c>
      <c r="L796" s="77">
        <f t="shared" si="129"/>
        <v>1274</v>
      </c>
      <c r="M796" s="87">
        <v>600</v>
      </c>
      <c r="N796" s="77">
        <f>75</f>
        <v>75</v>
      </c>
      <c r="O796" s="80">
        <v>240</v>
      </c>
      <c r="P796" s="80">
        <v>40</v>
      </c>
      <c r="Q796" s="80">
        <f t="shared" si="130"/>
        <v>315</v>
      </c>
      <c r="R796" s="80">
        <f t="shared" si="131"/>
        <v>100</v>
      </c>
      <c r="S796" s="77">
        <f t="shared" si="132"/>
        <v>695</v>
      </c>
      <c r="T796" s="77">
        <f>50</f>
        <v>50</v>
      </c>
      <c r="U796" s="78"/>
      <c r="V796" s="78"/>
      <c r="W796" s="78"/>
      <c r="X796" s="78"/>
      <c r="Y796" s="78"/>
      <c r="Z796" s="78"/>
      <c r="AA796" s="78"/>
      <c r="AB796" s="78"/>
      <c r="AC796" s="78"/>
      <c r="AD796" s="78"/>
    </row>
    <row r="797" spans="1:30" ht="15.75" x14ac:dyDescent="0.25">
      <c r="A797" s="13">
        <v>65561</v>
      </c>
      <c r="B797" s="88">
        <f t="shared" si="128"/>
        <v>30</v>
      </c>
      <c r="C797" s="77">
        <f>194.205</f>
        <v>194.20500000000001</v>
      </c>
      <c r="D797" s="77">
        <f>267.466</f>
        <v>267.46600000000001</v>
      </c>
      <c r="E797" s="85">
        <f>133.845</f>
        <v>133.845</v>
      </c>
      <c r="F797" s="77">
        <f>278.484-40-25-60-100</f>
        <v>53.48399999999998</v>
      </c>
      <c r="G797" s="80">
        <v>40</v>
      </c>
      <c r="H797" s="77">
        <f t="shared" si="134"/>
        <v>185</v>
      </c>
      <c r="I797" s="77">
        <f t="shared" si="124"/>
        <v>0</v>
      </c>
      <c r="J797" s="80">
        <v>100</v>
      </c>
      <c r="K797" s="80">
        <v>300</v>
      </c>
      <c r="L797" s="77">
        <f t="shared" si="129"/>
        <v>1274</v>
      </c>
      <c r="M797" s="87">
        <v>600</v>
      </c>
      <c r="N797" s="77">
        <f>30</f>
        <v>30</v>
      </c>
      <c r="O797" s="80">
        <v>240</v>
      </c>
      <c r="P797" s="80">
        <v>40</v>
      </c>
      <c r="Q797" s="80">
        <f t="shared" si="130"/>
        <v>315</v>
      </c>
      <c r="R797" s="80">
        <f t="shared" si="131"/>
        <v>100</v>
      </c>
      <c r="S797" s="77">
        <f t="shared" si="132"/>
        <v>695</v>
      </c>
      <c r="T797" s="77">
        <f>50</f>
        <v>50</v>
      </c>
      <c r="U797" s="78"/>
      <c r="V797" s="78"/>
      <c r="W797" s="78"/>
      <c r="X797" s="78"/>
      <c r="Y797" s="78"/>
      <c r="Z797" s="78"/>
      <c r="AA797" s="78"/>
      <c r="AB797" s="78"/>
      <c r="AC797" s="78"/>
      <c r="AD797" s="78"/>
    </row>
    <row r="798" spans="1:30" ht="15.75" x14ac:dyDescent="0.25">
      <c r="A798" s="13">
        <v>65592</v>
      </c>
      <c r="B798" s="88">
        <f t="shared" si="128"/>
        <v>31</v>
      </c>
      <c r="C798" s="77">
        <f>194.205</f>
        <v>194.20500000000001</v>
      </c>
      <c r="D798" s="77">
        <f>267.466</f>
        <v>267.46600000000001</v>
      </c>
      <c r="E798" s="85">
        <f>133.845</f>
        <v>133.845</v>
      </c>
      <c r="F798" s="77">
        <f>278.484-40-25-60-100</f>
        <v>53.48399999999998</v>
      </c>
      <c r="G798" s="80">
        <v>40</v>
      </c>
      <c r="H798" s="77">
        <f t="shared" si="134"/>
        <v>185</v>
      </c>
      <c r="I798" s="77">
        <f t="shared" si="124"/>
        <v>0</v>
      </c>
      <c r="J798" s="80">
        <v>100</v>
      </c>
      <c r="K798" s="80">
        <v>300</v>
      </c>
      <c r="L798" s="77">
        <f t="shared" si="129"/>
        <v>1274</v>
      </c>
      <c r="M798" s="87">
        <v>600</v>
      </c>
      <c r="N798" s="77">
        <f>30</f>
        <v>30</v>
      </c>
      <c r="O798" s="80">
        <v>240</v>
      </c>
      <c r="P798" s="80">
        <v>40</v>
      </c>
      <c r="Q798" s="80">
        <f t="shared" si="130"/>
        <v>315</v>
      </c>
      <c r="R798" s="80">
        <f t="shared" si="131"/>
        <v>100</v>
      </c>
      <c r="S798" s="77">
        <f t="shared" si="132"/>
        <v>695</v>
      </c>
      <c r="T798" s="77">
        <f>0</f>
        <v>0</v>
      </c>
      <c r="U798" s="78"/>
      <c r="V798" s="78"/>
      <c r="W798" s="78"/>
      <c r="X798" s="78"/>
      <c r="Y798" s="78"/>
      <c r="Z798" s="78"/>
      <c r="AA798" s="78"/>
      <c r="AB798" s="78"/>
      <c r="AC798" s="78"/>
      <c r="AD798" s="78"/>
    </row>
    <row r="799" spans="1:30" ht="15.75" x14ac:dyDescent="0.25">
      <c r="A799" s="13">
        <v>65623</v>
      </c>
      <c r="B799" s="88">
        <f t="shared" si="128"/>
        <v>31</v>
      </c>
      <c r="C799" s="77">
        <f>194.205</f>
        <v>194.20500000000001</v>
      </c>
      <c r="D799" s="77">
        <f>267.466</f>
        <v>267.46600000000001</v>
      </c>
      <c r="E799" s="85">
        <f>133.845</f>
        <v>133.845</v>
      </c>
      <c r="F799" s="77">
        <f>278.484-40-25-60-100</f>
        <v>53.48399999999998</v>
      </c>
      <c r="G799" s="80">
        <v>40</v>
      </c>
      <c r="H799" s="77">
        <f t="shared" si="134"/>
        <v>185</v>
      </c>
      <c r="I799" s="77">
        <f t="shared" si="124"/>
        <v>0</v>
      </c>
      <c r="J799" s="80">
        <v>100</v>
      </c>
      <c r="K799" s="80">
        <v>300</v>
      </c>
      <c r="L799" s="77">
        <f t="shared" si="129"/>
        <v>1274</v>
      </c>
      <c r="M799" s="87">
        <v>600</v>
      </c>
      <c r="N799" s="77">
        <f>30</f>
        <v>30</v>
      </c>
      <c r="O799" s="80">
        <v>240</v>
      </c>
      <c r="P799" s="80">
        <v>40</v>
      </c>
      <c r="Q799" s="80">
        <f t="shared" si="130"/>
        <v>315</v>
      </c>
      <c r="R799" s="80">
        <f t="shared" si="131"/>
        <v>100</v>
      </c>
      <c r="S799" s="77">
        <f t="shared" si="132"/>
        <v>695</v>
      </c>
      <c r="T799" s="77">
        <f>0</f>
        <v>0</v>
      </c>
      <c r="U799" s="78"/>
      <c r="V799" s="78"/>
      <c r="W799" s="78"/>
      <c r="X799" s="78"/>
      <c r="Y799" s="78"/>
      <c r="Z799" s="78"/>
      <c r="AA799" s="78"/>
      <c r="AB799" s="78"/>
      <c r="AC799" s="78"/>
      <c r="AD799" s="78"/>
    </row>
    <row r="800" spans="1:30" ht="15.75" x14ac:dyDescent="0.25">
      <c r="A800" s="13">
        <v>65653</v>
      </c>
      <c r="B800" s="88">
        <f t="shared" si="128"/>
        <v>30</v>
      </c>
      <c r="C800" s="77">
        <f>194.205</f>
        <v>194.20500000000001</v>
      </c>
      <c r="D800" s="77">
        <f>267.466</f>
        <v>267.46600000000001</v>
      </c>
      <c r="E800" s="85">
        <f>133.845</f>
        <v>133.845</v>
      </c>
      <c r="F800" s="77">
        <f>278.484-40-25-60-100</f>
        <v>53.48399999999998</v>
      </c>
      <c r="G800" s="80">
        <v>40</v>
      </c>
      <c r="H800" s="77">
        <f t="shared" si="134"/>
        <v>185</v>
      </c>
      <c r="I800" s="77">
        <f t="shared" si="124"/>
        <v>0</v>
      </c>
      <c r="J800" s="80">
        <v>100</v>
      </c>
      <c r="K800" s="80">
        <v>300</v>
      </c>
      <c r="L800" s="77">
        <f t="shared" si="129"/>
        <v>1274</v>
      </c>
      <c r="M800" s="87">
        <v>600</v>
      </c>
      <c r="N800" s="77">
        <f>30</f>
        <v>30</v>
      </c>
      <c r="O800" s="80">
        <v>240</v>
      </c>
      <c r="P800" s="80">
        <v>40</v>
      </c>
      <c r="Q800" s="80">
        <f t="shared" si="130"/>
        <v>315</v>
      </c>
      <c r="R800" s="80">
        <f t="shared" si="131"/>
        <v>100</v>
      </c>
      <c r="S800" s="77">
        <f t="shared" si="132"/>
        <v>695</v>
      </c>
      <c r="T800" s="77">
        <f>0</f>
        <v>0</v>
      </c>
      <c r="U800" s="78"/>
      <c r="V800" s="78"/>
      <c r="W800" s="78"/>
      <c r="X800" s="78"/>
      <c r="Y800" s="78"/>
      <c r="Z800" s="78"/>
      <c r="AA800" s="78"/>
      <c r="AB800" s="78"/>
      <c r="AC800" s="78"/>
      <c r="AD800" s="78"/>
    </row>
    <row r="801" spans="1:30" ht="15.75" x14ac:dyDescent="0.25">
      <c r="A801" s="13">
        <v>65684</v>
      </c>
      <c r="B801" s="88">
        <f t="shared" si="128"/>
        <v>31</v>
      </c>
      <c r="C801" s="77">
        <f>131.881</f>
        <v>131.881</v>
      </c>
      <c r="D801" s="77">
        <f>277.167</f>
        <v>277.16699999999997</v>
      </c>
      <c r="E801" s="85">
        <f>79.08</f>
        <v>79.08</v>
      </c>
      <c r="F801" s="77">
        <f>350.872-40-25-60-100</f>
        <v>125.87200000000001</v>
      </c>
      <c r="G801" s="80">
        <v>40</v>
      </c>
      <c r="H801" s="77">
        <f t="shared" si="134"/>
        <v>185</v>
      </c>
      <c r="I801" s="77">
        <f t="shared" si="124"/>
        <v>0</v>
      </c>
      <c r="J801" s="80">
        <v>100</v>
      </c>
      <c r="K801" s="80">
        <v>300</v>
      </c>
      <c r="L801" s="77">
        <f t="shared" si="129"/>
        <v>1239</v>
      </c>
      <c r="M801" s="87">
        <v>600</v>
      </c>
      <c r="N801" s="77">
        <f>75</f>
        <v>75</v>
      </c>
      <c r="O801" s="80">
        <v>240</v>
      </c>
      <c r="P801" s="80">
        <v>40</v>
      </c>
      <c r="Q801" s="80">
        <f t="shared" si="130"/>
        <v>315</v>
      </c>
      <c r="R801" s="80">
        <f t="shared" si="131"/>
        <v>100</v>
      </c>
      <c r="S801" s="77">
        <f t="shared" si="132"/>
        <v>695</v>
      </c>
      <c r="T801" s="77">
        <f>0</f>
        <v>0</v>
      </c>
      <c r="U801" s="78"/>
      <c r="V801" s="78"/>
      <c r="W801" s="78"/>
      <c r="X801" s="78"/>
      <c r="Y801" s="78"/>
      <c r="Z801" s="78"/>
      <c r="AA801" s="78"/>
      <c r="AB801" s="78"/>
      <c r="AC801" s="78"/>
      <c r="AD801" s="78"/>
    </row>
    <row r="802" spans="1:30" ht="15.75" x14ac:dyDescent="0.25">
      <c r="A802" s="13">
        <v>65714</v>
      </c>
      <c r="B802" s="88">
        <f t="shared" si="128"/>
        <v>30</v>
      </c>
      <c r="C802" s="77">
        <f>122.58</f>
        <v>122.58</v>
      </c>
      <c r="D802" s="77">
        <f>297.941</f>
        <v>297.94099999999997</v>
      </c>
      <c r="E802" s="85">
        <f>89.177</f>
        <v>89.177000000000007</v>
      </c>
      <c r="F802" s="77">
        <f>240.302-40-60-100</f>
        <v>40.301999999999992</v>
      </c>
      <c r="G802" s="80">
        <v>40</v>
      </c>
      <c r="H802" s="77">
        <f>60+100</f>
        <v>160</v>
      </c>
      <c r="I802" s="77">
        <f t="shared" si="124"/>
        <v>0</v>
      </c>
      <c r="J802" s="80">
        <v>100</v>
      </c>
      <c r="K802" s="80">
        <v>300</v>
      </c>
      <c r="L802" s="77">
        <f t="shared" si="129"/>
        <v>1150</v>
      </c>
      <c r="M802" s="87">
        <v>600</v>
      </c>
      <c r="N802" s="77">
        <f>100</f>
        <v>100</v>
      </c>
      <c r="O802" s="80">
        <v>240</v>
      </c>
      <c r="P802" s="80">
        <v>40</v>
      </c>
      <c r="Q802" s="80">
        <f t="shared" si="130"/>
        <v>315</v>
      </c>
      <c r="R802" s="80">
        <f t="shared" si="131"/>
        <v>100</v>
      </c>
      <c r="S802" s="77">
        <f t="shared" si="132"/>
        <v>695</v>
      </c>
      <c r="T802" s="77">
        <f>50</f>
        <v>50</v>
      </c>
      <c r="U802" s="78"/>
      <c r="V802" s="78"/>
      <c r="W802" s="78"/>
      <c r="X802" s="78"/>
      <c r="Y802" s="78"/>
      <c r="Z802" s="78"/>
      <c r="AA802" s="78"/>
      <c r="AB802" s="78"/>
      <c r="AC802" s="78"/>
      <c r="AD802" s="78"/>
    </row>
    <row r="803" spans="1:30" ht="15.75" x14ac:dyDescent="0.25">
      <c r="A803" s="13">
        <v>65745</v>
      </c>
      <c r="B803" s="88">
        <f t="shared" si="128"/>
        <v>31</v>
      </c>
      <c r="C803" s="77">
        <f>122.58</f>
        <v>122.58</v>
      </c>
      <c r="D803" s="77">
        <f>297.941</f>
        <v>297.94099999999997</v>
      </c>
      <c r="E803" s="85">
        <f>89.177</f>
        <v>89.177000000000007</v>
      </c>
      <c r="F803" s="77">
        <f>240.302-40-60-100</f>
        <v>40.301999999999992</v>
      </c>
      <c r="G803" s="80">
        <v>40</v>
      </c>
      <c r="H803" s="77">
        <f>60+100</f>
        <v>160</v>
      </c>
      <c r="I803" s="77">
        <f t="shared" si="124"/>
        <v>0</v>
      </c>
      <c r="J803" s="80">
        <v>100</v>
      </c>
      <c r="K803" s="80">
        <v>300</v>
      </c>
      <c r="L803" s="77">
        <f t="shared" si="129"/>
        <v>1150</v>
      </c>
      <c r="M803" s="87">
        <v>600</v>
      </c>
      <c r="N803" s="77">
        <f>100</f>
        <v>100</v>
      </c>
      <c r="O803" s="80">
        <v>240</v>
      </c>
      <c r="P803" s="80">
        <v>40</v>
      </c>
      <c r="Q803" s="80">
        <f t="shared" si="130"/>
        <v>315</v>
      </c>
      <c r="R803" s="80">
        <f t="shared" si="131"/>
        <v>100</v>
      </c>
      <c r="S803" s="77">
        <f t="shared" si="132"/>
        <v>695</v>
      </c>
      <c r="T803" s="77">
        <f>50</f>
        <v>50</v>
      </c>
      <c r="U803" s="78"/>
      <c r="V803" s="78"/>
      <c r="W803" s="78"/>
      <c r="X803" s="78"/>
      <c r="Y803" s="78"/>
      <c r="Z803" s="78"/>
      <c r="AA803" s="78"/>
      <c r="AB803" s="78"/>
      <c r="AC803" s="78"/>
      <c r="AD803" s="78"/>
    </row>
    <row r="804" spans="1:30" ht="15.75" x14ac:dyDescent="0.25">
      <c r="A804" s="13">
        <v>65776</v>
      </c>
      <c r="B804" s="88">
        <f t="shared" si="128"/>
        <v>31</v>
      </c>
      <c r="C804" s="77">
        <f>122.58</f>
        <v>122.58</v>
      </c>
      <c r="D804" s="77">
        <f>297.941</f>
        <v>297.94099999999997</v>
      </c>
      <c r="E804" s="85">
        <f>89.177</f>
        <v>89.177000000000007</v>
      </c>
      <c r="F804" s="77">
        <f>240.302-40-60-100</f>
        <v>40.301999999999992</v>
      </c>
      <c r="G804" s="80">
        <v>40</v>
      </c>
      <c r="H804" s="77">
        <f>60+100</f>
        <v>160</v>
      </c>
      <c r="I804" s="77">
        <f t="shared" si="124"/>
        <v>0</v>
      </c>
      <c r="J804" s="80">
        <v>100</v>
      </c>
      <c r="K804" s="80">
        <v>300</v>
      </c>
      <c r="L804" s="77">
        <f t="shared" si="129"/>
        <v>1150</v>
      </c>
      <c r="M804" s="87">
        <v>600</v>
      </c>
      <c r="N804" s="77">
        <f>100</f>
        <v>100</v>
      </c>
      <c r="O804" s="80">
        <v>240</v>
      </c>
      <c r="P804" s="80">
        <v>40</v>
      </c>
      <c r="Q804" s="80">
        <f t="shared" si="130"/>
        <v>315</v>
      </c>
      <c r="R804" s="80">
        <f t="shared" si="131"/>
        <v>100</v>
      </c>
      <c r="S804" s="77">
        <f t="shared" si="132"/>
        <v>695</v>
      </c>
      <c r="T804" s="77">
        <f>50</f>
        <v>50</v>
      </c>
      <c r="U804" s="78"/>
      <c r="V804" s="78"/>
      <c r="W804" s="78"/>
      <c r="X804" s="78"/>
      <c r="Y804" s="78"/>
      <c r="Z804" s="78"/>
      <c r="AA804" s="78"/>
      <c r="AB804" s="78"/>
      <c r="AC804" s="78"/>
      <c r="AD804" s="78"/>
    </row>
    <row r="805" spans="1:30" ht="15.75" x14ac:dyDescent="0.25">
      <c r="A805" s="13">
        <v>65805</v>
      </c>
      <c r="B805" s="88">
        <f t="shared" si="128"/>
        <v>29</v>
      </c>
      <c r="C805" s="77">
        <f>122.58</f>
        <v>122.58</v>
      </c>
      <c r="D805" s="77">
        <f>297.941</f>
        <v>297.94099999999997</v>
      </c>
      <c r="E805" s="85">
        <f>89.177</f>
        <v>89.177000000000007</v>
      </c>
      <c r="F805" s="77">
        <f>240.302-40-60-100</f>
        <v>40.301999999999992</v>
      </c>
      <c r="G805" s="80">
        <v>40</v>
      </c>
      <c r="H805" s="77">
        <f>60+100</f>
        <v>160</v>
      </c>
      <c r="I805" s="77">
        <f t="shared" si="124"/>
        <v>0</v>
      </c>
      <c r="J805" s="80">
        <v>100</v>
      </c>
      <c r="K805" s="80">
        <v>300</v>
      </c>
      <c r="L805" s="77">
        <f t="shared" si="129"/>
        <v>1150</v>
      </c>
      <c r="M805" s="87">
        <v>600</v>
      </c>
      <c r="N805" s="77">
        <f>100</f>
        <v>100</v>
      </c>
      <c r="O805" s="80">
        <v>240</v>
      </c>
      <c r="P805" s="80">
        <v>40</v>
      </c>
      <c r="Q805" s="80">
        <f t="shared" si="130"/>
        <v>315</v>
      </c>
      <c r="R805" s="80">
        <f t="shared" si="131"/>
        <v>100</v>
      </c>
      <c r="S805" s="77">
        <f t="shared" si="132"/>
        <v>695</v>
      </c>
      <c r="T805" s="77">
        <f>50</f>
        <v>50</v>
      </c>
      <c r="U805" s="78"/>
      <c r="V805" s="78"/>
      <c r="W805" s="78"/>
      <c r="X805" s="78"/>
      <c r="Y805" s="78"/>
      <c r="Z805" s="78"/>
      <c r="AA805" s="78"/>
      <c r="AB805" s="78"/>
      <c r="AC805" s="78"/>
      <c r="AD805" s="78"/>
    </row>
    <row r="806" spans="1:30" ht="15.75" x14ac:dyDescent="0.25">
      <c r="A806" s="13">
        <v>65836</v>
      </c>
      <c r="B806" s="88">
        <f t="shared" si="128"/>
        <v>31</v>
      </c>
      <c r="C806" s="77">
        <f>122.58</f>
        <v>122.58</v>
      </c>
      <c r="D806" s="77">
        <f>297.941</f>
        <v>297.94099999999997</v>
      </c>
      <c r="E806" s="85">
        <f>89.177</f>
        <v>89.177000000000007</v>
      </c>
      <c r="F806" s="77">
        <f>240.302-40-60-100</f>
        <v>40.301999999999992</v>
      </c>
      <c r="G806" s="80">
        <v>40</v>
      </c>
      <c r="H806" s="77">
        <f>60+100</f>
        <v>160</v>
      </c>
      <c r="I806" s="77">
        <f t="shared" si="124"/>
        <v>0</v>
      </c>
      <c r="J806" s="80">
        <v>100</v>
      </c>
      <c r="K806" s="80">
        <v>300</v>
      </c>
      <c r="L806" s="77">
        <f t="shared" si="129"/>
        <v>1150</v>
      </c>
      <c r="M806" s="87">
        <v>600</v>
      </c>
      <c r="N806" s="77">
        <f>100</f>
        <v>100</v>
      </c>
      <c r="O806" s="80">
        <v>240</v>
      </c>
      <c r="P806" s="80">
        <v>40</v>
      </c>
      <c r="Q806" s="80">
        <f t="shared" si="130"/>
        <v>315</v>
      </c>
      <c r="R806" s="80">
        <f t="shared" si="131"/>
        <v>100</v>
      </c>
      <c r="S806" s="77">
        <f t="shared" si="132"/>
        <v>695</v>
      </c>
      <c r="T806" s="77">
        <f>50</f>
        <v>50</v>
      </c>
      <c r="U806" s="78"/>
      <c r="V806" s="78"/>
      <c r="W806" s="78"/>
      <c r="X806" s="78"/>
      <c r="Y806" s="78"/>
      <c r="Z806" s="78"/>
      <c r="AA806" s="78"/>
      <c r="AB806" s="78"/>
      <c r="AC806" s="78"/>
      <c r="AD806" s="78"/>
    </row>
    <row r="807" spans="1:30" ht="15.75" x14ac:dyDescent="0.25">
      <c r="A807" s="13">
        <v>65866</v>
      </c>
      <c r="B807" s="88">
        <f t="shared" si="128"/>
        <v>30</v>
      </c>
      <c r="C807" s="77">
        <f>141.293</f>
        <v>141.29300000000001</v>
      </c>
      <c r="D807" s="77">
        <f>267.993</f>
        <v>267.99299999999999</v>
      </c>
      <c r="E807" s="85">
        <f>115.016</f>
        <v>115.01600000000001</v>
      </c>
      <c r="F807" s="77">
        <f>314.698-40-25-60-100</f>
        <v>89.697999999999979</v>
      </c>
      <c r="G807" s="80">
        <v>40</v>
      </c>
      <c r="H807" s="77">
        <f t="shared" ref="H807:H813" si="135">25+60+100</f>
        <v>185</v>
      </c>
      <c r="I807" s="77">
        <f t="shared" si="124"/>
        <v>0</v>
      </c>
      <c r="J807" s="80">
        <v>100</v>
      </c>
      <c r="K807" s="80">
        <v>300</v>
      </c>
      <c r="L807" s="77">
        <f t="shared" si="129"/>
        <v>1239</v>
      </c>
      <c r="M807" s="87">
        <v>600</v>
      </c>
      <c r="N807" s="77">
        <f>100</f>
        <v>100</v>
      </c>
      <c r="O807" s="80">
        <v>240</v>
      </c>
      <c r="P807" s="80">
        <v>40</v>
      </c>
      <c r="Q807" s="80">
        <f t="shared" si="130"/>
        <v>315</v>
      </c>
      <c r="R807" s="80">
        <f t="shared" si="131"/>
        <v>100</v>
      </c>
      <c r="S807" s="77">
        <f t="shared" si="132"/>
        <v>695</v>
      </c>
      <c r="T807" s="77">
        <f>50</f>
        <v>50</v>
      </c>
      <c r="U807" s="78"/>
      <c r="V807" s="78"/>
      <c r="W807" s="78"/>
      <c r="X807" s="78"/>
      <c r="Y807" s="78"/>
      <c r="Z807" s="78"/>
      <c r="AA807" s="78"/>
      <c r="AB807" s="78"/>
      <c r="AC807" s="78"/>
      <c r="AD807" s="78"/>
    </row>
    <row r="808" spans="1:30" ht="15.75" x14ac:dyDescent="0.25">
      <c r="A808" s="13">
        <v>65897</v>
      </c>
      <c r="B808" s="88">
        <f t="shared" si="128"/>
        <v>31</v>
      </c>
      <c r="C808" s="77">
        <f>194.205</f>
        <v>194.20500000000001</v>
      </c>
      <c r="D808" s="77">
        <f>267.466</f>
        <v>267.46600000000001</v>
      </c>
      <c r="E808" s="85">
        <f>133.845</f>
        <v>133.845</v>
      </c>
      <c r="F808" s="77">
        <f>278.484-40-25-60-100</f>
        <v>53.48399999999998</v>
      </c>
      <c r="G808" s="80">
        <v>40</v>
      </c>
      <c r="H808" s="77">
        <f t="shared" si="135"/>
        <v>185</v>
      </c>
      <c r="I808" s="77">
        <f t="shared" ref="I808:I871" si="136">400-J808-K808</f>
        <v>0</v>
      </c>
      <c r="J808" s="80">
        <v>100</v>
      </c>
      <c r="K808" s="80">
        <v>300</v>
      </c>
      <c r="L808" s="77">
        <f t="shared" si="129"/>
        <v>1274</v>
      </c>
      <c r="M808" s="87">
        <v>600</v>
      </c>
      <c r="N808" s="77">
        <f>75</f>
        <v>75</v>
      </c>
      <c r="O808" s="80">
        <v>240</v>
      </c>
      <c r="P808" s="80">
        <v>40</v>
      </c>
      <c r="Q808" s="80">
        <f t="shared" si="130"/>
        <v>315</v>
      </c>
      <c r="R808" s="80">
        <f t="shared" si="131"/>
        <v>100</v>
      </c>
      <c r="S808" s="77">
        <f t="shared" si="132"/>
        <v>695</v>
      </c>
      <c r="T808" s="77">
        <f>50</f>
        <v>50</v>
      </c>
      <c r="U808" s="78"/>
      <c r="V808" s="78"/>
      <c r="W808" s="78"/>
      <c r="X808" s="78"/>
      <c r="Y808" s="78"/>
      <c r="Z808" s="78"/>
      <c r="AA808" s="78"/>
      <c r="AB808" s="78"/>
      <c r="AC808" s="78"/>
      <c r="AD808" s="78"/>
    </row>
    <row r="809" spans="1:30" ht="15.75" x14ac:dyDescent="0.25">
      <c r="A809" s="13">
        <v>65927</v>
      </c>
      <c r="B809" s="88">
        <f t="shared" si="128"/>
        <v>30</v>
      </c>
      <c r="C809" s="77">
        <f>194.205</f>
        <v>194.20500000000001</v>
      </c>
      <c r="D809" s="77">
        <f>267.466</f>
        <v>267.46600000000001</v>
      </c>
      <c r="E809" s="85">
        <f>133.845</f>
        <v>133.845</v>
      </c>
      <c r="F809" s="77">
        <f>278.484-40-25-60-100</f>
        <v>53.48399999999998</v>
      </c>
      <c r="G809" s="80">
        <v>40</v>
      </c>
      <c r="H809" s="77">
        <f t="shared" si="135"/>
        <v>185</v>
      </c>
      <c r="I809" s="77">
        <f t="shared" si="136"/>
        <v>0</v>
      </c>
      <c r="J809" s="80">
        <v>100</v>
      </c>
      <c r="K809" s="80">
        <v>300</v>
      </c>
      <c r="L809" s="77">
        <f t="shared" si="129"/>
        <v>1274</v>
      </c>
      <c r="M809" s="87">
        <v>600</v>
      </c>
      <c r="N809" s="77">
        <f>30</f>
        <v>30</v>
      </c>
      <c r="O809" s="80">
        <v>240</v>
      </c>
      <c r="P809" s="80">
        <v>40</v>
      </c>
      <c r="Q809" s="80">
        <f t="shared" si="130"/>
        <v>315</v>
      </c>
      <c r="R809" s="80">
        <f t="shared" si="131"/>
        <v>100</v>
      </c>
      <c r="S809" s="77">
        <f t="shared" si="132"/>
        <v>695</v>
      </c>
      <c r="T809" s="77">
        <f>50</f>
        <v>50</v>
      </c>
      <c r="U809" s="78"/>
      <c r="V809" s="78"/>
      <c r="W809" s="78"/>
      <c r="X809" s="78"/>
      <c r="Y809" s="78"/>
      <c r="Z809" s="78"/>
      <c r="AA809" s="78"/>
      <c r="AB809" s="78"/>
      <c r="AC809" s="78"/>
      <c r="AD809" s="78"/>
    </row>
    <row r="810" spans="1:30" ht="15.75" x14ac:dyDescent="0.25">
      <c r="A810" s="13">
        <v>65958</v>
      </c>
      <c r="B810" s="88">
        <f t="shared" si="128"/>
        <v>31</v>
      </c>
      <c r="C810" s="77">
        <f>194.205</f>
        <v>194.20500000000001</v>
      </c>
      <c r="D810" s="77">
        <f>267.466</f>
        <v>267.46600000000001</v>
      </c>
      <c r="E810" s="85">
        <f>133.845</f>
        <v>133.845</v>
      </c>
      <c r="F810" s="77">
        <f>278.484-40-25-60-100</f>
        <v>53.48399999999998</v>
      </c>
      <c r="G810" s="80">
        <v>40</v>
      </c>
      <c r="H810" s="77">
        <f t="shared" si="135"/>
        <v>185</v>
      </c>
      <c r="I810" s="77">
        <f t="shared" si="136"/>
        <v>0</v>
      </c>
      <c r="J810" s="80">
        <v>100</v>
      </c>
      <c r="K810" s="80">
        <v>300</v>
      </c>
      <c r="L810" s="77">
        <f t="shared" si="129"/>
        <v>1274</v>
      </c>
      <c r="M810" s="87">
        <v>600</v>
      </c>
      <c r="N810" s="77">
        <f>30</f>
        <v>30</v>
      </c>
      <c r="O810" s="80">
        <v>240</v>
      </c>
      <c r="P810" s="80">
        <v>40</v>
      </c>
      <c r="Q810" s="80">
        <f t="shared" si="130"/>
        <v>315</v>
      </c>
      <c r="R810" s="80">
        <f t="shared" si="131"/>
        <v>100</v>
      </c>
      <c r="S810" s="77">
        <f t="shared" si="132"/>
        <v>695</v>
      </c>
      <c r="T810" s="77">
        <f>0</f>
        <v>0</v>
      </c>
      <c r="U810" s="78"/>
      <c r="V810" s="78"/>
      <c r="W810" s="78"/>
      <c r="X810" s="78"/>
      <c r="Y810" s="78"/>
      <c r="Z810" s="78"/>
      <c r="AA810" s="78"/>
      <c r="AB810" s="78"/>
      <c r="AC810" s="78"/>
      <c r="AD810" s="78"/>
    </row>
    <row r="811" spans="1:30" ht="15.75" x14ac:dyDescent="0.25">
      <c r="A811" s="13">
        <v>65989</v>
      </c>
      <c r="B811" s="88">
        <f t="shared" si="128"/>
        <v>31</v>
      </c>
      <c r="C811" s="77">
        <f>194.205</f>
        <v>194.20500000000001</v>
      </c>
      <c r="D811" s="77">
        <f>267.466</f>
        <v>267.46600000000001</v>
      </c>
      <c r="E811" s="85">
        <f>133.845</f>
        <v>133.845</v>
      </c>
      <c r="F811" s="77">
        <f>278.484-40-25-60-100</f>
        <v>53.48399999999998</v>
      </c>
      <c r="G811" s="80">
        <v>40</v>
      </c>
      <c r="H811" s="77">
        <f t="shared" si="135"/>
        <v>185</v>
      </c>
      <c r="I811" s="77">
        <f t="shared" si="136"/>
        <v>0</v>
      </c>
      <c r="J811" s="80">
        <v>100</v>
      </c>
      <c r="K811" s="80">
        <v>300</v>
      </c>
      <c r="L811" s="77">
        <f t="shared" si="129"/>
        <v>1274</v>
      </c>
      <c r="M811" s="87">
        <v>600</v>
      </c>
      <c r="N811" s="77">
        <f>30</f>
        <v>30</v>
      </c>
      <c r="O811" s="80">
        <v>240</v>
      </c>
      <c r="P811" s="80">
        <v>40</v>
      </c>
      <c r="Q811" s="80">
        <f t="shared" si="130"/>
        <v>315</v>
      </c>
      <c r="R811" s="80">
        <f t="shared" si="131"/>
        <v>100</v>
      </c>
      <c r="S811" s="77">
        <f t="shared" si="132"/>
        <v>695</v>
      </c>
      <c r="T811" s="77">
        <f>0</f>
        <v>0</v>
      </c>
      <c r="U811" s="78"/>
      <c r="V811" s="78"/>
      <c r="W811" s="78"/>
      <c r="X811" s="78"/>
      <c r="Y811" s="78"/>
      <c r="Z811" s="78"/>
      <c r="AA811" s="78"/>
      <c r="AB811" s="78"/>
      <c r="AC811" s="78"/>
      <c r="AD811" s="78"/>
    </row>
    <row r="812" spans="1:30" ht="15.75" x14ac:dyDescent="0.25">
      <c r="A812" s="13">
        <v>66019</v>
      </c>
      <c r="B812" s="88">
        <f t="shared" si="128"/>
        <v>30</v>
      </c>
      <c r="C812" s="77">
        <f>194.205</f>
        <v>194.20500000000001</v>
      </c>
      <c r="D812" s="77">
        <f>267.466</f>
        <v>267.46600000000001</v>
      </c>
      <c r="E812" s="85">
        <f>133.845</f>
        <v>133.845</v>
      </c>
      <c r="F812" s="77">
        <f>278.484-40-25-60-100</f>
        <v>53.48399999999998</v>
      </c>
      <c r="G812" s="80">
        <v>40</v>
      </c>
      <c r="H812" s="77">
        <f t="shared" si="135"/>
        <v>185</v>
      </c>
      <c r="I812" s="77">
        <f t="shared" si="136"/>
        <v>0</v>
      </c>
      <c r="J812" s="80">
        <v>100</v>
      </c>
      <c r="K812" s="80">
        <v>300</v>
      </c>
      <c r="L812" s="77">
        <f t="shared" si="129"/>
        <v>1274</v>
      </c>
      <c r="M812" s="87">
        <v>600</v>
      </c>
      <c r="N812" s="77">
        <f>30</f>
        <v>30</v>
      </c>
      <c r="O812" s="80">
        <v>240</v>
      </c>
      <c r="P812" s="80">
        <v>40</v>
      </c>
      <c r="Q812" s="80">
        <f t="shared" si="130"/>
        <v>315</v>
      </c>
      <c r="R812" s="80">
        <f t="shared" si="131"/>
        <v>100</v>
      </c>
      <c r="S812" s="77">
        <f t="shared" si="132"/>
        <v>695</v>
      </c>
      <c r="T812" s="77">
        <f>0</f>
        <v>0</v>
      </c>
      <c r="U812" s="78"/>
      <c r="V812" s="78"/>
      <c r="W812" s="78"/>
      <c r="X812" s="78"/>
      <c r="Y812" s="78"/>
      <c r="Z812" s="78"/>
      <c r="AA812" s="78"/>
      <c r="AB812" s="78"/>
      <c r="AC812" s="78"/>
      <c r="AD812" s="78"/>
    </row>
    <row r="813" spans="1:30" ht="15.75" x14ac:dyDescent="0.25">
      <c r="A813" s="13">
        <v>66050</v>
      </c>
      <c r="B813" s="88">
        <f t="shared" si="128"/>
        <v>31</v>
      </c>
      <c r="C813" s="77">
        <f>131.881</f>
        <v>131.881</v>
      </c>
      <c r="D813" s="77">
        <f>277.167</f>
        <v>277.16699999999997</v>
      </c>
      <c r="E813" s="85">
        <f>79.08</f>
        <v>79.08</v>
      </c>
      <c r="F813" s="77">
        <f>350.872-40-25-60-100</f>
        <v>125.87200000000001</v>
      </c>
      <c r="G813" s="80">
        <v>40</v>
      </c>
      <c r="H813" s="77">
        <f t="shared" si="135"/>
        <v>185</v>
      </c>
      <c r="I813" s="77">
        <f t="shared" si="136"/>
        <v>0</v>
      </c>
      <c r="J813" s="80">
        <v>100</v>
      </c>
      <c r="K813" s="80">
        <v>300</v>
      </c>
      <c r="L813" s="77">
        <f t="shared" si="129"/>
        <v>1239</v>
      </c>
      <c r="M813" s="87">
        <v>600</v>
      </c>
      <c r="N813" s="77">
        <f>75</f>
        <v>75</v>
      </c>
      <c r="O813" s="80">
        <v>240</v>
      </c>
      <c r="P813" s="80">
        <v>40</v>
      </c>
      <c r="Q813" s="80">
        <f t="shared" si="130"/>
        <v>315</v>
      </c>
      <c r="R813" s="80">
        <f t="shared" si="131"/>
        <v>100</v>
      </c>
      <c r="S813" s="77">
        <f t="shared" si="132"/>
        <v>695</v>
      </c>
      <c r="T813" s="77">
        <f>0</f>
        <v>0</v>
      </c>
      <c r="U813" s="78"/>
      <c r="V813" s="78"/>
      <c r="W813" s="78"/>
      <c r="X813" s="78"/>
      <c r="Y813" s="78"/>
      <c r="Z813" s="78"/>
      <c r="AA813" s="78"/>
      <c r="AB813" s="78"/>
      <c r="AC813" s="78"/>
      <c r="AD813" s="78"/>
    </row>
    <row r="814" spans="1:30" ht="15.75" x14ac:dyDescent="0.25">
      <c r="A814" s="13">
        <v>66080</v>
      </c>
      <c r="B814" s="88">
        <f t="shared" si="128"/>
        <v>30</v>
      </c>
      <c r="C814" s="77">
        <f>122.58</f>
        <v>122.58</v>
      </c>
      <c r="D814" s="77">
        <f>297.941</f>
        <v>297.94099999999997</v>
      </c>
      <c r="E814" s="85">
        <f>89.177</f>
        <v>89.177000000000007</v>
      </c>
      <c r="F814" s="77">
        <f>240.302-40-60-100</f>
        <v>40.301999999999992</v>
      </c>
      <c r="G814" s="80">
        <v>40</v>
      </c>
      <c r="H814" s="77">
        <f>60+100</f>
        <v>160</v>
      </c>
      <c r="I814" s="77">
        <f t="shared" si="136"/>
        <v>0</v>
      </c>
      <c r="J814" s="80">
        <v>100</v>
      </c>
      <c r="K814" s="80">
        <v>300</v>
      </c>
      <c r="L814" s="77">
        <f t="shared" si="129"/>
        <v>1150</v>
      </c>
      <c r="M814" s="87">
        <v>600</v>
      </c>
      <c r="N814" s="77">
        <f>100</f>
        <v>100</v>
      </c>
      <c r="O814" s="80">
        <v>240</v>
      </c>
      <c r="P814" s="80">
        <v>40</v>
      </c>
      <c r="Q814" s="80">
        <f t="shared" si="130"/>
        <v>315</v>
      </c>
      <c r="R814" s="80">
        <f t="shared" si="131"/>
        <v>100</v>
      </c>
      <c r="S814" s="77">
        <f t="shared" si="132"/>
        <v>695</v>
      </c>
      <c r="T814" s="77">
        <f>50</f>
        <v>50</v>
      </c>
      <c r="U814" s="78"/>
      <c r="V814" s="78"/>
      <c r="W814" s="78"/>
      <c r="X814" s="78"/>
      <c r="Y814" s="78"/>
      <c r="Z814" s="78"/>
      <c r="AA814" s="78"/>
      <c r="AB814" s="78"/>
      <c r="AC814" s="78"/>
      <c r="AD814" s="78"/>
    </row>
    <row r="815" spans="1:30" ht="15.75" x14ac:dyDescent="0.25">
      <c r="A815" s="13">
        <v>66111</v>
      </c>
      <c r="B815" s="88">
        <f t="shared" si="128"/>
        <v>31</v>
      </c>
      <c r="C815" s="77">
        <f>122.58</f>
        <v>122.58</v>
      </c>
      <c r="D815" s="77">
        <f>297.941</f>
        <v>297.94099999999997</v>
      </c>
      <c r="E815" s="85">
        <f>89.177</f>
        <v>89.177000000000007</v>
      </c>
      <c r="F815" s="77">
        <f>240.302-40-60-100</f>
        <v>40.301999999999992</v>
      </c>
      <c r="G815" s="80">
        <v>40</v>
      </c>
      <c r="H815" s="77">
        <f>60+100</f>
        <v>160</v>
      </c>
      <c r="I815" s="77">
        <f t="shared" si="136"/>
        <v>0</v>
      </c>
      <c r="J815" s="80">
        <v>100</v>
      </c>
      <c r="K815" s="80">
        <v>300</v>
      </c>
      <c r="L815" s="77">
        <f t="shared" si="129"/>
        <v>1150</v>
      </c>
      <c r="M815" s="87">
        <v>600</v>
      </c>
      <c r="N815" s="77">
        <f>100</f>
        <v>100</v>
      </c>
      <c r="O815" s="80">
        <v>240</v>
      </c>
      <c r="P815" s="80">
        <v>40</v>
      </c>
      <c r="Q815" s="80">
        <f t="shared" si="130"/>
        <v>315</v>
      </c>
      <c r="R815" s="80">
        <f t="shared" si="131"/>
        <v>100</v>
      </c>
      <c r="S815" s="77">
        <f t="shared" si="132"/>
        <v>695</v>
      </c>
      <c r="T815" s="77">
        <f>50</f>
        <v>50</v>
      </c>
      <c r="U815" s="78"/>
      <c r="V815" s="78"/>
      <c r="W815" s="78"/>
      <c r="X815" s="78"/>
      <c r="Y815" s="78"/>
      <c r="Z815" s="78"/>
      <c r="AA815" s="78"/>
      <c r="AB815" s="78"/>
      <c r="AC815" s="78"/>
      <c r="AD815" s="78"/>
    </row>
    <row r="816" spans="1:30" ht="15.75" x14ac:dyDescent="0.25">
      <c r="A816" s="13">
        <v>66142</v>
      </c>
      <c r="B816" s="88">
        <f t="shared" si="128"/>
        <v>31</v>
      </c>
      <c r="C816" s="77">
        <f>122.58</f>
        <v>122.58</v>
      </c>
      <c r="D816" s="77">
        <f>297.941</f>
        <v>297.94099999999997</v>
      </c>
      <c r="E816" s="85">
        <f>89.177</f>
        <v>89.177000000000007</v>
      </c>
      <c r="F816" s="77">
        <f>240.302-40-60-100</f>
        <v>40.301999999999992</v>
      </c>
      <c r="G816" s="80">
        <v>40</v>
      </c>
      <c r="H816" s="77">
        <f>60+100</f>
        <v>160</v>
      </c>
      <c r="I816" s="77">
        <f t="shared" si="136"/>
        <v>0</v>
      </c>
      <c r="J816" s="80">
        <v>100</v>
      </c>
      <c r="K816" s="80">
        <v>300</v>
      </c>
      <c r="L816" s="77">
        <f t="shared" si="129"/>
        <v>1150</v>
      </c>
      <c r="M816" s="87">
        <v>600</v>
      </c>
      <c r="N816" s="77">
        <f>100</f>
        <v>100</v>
      </c>
      <c r="O816" s="80">
        <v>240</v>
      </c>
      <c r="P816" s="80">
        <v>40</v>
      </c>
      <c r="Q816" s="80">
        <f t="shared" si="130"/>
        <v>315</v>
      </c>
      <c r="R816" s="80">
        <f t="shared" si="131"/>
        <v>100</v>
      </c>
      <c r="S816" s="77">
        <f t="shared" si="132"/>
        <v>695</v>
      </c>
      <c r="T816" s="77">
        <f>50</f>
        <v>50</v>
      </c>
      <c r="U816" s="78"/>
      <c r="V816" s="78"/>
      <c r="W816" s="78"/>
      <c r="X816" s="78"/>
      <c r="Y816" s="78"/>
      <c r="Z816" s="78"/>
      <c r="AA816" s="78"/>
      <c r="AB816" s="78"/>
      <c r="AC816" s="78"/>
      <c r="AD816" s="78"/>
    </row>
    <row r="817" spans="1:30" ht="15.75" x14ac:dyDescent="0.25">
      <c r="A817" s="13">
        <v>66170</v>
      </c>
      <c r="B817" s="88">
        <f t="shared" si="128"/>
        <v>28</v>
      </c>
      <c r="C817" s="77">
        <f>122.58</f>
        <v>122.58</v>
      </c>
      <c r="D817" s="77">
        <f>297.941</f>
        <v>297.94099999999997</v>
      </c>
      <c r="E817" s="85">
        <f>89.177</f>
        <v>89.177000000000007</v>
      </c>
      <c r="F817" s="77">
        <f>240.302-40-60-100</f>
        <v>40.301999999999992</v>
      </c>
      <c r="G817" s="80">
        <v>40</v>
      </c>
      <c r="H817" s="77">
        <f>60+100</f>
        <v>160</v>
      </c>
      <c r="I817" s="77">
        <f t="shared" si="136"/>
        <v>0</v>
      </c>
      <c r="J817" s="80">
        <v>100</v>
      </c>
      <c r="K817" s="80">
        <v>300</v>
      </c>
      <c r="L817" s="77">
        <f t="shared" si="129"/>
        <v>1150</v>
      </c>
      <c r="M817" s="87">
        <v>600</v>
      </c>
      <c r="N817" s="77">
        <f>100</f>
        <v>100</v>
      </c>
      <c r="O817" s="80">
        <v>240</v>
      </c>
      <c r="P817" s="80">
        <v>40</v>
      </c>
      <c r="Q817" s="80">
        <f t="shared" si="130"/>
        <v>315</v>
      </c>
      <c r="R817" s="80">
        <f t="shared" si="131"/>
        <v>100</v>
      </c>
      <c r="S817" s="77">
        <f t="shared" si="132"/>
        <v>695</v>
      </c>
      <c r="T817" s="77">
        <f>50</f>
        <v>50</v>
      </c>
      <c r="U817" s="78"/>
      <c r="V817" s="78"/>
      <c r="W817" s="78"/>
      <c r="X817" s="78"/>
      <c r="Y817" s="78"/>
      <c r="Z817" s="78"/>
      <c r="AA817" s="78"/>
      <c r="AB817" s="78"/>
      <c r="AC817" s="78"/>
      <c r="AD817" s="78"/>
    </row>
    <row r="818" spans="1:30" ht="15.75" x14ac:dyDescent="0.25">
      <c r="A818" s="13">
        <v>66201</v>
      </c>
      <c r="B818" s="88">
        <f t="shared" si="128"/>
        <v>31</v>
      </c>
      <c r="C818" s="77">
        <f>122.58</f>
        <v>122.58</v>
      </c>
      <c r="D818" s="77">
        <f>297.941</f>
        <v>297.94099999999997</v>
      </c>
      <c r="E818" s="85">
        <f>89.177</f>
        <v>89.177000000000007</v>
      </c>
      <c r="F818" s="77">
        <f>240.302-40-60-100</f>
        <v>40.301999999999992</v>
      </c>
      <c r="G818" s="80">
        <v>40</v>
      </c>
      <c r="H818" s="77">
        <f>60+100</f>
        <v>160</v>
      </c>
      <c r="I818" s="77">
        <f t="shared" si="136"/>
        <v>0</v>
      </c>
      <c r="J818" s="80">
        <v>100</v>
      </c>
      <c r="K818" s="80">
        <v>300</v>
      </c>
      <c r="L818" s="77">
        <f t="shared" si="129"/>
        <v>1150</v>
      </c>
      <c r="M818" s="87">
        <v>600</v>
      </c>
      <c r="N818" s="77">
        <f>100</f>
        <v>100</v>
      </c>
      <c r="O818" s="80">
        <v>240</v>
      </c>
      <c r="P818" s="80">
        <v>40</v>
      </c>
      <c r="Q818" s="80">
        <f t="shared" si="130"/>
        <v>315</v>
      </c>
      <c r="R818" s="80">
        <f t="shared" si="131"/>
        <v>100</v>
      </c>
      <c r="S818" s="77">
        <f t="shared" si="132"/>
        <v>695</v>
      </c>
      <c r="T818" s="77">
        <f>50</f>
        <v>50</v>
      </c>
      <c r="U818" s="78"/>
      <c r="V818" s="78"/>
      <c r="W818" s="78"/>
      <c r="X818" s="78"/>
      <c r="Y818" s="78"/>
      <c r="Z818" s="78"/>
      <c r="AA818" s="78"/>
      <c r="AB818" s="78"/>
      <c r="AC818" s="78"/>
      <c r="AD818" s="78"/>
    </row>
    <row r="819" spans="1:30" ht="15.75" x14ac:dyDescent="0.25">
      <c r="A819" s="13">
        <v>66231</v>
      </c>
      <c r="B819" s="88">
        <f t="shared" si="128"/>
        <v>30</v>
      </c>
      <c r="C819" s="77">
        <f>141.293</f>
        <v>141.29300000000001</v>
      </c>
      <c r="D819" s="77">
        <f>267.993</f>
        <v>267.99299999999999</v>
      </c>
      <c r="E819" s="85">
        <f>115.016</f>
        <v>115.01600000000001</v>
      </c>
      <c r="F819" s="77">
        <f>314.698-40-25-60-100</f>
        <v>89.697999999999979</v>
      </c>
      <c r="G819" s="80">
        <v>40</v>
      </c>
      <c r="H819" s="77">
        <f t="shared" ref="H819:H825" si="137">25+60+100</f>
        <v>185</v>
      </c>
      <c r="I819" s="77">
        <f t="shared" si="136"/>
        <v>0</v>
      </c>
      <c r="J819" s="80">
        <v>100</v>
      </c>
      <c r="K819" s="80">
        <v>300</v>
      </c>
      <c r="L819" s="77">
        <f t="shared" si="129"/>
        <v>1239</v>
      </c>
      <c r="M819" s="87">
        <v>600</v>
      </c>
      <c r="N819" s="77">
        <f>100</f>
        <v>100</v>
      </c>
      <c r="O819" s="80">
        <v>240</v>
      </c>
      <c r="P819" s="80">
        <v>40</v>
      </c>
      <c r="Q819" s="80">
        <f t="shared" si="130"/>
        <v>315</v>
      </c>
      <c r="R819" s="80">
        <f t="shared" si="131"/>
        <v>100</v>
      </c>
      <c r="S819" s="77">
        <f t="shared" si="132"/>
        <v>695</v>
      </c>
      <c r="T819" s="77">
        <f>50</f>
        <v>50</v>
      </c>
      <c r="U819" s="78"/>
      <c r="V819" s="78"/>
      <c r="W819" s="78"/>
      <c r="X819" s="78"/>
      <c r="Y819" s="78"/>
      <c r="Z819" s="78"/>
      <c r="AA819" s="78"/>
      <c r="AB819" s="78"/>
      <c r="AC819" s="78"/>
      <c r="AD819" s="78"/>
    </row>
    <row r="820" spans="1:30" ht="15.75" x14ac:dyDescent="0.25">
      <c r="A820" s="13">
        <v>66262</v>
      </c>
      <c r="B820" s="88">
        <f t="shared" si="128"/>
        <v>31</v>
      </c>
      <c r="C820" s="77">
        <f>194.205</f>
        <v>194.20500000000001</v>
      </c>
      <c r="D820" s="77">
        <f>267.466</f>
        <v>267.46600000000001</v>
      </c>
      <c r="E820" s="85">
        <f>133.845</f>
        <v>133.845</v>
      </c>
      <c r="F820" s="77">
        <f>278.484-40-25-60-100</f>
        <v>53.48399999999998</v>
      </c>
      <c r="G820" s="80">
        <v>40</v>
      </c>
      <c r="H820" s="77">
        <f t="shared" si="137"/>
        <v>185</v>
      </c>
      <c r="I820" s="77">
        <f t="shared" si="136"/>
        <v>0</v>
      </c>
      <c r="J820" s="80">
        <v>100</v>
      </c>
      <c r="K820" s="80">
        <v>300</v>
      </c>
      <c r="L820" s="77">
        <f t="shared" si="129"/>
        <v>1274</v>
      </c>
      <c r="M820" s="87">
        <v>600</v>
      </c>
      <c r="N820" s="77">
        <f>75</f>
        <v>75</v>
      </c>
      <c r="O820" s="80">
        <v>240</v>
      </c>
      <c r="P820" s="80">
        <v>40</v>
      </c>
      <c r="Q820" s="80">
        <f t="shared" si="130"/>
        <v>315</v>
      </c>
      <c r="R820" s="80">
        <f t="shared" si="131"/>
        <v>100</v>
      </c>
      <c r="S820" s="77">
        <f t="shared" si="132"/>
        <v>695</v>
      </c>
      <c r="T820" s="77">
        <f>50</f>
        <v>50</v>
      </c>
      <c r="U820" s="78"/>
      <c r="V820" s="78"/>
      <c r="W820" s="78"/>
      <c r="X820" s="78"/>
      <c r="Y820" s="78"/>
      <c r="Z820" s="78"/>
      <c r="AA820" s="78"/>
      <c r="AB820" s="78"/>
      <c r="AC820" s="78"/>
      <c r="AD820" s="78"/>
    </row>
    <row r="821" spans="1:30" ht="15.75" x14ac:dyDescent="0.25">
      <c r="A821" s="13">
        <v>66292</v>
      </c>
      <c r="B821" s="88">
        <f t="shared" si="128"/>
        <v>30</v>
      </c>
      <c r="C821" s="77">
        <f>194.205</f>
        <v>194.20500000000001</v>
      </c>
      <c r="D821" s="77">
        <f>267.466</f>
        <v>267.46600000000001</v>
      </c>
      <c r="E821" s="85">
        <f>133.845</f>
        <v>133.845</v>
      </c>
      <c r="F821" s="77">
        <f>278.484-40-25-60-100</f>
        <v>53.48399999999998</v>
      </c>
      <c r="G821" s="80">
        <v>40</v>
      </c>
      <c r="H821" s="77">
        <f t="shared" si="137"/>
        <v>185</v>
      </c>
      <c r="I821" s="77">
        <f t="shared" si="136"/>
        <v>0</v>
      </c>
      <c r="J821" s="80">
        <v>100</v>
      </c>
      <c r="K821" s="80">
        <v>300</v>
      </c>
      <c r="L821" s="77">
        <f t="shared" si="129"/>
        <v>1274</v>
      </c>
      <c r="M821" s="87">
        <v>600</v>
      </c>
      <c r="N821" s="77">
        <f>30</f>
        <v>30</v>
      </c>
      <c r="O821" s="80">
        <v>240</v>
      </c>
      <c r="P821" s="80">
        <v>40</v>
      </c>
      <c r="Q821" s="80">
        <f t="shared" si="130"/>
        <v>315</v>
      </c>
      <c r="R821" s="80">
        <f t="shared" si="131"/>
        <v>100</v>
      </c>
      <c r="S821" s="77">
        <f t="shared" si="132"/>
        <v>695</v>
      </c>
      <c r="T821" s="77">
        <f>50</f>
        <v>50</v>
      </c>
      <c r="U821" s="78"/>
      <c r="V821" s="78"/>
      <c r="W821" s="78"/>
      <c r="X821" s="78"/>
      <c r="Y821" s="78"/>
      <c r="Z821" s="78"/>
      <c r="AA821" s="78"/>
      <c r="AB821" s="78"/>
      <c r="AC821" s="78"/>
      <c r="AD821" s="78"/>
    </row>
    <row r="822" spans="1:30" ht="15.75" x14ac:dyDescent="0.25">
      <c r="A822" s="13">
        <v>66323</v>
      </c>
      <c r="B822" s="88">
        <f t="shared" si="128"/>
        <v>31</v>
      </c>
      <c r="C822" s="77">
        <f>194.205</f>
        <v>194.20500000000001</v>
      </c>
      <c r="D822" s="77">
        <f>267.466</f>
        <v>267.46600000000001</v>
      </c>
      <c r="E822" s="85">
        <f>133.845</f>
        <v>133.845</v>
      </c>
      <c r="F822" s="77">
        <f>278.484-40-25-60-100</f>
        <v>53.48399999999998</v>
      </c>
      <c r="G822" s="80">
        <v>40</v>
      </c>
      <c r="H822" s="77">
        <f t="shared" si="137"/>
        <v>185</v>
      </c>
      <c r="I822" s="77">
        <f t="shared" si="136"/>
        <v>0</v>
      </c>
      <c r="J822" s="80">
        <v>100</v>
      </c>
      <c r="K822" s="80">
        <v>300</v>
      </c>
      <c r="L822" s="77">
        <f t="shared" si="129"/>
        <v>1274</v>
      </c>
      <c r="M822" s="87">
        <v>600</v>
      </c>
      <c r="N822" s="77">
        <f>30</f>
        <v>30</v>
      </c>
      <c r="O822" s="80">
        <v>240</v>
      </c>
      <c r="P822" s="80">
        <v>40</v>
      </c>
      <c r="Q822" s="80">
        <f t="shared" si="130"/>
        <v>315</v>
      </c>
      <c r="R822" s="80">
        <f t="shared" si="131"/>
        <v>100</v>
      </c>
      <c r="S822" s="77">
        <f t="shared" si="132"/>
        <v>695</v>
      </c>
      <c r="T822" s="77">
        <f>0</f>
        <v>0</v>
      </c>
      <c r="U822" s="78"/>
      <c r="V822" s="78"/>
      <c r="W822" s="78"/>
      <c r="X822" s="78"/>
      <c r="Y822" s="78"/>
      <c r="Z822" s="78"/>
      <c r="AA822" s="78"/>
      <c r="AB822" s="78"/>
      <c r="AC822" s="78"/>
      <c r="AD822" s="78"/>
    </row>
    <row r="823" spans="1:30" ht="15.75" x14ac:dyDescent="0.25">
      <c r="A823" s="13">
        <v>66354</v>
      </c>
      <c r="B823" s="88">
        <f t="shared" si="128"/>
        <v>31</v>
      </c>
      <c r="C823" s="77">
        <f>194.205</f>
        <v>194.20500000000001</v>
      </c>
      <c r="D823" s="77">
        <f>267.466</f>
        <v>267.46600000000001</v>
      </c>
      <c r="E823" s="85">
        <f>133.845</f>
        <v>133.845</v>
      </c>
      <c r="F823" s="77">
        <f>278.484-40-25-60-100</f>
        <v>53.48399999999998</v>
      </c>
      <c r="G823" s="80">
        <v>40</v>
      </c>
      <c r="H823" s="77">
        <f t="shared" si="137"/>
        <v>185</v>
      </c>
      <c r="I823" s="77">
        <f t="shared" si="136"/>
        <v>0</v>
      </c>
      <c r="J823" s="80">
        <v>100</v>
      </c>
      <c r="K823" s="80">
        <v>300</v>
      </c>
      <c r="L823" s="77">
        <f t="shared" si="129"/>
        <v>1274</v>
      </c>
      <c r="M823" s="87">
        <v>600</v>
      </c>
      <c r="N823" s="77">
        <f>30</f>
        <v>30</v>
      </c>
      <c r="O823" s="80">
        <v>240</v>
      </c>
      <c r="P823" s="80">
        <v>40</v>
      </c>
      <c r="Q823" s="80">
        <f t="shared" si="130"/>
        <v>315</v>
      </c>
      <c r="R823" s="80">
        <f t="shared" si="131"/>
        <v>100</v>
      </c>
      <c r="S823" s="77">
        <f t="shared" si="132"/>
        <v>695</v>
      </c>
      <c r="T823" s="77">
        <f>0</f>
        <v>0</v>
      </c>
      <c r="U823" s="78"/>
      <c r="V823" s="78"/>
      <c r="W823" s="78"/>
      <c r="X823" s="78"/>
      <c r="Y823" s="78"/>
      <c r="Z823" s="78"/>
      <c r="AA823" s="78"/>
      <c r="AB823" s="78"/>
      <c r="AC823" s="78"/>
      <c r="AD823" s="78"/>
    </row>
    <row r="824" spans="1:30" ht="15.75" x14ac:dyDescent="0.25">
      <c r="A824" s="13">
        <v>66384</v>
      </c>
      <c r="B824" s="88">
        <f t="shared" si="128"/>
        <v>30</v>
      </c>
      <c r="C824" s="77">
        <f>194.205</f>
        <v>194.20500000000001</v>
      </c>
      <c r="D824" s="77">
        <f>267.466</f>
        <v>267.46600000000001</v>
      </c>
      <c r="E824" s="85">
        <f>133.845</f>
        <v>133.845</v>
      </c>
      <c r="F824" s="77">
        <f>278.484-40-25-60-100</f>
        <v>53.48399999999998</v>
      </c>
      <c r="G824" s="80">
        <v>40</v>
      </c>
      <c r="H824" s="77">
        <f t="shared" si="137"/>
        <v>185</v>
      </c>
      <c r="I824" s="77">
        <f t="shared" si="136"/>
        <v>0</v>
      </c>
      <c r="J824" s="80">
        <v>100</v>
      </c>
      <c r="K824" s="80">
        <v>300</v>
      </c>
      <c r="L824" s="77">
        <f t="shared" si="129"/>
        <v>1274</v>
      </c>
      <c r="M824" s="87">
        <v>600</v>
      </c>
      <c r="N824" s="77">
        <f>30</f>
        <v>30</v>
      </c>
      <c r="O824" s="80">
        <v>240</v>
      </c>
      <c r="P824" s="80">
        <v>40</v>
      </c>
      <c r="Q824" s="80">
        <f t="shared" si="130"/>
        <v>315</v>
      </c>
      <c r="R824" s="80">
        <f t="shared" si="131"/>
        <v>100</v>
      </c>
      <c r="S824" s="77">
        <f t="shared" si="132"/>
        <v>695</v>
      </c>
      <c r="T824" s="77">
        <f>0</f>
        <v>0</v>
      </c>
      <c r="U824" s="78"/>
      <c r="V824" s="78"/>
      <c r="W824" s="78"/>
      <c r="X824" s="78"/>
      <c r="Y824" s="78"/>
      <c r="Z824" s="78"/>
      <c r="AA824" s="78"/>
      <c r="AB824" s="78"/>
      <c r="AC824" s="78"/>
      <c r="AD824" s="78"/>
    </row>
    <row r="825" spans="1:30" ht="15.75" x14ac:dyDescent="0.25">
      <c r="A825" s="13">
        <v>66415</v>
      </c>
      <c r="B825" s="88">
        <f t="shared" si="128"/>
        <v>31</v>
      </c>
      <c r="C825" s="77">
        <f>131.881</f>
        <v>131.881</v>
      </c>
      <c r="D825" s="77">
        <f>277.167</f>
        <v>277.16699999999997</v>
      </c>
      <c r="E825" s="85">
        <f>79.08</f>
        <v>79.08</v>
      </c>
      <c r="F825" s="77">
        <f>350.872-40-25-60-100</f>
        <v>125.87200000000001</v>
      </c>
      <c r="G825" s="80">
        <v>40</v>
      </c>
      <c r="H825" s="77">
        <f t="shared" si="137"/>
        <v>185</v>
      </c>
      <c r="I825" s="77">
        <f t="shared" si="136"/>
        <v>0</v>
      </c>
      <c r="J825" s="80">
        <v>100</v>
      </c>
      <c r="K825" s="80">
        <v>300</v>
      </c>
      <c r="L825" s="77">
        <f t="shared" si="129"/>
        <v>1239</v>
      </c>
      <c r="M825" s="87">
        <v>600</v>
      </c>
      <c r="N825" s="77">
        <f>75</f>
        <v>75</v>
      </c>
      <c r="O825" s="80">
        <v>240</v>
      </c>
      <c r="P825" s="80">
        <v>40</v>
      </c>
      <c r="Q825" s="80">
        <f t="shared" si="130"/>
        <v>315</v>
      </c>
      <c r="R825" s="80">
        <f t="shared" si="131"/>
        <v>100</v>
      </c>
      <c r="S825" s="77">
        <f t="shared" si="132"/>
        <v>695</v>
      </c>
      <c r="T825" s="77">
        <f>0</f>
        <v>0</v>
      </c>
      <c r="U825" s="78"/>
      <c r="V825" s="78"/>
      <c r="W825" s="78"/>
      <c r="X825" s="78"/>
      <c r="Y825" s="78"/>
      <c r="Z825" s="78"/>
      <c r="AA825" s="78"/>
      <c r="AB825" s="78"/>
      <c r="AC825" s="78"/>
      <c r="AD825" s="78"/>
    </row>
    <row r="826" spans="1:30" ht="15.75" x14ac:dyDescent="0.25">
      <c r="A826" s="13">
        <v>66445</v>
      </c>
      <c r="B826" s="88">
        <f t="shared" si="128"/>
        <v>30</v>
      </c>
      <c r="C826" s="77">
        <f>122.58</f>
        <v>122.58</v>
      </c>
      <c r="D826" s="77">
        <f>297.941</f>
        <v>297.94099999999997</v>
      </c>
      <c r="E826" s="85">
        <f>89.177</f>
        <v>89.177000000000007</v>
      </c>
      <c r="F826" s="77">
        <f>240.302-40-60-100</f>
        <v>40.301999999999992</v>
      </c>
      <c r="G826" s="80">
        <v>40</v>
      </c>
      <c r="H826" s="77">
        <f>60+100</f>
        <v>160</v>
      </c>
      <c r="I826" s="77">
        <f t="shared" si="136"/>
        <v>0</v>
      </c>
      <c r="J826" s="80">
        <v>100</v>
      </c>
      <c r="K826" s="80">
        <v>300</v>
      </c>
      <c r="L826" s="77">
        <f t="shared" si="129"/>
        <v>1150</v>
      </c>
      <c r="M826" s="87">
        <v>600</v>
      </c>
      <c r="N826" s="77">
        <f>100</f>
        <v>100</v>
      </c>
      <c r="O826" s="80">
        <v>240</v>
      </c>
      <c r="P826" s="80">
        <v>40</v>
      </c>
      <c r="Q826" s="80">
        <f t="shared" si="130"/>
        <v>315</v>
      </c>
      <c r="R826" s="80">
        <f t="shared" si="131"/>
        <v>100</v>
      </c>
      <c r="S826" s="77">
        <f t="shared" si="132"/>
        <v>695</v>
      </c>
      <c r="T826" s="77">
        <f>50</f>
        <v>50</v>
      </c>
      <c r="U826" s="78"/>
      <c r="V826" s="78"/>
      <c r="W826" s="78"/>
      <c r="X826" s="78"/>
      <c r="Y826" s="78"/>
      <c r="Z826" s="78"/>
      <c r="AA826" s="78"/>
      <c r="AB826" s="78"/>
      <c r="AC826" s="78"/>
      <c r="AD826" s="78"/>
    </row>
    <row r="827" spans="1:30" ht="15.75" x14ac:dyDescent="0.25">
      <c r="A827" s="13">
        <v>66476</v>
      </c>
      <c r="B827" s="88">
        <f t="shared" si="128"/>
        <v>31</v>
      </c>
      <c r="C827" s="77">
        <f>122.58</f>
        <v>122.58</v>
      </c>
      <c r="D827" s="77">
        <f>297.941</f>
        <v>297.94099999999997</v>
      </c>
      <c r="E827" s="85">
        <f>89.177</f>
        <v>89.177000000000007</v>
      </c>
      <c r="F827" s="77">
        <f>240.302-40-60-100</f>
        <v>40.301999999999992</v>
      </c>
      <c r="G827" s="80">
        <v>40</v>
      </c>
      <c r="H827" s="77">
        <f>60+100</f>
        <v>160</v>
      </c>
      <c r="I827" s="77">
        <f t="shared" si="136"/>
        <v>0</v>
      </c>
      <c r="J827" s="80">
        <v>100</v>
      </c>
      <c r="K827" s="80">
        <v>300</v>
      </c>
      <c r="L827" s="77">
        <f t="shared" si="129"/>
        <v>1150</v>
      </c>
      <c r="M827" s="87">
        <v>600</v>
      </c>
      <c r="N827" s="77">
        <f>100</f>
        <v>100</v>
      </c>
      <c r="O827" s="80">
        <v>240</v>
      </c>
      <c r="P827" s="80">
        <v>40</v>
      </c>
      <c r="Q827" s="80">
        <f t="shared" si="130"/>
        <v>315</v>
      </c>
      <c r="R827" s="80">
        <f t="shared" si="131"/>
        <v>100</v>
      </c>
      <c r="S827" s="77">
        <f t="shared" si="132"/>
        <v>695</v>
      </c>
      <c r="T827" s="77">
        <f>50</f>
        <v>50</v>
      </c>
      <c r="U827" s="78"/>
      <c r="V827" s="78"/>
      <c r="W827" s="78"/>
      <c r="X827" s="78"/>
      <c r="Y827" s="78"/>
      <c r="Z827" s="78"/>
      <c r="AA827" s="78"/>
      <c r="AB827" s="78"/>
      <c r="AC827" s="78"/>
      <c r="AD827" s="78"/>
    </row>
    <row r="828" spans="1:30" ht="15.75" x14ac:dyDescent="0.25">
      <c r="A828" s="13">
        <v>66507</v>
      </c>
      <c r="B828" s="88">
        <f t="shared" si="128"/>
        <v>31</v>
      </c>
      <c r="C828" s="77">
        <f>122.58</f>
        <v>122.58</v>
      </c>
      <c r="D828" s="77">
        <f>297.941</f>
        <v>297.94099999999997</v>
      </c>
      <c r="E828" s="85">
        <f>89.177</f>
        <v>89.177000000000007</v>
      </c>
      <c r="F828" s="77">
        <f>240.302-40-60-100</f>
        <v>40.301999999999992</v>
      </c>
      <c r="G828" s="80">
        <v>40</v>
      </c>
      <c r="H828" s="77">
        <f>60+100</f>
        <v>160</v>
      </c>
      <c r="I828" s="77">
        <f t="shared" si="136"/>
        <v>0</v>
      </c>
      <c r="J828" s="80">
        <v>100</v>
      </c>
      <c r="K828" s="80">
        <v>300</v>
      </c>
      <c r="L828" s="77">
        <f t="shared" si="129"/>
        <v>1150</v>
      </c>
      <c r="M828" s="87">
        <v>600</v>
      </c>
      <c r="N828" s="77">
        <f>100</f>
        <v>100</v>
      </c>
      <c r="O828" s="80">
        <v>240</v>
      </c>
      <c r="P828" s="80">
        <v>40</v>
      </c>
      <c r="Q828" s="80">
        <f t="shared" si="130"/>
        <v>315</v>
      </c>
      <c r="R828" s="80">
        <f t="shared" si="131"/>
        <v>100</v>
      </c>
      <c r="S828" s="77">
        <f t="shared" si="132"/>
        <v>695</v>
      </c>
      <c r="T828" s="77">
        <f>50</f>
        <v>50</v>
      </c>
      <c r="U828" s="78"/>
      <c r="V828" s="78"/>
      <c r="W828" s="78"/>
      <c r="X828" s="78"/>
      <c r="Y828" s="78"/>
      <c r="Z828" s="78"/>
      <c r="AA828" s="78"/>
      <c r="AB828" s="78"/>
      <c r="AC828" s="78"/>
      <c r="AD828" s="78"/>
    </row>
    <row r="829" spans="1:30" ht="15.75" x14ac:dyDescent="0.25">
      <c r="A829" s="13">
        <v>66535</v>
      </c>
      <c r="B829" s="88">
        <f t="shared" si="128"/>
        <v>28</v>
      </c>
      <c r="C829" s="77">
        <f>122.58</f>
        <v>122.58</v>
      </c>
      <c r="D829" s="77">
        <f>297.941</f>
        <v>297.94099999999997</v>
      </c>
      <c r="E829" s="85">
        <f>89.177</f>
        <v>89.177000000000007</v>
      </c>
      <c r="F829" s="77">
        <f>240.302-40-60-100</f>
        <v>40.301999999999992</v>
      </c>
      <c r="G829" s="80">
        <v>40</v>
      </c>
      <c r="H829" s="77">
        <f>60+100</f>
        <v>160</v>
      </c>
      <c r="I829" s="77">
        <f t="shared" si="136"/>
        <v>0</v>
      </c>
      <c r="J829" s="80">
        <v>100</v>
      </c>
      <c r="K829" s="80">
        <v>300</v>
      </c>
      <c r="L829" s="77">
        <f t="shared" si="129"/>
        <v>1150</v>
      </c>
      <c r="M829" s="87">
        <v>600</v>
      </c>
      <c r="N829" s="77">
        <f>100</f>
        <v>100</v>
      </c>
      <c r="O829" s="80">
        <v>240</v>
      </c>
      <c r="P829" s="80">
        <v>40</v>
      </c>
      <c r="Q829" s="80">
        <f t="shared" si="130"/>
        <v>315</v>
      </c>
      <c r="R829" s="80">
        <f t="shared" si="131"/>
        <v>100</v>
      </c>
      <c r="S829" s="77">
        <f t="shared" si="132"/>
        <v>695</v>
      </c>
      <c r="T829" s="77">
        <f>50</f>
        <v>50</v>
      </c>
      <c r="U829" s="78"/>
      <c r="V829" s="78"/>
      <c r="W829" s="78"/>
      <c r="X829" s="78"/>
      <c r="Y829" s="78"/>
      <c r="Z829" s="78"/>
      <c r="AA829" s="78"/>
      <c r="AB829" s="78"/>
      <c r="AC829" s="78"/>
      <c r="AD829" s="78"/>
    </row>
    <row r="830" spans="1:30" ht="15.75" x14ac:dyDescent="0.25">
      <c r="A830" s="13">
        <v>66566</v>
      </c>
      <c r="B830" s="88">
        <f t="shared" si="128"/>
        <v>31</v>
      </c>
      <c r="C830" s="77">
        <f>122.58</f>
        <v>122.58</v>
      </c>
      <c r="D830" s="77">
        <f>297.941</f>
        <v>297.94099999999997</v>
      </c>
      <c r="E830" s="85">
        <f>89.177</f>
        <v>89.177000000000007</v>
      </c>
      <c r="F830" s="77">
        <f>240.302-40-60-100</f>
        <v>40.301999999999992</v>
      </c>
      <c r="G830" s="80">
        <v>40</v>
      </c>
      <c r="H830" s="77">
        <f>60+100</f>
        <v>160</v>
      </c>
      <c r="I830" s="77">
        <f t="shared" si="136"/>
        <v>0</v>
      </c>
      <c r="J830" s="80">
        <v>100</v>
      </c>
      <c r="K830" s="80">
        <v>300</v>
      </c>
      <c r="L830" s="77">
        <f t="shared" si="129"/>
        <v>1150</v>
      </c>
      <c r="M830" s="87">
        <v>600</v>
      </c>
      <c r="N830" s="77">
        <f>100</f>
        <v>100</v>
      </c>
      <c r="O830" s="80">
        <v>240</v>
      </c>
      <c r="P830" s="80">
        <v>40</v>
      </c>
      <c r="Q830" s="80">
        <f t="shared" si="130"/>
        <v>315</v>
      </c>
      <c r="R830" s="80">
        <f t="shared" si="131"/>
        <v>100</v>
      </c>
      <c r="S830" s="77">
        <f t="shared" si="132"/>
        <v>695</v>
      </c>
      <c r="T830" s="77">
        <f>50</f>
        <v>50</v>
      </c>
      <c r="U830" s="78"/>
      <c r="V830" s="78"/>
      <c r="W830" s="78"/>
      <c r="X830" s="78"/>
      <c r="Y830" s="78"/>
      <c r="Z830" s="78"/>
      <c r="AA830" s="78"/>
      <c r="AB830" s="78"/>
      <c r="AC830" s="78"/>
      <c r="AD830" s="78"/>
    </row>
    <row r="831" spans="1:30" ht="15.75" x14ac:dyDescent="0.25">
      <c r="A831" s="13">
        <v>66596</v>
      </c>
      <c r="B831" s="88">
        <f t="shared" si="128"/>
        <v>30</v>
      </c>
      <c r="C831" s="77">
        <f>141.293</f>
        <v>141.29300000000001</v>
      </c>
      <c r="D831" s="77">
        <f>267.993</f>
        <v>267.99299999999999</v>
      </c>
      <c r="E831" s="85">
        <f>115.016</f>
        <v>115.01600000000001</v>
      </c>
      <c r="F831" s="77">
        <f>314.698-40-25-60-100</f>
        <v>89.697999999999979</v>
      </c>
      <c r="G831" s="80">
        <v>40</v>
      </c>
      <c r="H831" s="77">
        <f t="shared" ref="H831:H837" si="138">25+60+100</f>
        <v>185</v>
      </c>
      <c r="I831" s="77">
        <f t="shared" si="136"/>
        <v>0</v>
      </c>
      <c r="J831" s="80">
        <v>100</v>
      </c>
      <c r="K831" s="80">
        <v>300</v>
      </c>
      <c r="L831" s="77">
        <f t="shared" si="129"/>
        <v>1239</v>
      </c>
      <c r="M831" s="87">
        <v>600</v>
      </c>
      <c r="N831" s="77">
        <f>100</f>
        <v>100</v>
      </c>
      <c r="O831" s="80">
        <v>240</v>
      </c>
      <c r="P831" s="80">
        <v>40</v>
      </c>
      <c r="Q831" s="80">
        <f t="shared" si="130"/>
        <v>315</v>
      </c>
      <c r="R831" s="80">
        <f t="shared" si="131"/>
        <v>100</v>
      </c>
      <c r="S831" s="77">
        <f t="shared" si="132"/>
        <v>695</v>
      </c>
      <c r="T831" s="77">
        <f>50</f>
        <v>50</v>
      </c>
      <c r="U831" s="78"/>
      <c r="V831" s="78"/>
      <c r="W831" s="78"/>
      <c r="X831" s="78"/>
      <c r="Y831" s="78"/>
      <c r="Z831" s="78"/>
      <c r="AA831" s="78"/>
      <c r="AB831" s="78"/>
      <c r="AC831" s="78"/>
      <c r="AD831" s="78"/>
    </row>
    <row r="832" spans="1:30" ht="15.75" x14ac:dyDescent="0.25">
      <c r="A832" s="13">
        <v>66627</v>
      </c>
      <c r="B832" s="88">
        <f t="shared" si="128"/>
        <v>31</v>
      </c>
      <c r="C832" s="77">
        <f>194.205</f>
        <v>194.20500000000001</v>
      </c>
      <c r="D832" s="77">
        <f>267.466</f>
        <v>267.46600000000001</v>
      </c>
      <c r="E832" s="85">
        <f>133.845</f>
        <v>133.845</v>
      </c>
      <c r="F832" s="77">
        <f>278.484-40-25-60-100</f>
        <v>53.48399999999998</v>
      </c>
      <c r="G832" s="80">
        <v>40</v>
      </c>
      <c r="H832" s="77">
        <f t="shared" si="138"/>
        <v>185</v>
      </c>
      <c r="I832" s="77">
        <f t="shared" si="136"/>
        <v>0</v>
      </c>
      <c r="J832" s="80">
        <v>100</v>
      </c>
      <c r="K832" s="80">
        <v>300</v>
      </c>
      <c r="L832" s="77">
        <f t="shared" si="129"/>
        <v>1274</v>
      </c>
      <c r="M832" s="87">
        <v>600</v>
      </c>
      <c r="N832" s="77">
        <f>75</f>
        <v>75</v>
      </c>
      <c r="O832" s="80">
        <v>240</v>
      </c>
      <c r="P832" s="80">
        <v>40</v>
      </c>
      <c r="Q832" s="80">
        <f t="shared" si="130"/>
        <v>315</v>
      </c>
      <c r="R832" s="80">
        <f t="shared" si="131"/>
        <v>100</v>
      </c>
      <c r="S832" s="77">
        <f t="shared" si="132"/>
        <v>695</v>
      </c>
      <c r="T832" s="77">
        <f>50</f>
        <v>50</v>
      </c>
      <c r="U832" s="78"/>
      <c r="V832" s="78"/>
      <c r="W832" s="78"/>
      <c r="X832" s="78"/>
      <c r="Y832" s="78"/>
      <c r="Z832" s="78"/>
      <c r="AA832" s="78"/>
      <c r="AB832" s="78"/>
      <c r="AC832" s="78"/>
      <c r="AD832" s="78"/>
    </row>
    <row r="833" spans="1:30" ht="15.75" x14ac:dyDescent="0.25">
      <c r="A833" s="13">
        <v>66657</v>
      </c>
      <c r="B833" s="88">
        <f t="shared" si="128"/>
        <v>30</v>
      </c>
      <c r="C833" s="77">
        <f>194.205</f>
        <v>194.20500000000001</v>
      </c>
      <c r="D833" s="77">
        <f>267.466</f>
        <v>267.46600000000001</v>
      </c>
      <c r="E833" s="85">
        <f>133.845</f>
        <v>133.845</v>
      </c>
      <c r="F833" s="77">
        <f>278.484-40-25-60-100</f>
        <v>53.48399999999998</v>
      </c>
      <c r="G833" s="80">
        <v>40</v>
      </c>
      <c r="H833" s="77">
        <f t="shared" si="138"/>
        <v>185</v>
      </c>
      <c r="I833" s="77">
        <f t="shared" si="136"/>
        <v>0</v>
      </c>
      <c r="J833" s="80">
        <v>100</v>
      </c>
      <c r="K833" s="80">
        <v>300</v>
      </c>
      <c r="L833" s="77">
        <f t="shared" si="129"/>
        <v>1274</v>
      </c>
      <c r="M833" s="87">
        <v>600</v>
      </c>
      <c r="N833" s="77">
        <f>30</f>
        <v>30</v>
      </c>
      <c r="O833" s="80">
        <v>240</v>
      </c>
      <c r="P833" s="80">
        <v>40</v>
      </c>
      <c r="Q833" s="80">
        <f t="shared" si="130"/>
        <v>315</v>
      </c>
      <c r="R833" s="80">
        <f t="shared" si="131"/>
        <v>100</v>
      </c>
      <c r="S833" s="77">
        <f t="shared" si="132"/>
        <v>695</v>
      </c>
      <c r="T833" s="77">
        <f>50</f>
        <v>50</v>
      </c>
      <c r="U833" s="78"/>
      <c r="V833" s="78"/>
      <c r="W833" s="78"/>
      <c r="X833" s="78"/>
      <c r="Y833" s="78"/>
      <c r="Z833" s="78"/>
      <c r="AA833" s="78"/>
      <c r="AB833" s="78"/>
      <c r="AC833" s="78"/>
      <c r="AD833" s="78"/>
    </row>
    <row r="834" spans="1:30" ht="15.75" x14ac:dyDescent="0.25">
      <c r="A834" s="13">
        <v>66688</v>
      </c>
      <c r="B834" s="88">
        <f t="shared" si="128"/>
        <v>31</v>
      </c>
      <c r="C834" s="77">
        <f>194.205</f>
        <v>194.20500000000001</v>
      </c>
      <c r="D834" s="77">
        <f>267.466</f>
        <v>267.46600000000001</v>
      </c>
      <c r="E834" s="85">
        <f>133.845</f>
        <v>133.845</v>
      </c>
      <c r="F834" s="77">
        <f>278.484-40-25-60-100</f>
        <v>53.48399999999998</v>
      </c>
      <c r="G834" s="80">
        <v>40</v>
      </c>
      <c r="H834" s="77">
        <f t="shared" si="138"/>
        <v>185</v>
      </c>
      <c r="I834" s="77">
        <f t="shared" si="136"/>
        <v>0</v>
      </c>
      <c r="J834" s="80">
        <v>100</v>
      </c>
      <c r="K834" s="80">
        <v>300</v>
      </c>
      <c r="L834" s="77">
        <f t="shared" si="129"/>
        <v>1274</v>
      </c>
      <c r="M834" s="87">
        <v>600</v>
      </c>
      <c r="N834" s="77">
        <f>30</f>
        <v>30</v>
      </c>
      <c r="O834" s="80">
        <v>240</v>
      </c>
      <c r="P834" s="80">
        <v>40</v>
      </c>
      <c r="Q834" s="80">
        <f t="shared" si="130"/>
        <v>315</v>
      </c>
      <c r="R834" s="80">
        <f t="shared" si="131"/>
        <v>100</v>
      </c>
      <c r="S834" s="77">
        <f t="shared" si="132"/>
        <v>695</v>
      </c>
      <c r="T834" s="77">
        <f>0</f>
        <v>0</v>
      </c>
      <c r="U834" s="78"/>
      <c r="V834" s="78"/>
      <c r="W834" s="78"/>
      <c r="X834" s="78"/>
      <c r="Y834" s="78"/>
      <c r="Z834" s="78"/>
      <c r="AA834" s="78"/>
      <c r="AB834" s="78"/>
      <c r="AC834" s="78"/>
      <c r="AD834" s="78"/>
    </row>
    <row r="835" spans="1:30" ht="15.75" x14ac:dyDescent="0.25">
      <c r="A835" s="13">
        <v>66719</v>
      </c>
      <c r="B835" s="88">
        <f t="shared" si="128"/>
        <v>31</v>
      </c>
      <c r="C835" s="77">
        <f>194.205</f>
        <v>194.20500000000001</v>
      </c>
      <c r="D835" s="77">
        <f>267.466</f>
        <v>267.46600000000001</v>
      </c>
      <c r="E835" s="85">
        <f>133.845</f>
        <v>133.845</v>
      </c>
      <c r="F835" s="77">
        <f>278.484-40-25-60-100</f>
        <v>53.48399999999998</v>
      </c>
      <c r="G835" s="80">
        <v>40</v>
      </c>
      <c r="H835" s="77">
        <f t="shared" si="138"/>
        <v>185</v>
      </c>
      <c r="I835" s="77">
        <f t="shared" si="136"/>
        <v>0</v>
      </c>
      <c r="J835" s="80">
        <v>100</v>
      </c>
      <c r="K835" s="80">
        <v>300</v>
      </c>
      <c r="L835" s="77">
        <f t="shared" si="129"/>
        <v>1274</v>
      </c>
      <c r="M835" s="87">
        <v>600</v>
      </c>
      <c r="N835" s="77">
        <f>30</f>
        <v>30</v>
      </c>
      <c r="O835" s="80">
        <v>240</v>
      </c>
      <c r="P835" s="80">
        <v>40</v>
      </c>
      <c r="Q835" s="80">
        <f t="shared" si="130"/>
        <v>315</v>
      </c>
      <c r="R835" s="80">
        <f t="shared" si="131"/>
        <v>100</v>
      </c>
      <c r="S835" s="77">
        <f t="shared" si="132"/>
        <v>695</v>
      </c>
      <c r="T835" s="77">
        <f>0</f>
        <v>0</v>
      </c>
      <c r="U835" s="78"/>
      <c r="V835" s="78"/>
      <c r="W835" s="78"/>
      <c r="X835" s="78"/>
      <c r="Y835" s="78"/>
      <c r="Z835" s="78"/>
      <c r="AA835" s="78"/>
      <c r="AB835" s="78"/>
      <c r="AC835" s="78"/>
      <c r="AD835" s="78"/>
    </row>
    <row r="836" spans="1:30" ht="15.75" x14ac:dyDescent="0.25">
      <c r="A836" s="13">
        <v>66749</v>
      </c>
      <c r="B836" s="88">
        <f t="shared" si="128"/>
        <v>30</v>
      </c>
      <c r="C836" s="77">
        <f>194.205</f>
        <v>194.20500000000001</v>
      </c>
      <c r="D836" s="77">
        <f>267.466</f>
        <v>267.46600000000001</v>
      </c>
      <c r="E836" s="85">
        <f>133.845</f>
        <v>133.845</v>
      </c>
      <c r="F836" s="77">
        <f>278.484-40-25-60-100</f>
        <v>53.48399999999998</v>
      </c>
      <c r="G836" s="80">
        <v>40</v>
      </c>
      <c r="H836" s="77">
        <f t="shared" si="138"/>
        <v>185</v>
      </c>
      <c r="I836" s="77">
        <f t="shared" si="136"/>
        <v>0</v>
      </c>
      <c r="J836" s="80">
        <v>100</v>
      </c>
      <c r="K836" s="80">
        <v>300</v>
      </c>
      <c r="L836" s="77">
        <f t="shared" si="129"/>
        <v>1274</v>
      </c>
      <c r="M836" s="87">
        <v>600</v>
      </c>
      <c r="N836" s="77">
        <f>30</f>
        <v>30</v>
      </c>
      <c r="O836" s="80">
        <v>240</v>
      </c>
      <c r="P836" s="80">
        <v>40</v>
      </c>
      <c r="Q836" s="80">
        <f t="shared" si="130"/>
        <v>315</v>
      </c>
      <c r="R836" s="80">
        <f t="shared" si="131"/>
        <v>100</v>
      </c>
      <c r="S836" s="77">
        <f t="shared" si="132"/>
        <v>695</v>
      </c>
      <c r="T836" s="77">
        <f>0</f>
        <v>0</v>
      </c>
      <c r="U836" s="78"/>
      <c r="V836" s="78"/>
      <c r="W836" s="78"/>
      <c r="X836" s="78"/>
      <c r="Y836" s="78"/>
      <c r="Z836" s="78"/>
      <c r="AA836" s="78"/>
      <c r="AB836" s="78"/>
      <c r="AC836" s="78"/>
      <c r="AD836" s="78"/>
    </row>
    <row r="837" spans="1:30" ht="15.75" x14ac:dyDescent="0.25">
      <c r="A837" s="13">
        <v>66780</v>
      </c>
      <c r="B837" s="88">
        <f t="shared" si="128"/>
        <v>31</v>
      </c>
      <c r="C837" s="77">
        <f>131.881</f>
        <v>131.881</v>
      </c>
      <c r="D837" s="77">
        <f>277.167</f>
        <v>277.16699999999997</v>
      </c>
      <c r="E837" s="85">
        <f>79.08</f>
        <v>79.08</v>
      </c>
      <c r="F837" s="77">
        <f>350.872-40-25-60-100</f>
        <v>125.87200000000001</v>
      </c>
      <c r="G837" s="80">
        <v>40</v>
      </c>
      <c r="H837" s="77">
        <f t="shared" si="138"/>
        <v>185</v>
      </c>
      <c r="I837" s="77">
        <f t="shared" si="136"/>
        <v>0</v>
      </c>
      <c r="J837" s="80">
        <v>100</v>
      </c>
      <c r="K837" s="80">
        <v>300</v>
      </c>
      <c r="L837" s="77">
        <f t="shared" si="129"/>
        <v>1239</v>
      </c>
      <c r="M837" s="87">
        <v>600</v>
      </c>
      <c r="N837" s="77">
        <f>75</f>
        <v>75</v>
      </c>
      <c r="O837" s="80">
        <v>240</v>
      </c>
      <c r="P837" s="80">
        <v>40</v>
      </c>
      <c r="Q837" s="80">
        <f t="shared" si="130"/>
        <v>315</v>
      </c>
      <c r="R837" s="80">
        <f t="shared" si="131"/>
        <v>100</v>
      </c>
      <c r="S837" s="77">
        <f t="shared" si="132"/>
        <v>695</v>
      </c>
      <c r="T837" s="77">
        <f>0</f>
        <v>0</v>
      </c>
      <c r="U837" s="78"/>
      <c r="V837" s="78"/>
      <c r="W837" s="78"/>
      <c r="X837" s="78"/>
      <c r="Y837" s="78"/>
      <c r="Z837" s="78"/>
      <c r="AA837" s="78"/>
      <c r="AB837" s="78"/>
      <c r="AC837" s="78"/>
      <c r="AD837" s="78"/>
    </row>
    <row r="838" spans="1:30" ht="15.75" x14ac:dyDescent="0.25">
      <c r="A838" s="13">
        <v>66810</v>
      </c>
      <c r="B838" s="88">
        <f t="shared" si="128"/>
        <v>30</v>
      </c>
      <c r="C838" s="77">
        <f>122.58</f>
        <v>122.58</v>
      </c>
      <c r="D838" s="77">
        <f>297.941</f>
        <v>297.94099999999997</v>
      </c>
      <c r="E838" s="85">
        <f>89.177</f>
        <v>89.177000000000007</v>
      </c>
      <c r="F838" s="77">
        <f>240.302-40-60-100</f>
        <v>40.301999999999992</v>
      </c>
      <c r="G838" s="80">
        <v>40</v>
      </c>
      <c r="H838" s="77">
        <f>60+100</f>
        <v>160</v>
      </c>
      <c r="I838" s="77">
        <f t="shared" si="136"/>
        <v>0</v>
      </c>
      <c r="J838" s="80">
        <v>100</v>
      </c>
      <c r="K838" s="80">
        <v>300</v>
      </c>
      <c r="L838" s="77">
        <f t="shared" si="129"/>
        <v>1150</v>
      </c>
      <c r="M838" s="87">
        <v>600</v>
      </c>
      <c r="N838" s="77">
        <f>100</f>
        <v>100</v>
      </c>
      <c r="O838" s="80">
        <v>240</v>
      </c>
      <c r="P838" s="80">
        <v>40</v>
      </c>
      <c r="Q838" s="80">
        <f t="shared" si="130"/>
        <v>315</v>
      </c>
      <c r="R838" s="80">
        <f t="shared" si="131"/>
        <v>100</v>
      </c>
      <c r="S838" s="77">
        <f t="shared" si="132"/>
        <v>695</v>
      </c>
      <c r="T838" s="77">
        <f>50</f>
        <v>50</v>
      </c>
      <c r="U838" s="78"/>
      <c r="V838" s="78"/>
      <c r="W838" s="78"/>
      <c r="X838" s="78"/>
      <c r="Y838" s="78"/>
      <c r="Z838" s="78"/>
      <c r="AA838" s="78"/>
      <c r="AB838" s="78"/>
      <c r="AC838" s="78"/>
      <c r="AD838" s="78"/>
    </row>
    <row r="839" spans="1:30" ht="15.75" x14ac:dyDescent="0.25">
      <c r="A839" s="13">
        <v>66841</v>
      </c>
      <c r="B839" s="88">
        <f t="shared" si="128"/>
        <v>31</v>
      </c>
      <c r="C839" s="77">
        <f>122.58</f>
        <v>122.58</v>
      </c>
      <c r="D839" s="77">
        <f>297.941</f>
        <v>297.94099999999997</v>
      </c>
      <c r="E839" s="85">
        <f>89.177</f>
        <v>89.177000000000007</v>
      </c>
      <c r="F839" s="77">
        <f>240.302-40-60-100</f>
        <v>40.301999999999992</v>
      </c>
      <c r="G839" s="80">
        <v>40</v>
      </c>
      <c r="H839" s="77">
        <f>60+100</f>
        <v>160</v>
      </c>
      <c r="I839" s="77">
        <f t="shared" si="136"/>
        <v>0</v>
      </c>
      <c r="J839" s="80">
        <v>100</v>
      </c>
      <c r="K839" s="80">
        <v>300</v>
      </c>
      <c r="L839" s="77">
        <f t="shared" si="129"/>
        <v>1150</v>
      </c>
      <c r="M839" s="87">
        <v>600</v>
      </c>
      <c r="N839" s="77">
        <f>100</f>
        <v>100</v>
      </c>
      <c r="O839" s="80">
        <v>240</v>
      </c>
      <c r="P839" s="80">
        <v>40</v>
      </c>
      <c r="Q839" s="80">
        <f t="shared" si="130"/>
        <v>315</v>
      </c>
      <c r="R839" s="80">
        <f t="shared" si="131"/>
        <v>100</v>
      </c>
      <c r="S839" s="77">
        <f t="shared" si="132"/>
        <v>695</v>
      </c>
      <c r="T839" s="77">
        <f>50</f>
        <v>50</v>
      </c>
      <c r="U839" s="78"/>
      <c r="V839" s="78"/>
      <c r="W839" s="78"/>
      <c r="X839" s="78"/>
      <c r="Y839" s="78"/>
      <c r="Z839" s="78"/>
      <c r="AA839" s="78"/>
      <c r="AB839" s="78"/>
      <c r="AC839" s="78"/>
      <c r="AD839" s="78"/>
    </row>
    <row r="840" spans="1:30" ht="15.75" x14ac:dyDescent="0.25">
      <c r="A840" s="13">
        <v>66872</v>
      </c>
      <c r="B840" s="88">
        <f t="shared" si="128"/>
        <v>31</v>
      </c>
      <c r="C840" s="77">
        <f>122.58</f>
        <v>122.58</v>
      </c>
      <c r="D840" s="77">
        <f>297.941</f>
        <v>297.94099999999997</v>
      </c>
      <c r="E840" s="85">
        <f>89.177</f>
        <v>89.177000000000007</v>
      </c>
      <c r="F840" s="77">
        <f>240.302-40-60-100</f>
        <v>40.301999999999992</v>
      </c>
      <c r="G840" s="80">
        <v>40</v>
      </c>
      <c r="H840" s="77">
        <f>60+100</f>
        <v>160</v>
      </c>
      <c r="I840" s="77">
        <f t="shared" si="136"/>
        <v>0</v>
      </c>
      <c r="J840" s="80">
        <v>100</v>
      </c>
      <c r="K840" s="80">
        <v>300</v>
      </c>
      <c r="L840" s="77">
        <f t="shared" si="129"/>
        <v>1150</v>
      </c>
      <c r="M840" s="87">
        <v>600</v>
      </c>
      <c r="N840" s="77">
        <f>100</f>
        <v>100</v>
      </c>
      <c r="O840" s="80">
        <v>240</v>
      </c>
      <c r="P840" s="80">
        <v>40</v>
      </c>
      <c r="Q840" s="80">
        <f t="shared" si="130"/>
        <v>315</v>
      </c>
      <c r="R840" s="80">
        <f t="shared" si="131"/>
        <v>100</v>
      </c>
      <c r="S840" s="77">
        <f t="shared" si="132"/>
        <v>695</v>
      </c>
      <c r="T840" s="77">
        <f>50</f>
        <v>50</v>
      </c>
      <c r="U840" s="78"/>
      <c r="V840" s="78"/>
      <c r="W840" s="78"/>
      <c r="X840" s="78"/>
      <c r="Y840" s="78"/>
      <c r="Z840" s="78"/>
      <c r="AA840" s="78"/>
      <c r="AB840" s="78"/>
      <c r="AC840" s="78"/>
      <c r="AD840" s="78"/>
    </row>
    <row r="841" spans="1:30" ht="15.75" x14ac:dyDescent="0.25">
      <c r="A841" s="13">
        <v>66900</v>
      </c>
      <c r="B841" s="88">
        <f t="shared" si="128"/>
        <v>28</v>
      </c>
      <c r="C841" s="77">
        <f>122.58</f>
        <v>122.58</v>
      </c>
      <c r="D841" s="77">
        <f>297.941</f>
        <v>297.94099999999997</v>
      </c>
      <c r="E841" s="85">
        <f>89.177</f>
        <v>89.177000000000007</v>
      </c>
      <c r="F841" s="77">
        <f>240.302-40-60-100</f>
        <v>40.301999999999992</v>
      </c>
      <c r="G841" s="80">
        <v>40</v>
      </c>
      <c r="H841" s="77">
        <f>60+100</f>
        <v>160</v>
      </c>
      <c r="I841" s="77">
        <f t="shared" si="136"/>
        <v>0</v>
      </c>
      <c r="J841" s="80">
        <v>100</v>
      </c>
      <c r="K841" s="80">
        <v>300</v>
      </c>
      <c r="L841" s="77">
        <f t="shared" si="129"/>
        <v>1150</v>
      </c>
      <c r="M841" s="87">
        <v>600</v>
      </c>
      <c r="N841" s="77">
        <f>100</f>
        <v>100</v>
      </c>
      <c r="O841" s="80">
        <v>240</v>
      </c>
      <c r="P841" s="80">
        <v>40</v>
      </c>
      <c r="Q841" s="80">
        <f t="shared" si="130"/>
        <v>315</v>
      </c>
      <c r="R841" s="80">
        <f t="shared" si="131"/>
        <v>100</v>
      </c>
      <c r="S841" s="77">
        <f t="shared" si="132"/>
        <v>695</v>
      </c>
      <c r="T841" s="77">
        <f>50</f>
        <v>50</v>
      </c>
      <c r="U841" s="78"/>
      <c r="V841" s="78"/>
      <c r="W841" s="78"/>
      <c r="X841" s="78"/>
      <c r="Y841" s="78"/>
      <c r="Z841" s="78"/>
      <c r="AA841" s="78"/>
      <c r="AB841" s="78"/>
      <c r="AC841" s="78"/>
      <c r="AD841" s="78"/>
    </row>
    <row r="842" spans="1:30" ht="15.75" x14ac:dyDescent="0.25">
      <c r="A842" s="13">
        <v>66931</v>
      </c>
      <c r="B842" s="88">
        <f t="shared" si="128"/>
        <v>31</v>
      </c>
      <c r="C842" s="77">
        <f>122.58</f>
        <v>122.58</v>
      </c>
      <c r="D842" s="77">
        <f>297.941</f>
        <v>297.94099999999997</v>
      </c>
      <c r="E842" s="85">
        <f>89.177</f>
        <v>89.177000000000007</v>
      </c>
      <c r="F842" s="77">
        <f>240.302-40-60-100</f>
        <v>40.301999999999992</v>
      </c>
      <c r="G842" s="80">
        <v>40</v>
      </c>
      <c r="H842" s="77">
        <f>60+100</f>
        <v>160</v>
      </c>
      <c r="I842" s="77">
        <f t="shared" si="136"/>
        <v>0</v>
      </c>
      <c r="J842" s="80">
        <v>100</v>
      </c>
      <c r="K842" s="80">
        <v>300</v>
      </c>
      <c r="L842" s="77">
        <f t="shared" si="129"/>
        <v>1150</v>
      </c>
      <c r="M842" s="87">
        <v>600</v>
      </c>
      <c r="N842" s="77">
        <f>100</f>
        <v>100</v>
      </c>
      <c r="O842" s="80">
        <v>240</v>
      </c>
      <c r="P842" s="80">
        <v>40</v>
      </c>
      <c r="Q842" s="80">
        <f t="shared" si="130"/>
        <v>315</v>
      </c>
      <c r="R842" s="80">
        <f t="shared" si="131"/>
        <v>100</v>
      </c>
      <c r="S842" s="77">
        <f t="shared" si="132"/>
        <v>695</v>
      </c>
      <c r="T842" s="77">
        <f>50</f>
        <v>50</v>
      </c>
      <c r="U842" s="78"/>
      <c r="V842" s="78"/>
      <c r="W842" s="78"/>
      <c r="X842" s="78"/>
      <c r="Y842" s="78"/>
      <c r="Z842" s="78"/>
      <c r="AA842" s="78"/>
      <c r="AB842" s="78"/>
      <c r="AC842" s="78"/>
      <c r="AD842" s="78"/>
    </row>
    <row r="843" spans="1:30" ht="15.75" x14ac:dyDescent="0.25">
      <c r="A843" s="13">
        <v>66961</v>
      </c>
      <c r="B843" s="88">
        <f t="shared" si="128"/>
        <v>30</v>
      </c>
      <c r="C843" s="77">
        <f>141.293</f>
        <v>141.29300000000001</v>
      </c>
      <c r="D843" s="77">
        <f>267.993</f>
        <v>267.99299999999999</v>
      </c>
      <c r="E843" s="85">
        <f>115.016</f>
        <v>115.01600000000001</v>
      </c>
      <c r="F843" s="77">
        <f>314.698-40-25-60-100</f>
        <v>89.697999999999979</v>
      </c>
      <c r="G843" s="80">
        <v>40</v>
      </c>
      <c r="H843" s="77">
        <f t="shared" ref="H843:H849" si="139">25+60+100</f>
        <v>185</v>
      </c>
      <c r="I843" s="77">
        <f t="shared" si="136"/>
        <v>0</v>
      </c>
      <c r="J843" s="80">
        <v>100</v>
      </c>
      <c r="K843" s="80">
        <v>300</v>
      </c>
      <c r="L843" s="77">
        <f t="shared" si="129"/>
        <v>1239</v>
      </c>
      <c r="M843" s="87">
        <v>600</v>
      </c>
      <c r="N843" s="77">
        <f>100</f>
        <v>100</v>
      </c>
      <c r="O843" s="80">
        <v>240</v>
      </c>
      <c r="P843" s="80">
        <v>40</v>
      </c>
      <c r="Q843" s="80">
        <f t="shared" si="130"/>
        <v>315</v>
      </c>
      <c r="R843" s="80">
        <f t="shared" si="131"/>
        <v>100</v>
      </c>
      <c r="S843" s="77">
        <f t="shared" si="132"/>
        <v>695</v>
      </c>
      <c r="T843" s="77">
        <f>50</f>
        <v>50</v>
      </c>
      <c r="U843" s="78"/>
      <c r="V843" s="78"/>
      <c r="W843" s="78"/>
      <c r="X843" s="78"/>
      <c r="Y843" s="78"/>
      <c r="Z843" s="78"/>
      <c r="AA843" s="78"/>
      <c r="AB843" s="78"/>
      <c r="AC843" s="78"/>
      <c r="AD843" s="78"/>
    </row>
    <row r="844" spans="1:30" ht="15.75" x14ac:dyDescent="0.25">
      <c r="A844" s="13">
        <v>66992</v>
      </c>
      <c r="B844" s="88">
        <f t="shared" ref="B844:B907" si="140">EOMONTH(A844,0)-EOMONTH(A844,-1)</f>
        <v>31</v>
      </c>
      <c r="C844" s="77">
        <f>194.205</f>
        <v>194.20500000000001</v>
      </c>
      <c r="D844" s="77">
        <f>267.466</f>
        <v>267.46600000000001</v>
      </c>
      <c r="E844" s="85">
        <f>133.845</f>
        <v>133.845</v>
      </c>
      <c r="F844" s="77">
        <f>278.484-40-25-60-100</f>
        <v>53.48399999999998</v>
      </c>
      <c r="G844" s="80">
        <v>40</v>
      </c>
      <c r="H844" s="77">
        <f t="shared" si="139"/>
        <v>185</v>
      </c>
      <c r="I844" s="77">
        <f t="shared" si="136"/>
        <v>0</v>
      </c>
      <c r="J844" s="80">
        <v>100</v>
      </c>
      <c r="K844" s="80">
        <v>300</v>
      </c>
      <c r="L844" s="77">
        <f t="shared" si="129"/>
        <v>1274</v>
      </c>
      <c r="M844" s="87">
        <v>600</v>
      </c>
      <c r="N844" s="77">
        <f>75</f>
        <v>75</v>
      </c>
      <c r="O844" s="80">
        <v>240</v>
      </c>
      <c r="P844" s="80">
        <v>40</v>
      </c>
      <c r="Q844" s="80">
        <f t="shared" si="130"/>
        <v>315</v>
      </c>
      <c r="R844" s="80">
        <f t="shared" si="131"/>
        <v>100</v>
      </c>
      <c r="S844" s="77">
        <f t="shared" si="132"/>
        <v>695</v>
      </c>
      <c r="T844" s="77">
        <f>50</f>
        <v>50</v>
      </c>
      <c r="U844" s="78"/>
      <c r="V844" s="78"/>
      <c r="W844" s="78"/>
      <c r="X844" s="78"/>
      <c r="Y844" s="78"/>
      <c r="Z844" s="78"/>
      <c r="AA844" s="78"/>
      <c r="AB844" s="78"/>
      <c r="AC844" s="78"/>
      <c r="AD844" s="78"/>
    </row>
    <row r="845" spans="1:30" ht="15.75" x14ac:dyDescent="0.25">
      <c r="A845" s="13">
        <v>67022</v>
      </c>
      <c r="B845" s="88">
        <f t="shared" si="140"/>
        <v>30</v>
      </c>
      <c r="C845" s="77">
        <f>194.205</f>
        <v>194.20500000000001</v>
      </c>
      <c r="D845" s="77">
        <f>267.466</f>
        <v>267.46600000000001</v>
      </c>
      <c r="E845" s="85">
        <f>133.845</f>
        <v>133.845</v>
      </c>
      <c r="F845" s="77">
        <f>278.484-40-25-60-100</f>
        <v>53.48399999999998</v>
      </c>
      <c r="G845" s="80">
        <v>40</v>
      </c>
      <c r="H845" s="77">
        <f t="shared" si="139"/>
        <v>185</v>
      </c>
      <c r="I845" s="77">
        <f t="shared" si="136"/>
        <v>0</v>
      </c>
      <c r="J845" s="80">
        <v>100</v>
      </c>
      <c r="K845" s="80">
        <v>300</v>
      </c>
      <c r="L845" s="77">
        <f t="shared" si="129"/>
        <v>1274</v>
      </c>
      <c r="M845" s="87">
        <v>600</v>
      </c>
      <c r="N845" s="77">
        <f>30</f>
        <v>30</v>
      </c>
      <c r="O845" s="80">
        <v>240</v>
      </c>
      <c r="P845" s="80">
        <v>40</v>
      </c>
      <c r="Q845" s="80">
        <f t="shared" si="130"/>
        <v>315</v>
      </c>
      <c r="R845" s="80">
        <f t="shared" si="131"/>
        <v>100</v>
      </c>
      <c r="S845" s="77">
        <f t="shared" si="132"/>
        <v>695</v>
      </c>
      <c r="T845" s="77">
        <f>50</f>
        <v>50</v>
      </c>
      <c r="U845" s="78"/>
      <c r="V845" s="78"/>
      <c r="W845" s="78"/>
      <c r="X845" s="78"/>
      <c r="Y845" s="78"/>
      <c r="Z845" s="78"/>
      <c r="AA845" s="78"/>
      <c r="AB845" s="78"/>
      <c r="AC845" s="78"/>
      <c r="AD845" s="78"/>
    </row>
    <row r="846" spans="1:30" ht="15.75" x14ac:dyDescent="0.25">
      <c r="A846" s="13">
        <v>67053</v>
      </c>
      <c r="B846" s="88">
        <f t="shared" si="140"/>
        <v>31</v>
      </c>
      <c r="C846" s="77">
        <f>194.205</f>
        <v>194.20500000000001</v>
      </c>
      <c r="D846" s="77">
        <f>267.466</f>
        <v>267.46600000000001</v>
      </c>
      <c r="E846" s="85">
        <f>133.845</f>
        <v>133.845</v>
      </c>
      <c r="F846" s="77">
        <f>278.484-40-25-60-100</f>
        <v>53.48399999999998</v>
      </c>
      <c r="G846" s="80">
        <v>40</v>
      </c>
      <c r="H846" s="77">
        <f t="shared" si="139"/>
        <v>185</v>
      </c>
      <c r="I846" s="77">
        <f t="shared" si="136"/>
        <v>0</v>
      </c>
      <c r="J846" s="80">
        <v>100</v>
      </c>
      <c r="K846" s="80">
        <v>300</v>
      </c>
      <c r="L846" s="77">
        <f t="shared" ref="L846:L909" si="141">SUM(C846:K846)</f>
        <v>1274</v>
      </c>
      <c r="M846" s="87">
        <v>600</v>
      </c>
      <c r="N846" s="77">
        <f>30</f>
        <v>30</v>
      </c>
      <c r="O846" s="80">
        <v>240</v>
      </c>
      <c r="P846" s="80">
        <v>40</v>
      </c>
      <c r="Q846" s="80">
        <f t="shared" ref="Q846:Q909" si="142">695-R846-O846-P846</f>
        <v>315</v>
      </c>
      <c r="R846" s="80">
        <f t="shared" ref="R846:R909" si="143">200-J846</f>
        <v>100</v>
      </c>
      <c r="S846" s="77">
        <f t="shared" ref="S846:S909" si="144">SUM(O846:R846)</f>
        <v>695</v>
      </c>
      <c r="T846" s="77">
        <f>0</f>
        <v>0</v>
      </c>
      <c r="U846" s="78"/>
      <c r="V846" s="78"/>
      <c r="W846" s="78"/>
      <c r="X846" s="78"/>
      <c r="Y846" s="78"/>
      <c r="Z846" s="78"/>
      <c r="AA846" s="78"/>
      <c r="AB846" s="78"/>
      <c r="AC846" s="78"/>
      <c r="AD846" s="78"/>
    </row>
    <row r="847" spans="1:30" ht="15.75" x14ac:dyDescent="0.25">
      <c r="A847" s="13">
        <v>67084</v>
      </c>
      <c r="B847" s="88">
        <f t="shared" si="140"/>
        <v>31</v>
      </c>
      <c r="C847" s="77">
        <f>194.205</f>
        <v>194.20500000000001</v>
      </c>
      <c r="D847" s="77">
        <f>267.466</f>
        <v>267.46600000000001</v>
      </c>
      <c r="E847" s="85">
        <f>133.845</f>
        <v>133.845</v>
      </c>
      <c r="F847" s="77">
        <f>278.484-40-25-60-100</f>
        <v>53.48399999999998</v>
      </c>
      <c r="G847" s="80">
        <v>40</v>
      </c>
      <c r="H847" s="77">
        <f t="shared" si="139"/>
        <v>185</v>
      </c>
      <c r="I847" s="77">
        <f t="shared" si="136"/>
        <v>0</v>
      </c>
      <c r="J847" s="80">
        <v>100</v>
      </c>
      <c r="K847" s="80">
        <v>300</v>
      </c>
      <c r="L847" s="77">
        <f t="shared" si="141"/>
        <v>1274</v>
      </c>
      <c r="M847" s="87">
        <v>600</v>
      </c>
      <c r="N847" s="77">
        <f>30</f>
        <v>30</v>
      </c>
      <c r="O847" s="80">
        <v>240</v>
      </c>
      <c r="P847" s="80">
        <v>40</v>
      </c>
      <c r="Q847" s="80">
        <f t="shared" si="142"/>
        <v>315</v>
      </c>
      <c r="R847" s="80">
        <f t="shared" si="143"/>
        <v>100</v>
      </c>
      <c r="S847" s="77">
        <f t="shared" si="144"/>
        <v>695</v>
      </c>
      <c r="T847" s="77">
        <f>0</f>
        <v>0</v>
      </c>
      <c r="U847" s="78"/>
      <c r="V847" s="78"/>
      <c r="W847" s="78"/>
      <c r="X847" s="78"/>
      <c r="Y847" s="78"/>
      <c r="Z847" s="78"/>
      <c r="AA847" s="78"/>
      <c r="AB847" s="78"/>
      <c r="AC847" s="78"/>
      <c r="AD847" s="78"/>
    </row>
    <row r="848" spans="1:30" ht="15.75" x14ac:dyDescent="0.25">
      <c r="A848" s="13">
        <v>67114</v>
      </c>
      <c r="B848" s="88">
        <f t="shared" si="140"/>
        <v>30</v>
      </c>
      <c r="C848" s="77">
        <f>194.205</f>
        <v>194.20500000000001</v>
      </c>
      <c r="D848" s="77">
        <f>267.466</f>
        <v>267.46600000000001</v>
      </c>
      <c r="E848" s="85">
        <f>133.845</f>
        <v>133.845</v>
      </c>
      <c r="F848" s="77">
        <f>278.484-40-25-60-100</f>
        <v>53.48399999999998</v>
      </c>
      <c r="G848" s="80">
        <v>40</v>
      </c>
      <c r="H848" s="77">
        <f t="shared" si="139"/>
        <v>185</v>
      </c>
      <c r="I848" s="77">
        <f t="shared" si="136"/>
        <v>0</v>
      </c>
      <c r="J848" s="80">
        <v>100</v>
      </c>
      <c r="K848" s="80">
        <v>300</v>
      </c>
      <c r="L848" s="77">
        <f t="shared" si="141"/>
        <v>1274</v>
      </c>
      <c r="M848" s="87">
        <v>600</v>
      </c>
      <c r="N848" s="77">
        <f>30</f>
        <v>30</v>
      </c>
      <c r="O848" s="80">
        <v>240</v>
      </c>
      <c r="P848" s="80">
        <v>40</v>
      </c>
      <c r="Q848" s="80">
        <f t="shared" si="142"/>
        <v>315</v>
      </c>
      <c r="R848" s="80">
        <f t="shared" si="143"/>
        <v>100</v>
      </c>
      <c r="S848" s="77">
        <f t="shared" si="144"/>
        <v>695</v>
      </c>
      <c r="T848" s="77">
        <f>0</f>
        <v>0</v>
      </c>
      <c r="U848" s="78"/>
      <c r="V848" s="78"/>
      <c r="W848" s="78"/>
      <c r="X848" s="78"/>
      <c r="Y848" s="78"/>
      <c r="Z848" s="78"/>
      <c r="AA848" s="78"/>
      <c r="AB848" s="78"/>
      <c r="AC848" s="78"/>
      <c r="AD848" s="78"/>
    </row>
    <row r="849" spans="1:30" ht="15.75" x14ac:dyDescent="0.25">
      <c r="A849" s="13">
        <v>67145</v>
      </c>
      <c r="B849" s="88">
        <f t="shared" si="140"/>
        <v>31</v>
      </c>
      <c r="C849" s="77">
        <f>131.881</f>
        <v>131.881</v>
      </c>
      <c r="D849" s="77">
        <f>277.167</f>
        <v>277.16699999999997</v>
      </c>
      <c r="E849" s="85">
        <f>79.08</f>
        <v>79.08</v>
      </c>
      <c r="F849" s="77">
        <f>350.872-40-25-60-100</f>
        <v>125.87200000000001</v>
      </c>
      <c r="G849" s="80">
        <v>40</v>
      </c>
      <c r="H849" s="77">
        <f t="shared" si="139"/>
        <v>185</v>
      </c>
      <c r="I849" s="77">
        <f t="shared" si="136"/>
        <v>0</v>
      </c>
      <c r="J849" s="80">
        <v>100</v>
      </c>
      <c r="K849" s="80">
        <v>300</v>
      </c>
      <c r="L849" s="77">
        <f t="shared" si="141"/>
        <v>1239</v>
      </c>
      <c r="M849" s="87">
        <v>600</v>
      </c>
      <c r="N849" s="77">
        <f>75</f>
        <v>75</v>
      </c>
      <c r="O849" s="80">
        <v>240</v>
      </c>
      <c r="P849" s="80">
        <v>40</v>
      </c>
      <c r="Q849" s="80">
        <f t="shared" si="142"/>
        <v>315</v>
      </c>
      <c r="R849" s="80">
        <f t="shared" si="143"/>
        <v>100</v>
      </c>
      <c r="S849" s="77">
        <f t="shared" si="144"/>
        <v>695</v>
      </c>
      <c r="T849" s="77">
        <f>0</f>
        <v>0</v>
      </c>
      <c r="U849" s="78"/>
      <c r="V849" s="78"/>
      <c r="W849" s="78"/>
      <c r="X849" s="78"/>
      <c r="Y849" s="78"/>
      <c r="Z849" s="78"/>
      <c r="AA849" s="78"/>
      <c r="AB849" s="78"/>
      <c r="AC849" s="78"/>
      <c r="AD849" s="78"/>
    </row>
    <row r="850" spans="1:30" ht="15.75" x14ac:dyDescent="0.25">
      <c r="A850" s="13">
        <v>67175</v>
      </c>
      <c r="B850" s="88">
        <f t="shared" si="140"/>
        <v>30</v>
      </c>
      <c r="C850" s="77">
        <f>122.58</f>
        <v>122.58</v>
      </c>
      <c r="D850" s="77">
        <f>297.941</f>
        <v>297.94099999999997</v>
      </c>
      <c r="E850" s="85">
        <f>89.177</f>
        <v>89.177000000000007</v>
      </c>
      <c r="F850" s="77">
        <f>240.302-40-60-100</f>
        <v>40.301999999999992</v>
      </c>
      <c r="G850" s="80">
        <v>40</v>
      </c>
      <c r="H850" s="77">
        <f>60+100</f>
        <v>160</v>
      </c>
      <c r="I850" s="77">
        <f t="shared" si="136"/>
        <v>0</v>
      </c>
      <c r="J850" s="80">
        <v>100</v>
      </c>
      <c r="K850" s="80">
        <v>300</v>
      </c>
      <c r="L850" s="77">
        <f t="shared" si="141"/>
        <v>1150</v>
      </c>
      <c r="M850" s="87">
        <v>600</v>
      </c>
      <c r="N850" s="77">
        <f>100</f>
        <v>100</v>
      </c>
      <c r="O850" s="80">
        <v>240</v>
      </c>
      <c r="P850" s="80">
        <v>40</v>
      </c>
      <c r="Q850" s="80">
        <f t="shared" si="142"/>
        <v>315</v>
      </c>
      <c r="R850" s="80">
        <f t="shared" si="143"/>
        <v>100</v>
      </c>
      <c r="S850" s="77">
        <f t="shared" si="144"/>
        <v>695</v>
      </c>
      <c r="T850" s="77">
        <f>50</f>
        <v>50</v>
      </c>
      <c r="U850" s="78"/>
      <c r="V850" s="78"/>
      <c r="W850" s="78"/>
      <c r="X850" s="78"/>
      <c r="Y850" s="78"/>
      <c r="Z850" s="78"/>
      <c r="AA850" s="78"/>
      <c r="AB850" s="78"/>
      <c r="AC850" s="78"/>
      <c r="AD850" s="78"/>
    </row>
    <row r="851" spans="1:30" ht="15.75" x14ac:dyDescent="0.25">
      <c r="A851" s="13">
        <v>67206</v>
      </c>
      <c r="B851" s="88">
        <f t="shared" si="140"/>
        <v>31</v>
      </c>
      <c r="C851" s="77">
        <f>122.58</f>
        <v>122.58</v>
      </c>
      <c r="D851" s="77">
        <f>297.941</f>
        <v>297.94099999999997</v>
      </c>
      <c r="E851" s="85">
        <f>89.177</f>
        <v>89.177000000000007</v>
      </c>
      <c r="F851" s="77">
        <f>240.302-40-60-100</f>
        <v>40.301999999999992</v>
      </c>
      <c r="G851" s="80">
        <v>40</v>
      </c>
      <c r="H851" s="77">
        <f>60+100</f>
        <v>160</v>
      </c>
      <c r="I851" s="77">
        <f t="shared" si="136"/>
        <v>0</v>
      </c>
      <c r="J851" s="80">
        <v>100</v>
      </c>
      <c r="K851" s="80">
        <v>300</v>
      </c>
      <c r="L851" s="77">
        <f t="shared" si="141"/>
        <v>1150</v>
      </c>
      <c r="M851" s="87">
        <v>600</v>
      </c>
      <c r="N851" s="77">
        <f>100</f>
        <v>100</v>
      </c>
      <c r="O851" s="80">
        <v>240</v>
      </c>
      <c r="P851" s="80">
        <v>40</v>
      </c>
      <c r="Q851" s="80">
        <f t="shared" si="142"/>
        <v>315</v>
      </c>
      <c r="R851" s="80">
        <f t="shared" si="143"/>
        <v>100</v>
      </c>
      <c r="S851" s="77">
        <f t="shared" si="144"/>
        <v>695</v>
      </c>
      <c r="T851" s="77">
        <f>50</f>
        <v>50</v>
      </c>
      <c r="U851" s="78"/>
      <c r="V851" s="78"/>
      <c r="W851" s="78"/>
      <c r="X851" s="78"/>
      <c r="Y851" s="78"/>
      <c r="Z851" s="78"/>
      <c r="AA851" s="78"/>
      <c r="AB851" s="78"/>
      <c r="AC851" s="78"/>
      <c r="AD851" s="78"/>
    </row>
    <row r="852" spans="1:30" ht="15.75" x14ac:dyDescent="0.25">
      <c r="A852" s="13">
        <v>67237</v>
      </c>
      <c r="B852" s="88">
        <f t="shared" si="140"/>
        <v>31</v>
      </c>
      <c r="C852" s="77">
        <f>122.58</f>
        <v>122.58</v>
      </c>
      <c r="D852" s="77">
        <f>297.941</f>
        <v>297.94099999999997</v>
      </c>
      <c r="E852" s="85">
        <f>89.177</f>
        <v>89.177000000000007</v>
      </c>
      <c r="F852" s="77">
        <f>240.302-40-60-100</f>
        <v>40.301999999999992</v>
      </c>
      <c r="G852" s="80">
        <v>40</v>
      </c>
      <c r="H852" s="77">
        <f>60+100</f>
        <v>160</v>
      </c>
      <c r="I852" s="77">
        <f t="shared" si="136"/>
        <v>0</v>
      </c>
      <c r="J852" s="80">
        <v>100</v>
      </c>
      <c r="K852" s="80">
        <v>300</v>
      </c>
      <c r="L852" s="77">
        <f t="shared" si="141"/>
        <v>1150</v>
      </c>
      <c r="M852" s="87">
        <v>600</v>
      </c>
      <c r="N852" s="77">
        <f>100</f>
        <v>100</v>
      </c>
      <c r="O852" s="80">
        <v>240</v>
      </c>
      <c r="P852" s="80">
        <v>40</v>
      </c>
      <c r="Q852" s="80">
        <f t="shared" si="142"/>
        <v>315</v>
      </c>
      <c r="R852" s="80">
        <f t="shared" si="143"/>
        <v>100</v>
      </c>
      <c r="S852" s="77">
        <f t="shared" si="144"/>
        <v>695</v>
      </c>
      <c r="T852" s="77">
        <f>50</f>
        <v>50</v>
      </c>
      <c r="U852" s="78"/>
      <c r="V852" s="78"/>
      <c r="W852" s="78"/>
      <c r="X852" s="78"/>
      <c r="Y852" s="78"/>
      <c r="Z852" s="78"/>
      <c r="AA852" s="78"/>
      <c r="AB852" s="78"/>
      <c r="AC852" s="78"/>
      <c r="AD852" s="78"/>
    </row>
    <row r="853" spans="1:30" ht="15.75" x14ac:dyDescent="0.25">
      <c r="A853" s="13">
        <v>67266</v>
      </c>
      <c r="B853" s="88">
        <f t="shared" si="140"/>
        <v>29</v>
      </c>
      <c r="C853" s="77">
        <f>122.58</f>
        <v>122.58</v>
      </c>
      <c r="D853" s="77">
        <f>297.941</f>
        <v>297.94099999999997</v>
      </c>
      <c r="E853" s="85">
        <f>89.177</f>
        <v>89.177000000000007</v>
      </c>
      <c r="F853" s="77">
        <f>240.302-40-60-100</f>
        <v>40.301999999999992</v>
      </c>
      <c r="G853" s="80">
        <v>40</v>
      </c>
      <c r="H853" s="77">
        <f>60+100</f>
        <v>160</v>
      </c>
      <c r="I853" s="77">
        <f t="shared" si="136"/>
        <v>0</v>
      </c>
      <c r="J853" s="80">
        <v>100</v>
      </c>
      <c r="K853" s="80">
        <v>300</v>
      </c>
      <c r="L853" s="77">
        <f t="shared" si="141"/>
        <v>1150</v>
      </c>
      <c r="M853" s="87">
        <v>600</v>
      </c>
      <c r="N853" s="77">
        <f>100</f>
        <v>100</v>
      </c>
      <c r="O853" s="80">
        <v>240</v>
      </c>
      <c r="P853" s="80">
        <v>40</v>
      </c>
      <c r="Q853" s="80">
        <f t="shared" si="142"/>
        <v>315</v>
      </c>
      <c r="R853" s="80">
        <f t="shared" si="143"/>
        <v>100</v>
      </c>
      <c r="S853" s="77">
        <f t="shared" si="144"/>
        <v>695</v>
      </c>
      <c r="T853" s="77">
        <f>50</f>
        <v>50</v>
      </c>
      <c r="U853" s="78"/>
      <c r="V853" s="78"/>
      <c r="W853" s="78"/>
      <c r="X853" s="78"/>
      <c r="Y853" s="78"/>
      <c r="Z853" s="78"/>
      <c r="AA853" s="78"/>
      <c r="AB853" s="78"/>
      <c r="AC853" s="78"/>
      <c r="AD853" s="78"/>
    </row>
    <row r="854" spans="1:30" ht="15.75" x14ac:dyDescent="0.25">
      <c r="A854" s="13">
        <v>67297</v>
      </c>
      <c r="B854" s="88">
        <f t="shared" si="140"/>
        <v>31</v>
      </c>
      <c r="C854" s="77">
        <f>122.58</f>
        <v>122.58</v>
      </c>
      <c r="D854" s="77">
        <f>297.941</f>
        <v>297.94099999999997</v>
      </c>
      <c r="E854" s="85">
        <f>89.177</f>
        <v>89.177000000000007</v>
      </c>
      <c r="F854" s="77">
        <f>240.302-40-60-100</f>
        <v>40.301999999999992</v>
      </c>
      <c r="G854" s="80">
        <v>40</v>
      </c>
      <c r="H854" s="77">
        <f>60+100</f>
        <v>160</v>
      </c>
      <c r="I854" s="77">
        <f t="shared" si="136"/>
        <v>0</v>
      </c>
      <c r="J854" s="80">
        <v>100</v>
      </c>
      <c r="K854" s="80">
        <v>300</v>
      </c>
      <c r="L854" s="77">
        <f t="shared" si="141"/>
        <v>1150</v>
      </c>
      <c r="M854" s="87">
        <v>600</v>
      </c>
      <c r="N854" s="77">
        <f>100</f>
        <v>100</v>
      </c>
      <c r="O854" s="80">
        <v>240</v>
      </c>
      <c r="P854" s="80">
        <v>40</v>
      </c>
      <c r="Q854" s="80">
        <f t="shared" si="142"/>
        <v>315</v>
      </c>
      <c r="R854" s="80">
        <f t="shared" si="143"/>
        <v>100</v>
      </c>
      <c r="S854" s="77">
        <f t="shared" si="144"/>
        <v>695</v>
      </c>
      <c r="T854" s="77">
        <f>50</f>
        <v>50</v>
      </c>
      <c r="U854" s="78"/>
      <c r="V854" s="78"/>
      <c r="W854" s="78"/>
      <c r="X854" s="78"/>
      <c r="Y854" s="78"/>
      <c r="Z854" s="78"/>
      <c r="AA854" s="78"/>
      <c r="AB854" s="78"/>
      <c r="AC854" s="78"/>
      <c r="AD854" s="78"/>
    </row>
    <row r="855" spans="1:30" ht="15.75" x14ac:dyDescent="0.25">
      <c r="A855" s="13">
        <v>67327</v>
      </c>
      <c r="B855" s="88">
        <f t="shared" si="140"/>
        <v>30</v>
      </c>
      <c r="C855" s="77">
        <f>141.293</f>
        <v>141.29300000000001</v>
      </c>
      <c r="D855" s="77">
        <f>267.993</f>
        <v>267.99299999999999</v>
      </c>
      <c r="E855" s="85">
        <f>115.016</f>
        <v>115.01600000000001</v>
      </c>
      <c r="F855" s="77">
        <f>314.698-40-25-60-100</f>
        <v>89.697999999999979</v>
      </c>
      <c r="G855" s="80">
        <v>40</v>
      </c>
      <c r="H855" s="77">
        <f t="shared" ref="H855:H861" si="145">25+60+100</f>
        <v>185</v>
      </c>
      <c r="I855" s="77">
        <f t="shared" si="136"/>
        <v>0</v>
      </c>
      <c r="J855" s="80">
        <v>100</v>
      </c>
      <c r="K855" s="80">
        <v>300</v>
      </c>
      <c r="L855" s="77">
        <f t="shared" si="141"/>
        <v>1239</v>
      </c>
      <c r="M855" s="87">
        <v>600</v>
      </c>
      <c r="N855" s="77">
        <f>100</f>
        <v>100</v>
      </c>
      <c r="O855" s="80">
        <v>240</v>
      </c>
      <c r="P855" s="80">
        <v>40</v>
      </c>
      <c r="Q855" s="80">
        <f t="shared" si="142"/>
        <v>315</v>
      </c>
      <c r="R855" s="80">
        <f t="shared" si="143"/>
        <v>100</v>
      </c>
      <c r="S855" s="77">
        <f t="shared" si="144"/>
        <v>695</v>
      </c>
      <c r="T855" s="77">
        <f>50</f>
        <v>50</v>
      </c>
      <c r="U855" s="78"/>
      <c r="V855" s="78"/>
      <c r="W855" s="78"/>
      <c r="X855" s="78"/>
      <c r="Y855" s="78"/>
      <c r="Z855" s="78"/>
      <c r="AA855" s="78"/>
      <c r="AB855" s="78"/>
      <c r="AC855" s="78"/>
      <c r="AD855" s="78"/>
    </row>
    <row r="856" spans="1:30" ht="15.75" x14ac:dyDescent="0.25">
      <c r="A856" s="13">
        <v>67358</v>
      </c>
      <c r="B856" s="88">
        <f t="shared" si="140"/>
        <v>31</v>
      </c>
      <c r="C856" s="77">
        <f>194.205</f>
        <v>194.20500000000001</v>
      </c>
      <c r="D856" s="77">
        <f>267.466</f>
        <v>267.46600000000001</v>
      </c>
      <c r="E856" s="85">
        <f>133.845</f>
        <v>133.845</v>
      </c>
      <c r="F856" s="77">
        <f>278.484-40-25-60-100</f>
        <v>53.48399999999998</v>
      </c>
      <c r="G856" s="80">
        <v>40</v>
      </c>
      <c r="H856" s="77">
        <f t="shared" si="145"/>
        <v>185</v>
      </c>
      <c r="I856" s="77">
        <f t="shared" si="136"/>
        <v>0</v>
      </c>
      <c r="J856" s="80">
        <v>100</v>
      </c>
      <c r="K856" s="80">
        <v>300</v>
      </c>
      <c r="L856" s="77">
        <f t="shared" si="141"/>
        <v>1274</v>
      </c>
      <c r="M856" s="87">
        <v>600</v>
      </c>
      <c r="N856" s="77">
        <f>75</f>
        <v>75</v>
      </c>
      <c r="O856" s="80">
        <v>240</v>
      </c>
      <c r="P856" s="80">
        <v>40</v>
      </c>
      <c r="Q856" s="80">
        <f t="shared" si="142"/>
        <v>315</v>
      </c>
      <c r="R856" s="80">
        <f t="shared" si="143"/>
        <v>100</v>
      </c>
      <c r="S856" s="77">
        <f t="shared" si="144"/>
        <v>695</v>
      </c>
      <c r="T856" s="77">
        <f>50</f>
        <v>50</v>
      </c>
      <c r="U856" s="78"/>
      <c r="V856" s="78"/>
      <c r="W856" s="78"/>
      <c r="X856" s="78"/>
      <c r="Y856" s="78"/>
      <c r="Z856" s="78"/>
      <c r="AA856" s="78"/>
      <c r="AB856" s="78"/>
      <c r="AC856" s="78"/>
      <c r="AD856" s="78"/>
    </row>
    <row r="857" spans="1:30" ht="15.75" x14ac:dyDescent="0.25">
      <c r="A857" s="13">
        <v>67388</v>
      </c>
      <c r="B857" s="88">
        <f t="shared" si="140"/>
        <v>30</v>
      </c>
      <c r="C857" s="77">
        <f>194.205</f>
        <v>194.20500000000001</v>
      </c>
      <c r="D857" s="77">
        <f>267.466</f>
        <v>267.46600000000001</v>
      </c>
      <c r="E857" s="85">
        <f>133.845</f>
        <v>133.845</v>
      </c>
      <c r="F857" s="77">
        <f>278.484-40-25-60-100</f>
        <v>53.48399999999998</v>
      </c>
      <c r="G857" s="80">
        <v>40</v>
      </c>
      <c r="H857" s="77">
        <f t="shared" si="145"/>
        <v>185</v>
      </c>
      <c r="I857" s="77">
        <f t="shared" si="136"/>
        <v>0</v>
      </c>
      <c r="J857" s="80">
        <v>100</v>
      </c>
      <c r="K857" s="80">
        <v>300</v>
      </c>
      <c r="L857" s="77">
        <f t="shared" si="141"/>
        <v>1274</v>
      </c>
      <c r="M857" s="87">
        <v>600</v>
      </c>
      <c r="N857" s="77">
        <f>30</f>
        <v>30</v>
      </c>
      <c r="O857" s="80">
        <v>240</v>
      </c>
      <c r="P857" s="80">
        <v>40</v>
      </c>
      <c r="Q857" s="80">
        <f t="shared" si="142"/>
        <v>315</v>
      </c>
      <c r="R857" s="80">
        <f t="shared" si="143"/>
        <v>100</v>
      </c>
      <c r="S857" s="77">
        <f t="shared" si="144"/>
        <v>695</v>
      </c>
      <c r="T857" s="77">
        <f>50</f>
        <v>50</v>
      </c>
      <c r="U857" s="78"/>
      <c r="V857" s="78"/>
      <c r="W857" s="78"/>
      <c r="X857" s="78"/>
      <c r="Y857" s="78"/>
      <c r="Z857" s="78"/>
      <c r="AA857" s="78"/>
      <c r="AB857" s="78"/>
      <c r="AC857" s="78"/>
      <c r="AD857" s="78"/>
    </row>
    <row r="858" spans="1:30" ht="15.75" x14ac:dyDescent="0.25">
      <c r="A858" s="13">
        <v>67419</v>
      </c>
      <c r="B858" s="88">
        <f t="shared" si="140"/>
        <v>31</v>
      </c>
      <c r="C858" s="77">
        <f>194.205</f>
        <v>194.20500000000001</v>
      </c>
      <c r="D858" s="77">
        <f>267.466</f>
        <v>267.46600000000001</v>
      </c>
      <c r="E858" s="85">
        <f>133.845</f>
        <v>133.845</v>
      </c>
      <c r="F858" s="77">
        <f>278.484-40-25-60-100</f>
        <v>53.48399999999998</v>
      </c>
      <c r="G858" s="80">
        <v>40</v>
      </c>
      <c r="H858" s="77">
        <f t="shared" si="145"/>
        <v>185</v>
      </c>
      <c r="I858" s="77">
        <f t="shared" si="136"/>
        <v>0</v>
      </c>
      <c r="J858" s="80">
        <v>100</v>
      </c>
      <c r="K858" s="80">
        <v>300</v>
      </c>
      <c r="L858" s="77">
        <f t="shared" si="141"/>
        <v>1274</v>
      </c>
      <c r="M858" s="87">
        <v>600</v>
      </c>
      <c r="N858" s="77">
        <f>30</f>
        <v>30</v>
      </c>
      <c r="O858" s="80">
        <v>240</v>
      </c>
      <c r="P858" s="80">
        <v>40</v>
      </c>
      <c r="Q858" s="80">
        <f t="shared" si="142"/>
        <v>315</v>
      </c>
      <c r="R858" s="80">
        <f t="shared" si="143"/>
        <v>100</v>
      </c>
      <c r="S858" s="77">
        <f t="shared" si="144"/>
        <v>695</v>
      </c>
      <c r="T858" s="77">
        <f>0</f>
        <v>0</v>
      </c>
      <c r="U858" s="78"/>
      <c r="V858" s="78"/>
      <c r="W858" s="78"/>
      <c r="X858" s="78"/>
      <c r="Y858" s="78"/>
      <c r="Z858" s="78"/>
      <c r="AA858" s="78"/>
      <c r="AB858" s="78"/>
      <c r="AC858" s="78"/>
      <c r="AD858" s="78"/>
    </row>
    <row r="859" spans="1:30" ht="15.75" x14ac:dyDescent="0.25">
      <c r="A859" s="13">
        <v>67450</v>
      </c>
      <c r="B859" s="88">
        <f t="shared" si="140"/>
        <v>31</v>
      </c>
      <c r="C859" s="77">
        <f>194.205</f>
        <v>194.20500000000001</v>
      </c>
      <c r="D859" s="77">
        <f>267.466</f>
        <v>267.46600000000001</v>
      </c>
      <c r="E859" s="85">
        <f>133.845</f>
        <v>133.845</v>
      </c>
      <c r="F859" s="77">
        <f>278.484-40-25-60-100</f>
        <v>53.48399999999998</v>
      </c>
      <c r="G859" s="80">
        <v>40</v>
      </c>
      <c r="H859" s="77">
        <f t="shared" si="145"/>
        <v>185</v>
      </c>
      <c r="I859" s="77">
        <f t="shared" si="136"/>
        <v>0</v>
      </c>
      <c r="J859" s="80">
        <v>100</v>
      </c>
      <c r="K859" s="80">
        <v>300</v>
      </c>
      <c r="L859" s="77">
        <f t="shared" si="141"/>
        <v>1274</v>
      </c>
      <c r="M859" s="87">
        <v>600</v>
      </c>
      <c r="N859" s="77">
        <f>30</f>
        <v>30</v>
      </c>
      <c r="O859" s="80">
        <v>240</v>
      </c>
      <c r="P859" s="80">
        <v>40</v>
      </c>
      <c r="Q859" s="80">
        <f t="shared" si="142"/>
        <v>315</v>
      </c>
      <c r="R859" s="80">
        <f t="shared" si="143"/>
        <v>100</v>
      </c>
      <c r="S859" s="77">
        <f t="shared" si="144"/>
        <v>695</v>
      </c>
      <c r="T859" s="77">
        <f>0</f>
        <v>0</v>
      </c>
      <c r="U859" s="78"/>
      <c r="V859" s="78"/>
      <c r="W859" s="78"/>
      <c r="X859" s="78"/>
      <c r="Y859" s="78"/>
      <c r="Z859" s="78"/>
      <c r="AA859" s="78"/>
      <c r="AB859" s="78"/>
      <c r="AC859" s="78"/>
      <c r="AD859" s="78"/>
    </row>
    <row r="860" spans="1:30" ht="15.75" x14ac:dyDescent="0.25">
      <c r="A860" s="13">
        <v>67480</v>
      </c>
      <c r="B860" s="88">
        <f t="shared" si="140"/>
        <v>30</v>
      </c>
      <c r="C860" s="77">
        <f>194.205</f>
        <v>194.20500000000001</v>
      </c>
      <c r="D860" s="77">
        <f>267.466</f>
        <v>267.46600000000001</v>
      </c>
      <c r="E860" s="85">
        <f>133.845</f>
        <v>133.845</v>
      </c>
      <c r="F860" s="77">
        <f>278.484-40-25-60-100</f>
        <v>53.48399999999998</v>
      </c>
      <c r="G860" s="80">
        <v>40</v>
      </c>
      <c r="H860" s="77">
        <f t="shared" si="145"/>
        <v>185</v>
      </c>
      <c r="I860" s="77">
        <f t="shared" si="136"/>
        <v>0</v>
      </c>
      <c r="J860" s="80">
        <v>100</v>
      </c>
      <c r="K860" s="80">
        <v>300</v>
      </c>
      <c r="L860" s="77">
        <f t="shared" si="141"/>
        <v>1274</v>
      </c>
      <c r="M860" s="87">
        <v>600</v>
      </c>
      <c r="N860" s="77">
        <f>30</f>
        <v>30</v>
      </c>
      <c r="O860" s="80">
        <v>240</v>
      </c>
      <c r="P860" s="80">
        <v>40</v>
      </c>
      <c r="Q860" s="80">
        <f t="shared" si="142"/>
        <v>315</v>
      </c>
      <c r="R860" s="80">
        <f t="shared" si="143"/>
        <v>100</v>
      </c>
      <c r="S860" s="77">
        <f t="shared" si="144"/>
        <v>695</v>
      </c>
      <c r="T860" s="77">
        <f>0</f>
        <v>0</v>
      </c>
      <c r="U860" s="78"/>
      <c r="V860" s="78"/>
      <c r="W860" s="78"/>
      <c r="X860" s="78"/>
      <c r="Y860" s="78"/>
      <c r="Z860" s="78"/>
      <c r="AA860" s="78"/>
      <c r="AB860" s="78"/>
      <c r="AC860" s="78"/>
      <c r="AD860" s="78"/>
    </row>
    <row r="861" spans="1:30" ht="15.75" x14ac:dyDescent="0.25">
      <c r="A861" s="13">
        <v>67511</v>
      </c>
      <c r="B861" s="88">
        <f t="shared" si="140"/>
        <v>31</v>
      </c>
      <c r="C861" s="77">
        <f>131.881</f>
        <v>131.881</v>
      </c>
      <c r="D861" s="77">
        <f>277.167</f>
        <v>277.16699999999997</v>
      </c>
      <c r="E861" s="85">
        <f>79.08</f>
        <v>79.08</v>
      </c>
      <c r="F861" s="77">
        <f>350.872-40-25-60-100</f>
        <v>125.87200000000001</v>
      </c>
      <c r="G861" s="80">
        <v>40</v>
      </c>
      <c r="H861" s="77">
        <f t="shared" si="145"/>
        <v>185</v>
      </c>
      <c r="I861" s="77">
        <f t="shared" si="136"/>
        <v>0</v>
      </c>
      <c r="J861" s="80">
        <v>100</v>
      </c>
      <c r="K861" s="80">
        <v>300</v>
      </c>
      <c r="L861" s="77">
        <f t="shared" si="141"/>
        <v>1239</v>
      </c>
      <c r="M861" s="87">
        <v>600</v>
      </c>
      <c r="N861" s="77">
        <f>75</f>
        <v>75</v>
      </c>
      <c r="O861" s="80">
        <v>240</v>
      </c>
      <c r="P861" s="80">
        <v>40</v>
      </c>
      <c r="Q861" s="80">
        <f t="shared" si="142"/>
        <v>315</v>
      </c>
      <c r="R861" s="80">
        <f t="shared" si="143"/>
        <v>100</v>
      </c>
      <c r="S861" s="77">
        <f t="shared" si="144"/>
        <v>695</v>
      </c>
      <c r="T861" s="77">
        <f>0</f>
        <v>0</v>
      </c>
      <c r="U861" s="78"/>
      <c r="V861" s="78"/>
      <c r="W861" s="78"/>
      <c r="X861" s="78"/>
      <c r="Y861" s="78"/>
      <c r="Z861" s="78"/>
      <c r="AA861" s="78"/>
      <c r="AB861" s="78"/>
      <c r="AC861" s="78"/>
      <c r="AD861" s="78"/>
    </row>
    <row r="862" spans="1:30" ht="15.75" x14ac:dyDescent="0.25">
      <c r="A862" s="13">
        <v>67541</v>
      </c>
      <c r="B862" s="88">
        <f t="shared" si="140"/>
        <v>30</v>
      </c>
      <c r="C862" s="77">
        <f>122.58</f>
        <v>122.58</v>
      </c>
      <c r="D862" s="77">
        <f>297.941</f>
        <v>297.94099999999997</v>
      </c>
      <c r="E862" s="85">
        <f>89.177</f>
        <v>89.177000000000007</v>
      </c>
      <c r="F862" s="77">
        <f>240.302-40-60-100</f>
        <v>40.301999999999992</v>
      </c>
      <c r="G862" s="80">
        <v>40</v>
      </c>
      <c r="H862" s="77">
        <f>60+100</f>
        <v>160</v>
      </c>
      <c r="I862" s="77">
        <f t="shared" si="136"/>
        <v>0</v>
      </c>
      <c r="J862" s="80">
        <v>100</v>
      </c>
      <c r="K862" s="80">
        <v>300</v>
      </c>
      <c r="L862" s="77">
        <f t="shared" si="141"/>
        <v>1150</v>
      </c>
      <c r="M862" s="87">
        <v>600</v>
      </c>
      <c r="N862" s="77">
        <f>100</f>
        <v>100</v>
      </c>
      <c r="O862" s="80">
        <v>240</v>
      </c>
      <c r="P862" s="80">
        <v>40</v>
      </c>
      <c r="Q862" s="80">
        <f t="shared" si="142"/>
        <v>315</v>
      </c>
      <c r="R862" s="80">
        <f t="shared" si="143"/>
        <v>100</v>
      </c>
      <c r="S862" s="77">
        <f t="shared" si="144"/>
        <v>695</v>
      </c>
      <c r="T862" s="77">
        <f>50</f>
        <v>50</v>
      </c>
      <c r="U862" s="78"/>
      <c r="V862" s="78"/>
      <c r="W862" s="78"/>
      <c r="X862" s="78"/>
      <c r="Y862" s="78"/>
      <c r="Z862" s="78"/>
      <c r="AA862" s="78"/>
      <c r="AB862" s="78"/>
      <c r="AC862" s="78"/>
      <c r="AD862" s="78"/>
    </row>
    <row r="863" spans="1:30" ht="15.75" x14ac:dyDescent="0.25">
      <c r="A863" s="13">
        <v>67572</v>
      </c>
      <c r="B863" s="88">
        <f t="shared" si="140"/>
        <v>31</v>
      </c>
      <c r="C863" s="77">
        <f>122.58</f>
        <v>122.58</v>
      </c>
      <c r="D863" s="77">
        <f>297.941</f>
        <v>297.94099999999997</v>
      </c>
      <c r="E863" s="85">
        <f>89.177</f>
        <v>89.177000000000007</v>
      </c>
      <c r="F863" s="77">
        <f>240.302-40-60-100</f>
        <v>40.301999999999992</v>
      </c>
      <c r="G863" s="80">
        <v>40</v>
      </c>
      <c r="H863" s="77">
        <f>60+100</f>
        <v>160</v>
      </c>
      <c r="I863" s="77">
        <f t="shared" si="136"/>
        <v>0</v>
      </c>
      <c r="J863" s="80">
        <v>100</v>
      </c>
      <c r="K863" s="80">
        <v>300</v>
      </c>
      <c r="L863" s="77">
        <f t="shared" si="141"/>
        <v>1150</v>
      </c>
      <c r="M863" s="87">
        <v>600</v>
      </c>
      <c r="N863" s="77">
        <f>100</f>
        <v>100</v>
      </c>
      <c r="O863" s="80">
        <v>240</v>
      </c>
      <c r="P863" s="80">
        <v>40</v>
      </c>
      <c r="Q863" s="80">
        <f t="shared" si="142"/>
        <v>315</v>
      </c>
      <c r="R863" s="80">
        <f t="shared" si="143"/>
        <v>100</v>
      </c>
      <c r="S863" s="77">
        <f t="shared" si="144"/>
        <v>695</v>
      </c>
      <c r="T863" s="77">
        <f>50</f>
        <v>50</v>
      </c>
      <c r="U863" s="78"/>
      <c r="V863" s="78"/>
      <c r="W863" s="78"/>
      <c r="X863" s="78"/>
      <c r="Y863" s="78"/>
      <c r="Z863" s="78"/>
      <c r="AA863" s="78"/>
      <c r="AB863" s="78"/>
      <c r="AC863" s="78"/>
      <c r="AD863" s="78"/>
    </row>
    <row r="864" spans="1:30" ht="15.75" x14ac:dyDescent="0.25">
      <c r="A864" s="13">
        <v>67603</v>
      </c>
      <c r="B864" s="88">
        <f t="shared" si="140"/>
        <v>31</v>
      </c>
      <c r="C864" s="77">
        <f>122.58</f>
        <v>122.58</v>
      </c>
      <c r="D864" s="77">
        <f>297.941</f>
        <v>297.94099999999997</v>
      </c>
      <c r="E864" s="85">
        <f>89.177</f>
        <v>89.177000000000007</v>
      </c>
      <c r="F864" s="77">
        <f>240.302-40-60-100</f>
        <v>40.301999999999992</v>
      </c>
      <c r="G864" s="80">
        <v>40</v>
      </c>
      <c r="H864" s="77">
        <f>60+100</f>
        <v>160</v>
      </c>
      <c r="I864" s="77">
        <f t="shared" si="136"/>
        <v>0</v>
      </c>
      <c r="J864" s="80">
        <v>100</v>
      </c>
      <c r="K864" s="80">
        <v>300</v>
      </c>
      <c r="L864" s="77">
        <f t="shared" si="141"/>
        <v>1150</v>
      </c>
      <c r="M864" s="87">
        <v>600</v>
      </c>
      <c r="N864" s="77">
        <f>100</f>
        <v>100</v>
      </c>
      <c r="O864" s="80">
        <v>240</v>
      </c>
      <c r="P864" s="80">
        <v>40</v>
      </c>
      <c r="Q864" s="80">
        <f t="shared" si="142"/>
        <v>315</v>
      </c>
      <c r="R864" s="80">
        <f t="shared" si="143"/>
        <v>100</v>
      </c>
      <c r="S864" s="77">
        <f t="shared" si="144"/>
        <v>695</v>
      </c>
      <c r="T864" s="77">
        <f>50</f>
        <v>50</v>
      </c>
      <c r="U864" s="78"/>
      <c r="V864" s="78"/>
      <c r="W864" s="78"/>
      <c r="X864" s="78"/>
      <c r="Y864" s="78"/>
      <c r="Z864" s="78"/>
      <c r="AA864" s="78"/>
      <c r="AB864" s="78"/>
      <c r="AC864" s="78"/>
      <c r="AD864" s="78"/>
    </row>
    <row r="865" spans="1:30" ht="15.75" x14ac:dyDescent="0.25">
      <c r="A865" s="13">
        <v>67631</v>
      </c>
      <c r="B865" s="88">
        <f t="shared" si="140"/>
        <v>28</v>
      </c>
      <c r="C865" s="77">
        <f>122.58</f>
        <v>122.58</v>
      </c>
      <c r="D865" s="77">
        <f>297.941</f>
        <v>297.94099999999997</v>
      </c>
      <c r="E865" s="85">
        <f>89.177</f>
        <v>89.177000000000007</v>
      </c>
      <c r="F865" s="77">
        <f>240.302-40-60-100</f>
        <v>40.301999999999992</v>
      </c>
      <c r="G865" s="80">
        <v>40</v>
      </c>
      <c r="H865" s="77">
        <f>60+100</f>
        <v>160</v>
      </c>
      <c r="I865" s="77">
        <f t="shared" si="136"/>
        <v>0</v>
      </c>
      <c r="J865" s="80">
        <v>100</v>
      </c>
      <c r="K865" s="80">
        <v>300</v>
      </c>
      <c r="L865" s="77">
        <f t="shared" si="141"/>
        <v>1150</v>
      </c>
      <c r="M865" s="87">
        <v>600</v>
      </c>
      <c r="N865" s="77">
        <f>100</f>
        <v>100</v>
      </c>
      <c r="O865" s="80">
        <v>240</v>
      </c>
      <c r="P865" s="80">
        <v>40</v>
      </c>
      <c r="Q865" s="80">
        <f t="shared" si="142"/>
        <v>315</v>
      </c>
      <c r="R865" s="80">
        <f t="shared" si="143"/>
        <v>100</v>
      </c>
      <c r="S865" s="77">
        <f t="shared" si="144"/>
        <v>695</v>
      </c>
      <c r="T865" s="77">
        <f>50</f>
        <v>50</v>
      </c>
      <c r="U865" s="78"/>
      <c r="V865" s="78"/>
      <c r="W865" s="78"/>
      <c r="X865" s="78"/>
      <c r="Y865" s="78"/>
      <c r="Z865" s="78"/>
      <c r="AA865" s="78"/>
      <c r="AB865" s="78"/>
      <c r="AC865" s="78"/>
      <c r="AD865" s="78"/>
    </row>
    <row r="866" spans="1:30" ht="15.75" x14ac:dyDescent="0.25">
      <c r="A866" s="13">
        <v>67662</v>
      </c>
      <c r="B866" s="88">
        <f t="shared" si="140"/>
        <v>31</v>
      </c>
      <c r="C866" s="77">
        <f>122.58</f>
        <v>122.58</v>
      </c>
      <c r="D866" s="77">
        <f>297.941</f>
        <v>297.94099999999997</v>
      </c>
      <c r="E866" s="85">
        <f>89.177</f>
        <v>89.177000000000007</v>
      </c>
      <c r="F866" s="77">
        <f>240.302-40-60-100</f>
        <v>40.301999999999992</v>
      </c>
      <c r="G866" s="80">
        <v>40</v>
      </c>
      <c r="H866" s="77">
        <f>60+100</f>
        <v>160</v>
      </c>
      <c r="I866" s="77">
        <f t="shared" si="136"/>
        <v>0</v>
      </c>
      <c r="J866" s="80">
        <v>100</v>
      </c>
      <c r="K866" s="80">
        <v>300</v>
      </c>
      <c r="L866" s="77">
        <f t="shared" si="141"/>
        <v>1150</v>
      </c>
      <c r="M866" s="87">
        <v>600</v>
      </c>
      <c r="N866" s="77">
        <f>100</f>
        <v>100</v>
      </c>
      <c r="O866" s="80">
        <v>240</v>
      </c>
      <c r="P866" s="80">
        <v>40</v>
      </c>
      <c r="Q866" s="80">
        <f t="shared" si="142"/>
        <v>315</v>
      </c>
      <c r="R866" s="80">
        <f t="shared" si="143"/>
        <v>100</v>
      </c>
      <c r="S866" s="77">
        <f t="shared" si="144"/>
        <v>695</v>
      </c>
      <c r="T866" s="77">
        <f>50</f>
        <v>50</v>
      </c>
      <c r="U866" s="78"/>
      <c r="V866" s="78"/>
      <c r="W866" s="78"/>
      <c r="X866" s="78"/>
      <c r="Y866" s="78"/>
      <c r="Z866" s="78"/>
      <c r="AA866" s="78"/>
      <c r="AB866" s="78"/>
      <c r="AC866" s="78"/>
      <c r="AD866" s="78"/>
    </row>
    <row r="867" spans="1:30" ht="15.75" x14ac:dyDescent="0.25">
      <c r="A867" s="13">
        <v>67692</v>
      </c>
      <c r="B867" s="88">
        <f t="shared" si="140"/>
        <v>30</v>
      </c>
      <c r="C867" s="77">
        <f>141.293</f>
        <v>141.29300000000001</v>
      </c>
      <c r="D867" s="77">
        <f>267.993</f>
        <v>267.99299999999999</v>
      </c>
      <c r="E867" s="85">
        <f>115.016</f>
        <v>115.01600000000001</v>
      </c>
      <c r="F867" s="77">
        <f>314.698-40-25-60-100</f>
        <v>89.697999999999979</v>
      </c>
      <c r="G867" s="80">
        <v>40</v>
      </c>
      <c r="H867" s="77">
        <f t="shared" ref="H867:H873" si="146">25+60+100</f>
        <v>185</v>
      </c>
      <c r="I867" s="77">
        <f t="shared" si="136"/>
        <v>0</v>
      </c>
      <c r="J867" s="80">
        <v>100</v>
      </c>
      <c r="K867" s="80">
        <v>300</v>
      </c>
      <c r="L867" s="77">
        <f t="shared" si="141"/>
        <v>1239</v>
      </c>
      <c r="M867" s="87">
        <v>600</v>
      </c>
      <c r="N867" s="77">
        <f>100</f>
        <v>100</v>
      </c>
      <c r="O867" s="80">
        <v>240</v>
      </c>
      <c r="P867" s="80">
        <v>40</v>
      </c>
      <c r="Q867" s="80">
        <f t="shared" si="142"/>
        <v>315</v>
      </c>
      <c r="R867" s="80">
        <f t="shared" si="143"/>
        <v>100</v>
      </c>
      <c r="S867" s="77">
        <f t="shared" si="144"/>
        <v>695</v>
      </c>
      <c r="T867" s="77">
        <f>50</f>
        <v>50</v>
      </c>
      <c r="U867" s="78"/>
      <c r="V867" s="78"/>
      <c r="W867" s="78"/>
      <c r="X867" s="78"/>
      <c r="Y867" s="78"/>
      <c r="Z867" s="78"/>
      <c r="AA867" s="78"/>
      <c r="AB867" s="78"/>
      <c r="AC867" s="78"/>
      <c r="AD867" s="78"/>
    </row>
    <row r="868" spans="1:30" ht="15.75" x14ac:dyDescent="0.25">
      <c r="A868" s="13">
        <v>67723</v>
      </c>
      <c r="B868" s="88">
        <f t="shared" si="140"/>
        <v>31</v>
      </c>
      <c r="C868" s="77">
        <f>194.205</f>
        <v>194.20500000000001</v>
      </c>
      <c r="D868" s="77">
        <f>267.466</f>
        <v>267.46600000000001</v>
      </c>
      <c r="E868" s="85">
        <f>133.845</f>
        <v>133.845</v>
      </c>
      <c r="F868" s="77">
        <f>278.484-40-25-60-100</f>
        <v>53.48399999999998</v>
      </c>
      <c r="G868" s="80">
        <v>40</v>
      </c>
      <c r="H868" s="77">
        <f t="shared" si="146"/>
        <v>185</v>
      </c>
      <c r="I868" s="77">
        <f t="shared" si="136"/>
        <v>0</v>
      </c>
      <c r="J868" s="80">
        <v>100</v>
      </c>
      <c r="K868" s="80">
        <v>300</v>
      </c>
      <c r="L868" s="77">
        <f t="shared" si="141"/>
        <v>1274</v>
      </c>
      <c r="M868" s="87">
        <v>600</v>
      </c>
      <c r="N868" s="77">
        <f>75</f>
        <v>75</v>
      </c>
      <c r="O868" s="80">
        <v>240</v>
      </c>
      <c r="P868" s="80">
        <v>40</v>
      </c>
      <c r="Q868" s="80">
        <f t="shared" si="142"/>
        <v>315</v>
      </c>
      <c r="R868" s="80">
        <f t="shared" si="143"/>
        <v>100</v>
      </c>
      <c r="S868" s="77">
        <f t="shared" si="144"/>
        <v>695</v>
      </c>
      <c r="T868" s="77">
        <f>50</f>
        <v>50</v>
      </c>
      <c r="U868" s="78"/>
      <c r="V868" s="78"/>
      <c r="W868" s="78"/>
      <c r="X868" s="78"/>
      <c r="Y868" s="78"/>
      <c r="Z868" s="78"/>
      <c r="AA868" s="78"/>
      <c r="AB868" s="78"/>
      <c r="AC868" s="78"/>
      <c r="AD868" s="78"/>
    </row>
    <row r="869" spans="1:30" ht="15.75" x14ac:dyDescent="0.25">
      <c r="A869" s="13">
        <v>67753</v>
      </c>
      <c r="B869" s="88">
        <f t="shared" si="140"/>
        <v>30</v>
      </c>
      <c r="C869" s="77">
        <f>194.205</f>
        <v>194.20500000000001</v>
      </c>
      <c r="D869" s="77">
        <f>267.466</f>
        <v>267.46600000000001</v>
      </c>
      <c r="E869" s="85">
        <f>133.845</f>
        <v>133.845</v>
      </c>
      <c r="F869" s="77">
        <f>278.484-40-25-60-100</f>
        <v>53.48399999999998</v>
      </c>
      <c r="G869" s="80">
        <v>40</v>
      </c>
      <c r="H869" s="77">
        <f t="shared" si="146"/>
        <v>185</v>
      </c>
      <c r="I869" s="77">
        <f t="shared" si="136"/>
        <v>0</v>
      </c>
      <c r="J869" s="80">
        <v>100</v>
      </c>
      <c r="K869" s="80">
        <v>300</v>
      </c>
      <c r="L869" s="77">
        <f t="shared" si="141"/>
        <v>1274</v>
      </c>
      <c r="M869" s="87">
        <v>600</v>
      </c>
      <c r="N869" s="77">
        <f>30</f>
        <v>30</v>
      </c>
      <c r="O869" s="80">
        <v>240</v>
      </c>
      <c r="P869" s="80">
        <v>40</v>
      </c>
      <c r="Q869" s="80">
        <f t="shared" si="142"/>
        <v>315</v>
      </c>
      <c r="R869" s="80">
        <f t="shared" si="143"/>
        <v>100</v>
      </c>
      <c r="S869" s="77">
        <f t="shared" si="144"/>
        <v>695</v>
      </c>
      <c r="T869" s="77">
        <f>50</f>
        <v>50</v>
      </c>
      <c r="U869" s="78"/>
      <c r="V869" s="78"/>
      <c r="W869" s="78"/>
      <c r="X869" s="78"/>
      <c r="Y869" s="78"/>
      <c r="Z869" s="78"/>
      <c r="AA869" s="78"/>
      <c r="AB869" s="78"/>
      <c r="AC869" s="78"/>
      <c r="AD869" s="78"/>
    </row>
    <row r="870" spans="1:30" ht="15.75" x14ac:dyDescent="0.25">
      <c r="A870" s="13">
        <v>67784</v>
      </c>
      <c r="B870" s="88">
        <f t="shared" si="140"/>
        <v>31</v>
      </c>
      <c r="C870" s="77">
        <f>194.205</f>
        <v>194.20500000000001</v>
      </c>
      <c r="D870" s="77">
        <f>267.466</f>
        <v>267.46600000000001</v>
      </c>
      <c r="E870" s="85">
        <f>133.845</f>
        <v>133.845</v>
      </c>
      <c r="F870" s="77">
        <f>278.484-40-25-60-100</f>
        <v>53.48399999999998</v>
      </c>
      <c r="G870" s="80">
        <v>40</v>
      </c>
      <c r="H870" s="77">
        <f t="shared" si="146"/>
        <v>185</v>
      </c>
      <c r="I870" s="77">
        <f t="shared" si="136"/>
        <v>0</v>
      </c>
      <c r="J870" s="80">
        <v>100</v>
      </c>
      <c r="K870" s="80">
        <v>300</v>
      </c>
      <c r="L870" s="77">
        <f t="shared" si="141"/>
        <v>1274</v>
      </c>
      <c r="M870" s="87">
        <v>600</v>
      </c>
      <c r="N870" s="77">
        <f>30</f>
        <v>30</v>
      </c>
      <c r="O870" s="80">
        <v>240</v>
      </c>
      <c r="P870" s="80">
        <v>40</v>
      </c>
      <c r="Q870" s="80">
        <f t="shared" si="142"/>
        <v>315</v>
      </c>
      <c r="R870" s="80">
        <f t="shared" si="143"/>
        <v>100</v>
      </c>
      <c r="S870" s="77">
        <f t="shared" si="144"/>
        <v>695</v>
      </c>
      <c r="T870" s="77">
        <f>0</f>
        <v>0</v>
      </c>
      <c r="U870" s="78"/>
      <c r="V870" s="78"/>
      <c r="W870" s="78"/>
      <c r="X870" s="78"/>
      <c r="Y870" s="78"/>
      <c r="Z870" s="78"/>
      <c r="AA870" s="78"/>
      <c r="AB870" s="78"/>
      <c r="AC870" s="78"/>
      <c r="AD870" s="78"/>
    </row>
    <row r="871" spans="1:30" ht="15.75" x14ac:dyDescent="0.25">
      <c r="A871" s="13">
        <v>67815</v>
      </c>
      <c r="B871" s="88">
        <f t="shared" si="140"/>
        <v>31</v>
      </c>
      <c r="C871" s="77">
        <f>194.205</f>
        <v>194.20500000000001</v>
      </c>
      <c r="D871" s="77">
        <f>267.466</f>
        <v>267.46600000000001</v>
      </c>
      <c r="E871" s="85">
        <f>133.845</f>
        <v>133.845</v>
      </c>
      <c r="F871" s="77">
        <f>278.484-40-25-60-100</f>
        <v>53.48399999999998</v>
      </c>
      <c r="G871" s="80">
        <v>40</v>
      </c>
      <c r="H871" s="77">
        <f t="shared" si="146"/>
        <v>185</v>
      </c>
      <c r="I871" s="77">
        <f t="shared" si="136"/>
        <v>0</v>
      </c>
      <c r="J871" s="80">
        <v>100</v>
      </c>
      <c r="K871" s="80">
        <v>300</v>
      </c>
      <c r="L871" s="77">
        <f t="shared" si="141"/>
        <v>1274</v>
      </c>
      <c r="M871" s="87">
        <v>600</v>
      </c>
      <c r="N871" s="77">
        <f>30</f>
        <v>30</v>
      </c>
      <c r="O871" s="80">
        <v>240</v>
      </c>
      <c r="P871" s="80">
        <v>40</v>
      </c>
      <c r="Q871" s="80">
        <f t="shared" si="142"/>
        <v>315</v>
      </c>
      <c r="R871" s="80">
        <f t="shared" si="143"/>
        <v>100</v>
      </c>
      <c r="S871" s="77">
        <f t="shared" si="144"/>
        <v>695</v>
      </c>
      <c r="T871" s="77">
        <f>0</f>
        <v>0</v>
      </c>
      <c r="U871" s="78"/>
      <c r="V871" s="78"/>
      <c r="W871" s="78"/>
      <c r="X871" s="78"/>
      <c r="Y871" s="78"/>
      <c r="Z871" s="78"/>
      <c r="AA871" s="78"/>
      <c r="AB871" s="78"/>
      <c r="AC871" s="78"/>
      <c r="AD871" s="78"/>
    </row>
    <row r="872" spans="1:30" ht="15.75" x14ac:dyDescent="0.25">
      <c r="A872" s="13">
        <v>67845</v>
      </c>
      <c r="B872" s="88">
        <f t="shared" si="140"/>
        <v>30</v>
      </c>
      <c r="C872" s="77">
        <f>194.205</f>
        <v>194.20500000000001</v>
      </c>
      <c r="D872" s="77">
        <f>267.466</f>
        <v>267.46600000000001</v>
      </c>
      <c r="E872" s="85">
        <f>133.845</f>
        <v>133.845</v>
      </c>
      <c r="F872" s="77">
        <f>278.484-40-25-60-100</f>
        <v>53.48399999999998</v>
      </c>
      <c r="G872" s="80">
        <v>40</v>
      </c>
      <c r="H872" s="77">
        <f t="shared" si="146"/>
        <v>185</v>
      </c>
      <c r="I872" s="77">
        <f t="shared" ref="I872:I935" si="147">400-J872-K872</f>
        <v>0</v>
      </c>
      <c r="J872" s="80">
        <v>100</v>
      </c>
      <c r="K872" s="80">
        <v>300</v>
      </c>
      <c r="L872" s="77">
        <f t="shared" si="141"/>
        <v>1274</v>
      </c>
      <c r="M872" s="87">
        <v>600</v>
      </c>
      <c r="N872" s="77">
        <f>30</f>
        <v>30</v>
      </c>
      <c r="O872" s="80">
        <v>240</v>
      </c>
      <c r="P872" s="80">
        <v>40</v>
      </c>
      <c r="Q872" s="80">
        <f t="shared" si="142"/>
        <v>315</v>
      </c>
      <c r="R872" s="80">
        <f t="shared" si="143"/>
        <v>100</v>
      </c>
      <c r="S872" s="77">
        <f t="shared" si="144"/>
        <v>695</v>
      </c>
      <c r="T872" s="77">
        <f>0</f>
        <v>0</v>
      </c>
      <c r="U872" s="78"/>
      <c r="V872" s="78"/>
      <c r="W872" s="78"/>
      <c r="X872" s="78"/>
      <c r="Y872" s="78"/>
      <c r="Z872" s="78"/>
      <c r="AA872" s="78"/>
      <c r="AB872" s="78"/>
      <c r="AC872" s="78"/>
      <c r="AD872" s="78"/>
    </row>
    <row r="873" spans="1:30" ht="15.75" x14ac:dyDescent="0.25">
      <c r="A873" s="13">
        <v>67876</v>
      </c>
      <c r="B873" s="88">
        <f t="shared" si="140"/>
        <v>31</v>
      </c>
      <c r="C873" s="77">
        <f>131.881</f>
        <v>131.881</v>
      </c>
      <c r="D873" s="77">
        <f>277.167</f>
        <v>277.16699999999997</v>
      </c>
      <c r="E873" s="85">
        <f>79.08</f>
        <v>79.08</v>
      </c>
      <c r="F873" s="77">
        <f>350.872-40-25-60-100</f>
        <v>125.87200000000001</v>
      </c>
      <c r="G873" s="80">
        <v>40</v>
      </c>
      <c r="H873" s="77">
        <f t="shared" si="146"/>
        <v>185</v>
      </c>
      <c r="I873" s="77">
        <f t="shared" si="147"/>
        <v>0</v>
      </c>
      <c r="J873" s="80">
        <v>100</v>
      </c>
      <c r="K873" s="80">
        <v>300</v>
      </c>
      <c r="L873" s="77">
        <f t="shared" si="141"/>
        <v>1239</v>
      </c>
      <c r="M873" s="87">
        <v>600</v>
      </c>
      <c r="N873" s="77">
        <f>75</f>
        <v>75</v>
      </c>
      <c r="O873" s="80">
        <v>240</v>
      </c>
      <c r="P873" s="80">
        <v>40</v>
      </c>
      <c r="Q873" s="80">
        <f t="shared" si="142"/>
        <v>315</v>
      </c>
      <c r="R873" s="80">
        <f t="shared" si="143"/>
        <v>100</v>
      </c>
      <c r="S873" s="77">
        <f t="shared" si="144"/>
        <v>695</v>
      </c>
      <c r="T873" s="77">
        <f>0</f>
        <v>0</v>
      </c>
      <c r="U873" s="78"/>
      <c r="V873" s="78"/>
      <c r="W873" s="78"/>
      <c r="X873" s="78"/>
      <c r="Y873" s="78"/>
      <c r="Z873" s="78"/>
      <c r="AA873" s="78"/>
      <c r="AB873" s="78"/>
      <c r="AC873" s="78"/>
      <c r="AD873" s="78"/>
    </row>
    <row r="874" spans="1:30" ht="15.75" x14ac:dyDescent="0.25">
      <c r="A874" s="13">
        <v>67906</v>
      </c>
      <c r="B874" s="88">
        <f t="shared" si="140"/>
        <v>30</v>
      </c>
      <c r="C874" s="77">
        <f>122.58</f>
        <v>122.58</v>
      </c>
      <c r="D874" s="77">
        <f>297.941</f>
        <v>297.94099999999997</v>
      </c>
      <c r="E874" s="85">
        <f>89.177</f>
        <v>89.177000000000007</v>
      </c>
      <c r="F874" s="77">
        <f>240.302-40-60-100</f>
        <v>40.301999999999992</v>
      </c>
      <c r="G874" s="80">
        <v>40</v>
      </c>
      <c r="H874" s="77">
        <f>60+100</f>
        <v>160</v>
      </c>
      <c r="I874" s="77">
        <f t="shared" si="147"/>
        <v>0</v>
      </c>
      <c r="J874" s="80">
        <v>100</v>
      </c>
      <c r="K874" s="80">
        <v>300</v>
      </c>
      <c r="L874" s="77">
        <f t="shared" si="141"/>
        <v>1150</v>
      </c>
      <c r="M874" s="87">
        <v>600</v>
      </c>
      <c r="N874" s="77">
        <f>100</f>
        <v>100</v>
      </c>
      <c r="O874" s="80">
        <v>240</v>
      </c>
      <c r="P874" s="80">
        <v>40</v>
      </c>
      <c r="Q874" s="80">
        <f t="shared" si="142"/>
        <v>315</v>
      </c>
      <c r="R874" s="80">
        <f t="shared" si="143"/>
        <v>100</v>
      </c>
      <c r="S874" s="77">
        <f t="shared" si="144"/>
        <v>695</v>
      </c>
      <c r="T874" s="77">
        <f>50</f>
        <v>50</v>
      </c>
      <c r="U874" s="78"/>
      <c r="V874" s="78"/>
      <c r="W874" s="78"/>
      <c r="X874" s="78"/>
      <c r="Y874" s="78"/>
      <c r="Z874" s="78"/>
      <c r="AA874" s="78"/>
      <c r="AB874" s="78"/>
      <c r="AC874" s="78"/>
      <c r="AD874" s="78"/>
    </row>
    <row r="875" spans="1:30" ht="15.75" x14ac:dyDescent="0.25">
      <c r="A875" s="13">
        <v>67937</v>
      </c>
      <c r="B875" s="88">
        <f t="shared" si="140"/>
        <v>31</v>
      </c>
      <c r="C875" s="77">
        <f>122.58</f>
        <v>122.58</v>
      </c>
      <c r="D875" s="77">
        <f>297.941</f>
        <v>297.94099999999997</v>
      </c>
      <c r="E875" s="85">
        <f>89.177</f>
        <v>89.177000000000007</v>
      </c>
      <c r="F875" s="77">
        <f>240.302-40-60-100</f>
        <v>40.301999999999992</v>
      </c>
      <c r="G875" s="80">
        <v>40</v>
      </c>
      <c r="H875" s="77">
        <f>60+100</f>
        <v>160</v>
      </c>
      <c r="I875" s="77">
        <f t="shared" si="147"/>
        <v>0</v>
      </c>
      <c r="J875" s="80">
        <v>100</v>
      </c>
      <c r="K875" s="80">
        <v>300</v>
      </c>
      <c r="L875" s="77">
        <f t="shared" si="141"/>
        <v>1150</v>
      </c>
      <c r="M875" s="87">
        <v>600</v>
      </c>
      <c r="N875" s="77">
        <f>100</f>
        <v>100</v>
      </c>
      <c r="O875" s="80">
        <v>240</v>
      </c>
      <c r="P875" s="80">
        <v>40</v>
      </c>
      <c r="Q875" s="80">
        <f t="shared" si="142"/>
        <v>315</v>
      </c>
      <c r="R875" s="80">
        <f t="shared" si="143"/>
        <v>100</v>
      </c>
      <c r="S875" s="77">
        <f t="shared" si="144"/>
        <v>695</v>
      </c>
      <c r="T875" s="77">
        <f>50</f>
        <v>50</v>
      </c>
      <c r="U875" s="78"/>
      <c r="V875" s="78"/>
      <c r="W875" s="78"/>
      <c r="X875" s="78"/>
      <c r="Y875" s="78"/>
      <c r="Z875" s="78"/>
      <c r="AA875" s="78"/>
      <c r="AB875" s="78"/>
      <c r="AC875" s="78"/>
      <c r="AD875" s="78"/>
    </row>
    <row r="876" spans="1:30" ht="15.75" x14ac:dyDescent="0.25">
      <c r="A876" s="13">
        <v>67968</v>
      </c>
      <c r="B876" s="88">
        <f t="shared" si="140"/>
        <v>31</v>
      </c>
      <c r="C876" s="77">
        <f>122.58</f>
        <v>122.58</v>
      </c>
      <c r="D876" s="77">
        <f>297.941</f>
        <v>297.94099999999997</v>
      </c>
      <c r="E876" s="85">
        <f>89.177</f>
        <v>89.177000000000007</v>
      </c>
      <c r="F876" s="77">
        <f>240.302-40-60-100</f>
        <v>40.301999999999992</v>
      </c>
      <c r="G876" s="80">
        <v>40</v>
      </c>
      <c r="H876" s="77">
        <f>60+100</f>
        <v>160</v>
      </c>
      <c r="I876" s="77">
        <f t="shared" si="147"/>
        <v>0</v>
      </c>
      <c r="J876" s="80">
        <v>100</v>
      </c>
      <c r="K876" s="80">
        <v>300</v>
      </c>
      <c r="L876" s="77">
        <f t="shared" si="141"/>
        <v>1150</v>
      </c>
      <c r="M876" s="87">
        <v>600</v>
      </c>
      <c r="N876" s="77">
        <f>100</f>
        <v>100</v>
      </c>
      <c r="O876" s="80">
        <v>240</v>
      </c>
      <c r="P876" s="80">
        <v>40</v>
      </c>
      <c r="Q876" s="80">
        <f t="shared" si="142"/>
        <v>315</v>
      </c>
      <c r="R876" s="80">
        <f t="shared" si="143"/>
        <v>100</v>
      </c>
      <c r="S876" s="77">
        <f t="shared" si="144"/>
        <v>695</v>
      </c>
      <c r="T876" s="77">
        <f>50</f>
        <v>50</v>
      </c>
      <c r="U876" s="78"/>
      <c r="V876" s="78"/>
      <c r="W876" s="78"/>
      <c r="X876" s="78"/>
      <c r="Y876" s="78"/>
      <c r="Z876" s="78"/>
      <c r="AA876" s="78"/>
      <c r="AB876" s="78"/>
      <c r="AC876" s="78"/>
      <c r="AD876" s="78"/>
    </row>
    <row r="877" spans="1:30" ht="15.75" x14ac:dyDescent="0.25">
      <c r="A877" s="13">
        <v>67996</v>
      </c>
      <c r="B877" s="88">
        <f t="shared" si="140"/>
        <v>28</v>
      </c>
      <c r="C877" s="77">
        <f>122.58</f>
        <v>122.58</v>
      </c>
      <c r="D877" s="77">
        <f>297.941</f>
        <v>297.94099999999997</v>
      </c>
      <c r="E877" s="85">
        <f>89.177</f>
        <v>89.177000000000007</v>
      </c>
      <c r="F877" s="77">
        <f>240.302-40-60-100</f>
        <v>40.301999999999992</v>
      </c>
      <c r="G877" s="80">
        <v>40</v>
      </c>
      <c r="H877" s="77">
        <f>60+100</f>
        <v>160</v>
      </c>
      <c r="I877" s="77">
        <f t="shared" si="147"/>
        <v>0</v>
      </c>
      <c r="J877" s="80">
        <v>100</v>
      </c>
      <c r="K877" s="80">
        <v>300</v>
      </c>
      <c r="L877" s="77">
        <f t="shared" si="141"/>
        <v>1150</v>
      </c>
      <c r="M877" s="87">
        <v>600</v>
      </c>
      <c r="N877" s="77">
        <f>100</f>
        <v>100</v>
      </c>
      <c r="O877" s="80">
        <v>240</v>
      </c>
      <c r="P877" s="80">
        <v>40</v>
      </c>
      <c r="Q877" s="80">
        <f t="shared" si="142"/>
        <v>315</v>
      </c>
      <c r="R877" s="80">
        <f t="shared" si="143"/>
        <v>100</v>
      </c>
      <c r="S877" s="77">
        <f t="shared" si="144"/>
        <v>695</v>
      </c>
      <c r="T877" s="77">
        <f>50</f>
        <v>50</v>
      </c>
      <c r="U877" s="78"/>
      <c r="V877" s="78"/>
      <c r="W877" s="78"/>
      <c r="X877" s="78"/>
      <c r="Y877" s="78"/>
      <c r="Z877" s="78"/>
      <c r="AA877" s="78"/>
      <c r="AB877" s="78"/>
      <c r="AC877" s="78"/>
      <c r="AD877" s="78"/>
    </row>
    <row r="878" spans="1:30" ht="15.75" x14ac:dyDescent="0.25">
      <c r="A878" s="13">
        <v>68027</v>
      </c>
      <c r="B878" s="88">
        <f t="shared" si="140"/>
        <v>31</v>
      </c>
      <c r="C878" s="77">
        <f>122.58</f>
        <v>122.58</v>
      </c>
      <c r="D878" s="77">
        <f>297.941</f>
        <v>297.94099999999997</v>
      </c>
      <c r="E878" s="85">
        <f>89.177</f>
        <v>89.177000000000007</v>
      </c>
      <c r="F878" s="77">
        <f>240.302-40-60-100</f>
        <v>40.301999999999992</v>
      </c>
      <c r="G878" s="80">
        <v>40</v>
      </c>
      <c r="H878" s="77">
        <f>60+100</f>
        <v>160</v>
      </c>
      <c r="I878" s="77">
        <f t="shared" si="147"/>
        <v>0</v>
      </c>
      <c r="J878" s="80">
        <v>100</v>
      </c>
      <c r="K878" s="80">
        <v>300</v>
      </c>
      <c r="L878" s="77">
        <f t="shared" si="141"/>
        <v>1150</v>
      </c>
      <c r="M878" s="87">
        <v>600</v>
      </c>
      <c r="N878" s="77">
        <f>100</f>
        <v>100</v>
      </c>
      <c r="O878" s="80">
        <v>240</v>
      </c>
      <c r="P878" s="80">
        <v>40</v>
      </c>
      <c r="Q878" s="80">
        <f t="shared" si="142"/>
        <v>315</v>
      </c>
      <c r="R878" s="80">
        <f t="shared" si="143"/>
        <v>100</v>
      </c>
      <c r="S878" s="77">
        <f t="shared" si="144"/>
        <v>695</v>
      </c>
      <c r="T878" s="77">
        <f>50</f>
        <v>50</v>
      </c>
      <c r="U878" s="78"/>
      <c r="V878" s="78"/>
      <c r="W878" s="78"/>
      <c r="X878" s="78"/>
      <c r="Y878" s="78"/>
      <c r="Z878" s="78"/>
      <c r="AA878" s="78"/>
      <c r="AB878" s="78"/>
      <c r="AC878" s="78"/>
      <c r="AD878" s="78"/>
    </row>
    <row r="879" spans="1:30" ht="15.75" x14ac:dyDescent="0.25">
      <c r="A879" s="13">
        <v>68057</v>
      </c>
      <c r="B879" s="88">
        <f t="shared" si="140"/>
        <v>30</v>
      </c>
      <c r="C879" s="77">
        <f>141.293</f>
        <v>141.29300000000001</v>
      </c>
      <c r="D879" s="77">
        <f>267.993</f>
        <v>267.99299999999999</v>
      </c>
      <c r="E879" s="85">
        <f>115.016</f>
        <v>115.01600000000001</v>
      </c>
      <c r="F879" s="77">
        <f>314.698-40-25-60-100</f>
        <v>89.697999999999979</v>
      </c>
      <c r="G879" s="80">
        <v>40</v>
      </c>
      <c r="H879" s="77">
        <f t="shared" ref="H879:H885" si="148">25+60+100</f>
        <v>185</v>
      </c>
      <c r="I879" s="77">
        <f t="shared" si="147"/>
        <v>0</v>
      </c>
      <c r="J879" s="80">
        <v>100</v>
      </c>
      <c r="K879" s="80">
        <v>300</v>
      </c>
      <c r="L879" s="77">
        <f t="shared" si="141"/>
        <v>1239</v>
      </c>
      <c r="M879" s="87">
        <v>600</v>
      </c>
      <c r="N879" s="77">
        <f>100</f>
        <v>100</v>
      </c>
      <c r="O879" s="80">
        <v>240</v>
      </c>
      <c r="P879" s="80">
        <v>40</v>
      </c>
      <c r="Q879" s="80">
        <f t="shared" si="142"/>
        <v>315</v>
      </c>
      <c r="R879" s="80">
        <f t="shared" si="143"/>
        <v>100</v>
      </c>
      <c r="S879" s="77">
        <f t="shared" si="144"/>
        <v>695</v>
      </c>
      <c r="T879" s="77">
        <f>50</f>
        <v>50</v>
      </c>
      <c r="U879" s="78"/>
      <c r="V879" s="78"/>
      <c r="W879" s="78"/>
      <c r="X879" s="78"/>
      <c r="Y879" s="78"/>
      <c r="Z879" s="78"/>
      <c r="AA879" s="78"/>
      <c r="AB879" s="78"/>
      <c r="AC879" s="78"/>
      <c r="AD879" s="78"/>
    </row>
    <row r="880" spans="1:30" ht="15.75" x14ac:dyDescent="0.25">
      <c r="A880" s="13">
        <v>68088</v>
      </c>
      <c r="B880" s="88">
        <f t="shared" si="140"/>
        <v>31</v>
      </c>
      <c r="C880" s="77">
        <f>194.205</f>
        <v>194.20500000000001</v>
      </c>
      <c r="D880" s="77">
        <f>267.466</f>
        <v>267.46600000000001</v>
      </c>
      <c r="E880" s="85">
        <f>133.845</f>
        <v>133.845</v>
      </c>
      <c r="F880" s="77">
        <f>278.484-40-25-60-100</f>
        <v>53.48399999999998</v>
      </c>
      <c r="G880" s="80">
        <v>40</v>
      </c>
      <c r="H880" s="77">
        <f t="shared" si="148"/>
        <v>185</v>
      </c>
      <c r="I880" s="77">
        <f t="shared" si="147"/>
        <v>0</v>
      </c>
      <c r="J880" s="80">
        <v>100</v>
      </c>
      <c r="K880" s="80">
        <v>300</v>
      </c>
      <c r="L880" s="77">
        <f t="shared" si="141"/>
        <v>1274</v>
      </c>
      <c r="M880" s="87">
        <v>600</v>
      </c>
      <c r="N880" s="77">
        <f>75</f>
        <v>75</v>
      </c>
      <c r="O880" s="80">
        <v>240</v>
      </c>
      <c r="P880" s="80">
        <v>40</v>
      </c>
      <c r="Q880" s="80">
        <f t="shared" si="142"/>
        <v>315</v>
      </c>
      <c r="R880" s="80">
        <f t="shared" si="143"/>
        <v>100</v>
      </c>
      <c r="S880" s="77">
        <f t="shared" si="144"/>
        <v>695</v>
      </c>
      <c r="T880" s="77">
        <f>50</f>
        <v>50</v>
      </c>
      <c r="U880" s="78"/>
      <c r="V880" s="78"/>
      <c r="W880" s="78"/>
      <c r="X880" s="78"/>
      <c r="Y880" s="78"/>
      <c r="Z880" s="78"/>
      <c r="AA880" s="78"/>
      <c r="AB880" s="78"/>
      <c r="AC880" s="78"/>
      <c r="AD880" s="78"/>
    </row>
    <row r="881" spans="1:30" ht="15.75" x14ac:dyDescent="0.25">
      <c r="A881" s="13">
        <v>68118</v>
      </c>
      <c r="B881" s="88">
        <f t="shared" si="140"/>
        <v>30</v>
      </c>
      <c r="C881" s="77">
        <f>194.205</f>
        <v>194.20500000000001</v>
      </c>
      <c r="D881" s="77">
        <f>267.466</f>
        <v>267.46600000000001</v>
      </c>
      <c r="E881" s="85">
        <f>133.845</f>
        <v>133.845</v>
      </c>
      <c r="F881" s="77">
        <f>278.484-40-25-60-100</f>
        <v>53.48399999999998</v>
      </c>
      <c r="G881" s="80">
        <v>40</v>
      </c>
      <c r="H881" s="77">
        <f t="shared" si="148"/>
        <v>185</v>
      </c>
      <c r="I881" s="77">
        <f t="shared" si="147"/>
        <v>0</v>
      </c>
      <c r="J881" s="80">
        <v>100</v>
      </c>
      <c r="K881" s="80">
        <v>300</v>
      </c>
      <c r="L881" s="77">
        <f t="shared" si="141"/>
        <v>1274</v>
      </c>
      <c r="M881" s="87">
        <v>600</v>
      </c>
      <c r="N881" s="77">
        <f>30</f>
        <v>30</v>
      </c>
      <c r="O881" s="80">
        <v>240</v>
      </c>
      <c r="P881" s="80">
        <v>40</v>
      </c>
      <c r="Q881" s="80">
        <f t="shared" si="142"/>
        <v>315</v>
      </c>
      <c r="R881" s="80">
        <f t="shared" si="143"/>
        <v>100</v>
      </c>
      <c r="S881" s="77">
        <f t="shared" si="144"/>
        <v>695</v>
      </c>
      <c r="T881" s="77">
        <f>50</f>
        <v>50</v>
      </c>
      <c r="U881" s="78"/>
      <c r="V881" s="78"/>
      <c r="W881" s="78"/>
      <c r="X881" s="78"/>
      <c r="Y881" s="78"/>
      <c r="Z881" s="78"/>
      <c r="AA881" s="78"/>
      <c r="AB881" s="78"/>
      <c r="AC881" s="78"/>
      <c r="AD881" s="78"/>
    </row>
    <row r="882" spans="1:30" ht="15.75" x14ac:dyDescent="0.25">
      <c r="A882" s="13">
        <v>68149</v>
      </c>
      <c r="B882" s="88">
        <f t="shared" si="140"/>
        <v>31</v>
      </c>
      <c r="C882" s="77">
        <f>194.205</f>
        <v>194.20500000000001</v>
      </c>
      <c r="D882" s="77">
        <f>267.466</f>
        <v>267.46600000000001</v>
      </c>
      <c r="E882" s="85">
        <f>133.845</f>
        <v>133.845</v>
      </c>
      <c r="F882" s="77">
        <f>278.484-40-25-60-100</f>
        <v>53.48399999999998</v>
      </c>
      <c r="G882" s="80">
        <v>40</v>
      </c>
      <c r="H882" s="77">
        <f t="shared" si="148"/>
        <v>185</v>
      </c>
      <c r="I882" s="77">
        <f t="shared" si="147"/>
        <v>0</v>
      </c>
      <c r="J882" s="80">
        <v>100</v>
      </c>
      <c r="K882" s="80">
        <v>300</v>
      </c>
      <c r="L882" s="77">
        <f t="shared" si="141"/>
        <v>1274</v>
      </c>
      <c r="M882" s="87">
        <v>600</v>
      </c>
      <c r="N882" s="77">
        <f>30</f>
        <v>30</v>
      </c>
      <c r="O882" s="80">
        <v>240</v>
      </c>
      <c r="P882" s="80">
        <v>40</v>
      </c>
      <c r="Q882" s="80">
        <f t="shared" si="142"/>
        <v>315</v>
      </c>
      <c r="R882" s="80">
        <f t="shared" si="143"/>
        <v>100</v>
      </c>
      <c r="S882" s="77">
        <f t="shared" si="144"/>
        <v>695</v>
      </c>
      <c r="T882" s="77">
        <f>0</f>
        <v>0</v>
      </c>
      <c r="U882" s="78"/>
      <c r="V882" s="78"/>
      <c r="W882" s="78"/>
      <c r="X882" s="78"/>
      <c r="Y882" s="78"/>
      <c r="Z882" s="78"/>
      <c r="AA882" s="78"/>
      <c r="AB882" s="78"/>
      <c r="AC882" s="78"/>
      <c r="AD882" s="78"/>
    </row>
    <row r="883" spans="1:30" ht="15.75" x14ac:dyDescent="0.25">
      <c r="A883" s="13">
        <v>68180</v>
      </c>
      <c r="B883" s="88">
        <f t="shared" si="140"/>
        <v>31</v>
      </c>
      <c r="C883" s="77">
        <f>194.205</f>
        <v>194.20500000000001</v>
      </c>
      <c r="D883" s="77">
        <f>267.466</f>
        <v>267.46600000000001</v>
      </c>
      <c r="E883" s="85">
        <f>133.845</f>
        <v>133.845</v>
      </c>
      <c r="F883" s="77">
        <f>278.484-40-25-60-100</f>
        <v>53.48399999999998</v>
      </c>
      <c r="G883" s="80">
        <v>40</v>
      </c>
      <c r="H883" s="77">
        <f t="shared" si="148"/>
        <v>185</v>
      </c>
      <c r="I883" s="77">
        <f t="shared" si="147"/>
        <v>0</v>
      </c>
      <c r="J883" s="80">
        <v>100</v>
      </c>
      <c r="K883" s="80">
        <v>300</v>
      </c>
      <c r="L883" s="77">
        <f t="shared" si="141"/>
        <v>1274</v>
      </c>
      <c r="M883" s="87">
        <v>600</v>
      </c>
      <c r="N883" s="77">
        <f>30</f>
        <v>30</v>
      </c>
      <c r="O883" s="80">
        <v>240</v>
      </c>
      <c r="P883" s="80">
        <v>40</v>
      </c>
      <c r="Q883" s="80">
        <f t="shared" si="142"/>
        <v>315</v>
      </c>
      <c r="R883" s="80">
        <f t="shared" si="143"/>
        <v>100</v>
      </c>
      <c r="S883" s="77">
        <f t="shared" si="144"/>
        <v>695</v>
      </c>
      <c r="T883" s="77">
        <f>0</f>
        <v>0</v>
      </c>
      <c r="U883" s="78"/>
      <c r="V883" s="78"/>
      <c r="W883" s="78"/>
      <c r="X883" s="78"/>
      <c r="Y883" s="78"/>
      <c r="Z883" s="78"/>
      <c r="AA883" s="78"/>
      <c r="AB883" s="78"/>
      <c r="AC883" s="78"/>
      <c r="AD883" s="78"/>
    </row>
    <row r="884" spans="1:30" ht="15.75" x14ac:dyDescent="0.25">
      <c r="A884" s="13">
        <v>68210</v>
      </c>
      <c r="B884" s="88">
        <f t="shared" si="140"/>
        <v>30</v>
      </c>
      <c r="C884" s="77">
        <f>194.205</f>
        <v>194.20500000000001</v>
      </c>
      <c r="D884" s="77">
        <f>267.466</f>
        <v>267.46600000000001</v>
      </c>
      <c r="E884" s="85">
        <f>133.845</f>
        <v>133.845</v>
      </c>
      <c r="F884" s="77">
        <f>278.484-40-25-60-100</f>
        <v>53.48399999999998</v>
      </c>
      <c r="G884" s="80">
        <v>40</v>
      </c>
      <c r="H884" s="77">
        <f t="shared" si="148"/>
        <v>185</v>
      </c>
      <c r="I884" s="77">
        <f t="shared" si="147"/>
        <v>0</v>
      </c>
      <c r="J884" s="80">
        <v>100</v>
      </c>
      <c r="K884" s="80">
        <v>300</v>
      </c>
      <c r="L884" s="77">
        <f t="shared" si="141"/>
        <v>1274</v>
      </c>
      <c r="M884" s="87">
        <v>600</v>
      </c>
      <c r="N884" s="77">
        <f>30</f>
        <v>30</v>
      </c>
      <c r="O884" s="80">
        <v>240</v>
      </c>
      <c r="P884" s="80">
        <v>40</v>
      </c>
      <c r="Q884" s="80">
        <f t="shared" si="142"/>
        <v>315</v>
      </c>
      <c r="R884" s="80">
        <f t="shared" si="143"/>
        <v>100</v>
      </c>
      <c r="S884" s="77">
        <f t="shared" si="144"/>
        <v>695</v>
      </c>
      <c r="T884" s="77">
        <f>0</f>
        <v>0</v>
      </c>
      <c r="U884" s="78"/>
      <c r="V884" s="78"/>
      <c r="W884" s="78"/>
      <c r="X884" s="78"/>
      <c r="Y884" s="78"/>
      <c r="Z884" s="78"/>
      <c r="AA884" s="78"/>
      <c r="AB884" s="78"/>
      <c r="AC884" s="78"/>
      <c r="AD884" s="78"/>
    </row>
    <row r="885" spans="1:30" ht="15.75" x14ac:dyDescent="0.25">
      <c r="A885" s="13">
        <v>68241</v>
      </c>
      <c r="B885" s="88">
        <f t="shared" si="140"/>
        <v>31</v>
      </c>
      <c r="C885" s="77">
        <f>131.881</f>
        <v>131.881</v>
      </c>
      <c r="D885" s="77">
        <f>277.167</f>
        <v>277.16699999999997</v>
      </c>
      <c r="E885" s="85">
        <f>79.08</f>
        <v>79.08</v>
      </c>
      <c r="F885" s="77">
        <f>350.872-40-25-60-100</f>
        <v>125.87200000000001</v>
      </c>
      <c r="G885" s="80">
        <v>40</v>
      </c>
      <c r="H885" s="77">
        <f t="shared" si="148"/>
        <v>185</v>
      </c>
      <c r="I885" s="77">
        <f t="shared" si="147"/>
        <v>0</v>
      </c>
      <c r="J885" s="80">
        <v>100</v>
      </c>
      <c r="K885" s="80">
        <v>300</v>
      </c>
      <c r="L885" s="77">
        <f t="shared" si="141"/>
        <v>1239</v>
      </c>
      <c r="M885" s="87">
        <v>600</v>
      </c>
      <c r="N885" s="77">
        <f>75</f>
        <v>75</v>
      </c>
      <c r="O885" s="80">
        <v>240</v>
      </c>
      <c r="P885" s="80">
        <v>40</v>
      </c>
      <c r="Q885" s="80">
        <f t="shared" si="142"/>
        <v>315</v>
      </c>
      <c r="R885" s="80">
        <f t="shared" si="143"/>
        <v>100</v>
      </c>
      <c r="S885" s="77">
        <f t="shared" si="144"/>
        <v>695</v>
      </c>
      <c r="T885" s="77">
        <f>0</f>
        <v>0</v>
      </c>
      <c r="U885" s="78"/>
      <c r="V885" s="78"/>
      <c r="W885" s="78"/>
      <c r="X885" s="78"/>
      <c r="Y885" s="78"/>
      <c r="Z885" s="78"/>
      <c r="AA885" s="78"/>
      <c r="AB885" s="78"/>
      <c r="AC885" s="78"/>
      <c r="AD885" s="78"/>
    </row>
    <row r="886" spans="1:30" ht="15.75" x14ac:dyDescent="0.25">
      <c r="A886" s="13">
        <v>68271</v>
      </c>
      <c r="B886" s="88">
        <f t="shared" si="140"/>
        <v>30</v>
      </c>
      <c r="C886" s="77">
        <f>122.58</f>
        <v>122.58</v>
      </c>
      <c r="D886" s="77">
        <f>297.941</f>
        <v>297.94099999999997</v>
      </c>
      <c r="E886" s="85">
        <f>89.177</f>
        <v>89.177000000000007</v>
      </c>
      <c r="F886" s="77">
        <f>240.302-40-60-100</f>
        <v>40.301999999999992</v>
      </c>
      <c r="G886" s="80">
        <v>40</v>
      </c>
      <c r="H886" s="77">
        <f>60+100</f>
        <v>160</v>
      </c>
      <c r="I886" s="77">
        <f t="shared" si="147"/>
        <v>0</v>
      </c>
      <c r="J886" s="80">
        <v>100</v>
      </c>
      <c r="K886" s="80">
        <v>300</v>
      </c>
      <c r="L886" s="77">
        <f t="shared" si="141"/>
        <v>1150</v>
      </c>
      <c r="M886" s="87">
        <v>600</v>
      </c>
      <c r="N886" s="77">
        <f>100</f>
        <v>100</v>
      </c>
      <c r="O886" s="80">
        <v>240</v>
      </c>
      <c r="P886" s="80">
        <v>40</v>
      </c>
      <c r="Q886" s="80">
        <f t="shared" si="142"/>
        <v>315</v>
      </c>
      <c r="R886" s="80">
        <f t="shared" si="143"/>
        <v>100</v>
      </c>
      <c r="S886" s="77">
        <f t="shared" si="144"/>
        <v>695</v>
      </c>
      <c r="T886" s="77">
        <f>50</f>
        <v>50</v>
      </c>
      <c r="U886" s="78"/>
      <c r="V886" s="78"/>
      <c r="W886" s="78"/>
      <c r="X886" s="78"/>
      <c r="Y886" s="78"/>
      <c r="Z886" s="78"/>
      <c r="AA886" s="78"/>
      <c r="AB886" s="78"/>
      <c r="AC886" s="78"/>
      <c r="AD886" s="78"/>
    </row>
    <row r="887" spans="1:30" ht="15.75" x14ac:dyDescent="0.25">
      <c r="A887" s="13">
        <v>68302</v>
      </c>
      <c r="B887" s="88">
        <f t="shared" si="140"/>
        <v>31</v>
      </c>
      <c r="C887" s="77">
        <f>122.58</f>
        <v>122.58</v>
      </c>
      <c r="D887" s="77">
        <f>297.941</f>
        <v>297.94099999999997</v>
      </c>
      <c r="E887" s="85">
        <f>89.177</f>
        <v>89.177000000000007</v>
      </c>
      <c r="F887" s="77">
        <f>240.302-40-60-100</f>
        <v>40.301999999999992</v>
      </c>
      <c r="G887" s="80">
        <v>40</v>
      </c>
      <c r="H887" s="77">
        <f>60+100</f>
        <v>160</v>
      </c>
      <c r="I887" s="77">
        <f t="shared" si="147"/>
        <v>0</v>
      </c>
      <c r="J887" s="80">
        <v>100</v>
      </c>
      <c r="K887" s="80">
        <v>300</v>
      </c>
      <c r="L887" s="77">
        <f t="shared" si="141"/>
        <v>1150</v>
      </c>
      <c r="M887" s="87">
        <v>600</v>
      </c>
      <c r="N887" s="77">
        <f>100</f>
        <v>100</v>
      </c>
      <c r="O887" s="80">
        <v>240</v>
      </c>
      <c r="P887" s="80">
        <v>40</v>
      </c>
      <c r="Q887" s="80">
        <f t="shared" si="142"/>
        <v>315</v>
      </c>
      <c r="R887" s="80">
        <f t="shared" si="143"/>
        <v>100</v>
      </c>
      <c r="S887" s="77">
        <f t="shared" si="144"/>
        <v>695</v>
      </c>
      <c r="T887" s="77">
        <f>50</f>
        <v>50</v>
      </c>
      <c r="U887" s="78"/>
      <c r="V887" s="78"/>
      <c r="W887" s="78"/>
      <c r="X887" s="78"/>
      <c r="Y887" s="78"/>
      <c r="Z887" s="78"/>
      <c r="AA887" s="78"/>
      <c r="AB887" s="78"/>
      <c r="AC887" s="78"/>
      <c r="AD887" s="78"/>
    </row>
    <row r="888" spans="1:30" ht="15.75" x14ac:dyDescent="0.25">
      <c r="A888" s="13">
        <v>68333</v>
      </c>
      <c r="B888" s="88">
        <f t="shared" si="140"/>
        <v>31</v>
      </c>
      <c r="C888" s="77">
        <f>122.58</f>
        <v>122.58</v>
      </c>
      <c r="D888" s="77">
        <f>297.941</f>
        <v>297.94099999999997</v>
      </c>
      <c r="E888" s="85">
        <f>89.177</f>
        <v>89.177000000000007</v>
      </c>
      <c r="F888" s="77">
        <f>240.302-40-60-100</f>
        <v>40.301999999999992</v>
      </c>
      <c r="G888" s="80">
        <v>40</v>
      </c>
      <c r="H888" s="77">
        <f>60+100</f>
        <v>160</v>
      </c>
      <c r="I888" s="77">
        <f t="shared" si="147"/>
        <v>0</v>
      </c>
      <c r="J888" s="80">
        <v>100</v>
      </c>
      <c r="K888" s="80">
        <v>300</v>
      </c>
      <c r="L888" s="77">
        <f t="shared" si="141"/>
        <v>1150</v>
      </c>
      <c r="M888" s="87">
        <v>600</v>
      </c>
      <c r="N888" s="77">
        <f>100</f>
        <v>100</v>
      </c>
      <c r="O888" s="80">
        <v>240</v>
      </c>
      <c r="P888" s="80">
        <v>40</v>
      </c>
      <c r="Q888" s="80">
        <f t="shared" si="142"/>
        <v>315</v>
      </c>
      <c r="R888" s="80">
        <f t="shared" si="143"/>
        <v>100</v>
      </c>
      <c r="S888" s="77">
        <f t="shared" si="144"/>
        <v>695</v>
      </c>
      <c r="T888" s="77">
        <f>50</f>
        <v>50</v>
      </c>
      <c r="U888" s="78"/>
      <c r="V888" s="78"/>
      <c r="W888" s="78"/>
      <c r="X888" s="78"/>
      <c r="Y888" s="78"/>
      <c r="Z888" s="78"/>
      <c r="AA888" s="78"/>
      <c r="AB888" s="78"/>
      <c r="AC888" s="78"/>
      <c r="AD888" s="78"/>
    </row>
    <row r="889" spans="1:30" ht="15.75" x14ac:dyDescent="0.25">
      <c r="A889" s="13">
        <v>68361</v>
      </c>
      <c r="B889" s="88">
        <f t="shared" si="140"/>
        <v>28</v>
      </c>
      <c r="C889" s="77">
        <f>122.58</f>
        <v>122.58</v>
      </c>
      <c r="D889" s="77">
        <f>297.941</f>
        <v>297.94099999999997</v>
      </c>
      <c r="E889" s="85">
        <f>89.177</f>
        <v>89.177000000000007</v>
      </c>
      <c r="F889" s="77">
        <f>240.302-40-60-100</f>
        <v>40.301999999999992</v>
      </c>
      <c r="G889" s="80">
        <v>40</v>
      </c>
      <c r="H889" s="77">
        <f>60+100</f>
        <v>160</v>
      </c>
      <c r="I889" s="77">
        <f t="shared" si="147"/>
        <v>0</v>
      </c>
      <c r="J889" s="80">
        <v>100</v>
      </c>
      <c r="K889" s="80">
        <v>300</v>
      </c>
      <c r="L889" s="77">
        <f t="shared" si="141"/>
        <v>1150</v>
      </c>
      <c r="M889" s="87">
        <v>600</v>
      </c>
      <c r="N889" s="77">
        <f>100</f>
        <v>100</v>
      </c>
      <c r="O889" s="80">
        <v>240</v>
      </c>
      <c r="P889" s="80">
        <v>40</v>
      </c>
      <c r="Q889" s="80">
        <f t="shared" si="142"/>
        <v>315</v>
      </c>
      <c r="R889" s="80">
        <f t="shared" si="143"/>
        <v>100</v>
      </c>
      <c r="S889" s="77">
        <f t="shared" si="144"/>
        <v>695</v>
      </c>
      <c r="T889" s="77">
        <f>50</f>
        <v>50</v>
      </c>
      <c r="U889" s="78"/>
      <c r="V889" s="78"/>
      <c r="W889" s="78"/>
      <c r="X889" s="78"/>
      <c r="Y889" s="78"/>
      <c r="Z889" s="78"/>
      <c r="AA889" s="78"/>
      <c r="AB889" s="78"/>
      <c r="AC889" s="78"/>
      <c r="AD889" s="78"/>
    </row>
    <row r="890" spans="1:30" ht="15.75" x14ac:dyDescent="0.25">
      <c r="A890" s="13">
        <v>68392</v>
      </c>
      <c r="B890" s="88">
        <f t="shared" si="140"/>
        <v>31</v>
      </c>
      <c r="C890" s="77">
        <f>122.58</f>
        <v>122.58</v>
      </c>
      <c r="D890" s="77">
        <f>297.941</f>
        <v>297.94099999999997</v>
      </c>
      <c r="E890" s="85">
        <f>89.177</f>
        <v>89.177000000000007</v>
      </c>
      <c r="F890" s="77">
        <f>240.302-40-60-100</f>
        <v>40.301999999999992</v>
      </c>
      <c r="G890" s="80">
        <v>40</v>
      </c>
      <c r="H890" s="77">
        <f>60+100</f>
        <v>160</v>
      </c>
      <c r="I890" s="77">
        <f t="shared" si="147"/>
        <v>0</v>
      </c>
      <c r="J890" s="80">
        <v>100</v>
      </c>
      <c r="K890" s="80">
        <v>300</v>
      </c>
      <c r="L890" s="77">
        <f t="shared" si="141"/>
        <v>1150</v>
      </c>
      <c r="M890" s="87">
        <v>600</v>
      </c>
      <c r="N890" s="77">
        <f>100</f>
        <v>100</v>
      </c>
      <c r="O890" s="80">
        <v>240</v>
      </c>
      <c r="P890" s="80">
        <v>40</v>
      </c>
      <c r="Q890" s="80">
        <f t="shared" si="142"/>
        <v>315</v>
      </c>
      <c r="R890" s="80">
        <f t="shared" si="143"/>
        <v>100</v>
      </c>
      <c r="S890" s="77">
        <f t="shared" si="144"/>
        <v>695</v>
      </c>
      <c r="T890" s="77">
        <f>50</f>
        <v>50</v>
      </c>
      <c r="U890" s="78"/>
      <c r="V890" s="78"/>
      <c r="W890" s="78"/>
      <c r="X890" s="78"/>
      <c r="Y890" s="78"/>
      <c r="Z890" s="78"/>
      <c r="AA890" s="78"/>
      <c r="AB890" s="78"/>
      <c r="AC890" s="78"/>
      <c r="AD890" s="78"/>
    </row>
    <row r="891" spans="1:30" ht="15.75" x14ac:dyDescent="0.25">
      <c r="A891" s="13">
        <v>68422</v>
      </c>
      <c r="B891" s="88">
        <f t="shared" si="140"/>
        <v>30</v>
      </c>
      <c r="C891" s="77">
        <f>141.293</f>
        <v>141.29300000000001</v>
      </c>
      <c r="D891" s="77">
        <f>267.993</f>
        <v>267.99299999999999</v>
      </c>
      <c r="E891" s="85">
        <f>115.016</f>
        <v>115.01600000000001</v>
      </c>
      <c r="F891" s="77">
        <f>314.698-40-25-60-100</f>
        <v>89.697999999999979</v>
      </c>
      <c r="G891" s="80">
        <v>40</v>
      </c>
      <c r="H891" s="77">
        <f t="shared" ref="H891:H897" si="149">25+60+100</f>
        <v>185</v>
      </c>
      <c r="I891" s="77">
        <f t="shared" si="147"/>
        <v>0</v>
      </c>
      <c r="J891" s="80">
        <v>100</v>
      </c>
      <c r="K891" s="80">
        <v>300</v>
      </c>
      <c r="L891" s="77">
        <f t="shared" si="141"/>
        <v>1239</v>
      </c>
      <c r="M891" s="87">
        <v>600</v>
      </c>
      <c r="N891" s="77">
        <f>100</f>
        <v>100</v>
      </c>
      <c r="O891" s="80">
        <v>240</v>
      </c>
      <c r="P891" s="80">
        <v>40</v>
      </c>
      <c r="Q891" s="80">
        <f t="shared" si="142"/>
        <v>315</v>
      </c>
      <c r="R891" s="80">
        <f t="shared" si="143"/>
        <v>100</v>
      </c>
      <c r="S891" s="77">
        <f t="shared" si="144"/>
        <v>695</v>
      </c>
      <c r="T891" s="77">
        <f>50</f>
        <v>50</v>
      </c>
      <c r="U891" s="78"/>
      <c r="V891" s="78"/>
      <c r="W891" s="78"/>
      <c r="X891" s="78"/>
      <c r="Y891" s="78"/>
      <c r="Z891" s="78"/>
      <c r="AA891" s="78"/>
      <c r="AB891" s="78"/>
      <c r="AC891" s="78"/>
      <c r="AD891" s="78"/>
    </row>
    <row r="892" spans="1:30" ht="15.75" x14ac:dyDescent="0.25">
      <c r="A892" s="13">
        <v>68453</v>
      </c>
      <c r="B892" s="88">
        <f t="shared" si="140"/>
        <v>31</v>
      </c>
      <c r="C892" s="77">
        <f>194.205</f>
        <v>194.20500000000001</v>
      </c>
      <c r="D892" s="77">
        <f>267.466</f>
        <v>267.46600000000001</v>
      </c>
      <c r="E892" s="85">
        <f>133.845</f>
        <v>133.845</v>
      </c>
      <c r="F892" s="77">
        <f>278.484-40-25-60-100</f>
        <v>53.48399999999998</v>
      </c>
      <c r="G892" s="80">
        <v>40</v>
      </c>
      <c r="H892" s="77">
        <f t="shared" si="149"/>
        <v>185</v>
      </c>
      <c r="I892" s="77">
        <f t="shared" si="147"/>
        <v>0</v>
      </c>
      <c r="J892" s="80">
        <v>100</v>
      </c>
      <c r="K892" s="80">
        <v>300</v>
      </c>
      <c r="L892" s="77">
        <f t="shared" si="141"/>
        <v>1274</v>
      </c>
      <c r="M892" s="87">
        <v>600</v>
      </c>
      <c r="N892" s="77">
        <f>75</f>
        <v>75</v>
      </c>
      <c r="O892" s="80">
        <v>240</v>
      </c>
      <c r="P892" s="80">
        <v>40</v>
      </c>
      <c r="Q892" s="80">
        <f t="shared" si="142"/>
        <v>315</v>
      </c>
      <c r="R892" s="80">
        <f t="shared" si="143"/>
        <v>100</v>
      </c>
      <c r="S892" s="77">
        <f t="shared" si="144"/>
        <v>695</v>
      </c>
      <c r="T892" s="77">
        <f>50</f>
        <v>50</v>
      </c>
      <c r="U892" s="78"/>
      <c r="V892" s="78"/>
      <c r="W892" s="78"/>
      <c r="X892" s="78"/>
      <c r="Y892" s="78"/>
      <c r="Z892" s="78"/>
      <c r="AA892" s="78"/>
      <c r="AB892" s="78"/>
      <c r="AC892" s="78"/>
      <c r="AD892" s="78"/>
    </row>
    <row r="893" spans="1:30" ht="15.75" x14ac:dyDescent="0.25">
      <c r="A893" s="13">
        <v>68483</v>
      </c>
      <c r="B893" s="88">
        <f t="shared" si="140"/>
        <v>30</v>
      </c>
      <c r="C893" s="77">
        <f>194.205</f>
        <v>194.20500000000001</v>
      </c>
      <c r="D893" s="77">
        <f>267.466</f>
        <v>267.46600000000001</v>
      </c>
      <c r="E893" s="85">
        <f>133.845</f>
        <v>133.845</v>
      </c>
      <c r="F893" s="77">
        <f>278.484-40-25-60-100</f>
        <v>53.48399999999998</v>
      </c>
      <c r="G893" s="80">
        <v>40</v>
      </c>
      <c r="H893" s="77">
        <f t="shared" si="149"/>
        <v>185</v>
      </c>
      <c r="I893" s="77">
        <f t="shared" si="147"/>
        <v>0</v>
      </c>
      <c r="J893" s="80">
        <v>100</v>
      </c>
      <c r="K893" s="80">
        <v>300</v>
      </c>
      <c r="L893" s="77">
        <f t="shared" si="141"/>
        <v>1274</v>
      </c>
      <c r="M893" s="87">
        <v>600</v>
      </c>
      <c r="N893" s="77">
        <f>30</f>
        <v>30</v>
      </c>
      <c r="O893" s="80">
        <v>240</v>
      </c>
      <c r="P893" s="80">
        <v>40</v>
      </c>
      <c r="Q893" s="80">
        <f t="shared" si="142"/>
        <v>315</v>
      </c>
      <c r="R893" s="80">
        <f t="shared" si="143"/>
        <v>100</v>
      </c>
      <c r="S893" s="77">
        <f t="shared" si="144"/>
        <v>695</v>
      </c>
      <c r="T893" s="77">
        <f>50</f>
        <v>50</v>
      </c>
      <c r="U893" s="78"/>
      <c r="V893" s="78"/>
      <c r="W893" s="78"/>
      <c r="X893" s="78"/>
      <c r="Y893" s="78"/>
      <c r="Z893" s="78"/>
      <c r="AA893" s="78"/>
      <c r="AB893" s="78"/>
      <c r="AC893" s="78"/>
      <c r="AD893" s="78"/>
    </row>
    <row r="894" spans="1:30" ht="15.75" x14ac:dyDescent="0.25">
      <c r="A894" s="13">
        <v>68514</v>
      </c>
      <c r="B894" s="88">
        <f t="shared" si="140"/>
        <v>31</v>
      </c>
      <c r="C894" s="77">
        <f>194.205</f>
        <v>194.20500000000001</v>
      </c>
      <c r="D894" s="77">
        <f>267.466</f>
        <v>267.46600000000001</v>
      </c>
      <c r="E894" s="85">
        <f>133.845</f>
        <v>133.845</v>
      </c>
      <c r="F894" s="77">
        <f>278.484-40-25-60-100</f>
        <v>53.48399999999998</v>
      </c>
      <c r="G894" s="80">
        <v>40</v>
      </c>
      <c r="H894" s="77">
        <f t="shared" si="149"/>
        <v>185</v>
      </c>
      <c r="I894" s="77">
        <f t="shared" si="147"/>
        <v>0</v>
      </c>
      <c r="J894" s="80">
        <v>100</v>
      </c>
      <c r="K894" s="80">
        <v>300</v>
      </c>
      <c r="L894" s="77">
        <f t="shared" si="141"/>
        <v>1274</v>
      </c>
      <c r="M894" s="87">
        <v>600</v>
      </c>
      <c r="N894" s="77">
        <f>30</f>
        <v>30</v>
      </c>
      <c r="O894" s="80">
        <v>240</v>
      </c>
      <c r="P894" s="80">
        <v>40</v>
      </c>
      <c r="Q894" s="80">
        <f t="shared" si="142"/>
        <v>315</v>
      </c>
      <c r="R894" s="80">
        <f t="shared" si="143"/>
        <v>100</v>
      </c>
      <c r="S894" s="77">
        <f t="shared" si="144"/>
        <v>695</v>
      </c>
      <c r="T894" s="77">
        <f>0</f>
        <v>0</v>
      </c>
      <c r="U894" s="78"/>
      <c r="V894" s="78"/>
      <c r="W894" s="78"/>
      <c r="X894" s="78"/>
      <c r="Y894" s="78"/>
      <c r="Z894" s="78"/>
      <c r="AA894" s="78"/>
      <c r="AB894" s="78"/>
      <c r="AC894" s="78"/>
      <c r="AD894" s="78"/>
    </row>
    <row r="895" spans="1:30" ht="15.75" x14ac:dyDescent="0.25">
      <c r="A895" s="13">
        <v>68545</v>
      </c>
      <c r="B895" s="88">
        <f t="shared" si="140"/>
        <v>31</v>
      </c>
      <c r="C895" s="77">
        <f>194.205</f>
        <v>194.20500000000001</v>
      </c>
      <c r="D895" s="77">
        <f>267.466</f>
        <v>267.46600000000001</v>
      </c>
      <c r="E895" s="85">
        <f>133.845</f>
        <v>133.845</v>
      </c>
      <c r="F895" s="77">
        <f>278.484-40-25-60-100</f>
        <v>53.48399999999998</v>
      </c>
      <c r="G895" s="80">
        <v>40</v>
      </c>
      <c r="H895" s="77">
        <f t="shared" si="149"/>
        <v>185</v>
      </c>
      <c r="I895" s="77">
        <f t="shared" si="147"/>
        <v>0</v>
      </c>
      <c r="J895" s="80">
        <v>100</v>
      </c>
      <c r="K895" s="80">
        <v>300</v>
      </c>
      <c r="L895" s="77">
        <f t="shared" si="141"/>
        <v>1274</v>
      </c>
      <c r="M895" s="87">
        <v>600</v>
      </c>
      <c r="N895" s="77">
        <f>30</f>
        <v>30</v>
      </c>
      <c r="O895" s="80">
        <v>240</v>
      </c>
      <c r="P895" s="80">
        <v>40</v>
      </c>
      <c r="Q895" s="80">
        <f t="shared" si="142"/>
        <v>315</v>
      </c>
      <c r="R895" s="80">
        <f t="shared" si="143"/>
        <v>100</v>
      </c>
      <c r="S895" s="77">
        <f t="shared" si="144"/>
        <v>695</v>
      </c>
      <c r="T895" s="77">
        <f>0</f>
        <v>0</v>
      </c>
      <c r="U895" s="78"/>
      <c r="V895" s="78"/>
      <c r="W895" s="78"/>
      <c r="X895" s="78"/>
      <c r="Y895" s="78"/>
      <c r="Z895" s="78"/>
      <c r="AA895" s="78"/>
      <c r="AB895" s="78"/>
      <c r="AC895" s="78"/>
      <c r="AD895" s="78"/>
    </row>
    <row r="896" spans="1:30" ht="15.75" x14ac:dyDescent="0.25">
      <c r="A896" s="13">
        <v>68575</v>
      </c>
      <c r="B896" s="88">
        <f t="shared" si="140"/>
        <v>30</v>
      </c>
      <c r="C896" s="77">
        <f>194.205</f>
        <v>194.20500000000001</v>
      </c>
      <c r="D896" s="77">
        <f>267.466</f>
        <v>267.46600000000001</v>
      </c>
      <c r="E896" s="85">
        <f>133.845</f>
        <v>133.845</v>
      </c>
      <c r="F896" s="77">
        <f>278.484-40-25-60-100</f>
        <v>53.48399999999998</v>
      </c>
      <c r="G896" s="80">
        <v>40</v>
      </c>
      <c r="H896" s="77">
        <f t="shared" si="149"/>
        <v>185</v>
      </c>
      <c r="I896" s="77">
        <f t="shared" si="147"/>
        <v>0</v>
      </c>
      <c r="J896" s="80">
        <v>100</v>
      </c>
      <c r="K896" s="80">
        <v>300</v>
      </c>
      <c r="L896" s="77">
        <f t="shared" si="141"/>
        <v>1274</v>
      </c>
      <c r="M896" s="87">
        <v>600</v>
      </c>
      <c r="N896" s="77">
        <f>30</f>
        <v>30</v>
      </c>
      <c r="O896" s="80">
        <v>240</v>
      </c>
      <c r="P896" s="80">
        <v>40</v>
      </c>
      <c r="Q896" s="80">
        <f t="shared" si="142"/>
        <v>315</v>
      </c>
      <c r="R896" s="80">
        <f t="shared" si="143"/>
        <v>100</v>
      </c>
      <c r="S896" s="77">
        <f t="shared" si="144"/>
        <v>695</v>
      </c>
      <c r="T896" s="77">
        <f>0</f>
        <v>0</v>
      </c>
      <c r="U896" s="78"/>
      <c r="V896" s="78"/>
      <c r="W896" s="78"/>
      <c r="X896" s="78"/>
      <c r="Y896" s="78"/>
      <c r="Z896" s="78"/>
      <c r="AA896" s="78"/>
      <c r="AB896" s="78"/>
      <c r="AC896" s="78"/>
      <c r="AD896" s="78"/>
    </row>
    <row r="897" spans="1:30" ht="15.75" x14ac:dyDescent="0.25">
      <c r="A897" s="13">
        <v>68606</v>
      </c>
      <c r="B897" s="88">
        <f t="shared" si="140"/>
        <v>31</v>
      </c>
      <c r="C897" s="77">
        <f>131.881</f>
        <v>131.881</v>
      </c>
      <c r="D897" s="77">
        <f>277.167</f>
        <v>277.16699999999997</v>
      </c>
      <c r="E897" s="85">
        <f>79.08</f>
        <v>79.08</v>
      </c>
      <c r="F897" s="77">
        <f>350.872-40-25-60-100</f>
        <v>125.87200000000001</v>
      </c>
      <c r="G897" s="80">
        <v>40</v>
      </c>
      <c r="H897" s="77">
        <f t="shared" si="149"/>
        <v>185</v>
      </c>
      <c r="I897" s="77">
        <f t="shared" si="147"/>
        <v>0</v>
      </c>
      <c r="J897" s="80">
        <v>100</v>
      </c>
      <c r="K897" s="80">
        <v>300</v>
      </c>
      <c r="L897" s="77">
        <f t="shared" si="141"/>
        <v>1239</v>
      </c>
      <c r="M897" s="87">
        <v>600</v>
      </c>
      <c r="N897" s="77">
        <f>75</f>
        <v>75</v>
      </c>
      <c r="O897" s="80">
        <v>240</v>
      </c>
      <c r="P897" s="80">
        <v>40</v>
      </c>
      <c r="Q897" s="80">
        <f t="shared" si="142"/>
        <v>315</v>
      </c>
      <c r="R897" s="80">
        <f t="shared" si="143"/>
        <v>100</v>
      </c>
      <c r="S897" s="77">
        <f t="shared" si="144"/>
        <v>695</v>
      </c>
      <c r="T897" s="77">
        <f>0</f>
        <v>0</v>
      </c>
      <c r="U897" s="78"/>
      <c r="V897" s="78"/>
      <c r="W897" s="78"/>
      <c r="X897" s="78"/>
      <c r="Y897" s="78"/>
      <c r="Z897" s="78"/>
      <c r="AA897" s="78"/>
      <c r="AB897" s="78"/>
      <c r="AC897" s="78"/>
      <c r="AD897" s="78"/>
    </row>
    <row r="898" spans="1:30" ht="15.75" x14ac:dyDescent="0.25">
      <c r="A898" s="13">
        <v>68636</v>
      </c>
      <c r="B898" s="88">
        <f t="shared" si="140"/>
        <v>30</v>
      </c>
      <c r="C898" s="77">
        <f>122.58</f>
        <v>122.58</v>
      </c>
      <c r="D898" s="77">
        <f>297.941</f>
        <v>297.94099999999997</v>
      </c>
      <c r="E898" s="85">
        <f>89.177</f>
        <v>89.177000000000007</v>
      </c>
      <c r="F898" s="77">
        <f>240.302-40-60-100</f>
        <v>40.301999999999992</v>
      </c>
      <c r="G898" s="80">
        <v>40</v>
      </c>
      <c r="H898" s="77">
        <f>60+100</f>
        <v>160</v>
      </c>
      <c r="I898" s="77">
        <f t="shared" si="147"/>
        <v>0</v>
      </c>
      <c r="J898" s="80">
        <v>100</v>
      </c>
      <c r="K898" s="80">
        <v>300</v>
      </c>
      <c r="L898" s="77">
        <f t="shared" si="141"/>
        <v>1150</v>
      </c>
      <c r="M898" s="87">
        <v>600</v>
      </c>
      <c r="N898" s="77">
        <f>100</f>
        <v>100</v>
      </c>
      <c r="O898" s="80">
        <v>240</v>
      </c>
      <c r="P898" s="80">
        <v>40</v>
      </c>
      <c r="Q898" s="80">
        <f t="shared" si="142"/>
        <v>315</v>
      </c>
      <c r="R898" s="80">
        <f t="shared" si="143"/>
        <v>100</v>
      </c>
      <c r="S898" s="77">
        <f t="shared" si="144"/>
        <v>695</v>
      </c>
      <c r="T898" s="77">
        <f>50</f>
        <v>50</v>
      </c>
      <c r="U898" s="78"/>
      <c r="V898" s="78"/>
      <c r="W898" s="78"/>
      <c r="X898" s="78"/>
      <c r="Y898" s="78"/>
      <c r="Z898" s="78"/>
      <c r="AA898" s="78"/>
      <c r="AB898" s="78"/>
      <c r="AC898" s="78"/>
      <c r="AD898" s="78"/>
    </row>
    <row r="899" spans="1:30" ht="15.75" x14ac:dyDescent="0.25">
      <c r="A899" s="13">
        <v>68667</v>
      </c>
      <c r="B899" s="88">
        <f t="shared" si="140"/>
        <v>31</v>
      </c>
      <c r="C899" s="77">
        <f>122.58</f>
        <v>122.58</v>
      </c>
      <c r="D899" s="77">
        <f>297.941</f>
        <v>297.94099999999997</v>
      </c>
      <c r="E899" s="85">
        <f>89.177</f>
        <v>89.177000000000007</v>
      </c>
      <c r="F899" s="77">
        <f>240.302-40-60-100</f>
        <v>40.301999999999992</v>
      </c>
      <c r="G899" s="80">
        <v>40</v>
      </c>
      <c r="H899" s="77">
        <f>60+100</f>
        <v>160</v>
      </c>
      <c r="I899" s="77">
        <f t="shared" si="147"/>
        <v>0</v>
      </c>
      <c r="J899" s="80">
        <v>100</v>
      </c>
      <c r="K899" s="80">
        <v>300</v>
      </c>
      <c r="L899" s="77">
        <f t="shared" si="141"/>
        <v>1150</v>
      </c>
      <c r="M899" s="87">
        <v>600</v>
      </c>
      <c r="N899" s="77">
        <f>100</f>
        <v>100</v>
      </c>
      <c r="O899" s="80">
        <v>240</v>
      </c>
      <c r="P899" s="80">
        <v>40</v>
      </c>
      <c r="Q899" s="80">
        <f t="shared" si="142"/>
        <v>315</v>
      </c>
      <c r="R899" s="80">
        <f t="shared" si="143"/>
        <v>100</v>
      </c>
      <c r="S899" s="77">
        <f t="shared" si="144"/>
        <v>695</v>
      </c>
      <c r="T899" s="77">
        <f>50</f>
        <v>50</v>
      </c>
      <c r="U899" s="78"/>
      <c r="V899" s="78"/>
      <c r="W899" s="78"/>
      <c r="X899" s="78"/>
      <c r="Y899" s="78"/>
      <c r="Z899" s="78"/>
      <c r="AA899" s="78"/>
      <c r="AB899" s="78"/>
      <c r="AC899" s="78"/>
      <c r="AD899" s="78"/>
    </row>
    <row r="900" spans="1:30" ht="15.75" x14ac:dyDescent="0.25">
      <c r="A900" s="13">
        <v>68698</v>
      </c>
      <c r="B900" s="88">
        <f t="shared" si="140"/>
        <v>31</v>
      </c>
      <c r="C900" s="77">
        <f>122.58</f>
        <v>122.58</v>
      </c>
      <c r="D900" s="77">
        <f>297.941</f>
        <v>297.94099999999997</v>
      </c>
      <c r="E900" s="85">
        <f>89.177</f>
        <v>89.177000000000007</v>
      </c>
      <c r="F900" s="77">
        <f>240.302-40-60-100</f>
        <v>40.301999999999992</v>
      </c>
      <c r="G900" s="80">
        <v>40</v>
      </c>
      <c r="H900" s="77">
        <f>60+100</f>
        <v>160</v>
      </c>
      <c r="I900" s="77">
        <f t="shared" si="147"/>
        <v>0</v>
      </c>
      <c r="J900" s="80">
        <v>100</v>
      </c>
      <c r="K900" s="80">
        <v>300</v>
      </c>
      <c r="L900" s="77">
        <f t="shared" si="141"/>
        <v>1150</v>
      </c>
      <c r="M900" s="87">
        <v>600</v>
      </c>
      <c r="N900" s="77">
        <f>100</f>
        <v>100</v>
      </c>
      <c r="O900" s="80">
        <v>240</v>
      </c>
      <c r="P900" s="80">
        <v>40</v>
      </c>
      <c r="Q900" s="80">
        <f t="shared" si="142"/>
        <v>315</v>
      </c>
      <c r="R900" s="80">
        <f t="shared" si="143"/>
        <v>100</v>
      </c>
      <c r="S900" s="77">
        <f t="shared" si="144"/>
        <v>695</v>
      </c>
      <c r="T900" s="77">
        <f>50</f>
        <v>50</v>
      </c>
      <c r="U900" s="78"/>
      <c r="V900" s="78"/>
      <c r="W900" s="78"/>
      <c r="X900" s="78"/>
      <c r="Y900" s="78"/>
      <c r="Z900" s="78"/>
      <c r="AA900" s="78"/>
      <c r="AB900" s="78"/>
      <c r="AC900" s="78"/>
      <c r="AD900" s="78"/>
    </row>
    <row r="901" spans="1:30" ht="15.75" x14ac:dyDescent="0.25">
      <c r="A901" s="13">
        <v>68727</v>
      </c>
      <c r="B901" s="88">
        <f t="shared" si="140"/>
        <v>29</v>
      </c>
      <c r="C901" s="77">
        <f>122.58</f>
        <v>122.58</v>
      </c>
      <c r="D901" s="77">
        <f>297.941</f>
        <v>297.94099999999997</v>
      </c>
      <c r="E901" s="85">
        <f>89.177</f>
        <v>89.177000000000007</v>
      </c>
      <c r="F901" s="77">
        <f>240.302-40-60-100</f>
        <v>40.301999999999992</v>
      </c>
      <c r="G901" s="80">
        <v>40</v>
      </c>
      <c r="H901" s="77">
        <f>60+100</f>
        <v>160</v>
      </c>
      <c r="I901" s="77">
        <f t="shared" si="147"/>
        <v>0</v>
      </c>
      <c r="J901" s="80">
        <v>100</v>
      </c>
      <c r="K901" s="80">
        <v>300</v>
      </c>
      <c r="L901" s="77">
        <f t="shared" si="141"/>
        <v>1150</v>
      </c>
      <c r="M901" s="87">
        <v>600</v>
      </c>
      <c r="N901" s="77">
        <f>100</f>
        <v>100</v>
      </c>
      <c r="O901" s="80">
        <v>240</v>
      </c>
      <c r="P901" s="80">
        <v>40</v>
      </c>
      <c r="Q901" s="80">
        <f t="shared" si="142"/>
        <v>315</v>
      </c>
      <c r="R901" s="80">
        <f t="shared" si="143"/>
        <v>100</v>
      </c>
      <c r="S901" s="77">
        <f t="shared" si="144"/>
        <v>695</v>
      </c>
      <c r="T901" s="77">
        <f>50</f>
        <v>50</v>
      </c>
      <c r="U901" s="78"/>
      <c r="V901" s="78"/>
      <c r="W901" s="78"/>
      <c r="X901" s="78"/>
      <c r="Y901" s="78"/>
      <c r="Z901" s="78"/>
      <c r="AA901" s="78"/>
      <c r="AB901" s="78"/>
      <c r="AC901" s="78"/>
      <c r="AD901" s="78"/>
    </row>
    <row r="902" spans="1:30" ht="15.75" x14ac:dyDescent="0.25">
      <c r="A902" s="13">
        <v>68758</v>
      </c>
      <c r="B902" s="88">
        <f t="shared" si="140"/>
        <v>31</v>
      </c>
      <c r="C902" s="77">
        <f>122.58</f>
        <v>122.58</v>
      </c>
      <c r="D902" s="77">
        <f>297.941</f>
        <v>297.94099999999997</v>
      </c>
      <c r="E902" s="85">
        <f>89.177</f>
        <v>89.177000000000007</v>
      </c>
      <c r="F902" s="77">
        <f>240.302-40-60-100</f>
        <v>40.301999999999992</v>
      </c>
      <c r="G902" s="80">
        <v>40</v>
      </c>
      <c r="H902" s="77">
        <f>60+100</f>
        <v>160</v>
      </c>
      <c r="I902" s="77">
        <f t="shared" si="147"/>
        <v>0</v>
      </c>
      <c r="J902" s="80">
        <v>100</v>
      </c>
      <c r="K902" s="80">
        <v>300</v>
      </c>
      <c r="L902" s="77">
        <f t="shared" si="141"/>
        <v>1150</v>
      </c>
      <c r="M902" s="87">
        <v>600</v>
      </c>
      <c r="N902" s="77">
        <f>100</f>
        <v>100</v>
      </c>
      <c r="O902" s="80">
        <v>240</v>
      </c>
      <c r="P902" s="80">
        <v>40</v>
      </c>
      <c r="Q902" s="80">
        <f t="shared" si="142"/>
        <v>315</v>
      </c>
      <c r="R902" s="80">
        <f t="shared" si="143"/>
        <v>100</v>
      </c>
      <c r="S902" s="77">
        <f t="shared" si="144"/>
        <v>695</v>
      </c>
      <c r="T902" s="77">
        <f>50</f>
        <v>50</v>
      </c>
      <c r="U902" s="78"/>
      <c r="V902" s="78"/>
      <c r="W902" s="78"/>
      <c r="X902" s="78"/>
      <c r="Y902" s="78"/>
      <c r="Z902" s="78"/>
      <c r="AA902" s="78"/>
      <c r="AB902" s="78"/>
      <c r="AC902" s="78"/>
      <c r="AD902" s="78"/>
    </row>
    <row r="903" spans="1:30" ht="15.75" x14ac:dyDescent="0.25">
      <c r="A903" s="13">
        <v>68788</v>
      </c>
      <c r="B903" s="88">
        <f t="shared" si="140"/>
        <v>30</v>
      </c>
      <c r="C903" s="77">
        <f>141.293</f>
        <v>141.29300000000001</v>
      </c>
      <c r="D903" s="77">
        <f>267.993</f>
        <v>267.99299999999999</v>
      </c>
      <c r="E903" s="85">
        <f>115.016</f>
        <v>115.01600000000001</v>
      </c>
      <c r="F903" s="77">
        <f>314.698-40-25-60-100</f>
        <v>89.697999999999979</v>
      </c>
      <c r="G903" s="80">
        <v>40</v>
      </c>
      <c r="H903" s="77">
        <f t="shared" ref="H903:H909" si="150">25+60+100</f>
        <v>185</v>
      </c>
      <c r="I903" s="77">
        <f t="shared" si="147"/>
        <v>0</v>
      </c>
      <c r="J903" s="80">
        <v>100</v>
      </c>
      <c r="K903" s="80">
        <v>300</v>
      </c>
      <c r="L903" s="77">
        <f t="shared" si="141"/>
        <v>1239</v>
      </c>
      <c r="M903" s="87">
        <v>600</v>
      </c>
      <c r="N903" s="77">
        <f>100</f>
        <v>100</v>
      </c>
      <c r="O903" s="80">
        <v>240</v>
      </c>
      <c r="P903" s="80">
        <v>40</v>
      </c>
      <c r="Q903" s="80">
        <f t="shared" si="142"/>
        <v>315</v>
      </c>
      <c r="R903" s="80">
        <f t="shared" si="143"/>
        <v>100</v>
      </c>
      <c r="S903" s="77">
        <f t="shared" si="144"/>
        <v>695</v>
      </c>
      <c r="T903" s="77">
        <f>50</f>
        <v>50</v>
      </c>
      <c r="U903" s="78"/>
      <c r="V903" s="78"/>
      <c r="W903" s="78"/>
      <c r="X903" s="78"/>
      <c r="Y903" s="78"/>
      <c r="Z903" s="78"/>
      <c r="AA903" s="78"/>
      <c r="AB903" s="78"/>
      <c r="AC903" s="78"/>
      <c r="AD903" s="78"/>
    </row>
    <row r="904" spans="1:30" ht="15.75" x14ac:dyDescent="0.25">
      <c r="A904" s="13">
        <v>68819</v>
      </c>
      <c r="B904" s="88">
        <f t="shared" si="140"/>
        <v>31</v>
      </c>
      <c r="C904" s="77">
        <f>194.205</f>
        <v>194.20500000000001</v>
      </c>
      <c r="D904" s="77">
        <f>267.466</f>
        <v>267.46600000000001</v>
      </c>
      <c r="E904" s="85">
        <f>133.845</f>
        <v>133.845</v>
      </c>
      <c r="F904" s="77">
        <f>278.484-40-25-60-100</f>
        <v>53.48399999999998</v>
      </c>
      <c r="G904" s="80">
        <v>40</v>
      </c>
      <c r="H904" s="77">
        <f t="shared" si="150"/>
        <v>185</v>
      </c>
      <c r="I904" s="77">
        <f t="shared" si="147"/>
        <v>0</v>
      </c>
      <c r="J904" s="80">
        <v>100</v>
      </c>
      <c r="K904" s="80">
        <v>300</v>
      </c>
      <c r="L904" s="77">
        <f t="shared" si="141"/>
        <v>1274</v>
      </c>
      <c r="M904" s="87">
        <v>600</v>
      </c>
      <c r="N904" s="77">
        <f>75</f>
        <v>75</v>
      </c>
      <c r="O904" s="80">
        <v>240</v>
      </c>
      <c r="P904" s="80">
        <v>40</v>
      </c>
      <c r="Q904" s="80">
        <f t="shared" si="142"/>
        <v>315</v>
      </c>
      <c r="R904" s="80">
        <f t="shared" si="143"/>
        <v>100</v>
      </c>
      <c r="S904" s="77">
        <f t="shared" si="144"/>
        <v>695</v>
      </c>
      <c r="T904" s="77">
        <f>50</f>
        <v>50</v>
      </c>
      <c r="U904" s="78"/>
      <c r="V904" s="78"/>
      <c r="W904" s="78"/>
      <c r="X904" s="78"/>
      <c r="Y904" s="78"/>
      <c r="Z904" s="78"/>
      <c r="AA904" s="78"/>
      <c r="AB904" s="78"/>
      <c r="AC904" s="78"/>
      <c r="AD904" s="78"/>
    </row>
    <row r="905" spans="1:30" ht="15.75" x14ac:dyDescent="0.25">
      <c r="A905" s="13">
        <v>68849</v>
      </c>
      <c r="B905" s="88">
        <f t="shared" si="140"/>
        <v>30</v>
      </c>
      <c r="C905" s="77">
        <f>194.205</f>
        <v>194.20500000000001</v>
      </c>
      <c r="D905" s="77">
        <f>267.466</f>
        <v>267.46600000000001</v>
      </c>
      <c r="E905" s="85">
        <f>133.845</f>
        <v>133.845</v>
      </c>
      <c r="F905" s="77">
        <f>278.484-40-25-60-100</f>
        <v>53.48399999999998</v>
      </c>
      <c r="G905" s="80">
        <v>40</v>
      </c>
      <c r="H905" s="77">
        <f t="shared" si="150"/>
        <v>185</v>
      </c>
      <c r="I905" s="77">
        <f t="shared" si="147"/>
        <v>0</v>
      </c>
      <c r="J905" s="80">
        <v>100</v>
      </c>
      <c r="K905" s="80">
        <v>300</v>
      </c>
      <c r="L905" s="77">
        <f t="shared" si="141"/>
        <v>1274</v>
      </c>
      <c r="M905" s="87">
        <v>600</v>
      </c>
      <c r="N905" s="77">
        <f>30</f>
        <v>30</v>
      </c>
      <c r="O905" s="80">
        <v>240</v>
      </c>
      <c r="P905" s="80">
        <v>40</v>
      </c>
      <c r="Q905" s="80">
        <f t="shared" si="142"/>
        <v>315</v>
      </c>
      <c r="R905" s="80">
        <f t="shared" si="143"/>
        <v>100</v>
      </c>
      <c r="S905" s="77">
        <f t="shared" si="144"/>
        <v>695</v>
      </c>
      <c r="T905" s="77">
        <f>50</f>
        <v>50</v>
      </c>
      <c r="U905" s="78"/>
      <c r="V905" s="78"/>
      <c r="W905" s="78"/>
      <c r="X905" s="78"/>
      <c r="Y905" s="78"/>
      <c r="Z905" s="78"/>
      <c r="AA905" s="78"/>
      <c r="AB905" s="78"/>
      <c r="AC905" s="78"/>
      <c r="AD905" s="78"/>
    </row>
    <row r="906" spans="1:30" ht="15.75" x14ac:dyDescent="0.25">
      <c r="A906" s="13">
        <v>68880</v>
      </c>
      <c r="B906" s="88">
        <f t="shared" si="140"/>
        <v>31</v>
      </c>
      <c r="C906" s="77">
        <f>194.205</f>
        <v>194.20500000000001</v>
      </c>
      <c r="D906" s="77">
        <f>267.466</f>
        <v>267.46600000000001</v>
      </c>
      <c r="E906" s="85">
        <f>133.845</f>
        <v>133.845</v>
      </c>
      <c r="F906" s="77">
        <f>278.484-40-25-60-100</f>
        <v>53.48399999999998</v>
      </c>
      <c r="G906" s="80">
        <v>40</v>
      </c>
      <c r="H906" s="77">
        <f t="shared" si="150"/>
        <v>185</v>
      </c>
      <c r="I906" s="77">
        <f t="shared" si="147"/>
        <v>0</v>
      </c>
      <c r="J906" s="80">
        <v>100</v>
      </c>
      <c r="K906" s="80">
        <v>300</v>
      </c>
      <c r="L906" s="77">
        <f t="shared" si="141"/>
        <v>1274</v>
      </c>
      <c r="M906" s="87">
        <v>600</v>
      </c>
      <c r="N906" s="77">
        <f>30</f>
        <v>30</v>
      </c>
      <c r="O906" s="80">
        <v>240</v>
      </c>
      <c r="P906" s="80">
        <v>40</v>
      </c>
      <c r="Q906" s="80">
        <f t="shared" si="142"/>
        <v>315</v>
      </c>
      <c r="R906" s="80">
        <f t="shared" si="143"/>
        <v>100</v>
      </c>
      <c r="S906" s="77">
        <f t="shared" si="144"/>
        <v>695</v>
      </c>
      <c r="T906" s="77">
        <f>0</f>
        <v>0</v>
      </c>
      <c r="U906" s="78"/>
      <c r="V906" s="78"/>
      <c r="W906" s="78"/>
      <c r="X906" s="78"/>
      <c r="Y906" s="78"/>
      <c r="Z906" s="78"/>
      <c r="AA906" s="78"/>
      <c r="AB906" s="78"/>
      <c r="AC906" s="78"/>
      <c r="AD906" s="78"/>
    </row>
    <row r="907" spans="1:30" ht="15.75" x14ac:dyDescent="0.25">
      <c r="A907" s="13">
        <v>68911</v>
      </c>
      <c r="B907" s="88">
        <f t="shared" si="140"/>
        <v>31</v>
      </c>
      <c r="C907" s="77">
        <f>194.205</f>
        <v>194.20500000000001</v>
      </c>
      <c r="D907" s="77">
        <f>267.466</f>
        <v>267.46600000000001</v>
      </c>
      <c r="E907" s="85">
        <f>133.845</f>
        <v>133.845</v>
      </c>
      <c r="F907" s="77">
        <f>278.484-40-25-60-100</f>
        <v>53.48399999999998</v>
      </c>
      <c r="G907" s="80">
        <v>40</v>
      </c>
      <c r="H907" s="77">
        <f t="shared" si="150"/>
        <v>185</v>
      </c>
      <c r="I907" s="77">
        <f t="shared" si="147"/>
        <v>0</v>
      </c>
      <c r="J907" s="80">
        <v>100</v>
      </c>
      <c r="K907" s="80">
        <v>300</v>
      </c>
      <c r="L907" s="77">
        <f t="shared" si="141"/>
        <v>1274</v>
      </c>
      <c r="M907" s="87">
        <v>600</v>
      </c>
      <c r="N907" s="77">
        <f>30</f>
        <v>30</v>
      </c>
      <c r="O907" s="80">
        <v>240</v>
      </c>
      <c r="P907" s="80">
        <v>40</v>
      </c>
      <c r="Q907" s="80">
        <f t="shared" si="142"/>
        <v>315</v>
      </c>
      <c r="R907" s="80">
        <f t="shared" si="143"/>
        <v>100</v>
      </c>
      <c r="S907" s="77">
        <f t="shared" si="144"/>
        <v>695</v>
      </c>
      <c r="T907" s="77">
        <f>0</f>
        <v>0</v>
      </c>
      <c r="U907" s="78"/>
      <c r="V907" s="78"/>
      <c r="W907" s="78"/>
      <c r="X907" s="78"/>
      <c r="Y907" s="78"/>
      <c r="Z907" s="78"/>
      <c r="AA907" s="78"/>
      <c r="AB907" s="78"/>
      <c r="AC907" s="78"/>
      <c r="AD907" s="78"/>
    </row>
    <row r="908" spans="1:30" ht="15.75" x14ac:dyDescent="0.25">
      <c r="A908" s="13">
        <v>68941</v>
      </c>
      <c r="B908" s="88">
        <f t="shared" ref="B908:B971" si="151">EOMONTH(A908,0)-EOMONTH(A908,-1)</f>
        <v>30</v>
      </c>
      <c r="C908" s="77">
        <f>194.205</f>
        <v>194.20500000000001</v>
      </c>
      <c r="D908" s="77">
        <f>267.466</f>
        <v>267.46600000000001</v>
      </c>
      <c r="E908" s="85">
        <f>133.845</f>
        <v>133.845</v>
      </c>
      <c r="F908" s="77">
        <f>278.484-40-25-60-100</f>
        <v>53.48399999999998</v>
      </c>
      <c r="G908" s="80">
        <v>40</v>
      </c>
      <c r="H908" s="77">
        <f t="shared" si="150"/>
        <v>185</v>
      </c>
      <c r="I908" s="77">
        <f t="shared" si="147"/>
        <v>0</v>
      </c>
      <c r="J908" s="80">
        <v>100</v>
      </c>
      <c r="K908" s="80">
        <v>300</v>
      </c>
      <c r="L908" s="77">
        <f t="shared" si="141"/>
        <v>1274</v>
      </c>
      <c r="M908" s="87">
        <v>600</v>
      </c>
      <c r="N908" s="77">
        <f>30</f>
        <v>30</v>
      </c>
      <c r="O908" s="80">
        <v>240</v>
      </c>
      <c r="P908" s="80">
        <v>40</v>
      </c>
      <c r="Q908" s="80">
        <f t="shared" si="142"/>
        <v>315</v>
      </c>
      <c r="R908" s="80">
        <f t="shared" si="143"/>
        <v>100</v>
      </c>
      <c r="S908" s="77">
        <f t="shared" si="144"/>
        <v>695</v>
      </c>
      <c r="T908" s="77">
        <f>0</f>
        <v>0</v>
      </c>
      <c r="U908" s="78"/>
      <c r="V908" s="78"/>
      <c r="W908" s="78"/>
      <c r="X908" s="78"/>
      <c r="Y908" s="78"/>
      <c r="Z908" s="78"/>
      <c r="AA908" s="78"/>
      <c r="AB908" s="78"/>
      <c r="AC908" s="78"/>
      <c r="AD908" s="78"/>
    </row>
    <row r="909" spans="1:30" ht="15.75" x14ac:dyDescent="0.25">
      <c r="A909" s="13">
        <v>68972</v>
      </c>
      <c r="B909" s="88">
        <f t="shared" si="151"/>
        <v>31</v>
      </c>
      <c r="C909" s="77">
        <f>131.881</f>
        <v>131.881</v>
      </c>
      <c r="D909" s="77">
        <f>277.167</f>
        <v>277.16699999999997</v>
      </c>
      <c r="E909" s="85">
        <f>79.08</f>
        <v>79.08</v>
      </c>
      <c r="F909" s="77">
        <f>350.872-40-25-60-100</f>
        <v>125.87200000000001</v>
      </c>
      <c r="G909" s="80">
        <v>40</v>
      </c>
      <c r="H909" s="77">
        <f t="shared" si="150"/>
        <v>185</v>
      </c>
      <c r="I909" s="77">
        <f t="shared" si="147"/>
        <v>0</v>
      </c>
      <c r="J909" s="80">
        <v>100</v>
      </c>
      <c r="K909" s="80">
        <v>300</v>
      </c>
      <c r="L909" s="77">
        <f t="shared" si="141"/>
        <v>1239</v>
      </c>
      <c r="M909" s="87">
        <v>600</v>
      </c>
      <c r="N909" s="77">
        <f>75</f>
        <v>75</v>
      </c>
      <c r="O909" s="80">
        <v>240</v>
      </c>
      <c r="P909" s="80">
        <v>40</v>
      </c>
      <c r="Q909" s="80">
        <f t="shared" si="142"/>
        <v>315</v>
      </c>
      <c r="R909" s="80">
        <f t="shared" si="143"/>
        <v>100</v>
      </c>
      <c r="S909" s="77">
        <f t="shared" si="144"/>
        <v>695</v>
      </c>
      <c r="T909" s="77">
        <f>0</f>
        <v>0</v>
      </c>
      <c r="U909" s="78"/>
      <c r="V909" s="78"/>
      <c r="W909" s="78"/>
      <c r="X909" s="78"/>
      <c r="Y909" s="78"/>
      <c r="Z909" s="78"/>
      <c r="AA909" s="78"/>
      <c r="AB909" s="78"/>
      <c r="AC909" s="78"/>
      <c r="AD909" s="78"/>
    </row>
    <row r="910" spans="1:30" ht="15.75" x14ac:dyDescent="0.25">
      <c r="A910" s="13">
        <v>69002</v>
      </c>
      <c r="B910" s="88">
        <f t="shared" si="151"/>
        <v>30</v>
      </c>
      <c r="C910" s="77">
        <f>122.58</f>
        <v>122.58</v>
      </c>
      <c r="D910" s="77">
        <f>297.941</f>
        <v>297.94099999999997</v>
      </c>
      <c r="E910" s="85">
        <f>89.177</f>
        <v>89.177000000000007</v>
      </c>
      <c r="F910" s="77">
        <f>240.302-40-60-100</f>
        <v>40.301999999999992</v>
      </c>
      <c r="G910" s="80">
        <v>40</v>
      </c>
      <c r="H910" s="77">
        <f>60+100</f>
        <v>160</v>
      </c>
      <c r="I910" s="77">
        <f t="shared" si="147"/>
        <v>0</v>
      </c>
      <c r="J910" s="80">
        <v>100</v>
      </c>
      <c r="K910" s="80">
        <v>300</v>
      </c>
      <c r="L910" s="77">
        <f t="shared" ref="L910:L973" si="152">SUM(C910:K910)</f>
        <v>1150</v>
      </c>
      <c r="M910" s="87">
        <v>600</v>
      </c>
      <c r="N910" s="77">
        <f>100</f>
        <v>100</v>
      </c>
      <c r="O910" s="80">
        <v>240</v>
      </c>
      <c r="P910" s="80">
        <v>40</v>
      </c>
      <c r="Q910" s="80">
        <f t="shared" ref="Q910:Q973" si="153">695-R910-O910-P910</f>
        <v>315</v>
      </c>
      <c r="R910" s="80">
        <f t="shared" ref="R910:R973" si="154">200-J910</f>
        <v>100</v>
      </c>
      <c r="S910" s="77">
        <f t="shared" ref="S910:S973" si="155">SUM(O910:R910)</f>
        <v>695</v>
      </c>
      <c r="T910" s="77">
        <f>50</f>
        <v>50</v>
      </c>
      <c r="U910" s="78"/>
      <c r="V910" s="78"/>
      <c r="W910" s="78"/>
      <c r="X910" s="78"/>
      <c r="Y910" s="78"/>
      <c r="Z910" s="78"/>
      <c r="AA910" s="78"/>
      <c r="AB910" s="78"/>
      <c r="AC910" s="78"/>
      <c r="AD910" s="78"/>
    </row>
    <row r="911" spans="1:30" ht="15.75" x14ac:dyDescent="0.25">
      <c r="A911" s="13">
        <v>69033</v>
      </c>
      <c r="B911" s="88">
        <f t="shared" si="151"/>
        <v>31</v>
      </c>
      <c r="C911" s="77">
        <f>122.58</f>
        <v>122.58</v>
      </c>
      <c r="D911" s="77">
        <f>297.941</f>
        <v>297.94099999999997</v>
      </c>
      <c r="E911" s="85">
        <f>89.177</f>
        <v>89.177000000000007</v>
      </c>
      <c r="F911" s="77">
        <f>240.302-40-60-100</f>
        <v>40.301999999999992</v>
      </c>
      <c r="G911" s="80">
        <v>40</v>
      </c>
      <c r="H911" s="77">
        <f>60+100</f>
        <v>160</v>
      </c>
      <c r="I911" s="77">
        <f t="shared" si="147"/>
        <v>0</v>
      </c>
      <c r="J911" s="80">
        <v>100</v>
      </c>
      <c r="K911" s="80">
        <v>300</v>
      </c>
      <c r="L911" s="77">
        <f t="shared" si="152"/>
        <v>1150</v>
      </c>
      <c r="M911" s="87">
        <v>600</v>
      </c>
      <c r="N911" s="77">
        <f>100</f>
        <v>100</v>
      </c>
      <c r="O911" s="80">
        <v>240</v>
      </c>
      <c r="P911" s="80">
        <v>40</v>
      </c>
      <c r="Q911" s="80">
        <f t="shared" si="153"/>
        <v>315</v>
      </c>
      <c r="R911" s="80">
        <f t="shared" si="154"/>
        <v>100</v>
      </c>
      <c r="S911" s="77">
        <f t="shared" si="155"/>
        <v>695</v>
      </c>
      <c r="T911" s="77">
        <f>50</f>
        <v>50</v>
      </c>
      <c r="U911" s="78"/>
      <c r="V911" s="78"/>
      <c r="W911" s="78"/>
      <c r="X911" s="78"/>
      <c r="Y911" s="78"/>
      <c r="Z911" s="78"/>
      <c r="AA911" s="78"/>
      <c r="AB911" s="78"/>
      <c r="AC911" s="78"/>
      <c r="AD911" s="78"/>
    </row>
    <row r="912" spans="1:30" ht="15.75" x14ac:dyDescent="0.25">
      <c r="A912" s="13">
        <v>69064</v>
      </c>
      <c r="B912" s="88">
        <f t="shared" si="151"/>
        <v>31</v>
      </c>
      <c r="C912" s="77">
        <f>122.58</f>
        <v>122.58</v>
      </c>
      <c r="D912" s="77">
        <f>297.941</f>
        <v>297.94099999999997</v>
      </c>
      <c r="E912" s="85">
        <f>89.177</f>
        <v>89.177000000000007</v>
      </c>
      <c r="F912" s="77">
        <f>240.302-40-60-100</f>
        <v>40.301999999999992</v>
      </c>
      <c r="G912" s="80">
        <v>40</v>
      </c>
      <c r="H912" s="77">
        <f>60+100</f>
        <v>160</v>
      </c>
      <c r="I912" s="77">
        <f t="shared" si="147"/>
        <v>0</v>
      </c>
      <c r="J912" s="80">
        <v>100</v>
      </c>
      <c r="K912" s="80">
        <v>300</v>
      </c>
      <c r="L912" s="77">
        <f t="shared" si="152"/>
        <v>1150</v>
      </c>
      <c r="M912" s="87">
        <v>600</v>
      </c>
      <c r="N912" s="77">
        <f>100</f>
        <v>100</v>
      </c>
      <c r="O912" s="80">
        <v>240</v>
      </c>
      <c r="P912" s="80">
        <v>40</v>
      </c>
      <c r="Q912" s="80">
        <f t="shared" si="153"/>
        <v>315</v>
      </c>
      <c r="R912" s="80">
        <f t="shared" si="154"/>
        <v>100</v>
      </c>
      <c r="S912" s="77">
        <f t="shared" si="155"/>
        <v>695</v>
      </c>
      <c r="T912" s="77">
        <f>50</f>
        <v>50</v>
      </c>
      <c r="U912" s="78"/>
      <c r="V912" s="78"/>
      <c r="W912" s="78"/>
      <c r="X912" s="78"/>
      <c r="Y912" s="78"/>
      <c r="Z912" s="78"/>
      <c r="AA912" s="78"/>
      <c r="AB912" s="78"/>
      <c r="AC912" s="78"/>
      <c r="AD912" s="78"/>
    </row>
    <row r="913" spans="1:30" ht="15.75" x14ac:dyDescent="0.25">
      <c r="A913" s="13">
        <v>69092</v>
      </c>
      <c r="B913" s="88">
        <f t="shared" si="151"/>
        <v>28</v>
      </c>
      <c r="C913" s="77">
        <f>122.58</f>
        <v>122.58</v>
      </c>
      <c r="D913" s="77">
        <f>297.941</f>
        <v>297.94099999999997</v>
      </c>
      <c r="E913" s="85">
        <f>89.177</f>
        <v>89.177000000000007</v>
      </c>
      <c r="F913" s="77">
        <f>240.302-40-60-100</f>
        <v>40.301999999999992</v>
      </c>
      <c r="G913" s="80">
        <v>40</v>
      </c>
      <c r="H913" s="77">
        <f>60+100</f>
        <v>160</v>
      </c>
      <c r="I913" s="77">
        <f t="shared" si="147"/>
        <v>0</v>
      </c>
      <c r="J913" s="80">
        <v>100</v>
      </c>
      <c r="K913" s="80">
        <v>300</v>
      </c>
      <c r="L913" s="77">
        <f t="shared" si="152"/>
        <v>1150</v>
      </c>
      <c r="M913" s="87">
        <v>600</v>
      </c>
      <c r="N913" s="77">
        <f>100</f>
        <v>100</v>
      </c>
      <c r="O913" s="80">
        <v>240</v>
      </c>
      <c r="P913" s="80">
        <v>40</v>
      </c>
      <c r="Q913" s="80">
        <f t="shared" si="153"/>
        <v>315</v>
      </c>
      <c r="R913" s="80">
        <f t="shared" si="154"/>
        <v>100</v>
      </c>
      <c r="S913" s="77">
        <f t="shared" si="155"/>
        <v>695</v>
      </c>
      <c r="T913" s="77">
        <f>50</f>
        <v>50</v>
      </c>
      <c r="U913" s="78"/>
      <c r="V913" s="78"/>
      <c r="W913" s="78"/>
      <c r="X913" s="78"/>
      <c r="Y913" s="78"/>
      <c r="Z913" s="78"/>
      <c r="AA913" s="78"/>
      <c r="AB913" s="78"/>
      <c r="AC913" s="78"/>
      <c r="AD913" s="78"/>
    </row>
    <row r="914" spans="1:30" ht="15.75" x14ac:dyDescent="0.25">
      <c r="A914" s="13">
        <v>69123</v>
      </c>
      <c r="B914" s="88">
        <f t="shared" si="151"/>
        <v>31</v>
      </c>
      <c r="C914" s="77">
        <f>122.58</f>
        <v>122.58</v>
      </c>
      <c r="D914" s="77">
        <f>297.941</f>
        <v>297.94099999999997</v>
      </c>
      <c r="E914" s="85">
        <f>89.177</f>
        <v>89.177000000000007</v>
      </c>
      <c r="F914" s="77">
        <f>240.302-40-60-100</f>
        <v>40.301999999999992</v>
      </c>
      <c r="G914" s="80">
        <v>40</v>
      </c>
      <c r="H914" s="77">
        <f>60+100</f>
        <v>160</v>
      </c>
      <c r="I914" s="77">
        <f t="shared" si="147"/>
        <v>0</v>
      </c>
      <c r="J914" s="80">
        <v>100</v>
      </c>
      <c r="K914" s="80">
        <v>300</v>
      </c>
      <c r="L914" s="77">
        <f t="shared" si="152"/>
        <v>1150</v>
      </c>
      <c r="M914" s="87">
        <v>600</v>
      </c>
      <c r="N914" s="77">
        <f>100</f>
        <v>100</v>
      </c>
      <c r="O914" s="80">
        <v>240</v>
      </c>
      <c r="P914" s="80">
        <v>40</v>
      </c>
      <c r="Q914" s="80">
        <f t="shared" si="153"/>
        <v>315</v>
      </c>
      <c r="R914" s="80">
        <f t="shared" si="154"/>
        <v>100</v>
      </c>
      <c r="S914" s="77">
        <f t="shared" si="155"/>
        <v>695</v>
      </c>
      <c r="T914" s="77">
        <f>50</f>
        <v>50</v>
      </c>
      <c r="U914" s="78"/>
      <c r="V914" s="78"/>
      <c r="W914" s="78"/>
      <c r="X914" s="78"/>
      <c r="Y914" s="78"/>
      <c r="Z914" s="78"/>
      <c r="AA914" s="78"/>
      <c r="AB914" s="78"/>
      <c r="AC914" s="78"/>
      <c r="AD914" s="78"/>
    </row>
    <row r="915" spans="1:30" ht="15.75" x14ac:dyDescent="0.25">
      <c r="A915" s="13">
        <v>69153</v>
      </c>
      <c r="B915" s="88">
        <f t="shared" si="151"/>
        <v>30</v>
      </c>
      <c r="C915" s="77">
        <f>141.293</f>
        <v>141.29300000000001</v>
      </c>
      <c r="D915" s="77">
        <f>267.993</f>
        <v>267.99299999999999</v>
      </c>
      <c r="E915" s="85">
        <f>115.016</f>
        <v>115.01600000000001</v>
      </c>
      <c r="F915" s="77">
        <f>314.698-40-25-60-100</f>
        <v>89.697999999999979</v>
      </c>
      <c r="G915" s="80">
        <v>40</v>
      </c>
      <c r="H915" s="77">
        <f t="shared" ref="H915:H921" si="156">25+60+100</f>
        <v>185</v>
      </c>
      <c r="I915" s="77">
        <f t="shared" si="147"/>
        <v>0</v>
      </c>
      <c r="J915" s="80">
        <v>100</v>
      </c>
      <c r="K915" s="80">
        <v>300</v>
      </c>
      <c r="L915" s="77">
        <f t="shared" si="152"/>
        <v>1239</v>
      </c>
      <c r="M915" s="87">
        <v>600</v>
      </c>
      <c r="N915" s="77">
        <f>100</f>
        <v>100</v>
      </c>
      <c r="O915" s="80">
        <v>240</v>
      </c>
      <c r="P915" s="80">
        <v>40</v>
      </c>
      <c r="Q915" s="80">
        <f t="shared" si="153"/>
        <v>315</v>
      </c>
      <c r="R915" s="80">
        <f t="shared" si="154"/>
        <v>100</v>
      </c>
      <c r="S915" s="77">
        <f t="shared" si="155"/>
        <v>695</v>
      </c>
      <c r="T915" s="77">
        <f>50</f>
        <v>50</v>
      </c>
      <c r="U915" s="78"/>
      <c r="V915" s="78"/>
      <c r="W915" s="78"/>
      <c r="X915" s="78"/>
      <c r="Y915" s="78"/>
      <c r="Z915" s="78"/>
      <c r="AA915" s="78"/>
      <c r="AB915" s="78"/>
      <c r="AC915" s="78"/>
      <c r="AD915" s="78"/>
    </row>
    <row r="916" spans="1:30" ht="15.75" x14ac:dyDescent="0.25">
      <c r="A916" s="13">
        <v>69184</v>
      </c>
      <c r="B916" s="88">
        <f t="shared" si="151"/>
        <v>31</v>
      </c>
      <c r="C916" s="77">
        <f>194.205</f>
        <v>194.20500000000001</v>
      </c>
      <c r="D916" s="77">
        <f>267.466</f>
        <v>267.46600000000001</v>
      </c>
      <c r="E916" s="85">
        <f>133.845</f>
        <v>133.845</v>
      </c>
      <c r="F916" s="77">
        <f>278.484-40-25-60-100</f>
        <v>53.48399999999998</v>
      </c>
      <c r="G916" s="80">
        <v>40</v>
      </c>
      <c r="H916" s="77">
        <f t="shared" si="156"/>
        <v>185</v>
      </c>
      <c r="I916" s="77">
        <f t="shared" si="147"/>
        <v>0</v>
      </c>
      <c r="J916" s="80">
        <v>100</v>
      </c>
      <c r="K916" s="80">
        <v>300</v>
      </c>
      <c r="L916" s="77">
        <f t="shared" si="152"/>
        <v>1274</v>
      </c>
      <c r="M916" s="87">
        <v>600</v>
      </c>
      <c r="N916" s="77">
        <f>75</f>
        <v>75</v>
      </c>
      <c r="O916" s="80">
        <v>240</v>
      </c>
      <c r="P916" s="80">
        <v>40</v>
      </c>
      <c r="Q916" s="80">
        <f t="shared" si="153"/>
        <v>315</v>
      </c>
      <c r="R916" s="80">
        <f t="shared" si="154"/>
        <v>100</v>
      </c>
      <c r="S916" s="77">
        <f t="shared" si="155"/>
        <v>695</v>
      </c>
      <c r="T916" s="77">
        <f>50</f>
        <v>50</v>
      </c>
      <c r="U916" s="78"/>
      <c r="V916" s="78"/>
      <c r="W916" s="78"/>
      <c r="X916" s="78"/>
      <c r="Y916" s="78"/>
      <c r="Z916" s="78"/>
      <c r="AA916" s="78"/>
      <c r="AB916" s="78"/>
      <c r="AC916" s="78"/>
      <c r="AD916" s="78"/>
    </row>
    <row r="917" spans="1:30" ht="15.75" x14ac:dyDescent="0.25">
      <c r="A917" s="13">
        <v>69214</v>
      </c>
      <c r="B917" s="88">
        <f t="shared" si="151"/>
        <v>30</v>
      </c>
      <c r="C917" s="77">
        <f>194.205</f>
        <v>194.20500000000001</v>
      </c>
      <c r="D917" s="77">
        <f>267.466</f>
        <v>267.46600000000001</v>
      </c>
      <c r="E917" s="85">
        <f>133.845</f>
        <v>133.845</v>
      </c>
      <c r="F917" s="77">
        <f>278.484-40-25-60-100</f>
        <v>53.48399999999998</v>
      </c>
      <c r="G917" s="80">
        <v>40</v>
      </c>
      <c r="H917" s="77">
        <f t="shared" si="156"/>
        <v>185</v>
      </c>
      <c r="I917" s="77">
        <f t="shared" si="147"/>
        <v>0</v>
      </c>
      <c r="J917" s="80">
        <v>100</v>
      </c>
      <c r="K917" s="80">
        <v>300</v>
      </c>
      <c r="L917" s="77">
        <f t="shared" si="152"/>
        <v>1274</v>
      </c>
      <c r="M917" s="87">
        <v>600</v>
      </c>
      <c r="N917" s="77">
        <f>30</f>
        <v>30</v>
      </c>
      <c r="O917" s="80">
        <v>240</v>
      </c>
      <c r="P917" s="80">
        <v>40</v>
      </c>
      <c r="Q917" s="80">
        <f t="shared" si="153"/>
        <v>315</v>
      </c>
      <c r="R917" s="80">
        <f t="shared" si="154"/>
        <v>100</v>
      </c>
      <c r="S917" s="77">
        <f t="shared" si="155"/>
        <v>695</v>
      </c>
      <c r="T917" s="77">
        <f>50</f>
        <v>50</v>
      </c>
      <c r="U917" s="78"/>
      <c r="V917" s="78"/>
      <c r="W917" s="78"/>
      <c r="X917" s="78"/>
      <c r="Y917" s="78"/>
      <c r="Z917" s="78"/>
      <c r="AA917" s="78"/>
      <c r="AB917" s="78"/>
      <c r="AC917" s="78"/>
      <c r="AD917" s="78"/>
    </row>
    <row r="918" spans="1:30" ht="15.75" x14ac:dyDescent="0.25">
      <c r="A918" s="13">
        <v>69245</v>
      </c>
      <c r="B918" s="88">
        <f t="shared" si="151"/>
        <v>31</v>
      </c>
      <c r="C918" s="77">
        <f>194.205</f>
        <v>194.20500000000001</v>
      </c>
      <c r="D918" s="77">
        <f>267.466</f>
        <v>267.46600000000001</v>
      </c>
      <c r="E918" s="85">
        <f>133.845</f>
        <v>133.845</v>
      </c>
      <c r="F918" s="77">
        <f>278.484-40-25-60-100</f>
        <v>53.48399999999998</v>
      </c>
      <c r="G918" s="80">
        <v>40</v>
      </c>
      <c r="H918" s="77">
        <f t="shared" si="156"/>
        <v>185</v>
      </c>
      <c r="I918" s="77">
        <f t="shared" si="147"/>
        <v>0</v>
      </c>
      <c r="J918" s="80">
        <v>100</v>
      </c>
      <c r="K918" s="80">
        <v>300</v>
      </c>
      <c r="L918" s="77">
        <f t="shared" si="152"/>
        <v>1274</v>
      </c>
      <c r="M918" s="87">
        <v>600</v>
      </c>
      <c r="N918" s="77">
        <f>30</f>
        <v>30</v>
      </c>
      <c r="O918" s="80">
        <v>240</v>
      </c>
      <c r="P918" s="80">
        <v>40</v>
      </c>
      <c r="Q918" s="80">
        <f t="shared" si="153"/>
        <v>315</v>
      </c>
      <c r="R918" s="80">
        <f t="shared" si="154"/>
        <v>100</v>
      </c>
      <c r="S918" s="77">
        <f t="shared" si="155"/>
        <v>695</v>
      </c>
      <c r="T918" s="77">
        <f>0</f>
        <v>0</v>
      </c>
      <c r="U918" s="78"/>
      <c r="V918" s="78"/>
      <c r="W918" s="78"/>
      <c r="X918" s="78"/>
      <c r="Y918" s="78"/>
      <c r="Z918" s="78"/>
      <c r="AA918" s="78"/>
      <c r="AB918" s="78"/>
      <c r="AC918" s="78"/>
      <c r="AD918" s="78"/>
    </row>
    <row r="919" spans="1:30" ht="15.75" x14ac:dyDescent="0.25">
      <c r="A919" s="13">
        <v>69276</v>
      </c>
      <c r="B919" s="88">
        <f t="shared" si="151"/>
        <v>31</v>
      </c>
      <c r="C919" s="77">
        <f>194.205</f>
        <v>194.20500000000001</v>
      </c>
      <c r="D919" s="77">
        <f>267.466</f>
        <v>267.46600000000001</v>
      </c>
      <c r="E919" s="85">
        <f>133.845</f>
        <v>133.845</v>
      </c>
      <c r="F919" s="77">
        <f>278.484-40-25-60-100</f>
        <v>53.48399999999998</v>
      </c>
      <c r="G919" s="80">
        <v>40</v>
      </c>
      <c r="H919" s="77">
        <f t="shared" si="156"/>
        <v>185</v>
      </c>
      <c r="I919" s="77">
        <f t="shared" si="147"/>
        <v>0</v>
      </c>
      <c r="J919" s="80">
        <v>100</v>
      </c>
      <c r="K919" s="80">
        <v>300</v>
      </c>
      <c r="L919" s="77">
        <f t="shared" si="152"/>
        <v>1274</v>
      </c>
      <c r="M919" s="87">
        <v>600</v>
      </c>
      <c r="N919" s="77">
        <f>30</f>
        <v>30</v>
      </c>
      <c r="O919" s="80">
        <v>240</v>
      </c>
      <c r="P919" s="80">
        <v>40</v>
      </c>
      <c r="Q919" s="80">
        <f t="shared" si="153"/>
        <v>315</v>
      </c>
      <c r="R919" s="80">
        <f t="shared" si="154"/>
        <v>100</v>
      </c>
      <c r="S919" s="77">
        <f t="shared" si="155"/>
        <v>695</v>
      </c>
      <c r="T919" s="77">
        <f>0</f>
        <v>0</v>
      </c>
      <c r="U919" s="78"/>
      <c r="V919" s="78"/>
      <c r="W919" s="78"/>
      <c r="X919" s="78"/>
      <c r="Y919" s="78"/>
      <c r="Z919" s="78"/>
      <c r="AA919" s="78"/>
      <c r="AB919" s="78"/>
      <c r="AC919" s="78"/>
      <c r="AD919" s="78"/>
    </row>
    <row r="920" spans="1:30" ht="15.75" x14ac:dyDescent="0.25">
      <c r="A920" s="13">
        <v>69306</v>
      </c>
      <c r="B920" s="88">
        <f t="shared" si="151"/>
        <v>30</v>
      </c>
      <c r="C920" s="77">
        <f>194.205</f>
        <v>194.20500000000001</v>
      </c>
      <c r="D920" s="77">
        <f>267.466</f>
        <v>267.46600000000001</v>
      </c>
      <c r="E920" s="85">
        <f>133.845</f>
        <v>133.845</v>
      </c>
      <c r="F920" s="77">
        <f>278.484-40-25-60-100</f>
        <v>53.48399999999998</v>
      </c>
      <c r="G920" s="80">
        <v>40</v>
      </c>
      <c r="H920" s="77">
        <f t="shared" si="156"/>
        <v>185</v>
      </c>
      <c r="I920" s="77">
        <f t="shared" si="147"/>
        <v>0</v>
      </c>
      <c r="J920" s="80">
        <v>100</v>
      </c>
      <c r="K920" s="80">
        <v>300</v>
      </c>
      <c r="L920" s="77">
        <f t="shared" si="152"/>
        <v>1274</v>
      </c>
      <c r="M920" s="87">
        <v>600</v>
      </c>
      <c r="N920" s="77">
        <f>30</f>
        <v>30</v>
      </c>
      <c r="O920" s="80">
        <v>240</v>
      </c>
      <c r="P920" s="80">
        <v>40</v>
      </c>
      <c r="Q920" s="80">
        <f t="shared" si="153"/>
        <v>315</v>
      </c>
      <c r="R920" s="80">
        <f t="shared" si="154"/>
        <v>100</v>
      </c>
      <c r="S920" s="77">
        <f t="shared" si="155"/>
        <v>695</v>
      </c>
      <c r="T920" s="77">
        <f>0</f>
        <v>0</v>
      </c>
      <c r="U920" s="78"/>
      <c r="V920" s="78"/>
      <c r="W920" s="78"/>
      <c r="X920" s="78"/>
      <c r="Y920" s="78"/>
      <c r="Z920" s="78"/>
      <c r="AA920" s="78"/>
      <c r="AB920" s="78"/>
      <c r="AC920" s="78"/>
      <c r="AD920" s="78"/>
    </row>
    <row r="921" spans="1:30" ht="15.75" x14ac:dyDescent="0.25">
      <c r="A921" s="13">
        <v>69337</v>
      </c>
      <c r="B921" s="88">
        <f t="shared" si="151"/>
        <v>31</v>
      </c>
      <c r="C921" s="77">
        <f>131.881</f>
        <v>131.881</v>
      </c>
      <c r="D921" s="77">
        <f>277.167</f>
        <v>277.16699999999997</v>
      </c>
      <c r="E921" s="85">
        <f>79.08</f>
        <v>79.08</v>
      </c>
      <c r="F921" s="77">
        <f>350.872-40-25-60-100</f>
        <v>125.87200000000001</v>
      </c>
      <c r="G921" s="80">
        <v>40</v>
      </c>
      <c r="H921" s="77">
        <f t="shared" si="156"/>
        <v>185</v>
      </c>
      <c r="I921" s="77">
        <f t="shared" si="147"/>
        <v>0</v>
      </c>
      <c r="J921" s="80">
        <v>100</v>
      </c>
      <c r="K921" s="80">
        <v>300</v>
      </c>
      <c r="L921" s="77">
        <f t="shared" si="152"/>
        <v>1239</v>
      </c>
      <c r="M921" s="87">
        <v>600</v>
      </c>
      <c r="N921" s="77">
        <f>75</f>
        <v>75</v>
      </c>
      <c r="O921" s="80">
        <v>240</v>
      </c>
      <c r="P921" s="80">
        <v>40</v>
      </c>
      <c r="Q921" s="80">
        <f t="shared" si="153"/>
        <v>315</v>
      </c>
      <c r="R921" s="80">
        <f t="shared" si="154"/>
        <v>100</v>
      </c>
      <c r="S921" s="77">
        <f t="shared" si="155"/>
        <v>695</v>
      </c>
      <c r="T921" s="77">
        <f>0</f>
        <v>0</v>
      </c>
      <c r="U921" s="78"/>
      <c r="V921" s="78"/>
      <c r="W921" s="78"/>
      <c r="X921" s="78"/>
      <c r="Y921" s="78"/>
      <c r="Z921" s="78"/>
      <c r="AA921" s="78"/>
      <c r="AB921" s="78"/>
      <c r="AC921" s="78"/>
      <c r="AD921" s="78"/>
    </row>
    <row r="922" spans="1:30" ht="15.75" x14ac:dyDescent="0.25">
      <c r="A922" s="13">
        <v>69367</v>
      </c>
      <c r="B922" s="88">
        <f t="shared" si="151"/>
        <v>30</v>
      </c>
      <c r="C922" s="77">
        <f>122.58</f>
        <v>122.58</v>
      </c>
      <c r="D922" s="77">
        <f>297.941</f>
        <v>297.94099999999997</v>
      </c>
      <c r="E922" s="85">
        <f>89.177</f>
        <v>89.177000000000007</v>
      </c>
      <c r="F922" s="77">
        <f>240.302-40-60-100</f>
        <v>40.301999999999992</v>
      </c>
      <c r="G922" s="80">
        <v>40</v>
      </c>
      <c r="H922" s="77">
        <f>60+100</f>
        <v>160</v>
      </c>
      <c r="I922" s="77">
        <f t="shared" si="147"/>
        <v>0</v>
      </c>
      <c r="J922" s="80">
        <v>100</v>
      </c>
      <c r="K922" s="80">
        <v>300</v>
      </c>
      <c r="L922" s="77">
        <f t="shared" si="152"/>
        <v>1150</v>
      </c>
      <c r="M922" s="87">
        <v>600</v>
      </c>
      <c r="N922" s="77">
        <f>100</f>
        <v>100</v>
      </c>
      <c r="O922" s="80">
        <v>240</v>
      </c>
      <c r="P922" s="80">
        <v>40</v>
      </c>
      <c r="Q922" s="80">
        <f t="shared" si="153"/>
        <v>315</v>
      </c>
      <c r="R922" s="80">
        <f t="shared" si="154"/>
        <v>100</v>
      </c>
      <c r="S922" s="77">
        <f t="shared" si="155"/>
        <v>695</v>
      </c>
      <c r="T922" s="77">
        <f>50</f>
        <v>50</v>
      </c>
      <c r="U922" s="78"/>
      <c r="V922" s="78"/>
      <c r="W922" s="78"/>
      <c r="X922" s="78"/>
      <c r="Y922" s="78"/>
      <c r="Z922" s="78"/>
      <c r="AA922" s="78"/>
      <c r="AB922" s="78"/>
      <c r="AC922" s="78"/>
      <c r="AD922" s="78"/>
    </row>
    <row r="923" spans="1:30" ht="15.75" x14ac:dyDescent="0.25">
      <c r="A923" s="13">
        <v>69398</v>
      </c>
      <c r="B923" s="88">
        <f t="shared" si="151"/>
        <v>31</v>
      </c>
      <c r="C923" s="77">
        <f>122.58</f>
        <v>122.58</v>
      </c>
      <c r="D923" s="77">
        <f>297.941</f>
        <v>297.94099999999997</v>
      </c>
      <c r="E923" s="85">
        <f>89.177</f>
        <v>89.177000000000007</v>
      </c>
      <c r="F923" s="77">
        <f>240.302-40-60-100</f>
        <v>40.301999999999992</v>
      </c>
      <c r="G923" s="80">
        <v>40</v>
      </c>
      <c r="H923" s="77">
        <f>60+100</f>
        <v>160</v>
      </c>
      <c r="I923" s="77">
        <f t="shared" si="147"/>
        <v>0</v>
      </c>
      <c r="J923" s="80">
        <v>100</v>
      </c>
      <c r="K923" s="80">
        <v>300</v>
      </c>
      <c r="L923" s="77">
        <f t="shared" si="152"/>
        <v>1150</v>
      </c>
      <c r="M923" s="87">
        <v>600</v>
      </c>
      <c r="N923" s="77">
        <f>100</f>
        <v>100</v>
      </c>
      <c r="O923" s="80">
        <v>240</v>
      </c>
      <c r="P923" s="80">
        <v>40</v>
      </c>
      <c r="Q923" s="80">
        <f t="shared" si="153"/>
        <v>315</v>
      </c>
      <c r="R923" s="80">
        <f t="shared" si="154"/>
        <v>100</v>
      </c>
      <c r="S923" s="77">
        <f t="shared" si="155"/>
        <v>695</v>
      </c>
      <c r="T923" s="77">
        <f>50</f>
        <v>50</v>
      </c>
      <c r="U923" s="78"/>
      <c r="V923" s="78"/>
      <c r="W923" s="78"/>
      <c r="X923" s="78"/>
      <c r="Y923" s="78"/>
      <c r="Z923" s="78"/>
      <c r="AA923" s="78"/>
      <c r="AB923" s="78"/>
      <c r="AC923" s="78"/>
      <c r="AD923" s="78"/>
    </row>
    <row r="924" spans="1:30" ht="15.75" x14ac:dyDescent="0.25">
      <c r="A924" s="13">
        <v>69429</v>
      </c>
      <c r="B924" s="88">
        <f t="shared" si="151"/>
        <v>31</v>
      </c>
      <c r="C924" s="77">
        <f>122.58</f>
        <v>122.58</v>
      </c>
      <c r="D924" s="77">
        <f>297.941</f>
        <v>297.94099999999997</v>
      </c>
      <c r="E924" s="85">
        <f>89.177</f>
        <v>89.177000000000007</v>
      </c>
      <c r="F924" s="77">
        <f>240.302-40-60-100</f>
        <v>40.301999999999992</v>
      </c>
      <c r="G924" s="80">
        <v>40</v>
      </c>
      <c r="H924" s="77">
        <f>60+100</f>
        <v>160</v>
      </c>
      <c r="I924" s="77">
        <f t="shared" si="147"/>
        <v>0</v>
      </c>
      <c r="J924" s="80">
        <v>100</v>
      </c>
      <c r="K924" s="80">
        <v>300</v>
      </c>
      <c r="L924" s="77">
        <f t="shared" si="152"/>
        <v>1150</v>
      </c>
      <c r="M924" s="87">
        <v>600</v>
      </c>
      <c r="N924" s="77">
        <f>100</f>
        <v>100</v>
      </c>
      <c r="O924" s="80">
        <v>240</v>
      </c>
      <c r="P924" s="80">
        <v>40</v>
      </c>
      <c r="Q924" s="80">
        <f t="shared" si="153"/>
        <v>315</v>
      </c>
      <c r="R924" s="80">
        <f t="shared" si="154"/>
        <v>100</v>
      </c>
      <c r="S924" s="77">
        <f t="shared" si="155"/>
        <v>695</v>
      </c>
      <c r="T924" s="77">
        <f>50</f>
        <v>50</v>
      </c>
      <c r="U924" s="78"/>
      <c r="V924" s="78"/>
      <c r="W924" s="78"/>
      <c r="X924" s="78"/>
      <c r="Y924" s="78"/>
      <c r="Z924" s="78"/>
      <c r="AA924" s="78"/>
      <c r="AB924" s="78"/>
      <c r="AC924" s="78"/>
      <c r="AD924" s="78"/>
    </row>
    <row r="925" spans="1:30" ht="15.75" x14ac:dyDescent="0.25">
      <c r="A925" s="13">
        <v>69457</v>
      </c>
      <c r="B925" s="88">
        <f t="shared" si="151"/>
        <v>28</v>
      </c>
      <c r="C925" s="77">
        <f>122.58</f>
        <v>122.58</v>
      </c>
      <c r="D925" s="77">
        <f>297.941</f>
        <v>297.94099999999997</v>
      </c>
      <c r="E925" s="85">
        <f>89.177</f>
        <v>89.177000000000007</v>
      </c>
      <c r="F925" s="77">
        <f>240.302-40-60-100</f>
        <v>40.301999999999992</v>
      </c>
      <c r="G925" s="80">
        <v>40</v>
      </c>
      <c r="H925" s="77">
        <f>60+100</f>
        <v>160</v>
      </c>
      <c r="I925" s="77">
        <f t="shared" si="147"/>
        <v>0</v>
      </c>
      <c r="J925" s="80">
        <v>100</v>
      </c>
      <c r="K925" s="80">
        <v>300</v>
      </c>
      <c r="L925" s="77">
        <f t="shared" si="152"/>
        <v>1150</v>
      </c>
      <c r="M925" s="87">
        <v>600</v>
      </c>
      <c r="N925" s="77">
        <f>100</f>
        <v>100</v>
      </c>
      <c r="O925" s="80">
        <v>240</v>
      </c>
      <c r="P925" s="80">
        <v>40</v>
      </c>
      <c r="Q925" s="80">
        <f t="shared" si="153"/>
        <v>315</v>
      </c>
      <c r="R925" s="80">
        <f t="shared" si="154"/>
        <v>100</v>
      </c>
      <c r="S925" s="77">
        <f t="shared" si="155"/>
        <v>695</v>
      </c>
      <c r="T925" s="77">
        <f>50</f>
        <v>50</v>
      </c>
      <c r="U925" s="78"/>
      <c r="V925" s="78"/>
      <c r="W925" s="78"/>
      <c r="X925" s="78"/>
      <c r="Y925" s="78"/>
      <c r="Z925" s="78"/>
      <c r="AA925" s="78"/>
      <c r="AB925" s="78"/>
      <c r="AC925" s="78"/>
      <c r="AD925" s="78"/>
    </row>
    <row r="926" spans="1:30" ht="15.75" x14ac:dyDescent="0.25">
      <c r="A926" s="13">
        <v>69488</v>
      </c>
      <c r="B926" s="88">
        <f t="shared" si="151"/>
        <v>31</v>
      </c>
      <c r="C926" s="77">
        <f>122.58</f>
        <v>122.58</v>
      </c>
      <c r="D926" s="77">
        <f>297.941</f>
        <v>297.94099999999997</v>
      </c>
      <c r="E926" s="85">
        <f>89.177</f>
        <v>89.177000000000007</v>
      </c>
      <c r="F926" s="77">
        <f>240.302-40-60-100</f>
        <v>40.301999999999992</v>
      </c>
      <c r="G926" s="80">
        <v>40</v>
      </c>
      <c r="H926" s="77">
        <f>60+100</f>
        <v>160</v>
      </c>
      <c r="I926" s="77">
        <f t="shared" si="147"/>
        <v>0</v>
      </c>
      <c r="J926" s="80">
        <v>100</v>
      </c>
      <c r="K926" s="80">
        <v>300</v>
      </c>
      <c r="L926" s="77">
        <f t="shared" si="152"/>
        <v>1150</v>
      </c>
      <c r="M926" s="87">
        <v>600</v>
      </c>
      <c r="N926" s="77">
        <f>100</f>
        <v>100</v>
      </c>
      <c r="O926" s="80">
        <v>240</v>
      </c>
      <c r="P926" s="80">
        <v>40</v>
      </c>
      <c r="Q926" s="80">
        <f t="shared" si="153"/>
        <v>315</v>
      </c>
      <c r="R926" s="80">
        <f t="shared" si="154"/>
        <v>100</v>
      </c>
      <c r="S926" s="77">
        <f t="shared" si="155"/>
        <v>695</v>
      </c>
      <c r="T926" s="77">
        <f>50</f>
        <v>50</v>
      </c>
      <c r="U926" s="78"/>
      <c r="V926" s="78"/>
      <c r="W926" s="78"/>
      <c r="X926" s="78"/>
      <c r="Y926" s="78"/>
      <c r="Z926" s="78"/>
      <c r="AA926" s="78"/>
      <c r="AB926" s="78"/>
      <c r="AC926" s="78"/>
      <c r="AD926" s="78"/>
    </row>
    <row r="927" spans="1:30" ht="15.75" x14ac:dyDescent="0.25">
      <c r="A927" s="13">
        <v>69518</v>
      </c>
      <c r="B927" s="88">
        <f t="shared" si="151"/>
        <v>30</v>
      </c>
      <c r="C927" s="77">
        <f>141.293</f>
        <v>141.29300000000001</v>
      </c>
      <c r="D927" s="77">
        <f>267.993</f>
        <v>267.99299999999999</v>
      </c>
      <c r="E927" s="85">
        <f>115.016</f>
        <v>115.01600000000001</v>
      </c>
      <c r="F927" s="77">
        <f>314.698-40-25-60-100</f>
        <v>89.697999999999979</v>
      </c>
      <c r="G927" s="80">
        <v>40</v>
      </c>
      <c r="H927" s="77">
        <f t="shared" ref="H927:H933" si="157">25+60+100</f>
        <v>185</v>
      </c>
      <c r="I927" s="77">
        <f t="shared" si="147"/>
        <v>0</v>
      </c>
      <c r="J927" s="80">
        <v>100</v>
      </c>
      <c r="K927" s="80">
        <v>300</v>
      </c>
      <c r="L927" s="77">
        <f t="shared" si="152"/>
        <v>1239</v>
      </c>
      <c r="M927" s="87">
        <v>600</v>
      </c>
      <c r="N927" s="77">
        <f>100</f>
        <v>100</v>
      </c>
      <c r="O927" s="80">
        <v>240</v>
      </c>
      <c r="P927" s="80">
        <v>40</v>
      </c>
      <c r="Q927" s="80">
        <f t="shared" si="153"/>
        <v>315</v>
      </c>
      <c r="R927" s="80">
        <f t="shared" si="154"/>
        <v>100</v>
      </c>
      <c r="S927" s="77">
        <f t="shared" si="155"/>
        <v>695</v>
      </c>
      <c r="T927" s="77">
        <f>50</f>
        <v>50</v>
      </c>
      <c r="U927" s="78"/>
      <c r="V927" s="78"/>
      <c r="W927" s="78"/>
      <c r="X927" s="78"/>
      <c r="Y927" s="78"/>
      <c r="Z927" s="78"/>
      <c r="AA927" s="78"/>
      <c r="AB927" s="78"/>
      <c r="AC927" s="78"/>
      <c r="AD927" s="78"/>
    </row>
    <row r="928" spans="1:30" ht="15.75" x14ac:dyDescent="0.25">
      <c r="A928" s="13">
        <v>69549</v>
      </c>
      <c r="B928" s="88">
        <f t="shared" si="151"/>
        <v>31</v>
      </c>
      <c r="C928" s="77">
        <f>194.205</f>
        <v>194.20500000000001</v>
      </c>
      <c r="D928" s="77">
        <f>267.466</f>
        <v>267.46600000000001</v>
      </c>
      <c r="E928" s="85">
        <f>133.845</f>
        <v>133.845</v>
      </c>
      <c r="F928" s="77">
        <f>278.484-40-25-60-100</f>
        <v>53.48399999999998</v>
      </c>
      <c r="G928" s="80">
        <v>40</v>
      </c>
      <c r="H928" s="77">
        <f t="shared" si="157"/>
        <v>185</v>
      </c>
      <c r="I928" s="77">
        <f t="shared" si="147"/>
        <v>0</v>
      </c>
      <c r="J928" s="80">
        <v>100</v>
      </c>
      <c r="K928" s="80">
        <v>300</v>
      </c>
      <c r="L928" s="77">
        <f t="shared" si="152"/>
        <v>1274</v>
      </c>
      <c r="M928" s="87">
        <v>600</v>
      </c>
      <c r="N928" s="77">
        <f>75</f>
        <v>75</v>
      </c>
      <c r="O928" s="80">
        <v>240</v>
      </c>
      <c r="P928" s="80">
        <v>40</v>
      </c>
      <c r="Q928" s="80">
        <f t="shared" si="153"/>
        <v>315</v>
      </c>
      <c r="R928" s="80">
        <f t="shared" si="154"/>
        <v>100</v>
      </c>
      <c r="S928" s="77">
        <f t="shared" si="155"/>
        <v>695</v>
      </c>
      <c r="T928" s="77">
        <f>50</f>
        <v>50</v>
      </c>
      <c r="U928" s="78"/>
      <c r="V928" s="78"/>
      <c r="W928" s="78"/>
      <c r="X928" s="78"/>
      <c r="Y928" s="78"/>
      <c r="Z928" s="78"/>
      <c r="AA928" s="78"/>
      <c r="AB928" s="78"/>
      <c r="AC928" s="78"/>
      <c r="AD928" s="78"/>
    </row>
    <row r="929" spans="1:30" ht="15.75" x14ac:dyDescent="0.25">
      <c r="A929" s="13">
        <v>69579</v>
      </c>
      <c r="B929" s="88">
        <f t="shared" si="151"/>
        <v>30</v>
      </c>
      <c r="C929" s="77">
        <f>194.205</f>
        <v>194.20500000000001</v>
      </c>
      <c r="D929" s="77">
        <f>267.466</f>
        <v>267.46600000000001</v>
      </c>
      <c r="E929" s="85">
        <f>133.845</f>
        <v>133.845</v>
      </c>
      <c r="F929" s="77">
        <f>278.484-40-25-60-100</f>
        <v>53.48399999999998</v>
      </c>
      <c r="G929" s="80">
        <v>40</v>
      </c>
      <c r="H929" s="77">
        <f t="shared" si="157"/>
        <v>185</v>
      </c>
      <c r="I929" s="77">
        <f t="shared" si="147"/>
        <v>0</v>
      </c>
      <c r="J929" s="80">
        <v>100</v>
      </c>
      <c r="K929" s="80">
        <v>300</v>
      </c>
      <c r="L929" s="77">
        <f t="shared" si="152"/>
        <v>1274</v>
      </c>
      <c r="M929" s="87">
        <v>600</v>
      </c>
      <c r="N929" s="77">
        <f>30</f>
        <v>30</v>
      </c>
      <c r="O929" s="80">
        <v>240</v>
      </c>
      <c r="P929" s="80">
        <v>40</v>
      </c>
      <c r="Q929" s="80">
        <f t="shared" si="153"/>
        <v>315</v>
      </c>
      <c r="R929" s="80">
        <f t="shared" si="154"/>
        <v>100</v>
      </c>
      <c r="S929" s="77">
        <f t="shared" si="155"/>
        <v>695</v>
      </c>
      <c r="T929" s="77">
        <f>50</f>
        <v>50</v>
      </c>
      <c r="U929" s="78"/>
      <c r="V929" s="78"/>
      <c r="W929" s="78"/>
      <c r="X929" s="78"/>
      <c r="Y929" s="78"/>
      <c r="Z929" s="78"/>
      <c r="AA929" s="78"/>
      <c r="AB929" s="78"/>
      <c r="AC929" s="78"/>
      <c r="AD929" s="78"/>
    </row>
    <row r="930" spans="1:30" ht="15.75" x14ac:dyDescent="0.25">
      <c r="A930" s="13">
        <v>69610</v>
      </c>
      <c r="B930" s="88">
        <f t="shared" si="151"/>
        <v>31</v>
      </c>
      <c r="C930" s="77">
        <f>194.205</f>
        <v>194.20500000000001</v>
      </c>
      <c r="D930" s="77">
        <f>267.466</f>
        <v>267.46600000000001</v>
      </c>
      <c r="E930" s="85">
        <f>133.845</f>
        <v>133.845</v>
      </c>
      <c r="F930" s="77">
        <f>278.484-40-25-60-100</f>
        <v>53.48399999999998</v>
      </c>
      <c r="G930" s="80">
        <v>40</v>
      </c>
      <c r="H930" s="77">
        <f t="shared" si="157"/>
        <v>185</v>
      </c>
      <c r="I930" s="77">
        <f t="shared" si="147"/>
        <v>0</v>
      </c>
      <c r="J930" s="80">
        <v>100</v>
      </c>
      <c r="K930" s="80">
        <v>300</v>
      </c>
      <c r="L930" s="77">
        <f t="shared" si="152"/>
        <v>1274</v>
      </c>
      <c r="M930" s="87">
        <v>600</v>
      </c>
      <c r="N930" s="77">
        <f>30</f>
        <v>30</v>
      </c>
      <c r="O930" s="80">
        <v>240</v>
      </c>
      <c r="P930" s="80">
        <v>40</v>
      </c>
      <c r="Q930" s="80">
        <f t="shared" si="153"/>
        <v>315</v>
      </c>
      <c r="R930" s="80">
        <f t="shared" si="154"/>
        <v>100</v>
      </c>
      <c r="S930" s="77">
        <f t="shared" si="155"/>
        <v>695</v>
      </c>
      <c r="T930" s="77">
        <f>0</f>
        <v>0</v>
      </c>
      <c r="U930" s="78"/>
      <c r="V930" s="78"/>
      <c r="W930" s="78"/>
      <c r="X930" s="78"/>
      <c r="Y930" s="78"/>
      <c r="Z930" s="78"/>
      <c r="AA930" s="78"/>
      <c r="AB930" s="78"/>
      <c r="AC930" s="78"/>
      <c r="AD930" s="78"/>
    </row>
    <row r="931" spans="1:30" ht="15.75" x14ac:dyDescent="0.25">
      <c r="A931" s="13">
        <v>69641</v>
      </c>
      <c r="B931" s="88">
        <f t="shared" si="151"/>
        <v>31</v>
      </c>
      <c r="C931" s="77">
        <f>194.205</f>
        <v>194.20500000000001</v>
      </c>
      <c r="D931" s="77">
        <f>267.466</f>
        <v>267.46600000000001</v>
      </c>
      <c r="E931" s="85">
        <f>133.845</f>
        <v>133.845</v>
      </c>
      <c r="F931" s="77">
        <f>278.484-40-25-60-100</f>
        <v>53.48399999999998</v>
      </c>
      <c r="G931" s="80">
        <v>40</v>
      </c>
      <c r="H931" s="77">
        <f t="shared" si="157"/>
        <v>185</v>
      </c>
      <c r="I931" s="77">
        <f t="shared" si="147"/>
        <v>0</v>
      </c>
      <c r="J931" s="80">
        <v>100</v>
      </c>
      <c r="K931" s="80">
        <v>300</v>
      </c>
      <c r="L931" s="77">
        <f t="shared" si="152"/>
        <v>1274</v>
      </c>
      <c r="M931" s="87">
        <v>600</v>
      </c>
      <c r="N931" s="77">
        <f>30</f>
        <v>30</v>
      </c>
      <c r="O931" s="80">
        <v>240</v>
      </c>
      <c r="P931" s="80">
        <v>40</v>
      </c>
      <c r="Q931" s="80">
        <f t="shared" si="153"/>
        <v>315</v>
      </c>
      <c r="R931" s="80">
        <f t="shared" si="154"/>
        <v>100</v>
      </c>
      <c r="S931" s="77">
        <f t="shared" si="155"/>
        <v>695</v>
      </c>
      <c r="T931" s="77">
        <f>0</f>
        <v>0</v>
      </c>
      <c r="U931" s="78"/>
      <c r="V931" s="78"/>
      <c r="W931" s="78"/>
      <c r="X931" s="78"/>
      <c r="Y931" s="78"/>
      <c r="Z931" s="78"/>
      <c r="AA931" s="78"/>
      <c r="AB931" s="78"/>
      <c r="AC931" s="78"/>
      <c r="AD931" s="78"/>
    </row>
    <row r="932" spans="1:30" ht="15.75" x14ac:dyDescent="0.25">
      <c r="A932" s="13">
        <v>69671</v>
      </c>
      <c r="B932" s="88">
        <f t="shared" si="151"/>
        <v>30</v>
      </c>
      <c r="C932" s="77">
        <f>194.205</f>
        <v>194.20500000000001</v>
      </c>
      <c r="D932" s="77">
        <f>267.466</f>
        <v>267.46600000000001</v>
      </c>
      <c r="E932" s="85">
        <f>133.845</f>
        <v>133.845</v>
      </c>
      <c r="F932" s="77">
        <f>278.484-40-25-60-100</f>
        <v>53.48399999999998</v>
      </c>
      <c r="G932" s="80">
        <v>40</v>
      </c>
      <c r="H932" s="77">
        <f t="shared" si="157"/>
        <v>185</v>
      </c>
      <c r="I932" s="77">
        <f t="shared" si="147"/>
        <v>0</v>
      </c>
      <c r="J932" s="80">
        <v>100</v>
      </c>
      <c r="K932" s="80">
        <v>300</v>
      </c>
      <c r="L932" s="77">
        <f t="shared" si="152"/>
        <v>1274</v>
      </c>
      <c r="M932" s="87">
        <v>600</v>
      </c>
      <c r="N932" s="77">
        <f>30</f>
        <v>30</v>
      </c>
      <c r="O932" s="80">
        <v>240</v>
      </c>
      <c r="P932" s="80">
        <v>40</v>
      </c>
      <c r="Q932" s="80">
        <f t="shared" si="153"/>
        <v>315</v>
      </c>
      <c r="R932" s="80">
        <f t="shared" si="154"/>
        <v>100</v>
      </c>
      <c r="S932" s="77">
        <f t="shared" si="155"/>
        <v>695</v>
      </c>
      <c r="T932" s="77">
        <f>0</f>
        <v>0</v>
      </c>
      <c r="U932" s="78"/>
      <c r="V932" s="78"/>
      <c r="W932" s="78"/>
      <c r="X932" s="78"/>
      <c r="Y932" s="78"/>
      <c r="Z932" s="78"/>
      <c r="AA932" s="78"/>
      <c r="AB932" s="78"/>
      <c r="AC932" s="78"/>
      <c r="AD932" s="78"/>
    </row>
    <row r="933" spans="1:30" ht="15.75" x14ac:dyDescent="0.25">
      <c r="A933" s="13">
        <v>69702</v>
      </c>
      <c r="B933" s="88">
        <f t="shared" si="151"/>
        <v>31</v>
      </c>
      <c r="C933" s="77">
        <f>131.881</f>
        <v>131.881</v>
      </c>
      <c r="D933" s="77">
        <f>277.167</f>
        <v>277.16699999999997</v>
      </c>
      <c r="E933" s="85">
        <f>79.08</f>
        <v>79.08</v>
      </c>
      <c r="F933" s="77">
        <f>350.872-40-25-60-100</f>
        <v>125.87200000000001</v>
      </c>
      <c r="G933" s="80">
        <v>40</v>
      </c>
      <c r="H933" s="77">
        <f t="shared" si="157"/>
        <v>185</v>
      </c>
      <c r="I933" s="77">
        <f t="shared" si="147"/>
        <v>0</v>
      </c>
      <c r="J933" s="80">
        <v>100</v>
      </c>
      <c r="K933" s="80">
        <v>300</v>
      </c>
      <c r="L933" s="77">
        <f t="shared" si="152"/>
        <v>1239</v>
      </c>
      <c r="M933" s="87">
        <v>600</v>
      </c>
      <c r="N933" s="77">
        <f>75</f>
        <v>75</v>
      </c>
      <c r="O933" s="80">
        <v>240</v>
      </c>
      <c r="P933" s="80">
        <v>40</v>
      </c>
      <c r="Q933" s="80">
        <f t="shared" si="153"/>
        <v>315</v>
      </c>
      <c r="R933" s="80">
        <f t="shared" si="154"/>
        <v>100</v>
      </c>
      <c r="S933" s="77">
        <f t="shared" si="155"/>
        <v>695</v>
      </c>
      <c r="T933" s="77">
        <f>0</f>
        <v>0</v>
      </c>
      <c r="U933" s="78"/>
      <c r="V933" s="78"/>
      <c r="W933" s="78"/>
      <c r="X933" s="78"/>
      <c r="Y933" s="78"/>
      <c r="Z933" s="78"/>
      <c r="AA933" s="78"/>
      <c r="AB933" s="78"/>
      <c r="AC933" s="78"/>
      <c r="AD933" s="78"/>
    </row>
    <row r="934" spans="1:30" ht="15.75" x14ac:dyDescent="0.25">
      <c r="A934" s="13">
        <v>69732</v>
      </c>
      <c r="B934" s="88">
        <f t="shared" si="151"/>
        <v>30</v>
      </c>
      <c r="C934" s="77">
        <f>122.58</f>
        <v>122.58</v>
      </c>
      <c r="D934" s="77">
        <f>297.941</f>
        <v>297.94099999999997</v>
      </c>
      <c r="E934" s="85">
        <f>89.177</f>
        <v>89.177000000000007</v>
      </c>
      <c r="F934" s="77">
        <f>240.302-40-60-100</f>
        <v>40.301999999999992</v>
      </c>
      <c r="G934" s="80">
        <v>40</v>
      </c>
      <c r="H934" s="77">
        <f>60+100</f>
        <v>160</v>
      </c>
      <c r="I934" s="77">
        <f t="shared" si="147"/>
        <v>0</v>
      </c>
      <c r="J934" s="80">
        <v>100</v>
      </c>
      <c r="K934" s="80">
        <v>300</v>
      </c>
      <c r="L934" s="77">
        <f t="shared" si="152"/>
        <v>1150</v>
      </c>
      <c r="M934" s="87">
        <v>600</v>
      </c>
      <c r="N934" s="77">
        <f>100</f>
        <v>100</v>
      </c>
      <c r="O934" s="80">
        <v>240</v>
      </c>
      <c r="P934" s="80">
        <v>40</v>
      </c>
      <c r="Q934" s="80">
        <f t="shared" si="153"/>
        <v>315</v>
      </c>
      <c r="R934" s="80">
        <f t="shared" si="154"/>
        <v>100</v>
      </c>
      <c r="S934" s="77">
        <f t="shared" si="155"/>
        <v>695</v>
      </c>
      <c r="T934" s="77">
        <f>50</f>
        <v>50</v>
      </c>
      <c r="U934" s="78"/>
      <c r="V934" s="78"/>
      <c r="W934" s="78"/>
      <c r="X934" s="78"/>
      <c r="Y934" s="78"/>
      <c r="Z934" s="78"/>
      <c r="AA934" s="78"/>
      <c r="AB934" s="78"/>
      <c r="AC934" s="78"/>
      <c r="AD934" s="78"/>
    </row>
    <row r="935" spans="1:30" ht="15.75" x14ac:dyDescent="0.25">
      <c r="A935" s="13">
        <v>69763</v>
      </c>
      <c r="B935" s="88">
        <f t="shared" si="151"/>
        <v>31</v>
      </c>
      <c r="C935" s="77">
        <f>122.58</f>
        <v>122.58</v>
      </c>
      <c r="D935" s="77">
        <f>297.941</f>
        <v>297.94099999999997</v>
      </c>
      <c r="E935" s="85">
        <f>89.177</f>
        <v>89.177000000000007</v>
      </c>
      <c r="F935" s="77">
        <f>240.302-40-60-100</f>
        <v>40.301999999999992</v>
      </c>
      <c r="G935" s="80">
        <v>40</v>
      </c>
      <c r="H935" s="77">
        <f>60+100</f>
        <v>160</v>
      </c>
      <c r="I935" s="77">
        <f t="shared" si="147"/>
        <v>0</v>
      </c>
      <c r="J935" s="80">
        <v>100</v>
      </c>
      <c r="K935" s="80">
        <v>300</v>
      </c>
      <c r="L935" s="77">
        <f t="shared" si="152"/>
        <v>1150</v>
      </c>
      <c r="M935" s="87">
        <v>600</v>
      </c>
      <c r="N935" s="77">
        <f>100</f>
        <v>100</v>
      </c>
      <c r="O935" s="80">
        <v>240</v>
      </c>
      <c r="P935" s="80">
        <v>40</v>
      </c>
      <c r="Q935" s="80">
        <f t="shared" si="153"/>
        <v>315</v>
      </c>
      <c r="R935" s="80">
        <f t="shared" si="154"/>
        <v>100</v>
      </c>
      <c r="S935" s="77">
        <f t="shared" si="155"/>
        <v>695</v>
      </c>
      <c r="T935" s="77">
        <f>50</f>
        <v>50</v>
      </c>
      <c r="U935" s="78"/>
      <c r="V935" s="78"/>
      <c r="W935" s="78"/>
      <c r="X935" s="78"/>
      <c r="Y935" s="78"/>
      <c r="Z935" s="78"/>
      <c r="AA935" s="78"/>
      <c r="AB935" s="78"/>
      <c r="AC935" s="78"/>
      <c r="AD935" s="78"/>
    </row>
    <row r="936" spans="1:30" ht="15.75" x14ac:dyDescent="0.25">
      <c r="A936" s="13">
        <v>69794</v>
      </c>
      <c r="B936" s="88">
        <f t="shared" si="151"/>
        <v>31</v>
      </c>
      <c r="C936" s="77">
        <f>122.58</f>
        <v>122.58</v>
      </c>
      <c r="D936" s="77">
        <f>297.941</f>
        <v>297.94099999999997</v>
      </c>
      <c r="E936" s="85">
        <f>89.177</f>
        <v>89.177000000000007</v>
      </c>
      <c r="F936" s="77">
        <f>240.302-40-60-100</f>
        <v>40.301999999999992</v>
      </c>
      <c r="G936" s="80">
        <v>40</v>
      </c>
      <c r="H936" s="77">
        <f>60+100</f>
        <v>160</v>
      </c>
      <c r="I936" s="77">
        <f t="shared" ref="I936:I999" si="158">400-J936-K936</f>
        <v>0</v>
      </c>
      <c r="J936" s="80">
        <v>100</v>
      </c>
      <c r="K936" s="80">
        <v>300</v>
      </c>
      <c r="L936" s="77">
        <f t="shared" si="152"/>
        <v>1150</v>
      </c>
      <c r="M936" s="87">
        <v>600</v>
      </c>
      <c r="N936" s="77">
        <f>100</f>
        <v>100</v>
      </c>
      <c r="O936" s="80">
        <v>240</v>
      </c>
      <c r="P936" s="80">
        <v>40</v>
      </c>
      <c r="Q936" s="80">
        <f t="shared" si="153"/>
        <v>315</v>
      </c>
      <c r="R936" s="80">
        <f t="shared" si="154"/>
        <v>100</v>
      </c>
      <c r="S936" s="77">
        <f t="shared" si="155"/>
        <v>695</v>
      </c>
      <c r="T936" s="77">
        <f>50</f>
        <v>50</v>
      </c>
      <c r="U936" s="78"/>
      <c r="V936" s="78"/>
      <c r="W936" s="78"/>
      <c r="X936" s="78"/>
      <c r="Y936" s="78"/>
      <c r="Z936" s="78"/>
      <c r="AA936" s="78"/>
      <c r="AB936" s="78"/>
      <c r="AC936" s="78"/>
      <c r="AD936" s="78"/>
    </row>
    <row r="937" spans="1:30" ht="15.75" x14ac:dyDescent="0.25">
      <c r="A937" s="13">
        <v>69822</v>
      </c>
      <c r="B937" s="88">
        <f t="shared" si="151"/>
        <v>28</v>
      </c>
      <c r="C937" s="77">
        <f>122.58</f>
        <v>122.58</v>
      </c>
      <c r="D937" s="77">
        <f>297.941</f>
        <v>297.94099999999997</v>
      </c>
      <c r="E937" s="85">
        <f>89.177</f>
        <v>89.177000000000007</v>
      </c>
      <c r="F937" s="77">
        <f>240.302-40-60-100</f>
        <v>40.301999999999992</v>
      </c>
      <c r="G937" s="80">
        <v>40</v>
      </c>
      <c r="H937" s="77">
        <f>60+100</f>
        <v>160</v>
      </c>
      <c r="I937" s="77">
        <f t="shared" si="158"/>
        <v>0</v>
      </c>
      <c r="J937" s="80">
        <v>100</v>
      </c>
      <c r="K937" s="80">
        <v>300</v>
      </c>
      <c r="L937" s="77">
        <f t="shared" si="152"/>
        <v>1150</v>
      </c>
      <c r="M937" s="87">
        <v>600</v>
      </c>
      <c r="N937" s="77">
        <f>100</f>
        <v>100</v>
      </c>
      <c r="O937" s="80">
        <v>240</v>
      </c>
      <c r="P937" s="80">
        <v>40</v>
      </c>
      <c r="Q937" s="80">
        <f t="shared" si="153"/>
        <v>315</v>
      </c>
      <c r="R937" s="80">
        <f t="shared" si="154"/>
        <v>100</v>
      </c>
      <c r="S937" s="77">
        <f t="shared" si="155"/>
        <v>695</v>
      </c>
      <c r="T937" s="77">
        <f>50</f>
        <v>50</v>
      </c>
      <c r="U937" s="78"/>
      <c r="V937" s="78"/>
      <c r="W937" s="78"/>
      <c r="X937" s="78"/>
      <c r="Y937" s="78"/>
      <c r="Z937" s="78"/>
      <c r="AA937" s="78"/>
      <c r="AB937" s="78"/>
      <c r="AC937" s="78"/>
      <c r="AD937" s="78"/>
    </row>
    <row r="938" spans="1:30" ht="15.75" x14ac:dyDescent="0.25">
      <c r="A938" s="13">
        <v>69853</v>
      </c>
      <c r="B938" s="88">
        <f t="shared" si="151"/>
        <v>31</v>
      </c>
      <c r="C938" s="77">
        <f>122.58</f>
        <v>122.58</v>
      </c>
      <c r="D938" s="77">
        <f>297.941</f>
        <v>297.94099999999997</v>
      </c>
      <c r="E938" s="85">
        <f>89.177</f>
        <v>89.177000000000007</v>
      </c>
      <c r="F938" s="77">
        <f>240.302-40-60-100</f>
        <v>40.301999999999992</v>
      </c>
      <c r="G938" s="80">
        <v>40</v>
      </c>
      <c r="H938" s="77">
        <f>60+100</f>
        <v>160</v>
      </c>
      <c r="I938" s="77">
        <f t="shared" si="158"/>
        <v>0</v>
      </c>
      <c r="J938" s="80">
        <v>100</v>
      </c>
      <c r="K938" s="80">
        <v>300</v>
      </c>
      <c r="L938" s="77">
        <f t="shared" si="152"/>
        <v>1150</v>
      </c>
      <c r="M938" s="87">
        <v>600</v>
      </c>
      <c r="N938" s="77">
        <f>100</f>
        <v>100</v>
      </c>
      <c r="O938" s="80">
        <v>240</v>
      </c>
      <c r="P938" s="80">
        <v>40</v>
      </c>
      <c r="Q938" s="80">
        <f t="shared" si="153"/>
        <v>315</v>
      </c>
      <c r="R938" s="80">
        <f t="shared" si="154"/>
        <v>100</v>
      </c>
      <c r="S938" s="77">
        <f t="shared" si="155"/>
        <v>695</v>
      </c>
      <c r="T938" s="77">
        <f>50</f>
        <v>50</v>
      </c>
      <c r="U938" s="78"/>
      <c r="V938" s="78"/>
      <c r="W938" s="78"/>
      <c r="X938" s="78"/>
      <c r="Y938" s="78"/>
      <c r="Z938" s="78"/>
      <c r="AA938" s="78"/>
      <c r="AB938" s="78"/>
      <c r="AC938" s="78"/>
      <c r="AD938" s="78"/>
    </row>
    <row r="939" spans="1:30" ht="15.75" x14ac:dyDescent="0.25">
      <c r="A939" s="13">
        <v>69883</v>
      </c>
      <c r="B939" s="88">
        <f t="shared" si="151"/>
        <v>30</v>
      </c>
      <c r="C939" s="77">
        <f>141.293</f>
        <v>141.29300000000001</v>
      </c>
      <c r="D939" s="77">
        <f>267.993</f>
        <v>267.99299999999999</v>
      </c>
      <c r="E939" s="85">
        <f>115.016</f>
        <v>115.01600000000001</v>
      </c>
      <c r="F939" s="77">
        <f>314.698-40-25-60-100</f>
        <v>89.697999999999979</v>
      </c>
      <c r="G939" s="80">
        <v>40</v>
      </c>
      <c r="H939" s="77">
        <f t="shared" ref="H939:H945" si="159">25+60+100</f>
        <v>185</v>
      </c>
      <c r="I939" s="77">
        <f t="shared" si="158"/>
        <v>0</v>
      </c>
      <c r="J939" s="80">
        <v>100</v>
      </c>
      <c r="K939" s="80">
        <v>300</v>
      </c>
      <c r="L939" s="77">
        <f t="shared" si="152"/>
        <v>1239</v>
      </c>
      <c r="M939" s="87">
        <v>600</v>
      </c>
      <c r="N939" s="77">
        <f>100</f>
        <v>100</v>
      </c>
      <c r="O939" s="80">
        <v>240</v>
      </c>
      <c r="P939" s="80">
        <v>40</v>
      </c>
      <c r="Q939" s="80">
        <f t="shared" si="153"/>
        <v>315</v>
      </c>
      <c r="R939" s="80">
        <f t="shared" si="154"/>
        <v>100</v>
      </c>
      <c r="S939" s="77">
        <f t="shared" si="155"/>
        <v>695</v>
      </c>
      <c r="T939" s="77">
        <f>50</f>
        <v>50</v>
      </c>
      <c r="U939" s="78"/>
      <c r="V939" s="78"/>
      <c r="W939" s="78"/>
      <c r="X939" s="78"/>
      <c r="Y939" s="78"/>
      <c r="Z939" s="78"/>
      <c r="AA939" s="78"/>
      <c r="AB939" s="78"/>
      <c r="AC939" s="78"/>
      <c r="AD939" s="78"/>
    </row>
    <row r="940" spans="1:30" ht="15.75" x14ac:dyDescent="0.25">
      <c r="A940" s="13">
        <v>69914</v>
      </c>
      <c r="B940" s="88">
        <f t="shared" si="151"/>
        <v>31</v>
      </c>
      <c r="C940" s="77">
        <f>194.205</f>
        <v>194.20500000000001</v>
      </c>
      <c r="D940" s="77">
        <f>267.466</f>
        <v>267.46600000000001</v>
      </c>
      <c r="E940" s="85">
        <f>133.845</f>
        <v>133.845</v>
      </c>
      <c r="F940" s="77">
        <f>278.484-40-25-60-100</f>
        <v>53.48399999999998</v>
      </c>
      <c r="G940" s="80">
        <v>40</v>
      </c>
      <c r="H940" s="77">
        <f t="shared" si="159"/>
        <v>185</v>
      </c>
      <c r="I940" s="77">
        <f t="shared" si="158"/>
        <v>0</v>
      </c>
      <c r="J940" s="80">
        <v>100</v>
      </c>
      <c r="K940" s="80">
        <v>300</v>
      </c>
      <c r="L940" s="77">
        <f t="shared" si="152"/>
        <v>1274</v>
      </c>
      <c r="M940" s="87">
        <v>600</v>
      </c>
      <c r="N940" s="77">
        <f>75</f>
        <v>75</v>
      </c>
      <c r="O940" s="80">
        <v>240</v>
      </c>
      <c r="P940" s="80">
        <v>40</v>
      </c>
      <c r="Q940" s="80">
        <f t="shared" si="153"/>
        <v>315</v>
      </c>
      <c r="R940" s="80">
        <f t="shared" si="154"/>
        <v>100</v>
      </c>
      <c r="S940" s="77">
        <f t="shared" si="155"/>
        <v>695</v>
      </c>
      <c r="T940" s="77">
        <f>50</f>
        <v>50</v>
      </c>
      <c r="U940" s="78"/>
      <c r="V940" s="78"/>
      <c r="W940" s="78"/>
      <c r="X940" s="78"/>
      <c r="Y940" s="78"/>
      <c r="Z940" s="78"/>
      <c r="AA940" s="78"/>
      <c r="AB940" s="78"/>
      <c r="AC940" s="78"/>
      <c r="AD940" s="78"/>
    </row>
    <row r="941" spans="1:30" ht="15.75" x14ac:dyDescent="0.25">
      <c r="A941" s="13">
        <v>69944</v>
      </c>
      <c r="B941" s="88">
        <f t="shared" si="151"/>
        <v>30</v>
      </c>
      <c r="C941" s="77">
        <f>194.205</f>
        <v>194.20500000000001</v>
      </c>
      <c r="D941" s="77">
        <f>267.466</f>
        <v>267.46600000000001</v>
      </c>
      <c r="E941" s="85">
        <f>133.845</f>
        <v>133.845</v>
      </c>
      <c r="F941" s="77">
        <f>278.484-40-25-60-100</f>
        <v>53.48399999999998</v>
      </c>
      <c r="G941" s="80">
        <v>40</v>
      </c>
      <c r="H941" s="77">
        <f t="shared" si="159"/>
        <v>185</v>
      </c>
      <c r="I941" s="77">
        <f t="shared" si="158"/>
        <v>0</v>
      </c>
      <c r="J941" s="80">
        <v>100</v>
      </c>
      <c r="K941" s="80">
        <v>300</v>
      </c>
      <c r="L941" s="77">
        <f t="shared" si="152"/>
        <v>1274</v>
      </c>
      <c r="M941" s="87">
        <v>600</v>
      </c>
      <c r="N941" s="77">
        <f>30</f>
        <v>30</v>
      </c>
      <c r="O941" s="80">
        <v>240</v>
      </c>
      <c r="P941" s="80">
        <v>40</v>
      </c>
      <c r="Q941" s="80">
        <f t="shared" si="153"/>
        <v>315</v>
      </c>
      <c r="R941" s="80">
        <f t="shared" si="154"/>
        <v>100</v>
      </c>
      <c r="S941" s="77">
        <f t="shared" si="155"/>
        <v>695</v>
      </c>
      <c r="T941" s="77">
        <f>50</f>
        <v>50</v>
      </c>
      <c r="U941" s="78"/>
      <c r="V941" s="78"/>
      <c r="W941" s="78"/>
      <c r="X941" s="78"/>
      <c r="Y941" s="78"/>
      <c r="Z941" s="78"/>
      <c r="AA941" s="78"/>
      <c r="AB941" s="78"/>
      <c r="AC941" s="78"/>
      <c r="AD941" s="78"/>
    </row>
    <row r="942" spans="1:30" ht="15.75" x14ac:dyDescent="0.25">
      <c r="A942" s="13">
        <v>69975</v>
      </c>
      <c r="B942" s="88">
        <f t="shared" si="151"/>
        <v>31</v>
      </c>
      <c r="C942" s="77">
        <f>194.205</f>
        <v>194.20500000000001</v>
      </c>
      <c r="D942" s="77">
        <f>267.466</f>
        <v>267.46600000000001</v>
      </c>
      <c r="E942" s="85">
        <f>133.845</f>
        <v>133.845</v>
      </c>
      <c r="F942" s="77">
        <f>278.484-40-25-60-100</f>
        <v>53.48399999999998</v>
      </c>
      <c r="G942" s="80">
        <v>40</v>
      </c>
      <c r="H942" s="77">
        <f t="shared" si="159"/>
        <v>185</v>
      </c>
      <c r="I942" s="77">
        <f t="shared" si="158"/>
        <v>0</v>
      </c>
      <c r="J942" s="80">
        <v>100</v>
      </c>
      <c r="K942" s="80">
        <v>300</v>
      </c>
      <c r="L942" s="77">
        <f t="shared" si="152"/>
        <v>1274</v>
      </c>
      <c r="M942" s="87">
        <v>600</v>
      </c>
      <c r="N942" s="77">
        <f>30</f>
        <v>30</v>
      </c>
      <c r="O942" s="80">
        <v>240</v>
      </c>
      <c r="P942" s="80">
        <v>40</v>
      </c>
      <c r="Q942" s="80">
        <f t="shared" si="153"/>
        <v>315</v>
      </c>
      <c r="R942" s="80">
        <f t="shared" si="154"/>
        <v>100</v>
      </c>
      <c r="S942" s="77">
        <f t="shared" si="155"/>
        <v>695</v>
      </c>
      <c r="T942" s="77">
        <f>0</f>
        <v>0</v>
      </c>
      <c r="U942" s="78"/>
      <c r="V942" s="78"/>
      <c r="W942" s="78"/>
      <c r="X942" s="78"/>
      <c r="Y942" s="78"/>
      <c r="Z942" s="78"/>
      <c r="AA942" s="78"/>
      <c r="AB942" s="78"/>
      <c r="AC942" s="78"/>
      <c r="AD942" s="78"/>
    </row>
    <row r="943" spans="1:30" ht="15.75" x14ac:dyDescent="0.25">
      <c r="A943" s="13">
        <v>70006</v>
      </c>
      <c r="B943" s="88">
        <f t="shared" si="151"/>
        <v>31</v>
      </c>
      <c r="C943" s="77">
        <f>194.205</f>
        <v>194.20500000000001</v>
      </c>
      <c r="D943" s="77">
        <f>267.466</f>
        <v>267.46600000000001</v>
      </c>
      <c r="E943" s="85">
        <f>133.845</f>
        <v>133.845</v>
      </c>
      <c r="F943" s="77">
        <f>278.484-40-25-60-100</f>
        <v>53.48399999999998</v>
      </c>
      <c r="G943" s="80">
        <v>40</v>
      </c>
      <c r="H943" s="77">
        <f t="shared" si="159"/>
        <v>185</v>
      </c>
      <c r="I943" s="77">
        <f t="shared" si="158"/>
        <v>0</v>
      </c>
      <c r="J943" s="80">
        <v>100</v>
      </c>
      <c r="K943" s="80">
        <v>300</v>
      </c>
      <c r="L943" s="77">
        <f t="shared" si="152"/>
        <v>1274</v>
      </c>
      <c r="M943" s="87">
        <v>600</v>
      </c>
      <c r="N943" s="77">
        <f>30</f>
        <v>30</v>
      </c>
      <c r="O943" s="80">
        <v>240</v>
      </c>
      <c r="P943" s="80">
        <v>40</v>
      </c>
      <c r="Q943" s="80">
        <f t="shared" si="153"/>
        <v>315</v>
      </c>
      <c r="R943" s="80">
        <f t="shared" si="154"/>
        <v>100</v>
      </c>
      <c r="S943" s="77">
        <f t="shared" si="155"/>
        <v>695</v>
      </c>
      <c r="T943" s="77">
        <f>0</f>
        <v>0</v>
      </c>
      <c r="U943" s="78"/>
      <c r="V943" s="78"/>
      <c r="W943" s="78"/>
      <c r="X943" s="78"/>
      <c r="Y943" s="78"/>
      <c r="Z943" s="78"/>
      <c r="AA943" s="78"/>
      <c r="AB943" s="78"/>
      <c r="AC943" s="78"/>
      <c r="AD943" s="78"/>
    </row>
    <row r="944" spans="1:30" ht="15.75" x14ac:dyDescent="0.25">
      <c r="A944" s="13">
        <v>70036</v>
      </c>
      <c r="B944" s="88">
        <f t="shared" si="151"/>
        <v>30</v>
      </c>
      <c r="C944" s="77">
        <f>194.205</f>
        <v>194.20500000000001</v>
      </c>
      <c r="D944" s="77">
        <f>267.466</f>
        <v>267.46600000000001</v>
      </c>
      <c r="E944" s="85">
        <f>133.845</f>
        <v>133.845</v>
      </c>
      <c r="F944" s="77">
        <f>278.484-40-25-60-100</f>
        <v>53.48399999999998</v>
      </c>
      <c r="G944" s="80">
        <v>40</v>
      </c>
      <c r="H944" s="77">
        <f t="shared" si="159"/>
        <v>185</v>
      </c>
      <c r="I944" s="77">
        <f t="shared" si="158"/>
        <v>0</v>
      </c>
      <c r="J944" s="80">
        <v>100</v>
      </c>
      <c r="K944" s="80">
        <v>300</v>
      </c>
      <c r="L944" s="77">
        <f t="shared" si="152"/>
        <v>1274</v>
      </c>
      <c r="M944" s="87">
        <v>600</v>
      </c>
      <c r="N944" s="77">
        <f>30</f>
        <v>30</v>
      </c>
      <c r="O944" s="80">
        <v>240</v>
      </c>
      <c r="P944" s="80">
        <v>40</v>
      </c>
      <c r="Q944" s="80">
        <f t="shared" si="153"/>
        <v>315</v>
      </c>
      <c r="R944" s="80">
        <f t="shared" si="154"/>
        <v>100</v>
      </c>
      <c r="S944" s="77">
        <f t="shared" si="155"/>
        <v>695</v>
      </c>
      <c r="T944" s="77">
        <f>0</f>
        <v>0</v>
      </c>
      <c r="U944" s="78"/>
      <c r="V944" s="78"/>
      <c r="W944" s="78"/>
      <c r="X944" s="78"/>
      <c r="Y944" s="78"/>
      <c r="Z944" s="78"/>
      <c r="AA944" s="78"/>
      <c r="AB944" s="78"/>
      <c r="AC944" s="78"/>
      <c r="AD944" s="78"/>
    </row>
    <row r="945" spans="1:30" ht="15.75" x14ac:dyDescent="0.25">
      <c r="A945" s="13">
        <v>70067</v>
      </c>
      <c r="B945" s="88">
        <f t="shared" si="151"/>
        <v>31</v>
      </c>
      <c r="C945" s="77">
        <f>131.881</f>
        <v>131.881</v>
      </c>
      <c r="D945" s="77">
        <f>277.167</f>
        <v>277.16699999999997</v>
      </c>
      <c r="E945" s="85">
        <f>79.08</f>
        <v>79.08</v>
      </c>
      <c r="F945" s="77">
        <f>350.872-40-25-60-100</f>
        <v>125.87200000000001</v>
      </c>
      <c r="G945" s="80">
        <v>40</v>
      </c>
      <c r="H945" s="77">
        <f t="shared" si="159"/>
        <v>185</v>
      </c>
      <c r="I945" s="77">
        <f t="shared" si="158"/>
        <v>0</v>
      </c>
      <c r="J945" s="80">
        <v>100</v>
      </c>
      <c r="K945" s="80">
        <v>300</v>
      </c>
      <c r="L945" s="77">
        <f t="shared" si="152"/>
        <v>1239</v>
      </c>
      <c r="M945" s="87">
        <v>600</v>
      </c>
      <c r="N945" s="77">
        <f>75</f>
        <v>75</v>
      </c>
      <c r="O945" s="80">
        <v>240</v>
      </c>
      <c r="P945" s="80">
        <v>40</v>
      </c>
      <c r="Q945" s="80">
        <f t="shared" si="153"/>
        <v>315</v>
      </c>
      <c r="R945" s="80">
        <f t="shared" si="154"/>
        <v>100</v>
      </c>
      <c r="S945" s="77">
        <f t="shared" si="155"/>
        <v>695</v>
      </c>
      <c r="T945" s="77">
        <f>0</f>
        <v>0</v>
      </c>
      <c r="U945" s="78"/>
      <c r="V945" s="78"/>
      <c r="W945" s="78"/>
      <c r="X945" s="78"/>
      <c r="Y945" s="78"/>
      <c r="Z945" s="78"/>
      <c r="AA945" s="78"/>
      <c r="AB945" s="78"/>
      <c r="AC945" s="78"/>
      <c r="AD945" s="78"/>
    </row>
    <row r="946" spans="1:30" ht="15.75" x14ac:dyDescent="0.25">
      <c r="A946" s="13">
        <v>70097</v>
      </c>
      <c r="B946" s="88">
        <f t="shared" si="151"/>
        <v>30</v>
      </c>
      <c r="C946" s="77">
        <f>122.58</f>
        <v>122.58</v>
      </c>
      <c r="D946" s="77">
        <f>297.941</f>
        <v>297.94099999999997</v>
      </c>
      <c r="E946" s="85">
        <f>89.177</f>
        <v>89.177000000000007</v>
      </c>
      <c r="F946" s="77">
        <f>240.302-40-60-100</f>
        <v>40.301999999999992</v>
      </c>
      <c r="G946" s="80">
        <v>40</v>
      </c>
      <c r="H946" s="77">
        <f>60+100</f>
        <v>160</v>
      </c>
      <c r="I946" s="77">
        <f t="shared" si="158"/>
        <v>0</v>
      </c>
      <c r="J946" s="80">
        <v>100</v>
      </c>
      <c r="K946" s="80">
        <v>300</v>
      </c>
      <c r="L946" s="77">
        <f t="shared" si="152"/>
        <v>1150</v>
      </c>
      <c r="M946" s="87">
        <v>600</v>
      </c>
      <c r="N946" s="77">
        <f>100</f>
        <v>100</v>
      </c>
      <c r="O946" s="80">
        <v>240</v>
      </c>
      <c r="P946" s="80">
        <v>40</v>
      </c>
      <c r="Q946" s="80">
        <f t="shared" si="153"/>
        <v>315</v>
      </c>
      <c r="R946" s="80">
        <f t="shared" si="154"/>
        <v>100</v>
      </c>
      <c r="S946" s="77">
        <f t="shared" si="155"/>
        <v>695</v>
      </c>
      <c r="T946" s="77">
        <f>50</f>
        <v>50</v>
      </c>
      <c r="U946" s="78"/>
      <c r="V946" s="78"/>
      <c r="W946" s="78"/>
      <c r="X946" s="78"/>
      <c r="Y946" s="78"/>
      <c r="Z946" s="78"/>
      <c r="AA946" s="78"/>
      <c r="AB946" s="78"/>
      <c r="AC946" s="78"/>
      <c r="AD946" s="78"/>
    </row>
    <row r="947" spans="1:30" ht="15.75" x14ac:dyDescent="0.25">
      <c r="A947" s="13">
        <v>70128</v>
      </c>
      <c r="B947" s="88">
        <f t="shared" si="151"/>
        <v>31</v>
      </c>
      <c r="C947" s="77">
        <f>122.58</f>
        <v>122.58</v>
      </c>
      <c r="D947" s="77">
        <f>297.941</f>
        <v>297.94099999999997</v>
      </c>
      <c r="E947" s="85">
        <f>89.177</f>
        <v>89.177000000000007</v>
      </c>
      <c r="F947" s="77">
        <f>240.302-40-60-100</f>
        <v>40.301999999999992</v>
      </c>
      <c r="G947" s="80">
        <v>40</v>
      </c>
      <c r="H947" s="77">
        <f>60+100</f>
        <v>160</v>
      </c>
      <c r="I947" s="77">
        <f t="shared" si="158"/>
        <v>0</v>
      </c>
      <c r="J947" s="80">
        <v>100</v>
      </c>
      <c r="K947" s="80">
        <v>300</v>
      </c>
      <c r="L947" s="77">
        <f t="shared" si="152"/>
        <v>1150</v>
      </c>
      <c r="M947" s="87">
        <v>600</v>
      </c>
      <c r="N947" s="77">
        <f>100</f>
        <v>100</v>
      </c>
      <c r="O947" s="80">
        <v>240</v>
      </c>
      <c r="P947" s="80">
        <v>40</v>
      </c>
      <c r="Q947" s="80">
        <f t="shared" si="153"/>
        <v>315</v>
      </c>
      <c r="R947" s="80">
        <f t="shared" si="154"/>
        <v>100</v>
      </c>
      <c r="S947" s="77">
        <f t="shared" si="155"/>
        <v>695</v>
      </c>
      <c r="T947" s="77">
        <f>50</f>
        <v>50</v>
      </c>
      <c r="U947" s="78"/>
      <c r="V947" s="78"/>
      <c r="W947" s="78"/>
      <c r="X947" s="78"/>
      <c r="Y947" s="78"/>
      <c r="Z947" s="78"/>
      <c r="AA947" s="78"/>
      <c r="AB947" s="78"/>
      <c r="AC947" s="78"/>
      <c r="AD947" s="78"/>
    </row>
    <row r="948" spans="1:30" ht="15.75" x14ac:dyDescent="0.25">
      <c r="A948" s="13">
        <v>70159</v>
      </c>
      <c r="B948" s="88">
        <f t="shared" si="151"/>
        <v>31</v>
      </c>
      <c r="C948" s="77">
        <f>122.58</f>
        <v>122.58</v>
      </c>
      <c r="D948" s="77">
        <f>297.941</f>
        <v>297.94099999999997</v>
      </c>
      <c r="E948" s="85">
        <f>89.177</f>
        <v>89.177000000000007</v>
      </c>
      <c r="F948" s="77">
        <f>240.302-40-60-100</f>
        <v>40.301999999999992</v>
      </c>
      <c r="G948" s="80">
        <v>40</v>
      </c>
      <c r="H948" s="77">
        <f>60+100</f>
        <v>160</v>
      </c>
      <c r="I948" s="77">
        <f t="shared" si="158"/>
        <v>0</v>
      </c>
      <c r="J948" s="80">
        <v>100</v>
      </c>
      <c r="K948" s="80">
        <v>300</v>
      </c>
      <c r="L948" s="77">
        <f t="shared" si="152"/>
        <v>1150</v>
      </c>
      <c r="M948" s="87">
        <v>600</v>
      </c>
      <c r="N948" s="77">
        <f>100</f>
        <v>100</v>
      </c>
      <c r="O948" s="80">
        <v>240</v>
      </c>
      <c r="P948" s="80">
        <v>40</v>
      </c>
      <c r="Q948" s="80">
        <f t="shared" si="153"/>
        <v>315</v>
      </c>
      <c r="R948" s="80">
        <f t="shared" si="154"/>
        <v>100</v>
      </c>
      <c r="S948" s="77">
        <f t="shared" si="155"/>
        <v>695</v>
      </c>
      <c r="T948" s="77">
        <f>50</f>
        <v>50</v>
      </c>
      <c r="U948" s="78"/>
      <c r="V948" s="78"/>
      <c r="W948" s="78"/>
      <c r="X948" s="78"/>
      <c r="Y948" s="78"/>
      <c r="Z948" s="78"/>
      <c r="AA948" s="78"/>
      <c r="AB948" s="78"/>
      <c r="AC948" s="78"/>
      <c r="AD948" s="78"/>
    </row>
    <row r="949" spans="1:30" ht="15.75" x14ac:dyDescent="0.25">
      <c r="A949" s="13">
        <v>70188</v>
      </c>
      <c r="B949" s="88">
        <f t="shared" si="151"/>
        <v>29</v>
      </c>
      <c r="C949" s="77">
        <f>122.58</f>
        <v>122.58</v>
      </c>
      <c r="D949" s="77">
        <f>297.941</f>
        <v>297.94099999999997</v>
      </c>
      <c r="E949" s="85">
        <f>89.177</f>
        <v>89.177000000000007</v>
      </c>
      <c r="F949" s="77">
        <f>240.302-40-60-100</f>
        <v>40.301999999999992</v>
      </c>
      <c r="G949" s="80">
        <v>40</v>
      </c>
      <c r="H949" s="77">
        <f>60+100</f>
        <v>160</v>
      </c>
      <c r="I949" s="77">
        <f t="shared" si="158"/>
        <v>0</v>
      </c>
      <c r="J949" s="80">
        <v>100</v>
      </c>
      <c r="K949" s="80">
        <v>300</v>
      </c>
      <c r="L949" s="77">
        <f t="shared" si="152"/>
        <v>1150</v>
      </c>
      <c r="M949" s="87">
        <v>600</v>
      </c>
      <c r="N949" s="77">
        <f>100</f>
        <v>100</v>
      </c>
      <c r="O949" s="80">
        <v>240</v>
      </c>
      <c r="P949" s="80">
        <v>40</v>
      </c>
      <c r="Q949" s="80">
        <f t="shared" si="153"/>
        <v>315</v>
      </c>
      <c r="R949" s="80">
        <f t="shared" si="154"/>
        <v>100</v>
      </c>
      <c r="S949" s="77">
        <f t="shared" si="155"/>
        <v>695</v>
      </c>
      <c r="T949" s="77">
        <f>50</f>
        <v>50</v>
      </c>
      <c r="U949" s="78"/>
      <c r="V949" s="78"/>
      <c r="W949" s="78"/>
      <c r="X949" s="78"/>
      <c r="Y949" s="78"/>
      <c r="Z949" s="78"/>
      <c r="AA949" s="78"/>
      <c r="AB949" s="78"/>
      <c r="AC949" s="78"/>
      <c r="AD949" s="78"/>
    </row>
    <row r="950" spans="1:30" ht="15.75" x14ac:dyDescent="0.25">
      <c r="A950" s="13">
        <v>70219</v>
      </c>
      <c r="B950" s="88">
        <f t="shared" si="151"/>
        <v>31</v>
      </c>
      <c r="C950" s="77">
        <f>122.58</f>
        <v>122.58</v>
      </c>
      <c r="D950" s="77">
        <f>297.941</f>
        <v>297.94099999999997</v>
      </c>
      <c r="E950" s="85">
        <f>89.177</f>
        <v>89.177000000000007</v>
      </c>
      <c r="F950" s="77">
        <f>240.302-40-60-100</f>
        <v>40.301999999999992</v>
      </c>
      <c r="G950" s="80">
        <v>40</v>
      </c>
      <c r="H950" s="77">
        <f>60+100</f>
        <v>160</v>
      </c>
      <c r="I950" s="77">
        <f t="shared" si="158"/>
        <v>0</v>
      </c>
      <c r="J950" s="80">
        <v>100</v>
      </c>
      <c r="K950" s="80">
        <v>300</v>
      </c>
      <c r="L950" s="77">
        <f t="shared" si="152"/>
        <v>1150</v>
      </c>
      <c r="M950" s="87">
        <v>600</v>
      </c>
      <c r="N950" s="77">
        <f>100</f>
        <v>100</v>
      </c>
      <c r="O950" s="80">
        <v>240</v>
      </c>
      <c r="P950" s="80">
        <v>40</v>
      </c>
      <c r="Q950" s="80">
        <f t="shared" si="153"/>
        <v>315</v>
      </c>
      <c r="R950" s="80">
        <f t="shared" si="154"/>
        <v>100</v>
      </c>
      <c r="S950" s="77">
        <f t="shared" si="155"/>
        <v>695</v>
      </c>
      <c r="T950" s="77">
        <f>50</f>
        <v>50</v>
      </c>
      <c r="U950" s="78"/>
      <c r="V950" s="78"/>
      <c r="W950" s="78"/>
      <c r="X950" s="78"/>
      <c r="Y950" s="78"/>
      <c r="Z950" s="78"/>
      <c r="AA950" s="78"/>
      <c r="AB950" s="78"/>
      <c r="AC950" s="78"/>
      <c r="AD950" s="78"/>
    </row>
    <row r="951" spans="1:30" ht="15.75" x14ac:dyDescent="0.25">
      <c r="A951" s="13">
        <v>70249</v>
      </c>
      <c r="B951" s="88">
        <f t="shared" si="151"/>
        <v>30</v>
      </c>
      <c r="C951" s="77">
        <f>141.293</f>
        <v>141.29300000000001</v>
      </c>
      <c r="D951" s="77">
        <f>267.993</f>
        <v>267.99299999999999</v>
      </c>
      <c r="E951" s="85">
        <f>115.016</f>
        <v>115.01600000000001</v>
      </c>
      <c r="F951" s="77">
        <f>314.698-40-25-60-100</f>
        <v>89.697999999999979</v>
      </c>
      <c r="G951" s="80">
        <v>40</v>
      </c>
      <c r="H951" s="77">
        <f t="shared" ref="H951:H957" si="160">25+60+100</f>
        <v>185</v>
      </c>
      <c r="I951" s="77">
        <f t="shared" si="158"/>
        <v>0</v>
      </c>
      <c r="J951" s="80">
        <v>100</v>
      </c>
      <c r="K951" s="80">
        <v>300</v>
      </c>
      <c r="L951" s="77">
        <f t="shared" si="152"/>
        <v>1239</v>
      </c>
      <c r="M951" s="87">
        <v>600</v>
      </c>
      <c r="N951" s="77">
        <f>100</f>
        <v>100</v>
      </c>
      <c r="O951" s="80">
        <v>240</v>
      </c>
      <c r="P951" s="80">
        <v>40</v>
      </c>
      <c r="Q951" s="80">
        <f t="shared" si="153"/>
        <v>315</v>
      </c>
      <c r="R951" s="80">
        <f t="shared" si="154"/>
        <v>100</v>
      </c>
      <c r="S951" s="77">
        <f t="shared" si="155"/>
        <v>695</v>
      </c>
      <c r="T951" s="77">
        <f>50</f>
        <v>50</v>
      </c>
      <c r="U951" s="78"/>
      <c r="V951" s="78"/>
      <c r="W951" s="78"/>
      <c r="X951" s="78"/>
      <c r="Y951" s="78"/>
      <c r="Z951" s="78"/>
      <c r="AA951" s="78"/>
      <c r="AB951" s="78"/>
      <c r="AC951" s="78"/>
      <c r="AD951" s="78"/>
    </row>
    <row r="952" spans="1:30" ht="15.75" x14ac:dyDescent="0.25">
      <c r="A952" s="13">
        <v>70280</v>
      </c>
      <c r="B952" s="88">
        <f t="shared" si="151"/>
        <v>31</v>
      </c>
      <c r="C952" s="77">
        <f>194.205</f>
        <v>194.20500000000001</v>
      </c>
      <c r="D952" s="77">
        <f>267.466</f>
        <v>267.46600000000001</v>
      </c>
      <c r="E952" s="85">
        <f>133.845</f>
        <v>133.845</v>
      </c>
      <c r="F952" s="77">
        <f>278.484-40-25-60-100</f>
        <v>53.48399999999998</v>
      </c>
      <c r="G952" s="80">
        <v>40</v>
      </c>
      <c r="H952" s="77">
        <f t="shared" si="160"/>
        <v>185</v>
      </c>
      <c r="I952" s="77">
        <f t="shared" si="158"/>
        <v>0</v>
      </c>
      <c r="J952" s="80">
        <v>100</v>
      </c>
      <c r="K952" s="80">
        <v>300</v>
      </c>
      <c r="L952" s="77">
        <f t="shared" si="152"/>
        <v>1274</v>
      </c>
      <c r="M952" s="87">
        <v>600</v>
      </c>
      <c r="N952" s="77">
        <f>75</f>
        <v>75</v>
      </c>
      <c r="O952" s="80">
        <v>240</v>
      </c>
      <c r="P952" s="80">
        <v>40</v>
      </c>
      <c r="Q952" s="80">
        <f t="shared" si="153"/>
        <v>315</v>
      </c>
      <c r="R952" s="80">
        <f t="shared" si="154"/>
        <v>100</v>
      </c>
      <c r="S952" s="77">
        <f t="shared" si="155"/>
        <v>695</v>
      </c>
      <c r="T952" s="77">
        <f>50</f>
        <v>50</v>
      </c>
      <c r="U952" s="78"/>
      <c r="V952" s="78"/>
      <c r="W952" s="78"/>
      <c r="X952" s="78"/>
      <c r="Y952" s="78"/>
      <c r="Z952" s="78"/>
      <c r="AA952" s="78"/>
      <c r="AB952" s="78"/>
      <c r="AC952" s="78"/>
      <c r="AD952" s="78"/>
    </row>
    <row r="953" spans="1:30" ht="15.75" x14ac:dyDescent="0.25">
      <c r="A953" s="13">
        <v>70310</v>
      </c>
      <c r="B953" s="88">
        <f t="shared" si="151"/>
        <v>30</v>
      </c>
      <c r="C953" s="77">
        <f>194.205</f>
        <v>194.20500000000001</v>
      </c>
      <c r="D953" s="77">
        <f>267.466</f>
        <v>267.46600000000001</v>
      </c>
      <c r="E953" s="85">
        <f>133.845</f>
        <v>133.845</v>
      </c>
      <c r="F953" s="77">
        <f>278.484-40-25-60-100</f>
        <v>53.48399999999998</v>
      </c>
      <c r="G953" s="80">
        <v>40</v>
      </c>
      <c r="H953" s="77">
        <f t="shared" si="160"/>
        <v>185</v>
      </c>
      <c r="I953" s="77">
        <f t="shared" si="158"/>
        <v>0</v>
      </c>
      <c r="J953" s="80">
        <v>100</v>
      </c>
      <c r="K953" s="80">
        <v>300</v>
      </c>
      <c r="L953" s="77">
        <f t="shared" si="152"/>
        <v>1274</v>
      </c>
      <c r="M953" s="87">
        <v>600</v>
      </c>
      <c r="N953" s="77">
        <f>30</f>
        <v>30</v>
      </c>
      <c r="O953" s="80">
        <v>240</v>
      </c>
      <c r="P953" s="80">
        <v>40</v>
      </c>
      <c r="Q953" s="80">
        <f t="shared" si="153"/>
        <v>315</v>
      </c>
      <c r="R953" s="80">
        <f t="shared" si="154"/>
        <v>100</v>
      </c>
      <c r="S953" s="77">
        <f t="shared" si="155"/>
        <v>695</v>
      </c>
      <c r="T953" s="77">
        <f>50</f>
        <v>50</v>
      </c>
      <c r="U953" s="78"/>
      <c r="V953" s="78"/>
      <c r="W953" s="78"/>
      <c r="X953" s="78"/>
      <c r="Y953" s="78"/>
      <c r="Z953" s="78"/>
      <c r="AA953" s="78"/>
      <c r="AB953" s="78"/>
      <c r="AC953" s="78"/>
      <c r="AD953" s="78"/>
    </row>
    <row r="954" spans="1:30" ht="15.75" x14ac:dyDescent="0.25">
      <c r="A954" s="13">
        <v>70341</v>
      </c>
      <c r="B954" s="88">
        <f t="shared" si="151"/>
        <v>31</v>
      </c>
      <c r="C954" s="77">
        <f>194.205</f>
        <v>194.20500000000001</v>
      </c>
      <c r="D954" s="77">
        <f>267.466</f>
        <v>267.46600000000001</v>
      </c>
      <c r="E954" s="85">
        <f>133.845</f>
        <v>133.845</v>
      </c>
      <c r="F954" s="77">
        <f>278.484-40-25-60-100</f>
        <v>53.48399999999998</v>
      </c>
      <c r="G954" s="80">
        <v>40</v>
      </c>
      <c r="H954" s="77">
        <f t="shared" si="160"/>
        <v>185</v>
      </c>
      <c r="I954" s="77">
        <f t="shared" si="158"/>
        <v>0</v>
      </c>
      <c r="J954" s="80">
        <v>100</v>
      </c>
      <c r="K954" s="80">
        <v>300</v>
      </c>
      <c r="L954" s="77">
        <f t="shared" si="152"/>
        <v>1274</v>
      </c>
      <c r="M954" s="87">
        <v>600</v>
      </c>
      <c r="N954" s="77">
        <f>30</f>
        <v>30</v>
      </c>
      <c r="O954" s="80">
        <v>240</v>
      </c>
      <c r="P954" s="80">
        <v>40</v>
      </c>
      <c r="Q954" s="80">
        <f t="shared" si="153"/>
        <v>315</v>
      </c>
      <c r="R954" s="80">
        <f t="shared" si="154"/>
        <v>100</v>
      </c>
      <c r="S954" s="77">
        <f t="shared" si="155"/>
        <v>695</v>
      </c>
      <c r="T954" s="77">
        <f>0</f>
        <v>0</v>
      </c>
      <c r="U954" s="78"/>
      <c r="V954" s="78"/>
      <c r="W954" s="78"/>
      <c r="X954" s="78"/>
      <c r="Y954" s="78"/>
      <c r="Z954" s="78"/>
      <c r="AA954" s="78"/>
      <c r="AB954" s="78"/>
      <c r="AC954" s="78"/>
      <c r="AD954" s="78"/>
    </row>
    <row r="955" spans="1:30" ht="15.75" x14ac:dyDescent="0.25">
      <c r="A955" s="13">
        <v>70372</v>
      </c>
      <c r="B955" s="88">
        <f t="shared" si="151"/>
        <v>31</v>
      </c>
      <c r="C955" s="77">
        <f>194.205</f>
        <v>194.20500000000001</v>
      </c>
      <c r="D955" s="77">
        <f>267.466</f>
        <v>267.46600000000001</v>
      </c>
      <c r="E955" s="85">
        <f>133.845</f>
        <v>133.845</v>
      </c>
      <c r="F955" s="77">
        <f>278.484-40-25-60-100</f>
        <v>53.48399999999998</v>
      </c>
      <c r="G955" s="80">
        <v>40</v>
      </c>
      <c r="H955" s="77">
        <f t="shared" si="160"/>
        <v>185</v>
      </c>
      <c r="I955" s="77">
        <f t="shared" si="158"/>
        <v>0</v>
      </c>
      <c r="J955" s="80">
        <v>100</v>
      </c>
      <c r="K955" s="80">
        <v>300</v>
      </c>
      <c r="L955" s="77">
        <f t="shared" si="152"/>
        <v>1274</v>
      </c>
      <c r="M955" s="87">
        <v>600</v>
      </c>
      <c r="N955" s="77">
        <f>30</f>
        <v>30</v>
      </c>
      <c r="O955" s="80">
        <v>240</v>
      </c>
      <c r="P955" s="80">
        <v>40</v>
      </c>
      <c r="Q955" s="80">
        <f t="shared" si="153"/>
        <v>315</v>
      </c>
      <c r="R955" s="80">
        <f t="shared" si="154"/>
        <v>100</v>
      </c>
      <c r="S955" s="77">
        <f t="shared" si="155"/>
        <v>695</v>
      </c>
      <c r="T955" s="77">
        <f>0</f>
        <v>0</v>
      </c>
      <c r="U955" s="78"/>
      <c r="V955" s="78"/>
      <c r="W955" s="78"/>
      <c r="X955" s="78"/>
      <c r="Y955" s="78"/>
      <c r="Z955" s="78"/>
      <c r="AA955" s="78"/>
      <c r="AB955" s="78"/>
      <c r="AC955" s="78"/>
      <c r="AD955" s="78"/>
    </row>
    <row r="956" spans="1:30" ht="15.75" x14ac:dyDescent="0.25">
      <c r="A956" s="13">
        <v>70402</v>
      </c>
      <c r="B956" s="88">
        <f t="shared" si="151"/>
        <v>30</v>
      </c>
      <c r="C956" s="77">
        <f>194.205</f>
        <v>194.20500000000001</v>
      </c>
      <c r="D956" s="77">
        <f>267.466</f>
        <v>267.46600000000001</v>
      </c>
      <c r="E956" s="85">
        <f>133.845</f>
        <v>133.845</v>
      </c>
      <c r="F956" s="77">
        <f>278.484-40-25-60-100</f>
        <v>53.48399999999998</v>
      </c>
      <c r="G956" s="80">
        <v>40</v>
      </c>
      <c r="H956" s="77">
        <f t="shared" si="160"/>
        <v>185</v>
      </c>
      <c r="I956" s="77">
        <f t="shared" si="158"/>
        <v>0</v>
      </c>
      <c r="J956" s="80">
        <v>100</v>
      </c>
      <c r="K956" s="80">
        <v>300</v>
      </c>
      <c r="L956" s="77">
        <f t="shared" si="152"/>
        <v>1274</v>
      </c>
      <c r="M956" s="87">
        <v>600</v>
      </c>
      <c r="N956" s="77">
        <f>30</f>
        <v>30</v>
      </c>
      <c r="O956" s="80">
        <v>240</v>
      </c>
      <c r="P956" s="80">
        <v>40</v>
      </c>
      <c r="Q956" s="80">
        <f t="shared" si="153"/>
        <v>315</v>
      </c>
      <c r="R956" s="80">
        <f t="shared" si="154"/>
        <v>100</v>
      </c>
      <c r="S956" s="77">
        <f t="shared" si="155"/>
        <v>695</v>
      </c>
      <c r="T956" s="77">
        <f>0</f>
        <v>0</v>
      </c>
      <c r="U956" s="78"/>
      <c r="V956" s="78"/>
      <c r="W956" s="78"/>
      <c r="X956" s="78"/>
      <c r="Y956" s="78"/>
      <c r="Z956" s="78"/>
      <c r="AA956" s="78"/>
      <c r="AB956" s="78"/>
      <c r="AC956" s="78"/>
      <c r="AD956" s="78"/>
    </row>
    <row r="957" spans="1:30" ht="15.75" x14ac:dyDescent="0.25">
      <c r="A957" s="13">
        <v>70433</v>
      </c>
      <c r="B957" s="88">
        <f t="shared" si="151"/>
        <v>31</v>
      </c>
      <c r="C957" s="77">
        <f>131.881</f>
        <v>131.881</v>
      </c>
      <c r="D957" s="77">
        <f>277.167</f>
        <v>277.16699999999997</v>
      </c>
      <c r="E957" s="85">
        <f>79.08</f>
        <v>79.08</v>
      </c>
      <c r="F957" s="77">
        <f>350.872-40-25-60-100</f>
        <v>125.87200000000001</v>
      </c>
      <c r="G957" s="80">
        <v>40</v>
      </c>
      <c r="H957" s="77">
        <f t="shared" si="160"/>
        <v>185</v>
      </c>
      <c r="I957" s="77">
        <f t="shared" si="158"/>
        <v>0</v>
      </c>
      <c r="J957" s="80">
        <v>100</v>
      </c>
      <c r="K957" s="80">
        <v>300</v>
      </c>
      <c r="L957" s="77">
        <f t="shared" si="152"/>
        <v>1239</v>
      </c>
      <c r="M957" s="87">
        <v>600</v>
      </c>
      <c r="N957" s="77">
        <f>75</f>
        <v>75</v>
      </c>
      <c r="O957" s="80">
        <v>240</v>
      </c>
      <c r="P957" s="80">
        <v>40</v>
      </c>
      <c r="Q957" s="80">
        <f t="shared" si="153"/>
        <v>315</v>
      </c>
      <c r="R957" s="80">
        <f t="shared" si="154"/>
        <v>100</v>
      </c>
      <c r="S957" s="77">
        <f t="shared" si="155"/>
        <v>695</v>
      </c>
      <c r="T957" s="77">
        <f>0</f>
        <v>0</v>
      </c>
      <c r="U957" s="78"/>
      <c r="V957" s="78"/>
      <c r="W957" s="78"/>
      <c r="X957" s="78"/>
      <c r="Y957" s="78"/>
      <c r="Z957" s="78"/>
      <c r="AA957" s="78"/>
      <c r="AB957" s="78"/>
      <c r="AC957" s="78"/>
      <c r="AD957" s="78"/>
    </row>
    <row r="958" spans="1:30" ht="15.75" x14ac:dyDescent="0.25">
      <c r="A958" s="13">
        <v>70463</v>
      </c>
      <c r="B958" s="88">
        <f t="shared" si="151"/>
        <v>30</v>
      </c>
      <c r="C958" s="77">
        <f>122.58</f>
        <v>122.58</v>
      </c>
      <c r="D958" s="77">
        <f>297.941</f>
        <v>297.94099999999997</v>
      </c>
      <c r="E958" s="85">
        <f>89.177</f>
        <v>89.177000000000007</v>
      </c>
      <c r="F958" s="77">
        <f>240.302-40-60-100</f>
        <v>40.301999999999992</v>
      </c>
      <c r="G958" s="80">
        <v>40</v>
      </c>
      <c r="H958" s="77">
        <f>60+100</f>
        <v>160</v>
      </c>
      <c r="I958" s="77">
        <f t="shared" si="158"/>
        <v>0</v>
      </c>
      <c r="J958" s="80">
        <v>100</v>
      </c>
      <c r="K958" s="80">
        <v>300</v>
      </c>
      <c r="L958" s="77">
        <f t="shared" si="152"/>
        <v>1150</v>
      </c>
      <c r="M958" s="87">
        <v>600</v>
      </c>
      <c r="N958" s="77">
        <f>100</f>
        <v>100</v>
      </c>
      <c r="O958" s="80">
        <v>240</v>
      </c>
      <c r="P958" s="80">
        <v>40</v>
      </c>
      <c r="Q958" s="80">
        <f t="shared" si="153"/>
        <v>315</v>
      </c>
      <c r="R958" s="80">
        <f t="shared" si="154"/>
        <v>100</v>
      </c>
      <c r="S958" s="77">
        <f t="shared" si="155"/>
        <v>695</v>
      </c>
      <c r="T958" s="77">
        <f>50</f>
        <v>50</v>
      </c>
      <c r="U958" s="78"/>
      <c r="V958" s="78"/>
      <c r="W958" s="78"/>
      <c r="X958" s="78"/>
      <c r="Y958" s="78"/>
      <c r="Z958" s="78"/>
      <c r="AA958" s="78"/>
      <c r="AB958" s="78"/>
      <c r="AC958" s="78"/>
      <c r="AD958" s="78"/>
    </row>
    <row r="959" spans="1:30" ht="15.75" x14ac:dyDescent="0.25">
      <c r="A959" s="13">
        <v>70494</v>
      </c>
      <c r="B959" s="88">
        <f t="shared" si="151"/>
        <v>31</v>
      </c>
      <c r="C959" s="77">
        <f>122.58</f>
        <v>122.58</v>
      </c>
      <c r="D959" s="77">
        <f>297.941</f>
        <v>297.94099999999997</v>
      </c>
      <c r="E959" s="85">
        <f>89.177</f>
        <v>89.177000000000007</v>
      </c>
      <c r="F959" s="77">
        <f>240.302-40-60-100</f>
        <v>40.301999999999992</v>
      </c>
      <c r="G959" s="80">
        <v>40</v>
      </c>
      <c r="H959" s="77">
        <f>60+100</f>
        <v>160</v>
      </c>
      <c r="I959" s="77">
        <f t="shared" si="158"/>
        <v>0</v>
      </c>
      <c r="J959" s="80">
        <v>100</v>
      </c>
      <c r="K959" s="80">
        <v>300</v>
      </c>
      <c r="L959" s="77">
        <f t="shared" si="152"/>
        <v>1150</v>
      </c>
      <c r="M959" s="87">
        <v>600</v>
      </c>
      <c r="N959" s="77">
        <f>100</f>
        <v>100</v>
      </c>
      <c r="O959" s="80">
        <v>240</v>
      </c>
      <c r="P959" s="80">
        <v>40</v>
      </c>
      <c r="Q959" s="80">
        <f t="shared" si="153"/>
        <v>315</v>
      </c>
      <c r="R959" s="80">
        <f t="shared" si="154"/>
        <v>100</v>
      </c>
      <c r="S959" s="77">
        <f t="shared" si="155"/>
        <v>695</v>
      </c>
      <c r="T959" s="77">
        <f>50</f>
        <v>50</v>
      </c>
      <c r="U959" s="78"/>
      <c r="V959" s="78"/>
      <c r="W959" s="78"/>
      <c r="X959" s="78"/>
      <c r="Y959" s="78"/>
      <c r="Z959" s="78"/>
      <c r="AA959" s="78"/>
      <c r="AB959" s="78"/>
      <c r="AC959" s="78"/>
      <c r="AD959" s="78"/>
    </row>
    <row r="960" spans="1:30" ht="15.75" x14ac:dyDescent="0.25">
      <c r="A960" s="13">
        <v>70525</v>
      </c>
      <c r="B960" s="88">
        <f t="shared" si="151"/>
        <v>31</v>
      </c>
      <c r="C960" s="77">
        <f>122.58</f>
        <v>122.58</v>
      </c>
      <c r="D960" s="77">
        <f>297.941</f>
        <v>297.94099999999997</v>
      </c>
      <c r="E960" s="85">
        <f>89.177</f>
        <v>89.177000000000007</v>
      </c>
      <c r="F960" s="77">
        <f>240.302-40-60-100</f>
        <v>40.301999999999992</v>
      </c>
      <c r="G960" s="80">
        <v>40</v>
      </c>
      <c r="H960" s="77">
        <f>60+100</f>
        <v>160</v>
      </c>
      <c r="I960" s="77">
        <f t="shared" si="158"/>
        <v>0</v>
      </c>
      <c r="J960" s="80">
        <v>100</v>
      </c>
      <c r="K960" s="80">
        <v>300</v>
      </c>
      <c r="L960" s="77">
        <f t="shared" si="152"/>
        <v>1150</v>
      </c>
      <c r="M960" s="87">
        <v>600</v>
      </c>
      <c r="N960" s="77">
        <f>100</f>
        <v>100</v>
      </c>
      <c r="O960" s="80">
        <v>240</v>
      </c>
      <c r="P960" s="80">
        <v>40</v>
      </c>
      <c r="Q960" s="80">
        <f t="shared" si="153"/>
        <v>315</v>
      </c>
      <c r="R960" s="80">
        <f t="shared" si="154"/>
        <v>100</v>
      </c>
      <c r="S960" s="77">
        <f t="shared" si="155"/>
        <v>695</v>
      </c>
      <c r="T960" s="77">
        <f>50</f>
        <v>50</v>
      </c>
      <c r="U960" s="78"/>
      <c r="V960" s="78"/>
      <c r="W960" s="78"/>
      <c r="X960" s="78"/>
      <c r="Y960" s="78"/>
      <c r="Z960" s="78"/>
      <c r="AA960" s="78"/>
      <c r="AB960" s="78"/>
      <c r="AC960" s="78"/>
      <c r="AD960" s="78"/>
    </row>
    <row r="961" spans="1:30" ht="15.75" x14ac:dyDescent="0.25">
      <c r="A961" s="13">
        <v>70553</v>
      </c>
      <c r="B961" s="88">
        <f t="shared" si="151"/>
        <v>28</v>
      </c>
      <c r="C961" s="77">
        <f>122.58</f>
        <v>122.58</v>
      </c>
      <c r="D961" s="77">
        <f>297.941</f>
        <v>297.94099999999997</v>
      </c>
      <c r="E961" s="85">
        <f>89.177</f>
        <v>89.177000000000007</v>
      </c>
      <c r="F961" s="77">
        <f>240.302-40-60-100</f>
        <v>40.301999999999992</v>
      </c>
      <c r="G961" s="80">
        <v>40</v>
      </c>
      <c r="H961" s="77">
        <f>60+100</f>
        <v>160</v>
      </c>
      <c r="I961" s="77">
        <f t="shared" si="158"/>
        <v>0</v>
      </c>
      <c r="J961" s="80">
        <v>100</v>
      </c>
      <c r="K961" s="80">
        <v>300</v>
      </c>
      <c r="L961" s="77">
        <f t="shared" si="152"/>
        <v>1150</v>
      </c>
      <c r="M961" s="87">
        <v>600</v>
      </c>
      <c r="N961" s="77">
        <f>100</f>
        <v>100</v>
      </c>
      <c r="O961" s="80">
        <v>240</v>
      </c>
      <c r="P961" s="80">
        <v>40</v>
      </c>
      <c r="Q961" s="80">
        <f t="shared" si="153"/>
        <v>315</v>
      </c>
      <c r="R961" s="80">
        <f t="shared" si="154"/>
        <v>100</v>
      </c>
      <c r="S961" s="77">
        <f t="shared" si="155"/>
        <v>695</v>
      </c>
      <c r="T961" s="77">
        <f>50</f>
        <v>50</v>
      </c>
      <c r="U961" s="78"/>
      <c r="V961" s="78"/>
      <c r="W961" s="78"/>
      <c r="X961" s="78"/>
      <c r="Y961" s="78"/>
      <c r="Z961" s="78"/>
      <c r="AA961" s="78"/>
      <c r="AB961" s="78"/>
      <c r="AC961" s="78"/>
      <c r="AD961" s="78"/>
    </row>
    <row r="962" spans="1:30" ht="15.75" x14ac:dyDescent="0.25">
      <c r="A962" s="13">
        <v>70584</v>
      </c>
      <c r="B962" s="88">
        <f t="shared" si="151"/>
        <v>31</v>
      </c>
      <c r="C962" s="77">
        <f>122.58</f>
        <v>122.58</v>
      </c>
      <c r="D962" s="77">
        <f>297.941</f>
        <v>297.94099999999997</v>
      </c>
      <c r="E962" s="85">
        <f>89.177</f>
        <v>89.177000000000007</v>
      </c>
      <c r="F962" s="77">
        <f>240.302-40-60-100</f>
        <v>40.301999999999992</v>
      </c>
      <c r="G962" s="80">
        <v>40</v>
      </c>
      <c r="H962" s="77">
        <f>60+100</f>
        <v>160</v>
      </c>
      <c r="I962" s="77">
        <f t="shared" si="158"/>
        <v>0</v>
      </c>
      <c r="J962" s="80">
        <v>100</v>
      </c>
      <c r="K962" s="80">
        <v>300</v>
      </c>
      <c r="L962" s="77">
        <f t="shared" si="152"/>
        <v>1150</v>
      </c>
      <c r="M962" s="87">
        <v>600</v>
      </c>
      <c r="N962" s="77">
        <f>100</f>
        <v>100</v>
      </c>
      <c r="O962" s="80">
        <v>240</v>
      </c>
      <c r="P962" s="80">
        <v>40</v>
      </c>
      <c r="Q962" s="80">
        <f t="shared" si="153"/>
        <v>315</v>
      </c>
      <c r="R962" s="80">
        <f t="shared" si="154"/>
        <v>100</v>
      </c>
      <c r="S962" s="77">
        <f t="shared" si="155"/>
        <v>695</v>
      </c>
      <c r="T962" s="77">
        <f>50</f>
        <v>50</v>
      </c>
      <c r="U962" s="78"/>
      <c r="V962" s="78"/>
      <c r="W962" s="78"/>
      <c r="X962" s="78"/>
      <c r="Y962" s="78"/>
      <c r="Z962" s="78"/>
      <c r="AA962" s="78"/>
      <c r="AB962" s="78"/>
      <c r="AC962" s="78"/>
      <c r="AD962" s="78"/>
    </row>
    <row r="963" spans="1:30" ht="15.75" x14ac:dyDescent="0.25">
      <c r="A963" s="13">
        <v>70614</v>
      </c>
      <c r="B963" s="88">
        <f t="shared" si="151"/>
        <v>30</v>
      </c>
      <c r="C963" s="77">
        <f>141.293</f>
        <v>141.29300000000001</v>
      </c>
      <c r="D963" s="77">
        <f>267.993</f>
        <v>267.99299999999999</v>
      </c>
      <c r="E963" s="85">
        <f>115.016</f>
        <v>115.01600000000001</v>
      </c>
      <c r="F963" s="77">
        <f>314.698-40-25-60-100</f>
        <v>89.697999999999979</v>
      </c>
      <c r="G963" s="80">
        <v>40</v>
      </c>
      <c r="H963" s="77">
        <f t="shared" ref="H963:H969" si="161">25+60+100</f>
        <v>185</v>
      </c>
      <c r="I963" s="77">
        <f t="shared" si="158"/>
        <v>0</v>
      </c>
      <c r="J963" s="80">
        <v>100</v>
      </c>
      <c r="K963" s="80">
        <v>300</v>
      </c>
      <c r="L963" s="77">
        <f t="shared" si="152"/>
        <v>1239</v>
      </c>
      <c r="M963" s="87">
        <v>600</v>
      </c>
      <c r="N963" s="77">
        <f>100</f>
        <v>100</v>
      </c>
      <c r="O963" s="80">
        <v>240</v>
      </c>
      <c r="P963" s="80">
        <v>40</v>
      </c>
      <c r="Q963" s="80">
        <f t="shared" si="153"/>
        <v>315</v>
      </c>
      <c r="R963" s="80">
        <f t="shared" si="154"/>
        <v>100</v>
      </c>
      <c r="S963" s="77">
        <f t="shared" si="155"/>
        <v>695</v>
      </c>
      <c r="T963" s="77">
        <f>50</f>
        <v>50</v>
      </c>
      <c r="U963" s="78"/>
      <c r="V963" s="78"/>
      <c r="W963" s="78"/>
      <c r="X963" s="78"/>
      <c r="Y963" s="78"/>
      <c r="Z963" s="78"/>
      <c r="AA963" s="78"/>
      <c r="AB963" s="78"/>
      <c r="AC963" s="78"/>
      <c r="AD963" s="78"/>
    </row>
    <row r="964" spans="1:30" ht="15.75" x14ac:dyDescent="0.25">
      <c r="A964" s="13">
        <v>70645</v>
      </c>
      <c r="B964" s="88">
        <f t="shared" si="151"/>
        <v>31</v>
      </c>
      <c r="C964" s="77">
        <f>194.205</f>
        <v>194.20500000000001</v>
      </c>
      <c r="D964" s="77">
        <f>267.466</f>
        <v>267.46600000000001</v>
      </c>
      <c r="E964" s="85">
        <f>133.845</f>
        <v>133.845</v>
      </c>
      <c r="F964" s="77">
        <f>278.484-40-25-60-100</f>
        <v>53.48399999999998</v>
      </c>
      <c r="G964" s="80">
        <v>40</v>
      </c>
      <c r="H964" s="77">
        <f t="shared" si="161"/>
        <v>185</v>
      </c>
      <c r="I964" s="77">
        <f t="shared" si="158"/>
        <v>0</v>
      </c>
      <c r="J964" s="80">
        <v>100</v>
      </c>
      <c r="K964" s="80">
        <v>300</v>
      </c>
      <c r="L964" s="77">
        <f t="shared" si="152"/>
        <v>1274</v>
      </c>
      <c r="M964" s="87">
        <v>600</v>
      </c>
      <c r="N964" s="77">
        <f>75</f>
        <v>75</v>
      </c>
      <c r="O964" s="80">
        <v>240</v>
      </c>
      <c r="P964" s="80">
        <v>40</v>
      </c>
      <c r="Q964" s="80">
        <f t="shared" si="153"/>
        <v>315</v>
      </c>
      <c r="R964" s="80">
        <f t="shared" si="154"/>
        <v>100</v>
      </c>
      <c r="S964" s="77">
        <f t="shared" si="155"/>
        <v>695</v>
      </c>
      <c r="T964" s="77">
        <f>50</f>
        <v>50</v>
      </c>
      <c r="U964" s="78"/>
      <c r="V964" s="78"/>
      <c r="W964" s="78"/>
      <c r="X964" s="78"/>
      <c r="Y964" s="78"/>
      <c r="Z964" s="78"/>
      <c r="AA964" s="78"/>
      <c r="AB964" s="78"/>
      <c r="AC964" s="78"/>
      <c r="AD964" s="78"/>
    </row>
    <row r="965" spans="1:30" ht="15.75" x14ac:dyDescent="0.25">
      <c r="A965" s="13">
        <v>70675</v>
      </c>
      <c r="B965" s="88">
        <f t="shared" si="151"/>
        <v>30</v>
      </c>
      <c r="C965" s="77">
        <f>194.205</f>
        <v>194.20500000000001</v>
      </c>
      <c r="D965" s="77">
        <f>267.466</f>
        <v>267.46600000000001</v>
      </c>
      <c r="E965" s="85">
        <f>133.845</f>
        <v>133.845</v>
      </c>
      <c r="F965" s="77">
        <f>278.484-40-25-60-100</f>
        <v>53.48399999999998</v>
      </c>
      <c r="G965" s="80">
        <v>40</v>
      </c>
      <c r="H965" s="77">
        <f t="shared" si="161"/>
        <v>185</v>
      </c>
      <c r="I965" s="77">
        <f t="shared" si="158"/>
        <v>0</v>
      </c>
      <c r="J965" s="80">
        <v>100</v>
      </c>
      <c r="K965" s="80">
        <v>300</v>
      </c>
      <c r="L965" s="77">
        <f t="shared" si="152"/>
        <v>1274</v>
      </c>
      <c r="M965" s="87">
        <v>600</v>
      </c>
      <c r="N965" s="77">
        <f>30</f>
        <v>30</v>
      </c>
      <c r="O965" s="80">
        <v>240</v>
      </c>
      <c r="P965" s="80">
        <v>40</v>
      </c>
      <c r="Q965" s="80">
        <f t="shared" si="153"/>
        <v>315</v>
      </c>
      <c r="R965" s="80">
        <f t="shared" si="154"/>
        <v>100</v>
      </c>
      <c r="S965" s="77">
        <f t="shared" si="155"/>
        <v>695</v>
      </c>
      <c r="T965" s="77">
        <f>50</f>
        <v>50</v>
      </c>
      <c r="U965" s="78"/>
      <c r="V965" s="78"/>
      <c r="W965" s="78"/>
      <c r="X965" s="78"/>
      <c r="Y965" s="78"/>
      <c r="Z965" s="78"/>
      <c r="AA965" s="78"/>
      <c r="AB965" s="78"/>
      <c r="AC965" s="78"/>
      <c r="AD965" s="78"/>
    </row>
    <row r="966" spans="1:30" ht="15.75" x14ac:dyDescent="0.25">
      <c r="A966" s="13">
        <v>70706</v>
      </c>
      <c r="B966" s="88">
        <f t="shared" si="151"/>
        <v>31</v>
      </c>
      <c r="C966" s="77">
        <f>194.205</f>
        <v>194.20500000000001</v>
      </c>
      <c r="D966" s="77">
        <f>267.466</f>
        <v>267.46600000000001</v>
      </c>
      <c r="E966" s="85">
        <f>133.845</f>
        <v>133.845</v>
      </c>
      <c r="F966" s="77">
        <f>278.484-40-25-60-100</f>
        <v>53.48399999999998</v>
      </c>
      <c r="G966" s="80">
        <v>40</v>
      </c>
      <c r="H966" s="77">
        <f t="shared" si="161"/>
        <v>185</v>
      </c>
      <c r="I966" s="77">
        <f t="shared" si="158"/>
        <v>0</v>
      </c>
      <c r="J966" s="80">
        <v>100</v>
      </c>
      <c r="K966" s="80">
        <v>300</v>
      </c>
      <c r="L966" s="77">
        <f t="shared" si="152"/>
        <v>1274</v>
      </c>
      <c r="M966" s="87">
        <v>600</v>
      </c>
      <c r="N966" s="77">
        <f>30</f>
        <v>30</v>
      </c>
      <c r="O966" s="80">
        <v>240</v>
      </c>
      <c r="P966" s="80">
        <v>40</v>
      </c>
      <c r="Q966" s="80">
        <f t="shared" si="153"/>
        <v>315</v>
      </c>
      <c r="R966" s="80">
        <f t="shared" si="154"/>
        <v>100</v>
      </c>
      <c r="S966" s="77">
        <f t="shared" si="155"/>
        <v>695</v>
      </c>
      <c r="T966" s="77">
        <f>0</f>
        <v>0</v>
      </c>
      <c r="U966" s="78"/>
      <c r="V966" s="78"/>
      <c r="W966" s="78"/>
      <c r="X966" s="78"/>
      <c r="Y966" s="78"/>
      <c r="Z966" s="78"/>
      <c r="AA966" s="78"/>
      <c r="AB966" s="78"/>
      <c r="AC966" s="78"/>
      <c r="AD966" s="78"/>
    </row>
    <row r="967" spans="1:30" ht="15.75" x14ac:dyDescent="0.25">
      <c r="A967" s="13">
        <v>70737</v>
      </c>
      <c r="B967" s="88">
        <f t="shared" si="151"/>
        <v>31</v>
      </c>
      <c r="C967" s="77">
        <f>194.205</f>
        <v>194.20500000000001</v>
      </c>
      <c r="D967" s="77">
        <f>267.466</f>
        <v>267.46600000000001</v>
      </c>
      <c r="E967" s="85">
        <f>133.845</f>
        <v>133.845</v>
      </c>
      <c r="F967" s="77">
        <f>278.484-40-25-60-100</f>
        <v>53.48399999999998</v>
      </c>
      <c r="G967" s="80">
        <v>40</v>
      </c>
      <c r="H967" s="77">
        <f t="shared" si="161"/>
        <v>185</v>
      </c>
      <c r="I967" s="77">
        <f t="shared" si="158"/>
        <v>0</v>
      </c>
      <c r="J967" s="80">
        <v>100</v>
      </c>
      <c r="K967" s="80">
        <v>300</v>
      </c>
      <c r="L967" s="77">
        <f t="shared" si="152"/>
        <v>1274</v>
      </c>
      <c r="M967" s="87">
        <v>600</v>
      </c>
      <c r="N967" s="77">
        <f>30</f>
        <v>30</v>
      </c>
      <c r="O967" s="80">
        <v>240</v>
      </c>
      <c r="P967" s="80">
        <v>40</v>
      </c>
      <c r="Q967" s="80">
        <f t="shared" si="153"/>
        <v>315</v>
      </c>
      <c r="R967" s="80">
        <f t="shared" si="154"/>
        <v>100</v>
      </c>
      <c r="S967" s="77">
        <f t="shared" si="155"/>
        <v>695</v>
      </c>
      <c r="T967" s="77">
        <f>0</f>
        <v>0</v>
      </c>
      <c r="U967" s="78"/>
      <c r="V967" s="78"/>
      <c r="W967" s="78"/>
      <c r="X967" s="78"/>
      <c r="Y967" s="78"/>
      <c r="Z967" s="78"/>
      <c r="AA967" s="78"/>
      <c r="AB967" s="78"/>
      <c r="AC967" s="78"/>
      <c r="AD967" s="78"/>
    </row>
    <row r="968" spans="1:30" ht="15.75" x14ac:dyDescent="0.25">
      <c r="A968" s="13">
        <v>70767</v>
      </c>
      <c r="B968" s="88">
        <f t="shared" si="151"/>
        <v>30</v>
      </c>
      <c r="C968" s="77">
        <f>194.205</f>
        <v>194.20500000000001</v>
      </c>
      <c r="D968" s="77">
        <f>267.466</f>
        <v>267.46600000000001</v>
      </c>
      <c r="E968" s="85">
        <f>133.845</f>
        <v>133.845</v>
      </c>
      <c r="F968" s="77">
        <f>278.484-40-25-60-100</f>
        <v>53.48399999999998</v>
      </c>
      <c r="G968" s="80">
        <v>40</v>
      </c>
      <c r="H968" s="77">
        <f t="shared" si="161"/>
        <v>185</v>
      </c>
      <c r="I968" s="77">
        <f t="shared" si="158"/>
        <v>0</v>
      </c>
      <c r="J968" s="80">
        <v>100</v>
      </c>
      <c r="K968" s="80">
        <v>300</v>
      </c>
      <c r="L968" s="77">
        <f t="shared" si="152"/>
        <v>1274</v>
      </c>
      <c r="M968" s="87">
        <v>600</v>
      </c>
      <c r="N968" s="77">
        <f>30</f>
        <v>30</v>
      </c>
      <c r="O968" s="80">
        <v>240</v>
      </c>
      <c r="P968" s="80">
        <v>40</v>
      </c>
      <c r="Q968" s="80">
        <f t="shared" si="153"/>
        <v>315</v>
      </c>
      <c r="R968" s="80">
        <f t="shared" si="154"/>
        <v>100</v>
      </c>
      <c r="S968" s="77">
        <f t="shared" si="155"/>
        <v>695</v>
      </c>
      <c r="T968" s="77">
        <f>0</f>
        <v>0</v>
      </c>
      <c r="U968" s="78"/>
      <c r="V968" s="78"/>
      <c r="W968" s="78"/>
      <c r="X968" s="78"/>
      <c r="Y968" s="78"/>
      <c r="Z968" s="78"/>
      <c r="AA968" s="78"/>
      <c r="AB968" s="78"/>
      <c r="AC968" s="78"/>
      <c r="AD968" s="78"/>
    </row>
    <row r="969" spans="1:30" ht="15.75" x14ac:dyDescent="0.25">
      <c r="A969" s="13">
        <v>70798</v>
      </c>
      <c r="B969" s="88">
        <f t="shared" si="151"/>
        <v>31</v>
      </c>
      <c r="C969" s="77">
        <f>131.881</f>
        <v>131.881</v>
      </c>
      <c r="D969" s="77">
        <f>277.167</f>
        <v>277.16699999999997</v>
      </c>
      <c r="E969" s="85">
        <f>79.08</f>
        <v>79.08</v>
      </c>
      <c r="F969" s="77">
        <f>350.872-40-25-60-100</f>
        <v>125.87200000000001</v>
      </c>
      <c r="G969" s="80">
        <v>40</v>
      </c>
      <c r="H969" s="77">
        <f t="shared" si="161"/>
        <v>185</v>
      </c>
      <c r="I969" s="77">
        <f t="shared" si="158"/>
        <v>0</v>
      </c>
      <c r="J969" s="80">
        <v>100</v>
      </c>
      <c r="K969" s="80">
        <v>300</v>
      </c>
      <c r="L969" s="77">
        <f t="shared" si="152"/>
        <v>1239</v>
      </c>
      <c r="M969" s="87">
        <v>600</v>
      </c>
      <c r="N969" s="77">
        <f>75</f>
        <v>75</v>
      </c>
      <c r="O969" s="80">
        <v>240</v>
      </c>
      <c r="P969" s="80">
        <v>40</v>
      </c>
      <c r="Q969" s="80">
        <f t="shared" si="153"/>
        <v>315</v>
      </c>
      <c r="R969" s="80">
        <f t="shared" si="154"/>
        <v>100</v>
      </c>
      <c r="S969" s="77">
        <f t="shared" si="155"/>
        <v>695</v>
      </c>
      <c r="T969" s="77">
        <f>0</f>
        <v>0</v>
      </c>
      <c r="U969" s="78"/>
      <c r="V969" s="78"/>
      <c r="W969" s="78"/>
      <c r="X969" s="78"/>
      <c r="Y969" s="78"/>
      <c r="Z969" s="78"/>
      <c r="AA969" s="78"/>
      <c r="AB969" s="78"/>
      <c r="AC969" s="78"/>
      <c r="AD969" s="78"/>
    </row>
    <row r="970" spans="1:30" ht="15.75" x14ac:dyDescent="0.25">
      <c r="A970" s="13">
        <v>70828</v>
      </c>
      <c r="B970" s="88">
        <f t="shared" si="151"/>
        <v>30</v>
      </c>
      <c r="C970" s="77">
        <f>122.58</f>
        <v>122.58</v>
      </c>
      <c r="D970" s="77">
        <f>297.941</f>
        <v>297.94099999999997</v>
      </c>
      <c r="E970" s="85">
        <f>89.177</f>
        <v>89.177000000000007</v>
      </c>
      <c r="F970" s="77">
        <f>240.302-40-60-100</f>
        <v>40.301999999999992</v>
      </c>
      <c r="G970" s="80">
        <v>40</v>
      </c>
      <c r="H970" s="77">
        <f>60+100</f>
        <v>160</v>
      </c>
      <c r="I970" s="77">
        <f t="shared" si="158"/>
        <v>0</v>
      </c>
      <c r="J970" s="80">
        <v>100</v>
      </c>
      <c r="K970" s="80">
        <v>300</v>
      </c>
      <c r="L970" s="77">
        <f t="shared" si="152"/>
        <v>1150</v>
      </c>
      <c r="M970" s="87">
        <v>600</v>
      </c>
      <c r="N970" s="77">
        <f>100</f>
        <v>100</v>
      </c>
      <c r="O970" s="80">
        <v>240</v>
      </c>
      <c r="P970" s="80">
        <v>40</v>
      </c>
      <c r="Q970" s="80">
        <f t="shared" si="153"/>
        <v>315</v>
      </c>
      <c r="R970" s="80">
        <f t="shared" si="154"/>
        <v>100</v>
      </c>
      <c r="S970" s="77">
        <f t="shared" si="155"/>
        <v>695</v>
      </c>
      <c r="T970" s="77">
        <f>50</f>
        <v>50</v>
      </c>
      <c r="U970" s="78"/>
      <c r="V970" s="78"/>
      <c r="W970" s="78"/>
      <c r="X970" s="78"/>
      <c r="Y970" s="78"/>
      <c r="Z970" s="78"/>
      <c r="AA970" s="78"/>
      <c r="AB970" s="78"/>
      <c r="AC970" s="78"/>
      <c r="AD970" s="78"/>
    </row>
    <row r="971" spans="1:30" ht="15.75" x14ac:dyDescent="0.25">
      <c r="A971" s="13">
        <v>70859</v>
      </c>
      <c r="B971" s="88">
        <f t="shared" si="151"/>
        <v>31</v>
      </c>
      <c r="C971" s="77">
        <f>122.58</f>
        <v>122.58</v>
      </c>
      <c r="D971" s="77">
        <f>297.941</f>
        <v>297.94099999999997</v>
      </c>
      <c r="E971" s="85">
        <f>89.177</f>
        <v>89.177000000000007</v>
      </c>
      <c r="F971" s="77">
        <f>240.302-40-60-100</f>
        <v>40.301999999999992</v>
      </c>
      <c r="G971" s="80">
        <v>40</v>
      </c>
      <c r="H971" s="77">
        <f>60+100</f>
        <v>160</v>
      </c>
      <c r="I971" s="77">
        <f t="shared" si="158"/>
        <v>0</v>
      </c>
      <c r="J971" s="80">
        <v>100</v>
      </c>
      <c r="K971" s="80">
        <v>300</v>
      </c>
      <c r="L971" s="77">
        <f t="shared" si="152"/>
        <v>1150</v>
      </c>
      <c r="M971" s="87">
        <v>600</v>
      </c>
      <c r="N971" s="77">
        <f>100</f>
        <v>100</v>
      </c>
      <c r="O971" s="80">
        <v>240</v>
      </c>
      <c r="P971" s="80">
        <v>40</v>
      </c>
      <c r="Q971" s="80">
        <f t="shared" si="153"/>
        <v>315</v>
      </c>
      <c r="R971" s="80">
        <f t="shared" si="154"/>
        <v>100</v>
      </c>
      <c r="S971" s="77">
        <f t="shared" si="155"/>
        <v>695</v>
      </c>
      <c r="T971" s="77">
        <f>50</f>
        <v>50</v>
      </c>
      <c r="U971" s="78"/>
      <c r="V971" s="78"/>
      <c r="W971" s="78"/>
      <c r="X971" s="78"/>
      <c r="Y971" s="78"/>
      <c r="Z971" s="78"/>
      <c r="AA971" s="78"/>
      <c r="AB971" s="78"/>
      <c r="AC971" s="78"/>
      <c r="AD971" s="78"/>
    </row>
    <row r="972" spans="1:30" ht="15.75" x14ac:dyDescent="0.25">
      <c r="A972" s="13">
        <v>70890</v>
      </c>
      <c r="B972" s="88">
        <f t="shared" ref="B972:B1035" si="162">EOMONTH(A972,0)-EOMONTH(A972,-1)</f>
        <v>31</v>
      </c>
      <c r="C972" s="77">
        <f>122.58</f>
        <v>122.58</v>
      </c>
      <c r="D972" s="77">
        <f>297.941</f>
        <v>297.94099999999997</v>
      </c>
      <c r="E972" s="85">
        <f>89.177</f>
        <v>89.177000000000007</v>
      </c>
      <c r="F972" s="77">
        <f>240.302-40-60-100</f>
        <v>40.301999999999992</v>
      </c>
      <c r="G972" s="80">
        <v>40</v>
      </c>
      <c r="H972" s="77">
        <f>60+100</f>
        <v>160</v>
      </c>
      <c r="I972" s="77">
        <f t="shared" si="158"/>
        <v>0</v>
      </c>
      <c r="J972" s="80">
        <v>100</v>
      </c>
      <c r="K972" s="80">
        <v>300</v>
      </c>
      <c r="L972" s="77">
        <f t="shared" si="152"/>
        <v>1150</v>
      </c>
      <c r="M972" s="87">
        <v>600</v>
      </c>
      <c r="N972" s="77">
        <f>100</f>
        <v>100</v>
      </c>
      <c r="O972" s="80">
        <v>240</v>
      </c>
      <c r="P972" s="80">
        <v>40</v>
      </c>
      <c r="Q972" s="80">
        <f t="shared" si="153"/>
        <v>315</v>
      </c>
      <c r="R972" s="80">
        <f t="shared" si="154"/>
        <v>100</v>
      </c>
      <c r="S972" s="77">
        <f t="shared" si="155"/>
        <v>695</v>
      </c>
      <c r="T972" s="77">
        <f>50</f>
        <v>50</v>
      </c>
      <c r="U972" s="78"/>
      <c r="V972" s="78"/>
      <c r="W972" s="78"/>
      <c r="X972" s="78"/>
      <c r="Y972" s="78"/>
      <c r="Z972" s="78"/>
      <c r="AA972" s="78"/>
      <c r="AB972" s="78"/>
      <c r="AC972" s="78"/>
      <c r="AD972" s="78"/>
    </row>
    <row r="973" spans="1:30" ht="15.75" x14ac:dyDescent="0.25">
      <c r="A973" s="13">
        <v>70918</v>
      </c>
      <c r="B973" s="88">
        <f t="shared" si="162"/>
        <v>28</v>
      </c>
      <c r="C973" s="77">
        <f>122.58</f>
        <v>122.58</v>
      </c>
      <c r="D973" s="77">
        <f>297.941</f>
        <v>297.94099999999997</v>
      </c>
      <c r="E973" s="85">
        <f>89.177</f>
        <v>89.177000000000007</v>
      </c>
      <c r="F973" s="77">
        <f>240.302-40-60-100</f>
        <v>40.301999999999992</v>
      </c>
      <c r="G973" s="80">
        <v>40</v>
      </c>
      <c r="H973" s="77">
        <f>60+100</f>
        <v>160</v>
      </c>
      <c r="I973" s="77">
        <f t="shared" si="158"/>
        <v>0</v>
      </c>
      <c r="J973" s="80">
        <v>100</v>
      </c>
      <c r="K973" s="80">
        <v>300</v>
      </c>
      <c r="L973" s="77">
        <f t="shared" si="152"/>
        <v>1150</v>
      </c>
      <c r="M973" s="87">
        <v>600</v>
      </c>
      <c r="N973" s="77">
        <f>100</f>
        <v>100</v>
      </c>
      <c r="O973" s="80">
        <v>240</v>
      </c>
      <c r="P973" s="80">
        <v>40</v>
      </c>
      <c r="Q973" s="80">
        <f t="shared" si="153"/>
        <v>315</v>
      </c>
      <c r="R973" s="80">
        <f t="shared" si="154"/>
        <v>100</v>
      </c>
      <c r="S973" s="77">
        <f t="shared" si="155"/>
        <v>695</v>
      </c>
      <c r="T973" s="77">
        <f>50</f>
        <v>50</v>
      </c>
      <c r="U973" s="78"/>
      <c r="V973" s="78"/>
      <c r="W973" s="78"/>
      <c r="X973" s="78"/>
      <c r="Y973" s="78"/>
      <c r="Z973" s="78"/>
      <c r="AA973" s="78"/>
      <c r="AB973" s="78"/>
      <c r="AC973" s="78"/>
      <c r="AD973" s="78"/>
    </row>
    <row r="974" spans="1:30" ht="15.75" x14ac:dyDescent="0.25">
      <c r="A974" s="13">
        <v>70949</v>
      </c>
      <c r="B974" s="88">
        <f t="shared" si="162"/>
        <v>31</v>
      </c>
      <c r="C974" s="77">
        <f>122.58</f>
        <v>122.58</v>
      </c>
      <c r="D974" s="77">
        <f>297.941</f>
        <v>297.94099999999997</v>
      </c>
      <c r="E974" s="85">
        <f>89.177</f>
        <v>89.177000000000007</v>
      </c>
      <c r="F974" s="77">
        <f>240.302-40-60-100</f>
        <v>40.301999999999992</v>
      </c>
      <c r="G974" s="80">
        <v>40</v>
      </c>
      <c r="H974" s="77">
        <f>60+100</f>
        <v>160</v>
      </c>
      <c r="I974" s="77">
        <f t="shared" si="158"/>
        <v>0</v>
      </c>
      <c r="J974" s="80">
        <v>100</v>
      </c>
      <c r="K974" s="80">
        <v>300</v>
      </c>
      <c r="L974" s="77">
        <f t="shared" ref="L974:L1037" si="163">SUM(C974:K974)</f>
        <v>1150</v>
      </c>
      <c r="M974" s="87">
        <v>600</v>
      </c>
      <c r="N974" s="77">
        <f>100</f>
        <v>100</v>
      </c>
      <c r="O974" s="80">
        <v>240</v>
      </c>
      <c r="P974" s="80">
        <v>40</v>
      </c>
      <c r="Q974" s="80">
        <f t="shared" ref="Q974:Q1037" si="164">695-R974-O974-P974</f>
        <v>315</v>
      </c>
      <c r="R974" s="80">
        <f t="shared" ref="R974:R1037" si="165">200-J974</f>
        <v>100</v>
      </c>
      <c r="S974" s="77">
        <f t="shared" ref="S974:S1037" si="166">SUM(O974:R974)</f>
        <v>695</v>
      </c>
      <c r="T974" s="77">
        <f>50</f>
        <v>50</v>
      </c>
      <c r="U974" s="78"/>
      <c r="V974" s="78"/>
      <c r="W974" s="78"/>
      <c r="X974" s="78"/>
      <c r="Y974" s="78"/>
      <c r="Z974" s="78"/>
      <c r="AA974" s="78"/>
      <c r="AB974" s="78"/>
      <c r="AC974" s="78"/>
      <c r="AD974" s="78"/>
    </row>
    <row r="975" spans="1:30" ht="15.75" x14ac:dyDescent="0.25">
      <c r="A975" s="13">
        <v>70979</v>
      </c>
      <c r="B975" s="88">
        <f t="shared" si="162"/>
        <v>30</v>
      </c>
      <c r="C975" s="77">
        <f>141.293</f>
        <v>141.29300000000001</v>
      </c>
      <c r="D975" s="77">
        <f>267.993</f>
        <v>267.99299999999999</v>
      </c>
      <c r="E975" s="85">
        <f>115.016</f>
        <v>115.01600000000001</v>
      </c>
      <c r="F975" s="77">
        <f>314.698-40-25-60-100</f>
        <v>89.697999999999979</v>
      </c>
      <c r="G975" s="80">
        <v>40</v>
      </c>
      <c r="H975" s="77">
        <f t="shared" ref="H975:H981" si="167">25+60+100</f>
        <v>185</v>
      </c>
      <c r="I975" s="77">
        <f t="shared" si="158"/>
        <v>0</v>
      </c>
      <c r="J975" s="80">
        <v>100</v>
      </c>
      <c r="K975" s="80">
        <v>300</v>
      </c>
      <c r="L975" s="77">
        <f t="shared" si="163"/>
        <v>1239</v>
      </c>
      <c r="M975" s="87">
        <v>600</v>
      </c>
      <c r="N975" s="77">
        <f>100</f>
        <v>100</v>
      </c>
      <c r="O975" s="80">
        <v>240</v>
      </c>
      <c r="P975" s="80">
        <v>40</v>
      </c>
      <c r="Q975" s="80">
        <f t="shared" si="164"/>
        <v>315</v>
      </c>
      <c r="R975" s="80">
        <f t="shared" si="165"/>
        <v>100</v>
      </c>
      <c r="S975" s="77">
        <f t="shared" si="166"/>
        <v>695</v>
      </c>
      <c r="T975" s="77">
        <f>50</f>
        <v>50</v>
      </c>
      <c r="U975" s="78"/>
      <c r="V975" s="78"/>
      <c r="W975" s="78"/>
      <c r="X975" s="78"/>
      <c r="Y975" s="78"/>
      <c r="Z975" s="78"/>
      <c r="AA975" s="78"/>
      <c r="AB975" s="78"/>
      <c r="AC975" s="78"/>
      <c r="AD975" s="78"/>
    </row>
    <row r="976" spans="1:30" ht="15.75" x14ac:dyDescent="0.25">
      <c r="A976" s="13">
        <v>71010</v>
      </c>
      <c r="B976" s="88">
        <f t="shared" si="162"/>
        <v>31</v>
      </c>
      <c r="C976" s="77">
        <f>194.205</f>
        <v>194.20500000000001</v>
      </c>
      <c r="D976" s="77">
        <f>267.466</f>
        <v>267.46600000000001</v>
      </c>
      <c r="E976" s="85">
        <f>133.845</f>
        <v>133.845</v>
      </c>
      <c r="F976" s="77">
        <f>278.484-40-25-60-100</f>
        <v>53.48399999999998</v>
      </c>
      <c r="G976" s="80">
        <v>40</v>
      </c>
      <c r="H976" s="77">
        <f t="shared" si="167"/>
        <v>185</v>
      </c>
      <c r="I976" s="77">
        <f t="shared" si="158"/>
        <v>0</v>
      </c>
      <c r="J976" s="80">
        <v>100</v>
      </c>
      <c r="K976" s="80">
        <v>300</v>
      </c>
      <c r="L976" s="77">
        <f t="shared" si="163"/>
        <v>1274</v>
      </c>
      <c r="M976" s="87">
        <v>600</v>
      </c>
      <c r="N976" s="77">
        <f>75</f>
        <v>75</v>
      </c>
      <c r="O976" s="80">
        <v>240</v>
      </c>
      <c r="P976" s="80">
        <v>40</v>
      </c>
      <c r="Q976" s="80">
        <f t="shared" si="164"/>
        <v>315</v>
      </c>
      <c r="R976" s="80">
        <f t="shared" si="165"/>
        <v>100</v>
      </c>
      <c r="S976" s="77">
        <f t="shared" si="166"/>
        <v>695</v>
      </c>
      <c r="T976" s="77">
        <f>50</f>
        <v>50</v>
      </c>
      <c r="U976" s="78"/>
      <c r="V976" s="78"/>
      <c r="W976" s="78"/>
      <c r="X976" s="78"/>
      <c r="Y976" s="78"/>
      <c r="Z976" s="78"/>
      <c r="AA976" s="78"/>
      <c r="AB976" s="78"/>
      <c r="AC976" s="78"/>
      <c r="AD976" s="78"/>
    </row>
    <row r="977" spans="1:30" ht="15.75" x14ac:dyDescent="0.25">
      <c r="A977" s="13">
        <v>71040</v>
      </c>
      <c r="B977" s="88">
        <f t="shared" si="162"/>
        <v>30</v>
      </c>
      <c r="C977" s="77">
        <f>194.205</f>
        <v>194.20500000000001</v>
      </c>
      <c r="D977" s="77">
        <f>267.466</f>
        <v>267.46600000000001</v>
      </c>
      <c r="E977" s="85">
        <f>133.845</f>
        <v>133.845</v>
      </c>
      <c r="F977" s="77">
        <f>278.484-40-25-60-100</f>
        <v>53.48399999999998</v>
      </c>
      <c r="G977" s="80">
        <v>40</v>
      </c>
      <c r="H977" s="77">
        <f t="shared" si="167"/>
        <v>185</v>
      </c>
      <c r="I977" s="77">
        <f t="shared" si="158"/>
        <v>0</v>
      </c>
      <c r="J977" s="80">
        <v>100</v>
      </c>
      <c r="K977" s="80">
        <v>300</v>
      </c>
      <c r="L977" s="77">
        <f t="shared" si="163"/>
        <v>1274</v>
      </c>
      <c r="M977" s="87">
        <v>600</v>
      </c>
      <c r="N977" s="77">
        <f>30</f>
        <v>30</v>
      </c>
      <c r="O977" s="80">
        <v>240</v>
      </c>
      <c r="P977" s="80">
        <v>40</v>
      </c>
      <c r="Q977" s="80">
        <f t="shared" si="164"/>
        <v>315</v>
      </c>
      <c r="R977" s="80">
        <f t="shared" si="165"/>
        <v>100</v>
      </c>
      <c r="S977" s="77">
        <f t="shared" si="166"/>
        <v>695</v>
      </c>
      <c r="T977" s="77">
        <f>50</f>
        <v>50</v>
      </c>
      <c r="U977" s="78"/>
      <c r="V977" s="78"/>
      <c r="W977" s="78"/>
      <c r="X977" s="78"/>
      <c r="Y977" s="78"/>
      <c r="Z977" s="78"/>
      <c r="AA977" s="78"/>
      <c r="AB977" s="78"/>
      <c r="AC977" s="78"/>
      <c r="AD977" s="78"/>
    </row>
    <row r="978" spans="1:30" ht="15.75" x14ac:dyDescent="0.25">
      <c r="A978" s="13">
        <v>71071</v>
      </c>
      <c r="B978" s="88">
        <f t="shared" si="162"/>
        <v>31</v>
      </c>
      <c r="C978" s="77">
        <f>194.205</f>
        <v>194.20500000000001</v>
      </c>
      <c r="D978" s="77">
        <f>267.466</f>
        <v>267.46600000000001</v>
      </c>
      <c r="E978" s="85">
        <f>133.845</f>
        <v>133.845</v>
      </c>
      <c r="F978" s="77">
        <f>278.484-40-25-60-100</f>
        <v>53.48399999999998</v>
      </c>
      <c r="G978" s="80">
        <v>40</v>
      </c>
      <c r="H978" s="77">
        <f t="shared" si="167"/>
        <v>185</v>
      </c>
      <c r="I978" s="77">
        <f t="shared" si="158"/>
        <v>0</v>
      </c>
      <c r="J978" s="80">
        <v>100</v>
      </c>
      <c r="K978" s="80">
        <v>300</v>
      </c>
      <c r="L978" s="77">
        <f t="shared" si="163"/>
        <v>1274</v>
      </c>
      <c r="M978" s="87">
        <v>600</v>
      </c>
      <c r="N978" s="77">
        <f>30</f>
        <v>30</v>
      </c>
      <c r="O978" s="80">
        <v>240</v>
      </c>
      <c r="P978" s="80">
        <v>40</v>
      </c>
      <c r="Q978" s="80">
        <f t="shared" si="164"/>
        <v>315</v>
      </c>
      <c r="R978" s="80">
        <f t="shared" si="165"/>
        <v>100</v>
      </c>
      <c r="S978" s="77">
        <f t="shared" si="166"/>
        <v>695</v>
      </c>
      <c r="T978" s="77">
        <f>0</f>
        <v>0</v>
      </c>
      <c r="U978" s="78"/>
      <c r="V978" s="78"/>
      <c r="W978" s="78"/>
      <c r="X978" s="78"/>
      <c r="Y978" s="78"/>
      <c r="Z978" s="78"/>
      <c r="AA978" s="78"/>
      <c r="AB978" s="78"/>
      <c r="AC978" s="78"/>
      <c r="AD978" s="78"/>
    </row>
    <row r="979" spans="1:30" ht="15.75" x14ac:dyDescent="0.25">
      <c r="A979" s="13">
        <v>71102</v>
      </c>
      <c r="B979" s="88">
        <f t="shared" si="162"/>
        <v>31</v>
      </c>
      <c r="C979" s="77">
        <f>194.205</f>
        <v>194.20500000000001</v>
      </c>
      <c r="D979" s="77">
        <f>267.466</f>
        <v>267.46600000000001</v>
      </c>
      <c r="E979" s="85">
        <f>133.845</f>
        <v>133.845</v>
      </c>
      <c r="F979" s="77">
        <f>278.484-40-25-60-100</f>
        <v>53.48399999999998</v>
      </c>
      <c r="G979" s="80">
        <v>40</v>
      </c>
      <c r="H979" s="77">
        <f t="shared" si="167"/>
        <v>185</v>
      </c>
      <c r="I979" s="77">
        <f t="shared" si="158"/>
        <v>0</v>
      </c>
      <c r="J979" s="80">
        <v>100</v>
      </c>
      <c r="K979" s="80">
        <v>300</v>
      </c>
      <c r="L979" s="77">
        <f t="shared" si="163"/>
        <v>1274</v>
      </c>
      <c r="M979" s="87">
        <v>600</v>
      </c>
      <c r="N979" s="77">
        <f>30</f>
        <v>30</v>
      </c>
      <c r="O979" s="80">
        <v>240</v>
      </c>
      <c r="P979" s="80">
        <v>40</v>
      </c>
      <c r="Q979" s="80">
        <f t="shared" si="164"/>
        <v>315</v>
      </c>
      <c r="R979" s="80">
        <f t="shared" si="165"/>
        <v>100</v>
      </c>
      <c r="S979" s="77">
        <f t="shared" si="166"/>
        <v>695</v>
      </c>
      <c r="T979" s="77">
        <f>0</f>
        <v>0</v>
      </c>
      <c r="U979" s="78"/>
      <c r="V979" s="78"/>
      <c r="W979" s="78"/>
      <c r="X979" s="78"/>
      <c r="Y979" s="78"/>
      <c r="Z979" s="78"/>
      <c r="AA979" s="78"/>
      <c r="AB979" s="78"/>
      <c r="AC979" s="78"/>
      <c r="AD979" s="78"/>
    </row>
    <row r="980" spans="1:30" ht="15.75" x14ac:dyDescent="0.25">
      <c r="A980" s="13">
        <v>71132</v>
      </c>
      <c r="B980" s="88">
        <f t="shared" si="162"/>
        <v>30</v>
      </c>
      <c r="C980" s="77">
        <f>194.205</f>
        <v>194.20500000000001</v>
      </c>
      <c r="D980" s="77">
        <f>267.466</f>
        <v>267.46600000000001</v>
      </c>
      <c r="E980" s="85">
        <f>133.845</f>
        <v>133.845</v>
      </c>
      <c r="F980" s="77">
        <f>278.484-40-25-60-100</f>
        <v>53.48399999999998</v>
      </c>
      <c r="G980" s="80">
        <v>40</v>
      </c>
      <c r="H980" s="77">
        <f t="shared" si="167"/>
        <v>185</v>
      </c>
      <c r="I980" s="77">
        <f t="shared" si="158"/>
        <v>0</v>
      </c>
      <c r="J980" s="80">
        <v>100</v>
      </c>
      <c r="K980" s="80">
        <v>300</v>
      </c>
      <c r="L980" s="77">
        <f t="shared" si="163"/>
        <v>1274</v>
      </c>
      <c r="M980" s="87">
        <v>600</v>
      </c>
      <c r="N980" s="77">
        <f>30</f>
        <v>30</v>
      </c>
      <c r="O980" s="80">
        <v>240</v>
      </c>
      <c r="P980" s="80">
        <v>40</v>
      </c>
      <c r="Q980" s="80">
        <f t="shared" si="164"/>
        <v>315</v>
      </c>
      <c r="R980" s="80">
        <f t="shared" si="165"/>
        <v>100</v>
      </c>
      <c r="S980" s="77">
        <f t="shared" si="166"/>
        <v>695</v>
      </c>
      <c r="T980" s="77">
        <f>0</f>
        <v>0</v>
      </c>
      <c r="U980" s="78"/>
      <c r="V980" s="78"/>
      <c r="W980" s="78"/>
      <c r="X980" s="78"/>
      <c r="Y980" s="78"/>
      <c r="Z980" s="78"/>
      <c r="AA980" s="78"/>
      <c r="AB980" s="78"/>
      <c r="AC980" s="78"/>
      <c r="AD980" s="78"/>
    </row>
    <row r="981" spans="1:30" ht="15.75" x14ac:dyDescent="0.25">
      <c r="A981" s="13">
        <v>71163</v>
      </c>
      <c r="B981" s="88">
        <f t="shared" si="162"/>
        <v>31</v>
      </c>
      <c r="C981" s="77">
        <f>131.881</f>
        <v>131.881</v>
      </c>
      <c r="D981" s="77">
        <f>277.167</f>
        <v>277.16699999999997</v>
      </c>
      <c r="E981" s="85">
        <f>79.08</f>
        <v>79.08</v>
      </c>
      <c r="F981" s="77">
        <f>350.872-40-25-60-100</f>
        <v>125.87200000000001</v>
      </c>
      <c r="G981" s="80">
        <v>40</v>
      </c>
      <c r="H981" s="77">
        <f t="shared" si="167"/>
        <v>185</v>
      </c>
      <c r="I981" s="77">
        <f t="shared" si="158"/>
        <v>0</v>
      </c>
      <c r="J981" s="80">
        <v>100</v>
      </c>
      <c r="K981" s="80">
        <v>300</v>
      </c>
      <c r="L981" s="77">
        <f t="shared" si="163"/>
        <v>1239</v>
      </c>
      <c r="M981" s="87">
        <v>600</v>
      </c>
      <c r="N981" s="77">
        <f>75</f>
        <v>75</v>
      </c>
      <c r="O981" s="80">
        <v>240</v>
      </c>
      <c r="P981" s="80">
        <v>40</v>
      </c>
      <c r="Q981" s="80">
        <f t="shared" si="164"/>
        <v>315</v>
      </c>
      <c r="R981" s="80">
        <f t="shared" si="165"/>
        <v>100</v>
      </c>
      <c r="S981" s="77">
        <f t="shared" si="166"/>
        <v>695</v>
      </c>
      <c r="T981" s="77">
        <f>0</f>
        <v>0</v>
      </c>
      <c r="U981" s="78"/>
      <c r="V981" s="78"/>
      <c r="W981" s="78"/>
      <c r="X981" s="78"/>
      <c r="Y981" s="78"/>
      <c r="Z981" s="78"/>
      <c r="AA981" s="78"/>
      <c r="AB981" s="78"/>
      <c r="AC981" s="78"/>
      <c r="AD981" s="78"/>
    </row>
    <row r="982" spans="1:30" ht="15.75" x14ac:dyDescent="0.25">
      <c r="A982" s="13">
        <v>71193</v>
      </c>
      <c r="B982" s="88">
        <f t="shared" si="162"/>
        <v>30</v>
      </c>
      <c r="C982" s="77">
        <f>122.58</f>
        <v>122.58</v>
      </c>
      <c r="D982" s="77">
        <f>297.941</f>
        <v>297.94099999999997</v>
      </c>
      <c r="E982" s="85">
        <f>89.177</f>
        <v>89.177000000000007</v>
      </c>
      <c r="F982" s="77">
        <f>240.302-40-60-100</f>
        <v>40.301999999999992</v>
      </c>
      <c r="G982" s="80">
        <v>40</v>
      </c>
      <c r="H982" s="77">
        <f>60+100</f>
        <v>160</v>
      </c>
      <c r="I982" s="77">
        <f t="shared" si="158"/>
        <v>0</v>
      </c>
      <c r="J982" s="80">
        <v>100</v>
      </c>
      <c r="K982" s="80">
        <v>300</v>
      </c>
      <c r="L982" s="77">
        <f t="shared" si="163"/>
        <v>1150</v>
      </c>
      <c r="M982" s="87">
        <v>600</v>
      </c>
      <c r="N982" s="77">
        <f>100</f>
        <v>100</v>
      </c>
      <c r="O982" s="80">
        <v>240</v>
      </c>
      <c r="P982" s="80">
        <v>40</v>
      </c>
      <c r="Q982" s="80">
        <f t="shared" si="164"/>
        <v>315</v>
      </c>
      <c r="R982" s="80">
        <f t="shared" si="165"/>
        <v>100</v>
      </c>
      <c r="S982" s="77">
        <f t="shared" si="166"/>
        <v>695</v>
      </c>
      <c r="T982" s="77">
        <f>50</f>
        <v>50</v>
      </c>
      <c r="U982" s="78"/>
      <c r="V982" s="78"/>
      <c r="W982" s="78"/>
      <c r="X982" s="78"/>
      <c r="Y982" s="78"/>
      <c r="Z982" s="78"/>
      <c r="AA982" s="78"/>
      <c r="AB982" s="78"/>
      <c r="AC982" s="78"/>
      <c r="AD982" s="78"/>
    </row>
    <row r="983" spans="1:30" ht="15.75" x14ac:dyDescent="0.25">
      <c r="A983" s="13">
        <v>71224</v>
      </c>
      <c r="B983" s="88">
        <f t="shared" si="162"/>
        <v>31</v>
      </c>
      <c r="C983" s="77">
        <f>122.58</f>
        <v>122.58</v>
      </c>
      <c r="D983" s="77">
        <f>297.941</f>
        <v>297.94099999999997</v>
      </c>
      <c r="E983" s="85">
        <f>89.177</f>
        <v>89.177000000000007</v>
      </c>
      <c r="F983" s="77">
        <f>240.302-40-60-100</f>
        <v>40.301999999999992</v>
      </c>
      <c r="G983" s="80">
        <v>40</v>
      </c>
      <c r="H983" s="77">
        <f>60+100</f>
        <v>160</v>
      </c>
      <c r="I983" s="77">
        <f t="shared" si="158"/>
        <v>0</v>
      </c>
      <c r="J983" s="80">
        <v>100</v>
      </c>
      <c r="K983" s="80">
        <v>300</v>
      </c>
      <c r="L983" s="77">
        <f t="shared" si="163"/>
        <v>1150</v>
      </c>
      <c r="M983" s="87">
        <v>600</v>
      </c>
      <c r="N983" s="77">
        <f>100</f>
        <v>100</v>
      </c>
      <c r="O983" s="80">
        <v>240</v>
      </c>
      <c r="P983" s="80">
        <v>40</v>
      </c>
      <c r="Q983" s="80">
        <f t="shared" si="164"/>
        <v>315</v>
      </c>
      <c r="R983" s="80">
        <f t="shared" si="165"/>
        <v>100</v>
      </c>
      <c r="S983" s="77">
        <f t="shared" si="166"/>
        <v>695</v>
      </c>
      <c r="T983" s="77">
        <f>50</f>
        <v>50</v>
      </c>
      <c r="U983" s="78"/>
      <c r="V983" s="78"/>
      <c r="W983" s="78"/>
      <c r="X983" s="78"/>
      <c r="Y983" s="78"/>
      <c r="Z983" s="78"/>
      <c r="AA983" s="78"/>
      <c r="AB983" s="78"/>
      <c r="AC983" s="78"/>
      <c r="AD983" s="78"/>
    </row>
    <row r="984" spans="1:30" ht="15.75" x14ac:dyDescent="0.25">
      <c r="A984" s="13">
        <v>71255</v>
      </c>
      <c r="B984" s="88">
        <f t="shared" si="162"/>
        <v>31</v>
      </c>
      <c r="C984" s="77">
        <f>122.58</f>
        <v>122.58</v>
      </c>
      <c r="D984" s="77">
        <f>297.941</f>
        <v>297.94099999999997</v>
      </c>
      <c r="E984" s="85">
        <f>89.177</f>
        <v>89.177000000000007</v>
      </c>
      <c r="F984" s="77">
        <f>240.302-40-60-100</f>
        <v>40.301999999999992</v>
      </c>
      <c r="G984" s="80">
        <v>40</v>
      </c>
      <c r="H984" s="77">
        <f>60+100</f>
        <v>160</v>
      </c>
      <c r="I984" s="77">
        <f t="shared" si="158"/>
        <v>0</v>
      </c>
      <c r="J984" s="80">
        <v>100</v>
      </c>
      <c r="K984" s="80">
        <v>300</v>
      </c>
      <c r="L984" s="77">
        <f t="shared" si="163"/>
        <v>1150</v>
      </c>
      <c r="M984" s="87">
        <v>600</v>
      </c>
      <c r="N984" s="77">
        <f>100</f>
        <v>100</v>
      </c>
      <c r="O984" s="80">
        <v>240</v>
      </c>
      <c r="P984" s="80">
        <v>40</v>
      </c>
      <c r="Q984" s="80">
        <f t="shared" si="164"/>
        <v>315</v>
      </c>
      <c r="R984" s="80">
        <f t="shared" si="165"/>
        <v>100</v>
      </c>
      <c r="S984" s="77">
        <f t="shared" si="166"/>
        <v>695</v>
      </c>
      <c r="T984" s="77">
        <f>50</f>
        <v>50</v>
      </c>
      <c r="U984" s="78"/>
      <c r="V984" s="78"/>
      <c r="W984" s="78"/>
      <c r="X984" s="78"/>
      <c r="Y984" s="78"/>
      <c r="Z984" s="78"/>
      <c r="AA984" s="78"/>
      <c r="AB984" s="78"/>
      <c r="AC984" s="78"/>
      <c r="AD984" s="78"/>
    </row>
    <row r="985" spans="1:30" ht="15.75" x14ac:dyDescent="0.25">
      <c r="A985" s="13">
        <v>71283</v>
      </c>
      <c r="B985" s="88">
        <f t="shared" si="162"/>
        <v>28</v>
      </c>
      <c r="C985" s="77">
        <f>122.58</f>
        <v>122.58</v>
      </c>
      <c r="D985" s="77">
        <f>297.941</f>
        <v>297.94099999999997</v>
      </c>
      <c r="E985" s="85">
        <f>89.177</f>
        <v>89.177000000000007</v>
      </c>
      <c r="F985" s="77">
        <f>240.302-40-60-100</f>
        <v>40.301999999999992</v>
      </c>
      <c r="G985" s="80">
        <v>40</v>
      </c>
      <c r="H985" s="77">
        <f>60+100</f>
        <v>160</v>
      </c>
      <c r="I985" s="77">
        <f t="shared" si="158"/>
        <v>0</v>
      </c>
      <c r="J985" s="80">
        <v>100</v>
      </c>
      <c r="K985" s="80">
        <v>300</v>
      </c>
      <c r="L985" s="77">
        <f t="shared" si="163"/>
        <v>1150</v>
      </c>
      <c r="M985" s="87">
        <v>600</v>
      </c>
      <c r="N985" s="77">
        <f>100</f>
        <v>100</v>
      </c>
      <c r="O985" s="80">
        <v>240</v>
      </c>
      <c r="P985" s="80">
        <v>40</v>
      </c>
      <c r="Q985" s="80">
        <f t="shared" si="164"/>
        <v>315</v>
      </c>
      <c r="R985" s="80">
        <f t="shared" si="165"/>
        <v>100</v>
      </c>
      <c r="S985" s="77">
        <f t="shared" si="166"/>
        <v>695</v>
      </c>
      <c r="T985" s="77">
        <f>50</f>
        <v>50</v>
      </c>
      <c r="U985" s="78"/>
      <c r="V985" s="78"/>
      <c r="W985" s="78"/>
      <c r="X985" s="78"/>
      <c r="Y985" s="78"/>
      <c r="Z985" s="78"/>
      <c r="AA985" s="78"/>
      <c r="AB985" s="78"/>
      <c r="AC985" s="78"/>
      <c r="AD985" s="78"/>
    </row>
    <row r="986" spans="1:30" ht="15.75" x14ac:dyDescent="0.25">
      <c r="A986" s="13">
        <v>71314</v>
      </c>
      <c r="B986" s="88">
        <f t="shared" si="162"/>
        <v>31</v>
      </c>
      <c r="C986" s="77">
        <f>122.58</f>
        <v>122.58</v>
      </c>
      <c r="D986" s="77">
        <f>297.941</f>
        <v>297.94099999999997</v>
      </c>
      <c r="E986" s="85">
        <f>89.177</f>
        <v>89.177000000000007</v>
      </c>
      <c r="F986" s="77">
        <f>240.302-40-60-100</f>
        <v>40.301999999999992</v>
      </c>
      <c r="G986" s="80">
        <v>40</v>
      </c>
      <c r="H986" s="77">
        <f>60+100</f>
        <v>160</v>
      </c>
      <c r="I986" s="77">
        <f t="shared" si="158"/>
        <v>0</v>
      </c>
      <c r="J986" s="80">
        <v>100</v>
      </c>
      <c r="K986" s="80">
        <v>300</v>
      </c>
      <c r="L986" s="77">
        <f t="shared" si="163"/>
        <v>1150</v>
      </c>
      <c r="M986" s="87">
        <v>600</v>
      </c>
      <c r="N986" s="77">
        <f>100</f>
        <v>100</v>
      </c>
      <c r="O986" s="80">
        <v>240</v>
      </c>
      <c r="P986" s="80">
        <v>40</v>
      </c>
      <c r="Q986" s="80">
        <f t="shared" si="164"/>
        <v>315</v>
      </c>
      <c r="R986" s="80">
        <f t="shared" si="165"/>
        <v>100</v>
      </c>
      <c r="S986" s="77">
        <f t="shared" si="166"/>
        <v>695</v>
      </c>
      <c r="T986" s="77">
        <f>50</f>
        <v>50</v>
      </c>
      <c r="U986" s="78"/>
      <c r="V986" s="78"/>
      <c r="W986" s="78"/>
      <c r="X986" s="78"/>
      <c r="Y986" s="78"/>
      <c r="Z986" s="78"/>
      <c r="AA986" s="78"/>
      <c r="AB986" s="78"/>
      <c r="AC986" s="78"/>
      <c r="AD986" s="78"/>
    </row>
    <row r="987" spans="1:30" ht="15.75" x14ac:dyDescent="0.25">
      <c r="A987" s="13">
        <v>71344</v>
      </c>
      <c r="B987" s="88">
        <f t="shared" si="162"/>
        <v>30</v>
      </c>
      <c r="C987" s="77">
        <f>141.293</f>
        <v>141.29300000000001</v>
      </c>
      <c r="D987" s="77">
        <f>267.993</f>
        <v>267.99299999999999</v>
      </c>
      <c r="E987" s="85">
        <f>115.016</f>
        <v>115.01600000000001</v>
      </c>
      <c r="F987" s="77">
        <f>314.698-40-25-60-100</f>
        <v>89.697999999999979</v>
      </c>
      <c r="G987" s="80">
        <v>40</v>
      </c>
      <c r="H987" s="77">
        <f t="shared" ref="H987:H993" si="168">25+60+100</f>
        <v>185</v>
      </c>
      <c r="I987" s="77">
        <f t="shared" si="158"/>
        <v>0</v>
      </c>
      <c r="J987" s="80">
        <v>100</v>
      </c>
      <c r="K987" s="80">
        <v>300</v>
      </c>
      <c r="L987" s="77">
        <f t="shared" si="163"/>
        <v>1239</v>
      </c>
      <c r="M987" s="87">
        <v>600</v>
      </c>
      <c r="N987" s="77">
        <f>100</f>
        <v>100</v>
      </c>
      <c r="O987" s="80">
        <v>240</v>
      </c>
      <c r="P987" s="80">
        <v>40</v>
      </c>
      <c r="Q987" s="80">
        <f t="shared" si="164"/>
        <v>315</v>
      </c>
      <c r="R987" s="80">
        <f t="shared" si="165"/>
        <v>100</v>
      </c>
      <c r="S987" s="77">
        <f t="shared" si="166"/>
        <v>695</v>
      </c>
      <c r="T987" s="77">
        <f>50</f>
        <v>50</v>
      </c>
      <c r="U987" s="78"/>
      <c r="V987" s="78"/>
      <c r="W987" s="78"/>
      <c r="X987" s="78"/>
      <c r="Y987" s="78"/>
      <c r="Z987" s="78"/>
      <c r="AA987" s="78"/>
      <c r="AB987" s="78"/>
      <c r="AC987" s="78"/>
      <c r="AD987" s="78"/>
    </row>
    <row r="988" spans="1:30" ht="15.75" x14ac:dyDescent="0.25">
      <c r="A988" s="13">
        <v>71375</v>
      </c>
      <c r="B988" s="88">
        <f t="shared" si="162"/>
        <v>31</v>
      </c>
      <c r="C988" s="77">
        <f>194.205</f>
        <v>194.20500000000001</v>
      </c>
      <c r="D988" s="77">
        <f>267.466</f>
        <v>267.46600000000001</v>
      </c>
      <c r="E988" s="85">
        <f>133.845</f>
        <v>133.845</v>
      </c>
      <c r="F988" s="77">
        <f>278.484-40-25-60-100</f>
        <v>53.48399999999998</v>
      </c>
      <c r="G988" s="80">
        <v>40</v>
      </c>
      <c r="H988" s="77">
        <f t="shared" si="168"/>
        <v>185</v>
      </c>
      <c r="I988" s="77">
        <f t="shared" si="158"/>
        <v>0</v>
      </c>
      <c r="J988" s="80">
        <v>100</v>
      </c>
      <c r="K988" s="80">
        <v>300</v>
      </c>
      <c r="L988" s="77">
        <f t="shared" si="163"/>
        <v>1274</v>
      </c>
      <c r="M988" s="87">
        <v>600</v>
      </c>
      <c r="N988" s="77">
        <f>75</f>
        <v>75</v>
      </c>
      <c r="O988" s="80">
        <v>240</v>
      </c>
      <c r="P988" s="80">
        <v>40</v>
      </c>
      <c r="Q988" s="80">
        <f t="shared" si="164"/>
        <v>315</v>
      </c>
      <c r="R988" s="80">
        <f t="shared" si="165"/>
        <v>100</v>
      </c>
      <c r="S988" s="77">
        <f t="shared" si="166"/>
        <v>695</v>
      </c>
      <c r="T988" s="77">
        <f>50</f>
        <v>50</v>
      </c>
      <c r="U988" s="78"/>
      <c r="V988" s="78"/>
      <c r="W988" s="78"/>
      <c r="X988" s="78"/>
      <c r="Y988" s="78"/>
      <c r="Z988" s="78"/>
      <c r="AA988" s="78"/>
      <c r="AB988" s="78"/>
      <c r="AC988" s="78"/>
      <c r="AD988" s="78"/>
    </row>
    <row r="989" spans="1:30" ht="15.75" x14ac:dyDescent="0.25">
      <c r="A989" s="13">
        <v>71405</v>
      </c>
      <c r="B989" s="88">
        <f t="shared" si="162"/>
        <v>30</v>
      </c>
      <c r="C989" s="77">
        <f>194.205</f>
        <v>194.20500000000001</v>
      </c>
      <c r="D989" s="77">
        <f>267.466</f>
        <v>267.46600000000001</v>
      </c>
      <c r="E989" s="85">
        <f>133.845</f>
        <v>133.845</v>
      </c>
      <c r="F989" s="77">
        <f>278.484-40-25-60-100</f>
        <v>53.48399999999998</v>
      </c>
      <c r="G989" s="80">
        <v>40</v>
      </c>
      <c r="H989" s="77">
        <f t="shared" si="168"/>
        <v>185</v>
      </c>
      <c r="I989" s="77">
        <f t="shared" si="158"/>
        <v>0</v>
      </c>
      <c r="J989" s="80">
        <v>100</v>
      </c>
      <c r="K989" s="80">
        <v>300</v>
      </c>
      <c r="L989" s="77">
        <f t="shared" si="163"/>
        <v>1274</v>
      </c>
      <c r="M989" s="87">
        <v>600</v>
      </c>
      <c r="N989" s="77">
        <f>30</f>
        <v>30</v>
      </c>
      <c r="O989" s="80">
        <v>240</v>
      </c>
      <c r="P989" s="80">
        <v>40</v>
      </c>
      <c r="Q989" s="80">
        <f t="shared" si="164"/>
        <v>315</v>
      </c>
      <c r="R989" s="80">
        <f t="shared" si="165"/>
        <v>100</v>
      </c>
      <c r="S989" s="77">
        <f t="shared" si="166"/>
        <v>695</v>
      </c>
      <c r="T989" s="77">
        <f>50</f>
        <v>50</v>
      </c>
      <c r="U989" s="78"/>
      <c r="V989" s="78"/>
      <c r="W989" s="78"/>
      <c r="X989" s="78"/>
      <c r="Y989" s="78"/>
      <c r="Z989" s="78"/>
      <c r="AA989" s="78"/>
      <c r="AB989" s="78"/>
      <c r="AC989" s="78"/>
      <c r="AD989" s="78"/>
    </row>
    <row r="990" spans="1:30" ht="15.75" x14ac:dyDescent="0.25">
      <c r="A990" s="13">
        <v>71436</v>
      </c>
      <c r="B990" s="88">
        <f t="shared" si="162"/>
        <v>31</v>
      </c>
      <c r="C990" s="77">
        <f>194.205</f>
        <v>194.20500000000001</v>
      </c>
      <c r="D990" s="77">
        <f>267.466</f>
        <v>267.46600000000001</v>
      </c>
      <c r="E990" s="85">
        <f>133.845</f>
        <v>133.845</v>
      </c>
      <c r="F990" s="77">
        <f>278.484-40-25-60-100</f>
        <v>53.48399999999998</v>
      </c>
      <c r="G990" s="80">
        <v>40</v>
      </c>
      <c r="H990" s="77">
        <f t="shared" si="168"/>
        <v>185</v>
      </c>
      <c r="I990" s="77">
        <f t="shared" si="158"/>
        <v>0</v>
      </c>
      <c r="J990" s="80">
        <v>100</v>
      </c>
      <c r="K990" s="80">
        <v>300</v>
      </c>
      <c r="L990" s="77">
        <f t="shared" si="163"/>
        <v>1274</v>
      </c>
      <c r="M990" s="87">
        <v>600</v>
      </c>
      <c r="N990" s="77">
        <f>30</f>
        <v>30</v>
      </c>
      <c r="O990" s="80">
        <v>240</v>
      </c>
      <c r="P990" s="80">
        <v>40</v>
      </c>
      <c r="Q990" s="80">
        <f t="shared" si="164"/>
        <v>315</v>
      </c>
      <c r="R990" s="80">
        <f t="shared" si="165"/>
        <v>100</v>
      </c>
      <c r="S990" s="77">
        <f t="shared" si="166"/>
        <v>695</v>
      </c>
      <c r="T990" s="77">
        <f>0</f>
        <v>0</v>
      </c>
      <c r="U990" s="78"/>
      <c r="V990" s="78"/>
      <c r="W990" s="78"/>
      <c r="X990" s="78"/>
      <c r="Y990" s="78"/>
      <c r="Z990" s="78"/>
      <c r="AA990" s="78"/>
      <c r="AB990" s="78"/>
      <c r="AC990" s="78"/>
      <c r="AD990" s="78"/>
    </row>
    <row r="991" spans="1:30" ht="15.75" x14ac:dyDescent="0.25">
      <c r="A991" s="13">
        <v>71467</v>
      </c>
      <c r="B991" s="88">
        <f t="shared" si="162"/>
        <v>31</v>
      </c>
      <c r="C991" s="77">
        <f>194.205</f>
        <v>194.20500000000001</v>
      </c>
      <c r="D991" s="77">
        <f>267.466</f>
        <v>267.46600000000001</v>
      </c>
      <c r="E991" s="85">
        <f>133.845</f>
        <v>133.845</v>
      </c>
      <c r="F991" s="77">
        <f>278.484-40-25-60-100</f>
        <v>53.48399999999998</v>
      </c>
      <c r="G991" s="80">
        <v>40</v>
      </c>
      <c r="H991" s="77">
        <f t="shared" si="168"/>
        <v>185</v>
      </c>
      <c r="I991" s="77">
        <f t="shared" si="158"/>
        <v>0</v>
      </c>
      <c r="J991" s="80">
        <v>100</v>
      </c>
      <c r="K991" s="80">
        <v>300</v>
      </c>
      <c r="L991" s="77">
        <f t="shared" si="163"/>
        <v>1274</v>
      </c>
      <c r="M991" s="87">
        <v>600</v>
      </c>
      <c r="N991" s="77">
        <f>30</f>
        <v>30</v>
      </c>
      <c r="O991" s="80">
        <v>240</v>
      </c>
      <c r="P991" s="80">
        <v>40</v>
      </c>
      <c r="Q991" s="80">
        <f t="shared" si="164"/>
        <v>315</v>
      </c>
      <c r="R991" s="80">
        <f t="shared" si="165"/>
        <v>100</v>
      </c>
      <c r="S991" s="77">
        <f t="shared" si="166"/>
        <v>695</v>
      </c>
      <c r="T991" s="77">
        <f>0</f>
        <v>0</v>
      </c>
      <c r="U991" s="78"/>
      <c r="V991" s="78"/>
      <c r="W991" s="78"/>
      <c r="X991" s="78"/>
      <c r="Y991" s="78"/>
      <c r="Z991" s="78"/>
      <c r="AA991" s="78"/>
      <c r="AB991" s="78"/>
      <c r="AC991" s="78"/>
      <c r="AD991" s="78"/>
    </row>
    <row r="992" spans="1:30" ht="15.75" x14ac:dyDescent="0.25">
      <c r="A992" s="13">
        <v>71497</v>
      </c>
      <c r="B992" s="88">
        <f t="shared" si="162"/>
        <v>30</v>
      </c>
      <c r="C992" s="77">
        <f>194.205</f>
        <v>194.20500000000001</v>
      </c>
      <c r="D992" s="77">
        <f>267.466</f>
        <v>267.46600000000001</v>
      </c>
      <c r="E992" s="85">
        <f>133.845</f>
        <v>133.845</v>
      </c>
      <c r="F992" s="77">
        <f>278.484-40-25-60-100</f>
        <v>53.48399999999998</v>
      </c>
      <c r="G992" s="80">
        <v>40</v>
      </c>
      <c r="H992" s="77">
        <f t="shared" si="168"/>
        <v>185</v>
      </c>
      <c r="I992" s="77">
        <f t="shared" si="158"/>
        <v>0</v>
      </c>
      <c r="J992" s="80">
        <v>100</v>
      </c>
      <c r="K992" s="80">
        <v>300</v>
      </c>
      <c r="L992" s="77">
        <f t="shared" si="163"/>
        <v>1274</v>
      </c>
      <c r="M992" s="87">
        <v>600</v>
      </c>
      <c r="N992" s="77">
        <f>30</f>
        <v>30</v>
      </c>
      <c r="O992" s="80">
        <v>240</v>
      </c>
      <c r="P992" s="80">
        <v>40</v>
      </c>
      <c r="Q992" s="80">
        <f t="shared" si="164"/>
        <v>315</v>
      </c>
      <c r="R992" s="80">
        <f t="shared" si="165"/>
        <v>100</v>
      </c>
      <c r="S992" s="77">
        <f t="shared" si="166"/>
        <v>695</v>
      </c>
      <c r="T992" s="77">
        <f>0</f>
        <v>0</v>
      </c>
      <c r="U992" s="78"/>
      <c r="V992" s="78"/>
      <c r="W992" s="78"/>
      <c r="X992" s="78"/>
      <c r="Y992" s="78"/>
      <c r="Z992" s="78"/>
      <c r="AA992" s="78"/>
      <c r="AB992" s="78"/>
      <c r="AC992" s="78"/>
      <c r="AD992" s="78"/>
    </row>
    <row r="993" spans="1:30" ht="15.75" x14ac:dyDescent="0.25">
      <c r="A993" s="13">
        <v>71528</v>
      </c>
      <c r="B993" s="88">
        <f t="shared" si="162"/>
        <v>31</v>
      </c>
      <c r="C993" s="77">
        <f>131.881</f>
        <v>131.881</v>
      </c>
      <c r="D993" s="77">
        <f>277.167</f>
        <v>277.16699999999997</v>
      </c>
      <c r="E993" s="85">
        <f>79.08</f>
        <v>79.08</v>
      </c>
      <c r="F993" s="77">
        <f>350.872-40-25-60-100</f>
        <v>125.87200000000001</v>
      </c>
      <c r="G993" s="80">
        <v>40</v>
      </c>
      <c r="H993" s="77">
        <f t="shared" si="168"/>
        <v>185</v>
      </c>
      <c r="I993" s="77">
        <f t="shared" si="158"/>
        <v>0</v>
      </c>
      <c r="J993" s="80">
        <v>100</v>
      </c>
      <c r="K993" s="80">
        <v>300</v>
      </c>
      <c r="L993" s="77">
        <f t="shared" si="163"/>
        <v>1239</v>
      </c>
      <c r="M993" s="87">
        <v>600</v>
      </c>
      <c r="N993" s="77">
        <f>75</f>
        <v>75</v>
      </c>
      <c r="O993" s="80">
        <v>240</v>
      </c>
      <c r="P993" s="80">
        <v>40</v>
      </c>
      <c r="Q993" s="80">
        <f t="shared" si="164"/>
        <v>315</v>
      </c>
      <c r="R993" s="80">
        <f t="shared" si="165"/>
        <v>100</v>
      </c>
      <c r="S993" s="77">
        <f t="shared" si="166"/>
        <v>695</v>
      </c>
      <c r="T993" s="77">
        <f>0</f>
        <v>0</v>
      </c>
      <c r="U993" s="78"/>
      <c r="V993" s="78"/>
      <c r="W993" s="78"/>
      <c r="X993" s="78"/>
      <c r="Y993" s="78"/>
      <c r="Z993" s="78"/>
      <c r="AA993" s="78"/>
      <c r="AB993" s="78"/>
      <c r="AC993" s="78"/>
      <c r="AD993" s="78"/>
    </row>
    <row r="994" spans="1:30" ht="15.75" x14ac:dyDescent="0.25">
      <c r="A994" s="13">
        <v>71558</v>
      </c>
      <c r="B994" s="88">
        <f t="shared" si="162"/>
        <v>30</v>
      </c>
      <c r="C994" s="77">
        <f>122.58</f>
        <v>122.58</v>
      </c>
      <c r="D994" s="77">
        <f>297.941</f>
        <v>297.94099999999997</v>
      </c>
      <c r="E994" s="85">
        <f>89.177</f>
        <v>89.177000000000007</v>
      </c>
      <c r="F994" s="77">
        <f>240.302-40-60-100</f>
        <v>40.301999999999992</v>
      </c>
      <c r="G994" s="80">
        <v>40</v>
      </c>
      <c r="H994" s="77">
        <f>60+100</f>
        <v>160</v>
      </c>
      <c r="I994" s="77">
        <f t="shared" si="158"/>
        <v>0</v>
      </c>
      <c r="J994" s="80">
        <v>100</v>
      </c>
      <c r="K994" s="80">
        <v>300</v>
      </c>
      <c r="L994" s="77">
        <f t="shared" si="163"/>
        <v>1150</v>
      </c>
      <c r="M994" s="87">
        <v>600</v>
      </c>
      <c r="N994" s="77">
        <f>100</f>
        <v>100</v>
      </c>
      <c r="O994" s="80">
        <v>240</v>
      </c>
      <c r="P994" s="80">
        <v>40</v>
      </c>
      <c r="Q994" s="80">
        <f t="shared" si="164"/>
        <v>315</v>
      </c>
      <c r="R994" s="80">
        <f t="shared" si="165"/>
        <v>100</v>
      </c>
      <c r="S994" s="77">
        <f t="shared" si="166"/>
        <v>695</v>
      </c>
      <c r="T994" s="77">
        <f>50</f>
        <v>50</v>
      </c>
      <c r="U994" s="78"/>
      <c r="V994" s="78"/>
      <c r="W994" s="78"/>
      <c r="X994" s="78"/>
      <c r="Y994" s="78"/>
      <c r="Z994" s="78"/>
      <c r="AA994" s="78"/>
      <c r="AB994" s="78"/>
      <c r="AC994" s="78"/>
      <c r="AD994" s="78"/>
    </row>
    <row r="995" spans="1:30" ht="15.75" x14ac:dyDescent="0.25">
      <c r="A995" s="13">
        <v>71589</v>
      </c>
      <c r="B995" s="88">
        <f t="shared" si="162"/>
        <v>31</v>
      </c>
      <c r="C995" s="77">
        <f>122.58</f>
        <v>122.58</v>
      </c>
      <c r="D995" s="77">
        <f>297.941</f>
        <v>297.94099999999997</v>
      </c>
      <c r="E995" s="85">
        <f>89.177</f>
        <v>89.177000000000007</v>
      </c>
      <c r="F995" s="77">
        <f>240.302-40-60-100</f>
        <v>40.301999999999992</v>
      </c>
      <c r="G995" s="80">
        <v>40</v>
      </c>
      <c r="H995" s="77">
        <f>60+100</f>
        <v>160</v>
      </c>
      <c r="I995" s="77">
        <f t="shared" si="158"/>
        <v>0</v>
      </c>
      <c r="J995" s="80">
        <v>100</v>
      </c>
      <c r="K995" s="80">
        <v>300</v>
      </c>
      <c r="L995" s="77">
        <f t="shared" si="163"/>
        <v>1150</v>
      </c>
      <c r="M995" s="87">
        <v>600</v>
      </c>
      <c r="N995" s="77">
        <f>100</f>
        <v>100</v>
      </c>
      <c r="O995" s="80">
        <v>240</v>
      </c>
      <c r="P995" s="80">
        <v>40</v>
      </c>
      <c r="Q995" s="80">
        <f t="shared" si="164"/>
        <v>315</v>
      </c>
      <c r="R995" s="80">
        <f t="shared" si="165"/>
        <v>100</v>
      </c>
      <c r="S995" s="77">
        <f t="shared" si="166"/>
        <v>695</v>
      </c>
      <c r="T995" s="77">
        <f>50</f>
        <v>50</v>
      </c>
      <c r="U995" s="78"/>
      <c r="V995" s="78"/>
      <c r="W995" s="78"/>
      <c r="X995" s="78"/>
      <c r="Y995" s="78"/>
      <c r="Z995" s="78"/>
      <c r="AA995" s="78"/>
      <c r="AB995" s="78"/>
      <c r="AC995" s="78"/>
      <c r="AD995" s="78"/>
    </row>
    <row r="996" spans="1:30" ht="15.75" x14ac:dyDescent="0.25">
      <c r="A996" s="13">
        <v>71620</v>
      </c>
      <c r="B996" s="88">
        <f t="shared" si="162"/>
        <v>31</v>
      </c>
      <c r="C996" s="77">
        <f>122.58</f>
        <v>122.58</v>
      </c>
      <c r="D996" s="77">
        <f>297.941</f>
        <v>297.94099999999997</v>
      </c>
      <c r="E996" s="85">
        <f>89.177</f>
        <v>89.177000000000007</v>
      </c>
      <c r="F996" s="77">
        <f>240.302-40-60-100</f>
        <v>40.301999999999992</v>
      </c>
      <c r="G996" s="80">
        <v>40</v>
      </c>
      <c r="H996" s="77">
        <f>60+100</f>
        <v>160</v>
      </c>
      <c r="I996" s="77">
        <f t="shared" si="158"/>
        <v>0</v>
      </c>
      <c r="J996" s="80">
        <v>100</v>
      </c>
      <c r="K996" s="80">
        <v>300</v>
      </c>
      <c r="L996" s="77">
        <f t="shared" si="163"/>
        <v>1150</v>
      </c>
      <c r="M996" s="87">
        <v>600</v>
      </c>
      <c r="N996" s="77">
        <f>100</f>
        <v>100</v>
      </c>
      <c r="O996" s="80">
        <v>240</v>
      </c>
      <c r="P996" s="80">
        <v>40</v>
      </c>
      <c r="Q996" s="80">
        <f t="shared" si="164"/>
        <v>315</v>
      </c>
      <c r="R996" s="80">
        <f t="shared" si="165"/>
        <v>100</v>
      </c>
      <c r="S996" s="77">
        <f t="shared" si="166"/>
        <v>695</v>
      </c>
      <c r="T996" s="77">
        <f>50</f>
        <v>50</v>
      </c>
      <c r="U996" s="78"/>
      <c r="V996" s="78"/>
      <c r="W996" s="78"/>
      <c r="X996" s="78"/>
      <c r="Y996" s="78"/>
      <c r="Z996" s="78"/>
      <c r="AA996" s="78"/>
      <c r="AB996" s="78"/>
      <c r="AC996" s="78"/>
      <c r="AD996" s="78"/>
    </row>
    <row r="997" spans="1:30" ht="15.75" x14ac:dyDescent="0.25">
      <c r="A997" s="13">
        <v>71649</v>
      </c>
      <c r="B997" s="88">
        <f t="shared" si="162"/>
        <v>29</v>
      </c>
      <c r="C997" s="77">
        <f>122.58</f>
        <v>122.58</v>
      </c>
      <c r="D997" s="77">
        <f>297.941</f>
        <v>297.94099999999997</v>
      </c>
      <c r="E997" s="85">
        <f>89.177</f>
        <v>89.177000000000007</v>
      </c>
      <c r="F997" s="77">
        <f>240.302-40-60-100</f>
        <v>40.301999999999992</v>
      </c>
      <c r="G997" s="80">
        <v>40</v>
      </c>
      <c r="H997" s="77">
        <f>60+100</f>
        <v>160</v>
      </c>
      <c r="I997" s="77">
        <f t="shared" si="158"/>
        <v>0</v>
      </c>
      <c r="J997" s="80">
        <v>100</v>
      </c>
      <c r="K997" s="80">
        <v>300</v>
      </c>
      <c r="L997" s="77">
        <f t="shared" si="163"/>
        <v>1150</v>
      </c>
      <c r="M997" s="87">
        <v>600</v>
      </c>
      <c r="N997" s="77">
        <f>100</f>
        <v>100</v>
      </c>
      <c r="O997" s="80">
        <v>240</v>
      </c>
      <c r="P997" s="80">
        <v>40</v>
      </c>
      <c r="Q997" s="80">
        <f t="shared" si="164"/>
        <v>315</v>
      </c>
      <c r="R997" s="80">
        <f t="shared" si="165"/>
        <v>100</v>
      </c>
      <c r="S997" s="77">
        <f t="shared" si="166"/>
        <v>695</v>
      </c>
      <c r="T997" s="77">
        <f>50</f>
        <v>50</v>
      </c>
      <c r="U997" s="78"/>
      <c r="V997" s="78"/>
      <c r="W997" s="78"/>
      <c r="X997" s="78"/>
      <c r="Y997" s="78"/>
      <c r="Z997" s="78"/>
      <c r="AA997" s="78"/>
      <c r="AB997" s="78"/>
      <c r="AC997" s="78"/>
      <c r="AD997" s="78"/>
    </row>
    <row r="998" spans="1:30" ht="15.75" x14ac:dyDescent="0.25">
      <c r="A998" s="13">
        <v>71680</v>
      </c>
      <c r="B998" s="88">
        <f t="shared" si="162"/>
        <v>31</v>
      </c>
      <c r="C998" s="77">
        <f>122.58</f>
        <v>122.58</v>
      </c>
      <c r="D998" s="77">
        <f>297.941</f>
        <v>297.94099999999997</v>
      </c>
      <c r="E998" s="85">
        <f>89.177</f>
        <v>89.177000000000007</v>
      </c>
      <c r="F998" s="77">
        <f>240.302-40-60-100</f>
        <v>40.301999999999992</v>
      </c>
      <c r="G998" s="80">
        <v>40</v>
      </c>
      <c r="H998" s="77">
        <f>60+100</f>
        <v>160</v>
      </c>
      <c r="I998" s="77">
        <f t="shared" si="158"/>
        <v>0</v>
      </c>
      <c r="J998" s="80">
        <v>100</v>
      </c>
      <c r="K998" s="80">
        <v>300</v>
      </c>
      <c r="L998" s="77">
        <f t="shared" si="163"/>
        <v>1150</v>
      </c>
      <c r="M998" s="87">
        <v>600</v>
      </c>
      <c r="N998" s="77">
        <f>100</f>
        <v>100</v>
      </c>
      <c r="O998" s="80">
        <v>240</v>
      </c>
      <c r="P998" s="80">
        <v>40</v>
      </c>
      <c r="Q998" s="80">
        <f t="shared" si="164"/>
        <v>315</v>
      </c>
      <c r="R998" s="80">
        <f t="shared" si="165"/>
        <v>100</v>
      </c>
      <c r="S998" s="77">
        <f t="shared" si="166"/>
        <v>695</v>
      </c>
      <c r="T998" s="77">
        <f>50</f>
        <v>50</v>
      </c>
      <c r="U998" s="78"/>
      <c r="V998" s="78"/>
      <c r="W998" s="78"/>
      <c r="X998" s="78"/>
      <c r="Y998" s="78"/>
      <c r="Z998" s="78"/>
      <c r="AA998" s="78"/>
      <c r="AB998" s="78"/>
      <c r="AC998" s="78"/>
      <c r="AD998" s="78"/>
    </row>
    <row r="999" spans="1:30" ht="15.75" x14ac:dyDescent="0.25">
      <c r="A999" s="13">
        <v>71710</v>
      </c>
      <c r="B999" s="88">
        <f t="shared" si="162"/>
        <v>30</v>
      </c>
      <c r="C999" s="77">
        <f>141.293</f>
        <v>141.29300000000001</v>
      </c>
      <c r="D999" s="77">
        <f>267.993</f>
        <v>267.99299999999999</v>
      </c>
      <c r="E999" s="85">
        <f>115.016</f>
        <v>115.01600000000001</v>
      </c>
      <c r="F999" s="77">
        <f>314.698-40-25-60-100</f>
        <v>89.697999999999979</v>
      </c>
      <c r="G999" s="80">
        <v>40</v>
      </c>
      <c r="H999" s="77">
        <f t="shared" ref="H999:H1005" si="169">25+60+100</f>
        <v>185</v>
      </c>
      <c r="I999" s="77">
        <f t="shared" si="158"/>
        <v>0</v>
      </c>
      <c r="J999" s="80">
        <v>100</v>
      </c>
      <c r="K999" s="80">
        <v>300</v>
      </c>
      <c r="L999" s="77">
        <f t="shared" si="163"/>
        <v>1239</v>
      </c>
      <c r="M999" s="87">
        <v>600</v>
      </c>
      <c r="N999" s="77">
        <f>100</f>
        <v>100</v>
      </c>
      <c r="O999" s="80">
        <v>240</v>
      </c>
      <c r="P999" s="80">
        <v>40</v>
      </c>
      <c r="Q999" s="80">
        <f t="shared" si="164"/>
        <v>315</v>
      </c>
      <c r="R999" s="80">
        <f t="shared" si="165"/>
        <v>100</v>
      </c>
      <c r="S999" s="77">
        <f t="shared" si="166"/>
        <v>695</v>
      </c>
      <c r="T999" s="77">
        <f>50</f>
        <v>50</v>
      </c>
      <c r="U999" s="78"/>
      <c r="V999" s="78"/>
      <c r="W999" s="78"/>
      <c r="X999" s="78"/>
      <c r="Y999" s="78"/>
      <c r="Z999" s="78"/>
      <c r="AA999" s="78"/>
      <c r="AB999" s="78"/>
      <c r="AC999" s="78"/>
      <c r="AD999" s="78"/>
    </row>
    <row r="1000" spans="1:30" ht="15.75" x14ac:dyDescent="0.25">
      <c r="A1000" s="13">
        <v>71741</v>
      </c>
      <c r="B1000" s="88">
        <f t="shared" si="162"/>
        <v>31</v>
      </c>
      <c r="C1000" s="77">
        <f>194.205</f>
        <v>194.20500000000001</v>
      </c>
      <c r="D1000" s="77">
        <f>267.466</f>
        <v>267.46600000000001</v>
      </c>
      <c r="E1000" s="85">
        <f>133.845</f>
        <v>133.845</v>
      </c>
      <c r="F1000" s="77">
        <f>278.484-40-25-60-100</f>
        <v>53.48399999999998</v>
      </c>
      <c r="G1000" s="80">
        <v>40</v>
      </c>
      <c r="H1000" s="77">
        <f t="shared" si="169"/>
        <v>185</v>
      </c>
      <c r="I1000" s="77">
        <f t="shared" ref="I1000:I1055" si="170">400-J1000-K1000</f>
        <v>0</v>
      </c>
      <c r="J1000" s="80">
        <v>100</v>
      </c>
      <c r="K1000" s="80">
        <v>300</v>
      </c>
      <c r="L1000" s="77">
        <f t="shared" si="163"/>
        <v>1274</v>
      </c>
      <c r="M1000" s="87">
        <v>600</v>
      </c>
      <c r="N1000" s="77">
        <f>75</f>
        <v>75</v>
      </c>
      <c r="O1000" s="80">
        <v>240</v>
      </c>
      <c r="P1000" s="80">
        <v>40</v>
      </c>
      <c r="Q1000" s="80">
        <f t="shared" si="164"/>
        <v>315</v>
      </c>
      <c r="R1000" s="80">
        <f t="shared" si="165"/>
        <v>100</v>
      </c>
      <c r="S1000" s="77">
        <f t="shared" si="166"/>
        <v>695</v>
      </c>
      <c r="T1000" s="77">
        <f>50</f>
        <v>50</v>
      </c>
      <c r="U1000" s="78"/>
      <c r="V1000" s="78"/>
      <c r="W1000" s="78"/>
      <c r="X1000" s="78"/>
      <c r="Y1000" s="78"/>
      <c r="Z1000" s="78"/>
      <c r="AA1000" s="78"/>
      <c r="AB1000" s="78"/>
      <c r="AC1000" s="78"/>
      <c r="AD1000" s="78"/>
    </row>
    <row r="1001" spans="1:30" ht="15.75" x14ac:dyDescent="0.25">
      <c r="A1001" s="13">
        <v>71771</v>
      </c>
      <c r="B1001" s="88">
        <f t="shared" si="162"/>
        <v>30</v>
      </c>
      <c r="C1001" s="77">
        <f>194.205</f>
        <v>194.20500000000001</v>
      </c>
      <c r="D1001" s="77">
        <f>267.466</f>
        <v>267.46600000000001</v>
      </c>
      <c r="E1001" s="85">
        <f>133.845</f>
        <v>133.845</v>
      </c>
      <c r="F1001" s="77">
        <f>278.484-40-25-60-100</f>
        <v>53.48399999999998</v>
      </c>
      <c r="G1001" s="80">
        <v>40</v>
      </c>
      <c r="H1001" s="77">
        <f t="shared" si="169"/>
        <v>185</v>
      </c>
      <c r="I1001" s="77">
        <f t="shared" si="170"/>
        <v>0</v>
      </c>
      <c r="J1001" s="80">
        <v>100</v>
      </c>
      <c r="K1001" s="80">
        <v>300</v>
      </c>
      <c r="L1001" s="77">
        <f t="shared" si="163"/>
        <v>1274</v>
      </c>
      <c r="M1001" s="87">
        <v>600</v>
      </c>
      <c r="N1001" s="77">
        <f>30</f>
        <v>30</v>
      </c>
      <c r="O1001" s="80">
        <v>240</v>
      </c>
      <c r="P1001" s="80">
        <v>40</v>
      </c>
      <c r="Q1001" s="80">
        <f t="shared" si="164"/>
        <v>315</v>
      </c>
      <c r="R1001" s="80">
        <f t="shared" si="165"/>
        <v>100</v>
      </c>
      <c r="S1001" s="77">
        <f t="shared" si="166"/>
        <v>695</v>
      </c>
      <c r="T1001" s="77">
        <f>50</f>
        <v>50</v>
      </c>
      <c r="U1001" s="78"/>
      <c r="V1001" s="78"/>
      <c r="W1001" s="78"/>
      <c r="X1001" s="78"/>
      <c r="Y1001" s="78"/>
      <c r="Z1001" s="78"/>
      <c r="AA1001" s="78"/>
      <c r="AB1001" s="78"/>
      <c r="AC1001" s="78"/>
      <c r="AD1001" s="78"/>
    </row>
    <row r="1002" spans="1:30" ht="15.75" x14ac:dyDescent="0.25">
      <c r="A1002" s="13">
        <v>71802</v>
      </c>
      <c r="B1002" s="88">
        <f t="shared" si="162"/>
        <v>31</v>
      </c>
      <c r="C1002" s="77">
        <f>194.205</f>
        <v>194.20500000000001</v>
      </c>
      <c r="D1002" s="77">
        <f>267.466</f>
        <v>267.46600000000001</v>
      </c>
      <c r="E1002" s="85">
        <f>133.845</f>
        <v>133.845</v>
      </c>
      <c r="F1002" s="77">
        <f>278.484-40-25-60-100</f>
        <v>53.48399999999998</v>
      </c>
      <c r="G1002" s="80">
        <v>40</v>
      </c>
      <c r="H1002" s="77">
        <f t="shared" si="169"/>
        <v>185</v>
      </c>
      <c r="I1002" s="77">
        <f t="shared" si="170"/>
        <v>0</v>
      </c>
      <c r="J1002" s="80">
        <v>100</v>
      </c>
      <c r="K1002" s="80">
        <v>300</v>
      </c>
      <c r="L1002" s="77">
        <f t="shared" si="163"/>
        <v>1274</v>
      </c>
      <c r="M1002" s="87">
        <v>600</v>
      </c>
      <c r="N1002" s="77">
        <f>30</f>
        <v>30</v>
      </c>
      <c r="O1002" s="80">
        <v>240</v>
      </c>
      <c r="P1002" s="80">
        <v>40</v>
      </c>
      <c r="Q1002" s="80">
        <f t="shared" si="164"/>
        <v>315</v>
      </c>
      <c r="R1002" s="80">
        <f t="shared" si="165"/>
        <v>100</v>
      </c>
      <c r="S1002" s="77">
        <f t="shared" si="166"/>
        <v>695</v>
      </c>
      <c r="T1002" s="77">
        <f>0</f>
        <v>0</v>
      </c>
      <c r="U1002" s="78"/>
      <c r="V1002" s="78"/>
      <c r="W1002" s="78"/>
      <c r="X1002" s="78"/>
      <c r="Y1002" s="78"/>
      <c r="Z1002" s="78"/>
      <c r="AA1002" s="78"/>
      <c r="AB1002" s="78"/>
      <c r="AC1002" s="78"/>
      <c r="AD1002" s="78"/>
    </row>
    <row r="1003" spans="1:30" ht="15.75" x14ac:dyDescent="0.25">
      <c r="A1003" s="13">
        <v>71833</v>
      </c>
      <c r="B1003" s="88">
        <f t="shared" si="162"/>
        <v>31</v>
      </c>
      <c r="C1003" s="77">
        <f>194.205</f>
        <v>194.20500000000001</v>
      </c>
      <c r="D1003" s="77">
        <f>267.466</f>
        <v>267.46600000000001</v>
      </c>
      <c r="E1003" s="85">
        <f>133.845</f>
        <v>133.845</v>
      </c>
      <c r="F1003" s="77">
        <f>278.484-40-25-60-100</f>
        <v>53.48399999999998</v>
      </c>
      <c r="G1003" s="80">
        <v>40</v>
      </c>
      <c r="H1003" s="77">
        <f t="shared" si="169"/>
        <v>185</v>
      </c>
      <c r="I1003" s="77">
        <f t="shared" si="170"/>
        <v>0</v>
      </c>
      <c r="J1003" s="80">
        <v>100</v>
      </c>
      <c r="K1003" s="80">
        <v>300</v>
      </c>
      <c r="L1003" s="77">
        <f t="shared" si="163"/>
        <v>1274</v>
      </c>
      <c r="M1003" s="87">
        <v>600</v>
      </c>
      <c r="N1003" s="77">
        <f>30</f>
        <v>30</v>
      </c>
      <c r="O1003" s="80">
        <v>240</v>
      </c>
      <c r="P1003" s="80">
        <v>40</v>
      </c>
      <c r="Q1003" s="80">
        <f t="shared" si="164"/>
        <v>315</v>
      </c>
      <c r="R1003" s="80">
        <f t="shared" si="165"/>
        <v>100</v>
      </c>
      <c r="S1003" s="77">
        <f t="shared" si="166"/>
        <v>695</v>
      </c>
      <c r="T1003" s="77">
        <f>0</f>
        <v>0</v>
      </c>
      <c r="U1003" s="78"/>
      <c r="V1003" s="78"/>
      <c r="W1003" s="78"/>
      <c r="X1003" s="78"/>
      <c r="Y1003" s="78"/>
      <c r="Z1003" s="78"/>
      <c r="AA1003" s="78"/>
      <c r="AB1003" s="78"/>
      <c r="AC1003" s="78"/>
      <c r="AD1003" s="78"/>
    </row>
    <row r="1004" spans="1:30" ht="15.75" x14ac:dyDescent="0.25">
      <c r="A1004" s="13">
        <v>71863</v>
      </c>
      <c r="B1004" s="88">
        <f t="shared" si="162"/>
        <v>30</v>
      </c>
      <c r="C1004" s="77">
        <f>194.205</f>
        <v>194.20500000000001</v>
      </c>
      <c r="D1004" s="77">
        <f>267.466</f>
        <v>267.46600000000001</v>
      </c>
      <c r="E1004" s="85">
        <f>133.845</f>
        <v>133.845</v>
      </c>
      <c r="F1004" s="77">
        <f>278.484-40-25-60-100</f>
        <v>53.48399999999998</v>
      </c>
      <c r="G1004" s="80">
        <v>40</v>
      </c>
      <c r="H1004" s="77">
        <f t="shared" si="169"/>
        <v>185</v>
      </c>
      <c r="I1004" s="77">
        <f t="shared" si="170"/>
        <v>0</v>
      </c>
      <c r="J1004" s="80">
        <v>100</v>
      </c>
      <c r="K1004" s="80">
        <v>300</v>
      </c>
      <c r="L1004" s="77">
        <f t="shared" si="163"/>
        <v>1274</v>
      </c>
      <c r="M1004" s="87">
        <v>600</v>
      </c>
      <c r="N1004" s="77">
        <f>30</f>
        <v>30</v>
      </c>
      <c r="O1004" s="80">
        <v>240</v>
      </c>
      <c r="P1004" s="80">
        <v>40</v>
      </c>
      <c r="Q1004" s="80">
        <f t="shared" si="164"/>
        <v>315</v>
      </c>
      <c r="R1004" s="80">
        <f t="shared" si="165"/>
        <v>100</v>
      </c>
      <c r="S1004" s="77">
        <f t="shared" si="166"/>
        <v>695</v>
      </c>
      <c r="T1004" s="77">
        <f>0</f>
        <v>0</v>
      </c>
      <c r="U1004" s="78"/>
      <c r="V1004" s="78"/>
      <c r="W1004" s="78"/>
      <c r="X1004" s="78"/>
      <c r="Y1004" s="78"/>
      <c r="Z1004" s="78"/>
      <c r="AA1004" s="78"/>
      <c r="AB1004" s="78"/>
      <c r="AC1004" s="78"/>
      <c r="AD1004" s="78"/>
    </row>
    <row r="1005" spans="1:30" ht="15.75" x14ac:dyDescent="0.25">
      <c r="A1005" s="13">
        <v>71894</v>
      </c>
      <c r="B1005" s="88">
        <f t="shared" si="162"/>
        <v>31</v>
      </c>
      <c r="C1005" s="77">
        <f>131.881</f>
        <v>131.881</v>
      </c>
      <c r="D1005" s="77">
        <f>277.167</f>
        <v>277.16699999999997</v>
      </c>
      <c r="E1005" s="85">
        <f>79.08</f>
        <v>79.08</v>
      </c>
      <c r="F1005" s="77">
        <f>350.872-40-25-60-100</f>
        <v>125.87200000000001</v>
      </c>
      <c r="G1005" s="80">
        <v>40</v>
      </c>
      <c r="H1005" s="77">
        <f t="shared" si="169"/>
        <v>185</v>
      </c>
      <c r="I1005" s="77">
        <f t="shared" si="170"/>
        <v>0</v>
      </c>
      <c r="J1005" s="80">
        <v>100</v>
      </c>
      <c r="K1005" s="80">
        <v>300</v>
      </c>
      <c r="L1005" s="77">
        <f t="shared" si="163"/>
        <v>1239</v>
      </c>
      <c r="M1005" s="87">
        <v>600</v>
      </c>
      <c r="N1005" s="77">
        <f>75</f>
        <v>75</v>
      </c>
      <c r="O1005" s="80">
        <v>240</v>
      </c>
      <c r="P1005" s="80">
        <v>40</v>
      </c>
      <c r="Q1005" s="80">
        <f t="shared" si="164"/>
        <v>315</v>
      </c>
      <c r="R1005" s="80">
        <f t="shared" si="165"/>
        <v>100</v>
      </c>
      <c r="S1005" s="77">
        <f t="shared" si="166"/>
        <v>695</v>
      </c>
      <c r="T1005" s="77">
        <f>0</f>
        <v>0</v>
      </c>
      <c r="U1005" s="78"/>
      <c r="V1005" s="78"/>
      <c r="W1005" s="78"/>
      <c r="X1005" s="78"/>
      <c r="Y1005" s="78"/>
      <c r="Z1005" s="78"/>
      <c r="AA1005" s="78"/>
      <c r="AB1005" s="78"/>
      <c r="AC1005" s="78"/>
      <c r="AD1005" s="78"/>
    </row>
    <row r="1006" spans="1:30" ht="15.75" x14ac:dyDescent="0.25">
      <c r="A1006" s="13">
        <v>71924</v>
      </c>
      <c r="B1006" s="88">
        <f t="shared" si="162"/>
        <v>30</v>
      </c>
      <c r="C1006" s="77">
        <f>122.58</f>
        <v>122.58</v>
      </c>
      <c r="D1006" s="77">
        <f>297.941</f>
        <v>297.94099999999997</v>
      </c>
      <c r="E1006" s="85">
        <f>89.177</f>
        <v>89.177000000000007</v>
      </c>
      <c r="F1006" s="77">
        <f>240.302-40-60-100</f>
        <v>40.301999999999992</v>
      </c>
      <c r="G1006" s="80">
        <v>40</v>
      </c>
      <c r="H1006" s="77">
        <f>60+100</f>
        <v>160</v>
      </c>
      <c r="I1006" s="77">
        <f t="shared" si="170"/>
        <v>0</v>
      </c>
      <c r="J1006" s="80">
        <v>100</v>
      </c>
      <c r="K1006" s="80">
        <v>300</v>
      </c>
      <c r="L1006" s="77">
        <f t="shared" si="163"/>
        <v>1150</v>
      </c>
      <c r="M1006" s="87">
        <v>600</v>
      </c>
      <c r="N1006" s="77">
        <f>100</f>
        <v>100</v>
      </c>
      <c r="O1006" s="80">
        <v>240</v>
      </c>
      <c r="P1006" s="80">
        <v>40</v>
      </c>
      <c r="Q1006" s="80">
        <f t="shared" si="164"/>
        <v>315</v>
      </c>
      <c r="R1006" s="80">
        <f t="shared" si="165"/>
        <v>100</v>
      </c>
      <c r="S1006" s="77">
        <f t="shared" si="166"/>
        <v>695</v>
      </c>
      <c r="T1006" s="77">
        <f>50</f>
        <v>50</v>
      </c>
      <c r="U1006" s="78"/>
      <c r="V1006" s="78"/>
      <c r="W1006" s="78"/>
      <c r="X1006" s="78"/>
      <c r="Y1006" s="78"/>
      <c r="Z1006" s="78"/>
      <c r="AA1006" s="78"/>
      <c r="AB1006" s="78"/>
      <c r="AC1006" s="78"/>
      <c r="AD1006" s="78"/>
    </row>
    <row r="1007" spans="1:30" ht="15.75" x14ac:dyDescent="0.25">
      <c r="A1007" s="13">
        <v>71955</v>
      </c>
      <c r="B1007" s="88">
        <f t="shared" si="162"/>
        <v>31</v>
      </c>
      <c r="C1007" s="77">
        <f>122.58</f>
        <v>122.58</v>
      </c>
      <c r="D1007" s="77">
        <f>297.941</f>
        <v>297.94099999999997</v>
      </c>
      <c r="E1007" s="85">
        <f>89.177</f>
        <v>89.177000000000007</v>
      </c>
      <c r="F1007" s="77">
        <f>240.302-40-60-100</f>
        <v>40.301999999999992</v>
      </c>
      <c r="G1007" s="80">
        <v>40</v>
      </c>
      <c r="H1007" s="77">
        <f>60+100</f>
        <v>160</v>
      </c>
      <c r="I1007" s="77">
        <f t="shared" si="170"/>
        <v>0</v>
      </c>
      <c r="J1007" s="80">
        <v>100</v>
      </c>
      <c r="K1007" s="80">
        <v>300</v>
      </c>
      <c r="L1007" s="77">
        <f t="shared" si="163"/>
        <v>1150</v>
      </c>
      <c r="M1007" s="87">
        <v>600</v>
      </c>
      <c r="N1007" s="77">
        <f>100</f>
        <v>100</v>
      </c>
      <c r="O1007" s="80">
        <v>240</v>
      </c>
      <c r="P1007" s="80">
        <v>40</v>
      </c>
      <c r="Q1007" s="80">
        <f t="shared" si="164"/>
        <v>315</v>
      </c>
      <c r="R1007" s="80">
        <f t="shared" si="165"/>
        <v>100</v>
      </c>
      <c r="S1007" s="77">
        <f t="shared" si="166"/>
        <v>695</v>
      </c>
      <c r="T1007" s="77">
        <f>50</f>
        <v>50</v>
      </c>
      <c r="U1007" s="78"/>
      <c r="V1007" s="78"/>
      <c r="W1007" s="78"/>
      <c r="X1007" s="78"/>
      <c r="Y1007" s="78"/>
      <c r="Z1007" s="78"/>
      <c r="AA1007" s="78"/>
      <c r="AB1007" s="78"/>
      <c r="AC1007" s="78"/>
      <c r="AD1007" s="78"/>
    </row>
    <row r="1008" spans="1:30" ht="15.75" x14ac:dyDescent="0.25">
      <c r="A1008" s="13">
        <v>71986</v>
      </c>
      <c r="B1008" s="88">
        <f t="shared" si="162"/>
        <v>31</v>
      </c>
      <c r="C1008" s="77">
        <f>122.58</f>
        <v>122.58</v>
      </c>
      <c r="D1008" s="77">
        <f>297.941</f>
        <v>297.94099999999997</v>
      </c>
      <c r="E1008" s="85">
        <f>89.177</f>
        <v>89.177000000000007</v>
      </c>
      <c r="F1008" s="77">
        <f>240.302-40-60-100</f>
        <v>40.301999999999992</v>
      </c>
      <c r="G1008" s="80">
        <v>40</v>
      </c>
      <c r="H1008" s="77">
        <f>60+100</f>
        <v>160</v>
      </c>
      <c r="I1008" s="77">
        <f t="shared" si="170"/>
        <v>0</v>
      </c>
      <c r="J1008" s="80">
        <v>100</v>
      </c>
      <c r="K1008" s="80">
        <v>300</v>
      </c>
      <c r="L1008" s="77">
        <f t="shared" si="163"/>
        <v>1150</v>
      </c>
      <c r="M1008" s="87">
        <v>600</v>
      </c>
      <c r="N1008" s="77">
        <f>100</f>
        <v>100</v>
      </c>
      <c r="O1008" s="80">
        <v>240</v>
      </c>
      <c r="P1008" s="80">
        <v>40</v>
      </c>
      <c r="Q1008" s="80">
        <f t="shared" si="164"/>
        <v>315</v>
      </c>
      <c r="R1008" s="80">
        <f t="shared" si="165"/>
        <v>100</v>
      </c>
      <c r="S1008" s="77">
        <f t="shared" si="166"/>
        <v>695</v>
      </c>
      <c r="T1008" s="77">
        <f>50</f>
        <v>50</v>
      </c>
      <c r="U1008" s="78"/>
      <c r="V1008" s="78"/>
      <c r="W1008" s="78"/>
      <c r="X1008" s="78"/>
      <c r="Y1008" s="78"/>
      <c r="Z1008" s="78"/>
      <c r="AA1008" s="78"/>
      <c r="AB1008" s="78"/>
      <c r="AC1008" s="78"/>
      <c r="AD1008" s="78"/>
    </row>
    <row r="1009" spans="1:30" ht="15.75" x14ac:dyDescent="0.25">
      <c r="A1009" s="13">
        <v>72014</v>
      </c>
      <c r="B1009" s="88">
        <f t="shared" si="162"/>
        <v>28</v>
      </c>
      <c r="C1009" s="77">
        <f>122.58</f>
        <v>122.58</v>
      </c>
      <c r="D1009" s="77">
        <f>297.941</f>
        <v>297.94099999999997</v>
      </c>
      <c r="E1009" s="85">
        <f>89.177</f>
        <v>89.177000000000007</v>
      </c>
      <c r="F1009" s="77">
        <f>240.302-40-60-100</f>
        <v>40.301999999999992</v>
      </c>
      <c r="G1009" s="80">
        <v>40</v>
      </c>
      <c r="H1009" s="77">
        <f>60+100</f>
        <v>160</v>
      </c>
      <c r="I1009" s="77">
        <f t="shared" si="170"/>
        <v>0</v>
      </c>
      <c r="J1009" s="80">
        <v>100</v>
      </c>
      <c r="K1009" s="80">
        <v>300</v>
      </c>
      <c r="L1009" s="77">
        <f t="shared" si="163"/>
        <v>1150</v>
      </c>
      <c r="M1009" s="87">
        <v>600</v>
      </c>
      <c r="N1009" s="77">
        <f>100</f>
        <v>100</v>
      </c>
      <c r="O1009" s="80">
        <v>240</v>
      </c>
      <c r="P1009" s="80">
        <v>40</v>
      </c>
      <c r="Q1009" s="80">
        <f t="shared" si="164"/>
        <v>315</v>
      </c>
      <c r="R1009" s="80">
        <f t="shared" si="165"/>
        <v>100</v>
      </c>
      <c r="S1009" s="77">
        <f t="shared" si="166"/>
        <v>695</v>
      </c>
      <c r="T1009" s="77">
        <f>50</f>
        <v>50</v>
      </c>
      <c r="U1009" s="78"/>
      <c r="V1009" s="78"/>
      <c r="W1009" s="78"/>
      <c r="X1009" s="78"/>
      <c r="Y1009" s="78"/>
      <c r="Z1009" s="78"/>
      <c r="AA1009" s="78"/>
      <c r="AB1009" s="78"/>
      <c r="AC1009" s="78"/>
      <c r="AD1009" s="78"/>
    </row>
    <row r="1010" spans="1:30" ht="15.75" x14ac:dyDescent="0.25">
      <c r="A1010" s="13">
        <v>72045</v>
      </c>
      <c r="B1010" s="88">
        <f t="shared" si="162"/>
        <v>31</v>
      </c>
      <c r="C1010" s="77">
        <f>122.58</f>
        <v>122.58</v>
      </c>
      <c r="D1010" s="77">
        <f>297.941</f>
        <v>297.94099999999997</v>
      </c>
      <c r="E1010" s="85">
        <f>89.177</f>
        <v>89.177000000000007</v>
      </c>
      <c r="F1010" s="77">
        <f>240.302-40-60-100</f>
        <v>40.301999999999992</v>
      </c>
      <c r="G1010" s="80">
        <v>40</v>
      </c>
      <c r="H1010" s="77">
        <f>60+100</f>
        <v>160</v>
      </c>
      <c r="I1010" s="77">
        <f t="shared" si="170"/>
        <v>0</v>
      </c>
      <c r="J1010" s="80">
        <v>100</v>
      </c>
      <c r="K1010" s="80">
        <v>300</v>
      </c>
      <c r="L1010" s="77">
        <f t="shared" si="163"/>
        <v>1150</v>
      </c>
      <c r="M1010" s="87">
        <v>600</v>
      </c>
      <c r="N1010" s="77">
        <f>100</f>
        <v>100</v>
      </c>
      <c r="O1010" s="80">
        <v>240</v>
      </c>
      <c r="P1010" s="80">
        <v>40</v>
      </c>
      <c r="Q1010" s="80">
        <f t="shared" si="164"/>
        <v>315</v>
      </c>
      <c r="R1010" s="80">
        <f t="shared" si="165"/>
        <v>100</v>
      </c>
      <c r="S1010" s="77">
        <f t="shared" si="166"/>
        <v>695</v>
      </c>
      <c r="T1010" s="77">
        <f>50</f>
        <v>50</v>
      </c>
      <c r="U1010" s="78"/>
      <c r="V1010" s="78"/>
      <c r="W1010" s="78"/>
      <c r="X1010" s="78"/>
      <c r="Y1010" s="78"/>
      <c r="Z1010" s="78"/>
      <c r="AA1010" s="78"/>
      <c r="AB1010" s="78"/>
      <c r="AC1010" s="78"/>
      <c r="AD1010" s="78"/>
    </row>
    <row r="1011" spans="1:30" ht="15.75" x14ac:dyDescent="0.25">
      <c r="A1011" s="13">
        <v>72075</v>
      </c>
      <c r="B1011" s="88">
        <f t="shared" si="162"/>
        <v>30</v>
      </c>
      <c r="C1011" s="77">
        <f>141.293</f>
        <v>141.29300000000001</v>
      </c>
      <c r="D1011" s="77">
        <f>267.993</f>
        <v>267.99299999999999</v>
      </c>
      <c r="E1011" s="85">
        <f>115.016</f>
        <v>115.01600000000001</v>
      </c>
      <c r="F1011" s="77">
        <f>314.698-40-25-60-100</f>
        <v>89.697999999999979</v>
      </c>
      <c r="G1011" s="80">
        <v>40</v>
      </c>
      <c r="H1011" s="77">
        <f t="shared" ref="H1011:H1017" si="171">25+60+100</f>
        <v>185</v>
      </c>
      <c r="I1011" s="77">
        <f t="shared" si="170"/>
        <v>0</v>
      </c>
      <c r="J1011" s="80">
        <v>100</v>
      </c>
      <c r="K1011" s="80">
        <v>300</v>
      </c>
      <c r="L1011" s="77">
        <f t="shared" si="163"/>
        <v>1239</v>
      </c>
      <c r="M1011" s="87">
        <v>600</v>
      </c>
      <c r="N1011" s="77">
        <f>100</f>
        <v>100</v>
      </c>
      <c r="O1011" s="80">
        <v>240</v>
      </c>
      <c r="P1011" s="80">
        <v>40</v>
      </c>
      <c r="Q1011" s="80">
        <f t="shared" si="164"/>
        <v>315</v>
      </c>
      <c r="R1011" s="80">
        <f t="shared" si="165"/>
        <v>100</v>
      </c>
      <c r="S1011" s="77">
        <f t="shared" si="166"/>
        <v>695</v>
      </c>
      <c r="T1011" s="77">
        <f>50</f>
        <v>50</v>
      </c>
      <c r="U1011" s="78"/>
      <c r="V1011" s="78"/>
      <c r="W1011" s="78"/>
      <c r="X1011" s="78"/>
      <c r="Y1011" s="78"/>
      <c r="Z1011" s="78"/>
      <c r="AA1011" s="78"/>
      <c r="AB1011" s="78"/>
      <c r="AC1011" s="78"/>
      <c r="AD1011" s="78"/>
    </row>
    <row r="1012" spans="1:30" ht="15.75" x14ac:dyDescent="0.25">
      <c r="A1012" s="13">
        <v>72106</v>
      </c>
      <c r="B1012" s="88">
        <f t="shared" si="162"/>
        <v>31</v>
      </c>
      <c r="C1012" s="77">
        <f>194.205</f>
        <v>194.20500000000001</v>
      </c>
      <c r="D1012" s="77">
        <f>267.466</f>
        <v>267.46600000000001</v>
      </c>
      <c r="E1012" s="85">
        <f>133.845</f>
        <v>133.845</v>
      </c>
      <c r="F1012" s="77">
        <f>278.484-40-25-60-100</f>
        <v>53.48399999999998</v>
      </c>
      <c r="G1012" s="80">
        <v>40</v>
      </c>
      <c r="H1012" s="77">
        <f t="shared" si="171"/>
        <v>185</v>
      </c>
      <c r="I1012" s="77">
        <f t="shared" si="170"/>
        <v>0</v>
      </c>
      <c r="J1012" s="80">
        <v>100</v>
      </c>
      <c r="K1012" s="80">
        <v>300</v>
      </c>
      <c r="L1012" s="77">
        <f t="shared" si="163"/>
        <v>1274</v>
      </c>
      <c r="M1012" s="87">
        <v>600</v>
      </c>
      <c r="N1012" s="77">
        <f>75</f>
        <v>75</v>
      </c>
      <c r="O1012" s="80">
        <v>240</v>
      </c>
      <c r="P1012" s="80">
        <v>40</v>
      </c>
      <c r="Q1012" s="80">
        <f t="shared" si="164"/>
        <v>315</v>
      </c>
      <c r="R1012" s="80">
        <f t="shared" si="165"/>
        <v>100</v>
      </c>
      <c r="S1012" s="77">
        <f t="shared" si="166"/>
        <v>695</v>
      </c>
      <c r="T1012" s="77">
        <f>50</f>
        <v>50</v>
      </c>
      <c r="U1012" s="78"/>
      <c r="V1012" s="78"/>
      <c r="W1012" s="78"/>
      <c r="X1012" s="78"/>
      <c r="Y1012" s="78"/>
      <c r="Z1012" s="78"/>
      <c r="AA1012" s="78"/>
      <c r="AB1012" s="78"/>
      <c r="AC1012" s="78"/>
      <c r="AD1012" s="78"/>
    </row>
    <row r="1013" spans="1:30" ht="15.75" x14ac:dyDescent="0.25">
      <c r="A1013" s="13">
        <v>72136</v>
      </c>
      <c r="B1013" s="88">
        <f t="shared" si="162"/>
        <v>30</v>
      </c>
      <c r="C1013" s="77">
        <f>194.205</f>
        <v>194.20500000000001</v>
      </c>
      <c r="D1013" s="77">
        <f>267.466</f>
        <v>267.46600000000001</v>
      </c>
      <c r="E1013" s="85">
        <f>133.845</f>
        <v>133.845</v>
      </c>
      <c r="F1013" s="77">
        <f>278.484-40-25-60-100</f>
        <v>53.48399999999998</v>
      </c>
      <c r="G1013" s="80">
        <v>40</v>
      </c>
      <c r="H1013" s="77">
        <f t="shared" si="171"/>
        <v>185</v>
      </c>
      <c r="I1013" s="77">
        <f t="shared" si="170"/>
        <v>0</v>
      </c>
      <c r="J1013" s="80">
        <v>100</v>
      </c>
      <c r="K1013" s="80">
        <v>300</v>
      </c>
      <c r="L1013" s="77">
        <f t="shared" si="163"/>
        <v>1274</v>
      </c>
      <c r="M1013" s="87">
        <v>600</v>
      </c>
      <c r="N1013" s="77">
        <f>30</f>
        <v>30</v>
      </c>
      <c r="O1013" s="80">
        <v>240</v>
      </c>
      <c r="P1013" s="80">
        <v>40</v>
      </c>
      <c r="Q1013" s="80">
        <f t="shared" si="164"/>
        <v>315</v>
      </c>
      <c r="R1013" s="80">
        <f t="shared" si="165"/>
        <v>100</v>
      </c>
      <c r="S1013" s="77">
        <f t="shared" si="166"/>
        <v>695</v>
      </c>
      <c r="T1013" s="77">
        <f>50</f>
        <v>50</v>
      </c>
      <c r="U1013" s="78"/>
      <c r="V1013" s="78"/>
      <c r="W1013" s="78"/>
      <c r="X1013" s="78"/>
      <c r="Y1013" s="78"/>
      <c r="Z1013" s="78"/>
      <c r="AA1013" s="78"/>
      <c r="AB1013" s="78"/>
      <c r="AC1013" s="78"/>
      <c r="AD1013" s="78"/>
    </row>
    <row r="1014" spans="1:30" ht="15.75" x14ac:dyDescent="0.25">
      <c r="A1014" s="13">
        <v>72167</v>
      </c>
      <c r="B1014" s="88">
        <f t="shared" si="162"/>
        <v>31</v>
      </c>
      <c r="C1014" s="77">
        <f>194.205</f>
        <v>194.20500000000001</v>
      </c>
      <c r="D1014" s="77">
        <f>267.466</f>
        <v>267.46600000000001</v>
      </c>
      <c r="E1014" s="85">
        <f>133.845</f>
        <v>133.845</v>
      </c>
      <c r="F1014" s="77">
        <f>278.484-40-25-60-100</f>
        <v>53.48399999999998</v>
      </c>
      <c r="G1014" s="80">
        <v>40</v>
      </c>
      <c r="H1014" s="77">
        <f t="shared" si="171"/>
        <v>185</v>
      </c>
      <c r="I1014" s="77">
        <f t="shared" si="170"/>
        <v>0</v>
      </c>
      <c r="J1014" s="80">
        <v>100</v>
      </c>
      <c r="K1014" s="80">
        <v>300</v>
      </c>
      <c r="L1014" s="77">
        <f t="shared" si="163"/>
        <v>1274</v>
      </c>
      <c r="M1014" s="87">
        <v>600</v>
      </c>
      <c r="N1014" s="77">
        <f>30</f>
        <v>30</v>
      </c>
      <c r="O1014" s="80">
        <v>240</v>
      </c>
      <c r="P1014" s="80">
        <v>40</v>
      </c>
      <c r="Q1014" s="80">
        <f t="shared" si="164"/>
        <v>315</v>
      </c>
      <c r="R1014" s="80">
        <f t="shared" si="165"/>
        <v>100</v>
      </c>
      <c r="S1014" s="77">
        <f t="shared" si="166"/>
        <v>695</v>
      </c>
      <c r="T1014" s="77">
        <f>0</f>
        <v>0</v>
      </c>
      <c r="U1014" s="78"/>
      <c r="V1014" s="78"/>
      <c r="W1014" s="78"/>
      <c r="X1014" s="78"/>
      <c r="Y1014" s="78"/>
      <c r="Z1014" s="78"/>
      <c r="AA1014" s="78"/>
      <c r="AB1014" s="78"/>
      <c r="AC1014" s="78"/>
      <c r="AD1014" s="78"/>
    </row>
    <row r="1015" spans="1:30" ht="15.75" x14ac:dyDescent="0.25">
      <c r="A1015" s="13">
        <v>72198</v>
      </c>
      <c r="B1015" s="88">
        <f t="shared" si="162"/>
        <v>31</v>
      </c>
      <c r="C1015" s="77">
        <f>194.205</f>
        <v>194.20500000000001</v>
      </c>
      <c r="D1015" s="77">
        <f>267.466</f>
        <v>267.46600000000001</v>
      </c>
      <c r="E1015" s="85">
        <f>133.845</f>
        <v>133.845</v>
      </c>
      <c r="F1015" s="77">
        <f>278.484-40-25-60-100</f>
        <v>53.48399999999998</v>
      </c>
      <c r="G1015" s="80">
        <v>40</v>
      </c>
      <c r="H1015" s="77">
        <f t="shared" si="171"/>
        <v>185</v>
      </c>
      <c r="I1015" s="77">
        <f t="shared" si="170"/>
        <v>0</v>
      </c>
      <c r="J1015" s="80">
        <v>100</v>
      </c>
      <c r="K1015" s="80">
        <v>300</v>
      </c>
      <c r="L1015" s="77">
        <f t="shared" si="163"/>
        <v>1274</v>
      </c>
      <c r="M1015" s="87">
        <v>600</v>
      </c>
      <c r="N1015" s="77">
        <f>30</f>
        <v>30</v>
      </c>
      <c r="O1015" s="80">
        <v>240</v>
      </c>
      <c r="P1015" s="80">
        <v>40</v>
      </c>
      <c r="Q1015" s="80">
        <f t="shared" si="164"/>
        <v>315</v>
      </c>
      <c r="R1015" s="80">
        <f t="shared" si="165"/>
        <v>100</v>
      </c>
      <c r="S1015" s="77">
        <f t="shared" si="166"/>
        <v>695</v>
      </c>
      <c r="T1015" s="77">
        <f>0</f>
        <v>0</v>
      </c>
      <c r="U1015" s="78"/>
      <c r="V1015" s="78"/>
      <c r="W1015" s="78"/>
      <c r="X1015" s="78"/>
      <c r="Y1015" s="78"/>
      <c r="Z1015" s="78"/>
      <c r="AA1015" s="78"/>
      <c r="AB1015" s="78"/>
      <c r="AC1015" s="78"/>
      <c r="AD1015" s="78"/>
    </row>
    <row r="1016" spans="1:30" ht="15.75" x14ac:dyDescent="0.25">
      <c r="A1016" s="13">
        <v>72228</v>
      </c>
      <c r="B1016" s="88">
        <f t="shared" si="162"/>
        <v>30</v>
      </c>
      <c r="C1016" s="77">
        <f>194.205</f>
        <v>194.20500000000001</v>
      </c>
      <c r="D1016" s="77">
        <f>267.466</f>
        <v>267.46600000000001</v>
      </c>
      <c r="E1016" s="85">
        <f>133.845</f>
        <v>133.845</v>
      </c>
      <c r="F1016" s="77">
        <f>278.484-40-25-60-100</f>
        <v>53.48399999999998</v>
      </c>
      <c r="G1016" s="80">
        <v>40</v>
      </c>
      <c r="H1016" s="77">
        <f t="shared" si="171"/>
        <v>185</v>
      </c>
      <c r="I1016" s="77">
        <f t="shared" si="170"/>
        <v>0</v>
      </c>
      <c r="J1016" s="80">
        <v>100</v>
      </c>
      <c r="K1016" s="80">
        <v>300</v>
      </c>
      <c r="L1016" s="77">
        <f t="shared" si="163"/>
        <v>1274</v>
      </c>
      <c r="M1016" s="87">
        <v>600</v>
      </c>
      <c r="N1016" s="77">
        <f>30</f>
        <v>30</v>
      </c>
      <c r="O1016" s="80">
        <v>240</v>
      </c>
      <c r="P1016" s="80">
        <v>40</v>
      </c>
      <c r="Q1016" s="80">
        <f t="shared" si="164"/>
        <v>315</v>
      </c>
      <c r="R1016" s="80">
        <f t="shared" si="165"/>
        <v>100</v>
      </c>
      <c r="S1016" s="77">
        <f t="shared" si="166"/>
        <v>695</v>
      </c>
      <c r="T1016" s="77">
        <f>0</f>
        <v>0</v>
      </c>
      <c r="U1016" s="78"/>
      <c r="V1016" s="78"/>
      <c r="W1016" s="78"/>
      <c r="X1016" s="78"/>
      <c r="Y1016" s="78"/>
      <c r="Z1016" s="78"/>
      <c r="AA1016" s="78"/>
      <c r="AB1016" s="78"/>
      <c r="AC1016" s="78"/>
      <c r="AD1016" s="78"/>
    </row>
    <row r="1017" spans="1:30" ht="15.75" x14ac:dyDescent="0.25">
      <c r="A1017" s="13">
        <v>72259</v>
      </c>
      <c r="B1017" s="88">
        <f t="shared" si="162"/>
        <v>31</v>
      </c>
      <c r="C1017" s="77">
        <f>131.881</f>
        <v>131.881</v>
      </c>
      <c r="D1017" s="77">
        <f>277.167</f>
        <v>277.16699999999997</v>
      </c>
      <c r="E1017" s="85">
        <f>79.08</f>
        <v>79.08</v>
      </c>
      <c r="F1017" s="77">
        <f>350.872-40-25-60-100</f>
        <v>125.87200000000001</v>
      </c>
      <c r="G1017" s="80">
        <v>40</v>
      </c>
      <c r="H1017" s="77">
        <f t="shared" si="171"/>
        <v>185</v>
      </c>
      <c r="I1017" s="77">
        <f t="shared" si="170"/>
        <v>0</v>
      </c>
      <c r="J1017" s="80">
        <v>100</v>
      </c>
      <c r="K1017" s="80">
        <v>300</v>
      </c>
      <c r="L1017" s="77">
        <f t="shared" si="163"/>
        <v>1239</v>
      </c>
      <c r="M1017" s="87">
        <v>600</v>
      </c>
      <c r="N1017" s="77">
        <f>75</f>
        <v>75</v>
      </c>
      <c r="O1017" s="80">
        <v>240</v>
      </c>
      <c r="P1017" s="80">
        <v>40</v>
      </c>
      <c r="Q1017" s="80">
        <f t="shared" si="164"/>
        <v>315</v>
      </c>
      <c r="R1017" s="80">
        <f t="shared" si="165"/>
        <v>100</v>
      </c>
      <c r="S1017" s="77">
        <f t="shared" si="166"/>
        <v>695</v>
      </c>
      <c r="T1017" s="77">
        <f>0</f>
        <v>0</v>
      </c>
      <c r="U1017" s="78"/>
      <c r="V1017" s="78"/>
      <c r="W1017" s="78"/>
      <c r="X1017" s="78"/>
      <c r="Y1017" s="78"/>
      <c r="Z1017" s="78"/>
      <c r="AA1017" s="78"/>
      <c r="AB1017" s="78"/>
      <c r="AC1017" s="78"/>
      <c r="AD1017" s="78"/>
    </row>
    <row r="1018" spans="1:30" ht="15.75" x14ac:dyDescent="0.25">
      <c r="A1018" s="13">
        <v>72289</v>
      </c>
      <c r="B1018" s="88">
        <f t="shared" si="162"/>
        <v>30</v>
      </c>
      <c r="C1018" s="77">
        <f>122.58</f>
        <v>122.58</v>
      </c>
      <c r="D1018" s="77">
        <f>297.941</f>
        <v>297.94099999999997</v>
      </c>
      <c r="E1018" s="85">
        <f>89.177</f>
        <v>89.177000000000007</v>
      </c>
      <c r="F1018" s="77">
        <f>240.302-40-60-100</f>
        <v>40.301999999999992</v>
      </c>
      <c r="G1018" s="80">
        <v>40</v>
      </c>
      <c r="H1018" s="77">
        <f>60+100</f>
        <v>160</v>
      </c>
      <c r="I1018" s="77">
        <f t="shared" si="170"/>
        <v>0</v>
      </c>
      <c r="J1018" s="80">
        <v>100</v>
      </c>
      <c r="K1018" s="80">
        <v>300</v>
      </c>
      <c r="L1018" s="77">
        <f t="shared" si="163"/>
        <v>1150</v>
      </c>
      <c r="M1018" s="87">
        <v>600</v>
      </c>
      <c r="N1018" s="77">
        <f>100</f>
        <v>100</v>
      </c>
      <c r="O1018" s="80">
        <v>240</v>
      </c>
      <c r="P1018" s="80">
        <v>40</v>
      </c>
      <c r="Q1018" s="80">
        <f t="shared" si="164"/>
        <v>315</v>
      </c>
      <c r="R1018" s="80">
        <f t="shared" si="165"/>
        <v>100</v>
      </c>
      <c r="S1018" s="77">
        <f t="shared" si="166"/>
        <v>695</v>
      </c>
      <c r="T1018" s="77">
        <f>50</f>
        <v>50</v>
      </c>
      <c r="U1018" s="78"/>
      <c r="V1018" s="78"/>
      <c r="W1018" s="78"/>
      <c r="X1018" s="78"/>
      <c r="Y1018" s="78"/>
      <c r="Z1018" s="78"/>
      <c r="AA1018" s="78"/>
      <c r="AB1018" s="78"/>
      <c r="AC1018" s="78"/>
      <c r="AD1018" s="78"/>
    </row>
    <row r="1019" spans="1:30" ht="15.75" x14ac:dyDescent="0.25">
      <c r="A1019" s="13">
        <v>72320</v>
      </c>
      <c r="B1019" s="88">
        <f t="shared" si="162"/>
        <v>31</v>
      </c>
      <c r="C1019" s="77">
        <f>122.58</f>
        <v>122.58</v>
      </c>
      <c r="D1019" s="77">
        <f>297.941</f>
        <v>297.94099999999997</v>
      </c>
      <c r="E1019" s="85">
        <f>89.177</f>
        <v>89.177000000000007</v>
      </c>
      <c r="F1019" s="77">
        <f>240.302-40-60-100</f>
        <v>40.301999999999992</v>
      </c>
      <c r="G1019" s="80">
        <v>40</v>
      </c>
      <c r="H1019" s="77">
        <f>60+100</f>
        <v>160</v>
      </c>
      <c r="I1019" s="77">
        <f t="shared" si="170"/>
        <v>0</v>
      </c>
      <c r="J1019" s="80">
        <v>100</v>
      </c>
      <c r="K1019" s="80">
        <v>300</v>
      </c>
      <c r="L1019" s="77">
        <f t="shared" si="163"/>
        <v>1150</v>
      </c>
      <c r="M1019" s="87">
        <v>600</v>
      </c>
      <c r="N1019" s="77">
        <f>100</f>
        <v>100</v>
      </c>
      <c r="O1019" s="80">
        <v>240</v>
      </c>
      <c r="P1019" s="80">
        <v>40</v>
      </c>
      <c r="Q1019" s="80">
        <f t="shared" si="164"/>
        <v>315</v>
      </c>
      <c r="R1019" s="80">
        <f t="shared" si="165"/>
        <v>100</v>
      </c>
      <c r="S1019" s="77">
        <f t="shared" si="166"/>
        <v>695</v>
      </c>
      <c r="T1019" s="77">
        <f>50</f>
        <v>50</v>
      </c>
      <c r="U1019" s="78"/>
      <c r="V1019" s="78"/>
      <c r="W1019" s="78"/>
      <c r="X1019" s="78"/>
      <c r="Y1019" s="78"/>
      <c r="Z1019" s="78"/>
      <c r="AA1019" s="78"/>
      <c r="AB1019" s="78"/>
      <c r="AC1019" s="78"/>
      <c r="AD1019" s="78"/>
    </row>
    <row r="1020" spans="1:30" ht="15.75" x14ac:dyDescent="0.25">
      <c r="A1020" s="13">
        <v>72351</v>
      </c>
      <c r="B1020" s="88">
        <f t="shared" si="162"/>
        <v>31</v>
      </c>
      <c r="C1020" s="77">
        <f>122.58</f>
        <v>122.58</v>
      </c>
      <c r="D1020" s="77">
        <f>297.941</f>
        <v>297.94099999999997</v>
      </c>
      <c r="E1020" s="85">
        <f>89.177</f>
        <v>89.177000000000007</v>
      </c>
      <c r="F1020" s="77">
        <f>240.302-40-60-100</f>
        <v>40.301999999999992</v>
      </c>
      <c r="G1020" s="80">
        <v>40</v>
      </c>
      <c r="H1020" s="77">
        <f>60+100</f>
        <v>160</v>
      </c>
      <c r="I1020" s="77">
        <f t="shared" si="170"/>
        <v>0</v>
      </c>
      <c r="J1020" s="80">
        <v>100</v>
      </c>
      <c r="K1020" s="80">
        <v>300</v>
      </c>
      <c r="L1020" s="77">
        <f t="shared" si="163"/>
        <v>1150</v>
      </c>
      <c r="M1020" s="87">
        <v>600</v>
      </c>
      <c r="N1020" s="77">
        <f>100</f>
        <v>100</v>
      </c>
      <c r="O1020" s="80">
        <v>240</v>
      </c>
      <c r="P1020" s="80">
        <v>40</v>
      </c>
      <c r="Q1020" s="80">
        <f t="shared" si="164"/>
        <v>315</v>
      </c>
      <c r="R1020" s="80">
        <f t="shared" si="165"/>
        <v>100</v>
      </c>
      <c r="S1020" s="77">
        <f t="shared" si="166"/>
        <v>695</v>
      </c>
      <c r="T1020" s="77">
        <f>50</f>
        <v>50</v>
      </c>
      <c r="U1020" s="78"/>
      <c r="V1020" s="78"/>
      <c r="W1020" s="78"/>
      <c r="X1020" s="78"/>
      <c r="Y1020" s="78"/>
      <c r="Z1020" s="78"/>
      <c r="AA1020" s="78"/>
      <c r="AB1020" s="78"/>
      <c r="AC1020" s="78"/>
      <c r="AD1020" s="78"/>
    </row>
    <row r="1021" spans="1:30" ht="15.75" x14ac:dyDescent="0.25">
      <c r="A1021" s="13">
        <v>72379</v>
      </c>
      <c r="B1021" s="88">
        <f t="shared" si="162"/>
        <v>28</v>
      </c>
      <c r="C1021" s="77">
        <f>122.58</f>
        <v>122.58</v>
      </c>
      <c r="D1021" s="77">
        <f>297.941</f>
        <v>297.94099999999997</v>
      </c>
      <c r="E1021" s="85">
        <f>89.177</f>
        <v>89.177000000000007</v>
      </c>
      <c r="F1021" s="77">
        <f>240.302-40-60-100</f>
        <v>40.301999999999992</v>
      </c>
      <c r="G1021" s="80">
        <v>40</v>
      </c>
      <c r="H1021" s="77">
        <f>60+100</f>
        <v>160</v>
      </c>
      <c r="I1021" s="77">
        <f t="shared" si="170"/>
        <v>0</v>
      </c>
      <c r="J1021" s="80">
        <v>100</v>
      </c>
      <c r="K1021" s="80">
        <v>300</v>
      </c>
      <c r="L1021" s="77">
        <f t="shared" si="163"/>
        <v>1150</v>
      </c>
      <c r="M1021" s="87">
        <v>600</v>
      </c>
      <c r="N1021" s="77">
        <f>100</f>
        <v>100</v>
      </c>
      <c r="O1021" s="80">
        <v>240</v>
      </c>
      <c r="P1021" s="80">
        <v>40</v>
      </c>
      <c r="Q1021" s="80">
        <f t="shared" si="164"/>
        <v>315</v>
      </c>
      <c r="R1021" s="80">
        <f t="shared" si="165"/>
        <v>100</v>
      </c>
      <c r="S1021" s="77">
        <f t="shared" si="166"/>
        <v>695</v>
      </c>
      <c r="T1021" s="77">
        <f>50</f>
        <v>50</v>
      </c>
      <c r="U1021" s="78"/>
      <c r="V1021" s="78"/>
      <c r="W1021" s="78"/>
      <c r="X1021" s="78"/>
      <c r="Y1021" s="78"/>
      <c r="Z1021" s="78"/>
      <c r="AA1021" s="78"/>
      <c r="AB1021" s="78"/>
      <c r="AC1021" s="78"/>
      <c r="AD1021" s="78"/>
    </row>
    <row r="1022" spans="1:30" ht="15.75" x14ac:dyDescent="0.25">
      <c r="A1022" s="13">
        <v>72410</v>
      </c>
      <c r="B1022" s="88">
        <f t="shared" si="162"/>
        <v>31</v>
      </c>
      <c r="C1022" s="77">
        <f>122.58</f>
        <v>122.58</v>
      </c>
      <c r="D1022" s="77">
        <f>297.941</f>
        <v>297.94099999999997</v>
      </c>
      <c r="E1022" s="85">
        <f>89.177</f>
        <v>89.177000000000007</v>
      </c>
      <c r="F1022" s="77">
        <f>240.302-40-60-100</f>
        <v>40.301999999999992</v>
      </c>
      <c r="G1022" s="80">
        <v>40</v>
      </c>
      <c r="H1022" s="77">
        <f>60+100</f>
        <v>160</v>
      </c>
      <c r="I1022" s="77">
        <f t="shared" si="170"/>
        <v>0</v>
      </c>
      <c r="J1022" s="80">
        <v>100</v>
      </c>
      <c r="K1022" s="80">
        <v>300</v>
      </c>
      <c r="L1022" s="77">
        <f t="shared" si="163"/>
        <v>1150</v>
      </c>
      <c r="M1022" s="87">
        <v>600</v>
      </c>
      <c r="N1022" s="77">
        <f>100</f>
        <v>100</v>
      </c>
      <c r="O1022" s="80">
        <v>240</v>
      </c>
      <c r="P1022" s="80">
        <v>40</v>
      </c>
      <c r="Q1022" s="80">
        <f t="shared" si="164"/>
        <v>315</v>
      </c>
      <c r="R1022" s="80">
        <f t="shared" si="165"/>
        <v>100</v>
      </c>
      <c r="S1022" s="77">
        <f t="shared" si="166"/>
        <v>695</v>
      </c>
      <c r="T1022" s="77">
        <f>50</f>
        <v>50</v>
      </c>
      <c r="U1022" s="78"/>
      <c r="V1022" s="78"/>
      <c r="W1022" s="78"/>
      <c r="X1022" s="78"/>
      <c r="Y1022" s="78"/>
      <c r="Z1022" s="78"/>
      <c r="AA1022" s="78"/>
      <c r="AB1022" s="78"/>
      <c r="AC1022" s="78"/>
      <c r="AD1022" s="78"/>
    </row>
    <row r="1023" spans="1:30" ht="15.75" x14ac:dyDescent="0.25">
      <c r="A1023" s="13">
        <v>72440</v>
      </c>
      <c r="B1023" s="88">
        <f t="shared" si="162"/>
        <v>30</v>
      </c>
      <c r="C1023" s="77">
        <f>141.293</f>
        <v>141.29300000000001</v>
      </c>
      <c r="D1023" s="77">
        <f>267.993</f>
        <v>267.99299999999999</v>
      </c>
      <c r="E1023" s="85">
        <f>115.016</f>
        <v>115.01600000000001</v>
      </c>
      <c r="F1023" s="77">
        <f>314.698-40-25-60-100</f>
        <v>89.697999999999979</v>
      </c>
      <c r="G1023" s="80">
        <v>40</v>
      </c>
      <c r="H1023" s="77">
        <f t="shared" ref="H1023:H1029" si="172">25+60+100</f>
        <v>185</v>
      </c>
      <c r="I1023" s="77">
        <f t="shared" si="170"/>
        <v>0</v>
      </c>
      <c r="J1023" s="80">
        <v>100</v>
      </c>
      <c r="K1023" s="80">
        <v>300</v>
      </c>
      <c r="L1023" s="77">
        <f t="shared" si="163"/>
        <v>1239</v>
      </c>
      <c r="M1023" s="87">
        <v>600</v>
      </c>
      <c r="N1023" s="77">
        <f>100</f>
        <v>100</v>
      </c>
      <c r="O1023" s="80">
        <v>240</v>
      </c>
      <c r="P1023" s="80">
        <v>40</v>
      </c>
      <c r="Q1023" s="80">
        <f t="shared" si="164"/>
        <v>315</v>
      </c>
      <c r="R1023" s="80">
        <f t="shared" si="165"/>
        <v>100</v>
      </c>
      <c r="S1023" s="77">
        <f t="shared" si="166"/>
        <v>695</v>
      </c>
      <c r="T1023" s="77">
        <f>50</f>
        <v>50</v>
      </c>
      <c r="U1023" s="78"/>
      <c r="V1023" s="78"/>
      <c r="W1023" s="78"/>
      <c r="X1023" s="78"/>
      <c r="Y1023" s="78"/>
      <c r="Z1023" s="78"/>
      <c r="AA1023" s="78"/>
      <c r="AB1023" s="78"/>
      <c r="AC1023" s="78"/>
      <c r="AD1023" s="78"/>
    </row>
    <row r="1024" spans="1:30" ht="15.75" x14ac:dyDescent="0.25">
      <c r="A1024" s="13">
        <v>72471</v>
      </c>
      <c r="B1024" s="88">
        <f t="shared" si="162"/>
        <v>31</v>
      </c>
      <c r="C1024" s="77">
        <f>194.205</f>
        <v>194.20500000000001</v>
      </c>
      <c r="D1024" s="77">
        <f>267.466</f>
        <v>267.46600000000001</v>
      </c>
      <c r="E1024" s="85">
        <f>133.845</f>
        <v>133.845</v>
      </c>
      <c r="F1024" s="77">
        <f>278.484-40-25-60-100</f>
        <v>53.48399999999998</v>
      </c>
      <c r="G1024" s="80">
        <v>40</v>
      </c>
      <c r="H1024" s="77">
        <f t="shared" si="172"/>
        <v>185</v>
      </c>
      <c r="I1024" s="77">
        <f t="shared" si="170"/>
        <v>0</v>
      </c>
      <c r="J1024" s="80">
        <v>100</v>
      </c>
      <c r="K1024" s="80">
        <v>300</v>
      </c>
      <c r="L1024" s="77">
        <f t="shared" si="163"/>
        <v>1274</v>
      </c>
      <c r="M1024" s="87">
        <v>600</v>
      </c>
      <c r="N1024" s="77">
        <f>75</f>
        <v>75</v>
      </c>
      <c r="O1024" s="80">
        <v>240</v>
      </c>
      <c r="P1024" s="80">
        <v>40</v>
      </c>
      <c r="Q1024" s="80">
        <f t="shared" si="164"/>
        <v>315</v>
      </c>
      <c r="R1024" s="80">
        <f t="shared" si="165"/>
        <v>100</v>
      </c>
      <c r="S1024" s="77">
        <f t="shared" si="166"/>
        <v>695</v>
      </c>
      <c r="T1024" s="77">
        <f>50</f>
        <v>50</v>
      </c>
      <c r="U1024" s="78"/>
      <c r="V1024" s="78"/>
      <c r="W1024" s="78"/>
      <c r="X1024" s="78"/>
      <c r="Y1024" s="78"/>
      <c r="Z1024" s="78"/>
      <c r="AA1024" s="78"/>
      <c r="AB1024" s="78"/>
      <c r="AC1024" s="78"/>
      <c r="AD1024" s="78"/>
    </row>
    <row r="1025" spans="1:30" ht="15.75" x14ac:dyDescent="0.25">
      <c r="A1025" s="13">
        <v>72501</v>
      </c>
      <c r="B1025" s="88">
        <f t="shared" si="162"/>
        <v>30</v>
      </c>
      <c r="C1025" s="77">
        <f>194.205</f>
        <v>194.20500000000001</v>
      </c>
      <c r="D1025" s="77">
        <f>267.466</f>
        <v>267.46600000000001</v>
      </c>
      <c r="E1025" s="85">
        <f>133.845</f>
        <v>133.845</v>
      </c>
      <c r="F1025" s="77">
        <f>278.484-40-25-60-100</f>
        <v>53.48399999999998</v>
      </c>
      <c r="G1025" s="80">
        <v>40</v>
      </c>
      <c r="H1025" s="77">
        <f t="shared" si="172"/>
        <v>185</v>
      </c>
      <c r="I1025" s="77">
        <f t="shared" si="170"/>
        <v>0</v>
      </c>
      <c r="J1025" s="80">
        <v>100</v>
      </c>
      <c r="K1025" s="80">
        <v>300</v>
      </c>
      <c r="L1025" s="77">
        <f t="shared" si="163"/>
        <v>1274</v>
      </c>
      <c r="M1025" s="87">
        <v>600</v>
      </c>
      <c r="N1025" s="77">
        <f>30</f>
        <v>30</v>
      </c>
      <c r="O1025" s="80">
        <v>240</v>
      </c>
      <c r="P1025" s="80">
        <v>40</v>
      </c>
      <c r="Q1025" s="80">
        <f t="shared" si="164"/>
        <v>315</v>
      </c>
      <c r="R1025" s="80">
        <f t="shared" si="165"/>
        <v>100</v>
      </c>
      <c r="S1025" s="77">
        <f t="shared" si="166"/>
        <v>695</v>
      </c>
      <c r="T1025" s="77">
        <f>50</f>
        <v>50</v>
      </c>
      <c r="U1025" s="78"/>
      <c r="V1025" s="78"/>
      <c r="W1025" s="78"/>
      <c r="X1025" s="78"/>
      <c r="Y1025" s="78"/>
      <c r="Z1025" s="78"/>
      <c r="AA1025" s="78"/>
      <c r="AB1025" s="78"/>
      <c r="AC1025" s="78"/>
      <c r="AD1025" s="78"/>
    </row>
    <row r="1026" spans="1:30" ht="15.75" x14ac:dyDescent="0.25">
      <c r="A1026" s="13">
        <v>72532</v>
      </c>
      <c r="B1026" s="88">
        <f t="shared" si="162"/>
        <v>31</v>
      </c>
      <c r="C1026" s="77">
        <f>194.205</f>
        <v>194.20500000000001</v>
      </c>
      <c r="D1026" s="77">
        <f>267.466</f>
        <v>267.46600000000001</v>
      </c>
      <c r="E1026" s="85">
        <f>133.845</f>
        <v>133.845</v>
      </c>
      <c r="F1026" s="77">
        <f>278.484-40-25-60-100</f>
        <v>53.48399999999998</v>
      </c>
      <c r="G1026" s="80">
        <v>40</v>
      </c>
      <c r="H1026" s="77">
        <f t="shared" si="172"/>
        <v>185</v>
      </c>
      <c r="I1026" s="77">
        <f t="shared" si="170"/>
        <v>0</v>
      </c>
      <c r="J1026" s="80">
        <v>100</v>
      </c>
      <c r="K1026" s="80">
        <v>300</v>
      </c>
      <c r="L1026" s="77">
        <f t="shared" si="163"/>
        <v>1274</v>
      </c>
      <c r="M1026" s="87">
        <v>600</v>
      </c>
      <c r="N1026" s="77">
        <f>30</f>
        <v>30</v>
      </c>
      <c r="O1026" s="80">
        <v>240</v>
      </c>
      <c r="P1026" s="80">
        <v>40</v>
      </c>
      <c r="Q1026" s="80">
        <f t="shared" si="164"/>
        <v>315</v>
      </c>
      <c r="R1026" s="80">
        <f t="shared" si="165"/>
        <v>100</v>
      </c>
      <c r="S1026" s="77">
        <f t="shared" si="166"/>
        <v>695</v>
      </c>
      <c r="T1026" s="77">
        <f>0</f>
        <v>0</v>
      </c>
      <c r="U1026" s="78"/>
      <c r="V1026" s="78"/>
      <c r="W1026" s="78"/>
      <c r="X1026" s="78"/>
      <c r="Y1026" s="78"/>
      <c r="Z1026" s="78"/>
      <c r="AA1026" s="78"/>
      <c r="AB1026" s="78"/>
      <c r="AC1026" s="78"/>
      <c r="AD1026" s="78"/>
    </row>
    <row r="1027" spans="1:30" ht="15.75" x14ac:dyDescent="0.25">
      <c r="A1027" s="13">
        <v>72563</v>
      </c>
      <c r="B1027" s="88">
        <f t="shared" si="162"/>
        <v>31</v>
      </c>
      <c r="C1027" s="77">
        <f>194.205</f>
        <v>194.20500000000001</v>
      </c>
      <c r="D1027" s="77">
        <f>267.466</f>
        <v>267.46600000000001</v>
      </c>
      <c r="E1027" s="85">
        <f>133.845</f>
        <v>133.845</v>
      </c>
      <c r="F1027" s="77">
        <f>278.484-40-25-60-100</f>
        <v>53.48399999999998</v>
      </c>
      <c r="G1027" s="80">
        <v>40</v>
      </c>
      <c r="H1027" s="77">
        <f t="shared" si="172"/>
        <v>185</v>
      </c>
      <c r="I1027" s="77">
        <f t="shared" si="170"/>
        <v>0</v>
      </c>
      <c r="J1027" s="80">
        <v>100</v>
      </c>
      <c r="K1027" s="80">
        <v>300</v>
      </c>
      <c r="L1027" s="77">
        <f t="shared" si="163"/>
        <v>1274</v>
      </c>
      <c r="M1027" s="87">
        <v>600</v>
      </c>
      <c r="N1027" s="77">
        <f>30</f>
        <v>30</v>
      </c>
      <c r="O1027" s="80">
        <v>240</v>
      </c>
      <c r="P1027" s="80">
        <v>40</v>
      </c>
      <c r="Q1027" s="80">
        <f t="shared" si="164"/>
        <v>315</v>
      </c>
      <c r="R1027" s="80">
        <f t="shared" si="165"/>
        <v>100</v>
      </c>
      <c r="S1027" s="77">
        <f t="shared" si="166"/>
        <v>695</v>
      </c>
      <c r="T1027" s="77">
        <f>0</f>
        <v>0</v>
      </c>
      <c r="U1027" s="78"/>
      <c r="V1027" s="78"/>
      <c r="W1027" s="78"/>
      <c r="X1027" s="78"/>
      <c r="Y1027" s="78"/>
      <c r="Z1027" s="78"/>
      <c r="AA1027" s="78"/>
      <c r="AB1027" s="78"/>
      <c r="AC1027" s="78"/>
      <c r="AD1027" s="78"/>
    </row>
    <row r="1028" spans="1:30" ht="15.75" x14ac:dyDescent="0.25">
      <c r="A1028" s="13">
        <v>72593</v>
      </c>
      <c r="B1028" s="88">
        <f t="shared" si="162"/>
        <v>30</v>
      </c>
      <c r="C1028" s="77">
        <f>194.205</f>
        <v>194.20500000000001</v>
      </c>
      <c r="D1028" s="77">
        <f>267.466</f>
        <v>267.46600000000001</v>
      </c>
      <c r="E1028" s="85">
        <f>133.845</f>
        <v>133.845</v>
      </c>
      <c r="F1028" s="77">
        <f>278.484-40-25-60-100</f>
        <v>53.48399999999998</v>
      </c>
      <c r="G1028" s="80">
        <v>40</v>
      </c>
      <c r="H1028" s="77">
        <f t="shared" si="172"/>
        <v>185</v>
      </c>
      <c r="I1028" s="77">
        <f t="shared" si="170"/>
        <v>0</v>
      </c>
      <c r="J1028" s="80">
        <v>100</v>
      </c>
      <c r="K1028" s="80">
        <v>300</v>
      </c>
      <c r="L1028" s="77">
        <f t="shared" si="163"/>
        <v>1274</v>
      </c>
      <c r="M1028" s="87">
        <v>600</v>
      </c>
      <c r="N1028" s="77">
        <f>30</f>
        <v>30</v>
      </c>
      <c r="O1028" s="80">
        <v>240</v>
      </c>
      <c r="P1028" s="80">
        <v>40</v>
      </c>
      <c r="Q1028" s="80">
        <f t="shared" si="164"/>
        <v>315</v>
      </c>
      <c r="R1028" s="80">
        <f t="shared" si="165"/>
        <v>100</v>
      </c>
      <c r="S1028" s="77">
        <f t="shared" si="166"/>
        <v>695</v>
      </c>
      <c r="T1028" s="77">
        <f>0</f>
        <v>0</v>
      </c>
      <c r="U1028" s="78"/>
      <c r="V1028" s="78"/>
      <c r="W1028" s="78"/>
      <c r="X1028" s="78"/>
      <c r="Y1028" s="78"/>
      <c r="Z1028" s="78"/>
      <c r="AA1028" s="78"/>
      <c r="AB1028" s="78"/>
      <c r="AC1028" s="78"/>
      <c r="AD1028" s="78"/>
    </row>
    <row r="1029" spans="1:30" ht="15.75" x14ac:dyDescent="0.25">
      <c r="A1029" s="13">
        <v>72624</v>
      </c>
      <c r="B1029" s="88">
        <f t="shared" si="162"/>
        <v>31</v>
      </c>
      <c r="C1029" s="77">
        <f>131.881</f>
        <v>131.881</v>
      </c>
      <c r="D1029" s="77">
        <f>277.167</f>
        <v>277.16699999999997</v>
      </c>
      <c r="E1029" s="85">
        <f>79.08</f>
        <v>79.08</v>
      </c>
      <c r="F1029" s="77">
        <f>350.872-40-25-60-100</f>
        <v>125.87200000000001</v>
      </c>
      <c r="G1029" s="80">
        <v>40</v>
      </c>
      <c r="H1029" s="77">
        <f t="shared" si="172"/>
        <v>185</v>
      </c>
      <c r="I1029" s="77">
        <f t="shared" si="170"/>
        <v>0</v>
      </c>
      <c r="J1029" s="80">
        <v>100</v>
      </c>
      <c r="K1029" s="80">
        <v>300</v>
      </c>
      <c r="L1029" s="77">
        <f t="shared" si="163"/>
        <v>1239</v>
      </c>
      <c r="M1029" s="87">
        <v>600</v>
      </c>
      <c r="N1029" s="77">
        <f>75</f>
        <v>75</v>
      </c>
      <c r="O1029" s="80">
        <v>240</v>
      </c>
      <c r="P1029" s="80">
        <v>40</v>
      </c>
      <c r="Q1029" s="80">
        <f t="shared" si="164"/>
        <v>315</v>
      </c>
      <c r="R1029" s="80">
        <f t="shared" si="165"/>
        <v>100</v>
      </c>
      <c r="S1029" s="77">
        <f t="shared" si="166"/>
        <v>695</v>
      </c>
      <c r="T1029" s="77">
        <f>0</f>
        <v>0</v>
      </c>
      <c r="U1029" s="78"/>
      <c r="V1029" s="78"/>
      <c r="W1029" s="78"/>
      <c r="X1029" s="78"/>
      <c r="Y1029" s="78"/>
      <c r="Z1029" s="78"/>
      <c r="AA1029" s="78"/>
      <c r="AB1029" s="78"/>
      <c r="AC1029" s="78"/>
      <c r="AD1029" s="78"/>
    </row>
    <row r="1030" spans="1:30" ht="15.75" x14ac:dyDescent="0.25">
      <c r="A1030" s="13">
        <v>72654</v>
      </c>
      <c r="B1030" s="88">
        <f t="shared" si="162"/>
        <v>30</v>
      </c>
      <c r="C1030" s="77">
        <f>122.58</f>
        <v>122.58</v>
      </c>
      <c r="D1030" s="77">
        <f>297.941</f>
        <v>297.94099999999997</v>
      </c>
      <c r="E1030" s="85">
        <f>89.177</f>
        <v>89.177000000000007</v>
      </c>
      <c r="F1030" s="77">
        <f>240.302-40-60-100</f>
        <v>40.301999999999992</v>
      </c>
      <c r="G1030" s="80">
        <v>40</v>
      </c>
      <c r="H1030" s="77">
        <f>60+100</f>
        <v>160</v>
      </c>
      <c r="I1030" s="77">
        <f t="shared" si="170"/>
        <v>0</v>
      </c>
      <c r="J1030" s="80">
        <v>100</v>
      </c>
      <c r="K1030" s="80">
        <v>300</v>
      </c>
      <c r="L1030" s="77">
        <f t="shared" si="163"/>
        <v>1150</v>
      </c>
      <c r="M1030" s="87">
        <v>600</v>
      </c>
      <c r="N1030" s="77">
        <f>100</f>
        <v>100</v>
      </c>
      <c r="O1030" s="80">
        <v>240</v>
      </c>
      <c r="P1030" s="80">
        <v>40</v>
      </c>
      <c r="Q1030" s="80">
        <f t="shared" si="164"/>
        <v>315</v>
      </c>
      <c r="R1030" s="80">
        <f t="shared" si="165"/>
        <v>100</v>
      </c>
      <c r="S1030" s="77">
        <f t="shared" si="166"/>
        <v>695</v>
      </c>
      <c r="T1030" s="77">
        <f>50</f>
        <v>50</v>
      </c>
      <c r="U1030" s="78"/>
      <c r="V1030" s="78"/>
      <c r="W1030" s="78"/>
      <c r="X1030" s="78"/>
      <c r="Y1030" s="78"/>
      <c r="Z1030" s="78"/>
      <c r="AA1030" s="78"/>
      <c r="AB1030" s="78"/>
      <c r="AC1030" s="78"/>
      <c r="AD1030" s="78"/>
    </row>
    <row r="1031" spans="1:30" ht="15.75" x14ac:dyDescent="0.25">
      <c r="A1031" s="13">
        <v>72685</v>
      </c>
      <c r="B1031" s="88">
        <f t="shared" si="162"/>
        <v>31</v>
      </c>
      <c r="C1031" s="77">
        <f>122.58</f>
        <v>122.58</v>
      </c>
      <c r="D1031" s="77">
        <f>297.941</f>
        <v>297.94099999999997</v>
      </c>
      <c r="E1031" s="85">
        <f>89.177</f>
        <v>89.177000000000007</v>
      </c>
      <c r="F1031" s="77">
        <f>240.302-40-60-100</f>
        <v>40.301999999999992</v>
      </c>
      <c r="G1031" s="80">
        <v>40</v>
      </c>
      <c r="H1031" s="77">
        <f>60+100</f>
        <v>160</v>
      </c>
      <c r="I1031" s="77">
        <f t="shared" si="170"/>
        <v>0</v>
      </c>
      <c r="J1031" s="80">
        <v>100</v>
      </c>
      <c r="K1031" s="80">
        <v>300</v>
      </c>
      <c r="L1031" s="77">
        <f t="shared" si="163"/>
        <v>1150</v>
      </c>
      <c r="M1031" s="87">
        <v>600</v>
      </c>
      <c r="N1031" s="77">
        <f>100</f>
        <v>100</v>
      </c>
      <c r="O1031" s="80">
        <v>240</v>
      </c>
      <c r="P1031" s="80">
        <v>40</v>
      </c>
      <c r="Q1031" s="80">
        <f t="shared" si="164"/>
        <v>315</v>
      </c>
      <c r="R1031" s="80">
        <f t="shared" si="165"/>
        <v>100</v>
      </c>
      <c r="S1031" s="77">
        <f t="shared" si="166"/>
        <v>695</v>
      </c>
      <c r="T1031" s="77">
        <f>50</f>
        <v>50</v>
      </c>
      <c r="U1031" s="78"/>
      <c r="V1031" s="78"/>
      <c r="W1031" s="78"/>
      <c r="X1031" s="78"/>
      <c r="Y1031" s="78"/>
      <c r="Z1031" s="78"/>
      <c r="AA1031" s="78"/>
      <c r="AB1031" s="78"/>
      <c r="AC1031" s="78"/>
      <c r="AD1031" s="78"/>
    </row>
    <row r="1032" spans="1:30" ht="15.75" x14ac:dyDescent="0.25">
      <c r="A1032" s="13">
        <v>72716</v>
      </c>
      <c r="B1032" s="88">
        <f t="shared" si="162"/>
        <v>31</v>
      </c>
      <c r="C1032" s="77">
        <f>122.58</f>
        <v>122.58</v>
      </c>
      <c r="D1032" s="77">
        <f>297.941</f>
        <v>297.94099999999997</v>
      </c>
      <c r="E1032" s="85">
        <f>89.177</f>
        <v>89.177000000000007</v>
      </c>
      <c r="F1032" s="77">
        <f>240.302-40-60-100</f>
        <v>40.301999999999992</v>
      </c>
      <c r="G1032" s="80">
        <v>40</v>
      </c>
      <c r="H1032" s="77">
        <f>60+100</f>
        <v>160</v>
      </c>
      <c r="I1032" s="77">
        <f t="shared" si="170"/>
        <v>0</v>
      </c>
      <c r="J1032" s="80">
        <v>100</v>
      </c>
      <c r="K1032" s="80">
        <v>300</v>
      </c>
      <c r="L1032" s="77">
        <f t="shared" si="163"/>
        <v>1150</v>
      </c>
      <c r="M1032" s="87">
        <v>600</v>
      </c>
      <c r="N1032" s="77">
        <f>100</f>
        <v>100</v>
      </c>
      <c r="O1032" s="80">
        <v>240</v>
      </c>
      <c r="P1032" s="80">
        <v>40</v>
      </c>
      <c r="Q1032" s="80">
        <f t="shared" si="164"/>
        <v>315</v>
      </c>
      <c r="R1032" s="80">
        <f t="shared" si="165"/>
        <v>100</v>
      </c>
      <c r="S1032" s="77">
        <f t="shared" si="166"/>
        <v>695</v>
      </c>
      <c r="T1032" s="77">
        <f>50</f>
        <v>50</v>
      </c>
      <c r="U1032" s="78"/>
      <c r="V1032" s="78"/>
      <c r="W1032" s="78"/>
      <c r="X1032" s="78"/>
      <c r="Y1032" s="78"/>
      <c r="Z1032" s="78"/>
      <c r="AA1032" s="78"/>
      <c r="AB1032" s="78"/>
      <c r="AC1032" s="78"/>
      <c r="AD1032" s="78"/>
    </row>
    <row r="1033" spans="1:30" ht="15.75" x14ac:dyDescent="0.25">
      <c r="A1033" s="13">
        <v>72744</v>
      </c>
      <c r="B1033" s="88">
        <f t="shared" si="162"/>
        <v>28</v>
      </c>
      <c r="C1033" s="77">
        <f>122.58</f>
        <v>122.58</v>
      </c>
      <c r="D1033" s="77">
        <f>297.941</f>
        <v>297.94099999999997</v>
      </c>
      <c r="E1033" s="85">
        <f>89.177</f>
        <v>89.177000000000007</v>
      </c>
      <c r="F1033" s="77">
        <f>240.302-40-60-100</f>
        <v>40.301999999999992</v>
      </c>
      <c r="G1033" s="80">
        <v>40</v>
      </c>
      <c r="H1033" s="77">
        <f>60+100</f>
        <v>160</v>
      </c>
      <c r="I1033" s="77">
        <f t="shared" si="170"/>
        <v>0</v>
      </c>
      <c r="J1033" s="80">
        <v>100</v>
      </c>
      <c r="K1033" s="80">
        <v>300</v>
      </c>
      <c r="L1033" s="77">
        <f t="shared" si="163"/>
        <v>1150</v>
      </c>
      <c r="M1033" s="87">
        <v>600</v>
      </c>
      <c r="N1033" s="77">
        <f>100</f>
        <v>100</v>
      </c>
      <c r="O1033" s="80">
        <v>240</v>
      </c>
      <c r="P1033" s="80">
        <v>40</v>
      </c>
      <c r="Q1033" s="80">
        <f t="shared" si="164"/>
        <v>315</v>
      </c>
      <c r="R1033" s="80">
        <f t="shared" si="165"/>
        <v>100</v>
      </c>
      <c r="S1033" s="77">
        <f t="shared" si="166"/>
        <v>695</v>
      </c>
      <c r="T1033" s="77">
        <f>50</f>
        <v>50</v>
      </c>
      <c r="U1033" s="78"/>
      <c r="V1033" s="78"/>
      <c r="W1033" s="78"/>
      <c r="X1033" s="78"/>
      <c r="Y1033" s="78"/>
      <c r="Z1033" s="78"/>
      <c r="AA1033" s="78"/>
      <c r="AB1033" s="78"/>
      <c r="AC1033" s="78"/>
      <c r="AD1033" s="78"/>
    </row>
    <row r="1034" spans="1:30" ht="15.75" x14ac:dyDescent="0.25">
      <c r="A1034" s="13">
        <v>72775</v>
      </c>
      <c r="B1034" s="88">
        <f t="shared" si="162"/>
        <v>31</v>
      </c>
      <c r="C1034" s="77">
        <f>122.58</f>
        <v>122.58</v>
      </c>
      <c r="D1034" s="77">
        <f>297.941</f>
        <v>297.94099999999997</v>
      </c>
      <c r="E1034" s="85">
        <f>89.177</f>
        <v>89.177000000000007</v>
      </c>
      <c r="F1034" s="77">
        <f>240.302-40-60-100</f>
        <v>40.301999999999992</v>
      </c>
      <c r="G1034" s="80">
        <v>40</v>
      </c>
      <c r="H1034" s="77">
        <f>60+100</f>
        <v>160</v>
      </c>
      <c r="I1034" s="77">
        <f t="shared" si="170"/>
        <v>0</v>
      </c>
      <c r="J1034" s="80">
        <v>100</v>
      </c>
      <c r="K1034" s="80">
        <v>300</v>
      </c>
      <c r="L1034" s="77">
        <f t="shared" si="163"/>
        <v>1150</v>
      </c>
      <c r="M1034" s="87">
        <v>600</v>
      </c>
      <c r="N1034" s="77">
        <f>100</f>
        <v>100</v>
      </c>
      <c r="O1034" s="80">
        <v>240</v>
      </c>
      <c r="P1034" s="80">
        <v>40</v>
      </c>
      <c r="Q1034" s="80">
        <f t="shared" si="164"/>
        <v>315</v>
      </c>
      <c r="R1034" s="80">
        <f t="shared" si="165"/>
        <v>100</v>
      </c>
      <c r="S1034" s="77">
        <f t="shared" si="166"/>
        <v>695</v>
      </c>
      <c r="T1034" s="77">
        <f>50</f>
        <v>50</v>
      </c>
      <c r="U1034" s="78"/>
      <c r="V1034" s="78"/>
      <c r="W1034" s="78"/>
      <c r="X1034" s="78"/>
      <c r="Y1034" s="78"/>
      <c r="Z1034" s="78"/>
      <c r="AA1034" s="78"/>
      <c r="AB1034" s="78"/>
      <c r="AC1034" s="78"/>
      <c r="AD1034" s="78"/>
    </row>
    <row r="1035" spans="1:30" ht="15.75" x14ac:dyDescent="0.25">
      <c r="A1035" s="13">
        <v>72805</v>
      </c>
      <c r="B1035" s="88">
        <f t="shared" si="162"/>
        <v>30</v>
      </c>
      <c r="C1035" s="77">
        <f>141.293</f>
        <v>141.29300000000001</v>
      </c>
      <c r="D1035" s="77">
        <f>267.993</f>
        <v>267.99299999999999</v>
      </c>
      <c r="E1035" s="85">
        <f>115.016</f>
        <v>115.01600000000001</v>
      </c>
      <c r="F1035" s="77">
        <f>314.698-40-25-60-100</f>
        <v>89.697999999999979</v>
      </c>
      <c r="G1035" s="80">
        <v>40</v>
      </c>
      <c r="H1035" s="77">
        <f t="shared" ref="H1035:H1041" si="173">25+60+100</f>
        <v>185</v>
      </c>
      <c r="I1035" s="77">
        <f t="shared" si="170"/>
        <v>0</v>
      </c>
      <c r="J1035" s="80">
        <v>100</v>
      </c>
      <c r="K1035" s="80">
        <v>300</v>
      </c>
      <c r="L1035" s="77">
        <f t="shared" si="163"/>
        <v>1239</v>
      </c>
      <c r="M1035" s="87">
        <v>600</v>
      </c>
      <c r="N1035" s="77">
        <f>100</f>
        <v>100</v>
      </c>
      <c r="O1035" s="80">
        <v>240</v>
      </c>
      <c r="P1035" s="80">
        <v>40</v>
      </c>
      <c r="Q1035" s="80">
        <f t="shared" si="164"/>
        <v>315</v>
      </c>
      <c r="R1035" s="80">
        <f t="shared" si="165"/>
        <v>100</v>
      </c>
      <c r="S1035" s="77">
        <f t="shared" si="166"/>
        <v>695</v>
      </c>
      <c r="T1035" s="77">
        <f>50</f>
        <v>50</v>
      </c>
      <c r="U1035" s="78"/>
      <c r="V1035" s="78"/>
      <c r="W1035" s="78"/>
      <c r="X1035" s="78"/>
      <c r="Y1035" s="78"/>
      <c r="Z1035" s="78"/>
      <c r="AA1035" s="78"/>
      <c r="AB1035" s="78"/>
      <c r="AC1035" s="78"/>
      <c r="AD1035" s="78"/>
    </row>
    <row r="1036" spans="1:30" ht="15.75" x14ac:dyDescent="0.25">
      <c r="A1036" s="13">
        <v>72836</v>
      </c>
      <c r="B1036" s="88">
        <f t="shared" ref="B1036:B1055" si="174">EOMONTH(A1036,0)-EOMONTH(A1036,-1)</f>
        <v>31</v>
      </c>
      <c r="C1036" s="77">
        <f>194.205</f>
        <v>194.20500000000001</v>
      </c>
      <c r="D1036" s="77">
        <f>267.466</f>
        <v>267.46600000000001</v>
      </c>
      <c r="E1036" s="85">
        <f>133.845</f>
        <v>133.845</v>
      </c>
      <c r="F1036" s="77">
        <f>278.484-40-25-60-100</f>
        <v>53.48399999999998</v>
      </c>
      <c r="G1036" s="80">
        <v>40</v>
      </c>
      <c r="H1036" s="77">
        <f t="shared" si="173"/>
        <v>185</v>
      </c>
      <c r="I1036" s="77">
        <f t="shared" si="170"/>
        <v>0</v>
      </c>
      <c r="J1036" s="80">
        <v>100</v>
      </c>
      <c r="K1036" s="80">
        <v>300</v>
      </c>
      <c r="L1036" s="77">
        <f t="shared" si="163"/>
        <v>1274</v>
      </c>
      <c r="M1036" s="87">
        <v>600</v>
      </c>
      <c r="N1036" s="77">
        <f>75</f>
        <v>75</v>
      </c>
      <c r="O1036" s="80">
        <v>240</v>
      </c>
      <c r="P1036" s="80">
        <v>40</v>
      </c>
      <c r="Q1036" s="80">
        <f t="shared" si="164"/>
        <v>315</v>
      </c>
      <c r="R1036" s="80">
        <f t="shared" si="165"/>
        <v>100</v>
      </c>
      <c r="S1036" s="77">
        <f t="shared" si="166"/>
        <v>695</v>
      </c>
      <c r="T1036" s="77">
        <f>50</f>
        <v>50</v>
      </c>
      <c r="U1036" s="78"/>
      <c r="V1036" s="78"/>
      <c r="W1036" s="78"/>
      <c r="X1036" s="78"/>
      <c r="Y1036" s="78"/>
      <c r="Z1036" s="78"/>
      <c r="AA1036" s="78"/>
      <c r="AB1036" s="78"/>
      <c r="AC1036" s="78"/>
      <c r="AD1036" s="78"/>
    </row>
    <row r="1037" spans="1:30" ht="15.75" x14ac:dyDescent="0.25">
      <c r="A1037" s="13">
        <v>72866</v>
      </c>
      <c r="B1037" s="88">
        <f t="shared" si="174"/>
        <v>30</v>
      </c>
      <c r="C1037" s="77">
        <f>194.205</f>
        <v>194.20500000000001</v>
      </c>
      <c r="D1037" s="77">
        <f>267.466</f>
        <v>267.46600000000001</v>
      </c>
      <c r="E1037" s="85">
        <f>133.845</f>
        <v>133.845</v>
      </c>
      <c r="F1037" s="77">
        <f>278.484-40-25-60-100</f>
        <v>53.48399999999998</v>
      </c>
      <c r="G1037" s="80">
        <v>40</v>
      </c>
      <c r="H1037" s="77">
        <f t="shared" si="173"/>
        <v>185</v>
      </c>
      <c r="I1037" s="77">
        <f t="shared" si="170"/>
        <v>0</v>
      </c>
      <c r="J1037" s="80">
        <v>100</v>
      </c>
      <c r="K1037" s="80">
        <v>300</v>
      </c>
      <c r="L1037" s="77">
        <f t="shared" si="163"/>
        <v>1274</v>
      </c>
      <c r="M1037" s="87">
        <v>600</v>
      </c>
      <c r="N1037" s="77">
        <f>30</f>
        <v>30</v>
      </c>
      <c r="O1037" s="80">
        <v>240</v>
      </c>
      <c r="P1037" s="80">
        <v>40</v>
      </c>
      <c r="Q1037" s="80">
        <f t="shared" si="164"/>
        <v>315</v>
      </c>
      <c r="R1037" s="80">
        <f t="shared" si="165"/>
        <v>100</v>
      </c>
      <c r="S1037" s="77">
        <f t="shared" si="166"/>
        <v>695</v>
      </c>
      <c r="T1037" s="77">
        <f>50</f>
        <v>50</v>
      </c>
      <c r="U1037" s="78"/>
      <c r="V1037" s="78"/>
      <c r="W1037" s="78"/>
      <c r="X1037" s="78"/>
      <c r="Y1037" s="78"/>
      <c r="Z1037" s="78"/>
      <c r="AA1037" s="78"/>
      <c r="AB1037" s="78"/>
      <c r="AC1037" s="78"/>
      <c r="AD1037" s="78"/>
    </row>
    <row r="1038" spans="1:30" ht="15.75" x14ac:dyDescent="0.25">
      <c r="A1038" s="13">
        <v>72897</v>
      </c>
      <c r="B1038" s="88">
        <f t="shared" si="174"/>
        <v>31</v>
      </c>
      <c r="C1038" s="77">
        <f>194.205</f>
        <v>194.20500000000001</v>
      </c>
      <c r="D1038" s="77">
        <f>267.466</f>
        <v>267.46600000000001</v>
      </c>
      <c r="E1038" s="85">
        <f>133.845</f>
        <v>133.845</v>
      </c>
      <c r="F1038" s="77">
        <f>278.484-40-25-60-100</f>
        <v>53.48399999999998</v>
      </c>
      <c r="G1038" s="80">
        <v>40</v>
      </c>
      <c r="H1038" s="77">
        <f t="shared" si="173"/>
        <v>185</v>
      </c>
      <c r="I1038" s="77">
        <f t="shared" si="170"/>
        <v>0</v>
      </c>
      <c r="J1038" s="80">
        <v>100</v>
      </c>
      <c r="K1038" s="80">
        <v>300</v>
      </c>
      <c r="L1038" s="77">
        <f t="shared" ref="L1038:L1055" si="175">SUM(C1038:K1038)</f>
        <v>1274</v>
      </c>
      <c r="M1038" s="87">
        <v>600</v>
      </c>
      <c r="N1038" s="77">
        <f>30</f>
        <v>30</v>
      </c>
      <c r="O1038" s="80">
        <v>240</v>
      </c>
      <c r="P1038" s="80">
        <v>40</v>
      </c>
      <c r="Q1038" s="80">
        <f t="shared" ref="Q1038:Q1055" si="176">695-R1038-O1038-P1038</f>
        <v>315</v>
      </c>
      <c r="R1038" s="80">
        <f t="shared" ref="R1038:R1055" si="177">200-J1038</f>
        <v>100</v>
      </c>
      <c r="S1038" s="77">
        <f t="shared" ref="S1038:S1055" si="178">SUM(O1038:R1038)</f>
        <v>695</v>
      </c>
      <c r="T1038" s="77">
        <f>0</f>
        <v>0</v>
      </c>
      <c r="U1038" s="78"/>
      <c r="V1038" s="78"/>
      <c r="W1038" s="78"/>
      <c r="X1038" s="78"/>
      <c r="Y1038" s="78"/>
      <c r="Z1038" s="78"/>
      <c r="AA1038" s="78"/>
      <c r="AB1038" s="78"/>
      <c r="AC1038" s="78"/>
      <c r="AD1038" s="78"/>
    </row>
    <row r="1039" spans="1:30" ht="15.75" x14ac:dyDescent="0.25">
      <c r="A1039" s="13">
        <v>72928</v>
      </c>
      <c r="B1039" s="88">
        <f t="shared" si="174"/>
        <v>31</v>
      </c>
      <c r="C1039" s="77">
        <f>194.205</f>
        <v>194.20500000000001</v>
      </c>
      <c r="D1039" s="77">
        <f>267.466</f>
        <v>267.46600000000001</v>
      </c>
      <c r="E1039" s="85">
        <f>133.845</f>
        <v>133.845</v>
      </c>
      <c r="F1039" s="77">
        <f>278.484-40-25-60-100</f>
        <v>53.48399999999998</v>
      </c>
      <c r="G1039" s="80">
        <v>40</v>
      </c>
      <c r="H1039" s="77">
        <f t="shared" si="173"/>
        <v>185</v>
      </c>
      <c r="I1039" s="77">
        <f t="shared" si="170"/>
        <v>0</v>
      </c>
      <c r="J1039" s="80">
        <v>100</v>
      </c>
      <c r="K1039" s="80">
        <v>300</v>
      </c>
      <c r="L1039" s="77">
        <f t="shared" si="175"/>
        <v>1274</v>
      </c>
      <c r="M1039" s="87">
        <v>600</v>
      </c>
      <c r="N1039" s="77">
        <f>30</f>
        <v>30</v>
      </c>
      <c r="O1039" s="80">
        <v>240</v>
      </c>
      <c r="P1039" s="80">
        <v>40</v>
      </c>
      <c r="Q1039" s="80">
        <f t="shared" si="176"/>
        <v>315</v>
      </c>
      <c r="R1039" s="80">
        <f t="shared" si="177"/>
        <v>100</v>
      </c>
      <c r="S1039" s="77">
        <f t="shared" si="178"/>
        <v>695</v>
      </c>
      <c r="T1039" s="77">
        <f>0</f>
        <v>0</v>
      </c>
      <c r="U1039" s="78"/>
      <c r="V1039" s="78"/>
      <c r="W1039" s="78"/>
      <c r="X1039" s="78"/>
      <c r="Y1039" s="78"/>
      <c r="Z1039" s="78"/>
      <c r="AA1039" s="78"/>
      <c r="AB1039" s="78"/>
      <c r="AC1039" s="78"/>
      <c r="AD1039" s="78"/>
    </row>
    <row r="1040" spans="1:30" ht="15.75" x14ac:dyDescent="0.25">
      <c r="A1040" s="13">
        <v>72958</v>
      </c>
      <c r="B1040" s="88">
        <f t="shared" si="174"/>
        <v>30</v>
      </c>
      <c r="C1040" s="77">
        <f>194.205</f>
        <v>194.20500000000001</v>
      </c>
      <c r="D1040" s="77">
        <f>267.466</f>
        <v>267.46600000000001</v>
      </c>
      <c r="E1040" s="85">
        <f>133.845</f>
        <v>133.845</v>
      </c>
      <c r="F1040" s="77">
        <f>278.484-40-25-60-100</f>
        <v>53.48399999999998</v>
      </c>
      <c r="G1040" s="80">
        <v>40</v>
      </c>
      <c r="H1040" s="77">
        <f t="shared" si="173"/>
        <v>185</v>
      </c>
      <c r="I1040" s="77">
        <f t="shared" si="170"/>
        <v>0</v>
      </c>
      <c r="J1040" s="80">
        <v>100</v>
      </c>
      <c r="K1040" s="80">
        <v>300</v>
      </c>
      <c r="L1040" s="77">
        <f t="shared" si="175"/>
        <v>1274</v>
      </c>
      <c r="M1040" s="87">
        <v>600</v>
      </c>
      <c r="N1040" s="77">
        <f>30</f>
        <v>30</v>
      </c>
      <c r="O1040" s="80">
        <v>240</v>
      </c>
      <c r="P1040" s="80">
        <v>40</v>
      </c>
      <c r="Q1040" s="80">
        <f t="shared" si="176"/>
        <v>315</v>
      </c>
      <c r="R1040" s="80">
        <f t="shared" si="177"/>
        <v>100</v>
      </c>
      <c r="S1040" s="77">
        <f t="shared" si="178"/>
        <v>695</v>
      </c>
      <c r="T1040" s="77">
        <f>0</f>
        <v>0</v>
      </c>
      <c r="U1040" s="78"/>
      <c r="V1040" s="78"/>
      <c r="W1040" s="78"/>
      <c r="X1040" s="78"/>
      <c r="Y1040" s="78"/>
      <c r="Z1040" s="78"/>
      <c r="AA1040" s="78"/>
      <c r="AB1040" s="78"/>
      <c r="AC1040" s="78"/>
      <c r="AD1040" s="78"/>
    </row>
    <row r="1041" spans="1:30" ht="15.75" x14ac:dyDescent="0.25">
      <c r="A1041" s="13">
        <v>72989</v>
      </c>
      <c r="B1041" s="88">
        <f t="shared" si="174"/>
        <v>31</v>
      </c>
      <c r="C1041" s="77">
        <f>131.881</f>
        <v>131.881</v>
      </c>
      <c r="D1041" s="77">
        <f>277.167</f>
        <v>277.16699999999997</v>
      </c>
      <c r="E1041" s="85">
        <f>79.08</f>
        <v>79.08</v>
      </c>
      <c r="F1041" s="77">
        <f>350.872-40-25-60-100</f>
        <v>125.87200000000001</v>
      </c>
      <c r="G1041" s="80">
        <v>40</v>
      </c>
      <c r="H1041" s="77">
        <f t="shared" si="173"/>
        <v>185</v>
      </c>
      <c r="I1041" s="77">
        <f t="shared" si="170"/>
        <v>0</v>
      </c>
      <c r="J1041" s="80">
        <v>100</v>
      </c>
      <c r="K1041" s="80">
        <v>300</v>
      </c>
      <c r="L1041" s="77">
        <f t="shared" si="175"/>
        <v>1239</v>
      </c>
      <c r="M1041" s="87">
        <v>600</v>
      </c>
      <c r="N1041" s="77">
        <f>75</f>
        <v>75</v>
      </c>
      <c r="O1041" s="80">
        <v>240</v>
      </c>
      <c r="P1041" s="80">
        <v>40</v>
      </c>
      <c r="Q1041" s="80">
        <f t="shared" si="176"/>
        <v>315</v>
      </c>
      <c r="R1041" s="80">
        <f t="shared" si="177"/>
        <v>100</v>
      </c>
      <c r="S1041" s="77">
        <f t="shared" si="178"/>
        <v>695</v>
      </c>
      <c r="T1041" s="77">
        <f>0</f>
        <v>0</v>
      </c>
      <c r="U1041" s="78"/>
      <c r="V1041" s="78"/>
      <c r="W1041" s="78"/>
      <c r="X1041" s="78"/>
      <c r="Y1041" s="78"/>
      <c r="Z1041" s="78"/>
      <c r="AA1041" s="78"/>
      <c r="AB1041" s="78"/>
      <c r="AC1041" s="78"/>
      <c r="AD1041" s="78"/>
    </row>
    <row r="1042" spans="1:30" ht="15.75" x14ac:dyDescent="0.25">
      <c r="A1042" s="13">
        <v>73019</v>
      </c>
      <c r="B1042" s="88">
        <f t="shared" si="174"/>
        <v>30</v>
      </c>
      <c r="C1042" s="77">
        <f>122.58</f>
        <v>122.58</v>
      </c>
      <c r="D1042" s="77">
        <f>297.941</f>
        <v>297.94099999999997</v>
      </c>
      <c r="E1042" s="85">
        <f>89.177</f>
        <v>89.177000000000007</v>
      </c>
      <c r="F1042" s="77">
        <f>240.302-40-60-100</f>
        <v>40.301999999999992</v>
      </c>
      <c r="G1042" s="80">
        <v>40</v>
      </c>
      <c r="H1042" s="77">
        <f>60+100</f>
        <v>160</v>
      </c>
      <c r="I1042" s="77">
        <f t="shared" si="170"/>
        <v>0</v>
      </c>
      <c r="J1042" s="80">
        <v>100</v>
      </c>
      <c r="K1042" s="80">
        <v>300</v>
      </c>
      <c r="L1042" s="77">
        <f t="shared" si="175"/>
        <v>1150</v>
      </c>
      <c r="M1042" s="87">
        <v>600</v>
      </c>
      <c r="N1042" s="77">
        <f>100</f>
        <v>100</v>
      </c>
      <c r="O1042" s="80">
        <v>240</v>
      </c>
      <c r="P1042" s="80">
        <v>40</v>
      </c>
      <c r="Q1042" s="80">
        <f t="shared" si="176"/>
        <v>315</v>
      </c>
      <c r="R1042" s="80">
        <f t="shared" si="177"/>
        <v>100</v>
      </c>
      <c r="S1042" s="77">
        <f t="shared" si="178"/>
        <v>695</v>
      </c>
      <c r="T1042" s="77">
        <f>50</f>
        <v>50</v>
      </c>
      <c r="U1042" s="78"/>
      <c r="V1042" s="78"/>
      <c r="W1042" s="78"/>
      <c r="X1042" s="78"/>
      <c r="Y1042" s="78"/>
      <c r="Z1042" s="78"/>
      <c r="AA1042" s="78"/>
      <c r="AB1042" s="78"/>
      <c r="AC1042" s="78"/>
      <c r="AD1042" s="78"/>
    </row>
    <row r="1043" spans="1:30" ht="15.75" x14ac:dyDescent="0.25">
      <c r="A1043" s="13">
        <v>73050</v>
      </c>
      <c r="B1043" s="88">
        <f t="shared" si="174"/>
        <v>31</v>
      </c>
      <c r="C1043" s="77">
        <f>122.58</f>
        <v>122.58</v>
      </c>
      <c r="D1043" s="77">
        <f>297.941</f>
        <v>297.94099999999997</v>
      </c>
      <c r="E1043" s="85">
        <f>89.177</f>
        <v>89.177000000000007</v>
      </c>
      <c r="F1043" s="77">
        <f>240.302-40-60-100</f>
        <v>40.301999999999992</v>
      </c>
      <c r="G1043" s="80">
        <v>40</v>
      </c>
      <c r="H1043" s="77">
        <f>60+100</f>
        <v>160</v>
      </c>
      <c r="I1043" s="77">
        <f t="shared" si="170"/>
        <v>0</v>
      </c>
      <c r="J1043" s="80">
        <v>100</v>
      </c>
      <c r="K1043" s="80">
        <v>300</v>
      </c>
      <c r="L1043" s="77">
        <f t="shared" si="175"/>
        <v>1150</v>
      </c>
      <c r="M1043" s="87">
        <v>600</v>
      </c>
      <c r="N1043" s="77">
        <f>100</f>
        <v>100</v>
      </c>
      <c r="O1043" s="80">
        <v>240</v>
      </c>
      <c r="P1043" s="80">
        <v>40</v>
      </c>
      <c r="Q1043" s="80">
        <f t="shared" si="176"/>
        <v>315</v>
      </c>
      <c r="R1043" s="80">
        <f t="shared" si="177"/>
        <v>100</v>
      </c>
      <c r="S1043" s="77">
        <f t="shared" si="178"/>
        <v>695</v>
      </c>
      <c r="T1043" s="77">
        <f>50</f>
        <v>50</v>
      </c>
      <c r="U1043" s="78"/>
      <c r="V1043" s="78"/>
      <c r="W1043" s="78"/>
      <c r="X1043" s="78"/>
      <c r="Y1043" s="78"/>
      <c r="Z1043" s="78"/>
      <c r="AA1043" s="78"/>
      <c r="AB1043" s="78"/>
      <c r="AC1043" s="78"/>
      <c r="AD1043" s="78"/>
    </row>
    <row r="1044" spans="1:30" ht="15.75" x14ac:dyDescent="0.25">
      <c r="A1044" s="13">
        <v>73081</v>
      </c>
      <c r="B1044" s="88">
        <f t="shared" si="174"/>
        <v>31</v>
      </c>
      <c r="C1044" s="77">
        <f>122.58</f>
        <v>122.58</v>
      </c>
      <c r="D1044" s="77">
        <f>297.941</f>
        <v>297.94099999999997</v>
      </c>
      <c r="E1044" s="85">
        <f>89.177</f>
        <v>89.177000000000007</v>
      </c>
      <c r="F1044" s="77">
        <f>240.302-40-60-100</f>
        <v>40.301999999999992</v>
      </c>
      <c r="G1044" s="80">
        <v>40</v>
      </c>
      <c r="H1044" s="77">
        <f>60+100</f>
        <v>160</v>
      </c>
      <c r="I1044" s="77">
        <f t="shared" si="170"/>
        <v>0</v>
      </c>
      <c r="J1044" s="80">
        <v>100</v>
      </c>
      <c r="K1044" s="80">
        <v>300</v>
      </c>
      <c r="L1044" s="77">
        <f t="shared" si="175"/>
        <v>1150</v>
      </c>
      <c r="M1044" s="87">
        <v>600</v>
      </c>
      <c r="N1044" s="77">
        <f>100</f>
        <v>100</v>
      </c>
      <c r="O1044" s="80">
        <v>240</v>
      </c>
      <c r="P1044" s="80">
        <v>40</v>
      </c>
      <c r="Q1044" s="80">
        <f t="shared" si="176"/>
        <v>315</v>
      </c>
      <c r="R1044" s="80">
        <f t="shared" si="177"/>
        <v>100</v>
      </c>
      <c r="S1044" s="77">
        <f t="shared" si="178"/>
        <v>695</v>
      </c>
      <c r="T1044" s="77">
        <f>50</f>
        <v>50</v>
      </c>
      <c r="U1044" s="78"/>
      <c r="V1044" s="78"/>
      <c r="W1044" s="78"/>
      <c r="X1044" s="78"/>
      <c r="Y1044" s="78"/>
      <c r="Z1044" s="78"/>
      <c r="AA1044" s="78"/>
      <c r="AB1044" s="78"/>
      <c r="AC1044" s="78"/>
      <c r="AD1044" s="78"/>
    </row>
    <row r="1045" spans="1:30" ht="15.75" x14ac:dyDescent="0.25">
      <c r="A1045" s="13">
        <v>73109</v>
      </c>
      <c r="B1045" s="88">
        <f t="shared" si="174"/>
        <v>28</v>
      </c>
      <c r="C1045" s="77">
        <f>122.58</f>
        <v>122.58</v>
      </c>
      <c r="D1045" s="77">
        <f>297.941</f>
        <v>297.94099999999997</v>
      </c>
      <c r="E1045" s="85">
        <f>89.177</f>
        <v>89.177000000000007</v>
      </c>
      <c r="F1045" s="77">
        <f>240.302-40-60-100</f>
        <v>40.301999999999992</v>
      </c>
      <c r="G1045" s="80">
        <v>40</v>
      </c>
      <c r="H1045" s="77">
        <f>60+100</f>
        <v>160</v>
      </c>
      <c r="I1045" s="77">
        <f t="shared" si="170"/>
        <v>0</v>
      </c>
      <c r="J1045" s="80">
        <v>100</v>
      </c>
      <c r="K1045" s="80">
        <v>300</v>
      </c>
      <c r="L1045" s="77">
        <f t="shared" si="175"/>
        <v>1150</v>
      </c>
      <c r="M1045" s="87">
        <v>600</v>
      </c>
      <c r="N1045" s="77">
        <f>100</f>
        <v>100</v>
      </c>
      <c r="O1045" s="80">
        <v>240</v>
      </c>
      <c r="P1045" s="80">
        <v>40</v>
      </c>
      <c r="Q1045" s="80">
        <f t="shared" si="176"/>
        <v>315</v>
      </c>
      <c r="R1045" s="80">
        <f t="shared" si="177"/>
        <v>100</v>
      </c>
      <c r="S1045" s="77">
        <f t="shared" si="178"/>
        <v>695</v>
      </c>
      <c r="T1045" s="77">
        <f>50</f>
        <v>50</v>
      </c>
      <c r="U1045" s="78"/>
      <c r="V1045" s="78"/>
      <c r="W1045" s="78"/>
      <c r="X1045" s="78"/>
      <c r="Y1045" s="78"/>
      <c r="Z1045" s="78"/>
      <c r="AA1045" s="78"/>
      <c r="AB1045" s="78"/>
      <c r="AC1045" s="78"/>
      <c r="AD1045" s="78"/>
    </row>
    <row r="1046" spans="1:30" ht="15.75" x14ac:dyDescent="0.25">
      <c r="A1046" s="13">
        <v>73140</v>
      </c>
      <c r="B1046" s="88">
        <f t="shared" si="174"/>
        <v>31</v>
      </c>
      <c r="C1046" s="77">
        <f>122.58</f>
        <v>122.58</v>
      </c>
      <c r="D1046" s="77">
        <f>297.941</f>
        <v>297.94099999999997</v>
      </c>
      <c r="E1046" s="85">
        <f>89.177</f>
        <v>89.177000000000007</v>
      </c>
      <c r="F1046" s="77">
        <f>240.302-40-60-100</f>
        <v>40.301999999999992</v>
      </c>
      <c r="G1046" s="80">
        <v>40</v>
      </c>
      <c r="H1046" s="77">
        <f>60+100</f>
        <v>160</v>
      </c>
      <c r="I1046" s="77">
        <f t="shared" si="170"/>
        <v>0</v>
      </c>
      <c r="J1046" s="80">
        <v>100</v>
      </c>
      <c r="K1046" s="80">
        <v>300</v>
      </c>
      <c r="L1046" s="77">
        <f t="shared" si="175"/>
        <v>1150</v>
      </c>
      <c r="M1046" s="87">
        <v>600</v>
      </c>
      <c r="N1046" s="77">
        <f>100</f>
        <v>100</v>
      </c>
      <c r="O1046" s="80">
        <v>240</v>
      </c>
      <c r="P1046" s="80">
        <v>40</v>
      </c>
      <c r="Q1046" s="80">
        <f t="shared" si="176"/>
        <v>315</v>
      </c>
      <c r="R1046" s="80">
        <f t="shared" si="177"/>
        <v>100</v>
      </c>
      <c r="S1046" s="77">
        <f t="shared" si="178"/>
        <v>695</v>
      </c>
      <c r="T1046" s="77">
        <f>50</f>
        <v>50</v>
      </c>
      <c r="U1046" s="78"/>
      <c r="V1046" s="78"/>
      <c r="W1046" s="78"/>
      <c r="X1046" s="78"/>
      <c r="Y1046" s="78"/>
      <c r="Z1046" s="78"/>
      <c r="AA1046" s="78"/>
      <c r="AB1046" s="78"/>
      <c r="AC1046" s="78"/>
      <c r="AD1046" s="78"/>
    </row>
    <row r="1047" spans="1:30" ht="15.75" x14ac:dyDescent="0.25">
      <c r="A1047" s="13">
        <v>73170</v>
      </c>
      <c r="B1047" s="88">
        <f t="shared" si="174"/>
        <v>30</v>
      </c>
      <c r="C1047" s="77">
        <f>141.293</f>
        <v>141.29300000000001</v>
      </c>
      <c r="D1047" s="77">
        <f>267.993</f>
        <v>267.99299999999999</v>
      </c>
      <c r="E1047" s="85">
        <f>115.016</f>
        <v>115.01600000000001</v>
      </c>
      <c r="F1047" s="77">
        <f>314.698-40-25-60-100</f>
        <v>89.697999999999979</v>
      </c>
      <c r="G1047" s="80">
        <v>40</v>
      </c>
      <c r="H1047" s="77">
        <f t="shared" ref="H1047:H1053" si="179">25+60+100</f>
        <v>185</v>
      </c>
      <c r="I1047" s="77">
        <f t="shared" si="170"/>
        <v>0</v>
      </c>
      <c r="J1047" s="80">
        <v>100</v>
      </c>
      <c r="K1047" s="80">
        <v>300</v>
      </c>
      <c r="L1047" s="77">
        <f t="shared" si="175"/>
        <v>1239</v>
      </c>
      <c r="M1047" s="87">
        <v>600</v>
      </c>
      <c r="N1047" s="77">
        <f>100</f>
        <v>100</v>
      </c>
      <c r="O1047" s="80">
        <v>240</v>
      </c>
      <c r="P1047" s="80">
        <v>40</v>
      </c>
      <c r="Q1047" s="80">
        <f t="shared" si="176"/>
        <v>315</v>
      </c>
      <c r="R1047" s="80">
        <f t="shared" si="177"/>
        <v>100</v>
      </c>
      <c r="S1047" s="77">
        <f t="shared" si="178"/>
        <v>695</v>
      </c>
      <c r="T1047" s="77">
        <f>50</f>
        <v>50</v>
      </c>
      <c r="U1047" s="78"/>
      <c r="V1047" s="78"/>
      <c r="W1047" s="78"/>
      <c r="X1047" s="78"/>
      <c r="Y1047" s="78"/>
      <c r="Z1047" s="78"/>
      <c r="AA1047" s="78"/>
      <c r="AB1047" s="78"/>
      <c r="AC1047" s="78"/>
      <c r="AD1047" s="78"/>
    </row>
    <row r="1048" spans="1:30" ht="15.75" x14ac:dyDescent="0.25">
      <c r="A1048" s="13">
        <v>73201</v>
      </c>
      <c r="B1048" s="88">
        <f t="shared" si="174"/>
        <v>31</v>
      </c>
      <c r="C1048" s="77">
        <f>194.205</f>
        <v>194.20500000000001</v>
      </c>
      <c r="D1048" s="77">
        <f>267.466</f>
        <v>267.46600000000001</v>
      </c>
      <c r="E1048" s="85">
        <f>133.845</f>
        <v>133.845</v>
      </c>
      <c r="F1048" s="77">
        <f>278.484-40-25-60-100</f>
        <v>53.48399999999998</v>
      </c>
      <c r="G1048" s="80">
        <v>40</v>
      </c>
      <c r="H1048" s="77">
        <f t="shared" si="179"/>
        <v>185</v>
      </c>
      <c r="I1048" s="77">
        <f t="shared" si="170"/>
        <v>0</v>
      </c>
      <c r="J1048" s="80">
        <v>100</v>
      </c>
      <c r="K1048" s="80">
        <v>300</v>
      </c>
      <c r="L1048" s="77">
        <f t="shared" si="175"/>
        <v>1274</v>
      </c>
      <c r="M1048" s="87">
        <v>600</v>
      </c>
      <c r="N1048" s="77">
        <f>75</f>
        <v>75</v>
      </c>
      <c r="O1048" s="80">
        <v>240</v>
      </c>
      <c r="P1048" s="80">
        <v>40</v>
      </c>
      <c r="Q1048" s="80">
        <f t="shared" si="176"/>
        <v>315</v>
      </c>
      <c r="R1048" s="80">
        <f t="shared" si="177"/>
        <v>100</v>
      </c>
      <c r="S1048" s="77">
        <f t="shared" si="178"/>
        <v>695</v>
      </c>
      <c r="T1048" s="77">
        <f>50</f>
        <v>50</v>
      </c>
      <c r="U1048" s="78"/>
      <c r="V1048" s="78"/>
      <c r="W1048" s="78"/>
      <c r="X1048" s="78"/>
      <c r="Y1048" s="78"/>
      <c r="Z1048" s="78"/>
      <c r="AA1048" s="78"/>
      <c r="AB1048" s="78"/>
      <c r="AC1048" s="78"/>
      <c r="AD1048" s="78"/>
    </row>
    <row r="1049" spans="1:30" ht="15.75" x14ac:dyDescent="0.25">
      <c r="A1049" s="13">
        <v>73231</v>
      </c>
      <c r="B1049" s="88">
        <f t="shared" si="174"/>
        <v>30</v>
      </c>
      <c r="C1049" s="77">
        <f>194.205</f>
        <v>194.20500000000001</v>
      </c>
      <c r="D1049" s="77">
        <f>267.466</f>
        <v>267.46600000000001</v>
      </c>
      <c r="E1049" s="85">
        <f>133.845</f>
        <v>133.845</v>
      </c>
      <c r="F1049" s="77">
        <f>278.484-40-25-60-100</f>
        <v>53.48399999999998</v>
      </c>
      <c r="G1049" s="80">
        <v>40</v>
      </c>
      <c r="H1049" s="77">
        <f t="shared" si="179"/>
        <v>185</v>
      </c>
      <c r="I1049" s="77">
        <f t="shared" si="170"/>
        <v>0</v>
      </c>
      <c r="J1049" s="80">
        <v>100</v>
      </c>
      <c r="K1049" s="80">
        <v>300</v>
      </c>
      <c r="L1049" s="77">
        <f t="shared" si="175"/>
        <v>1274</v>
      </c>
      <c r="M1049" s="87">
        <v>600</v>
      </c>
      <c r="N1049" s="77">
        <f>30</f>
        <v>30</v>
      </c>
      <c r="O1049" s="80">
        <v>240</v>
      </c>
      <c r="P1049" s="80">
        <v>40</v>
      </c>
      <c r="Q1049" s="80">
        <f t="shared" si="176"/>
        <v>315</v>
      </c>
      <c r="R1049" s="80">
        <f t="shared" si="177"/>
        <v>100</v>
      </c>
      <c r="S1049" s="77">
        <f t="shared" si="178"/>
        <v>695</v>
      </c>
      <c r="T1049" s="77">
        <f>50</f>
        <v>50</v>
      </c>
      <c r="U1049" s="78"/>
      <c r="V1049" s="78"/>
      <c r="W1049" s="78"/>
      <c r="X1049" s="78"/>
      <c r="Y1049" s="78"/>
      <c r="Z1049" s="78"/>
      <c r="AA1049" s="78"/>
      <c r="AB1049" s="78"/>
      <c r="AC1049" s="78"/>
      <c r="AD1049" s="78"/>
    </row>
    <row r="1050" spans="1:30" ht="15.75" x14ac:dyDescent="0.25">
      <c r="A1050" s="13">
        <v>73262</v>
      </c>
      <c r="B1050" s="88">
        <f t="shared" si="174"/>
        <v>31</v>
      </c>
      <c r="C1050" s="77">
        <f>194.205</f>
        <v>194.20500000000001</v>
      </c>
      <c r="D1050" s="77">
        <f>267.466</f>
        <v>267.46600000000001</v>
      </c>
      <c r="E1050" s="85">
        <f>133.845</f>
        <v>133.845</v>
      </c>
      <c r="F1050" s="77">
        <f>278.484-40-25-60-100</f>
        <v>53.48399999999998</v>
      </c>
      <c r="G1050" s="80">
        <v>40</v>
      </c>
      <c r="H1050" s="77">
        <f t="shared" si="179"/>
        <v>185</v>
      </c>
      <c r="I1050" s="77">
        <f t="shared" si="170"/>
        <v>0</v>
      </c>
      <c r="J1050" s="80">
        <v>100</v>
      </c>
      <c r="K1050" s="80">
        <v>300</v>
      </c>
      <c r="L1050" s="77">
        <f t="shared" si="175"/>
        <v>1274</v>
      </c>
      <c r="M1050" s="87">
        <v>600</v>
      </c>
      <c r="N1050" s="77">
        <f>30</f>
        <v>30</v>
      </c>
      <c r="O1050" s="80">
        <v>240</v>
      </c>
      <c r="P1050" s="80">
        <v>40</v>
      </c>
      <c r="Q1050" s="80">
        <f t="shared" si="176"/>
        <v>315</v>
      </c>
      <c r="R1050" s="80">
        <f t="shared" si="177"/>
        <v>100</v>
      </c>
      <c r="S1050" s="77">
        <f t="shared" si="178"/>
        <v>695</v>
      </c>
      <c r="T1050" s="77">
        <f>0</f>
        <v>0</v>
      </c>
      <c r="U1050" s="78"/>
      <c r="V1050" s="78"/>
      <c r="W1050" s="78"/>
      <c r="X1050" s="78"/>
      <c r="Y1050" s="78"/>
      <c r="Z1050" s="78"/>
      <c r="AA1050" s="78"/>
      <c r="AB1050" s="78"/>
      <c r="AC1050" s="78"/>
      <c r="AD1050" s="78"/>
    </row>
    <row r="1051" spans="1:30" ht="15.75" x14ac:dyDescent="0.25">
      <c r="A1051" s="13">
        <v>73293</v>
      </c>
      <c r="B1051" s="88">
        <f t="shared" si="174"/>
        <v>31</v>
      </c>
      <c r="C1051" s="77">
        <f>194.205</f>
        <v>194.20500000000001</v>
      </c>
      <c r="D1051" s="77">
        <f>267.466</f>
        <v>267.46600000000001</v>
      </c>
      <c r="E1051" s="85">
        <f>133.845</f>
        <v>133.845</v>
      </c>
      <c r="F1051" s="77">
        <f>278.484-40-25-60-100</f>
        <v>53.48399999999998</v>
      </c>
      <c r="G1051" s="80">
        <v>40</v>
      </c>
      <c r="H1051" s="77">
        <f t="shared" si="179"/>
        <v>185</v>
      </c>
      <c r="I1051" s="77">
        <f t="shared" si="170"/>
        <v>0</v>
      </c>
      <c r="J1051" s="80">
        <v>100</v>
      </c>
      <c r="K1051" s="80">
        <v>300</v>
      </c>
      <c r="L1051" s="77">
        <f t="shared" si="175"/>
        <v>1274</v>
      </c>
      <c r="M1051" s="87">
        <v>600</v>
      </c>
      <c r="N1051" s="77">
        <f>30</f>
        <v>30</v>
      </c>
      <c r="O1051" s="80">
        <v>240</v>
      </c>
      <c r="P1051" s="80">
        <v>40</v>
      </c>
      <c r="Q1051" s="80">
        <f t="shared" si="176"/>
        <v>315</v>
      </c>
      <c r="R1051" s="80">
        <f t="shared" si="177"/>
        <v>100</v>
      </c>
      <c r="S1051" s="77">
        <f t="shared" si="178"/>
        <v>695</v>
      </c>
      <c r="T1051" s="77">
        <f>0</f>
        <v>0</v>
      </c>
      <c r="U1051" s="78"/>
      <c r="V1051" s="78"/>
      <c r="W1051" s="78"/>
      <c r="X1051" s="78"/>
      <c r="Y1051" s="78"/>
      <c r="Z1051" s="78"/>
      <c r="AA1051" s="78"/>
      <c r="AB1051" s="78"/>
      <c r="AC1051" s="78"/>
      <c r="AD1051" s="78"/>
    </row>
    <row r="1052" spans="1:30" ht="15.75" x14ac:dyDescent="0.25">
      <c r="A1052" s="13">
        <v>73323</v>
      </c>
      <c r="B1052" s="88">
        <f t="shared" si="174"/>
        <v>30</v>
      </c>
      <c r="C1052" s="77">
        <f>194.205</f>
        <v>194.20500000000001</v>
      </c>
      <c r="D1052" s="77">
        <f>267.466</f>
        <v>267.46600000000001</v>
      </c>
      <c r="E1052" s="85">
        <f>133.845</f>
        <v>133.845</v>
      </c>
      <c r="F1052" s="77">
        <f>278.484-40-25-60-100</f>
        <v>53.48399999999998</v>
      </c>
      <c r="G1052" s="80">
        <v>40</v>
      </c>
      <c r="H1052" s="77">
        <f t="shared" si="179"/>
        <v>185</v>
      </c>
      <c r="I1052" s="77">
        <f t="shared" si="170"/>
        <v>0</v>
      </c>
      <c r="J1052" s="80">
        <v>100</v>
      </c>
      <c r="K1052" s="80">
        <v>300</v>
      </c>
      <c r="L1052" s="77">
        <f t="shared" si="175"/>
        <v>1274</v>
      </c>
      <c r="M1052" s="87">
        <v>600</v>
      </c>
      <c r="N1052" s="77">
        <f>30</f>
        <v>30</v>
      </c>
      <c r="O1052" s="80">
        <v>240</v>
      </c>
      <c r="P1052" s="80">
        <v>40</v>
      </c>
      <c r="Q1052" s="80">
        <f t="shared" si="176"/>
        <v>315</v>
      </c>
      <c r="R1052" s="80">
        <f t="shared" si="177"/>
        <v>100</v>
      </c>
      <c r="S1052" s="77">
        <f t="shared" si="178"/>
        <v>695</v>
      </c>
      <c r="T1052" s="77">
        <f>0</f>
        <v>0</v>
      </c>
      <c r="U1052" s="78"/>
      <c r="V1052" s="78"/>
      <c r="W1052" s="78"/>
      <c r="X1052" s="78"/>
      <c r="Y1052" s="78"/>
      <c r="Z1052" s="78"/>
      <c r="AA1052" s="78"/>
      <c r="AB1052" s="78"/>
      <c r="AC1052" s="78"/>
      <c r="AD1052" s="78"/>
    </row>
    <row r="1053" spans="1:30" ht="15.75" x14ac:dyDescent="0.25">
      <c r="A1053" s="13">
        <v>73354</v>
      </c>
      <c r="B1053" s="88">
        <f t="shared" si="174"/>
        <v>31</v>
      </c>
      <c r="C1053" s="77">
        <f>131.881</f>
        <v>131.881</v>
      </c>
      <c r="D1053" s="77">
        <f>277.167</f>
        <v>277.16699999999997</v>
      </c>
      <c r="E1053" s="85">
        <f>79.08</f>
        <v>79.08</v>
      </c>
      <c r="F1053" s="77">
        <f>350.872-40-25-60-100</f>
        <v>125.87200000000001</v>
      </c>
      <c r="G1053" s="80">
        <v>40</v>
      </c>
      <c r="H1053" s="77">
        <f t="shared" si="179"/>
        <v>185</v>
      </c>
      <c r="I1053" s="77">
        <f t="shared" si="170"/>
        <v>0</v>
      </c>
      <c r="J1053" s="80">
        <v>100</v>
      </c>
      <c r="K1053" s="80">
        <v>300</v>
      </c>
      <c r="L1053" s="77">
        <f t="shared" si="175"/>
        <v>1239</v>
      </c>
      <c r="M1053" s="87">
        <v>600</v>
      </c>
      <c r="N1053" s="77">
        <f>75</f>
        <v>75</v>
      </c>
      <c r="O1053" s="80">
        <v>240</v>
      </c>
      <c r="P1053" s="80">
        <v>40</v>
      </c>
      <c r="Q1053" s="80">
        <f t="shared" si="176"/>
        <v>315</v>
      </c>
      <c r="R1053" s="80">
        <f t="shared" si="177"/>
        <v>100</v>
      </c>
      <c r="S1053" s="77">
        <f t="shared" si="178"/>
        <v>695</v>
      </c>
      <c r="T1053" s="77">
        <f>0</f>
        <v>0</v>
      </c>
      <c r="U1053" s="78"/>
      <c r="V1053" s="78"/>
      <c r="W1053" s="78"/>
      <c r="X1053" s="78"/>
      <c r="Y1053" s="78"/>
      <c r="Z1053" s="78"/>
      <c r="AA1053" s="78"/>
      <c r="AB1053" s="78"/>
      <c r="AC1053" s="78"/>
      <c r="AD1053" s="78"/>
    </row>
    <row r="1054" spans="1:30" ht="15.75" x14ac:dyDescent="0.25">
      <c r="A1054" s="13">
        <v>73384</v>
      </c>
      <c r="B1054" s="88">
        <f t="shared" si="174"/>
        <v>30</v>
      </c>
      <c r="C1054" s="77">
        <f>122.58</f>
        <v>122.58</v>
      </c>
      <c r="D1054" s="77">
        <f>297.941</f>
        <v>297.94099999999997</v>
      </c>
      <c r="E1054" s="85">
        <f>89.177</f>
        <v>89.177000000000007</v>
      </c>
      <c r="F1054" s="77">
        <f>240.302-40-60-100</f>
        <v>40.301999999999992</v>
      </c>
      <c r="G1054" s="80">
        <v>40</v>
      </c>
      <c r="H1054" s="77">
        <f>60+100</f>
        <v>160</v>
      </c>
      <c r="I1054" s="77">
        <f t="shared" si="170"/>
        <v>0</v>
      </c>
      <c r="J1054" s="80">
        <v>100</v>
      </c>
      <c r="K1054" s="80">
        <v>300</v>
      </c>
      <c r="L1054" s="77">
        <f t="shared" si="175"/>
        <v>1150</v>
      </c>
      <c r="M1054" s="87">
        <v>600</v>
      </c>
      <c r="N1054" s="77">
        <f>100</f>
        <v>100</v>
      </c>
      <c r="O1054" s="80">
        <v>240</v>
      </c>
      <c r="P1054" s="80">
        <v>40</v>
      </c>
      <c r="Q1054" s="80">
        <f t="shared" si="176"/>
        <v>315</v>
      </c>
      <c r="R1054" s="80">
        <f t="shared" si="177"/>
        <v>100</v>
      </c>
      <c r="S1054" s="77">
        <f t="shared" si="178"/>
        <v>695</v>
      </c>
      <c r="T1054" s="77">
        <f>50</f>
        <v>50</v>
      </c>
      <c r="U1054" s="78"/>
      <c r="V1054" s="78"/>
      <c r="W1054" s="78"/>
      <c r="X1054" s="78"/>
      <c r="Y1054" s="78"/>
      <c r="Z1054" s="78"/>
      <c r="AA1054" s="78"/>
      <c r="AB1054" s="78"/>
      <c r="AC1054" s="78"/>
      <c r="AD1054" s="78"/>
    </row>
    <row r="1055" spans="1:30" ht="15.75" x14ac:dyDescent="0.25">
      <c r="A1055" s="13">
        <v>73415</v>
      </c>
      <c r="B1055" s="88">
        <f t="shared" si="174"/>
        <v>31</v>
      </c>
      <c r="C1055" s="77">
        <f>122.58</f>
        <v>122.58</v>
      </c>
      <c r="D1055" s="77">
        <f>297.941</f>
        <v>297.94099999999997</v>
      </c>
      <c r="E1055" s="85">
        <f>89.177</f>
        <v>89.177000000000007</v>
      </c>
      <c r="F1055" s="77">
        <f>240.302-40-60-100</f>
        <v>40.301999999999992</v>
      </c>
      <c r="G1055" s="80">
        <v>40</v>
      </c>
      <c r="H1055" s="77">
        <f>60+100</f>
        <v>160</v>
      </c>
      <c r="I1055" s="77">
        <f t="shared" si="170"/>
        <v>0</v>
      </c>
      <c r="J1055" s="80">
        <v>100</v>
      </c>
      <c r="K1055" s="80">
        <v>300</v>
      </c>
      <c r="L1055" s="77">
        <f t="shared" si="175"/>
        <v>1150</v>
      </c>
      <c r="M1055" s="87">
        <v>600</v>
      </c>
      <c r="N1055" s="77">
        <f>100</f>
        <v>100</v>
      </c>
      <c r="O1055" s="80">
        <v>240</v>
      </c>
      <c r="P1055" s="80">
        <v>40</v>
      </c>
      <c r="Q1055" s="80">
        <f t="shared" si="176"/>
        <v>315</v>
      </c>
      <c r="R1055" s="80">
        <f t="shared" si="177"/>
        <v>100</v>
      </c>
      <c r="S1055" s="77">
        <f t="shared" si="178"/>
        <v>695</v>
      </c>
      <c r="T1055" s="77">
        <f>50</f>
        <v>50</v>
      </c>
      <c r="U1055" s="78"/>
      <c r="V1055" s="78"/>
      <c r="W1055" s="78"/>
      <c r="X1055" s="78"/>
      <c r="Y1055" s="78"/>
      <c r="Z1055" s="78"/>
      <c r="AA1055" s="78"/>
      <c r="AB1055" s="78"/>
      <c r="AC1055" s="78"/>
      <c r="AD1055" s="78"/>
    </row>
    <row r="1056" spans="1:30" ht="15" x14ac:dyDescent="0.2">
      <c r="A1056" s="12"/>
      <c r="B1056" s="86"/>
      <c r="C1056" s="77"/>
      <c r="D1056" s="77"/>
      <c r="E1056" s="85"/>
      <c r="F1056" s="77"/>
      <c r="G1056" s="77"/>
      <c r="H1056" s="77"/>
      <c r="I1056" s="77"/>
      <c r="J1056" s="77"/>
      <c r="K1056" s="77"/>
      <c r="L1056" s="77"/>
      <c r="M1056" s="77"/>
      <c r="N1056" s="77"/>
      <c r="O1056" s="80"/>
      <c r="P1056" s="80"/>
      <c r="Q1056" s="80"/>
      <c r="R1056" s="80"/>
      <c r="S1056" s="77"/>
      <c r="T1056" s="77"/>
      <c r="U1056" s="78"/>
      <c r="V1056" s="78"/>
      <c r="W1056" s="78"/>
      <c r="X1056" s="78"/>
      <c r="Y1056" s="78"/>
      <c r="Z1056" s="78"/>
      <c r="AA1056" s="78"/>
      <c r="AB1056" s="78"/>
      <c r="AC1056" s="78"/>
      <c r="AD1056" s="78"/>
    </row>
    <row r="1057" spans="1:30" ht="15.75" x14ac:dyDescent="0.25">
      <c r="A1057" s="11">
        <v>2014</v>
      </c>
      <c r="B1057" s="11">
        <f t="shared" ref="B1057:B1088" si="180">DATE(A1057+1,1,1)-DATE(A1057,1,1)</f>
        <v>365</v>
      </c>
      <c r="C1057" s="81">
        <f t="shared" ref="C1057:L1057" si="181">AVERAGE(C12:C23)</f>
        <v>154.75825</v>
      </c>
      <c r="D1057" s="81">
        <f t="shared" si="181"/>
        <v>281.0162499999999</v>
      </c>
      <c r="E1057" s="81">
        <f t="shared" si="181"/>
        <v>109.1005</v>
      </c>
      <c r="F1057" s="81">
        <f t="shared" si="181"/>
        <v>217.04166666666666</v>
      </c>
      <c r="G1057" s="81">
        <f t="shared" si="181"/>
        <v>40</v>
      </c>
      <c r="H1057" s="81">
        <f t="shared" si="181"/>
        <v>14.583333333333334</v>
      </c>
      <c r="I1057" s="81">
        <f t="shared" si="181"/>
        <v>20.833333333333332</v>
      </c>
      <c r="J1057" s="81">
        <f t="shared" si="181"/>
        <v>100</v>
      </c>
      <c r="K1057" s="81">
        <f t="shared" si="181"/>
        <v>300</v>
      </c>
      <c r="L1057" s="81">
        <f t="shared" si="181"/>
        <v>1237.3333333333333</v>
      </c>
      <c r="M1057" s="84"/>
      <c r="N1057" s="81">
        <f t="shared" ref="N1057:T1057" si="182">AVERAGE(N12:N23)</f>
        <v>72.5</v>
      </c>
      <c r="O1057" s="82">
        <f t="shared" si="182"/>
        <v>240</v>
      </c>
      <c r="P1057" s="82">
        <f t="shared" si="182"/>
        <v>70</v>
      </c>
      <c r="Q1057" s="82">
        <f t="shared" si="182"/>
        <v>285</v>
      </c>
      <c r="R1057" s="82">
        <f t="shared" si="182"/>
        <v>100</v>
      </c>
      <c r="S1057" s="81">
        <f t="shared" si="182"/>
        <v>695</v>
      </c>
      <c r="T1057" s="81">
        <f t="shared" si="182"/>
        <v>33.333333333333336</v>
      </c>
      <c r="U1057" s="78"/>
      <c r="V1057" s="78"/>
      <c r="W1057" s="78"/>
      <c r="X1057" s="78"/>
      <c r="Y1057" s="78"/>
      <c r="Z1057" s="78"/>
      <c r="AA1057" s="78"/>
      <c r="AB1057" s="78"/>
      <c r="AC1057" s="78"/>
      <c r="AD1057" s="78"/>
    </row>
    <row r="1058" spans="1:30" ht="15.75" x14ac:dyDescent="0.25">
      <c r="A1058" s="11">
        <v>2015</v>
      </c>
      <c r="B1058" s="11">
        <f t="shared" si="180"/>
        <v>365</v>
      </c>
      <c r="C1058" s="81">
        <f t="shared" ref="C1058:L1058" si="183">AVERAGE(C24:C35)</f>
        <v>154.75825</v>
      </c>
      <c r="D1058" s="81">
        <f t="shared" si="183"/>
        <v>281.0162499999999</v>
      </c>
      <c r="E1058" s="81">
        <f t="shared" si="183"/>
        <v>109.1005</v>
      </c>
      <c r="F1058" s="81">
        <f t="shared" si="183"/>
        <v>97.041666666666629</v>
      </c>
      <c r="G1058" s="81">
        <f t="shared" si="183"/>
        <v>40</v>
      </c>
      <c r="H1058" s="81">
        <f t="shared" si="183"/>
        <v>134.58333333333334</v>
      </c>
      <c r="I1058" s="81">
        <f t="shared" si="183"/>
        <v>20.833333333333332</v>
      </c>
      <c r="J1058" s="81">
        <f t="shared" si="183"/>
        <v>100</v>
      </c>
      <c r="K1058" s="81">
        <f t="shared" si="183"/>
        <v>300</v>
      </c>
      <c r="L1058" s="81">
        <f t="shared" si="183"/>
        <v>1237.3333333333333</v>
      </c>
      <c r="M1058" s="84"/>
      <c r="N1058" s="81">
        <f t="shared" ref="N1058:T1058" si="184">AVERAGE(N24:N35)</f>
        <v>72.5</v>
      </c>
      <c r="O1058" s="82">
        <f t="shared" si="184"/>
        <v>240</v>
      </c>
      <c r="P1058" s="82">
        <f t="shared" si="184"/>
        <v>100</v>
      </c>
      <c r="Q1058" s="82">
        <f t="shared" si="184"/>
        <v>255</v>
      </c>
      <c r="R1058" s="82">
        <f t="shared" si="184"/>
        <v>100</v>
      </c>
      <c r="S1058" s="81">
        <f t="shared" si="184"/>
        <v>695</v>
      </c>
      <c r="T1058" s="81">
        <f t="shared" si="184"/>
        <v>33.333333333333336</v>
      </c>
      <c r="U1058" s="78"/>
      <c r="V1058" s="78"/>
      <c r="W1058" s="78"/>
      <c r="X1058" s="78"/>
      <c r="Y1058" s="78"/>
      <c r="Z1058" s="78"/>
      <c r="AA1058" s="78"/>
      <c r="AB1058" s="78"/>
      <c r="AC1058" s="78"/>
      <c r="AD1058" s="78"/>
    </row>
    <row r="1059" spans="1:30" ht="15.75" x14ac:dyDescent="0.25">
      <c r="A1059" s="11">
        <v>2016</v>
      </c>
      <c r="B1059" s="11">
        <f t="shared" si="180"/>
        <v>366</v>
      </c>
      <c r="C1059" s="81">
        <f t="shared" ref="C1059:L1059" si="185">AVERAGE(C36:C47)</f>
        <v>154.75825</v>
      </c>
      <c r="D1059" s="81">
        <f t="shared" si="185"/>
        <v>281.0162499999999</v>
      </c>
      <c r="E1059" s="81">
        <f t="shared" si="185"/>
        <v>109.1005</v>
      </c>
      <c r="F1059" s="81">
        <f t="shared" si="185"/>
        <v>57.041666666666664</v>
      </c>
      <c r="G1059" s="81">
        <f t="shared" si="185"/>
        <v>40</v>
      </c>
      <c r="H1059" s="81">
        <f t="shared" si="185"/>
        <v>174.58333333333334</v>
      </c>
      <c r="I1059" s="81">
        <f t="shared" si="185"/>
        <v>0</v>
      </c>
      <c r="J1059" s="81">
        <f t="shared" si="185"/>
        <v>100</v>
      </c>
      <c r="K1059" s="81">
        <f t="shared" si="185"/>
        <v>300</v>
      </c>
      <c r="L1059" s="81">
        <f t="shared" si="185"/>
        <v>1216.5</v>
      </c>
      <c r="M1059" s="84"/>
      <c r="N1059" s="81">
        <f t="shared" ref="N1059:T1059" si="186">AVERAGE(N36:N47)</f>
        <v>72.5</v>
      </c>
      <c r="O1059" s="82">
        <f t="shared" si="186"/>
        <v>240</v>
      </c>
      <c r="P1059" s="82">
        <f t="shared" si="186"/>
        <v>110</v>
      </c>
      <c r="Q1059" s="82">
        <f t="shared" si="186"/>
        <v>245</v>
      </c>
      <c r="R1059" s="82">
        <f t="shared" si="186"/>
        <v>100</v>
      </c>
      <c r="S1059" s="81">
        <f t="shared" si="186"/>
        <v>695</v>
      </c>
      <c r="T1059" s="81">
        <f t="shared" si="186"/>
        <v>33.333333333333336</v>
      </c>
      <c r="U1059" s="78"/>
      <c r="V1059" s="78"/>
      <c r="W1059" s="78"/>
      <c r="X1059" s="78"/>
      <c r="Y1059" s="78"/>
      <c r="Z1059" s="78"/>
      <c r="AA1059" s="78"/>
      <c r="AB1059" s="78"/>
      <c r="AC1059" s="78"/>
      <c r="AD1059" s="78"/>
    </row>
    <row r="1060" spans="1:30" ht="15" x14ac:dyDescent="0.2">
      <c r="A1060" s="11">
        <v>2017</v>
      </c>
      <c r="B1060" s="11">
        <f t="shared" si="180"/>
        <v>365</v>
      </c>
      <c r="C1060" s="81">
        <f t="shared" ref="C1060:T1060" si="187">AVERAGE(C48:C59)</f>
        <v>154.75825</v>
      </c>
      <c r="D1060" s="81">
        <f t="shared" si="187"/>
        <v>281.0162499999999</v>
      </c>
      <c r="E1060" s="81">
        <f t="shared" si="187"/>
        <v>109.1005</v>
      </c>
      <c r="F1060" s="81">
        <f t="shared" si="187"/>
        <v>57.041666666666664</v>
      </c>
      <c r="G1060" s="81">
        <f t="shared" si="187"/>
        <v>40</v>
      </c>
      <c r="H1060" s="81">
        <f t="shared" si="187"/>
        <v>174.58333333333334</v>
      </c>
      <c r="I1060" s="81">
        <f t="shared" si="187"/>
        <v>0</v>
      </c>
      <c r="J1060" s="81">
        <f t="shared" si="187"/>
        <v>100</v>
      </c>
      <c r="K1060" s="81">
        <f t="shared" si="187"/>
        <v>300</v>
      </c>
      <c r="L1060" s="81">
        <f t="shared" si="187"/>
        <v>1216.5</v>
      </c>
      <c r="M1060" s="83">
        <f t="shared" si="187"/>
        <v>400</v>
      </c>
      <c r="N1060" s="81">
        <f t="shared" si="187"/>
        <v>72.5</v>
      </c>
      <c r="O1060" s="82">
        <f t="shared" si="187"/>
        <v>240</v>
      </c>
      <c r="P1060" s="82">
        <f t="shared" si="187"/>
        <v>110</v>
      </c>
      <c r="Q1060" s="82">
        <f t="shared" si="187"/>
        <v>245</v>
      </c>
      <c r="R1060" s="82">
        <f t="shared" si="187"/>
        <v>100</v>
      </c>
      <c r="S1060" s="81">
        <f t="shared" si="187"/>
        <v>695</v>
      </c>
      <c r="T1060" s="81">
        <f t="shared" si="187"/>
        <v>33.333333333333336</v>
      </c>
      <c r="U1060" s="78"/>
      <c r="V1060" s="78"/>
      <c r="W1060" s="78"/>
      <c r="X1060" s="78"/>
      <c r="Y1060" s="78"/>
      <c r="Z1060" s="78"/>
      <c r="AA1060" s="78"/>
      <c r="AB1060" s="78"/>
      <c r="AC1060" s="78"/>
      <c r="AD1060" s="78"/>
    </row>
    <row r="1061" spans="1:30" ht="15" x14ac:dyDescent="0.2">
      <c r="A1061" s="11">
        <v>2018</v>
      </c>
      <c r="B1061" s="11">
        <f t="shared" si="180"/>
        <v>365</v>
      </c>
      <c r="C1061" s="81">
        <f t="shared" ref="C1061:T1061" si="188">AVERAGE(C60:C71)</f>
        <v>154.75825</v>
      </c>
      <c r="D1061" s="81">
        <f t="shared" si="188"/>
        <v>281.0162499999999</v>
      </c>
      <c r="E1061" s="81">
        <f t="shared" si="188"/>
        <v>109.1005</v>
      </c>
      <c r="F1061" s="81">
        <f t="shared" si="188"/>
        <v>57.041666666666664</v>
      </c>
      <c r="G1061" s="81">
        <f t="shared" si="188"/>
        <v>40</v>
      </c>
      <c r="H1061" s="81">
        <f t="shared" si="188"/>
        <v>174.58333333333334</v>
      </c>
      <c r="I1061" s="81">
        <f t="shared" si="188"/>
        <v>0</v>
      </c>
      <c r="J1061" s="81">
        <f t="shared" si="188"/>
        <v>100</v>
      </c>
      <c r="K1061" s="81">
        <f t="shared" si="188"/>
        <v>300</v>
      </c>
      <c r="L1061" s="81">
        <f t="shared" si="188"/>
        <v>1216.5</v>
      </c>
      <c r="M1061" s="83">
        <f t="shared" si="188"/>
        <v>400</v>
      </c>
      <c r="N1061" s="81">
        <f t="shared" si="188"/>
        <v>72.5</v>
      </c>
      <c r="O1061" s="82">
        <f t="shared" si="188"/>
        <v>240</v>
      </c>
      <c r="P1061" s="82">
        <f t="shared" si="188"/>
        <v>110</v>
      </c>
      <c r="Q1061" s="82">
        <f t="shared" si="188"/>
        <v>245</v>
      </c>
      <c r="R1061" s="82">
        <f t="shared" si="188"/>
        <v>100</v>
      </c>
      <c r="S1061" s="81">
        <f t="shared" si="188"/>
        <v>695</v>
      </c>
      <c r="T1061" s="81">
        <f t="shared" si="188"/>
        <v>33.333333333333336</v>
      </c>
      <c r="U1061" s="78"/>
      <c r="V1061" s="78"/>
      <c r="W1061" s="78"/>
      <c r="X1061" s="78"/>
      <c r="Y1061" s="78"/>
      <c r="Z1061" s="78"/>
      <c r="AA1061" s="78"/>
      <c r="AB1061" s="78"/>
      <c r="AC1061" s="78"/>
      <c r="AD1061" s="78"/>
    </row>
    <row r="1062" spans="1:30" ht="15" x14ac:dyDescent="0.2">
      <c r="A1062" s="11">
        <v>2019</v>
      </c>
      <c r="B1062" s="11">
        <f t="shared" si="180"/>
        <v>365</v>
      </c>
      <c r="C1062" s="81">
        <f t="shared" ref="C1062:T1062" si="189">AVERAGE(C72:C83)</f>
        <v>154.75825</v>
      </c>
      <c r="D1062" s="81">
        <f t="shared" si="189"/>
        <v>281.0162499999999</v>
      </c>
      <c r="E1062" s="81">
        <f t="shared" si="189"/>
        <v>109.1005</v>
      </c>
      <c r="F1062" s="81">
        <f t="shared" si="189"/>
        <v>57.041666666666664</v>
      </c>
      <c r="G1062" s="81">
        <f t="shared" si="189"/>
        <v>40</v>
      </c>
      <c r="H1062" s="81">
        <f t="shared" si="189"/>
        <v>174.58333333333334</v>
      </c>
      <c r="I1062" s="81">
        <f t="shared" si="189"/>
        <v>0</v>
      </c>
      <c r="J1062" s="81">
        <f t="shared" si="189"/>
        <v>100</v>
      </c>
      <c r="K1062" s="81">
        <f t="shared" si="189"/>
        <v>300</v>
      </c>
      <c r="L1062" s="81">
        <f t="shared" si="189"/>
        <v>1216.5</v>
      </c>
      <c r="M1062" s="83">
        <f t="shared" si="189"/>
        <v>400</v>
      </c>
      <c r="N1062" s="81">
        <f t="shared" si="189"/>
        <v>72.5</v>
      </c>
      <c r="O1062" s="82">
        <f t="shared" si="189"/>
        <v>240</v>
      </c>
      <c r="P1062" s="82">
        <f t="shared" si="189"/>
        <v>110</v>
      </c>
      <c r="Q1062" s="82">
        <f t="shared" si="189"/>
        <v>245</v>
      </c>
      <c r="R1062" s="82">
        <f t="shared" si="189"/>
        <v>100</v>
      </c>
      <c r="S1062" s="81">
        <f t="shared" si="189"/>
        <v>695</v>
      </c>
      <c r="T1062" s="81">
        <f t="shared" si="189"/>
        <v>33.333333333333336</v>
      </c>
      <c r="U1062" s="78"/>
      <c r="V1062" s="78"/>
      <c r="W1062" s="78"/>
      <c r="X1062" s="78"/>
      <c r="Y1062" s="78"/>
      <c r="Z1062" s="78"/>
      <c r="AA1062" s="78"/>
      <c r="AB1062" s="78"/>
      <c r="AC1062" s="78"/>
      <c r="AD1062" s="78"/>
    </row>
    <row r="1063" spans="1:30" ht="15" x14ac:dyDescent="0.2">
      <c r="A1063" s="11">
        <v>2020</v>
      </c>
      <c r="B1063" s="11">
        <f t="shared" si="180"/>
        <v>366</v>
      </c>
      <c r="C1063" s="81">
        <f t="shared" ref="C1063:T1063" si="190">AVERAGE(C84:C95)</f>
        <v>154.75825</v>
      </c>
      <c r="D1063" s="81">
        <f t="shared" si="190"/>
        <v>281.0162499999999</v>
      </c>
      <c r="E1063" s="81">
        <f t="shared" si="190"/>
        <v>109.1005</v>
      </c>
      <c r="F1063" s="81">
        <f t="shared" si="190"/>
        <v>57.041666666666664</v>
      </c>
      <c r="G1063" s="81">
        <f t="shared" si="190"/>
        <v>40</v>
      </c>
      <c r="H1063" s="81">
        <f t="shared" si="190"/>
        <v>174.58333333333334</v>
      </c>
      <c r="I1063" s="81">
        <f t="shared" si="190"/>
        <v>0</v>
      </c>
      <c r="J1063" s="81">
        <f t="shared" si="190"/>
        <v>100</v>
      </c>
      <c r="K1063" s="81">
        <f t="shared" si="190"/>
        <v>300</v>
      </c>
      <c r="L1063" s="81">
        <f t="shared" si="190"/>
        <v>1216.5</v>
      </c>
      <c r="M1063" s="83">
        <f t="shared" si="190"/>
        <v>533.33333333333337</v>
      </c>
      <c r="N1063" s="81">
        <f t="shared" si="190"/>
        <v>72.5</v>
      </c>
      <c r="O1063" s="82">
        <f t="shared" si="190"/>
        <v>240</v>
      </c>
      <c r="P1063" s="82">
        <f t="shared" si="190"/>
        <v>110</v>
      </c>
      <c r="Q1063" s="82">
        <f t="shared" si="190"/>
        <v>245</v>
      </c>
      <c r="R1063" s="82">
        <f t="shared" si="190"/>
        <v>100</v>
      </c>
      <c r="S1063" s="81">
        <f t="shared" si="190"/>
        <v>695</v>
      </c>
      <c r="T1063" s="81">
        <f t="shared" si="190"/>
        <v>33.333333333333336</v>
      </c>
      <c r="U1063" s="78"/>
      <c r="V1063" s="78"/>
      <c r="W1063" s="78"/>
      <c r="X1063" s="78"/>
      <c r="Y1063" s="78"/>
      <c r="Z1063" s="78"/>
      <c r="AA1063" s="78"/>
      <c r="AB1063" s="78"/>
      <c r="AC1063" s="78"/>
      <c r="AD1063" s="78"/>
    </row>
    <row r="1064" spans="1:30" ht="15" x14ac:dyDescent="0.2">
      <c r="A1064" s="11">
        <v>2021</v>
      </c>
      <c r="B1064" s="11">
        <f t="shared" si="180"/>
        <v>365</v>
      </c>
      <c r="C1064" s="81">
        <f t="shared" ref="C1064:T1064" si="191">AVERAGE(C96:C107)</f>
        <v>154.75825</v>
      </c>
      <c r="D1064" s="81">
        <f t="shared" si="191"/>
        <v>281.0162499999999</v>
      </c>
      <c r="E1064" s="81">
        <f t="shared" si="191"/>
        <v>109.1005</v>
      </c>
      <c r="F1064" s="81">
        <f t="shared" si="191"/>
        <v>57.041666666666664</v>
      </c>
      <c r="G1064" s="81">
        <f t="shared" si="191"/>
        <v>40</v>
      </c>
      <c r="H1064" s="81">
        <f t="shared" si="191"/>
        <v>174.58333333333334</v>
      </c>
      <c r="I1064" s="81">
        <f t="shared" si="191"/>
        <v>0</v>
      </c>
      <c r="J1064" s="81">
        <f t="shared" si="191"/>
        <v>100</v>
      </c>
      <c r="K1064" s="81">
        <f t="shared" si="191"/>
        <v>300</v>
      </c>
      <c r="L1064" s="81">
        <f t="shared" si="191"/>
        <v>1216.5</v>
      </c>
      <c r="M1064" s="83">
        <f t="shared" si="191"/>
        <v>600</v>
      </c>
      <c r="N1064" s="81">
        <f t="shared" si="191"/>
        <v>72.5</v>
      </c>
      <c r="O1064" s="82">
        <f t="shared" si="191"/>
        <v>240</v>
      </c>
      <c r="P1064" s="82">
        <f t="shared" si="191"/>
        <v>110</v>
      </c>
      <c r="Q1064" s="82">
        <f t="shared" si="191"/>
        <v>245</v>
      </c>
      <c r="R1064" s="82">
        <f t="shared" si="191"/>
        <v>100</v>
      </c>
      <c r="S1064" s="81">
        <f t="shared" si="191"/>
        <v>695</v>
      </c>
      <c r="T1064" s="81">
        <f t="shared" si="191"/>
        <v>33.333333333333336</v>
      </c>
      <c r="U1064" s="78"/>
      <c r="V1064" s="78"/>
      <c r="W1064" s="78"/>
      <c r="X1064" s="78"/>
      <c r="Y1064" s="78"/>
      <c r="Z1064" s="78"/>
      <c r="AA1064" s="78"/>
      <c r="AB1064" s="78"/>
      <c r="AC1064" s="78"/>
      <c r="AD1064" s="78"/>
    </row>
    <row r="1065" spans="1:30" ht="15" x14ac:dyDescent="0.2">
      <c r="A1065" s="11">
        <v>2022</v>
      </c>
      <c r="B1065" s="11">
        <f t="shared" si="180"/>
        <v>365</v>
      </c>
      <c r="C1065" s="81">
        <f t="shared" ref="C1065:T1065" si="192">AVERAGE(C108:C119)</f>
        <v>154.75825</v>
      </c>
      <c r="D1065" s="81">
        <f t="shared" si="192"/>
        <v>281.0162499999999</v>
      </c>
      <c r="E1065" s="81">
        <f t="shared" si="192"/>
        <v>109.1005</v>
      </c>
      <c r="F1065" s="81">
        <f t="shared" si="192"/>
        <v>57.041666666666664</v>
      </c>
      <c r="G1065" s="81">
        <f t="shared" si="192"/>
        <v>40</v>
      </c>
      <c r="H1065" s="81">
        <f t="shared" si="192"/>
        <v>174.58333333333334</v>
      </c>
      <c r="I1065" s="81">
        <f t="shared" si="192"/>
        <v>0</v>
      </c>
      <c r="J1065" s="81">
        <f t="shared" si="192"/>
        <v>100</v>
      </c>
      <c r="K1065" s="81">
        <f t="shared" si="192"/>
        <v>300</v>
      </c>
      <c r="L1065" s="81">
        <f t="shared" si="192"/>
        <v>1216.5</v>
      </c>
      <c r="M1065" s="83">
        <f t="shared" si="192"/>
        <v>600</v>
      </c>
      <c r="N1065" s="81">
        <f t="shared" si="192"/>
        <v>72.5</v>
      </c>
      <c r="O1065" s="82">
        <f t="shared" si="192"/>
        <v>240</v>
      </c>
      <c r="P1065" s="82">
        <f t="shared" si="192"/>
        <v>110</v>
      </c>
      <c r="Q1065" s="82">
        <f t="shared" si="192"/>
        <v>245</v>
      </c>
      <c r="R1065" s="82">
        <f t="shared" si="192"/>
        <v>100</v>
      </c>
      <c r="S1065" s="81">
        <f t="shared" si="192"/>
        <v>695</v>
      </c>
      <c r="T1065" s="81">
        <f t="shared" si="192"/>
        <v>33.333333333333336</v>
      </c>
      <c r="U1065" s="78"/>
      <c r="V1065" s="78"/>
      <c r="W1065" s="78"/>
      <c r="X1065" s="78"/>
      <c r="Y1065" s="78"/>
      <c r="Z1065" s="78"/>
      <c r="AA1065" s="78"/>
      <c r="AB1065" s="78"/>
      <c r="AC1065" s="78"/>
      <c r="AD1065" s="78"/>
    </row>
    <row r="1066" spans="1:30" ht="15" x14ac:dyDescent="0.2">
      <c r="A1066" s="11">
        <v>2023</v>
      </c>
      <c r="B1066" s="11">
        <f t="shared" si="180"/>
        <v>365</v>
      </c>
      <c r="C1066" s="81">
        <f t="shared" ref="C1066:T1066" si="193">AVERAGE(C120:C131)</f>
        <v>154.75825</v>
      </c>
      <c r="D1066" s="81">
        <f t="shared" si="193"/>
        <v>281.0162499999999</v>
      </c>
      <c r="E1066" s="81">
        <f t="shared" si="193"/>
        <v>109.1005</v>
      </c>
      <c r="F1066" s="81">
        <f t="shared" si="193"/>
        <v>57.041666666666664</v>
      </c>
      <c r="G1066" s="81">
        <f t="shared" si="193"/>
        <v>40</v>
      </c>
      <c r="H1066" s="81">
        <f t="shared" si="193"/>
        <v>174.58333333333334</v>
      </c>
      <c r="I1066" s="81">
        <f t="shared" si="193"/>
        <v>0</v>
      </c>
      <c r="J1066" s="81">
        <f t="shared" si="193"/>
        <v>100</v>
      </c>
      <c r="K1066" s="81">
        <f t="shared" si="193"/>
        <v>300</v>
      </c>
      <c r="L1066" s="81">
        <f t="shared" si="193"/>
        <v>1216.5</v>
      </c>
      <c r="M1066" s="83">
        <f t="shared" si="193"/>
        <v>600</v>
      </c>
      <c r="N1066" s="81">
        <f t="shared" si="193"/>
        <v>72.5</v>
      </c>
      <c r="O1066" s="82">
        <f t="shared" si="193"/>
        <v>240</v>
      </c>
      <c r="P1066" s="82">
        <f t="shared" si="193"/>
        <v>110</v>
      </c>
      <c r="Q1066" s="82">
        <f t="shared" si="193"/>
        <v>245</v>
      </c>
      <c r="R1066" s="82">
        <f t="shared" si="193"/>
        <v>100</v>
      </c>
      <c r="S1066" s="81">
        <f t="shared" si="193"/>
        <v>695</v>
      </c>
      <c r="T1066" s="81">
        <f t="shared" si="193"/>
        <v>33.333333333333336</v>
      </c>
      <c r="U1066" s="78"/>
      <c r="V1066" s="78"/>
      <c r="W1066" s="78"/>
      <c r="X1066" s="78"/>
      <c r="Y1066" s="78"/>
      <c r="Z1066" s="78"/>
      <c r="AA1066" s="78"/>
      <c r="AB1066" s="78"/>
      <c r="AC1066" s="78"/>
      <c r="AD1066" s="78"/>
    </row>
    <row r="1067" spans="1:30" ht="15" x14ac:dyDescent="0.2">
      <c r="A1067" s="11">
        <v>2024</v>
      </c>
      <c r="B1067" s="11">
        <f t="shared" si="180"/>
        <v>366</v>
      </c>
      <c r="C1067" s="81">
        <f t="shared" ref="C1067:T1067" si="194">AVERAGE(C132:C143)</f>
        <v>154.75825</v>
      </c>
      <c r="D1067" s="81">
        <f t="shared" si="194"/>
        <v>281.0162499999999</v>
      </c>
      <c r="E1067" s="81">
        <f t="shared" si="194"/>
        <v>109.1005</v>
      </c>
      <c r="F1067" s="81">
        <f t="shared" si="194"/>
        <v>57.041666666666664</v>
      </c>
      <c r="G1067" s="81">
        <f t="shared" si="194"/>
        <v>40</v>
      </c>
      <c r="H1067" s="81">
        <f t="shared" si="194"/>
        <v>174.58333333333334</v>
      </c>
      <c r="I1067" s="81">
        <f t="shared" si="194"/>
        <v>0</v>
      </c>
      <c r="J1067" s="81">
        <f t="shared" si="194"/>
        <v>100</v>
      </c>
      <c r="K1067" s="81">
        <f t="shared" si="194"/>
        <v>300</v>
      </c>
      <c r="L1067" s="81">
        <f t="shared" si="194"/>
        <v>1216.5</v>
      </c>
      <c r="M1067" s="83">
        <f t="shared" si="194"/>
        <v>600</v>
      </c>
      <c r="N1067" s="81">
        <f t="shared" si="194"/>
        <v>72.5</v>
      </c>
      <c r="O1067" s="82">
        <f t="shared" si="194"/>
        <v>240</v>
      </c>
      <c r="P1067" s="82">
        <f t="shared" si="194"/>
        <v>110</v>
      </c>
      <c r="Q1067" s="82">
        <f t="shared" si="194"/>
        <v>245</v>
      </c>
      <c r="R1067" s="82">
        <f t="shared" si="194"/>
        <v>100</v>
      </c>
      <c r="S1067" s="81">
        <f t="shared" si="194"/>
        <v>695</v>
      </c>
      <c r="T1067" s="81">
        <f t="shared" si="194"/>
        <v>33.333333333333336</v>
      </c>
      <c r="U1067" s="78"/>
      <c r="V1067" s="78"/>
      <c r="W1067" s="78"/>
      <c r="X1067" s="78"/>
      <c r="Y1067" s="78"/>
      <c r="Z1067" s="78"/>
      <c r="AA1067" s="78"/>
      <c r="AB1067" s="78"/>
      <c r="AC1067" s="78"/>
      <c r="AD1067" s="78"/>
    </row>
    <row r="1068" spans="1:30" ht="15" x14ac:dyDescent="0.2">
      <c r="A1068" s="11">
        <v>2025</v>
      </c>
      <c r="B1068" s="11">
        <f t="shared" si="180"/>
        <v>365</v>
      </c>
      <c r="C1068" s="81">
        <f t="shared" ref="C1068:T1068" si="195">AVERAGE(C144:C155)</f>
        <v>154.75825</v>
      </c>
      <c r="D1068" s="81">
        <f t="shared" si="195"/>
        <v>281.0162499999999</v>
      </c>
      <c r="E1068" s="81">
        <f t="shared" si="195"/>
        <v>109.1005</v>
      </c>
      <c r="F1068" s="81">
        <f t="shared" si="195"/>
        <v>57.041666666666664</v>
      </c>
      <c r="G1068" s="81">
        <f t="shared" si="195"/>
        <v>40</v>
      </c>
      <c r="H1068" s="81">
        <f t="shared" si="195"/>
        <v>174.58333333333334</v>
      </c>
      <c r="I1068" s="81">
        <f t="shared" si="195"/>
        <v>0</v>
      </c>
      <c r="J1068" s="81">
        <f t="shared" si="195"/>
        <v>100</v>
      </c>
      <c r="K1068" s="81">
        <f t="shared" si="195"/>
        <v>300</v>
      </c>
      <c r="L1068" s="81">
        <f t="shared" si="195"/>
        <v>1216.5</v>
      </c>
      <c r="M1068" s="83">
        <f t="shared" si="195"/>
        <v>600</v>
      </c>
      <c r="N1068" s="81">
        <f t="shared" si="195"/>
        <v>72.5</v>
      </c>
      <c r="O1068" s="82">
        <f t="shared" si="195"/>
        <v>240</v>
      </c>
      <c r="P1068" s="82">
        <f t="shared" si="195"/>
        <v>110</v>
      </c>
      <c r="Q1068" s="82">
        <f t="shared" si="195"/>
        <v>245</v>
      </c>
      <c r="R1068" s="82">
        <f t="shared" si="195"/>
        <v>100</v>
      </c>
      <c r="S1068" s="81">
        <f t="shared" si="195"/>
        <v>695</v>
      </c>
      <c r="T1068" s="81">
        <f t="shared" si="195"/>
        <v>33.333333333333336</v>
      </c>
      <c r="U1068" s="78"/>
      <c r="V1068" s="78"/>
      <c r="W1068" s="78"/>
      <c r="X1068" s="78"/>
      <c r="Y1068" s="78"/>
      <c r="Z1068" s="78"/>
      <c r="AA1068" s="78"/>
      <c r="AB1068" s="78"/>
      <c r="AC1068" s="78"/>
      <c r="AD1068" s="78"/>
    </row>
    <row r="1069" spans="1:30" ht="15" x14ac:dyDescent="0.2">
      <c r="A1069" s="11">
        <v>2026</v>
      </c>
      <c r="B1069" s="11">
        <f t="shared" si="180"/>
        <v>365</v>
      </c>
      <c r="C1069" s="81">
        <f t="shared" ref="C1069:T1069" si="196">AVERAGE(C156:C167)</f>
        <v>154.75825</v>
      </c>
      <c r="D1069" s="81">
        <f t="shared" si="196"/>
        <v>281.0162499999999</v>
      </c>
      <c r="E1069" s="81">
        <f t="shared" si="196"/>
        <v>109.1005</v>
      </c>
      <c r="F1069" s="81">
        <f t="shared" si="196"/>
        <v>57.041666666666664</v>
      </c>
      <c r="G1069" s="81">
        <f t="shared" si="196"/>
        <v>40</v>
      </c>
      <c r="H1069" s="81">
        <f t="shared" si="196"/>
        <v>174.58333333333334</v>
      </c>
      <c r="I1069" s="81">
        <f t="shared" si="196"/>
        <v>0</v>
      </c>
      <c r="J1069" s="81">
        <f t="shared" si="196"/>
        <v>100</v>
      </c>
      <c r="K1069" s="81">
        <f t="shared" si="196"/>
        <v>300</v>
      </c>
      <c r="L1069" s="81">
        <f t="shared" si="196"/>
        <v>1216.5</v>
      </c>
      <c r="M1069" s="83">
        <f t="shared" si="196"/>
        <v>600</v>
      </c>
      <c r="N1069" s="81">
        <f t="shared" si="196"/>
        <v>72.5</v>
      </c>
      <c r="O1069" s="82">
        <f t="shared" si="196"/>
        <v>240</v>
      </c>
      <c r="P1069" s="82">
        <f t="shared" si="196"/>
        <v>110</v>
      </c>
      <c r="Q1069" s="82">
        <f t="shared" si="196"/>
        <v>245</v>
      </c>
      <c r="R1069" s="82">
        <f t="shared" si="196"/>
        <v>100</v>
      </c>
      <c r="S1069" s="81">
        <f t="shared" si="196"/>
        <v>695</v>
      </c>
      <c r="T1069" s="81">
        <f t="shared" si="196"/>
        <v>33.333333333333336</v>
      </c>
      <c r="U1069" s="78"/>
      <c r="V1069" s="78"/>
      <c r="W1069" s="78"/>
      <c r="X1069" s="78"/>
      <c r="Y1069" s="78"/>
      <c r="Z1069" s="78"/>
      <c r="AA1069" s="78"/>
      <c r="AB1069" s="78"/>
      <c r="AC1069" s="78"/>
      <c r="AD1069" s="78"/>
    </row>
    <row r="1070" spans="1:30" ht="15" x14ac:dyDescent="0.2">
      <c r="A1070" s="11">
        <v>2027</v>
      </c>
      <c r="B1070" s="11">
        <f t="shared" si="180"/>
        <v>365</v>
      </c>
      <c r="C1070" s="81">
        <f t="shared" ref="C1070:T1070" si="197">AVERAGE(C168:C179)</f>
        <v>154.75825</v>
      </c>
      <c r="D1070" s="81">
        <f t="shared" si="197"/>
        <v>281.0162499999999</v>
      </c>
      <c r="E1070" s="81">
        <f t="shared" si="197"/>
        <v>109.1005</v>
      </c>
      <c r="F1070" s="81">
        <f t="shared" si="197"/>
        <v>57.041666666666664</v>
      </c>
      <c r="G1070" s="81">
        <f t="shared" si="197"/>
        <v>40</v>
      </c>
      <c r="H1070" s="81">
        <f t="shared" si="197"/>
        <v>174.58333333333334</v>
      </c>
      <c r="I1070" s="81">
        <f t="shared" si="197"/>
        <v>0</v>
      </c>
      <c r="J1070" s="81">
        <f t="shared" si="197"/>
        <v>100</v>
      </c>
      <c r="K1070" s="81">
        <f t="shared" si="197"/>
        <v>300</v>
      </c>
      <c r="L1070" s="81">
        <f t="shared" si="197"/>
        <v>1216.5</v>
      </c>
      <c r="M1070" s="83">
        <f t="shared" si="197"/>
        <v>600</v>
      </c>
      <c r="N1070" s="81">
        <f t="shared" si="197"/>
        <v>72.5</v>
      </c>
      <c r="O1070" s="82">
        <f t="shared" si="197"/>
        <v>240</v>
      </c>
      <c r="P1070" s="82">
        <f t="shared" si="197"/>
        <v>110</v>
      </c>
      <c r="Q1070" s="82">
        <f t="shared" si="197"/>
        <v>245</v>
      </c>
      <c r="R1070" s="82">
        <f t="shared" si="197"/>
        <v>100</v>
      </c>
      <c r="S1070" s="81">
        <f t="shared" si="197"/>
        <v>695</v>
      </c>
      <c r="T1070" s="81">
        <f t="shared" si="197"/>
        <v>33.333333333333336</v>
      </c>
      <c r="U1070" s="78"/>
      <c r="V1070" s="78"/>
      <c r="W1070" s="78"/>
      <c r="X1070" s="78"/>
      <c r="Y1070" s="78"/>
      <c r="Z1070" s="78"/>
      <c r="AA1070" s="78"/>
      <c r="AB1070" s="78"/>
      <c r="AC1070" s="78"/>
      <c r="AD1070" s="78"/>
    </row>
    <row r="1071" spans="1:30" ht="15" x14ac:dyDescent="0.2">
      <c r="A1071" s="11">
        <v>2028</v>
      </c>
      <c r="B1071" s="11">
        <f t="shared" si="180"/>
        <v>366</v>
      </c>
      <c r="C1071" s="81">
        <f t="shared" ref="C1071:T1071" si="198">AVERAGE(C180:C191)</f>
        <v>154.75825</v>
      </c>
      <c r="D1071" s="81">
        <f t="shared" si="198"/>
        <v>281.0162499999999</v>
      </c>
      <c r="E1071" s="81">
        <f t="shared" si="198"/>
        <v>109.1005</v>
      </c>
      <c r="F1071" s="81">
        <f t="shared" si="198"/>
        <v>57.041666666666664</v>
      </c>
      <c r="G1071" s="81">
        <f t="shared" si="198"/>
        <v>40</v>
      </c>
      <c r="H1071" s="81">
        <f t="shared" si="198"/>
        <v>174.58333333333334</v>
      </c>
      <c r="I1071" s="81">
        <f t="shared" si="198"/>
        <v>0</v>
      </c>
      <c r="J1071" s="81">
        <f t="shared" si="198"/>
        <v>100</v>
      </c>
      <c r="K1071" s="81">
        <f t="shared" si="198"/>
        <v>300</v>
      </c>
      <c r="L1071" s="81">
        <f t="shared" si="198"/>
        <v>1216.5</v>
      </c>
      <c r="M1071" s="83">
        <f t="shared" si="198"/>
        <v>600</v>
      </c>
      <c r="N1071" s="81">
        <f t="shared" si="198"/>
        <v>72.5</v>
      </c>
      <c r="O1071" s="82">
        <f t="shared" si="198"/>
        <v>240</v>
      </c>
      <c r="P1071" s="82">
        <f t="shared" si="198"/>
        <v>110</v>
      </c>
      <c r="Q1071" s="82">
        <f t="shared" si="198"/>
        <v>245</v>
      </c>
      <c r="R1071" s="82">
        <f t="shared" si="198"/>
        <v>100</v>
      </c>
      <c r="S1071" s="81">
        <f t="shared" si="198"/>
        <v>695</v>
      </c>
      <c r="T1071" s="81">
        <f t="shared" si="198"/>
        <v>33.333333333333336</v>
      </c>
      <c r="U1071" s="78"/>
      <c r="V1071" s="78"/>
      <c r="W1071" s="78"/>
      <c r="X1071" s="78"/>
      <c r="Y1071" s="78"/>
      <c r="Z1071" s="78"/>
      <c r="AA1071" s="78"/>
      <c r="AB1071" s="78"/>
      <c r="AC1071" s="78"/>
      <c r="AD1071" s="78"/>
    </row>
    <row r="1072" spans="1:30" ht="15" x14ac:dyDescent="0.2">
      <c r="A1072" s="11">
        <v>2029</v>
      </c>
      <c r="B1072" s="11">
        <f t="shared" si="180"/>
        <v>365</v>
      </c>
      <c r="C1072" s="81">
        <f t="shared" ref="C1072:T1072" si="199">AVERAGE(C192:C203)</f>
        <v>154.75825</v>
      </c>
      <c r="D1072" s="81">
        <f t="shared" si="199"/>
        <v>281.0162499999999</v>
      </c>
      <c r="E1072" s="81">
        <f t="shared" si="199"/>
        <v>109.1005</v>
      </c>
      <c r="F1072" s="81">
        <f t="shared" si="199"/>
        <v>57.041666666666664</v>
      </c>
      <c r="G1072" s="81">
        <f t="shared" si="199"/>
        <v>40</v>
      </c>
      <c r="H1072" s="81">
        <f t="shared" si="199"/>
        <v>174.58333333333334</v>
      </c>
      <c r="I1072" s="81">
        <f t="shared" si="199"/>
        <v>0</v>
      </c>
      <c r="J1072" s="81">
        <f t="shared" si="199"/>
        <v>100</v>
      </c>
      <c r="K1072" s="81">
        <f t="shared" si="199"/>
        <v>300</v>
      </c>
      <c r="L1072" s="81">
        <f t="shared" si="199"/>
        <v>1216.5</v>
      </c>
      <c r="M1072" s="83">
        <f t="shared" si="199"/>
        <v>600</v>
      </c>
      <c r="N1072" s="81">
        <f t="shared" si="199"/>
        <v>72.5</v>
      </c>
      <c r="O1072" s="82">
        <f t="shared" si="199"/>
        <v>240</v>
      </c>
      <c r="P1072" s="82">
        <f t="shared" si="199"/>
        <v>110</v>
      </c>
      <c r="Q1072" s="82">
        <f t="shared" si="199"/>
        <v>245</v>
      </c>
      <c r="R1072" s="82">
        <f t="shared" si="199"/>
        <v>100</v>
      </c>
      <c r="S1072" s="81">
        <f t="shared" si="199"/>
        <v>695</v>
      </c>
      <c r="T1072" s="81">
        <f t="shared" si="199"/>
        <v>33.333333333333336</v>
      </c>
      <c r="U1072" s="78"/>
      <c r="V1072" s="78"/>
      <c r="W1072" s="78"/>
      <c r="X1072" s="78"/>
      <c r="Y1072" s="78"/>
      <c r="Z1072" s="78"/>
      <c r="AA1072" s="78"/>
      <c r="AB1072" s="78"/>
      <c r="AC1072" s="78"/>
      <c r="AD1072" s="78"/>
    </row>
    <row r="1073" spans="1:30" ht="15" x14ac:dyDescent="0.2">
      <c r="A1073" s="11">
        <v>2030</v>
      </c>
      <c r="B1073" s="11">
        <f t="shared" si="180"/>
        <v>365</v>
      </c>
      <c r="C1073" s="81">
        <f t="shared" ref="C1073:T1073" si="200">AVERAGE(C204:C215)</f>
        <v>154.75825</v>
      </c>
      <c r="D1073" s="81">
        <f t="shared" si="200"/>
        <v>281.0162499999999</v>
      </c>
      <c r="E1073" s="81">
        <f t="shared" si="200"/>
        <v>109.1005</v>
      </c>
      <c r="F1073" s="81">
        <f t="shared" si="200"/>
        <v>57.041666666666664</v>
      </c>
      <c r="G1073" s="81">
        <f t="shared" si="200"/>
        <v>40</v>
      </c>
      <c r="H1073" s="81">
        <f t="shared" si="200"/>
        <v>174.58333333333334</v>
      </c>
      <c r="I1073" s="81">
        <f t="shared" si="200"/>
        <v>0</v>
      </c>
      <c r="J1073" s="81">
        <f t="shared" si="200"/>
        <v>100</v>
      </c>
      <c r="K1073" s="81">
        <f t="shared" si="200"/>
        <v>300</v>
      </c>
      <c r="L1073" s="81">
        <f t="shared" si="200"/>
        <v>1216.5</v>
      </c>
      <c r="M1073" s="83">
        <f t="shared" si="200"/>
        <v>600</v>
      </c>
      <c r="N1073" s="81">
        <f t="shared" si="200"/>
        <v>72.5</v>
      </c>
      <c r="O1073" s="82">
        <f t="shared" si="200"/>
        <v>240</v>
      </c>
      <c r="P1073" s="82">
        <f t="shared" si="200"/>
        <v>110</v>
      </c>
      <c r="Q1073" s="82">
        <f t="shared" si="200"/>
        <v>245</v>
      </c>
      <c r="R1073" s="82">
        <f t="shared" si="200"/>
        <v>100</v>
      </c>
      <c r="S1073" s="81">
        <f t="shared" si="200"/>
        <v>695</v>
      </c>
      <c r="T1073" s="81">
        <f t="shared" si="200"/>
        <v>33.333333333333336</v>
      </c>
      <c r="U1073" s="78"/>
      <c r="V1073" s="78"/>
      <c r="W1073" s="78"/>
      <c r="X1073" s="78"/>
      <c r="Y1073" s="78"/>
      <c r="Z1073" s="78"/>
      <c r="AA1073" s="78"/>
      <c r="AB1073" s="78"/>
      <c r="AC1073" s="78"/>
      <c r="AD1073" s="78"/>
    </row>
    <row r="1074" spans="1:30" ht="15" x14ac:dyDescent="0.2">
      <c r="A1074" s="11">
        <v>2031</v>
      </c>
      <c r="B1074" s="11">
        <f t="shared" si="180"/>
        <v>365</v>
      </c>
      <c r="C1074" s="81">
        <f t="shared" ref="C1074:T1074" si="201">AVERAGE(C216:C227)</f>
        <v>154.75825</v>
      </c>
      <c r="D1074" s="81">
        <f t="shared" si="201"/>
        <v>281.0162499999999</v>
      </c>
      <c r="E1074" s="81">
        <f t="shared" si="201"/>
        <v>109.1005</v>
      </c>
      <c r="F1074" s="81">
        <f t="shared" si="201"/>
        <v>57.041666666666664</v>
      </c>
      <c r="G1074" s="81">
        <f t="shared" si="201"/>
        <v>40</v>
      </c>
      <c r="H1074" s="81">
        <f t="shared" si="201"/>
        <v>174.58333333333334</v>
      </c>
      <c r="I1074" s="81">
        <f t="shared" si="201"/>
        <v>0</v>
      </c>
      <c r="J1074" s="81">
        <f t="shared" si="201"/>
        <v>100</v>
      </c>
      <c r="K1074" s="81">
        <f t="shared" si="201"/>
        <v>300</v>
      </c>
      <c r="L1074" s="81">
        <f t="shared" si="201"/>
        <v>1216.5</v>
      </c>
      <c r="M1074" s="83">
        <f t="shared" si="201"/>
        <v>600</v>
      </c>
      <c r="N1074" s="81">
        <f t="shared" si="201"/>
        <v>72.5</v>
      </c>
      <c r="O1074" s="82">
        <f t="shared" si="201"/>
        <v>240</v>
      </c>
      <c r="P1074" s="82">
        <f t="shared" si="201"/>
        <v>110</v>
      </c>
      <c r="Q1074" s="82">
        <f t="shared" si="201"/>
        <v>245</v>
      </c>
      <c r="R1074" s="82">
        <f t="shared" si="201"/>
        <v>100</v>
      </c>
      <c r="S1074" s="81">
        <f t="shared" si="201"/>
        <v>695</v>
      </c>
      <c r="T1074" s="81">
        <f t="shared" si="201"/>
        <v>33.333333333333336</v>
      </c>
      <c r="U1074" s="78"/>
      <c r="V1074" s="78"/>
      <c r="W1074" s="78"/>
      <c r="X1074" s="78"/>
      <c r="Y1074" s="78"/>
      <c r="Z1074" s="78"/>
      <c r="AA1074" s="78"/>
      <c r="AB1074" s="78"/>
      <c r="AC1074" s="78"/>
      <c r="AD1074" s="78"/>
    </row>
    <row r="1075" spans="1:30" ht="15" x14ac:dyDescent="0.2">
      <c r="A1075" s="11">
        <v>2032</v>
      </c>
      <c r="B1075" s="11">
        <f t="shared" si="180"/>
        <v>366</v>
      </c>
      <c r="C1075" s="81">
        <f t="shared" ref="C1075:T1075" si="202">AVERAGE(C228:C239)</f>
        <v>154.75825</v>
      </c>
      <c r="D1075" s="81">
        <f t="shared" si="202"/>
        <v>281.0162499999999</v>
      </c>
      <c r="E1075" s="81">
        <f t="shared" si="202"/>
        <v>109.1005</v>
      </c>
      <c r="F1075" s="81">
        <f t="shared" si="202"/>
        <v>57.041666666666664</v>
      </c>
      <c r="G1075" s="81">
        <f t="shared" si="202"/>
        <v>40</v>
      </c>
      <c r="H1075" s="81">
        <f t="shared" si="202"/>
        <v>174.58333333333334</v>
      </c>
      <c r="I1075" s="81">
        <f t="shared" si="202"/>
        <v>0</v>
      </c>
      <c r="J1075" s="81">
        <f t="shared" si="202"/>
        <v>100</v>
      </c>
      <c r="K1075" s="81">
        <f t="shared" si="202"/>
        <v>300</v>
      </c>
      <c r="L1075" s="81">
        <f t="shared" si="202"/>
        <v>1216.5</v>
      </c>
      <c r="M1075" s="83">
        <f t="shared" si="202"/>
        <v>600</v>
      </c>
      <c r="N1075" s="81">
        <f t="shared" si="202"/>
        <v>72.5</v>
      </c>
      <c r="O1075" s="82">
        <f t="shared" si="202"/>
        <v>240</v>
      </c>
      <c r="P1075" s="82">
        <f t="shared" si="202"/>
        <v>110</v>
      </c>
      <c r="Q1075" s="82">
        <f t="shared" si="202"/>
        <v>245</v>
      </c>
      <c r="R1075" s="82">
        <f t="shared" si="202"/>
        <v>100</v>
      </c>
      <c r="S1075" s="81">
        <f t="shared" si="202"/>
        <v>695</v>
      </c>
      <c r="T1075" s="81">
        <f t="shared" si="202"/>
        <v>33.333333333333336</v>
      </c>
      <c r="U1075" s="78"/>
      <c r="V1075" s="78"/>
      <c r="W1075" s="78"/>
      <c r="X1075" s="78"/>
      <c r="Y1075" s="78"/>
      <c r="Z1075" s="78"/>
      <c r="AA1075" s="78"/>
      <c r="AB1075" s="78"/>
      <c r="AC1075" s="78"/>
      <c r="AD1075" s="78"/>
    </row>
    <row r="1076" spans="1:30" ht="15" x14ac:dyDescent="0.2">
      <c r="A1076" s="11">
        <v>2033</v>
      </c>
      <c r="B1076" s="11">
        <f t="shared" si="180"/>
        <v>365</v>
      </c>
      <c r="C1076" s="81">
        <f t="shared" ref="C1076:T1076" si="203">AVERAGE(C240:C251)</f>
        <v>154.75825</v>
      </c>
      <c r="D1076" s="81">
        <f t="shared" si="203"/>
        <v>281.0162499999999</v>
      </c>
      <c r="E1076" s="81">
        <f t="shared" si="203"/>
        <v>109.1005</v>
      </c>
      <c r="F1076" s="81">
        <f t="shared" si="203"/>
        <v>57.041666666666664</v>
      </c>
      <c r="G1076" s="81">
        <f t="shared" si="203"/>
        <v>40</v>
      </c>
      <c r="H1076" s="81">
        <f t="shared" si="203"/>
        <v>174.58333333333334</v>
      </c>
      <c r="I1076" s="81">
        <f t="shared" si="203"/>
        <v>0</v>
      </c>
      <c r="J1076" s="81">
        <f t="shared" si="203"/>
        <v>100</v>
      </c>
      <c r="K1076" s="81">
        <f t="shared" si="203"/>
        <v>300</v>
      </c>
      <c r="L1076" s="81">
        <f t="shared" si="203"/>
        <v>1216.5</v>
      </c>
      <c r="M1076" s="83">
        <f t="shared" si="203"/>
        <v>600</v>
      </c>
      <c r="N1076" s="81">
        <f t="shared" si="203"/>
        <v>72.5</v>
      </c>
      <c r="O1076" s="82">
        <f t="shared" si="203"/>
        <v>240</v>
      </c>
      <c r="P1076" s="82">
        <f t="shared" si="203"/>
        <v>110</v>
      </c>
      <c r="Q1076" s="82">
        <f t="shared" si="203"/>
        <v>245</v>
      </c>
      <c r="R1076" s="82">
        <f t="shared" si="203"/>
        <v>100</v>
      </c>
      <c r="S1076" s="81">
        <f t="shared" si="203"/>
        <v>695</v>
      </c>
      <c r="T1076" s="81">
        <f t="shared" si="203"/>
        <v>33.333333333333336</v>
      </c>
      <c r="U1076" s="78"/>
      <c r="V1076" s="78"/>
      <c r="W1076" s="78"/>
      <c r="X1076" s="78"/>
      <c r="Y1076" s="78"/>
      <c r="Z1076" s="78"/>
      <c r="AA1076" s="78"/>
      <c r="AB1076" s="78"/>
      <c r="AC1076" s="78"/>
      <c r="AD1076" s="78"/>
    </row>
    <row r="1077" spans="1:30" ht="15" x14ac:dyDescent="0.2">
      <c r="A1077" s="11">
        <v>2034</v>
      </c>
      <c r="B1077" s="11">
        <f t="shared" si="180"/>
        <v>365</v>
      </c>
      <c r="C1077" s="81">
        <f t="shared" ref="C1077:T1077" si="204">AVERAGE(C252:C263)</f>
        <v>154.75825</v>
      </c>
      <c r="D1077" s="81">
        <f t="shared" si="204"/>
        <v>281.0162499999999</v>
      </c>
      <c r="E1077" s="81">
        <f t="shared" si="204"/>
        <v>109.1005</v>
      </c>
      <c r="F1077" s="81">
        <f t="shared" si="204"/>
        <v>57.041666666666664</v>
      </c>
      <c r="G1077" s="81">
        <f t="shared" si="204"/>
        <v>40</v>
      </c>
      <c r="H1077" s="81">
        <f t="shared" si="204"/>
        <v>174.58333333333334</v>
      </c>
      <c r="I1077" s="81">
        <f t="shared" si="204"/>
        <v>0</v>
      </c>
      <c r="J1077" s="81">
        <f t="shared" si="204"/>
        <v>100</v>
      </c>
      <c r="K1077" s="81">
        <f t="shared" si="204"/>
        <v>300</v>
      </c>
      <c r="L1077" s="81">
        <f t="shared" si="204"/>
        <v>1216.5</v>
      </c>
      <c r="M1077" s="83">
        <f t="shared" si="204"/>
        <v>600</v>
      </c>
      <c r="N1077" s="81">
        <f t="shared" si="204"/>
        <v>72.5</v>
      </c>
      <c r="O1077" s="82">
        <f t="shared" si="204"/>
        <v>240</v>
      </c>
      <c r="P1077" s="82">
        <f t="shared" si="204"/>
        <v>110</v>
      </c>
      <c r="Q1077" s="82">
        <f t="shared" si="204"/>
        <v>245</v>
      </c>
      <c r="R1077" s="82">
        <f t="shared" si="204"/>
        <v>100</v>
      </c>
      <c r="S1077" s="81">
        <f t="shared" si="204"/>
        <v>695</v>
      </c>
      <c r="T1077" s="81">
        <f t="shared" si="204"/>
        <v>33.333333333333336</v>
      </c>
      <c r="U1077" s="78"/>
      <c r="V1077" s="78"/>
      <c r="W1077" s="78"/>
      <c r="X1077" s="78"/>
      <c r="Y1077" s="78"/>
      <c r="Z1077" s="78"/>
      <c r="AA1077" s="78"/>
      <c r="AB1077" s="78"/>
      <c r="AC1077" s="78"/>
      <c r="AD1077" s="78"/>
    </row>
    <row r="1078" spans="1:30" ht="15" x14ac:dyDescent="0.2">
      <c r="A1078" s="11">
        <v>2035</v>
      </c>
      <c r="B1078" s="11">
        <f t="shared" si="180"/>
        <v>365</v>
      </c>
      <c r="C1078" s="81">
        <f t="shared" ref="C1078:T1078" si="205">AVERAGE(C264:C275)</f>
        <v>154.75825</v>
      </c>
      <c r="D1078" s="81">
        <f t="shared" si="205"/>
        <v>281.0162499999999</v>
      </c>
      <c r="E1078" s="81">
        <f t="shared" si="205"/>
        <v>109.1005</v>
      </c>
      <c r="F1078" s="81">
        <f t="shared" si="205"/>
        <v>57.041666666666664</v>
      </c>
      <c r="G1078" s="81">
        <f t="shared" si="205"/>
        <v>40</v>
      </c>
      <c r="H1078" s="81">
        <f t="shared" si="205"/>
        <v>174.58333333333334</v>
      </c>
      <c r="I1078" s="81">
        <f t="shared" si="205"/>
        <v>0</v>
      </c>
      <c r="J1078" s="81">
        <f t="shared" si="205"/>
        <v>100</v>
      </c>
      <c r="K1078" s="81">
        <f t="shared" si="205"/>
        <v>300</v>
      </c>
      <c r="L1078" s="81">
        <f t="shared" si="205"/>
        <v>1216.5</v>
      </c>
      <c r="M1078" s="83">
        <f t="shared" si="205"/>
        <v>600</v>
      </c>
      <c r="N1078" s="81">
        <f t="shared" si="205"/>
        <v>72.5</v>
      </c>
      <c r="O1078" s="82">
        <f t="shared" si="205"/>
        <v>240</v>
      </c>
      <c r="P1078" s="82">
        <f t="shared" si="205"/>
        <v>110</v>
      </c>
      <c r="Q1078" s="82">
        <f t="shared" si="205"/>
        <v>245</v>
      </c>
      <c r="R1078" s="82">
        <f t="shared" si="205"/>
        <v>100</v>
      </c>
      <c r="S1078" s="81">
        <f t="shared" si="205"/>
        <v>695</v>
      </c>
      <c r="T1078" s="81">
        <f t="shared" si="205"/>
        <v>33.333333333333336</v>
      </c>
      <c r="U1078" s="78"/>
      <c r="V1078" s="78"/>
      <c r="W1078" s="78"/>
      <c r="X1078" s="78"/>
      <c r="Y1078" s="78"/>
      <c r="Z1078" s="78"/>
      <c r="AA1078" s="78"/>
      <c r="AB1078" s="78"/>
      <c r="AC1078" s="78"/>
      <c r="AD1078" s="78"/>
    </row>
    <row r="1079" spans="1:30" ht="15" x14ac:dyDescent="0.2">
      <c r="A1079" s="11">
        <v>2036</v>
      </c>
      <c r="B1079" s="11">
        <f t="shared" si="180"/>
        <v>366</v>
      </c>
      <c r="C1079" s="81">
        <f t="shared" ref="C1079:T1079" si="206">AVERAGE(C276:C287)</f>
        <v>154.75825</v>
      </c>
      <c r="D1079" s="81">
        <f t="shared" si="206"/>
        <v>281.0162499999999</v>
      </c>
      <c r="E1079" s="81">
        <f t="shared" si="206"/>
        <v>109.1005</v>
      </c>
      <c r="F1079" s="81">
        <f t="shared" si="206"/>
        <v>57.041666666666664</v>
      </c>
      <c r="G1079" s="81">
        <f t="shared" si="206"/>
        <v>40</v>
      </c>
      <c r="H1079" s="81">
        <f t="shared" si="206"/>
        <v>174.58333333333334</v>
      </c>
      <c r="I1079" s="81">
        <f t="shared" si="206"/>
        <v>0</v>
      </c>
      <c r="J1079" s="81">
        <f t="shared" si="206"/>
        <v>100</v>
      </c>
      <c r="K1079" s="81">
        <f t="shared" si="206"/>
        <v>300</v>
      </c>
      <c r="L1079" s="81">
        <f t="shared" si="206"/>
        <v>1216.5</v>
      </c>
      <c r="M1079" s="83">
        <f t="shared" si="206"/>
        <v>600</v>
      </c>
      <c r="N1079" s="81">
        <f t="shared" si="206"/>
        <v>72.5</v>
      </c>
      <c r="O1079" s="82">
        <f t="shared" si="206"/>
        <v>240</v>
      </c>
      <c r="P1079" s="82">
        <f t="shared" si="206"/>
        <v>110</v>
      </c>
      <c r="Q1079" s="82">
        <f t="shared" si="206"/>
        <v>245</v>
      </c>
      <c r="R1079" s="82">
        <f t="shared" si="206"/>
        <v>100</v>
      </c>
      <c r="S1079" s="81">
        <f t="shared" si="206"/>
        <v>695</v>
      </c>
      <c r="T1079" s="81">
        <f t="shared" si="206"/>
        <v>33.333333333333336</v>
      </c>
      <c r="U1079" s="78"/>
      <c r="V1079" s="78"/>
      <c r="W1079" s="78"/>
      <c r="X1079" s="78"/>
      <c r="Y1079" s="78"/>
      <c r="Z1079" s="78"/>
      <c r="AA1079" s="78"/>
      <c r="AB1079" s="78"/>
      <c r="AC1079" s="78"/>
      <c r="AD1079" s="78"/>
    </row>
    <row r="1080" spans="1:30" ht="15" x14ac:dyDescent="0.2">
      <c r="A1080" s="11">
        <v>2037</v>
      </c>
      <c r="B1080" s="11">
        <f t="shared" si="180"/>
        <v>365</v>
      </c>
      <c r="C1080" s="81">
        <f t="shared" ref="C1080:T1080" si="207">AVERAGE(C288:C299)</f>
        <v>154.75825</v>
      </c>
      <c r="D1080" s="81">
        <f t="shared" si="207"/>
        <v>281.0162499999999</v>
      </c>
      <c r="E1080" s="81">
        <f t="shared" si="207"/>
        <v>109.1005</v>
      </c>
      <c r="F1080" s="81">
        <f t="shared" si="207"/>
        <v>57.041666666666664</v>
      </c>
      <c r="G1080" s="81">
        <f t="shared" si="207"/>
        <v>40</v>
      </c>
      <c r="H1080" s="81">
        <f t="shared" si="207"/>
        <v>174.58333333333334</v>
      </c>
      <c r="I1080" s="81">
        <f t="shared" si="207"/>
        <v>0</v>
      </c>
      <c r="J1080" s="81">
        <f t="shared" si="207"/>
        <v>100</v>
      </c>
      <c r="K1080" s="81">
        <f t="shared" si="207"/>
        <v>300</v>
      </c>
      <c r="L1080" s="81">
        <f t="shared" si="207"/>
        <v>1216.5</v>
      </c>
      <c r="M1080" s="83">
        <f t="shared" si="207"/>
        <v>600</v>
      </c>
      <c r="N1080" s="81">
        <f t="shared" si="207"/>
        <v>72.5</v>
      </c>
      <c r="O1080" s="82">
        <f t="shared" si="207"/>
        <v>240</v>
      </c>
      <c r="P1080" s="82">
        <f t="shared" si="207"/>
        <v>110</v>
      </c>
      <c r="Q1080" s="82">
        <f t="shared" si="207"/>
        <v>245</v>
      </c>
      <c r="R1080" s="82">
        <f t="shared" si="207"/>
        <v>100</v>
      </c>
      <c r="S1080" s="81">
        <f t="shared" si="207"/>
        <v>695</v>
      </c>
      <c r="T1080" s="81">
        <f t="shared" si="207"/>
        <v>33.333333333333336</v>
      </c>
      <c r="U1080" s="78"/>
      <c r="V1080" s="78"/>
      <c r="W1080" s="78"/>
      <c r="X1080" s="78"/>
      <c r="Y1080" s="78"/>
      <c r="Z1080" s="78"/>
      <c r="AA1080" s="78"/>
      <c r="AB1080" s="78"/>
      <c r="AC1080" s="78"/>
      <c r="AD1080" s="78"/>
    </row>
    <row r="1081" spans="1:30" ht="15" x14ac:dyDescent="0.2">
      <c r="A1081" s="11">
        <f t="shared" ref="A1081:A1112" si="208">A1080+1</f>
        <v>2038</v>
      </c>
      <c r="B1081" s="11">
        <f t="shared" si="180"/>
        <v>365</v>
      </c>
      <c r="C1081" s="77">
        <f t="shared" ref="C1081:T1081" si="209">AVERAGE(C300:C311)</f>
        <v>154.75825</v>
      </c>
      <c r="D1081" s="77">
        <f t="shared" si="209"/>
        <v>281.0162499999999</v>
      </c>
      <c r="E1081" s="77">
        <f t="shared" si="209"/>
        <v>109.1005</v>
      </c>
      <c r="F1081" s="77">
        <f t="shared" si="209"/>
        <v>57.041666666666664</v>
      </c>
      <c r="G1081" s="77">
        <f t="shared" si="209"/>
        <v>40</v>
      </c>
      <c r="H1081" s="77">
        <f t="shared" si="209"/>
        <v>174.58333333333334</v>
      </c>
      <c r="I1081" s="77">
        <f t="shared" si="209"/>
        <v>0</v>
      </c>
      <c r="J1081" s="77">
        <f t="shared" si="209"/>
        <v>100</v>
      </c>
      <c r="K1081" s="77">
        <f t="shared" si="209"/>
        <v>300</v>
      </c>
      <c r="L1081" s="77">
        <f t="shared" si="209"/>
        <v>1216.5</v>
      </c>
      <c r="M1081" s="79">
        <f t="shared" si="209"/>
        <v>600</v>
      </c>
      <c r="N1081" s="77">
        <f t="shared" si="209"/>
        <v>72.5</v>
      </c>
      <c r="O1081" s="80">
        <f t="shared" si="209"/>
        <v>240</v>
      </c>
      <c r="P1081" s="80">
        <f t="shared" si="209"/>
        <v>110</v>
      </c>
      <c r="Q1081" s="80">
        <f t="shared" si="209"/>
        <v>245</v>
      </c>
      <c r="R1081" s="80">
        <f t="shared" si="209"/>
        <v>100</v>
      </c>
      <c r="S1081" s="77">
        <f t="shared" si="209"/>
        <v>695</v>
      </c>
      <c r="T1081" s="77">
        <f t="shared" si="209"/>
        <v>33.333333333333336</v>
      </c>
      <c r="U1081" s="78"/>
      <c r="V1081" s="78"/>
      <c r="W1081" s="78"/>
      <c r="X1081" s="78"/>
      <c r="Y1081" s="78"/>
      <c r="Z1081" s="78"/>
      <c r="AA1081" s="78"/>
      <c r="AB1081" s="78"/>
      <c r="AC1081" s="78"/>
      <c r="AD1081" s="78"/>
    </row>
    <row r="1082" spans="1:30" ht="15" x14ac:dyDescent="0.2">
      <c r="A1082" s="11">
        <f t="shared" si="208"/>
        <v>2039</v>
      </c>
      <c r="B1082" s="11">
        <f t="shared" si="180"/>
        <v>365</v>
      </c>
      <c r="C1082" s="77">
        <f t="shared" ref="C1082:T1082" si="210">AVERAGE(C312:C323)</f>
        <v>154.75825</v>
      </c>
      <c r="D1082" s="77">
        <f t="shared" si="210"/>
        <v>281.0162499999999</v>
      </c>
      <c r="E1082" s="77">
        <f t="shared" si="210"/>
        <v>109.1005</v>
      </c>
      <c r="F1082" s="77">
        <f t="shared" si="210"/>
        <v>57.041666666666664</v>
      </c>
      <c r="G1082" s="77">
        <f t="shared" si="210"/>
        <v>40</v>
      </c>
      <c r="H1082" s="77">
        <f t="shared" si="210"/>
        <v>174.58333333333334</v>
      </c>
      <c r="I1082" s="77">
        <f t="shared" si="210"/>
        <v>0</v>
      </c>
      <c r="J1082" s="77">
        <f t="shared" si="210"/>
        <v>100</v>
      </c>
      <c r="K1082" s="77">
        <f t="shared" si="210"/>
        <v>300</v>
      </c>
      <c r="L1082" s="77">
        <f t="shared" si="210"/>
        <v>1216.5</v>
      </c>
      <c r="M1082" s="79">
        <f t="shared" si="210"/>
        <v>600</v>
      </c>
      <c r="N1082" s="77">
        <f t="shared" si="210"/>
        <v>72.5</v>
      </c>
      <c r="O1082" s="80">
        <f t="shared" si="210"/>
        <v>240</v>
      </c>
      <c r="P1082" s="80">
        <f t="shared" si="210"/>
        <v>110</v>
      </c>
      <c r="Q1082" s="80">
        <f t="shared" si="210"/>
        <v>245</v>
      </c>
      <c r="R1082" s="80">
        <f t="shared" si="210"/>
        <v>100</v>
      </c>
      <c r="S1082" s="77">
        <f t="shared" si="210"/>
        <v>695</v>
      </c>
      <c r="T1082" s="77">
        <f t="shared" si="210"/>
        <v>33.333333333333336</v>
      </c>
      <c r="U1082" s="78"/>
      <c r="V1082" s="78"/>
      <c r="W1082" s="78"/>
      <c r="X1082" s="78"/>
      <c r="Y1082" s="78"/>
      <c r="Z1082" s="78"/>
      <c r="AA1082" s="78"/>
      <c r="AB1082" s="78"/>
      <c r="AC1082" s="78"/>
      <c r="AD1082" s="78"/>
    </row>
    <row r="1083" spans="1:30" ht="15" x14ac:dyDescent="0.2">
      <c r="A1083" s="11">
        <f t="shared" si="208"/>
        <v>2040</v>
      </c>
      <c r="B1083" s="11">
        <f t="shared" si="180"/>
        <v>366</v>
      </c>
      <c r="C1083" s="77">
        <f t="shared" ref="C1083:T1083" si="211">AVERAGE(C324:C335)</f>
        <v>154.75825</v>
      </c>
      <c r="D1083" s="77">
        <f t="shared" si="211"/>
        <v>281.0162499999999</v>
      </c>
      <c r="E1083" s="77">
        <f t="shared" si="211"/>
        <v>109.1005</v>
      </c>
      <c r="F1083" s="77">
        <f t="shared" si="211"/>
        <v>57.041666666666664</v>
      </c>
      <c r="G1083" s="77">
        <f t="shared" si="211"/>
        <v>40</v>
      </c>
      <c r="H1083" s="77">
        <f t="shared" si="211"/>
        <v>174.58333333333334</v>
      </c>
      <c r="I1083" s="77">
        <f t="shared" si="211"/>
        <v>0</v>
      </c>
      <c r="J1083" s="77">
        <f t="shared" si="211"/>
        <v>100</v>
      </c>
      <c r="K1083" s="77">
        <f t="shared" si="211"/>
        <v>300</v>
      </c>
      <c r="L1083" s="77">
        <f t="shared" si="211"/>
        <v>1216.5</v>
      </c>
      <c r="M1083" s="79">
        <f t="shared" si="211"/>
        <v>600</v>
      </c>
      <c r="N1083" s="77">
        <f t="shared" si="211"/>
        <v>72.5</v>
      </c>
      <c r="O1083" s="80">
        <f t="shared" si="211"/>
        <v>240</v>
      </c>
      <c r="P1083" s="80">
        <f t="shared" si="211"/>
        <v>110</v>
      </c>
      <c r="Q1083" s="80">
        <f t="shared" si="211"/>
        <v>245</v>
      </c>
      <c r="R1083" s="80">
        <f t="shared" si="211"/>
        <v>100</v>
      </c>
      <c r="S1083" s="77">
        <f t="shared" si="211"/>
        <v>695</v>
      </c>
      <c r="T1083" s="77">
        <f t="shared" si="211"/>
        <v>33.333333333333336</v>
      </c>
      <c r="U1083" s="78"/>
      <c r="V1083" s="78"/>
      <c r="W1083" s="78"/>
      <c r="X1083" s="78"/>
      <c r="Y1083" s="78"/>
      <c r="Z1083" s="78"/>
      <c r="AA1083" s="78"/>
      <c r="AB1083" s="78"/>
      <c r="AC1083" s="78"/>
      <c r="AD1083" s="78"/>
    </row>
    <row r="1084" spans="1:30" ht="15" x14ac:dyDescent="0.2">
      <c r="A1084" s="11">
        <f t="shared" si="208"/>
        <v>2041</v>
      </c>
      <c r="B1084" s="11">
        <f t="shared" si="180"/>
        <v>365</v>
      </c>
      <c r="C1084" s="77">
        <f t="shared" ref="C1084:T1084" si="212">AVERAGE(C336:C347)</f>
        <v>154.75825</v>
      </c>
      <c r="D1084" s="77">
        <f t="shared" si="212"/>
        <v>281.0162499999999</v>
      </c>
      <c r="E1084" s="77">
        <f t="shared" si="212"/>
        <v>109.1005</v>
      </c>
      <c r="F1084" s="77">
        <f t="shared" si="212"/>
        <v>57.041666666666664</v>
      </c>
      <c r="G1084" s="77">
        <f t="shared" si="212"/>
        <v>40</v>
      </c>
      <c r="H1084" s="77">
        <f t="shared" si="212"/>
        <v>174.58333333333334</v>
      </c>
      <c r="I1084" s="77">
        <f t="shared" si="212"/>
        <v>0</v>
      </c>
      <c r="J1084" s="77">
        <f t="shared" si="212"/>
        <v>100</v>
      </c>
      <c r="K1084" s="77">
        <f t="shared" si="212"/>
        <v>300</v>
      </c>
      <c r="L1084" s="77">
        <f t="shared" si="212"/>
        <v>1216.5</v>
      </c>
      <c r="M1084" s="79">
        <f t="shared" si="212"/>
        <v>600</v>
      </c>
      <c r="N1084" s="77">
        <f t="shared" si="212"/>
        <v>72.5</v>
      </c>
      <c r="O1084" s="80">
        <f t="shared" si="212"/>
        <v>240</v>
      </c>
      <c r="P1084" s="80">
        <f t="shared" si="212"/>
        <v>110</v>
      </c>
      <c r="Q1084" s="80">
        <f t="shared" si="212"/>
        <v>245</v>
      </c>
      <c r="R1084" s="80">
        <f t="shared" si="212"/>
        <v>100</v>
      </c>
      <c r="S1084" s="77">
        <f t="shared" si="212"/>
        <v>695</v>
      </c>
      <c r="T1084" s="77">
        <f t="shared" si="212"/>
        <v>33.333333333333336</v>
      </c>
      <c r="U1084" s="78"/>
      <c r="V1084" s="78"/>
      <c r="W1084" s="78"/>
      <c r="X1084" s="78"/>
      <c r="Y1084" s="78"/>
      <c r="Z1084" s="78"/>
      <c r="AA1084" s="78"/>
      <c r="AB1084" s="78"/>
      <c r="AC1084" s="78"/>
      <c r="AD1084" s="78"/>
    </row>
    <row r="1085" spans="1:30" ht="15" x14ac:dyDescent="0.2">
      <c r="A1085" s="11">
        <f t="shared" si="208"/>
        <v>2042</v>
      </c>
      <c r="B1085" s="11">
        <f t="shared" si="180"/>
        <v>365</v>
      </c>
      <c r="C1085" s="77">
        <f t="shared" ref="C1085:T1085" si="213">AVERAGE(C348:C359)</f>
        <v>154.75825</v>
      </c>
      <c r="D1085" s="77">
        <f t="shared" si="213"/>
        <v>281.0162499999999</v>
      </c>
      <c r="E1085" s="77">
        <f t="shared" si="213"/>
        <v>109.1005</v>
      </c>
      <c r="F1085" s="77">
        <f t="shared" si="213"/>
        <v>57.041666666666664</v>
      </c>
      <c r="G1085" s="77">
        <f t="shared" si="213"/>
        <v>40</v>
      </c>
      <c r="H1085" s="77">
        <f t="shared" si="213"/>
        <v>174.58333333333334</v>
      </c>
      <c r="I1085" s="77">
        <f t="shared" si="213"/>
        <v>0</v>
      </c>
      <c r="J1085" s="77">
        <f t="shared" si="213"/>
        <v>100</v>
      </c>
      <c r="K1085" s="77">
        <f t="shared" si="213"/>
        <v>300</v>
      </c>
      <c r="L1085" s="77">
        <f t="shared" si="213"/>
        <v>1216.5</v>
      </c>
      <c r="M1085" s="79">
        <f t="shared" si="213"/>
        <v>600</v>
      </c>
      <c r="N1085" s="77">
        <f t="shared" si="213"/>
        <v>72.5</v>
      </c>
      <c r="O1085" s="80">
        <f t="shared" si="213"/>
        <v>240</v>
      </c>
      <c r="P1085" s="80">
        <f t="shared" si="213"/>
        <v>110</v>
      </c>
      <c r="Q1085" s="80">
        <f t="shared" si="213"/>
        <v>245</v>
      </c>
      <c r="R1085" s="80">
        <f t="shared" si="213"/>
        <v>100</v>
      </c>
      <c r="S1085" s="77">
        <f t="shared" si="213"/>
        <v>695</v>
      </c>
      <c r="T1085" s="77">
        <f t="shared" si="213"/>
        <v>33.333333333333336</v>
      </c>
      <c r="U1085" s="78"/>
      <c r="V1085" s="78"/>
      <c r="W1085" s="78"/>
      <c r="X1085" s="78"/>
      <c r="Y1085" s="78"/>
      <c r="Z1085" s="78"/>
      <c r="AA1085" s="78"/>
      <c r="AB1085" s="78"/>
      <c r="AC1085" s="78"/>
      <c r="AD1085" s="78"/>
    </row>
    <row r="1086" spans="1:30" ht="15" x14ac:dyDescent="0.2">
      <c r="A1086" s="11">
        <f t="shared" si="208"/>
        <v>2043</v>
      </c>
      <c r="B1086" s="11">
        <f t="shared" si="180"/>
        <v>365</v>
      </c>
      <c r="C1086" s="77">
        <f t="shared" ref="C1086:T1086" si="214">AVERAGE(C360:C371)</f>
        <v>154.75825</v>
      </c>
      <c r="D1086" s="77">
        <f t="shared" si="214"/>
        <v>281.0162499999999</v>
      </c>
      <c r="E1086" s="77">
        <f t="shared" si="214"/>
        <v>109.1005</v>
      </c>
      <c r="F1086" s="77">
        <f t="shared" si="214"/>
        <v>57.041666666666664</v>
      </c>
      <c r="G1086" s="77">
        <f t="shared" si="214"/>
        <v>40</v>
      </c>
      <c r="H1086" s="77">
        <f t="shared" si="214"/>
        <v>174.58333333333334</v>
      </c>
      <c r="I1086" s="77">
        <f t="shared" si="214"/>
        <v>0</v>
      </c>
      <c r="J1086" s="77">
        <f t="shared" si="214"/>
        <v>100</v>
      </c>
      <c r="K1086" s="77">
        <f t="shared" si="214"/>
        <v>300</v>
      </c>
      <c r="L1086" s="77">
        <f t="shared" si="214"/>
        <v>1216.5</v>
      </c>
      <c r="M1086" s="79">
        <f t="shared" si="214"/>
        <v>600</v>
      </c>
      <c r="N1086" s="77">
        <f t="shared" si="214"/>
        <v>72.5</v>
      </c>
      <c r="O1086" s="80">
        <f t="shared" si="214"/>
        <v>240</v>
      </c>
      <c r="P1086" s="80">
        <f t="shared" si="214"/>
        <v>110</v>
      </c>
      <c r="Q1086" s="80">
        <f t="shared" si="214"/>
        <v>245</v>
      </c>
      <c r="R1086" s="80">
        <f t="shared" si="214"/>
        <v>100</v>
      </c>
      <c r="S1086" s="77">
        <f t="shared" si="214"/>
        <v>695</v>
      </c>
      <c r="T1086" s="77">
        <f t="shared" si="214"/>
        <v>33.333333333333336</v>
      </c>
      <c r="U1086" s="78"/>
      <c r="V1086" s="78"/>
      <c r="W1086" s="78"/>
      <c r="X1086" s="78"/>
      <c r="Y1086" s="78"/>
      <c r="Z1086" s="78"/>
      <c r="AA1086" s="78"/>
      <c r="AB1086" s="78"/>
      <c r="AC1086" s="78"/>
      <c r="AD1086" s="78"/>
    </row>
    <row r="1087" spans="1:30" ht="15" x14ac:dyDescent="0.2">
      <c r="A1087" s="11">
        <f t="shared" si="208"/>
        <v>2044</v>
      </c>
      <c r="B1087" s="11">
        <f t="shared" si="180"/>
        <v>366</v>
      </c>
      <c r="C1087" s="77">
        <f t="shared" ref="C1087:T1087" si="215">AVERAGE(C372:C383)</f>
        <v>154.75825</v>
      </c>
      <c r="D1087" s="77">
        <f t="shared" si="215"/>
        <v>281.0162499999999</v>
      </c>
      <c r="E1087" s="77">
        <f t="shared" si="215"/>
        <v>109.1005</v>
      </c>
      <c r="F1087" s="77">
        <f t="shared" si="215"/>
        <v>57.041666666666664</v>
      </c>
      <c r="G1087" s="77">
        <f t="shared" si="215"/>
        <v>40</v>
      </c>
      <c r="H1087" s="77">
        <f t="shared" si="215"/>
        <v>174.58333333333334</v>
      </c>
      <c r="I1087" s="77">
        <f t="shared" si="215"/>
        <v>0</v>
      </c>
      <c r="J1087" s="77">
        <f t="shared" si="215"/>
        <v>100</v>
      </c>
      <c r="K1087" s="77">
        <f t="shared" si="215"/>
        <v>300</v>
      </c>
      <c r="L1087" s="77">
        <f t="shared" si="215"/>
        <v>1216.5</v>
      </c>
      <c r="M1087" s="79">
        <f t="shared" si="215"/>
        <v>600</v>
      </c>
      <c r="N1087" s="77">
        <f t="shared" si="215"/>
        <v>72.5</v>
      </c>
      <c r="O1087" s="80">
        <f t="shared" si="215"/>
        <v>240</v>
      </c>
      <c r="P1087" s="80">
        <f t="shared" si="215"/>
        <v>110</v>
      </c>
      <c r="Q1087" s="80">
        <f t="shared" si="215"/>
        <v>245</v>
      </c>
      <c r="R1087" s="80">
        <f t="shared" si="215"/>
        <v>100</v>
      </c>
      <c r="S1087" s="77">
        <f t="shared" si="215"/>
        <v>695</v>
      </c>
      <c r="T1087" s="77">
        <f t="shared" si="215"/>
        <v>33.333333333333336</v>
      </c>
      <c r="U1087" s="78"/>
      <c r="V1087" s="78"/>
      <c r="W1087" s="78"/>
      <c r="X1087" s="78"/>
      <c r="Y1087" s="78"/>
      <c r="Z1087" s="78"/>
      <c r="AA1087" s="78"/>
      <c r="AB1087" s="78"/>
      <c r="AC1087" s="78"/>
      <c r="AD1087" s="78"/>
    </row>
    <row r="1088" spans="1:30" ht="15" x14ac:dyDescent="0.2">
      <c r="A1088" s="11">
        <f t="shared" si="208"/>
        <v>2045</v>
      </c>
      <c r="B1088" s="11">
        <f t="shared" si="180"/>
        <v>365</v>
      </c>
      <c r="C1088" s="77">
        <f t="shared" ref="C1088:T1088" si="216">AVERAGE(C384:C395)</f>
        <v>154.75825</v>
      </c>
      <c r="D1088" s="77">
        <f t="shared" si="216"/>
        <v>281.0162499999999</v>
      </c>
      <c r="E1088" s="77">
        <f t="shared" si="216"/>
        <v>109.1005</v>
      </c>
      <c r="F1088" s="77">
        <f t="shared" si="216"/>
        <v>57.041666666666664</v>
      </c>
      <c r="G1088" s="77">
        <f t="shared" si="216"/>
        <v>40</v>
      </c>
      <c r="H1088" s="77">
        <f t="shared" si="216"/>
        <v>174.58333333333334</v>
      </c>
      <c r="I1088" s="77">
        <f t="shared" si="216"/>
        <v>0</v>
      </c>
      <c r="J1088" s="77">
        <f t="shared" si="216"/>
        <v>100</v>
      </c>
      <c r="K1088" s="77">
        <f t="shared" si="216"/>
        <v>300</v>
      </c>
      <c r="L1088" s="77">
        <f t="shared" si="216"/>
        <v>1216.5</v>
      </c>
      <c r="M1088" s="79">
        <f t="shared" si="216"/>
        <v>600</v>
      </c>
      <c r="N1088" s="77">
        <f t="shared" si="216"/>
        <v>72.5</v>
      </c>
      <c r="O1088" s="80">
        <f t="shared" si="216"/>
        <v>240</v>
      </c>
      <c r="P1088" s="80">
        <f t="shared" si="216"/>
        <v>110</v>
      </c>
      <c r="Q1088" s="80">
        <f t="shared" si="216"/>
        <v>245</v>
      </c>
      <c r="R1088" s="80">
        <f t="shared" si="216"/>
        <v>100</v>
      </c>
      <c r="S1088" s="77">
        <f t="shared" si="216"/>
        <v>695</v>
      </c>
      <c r="T1088" s="77">
        <f t="shared" si="216"/>
        <v>33.333333333333336</v>
      </c>
      <c r="U1088" s="78"/>
      <c r="V1088" s="78"/>
      <c r="W1088" s="78"/>
      <c r="X1088" s="78"/>
      <c r="Y1088" s="78"/>
      <c r="Z1088" s="78"/>
      <c r="AA1088" s="78"/>
      <c r="AB1088" s="78"/>
      <c r="AC1088" s="78"/>
      <c r="AD1088" s="78"/>
    </row>
    <row r="1089" spans="1:30" ht="15" x14ac:dyDescent="0.2">
      <c r="A1089" s="11">
        <f t="shared" si="208"/>
        <v>2046</v>
      </c>
      <c r="B1089" s="11">
        <f t="shared" ref="B1089:B1120" si="217">DATE(A1089+1,1,1)-DATE(A1089,1,1)</f>
        <v>365</v>
      </c>
      <c r="C1089" s="77">
        <f t="shared" ref="C1089:T1089" si="218">AVERAGE(C396:C407)</f>
        <v>154.75825</v>
      </c>
      <c r="D1089" s="77">
        <f t="shared" si="218"/>
        <v>281.0162499999999</v>
      </c>
      <c r="E1089" s="77">
        <f t="shared" si="218"/>
        <v>109.1005</v>
      </c>
      <c r="F1089" s="77">
        <f t="shared" si="218"/>
        <v>57.041666666666664</v>
      </c>
      <c r="G1089" s="77">
        <f t="shared" si="218"/>
        <v>40</v>
      </c>
      <c r="H1089" s="77">
        <f t="shared" si="218"/>
        <v>174.58333333333334</v>
      </c>
      <c r="I1089" s="77">
        <f t="shared" si="218"/>
        <v>0</v>
      </c>
      <c r="J1089" s="77">
        <f t="shared" si="218"/>
        <v>100</v>
      </c>
      <c r="K1089" s="77">
        <f t="shared" si="218"/>
        <v>300</v>
      </c>
      <c r="L1089" s="77">
        <f t="shared" si="218"/>
        <v>1216.5</v>
      </c>
      <c r="M1089" s="79">
        <f t="shared" si="218"/>
        <v>600</v>
      </c>
      <c r="N1089" s="77">
        <f t="shared" si="218"/>
        <v>72.5</v>
      </c>
      <c r="O1089" s="80">
        <f t="shared" si="218"/>
        <v>240</v>
      </c>
      <c r="P1089" s="80">
        <f t="shared" si="218"/>
        <v>110</v>
      </c>
      <c r="Q1089" s="80">
        <f t="shared" si="218"/>
        <v>245</v>
      </c>
      <c r="R1089" s="80">
        <f t="shared" si="218"/>
        <v>100</v>
      </c>
      <c r="S1089" s="77">
        <f t="shared" si="218"/>
        <v>695</v>
      </c>
      <c r="T1089" s="77">
        <f t="shared" si="218"/>
        <v>33.333333333333336</v>
      </c>
      <c r="U1089" s="78"/>
      <c r="V1089" s="78"/>
      <c r="W1089" s="78"/>
      <c r="X1089" s="78"/>
      <c r="Y1089" s="78"/>
      <c r="Z1089" s="78"/>
      <c r="AA1089" s="78"/>
      <c r="AB1089" s="78"/>
      <c r="AC1089" s="78"/>
      <c r="AD1089" s="78"/>
    </row>
    <row r="1090" spans="1:30" ht="15" x14ac:dyDescent="0.2">
      <c r="A1090" s="11">
        <f t="shared" si="208"/>
        <v>2047</v>
      </c>
      <c r="B1090" s="11">
        <f t="shared" si="217"/>
        <v>365</v>
      </c>
      <c r="C1090" s="77">
        <f t="shared" ref="C1090:T1090" si="219">AVERAGE(C408:C419)</f>
        <v>154.75825</v>
      </c>
      <c r="D1090" s="77">
        <f t="shared" si="219"/>
        <v>281.0162499999999</v>
      </c>
      <c r="E1090" s="77">
        <f t="shared" si="219"/>
        <v>109.1005</v>
      </c>
      <c r="F1090" s="77">
        <f t="shared" si="219"/>
        <v>57.041666666666664</v>
      </c>
      <c r="G1090" s="77">
        <f t="shared" si="219"/>
        <v>40</v>
      </c>
      <c r="H1090" s="77">
        <f t="shared" si="219"/>
        <v>174.58333333333334</v>
      </c>
      <c r="I1090" s="77">
        <f t="shared" si="219"/>
        <v>0</v>
      </c>
      <c r="J1090" s="77">
        <f t="shared" si="219"/>
        <v>100</v>
      </c>
      <c r="K1090" s="77">
        <f t="shared" si="219"/>
        <v>300</v>
      </c>
      <c r="L1090" s="77">
        <f t="shared" si="219"/>
        <v>1216.5</v>
      </c>
      <c r="M1090" s="79">
        <f t="shared" si="219"/>
        <v>600</v>
      </c>
      <c r="N1090" s="77">
        <f t="shared" si="219"/>
        <v>72.5</v>
      </c>
      <c r="O1090" s="80">
        <f t="shared" si="219"/>
        <v>240</v>
      </c>
      <c r="P1090" s="80">
        <f t="shared" si="219"/>
        <v>110</v>
      </c>
      <c r="Q1090" s="80">
        <f t="shared" si="219"/>
        <v>245</v>
      </c>
      <c r="R1090" s="80">
        <f t="shared" si="219"/>
        <v>100</v>
      </c>
      <c r="S1090" s="77">
        <f t="shared" si="219"/>
        <v>695</v>
      </c>
      <c r="T1090" s="77">
        <f t="shared" si="219"/>
        <v>33.333333333333336</v>
      </c>
      <c r="U1090" s="78"/>
      <c r="V1090" s="78"/>
      <c r="W1090" s="78"/>
      <c r="X1090" s="78"/>
      <c r="Y1090" s="78"/>
      <c r="Z1090" s="78"/>
      <c r="AA1090" s="78"/>
      <c r="AB1090" s="78"/>
      <c r="AC1090" s="78"/>
      <c r="AD1090" s="78"/>
    </row>
    <row r="1091" spans="1:30" ht="15" x14ac:dyDescent="0.2">
      <c r="A1091" s="11">
        <f t="shared" si="208"/>
        <v>2048</v>
      </c>
      <c r="B1091" s="11">
        <f t="shared" si="217"/>
        <v>366</v>
      </c>
      <c r="C1091" s="77">
        <f t="shared" ref="C1091:T1091" si="220">AVERAGE(C420:C431)</f>
        <v>154.75825</v>
      </c>
      <c r="D1091" s="77">
        <f t="shared" si="220"/>
        <v>281.0162499999999</v>
      </c>
      <c r="E1091" s="77">
        <f t="shared" si="220"/>
        <v>109.1005</v>
      </c>
      <c r="F1091" s="77">
        <f t="shared" si="220"/>
        <v>57.041666666666664</v>
      </c>
      <c r="G1091" s="77">
        <f t="shared" si="220"/>
        <v>40</v>
      </c>
      <c r="H1091" s="77">
        <f t="shared" si="220"/>
        <v>174.58333333333334</v>
      </c>
      <c r="I1091" s="77">
        <f t="shared" si="220"/>
        <v>0</v>
      </c>
      <c r="J1091" s="77">
        <f t="shared" si="220"/>
        <v>100</v>
      </c>
      <c r="K1091" s="77">
        <f t="shared" si="220"/>
        <v>300</v>
      </c>
      <c r="L1091" s="77">
        <f t="shared" si="220"/>
        <v>1216.5</v>
      </c>
      <c r="M1091" s="79">
        <f t="shared" si="220"/>
        <v>600</v>
      </c>
      <c r="N1091" s="77">
        <f t="shared" si="220"/>
        <v>72.5</v>
      </c>
      <c r="O1091" s="80">
        <f t="shared" si="220"/>
        <v>240</v>
      </c>
      <c r="P1091" s="80">
        <f t="shared" si="220"/>
        <v>110</v>
      </c>
      <c r="Q1091" s="80">
        <f t="shared" si="220"/>
        <v>245</v>
      </c>
      <c r="R1091" s="80">
        <f t="shared" si="220"/>
        <v>100</v>
      </c>
      <c r="S1091" s="77">
        <f t="shared" si="220"/>
        <v>695</v>
      </c>
      <c r="T1091" s="77">
        <f t="shared" si="220"/>
        <v>33.333333333333336</v>
      </c>
      <c r="U1091" s="78"/>
      <c r="V1091" s="78"/>
      <c r="W1091" s="78"/>
      <c r="X1091" s="78"/>
      <c r="Y1091" s="78"/>
      <c r="Z1091" s="78"/>
      <c r="AA1091" s="78"/>
      <c r="AB1091" s="78"/>
      <c r="AC1091" s="78"/>
      <c r="AD1091" s="78"/>
    </row>
    <row r="1092" spans="1:30" ht="15" x14ac:dyDescent="0.2">
      <c r="A1092" s="11">
        <f t="shared" si="208"/>
        <v>2049</v>
      </c>
      <c r="B1092" s="11">
        <f t="shared" si="217"/>
        <v>365</v>
      </c>
      <c r="C1092" s="77">
        <f t="shared" ref="C1092:T1092" si="221">AVERAGE(C432:C443)</f>
        <v>154.75825</v>
      </c>
      <c r="D1092" s="77">
        <f t="shared" si="221"/>
        <v>281.0162499999999</v>
      </c>
      <c r="E1092" s="77">
        <f t="shared" si="221"/>
        <v>109.1005</v>
      </c>
      <c r="F1092" s="77">
        <f t="shared" si="221"/>
        <v>57.041666666666664</v>
      </c>
      <c r="G1092" s="77">
        <f t="shared" si="221"/>
        <v>40</v>
      </c>
      <c r="H1092" s="77">
        <f t="shared" si="221"/>
        <v>174.58333333333334</v>
      </c>
      <c r="I1092" s="77">
        <f t="shared" si="221"/>
        <v>0</v>
      </c>
      <c r="J1092" s="77">
        <f t="shared" si="221"/>
        <v>100</v>
      </c>
      <c r="K1092" s="77">
        <f t="shared" si="221"/>
        <v>300</v>
      </c>
      <c r="L1092" s="77">
        <f t="shared" si="221"/>
        <v>1216.5</v>
      </c>
      <c r="M1092" s="79">
        <f t="shared" si="221"/>
        <v>600</v>
      </c>
      <c r="N1092" s="77">
        <f t="shared" si="221"/>
        <v>72.5</v>
      </c>
      <c r="O1092" s="80">
        <f t="shared" si="221"/>
        <v>240</v>
      </c>
      <c r="P1092" s="80">
        <f t="shared" si="221"/>
        <v>110</v>
      </c>
      <c r="Q1092" s="80">
        <f t="shared" si="221"/>
        <v>245</v>
      </c>
      <c r="R1092" s="80">
        <f t="shared" si="221"/>
        <v>100</v>
      </c>
      <c r="S1092" s="77">
        <f t="shared" si="221"/>
        <v>695</v>
      </c>
      <c r="T1092" s="77">
        <f t="shared" si="221"/>
        <v>33.333333333333336</v>
      </c>
      <c r="U1092" s="78"/>
      <c r="V1092" s="78"/>
      <c r="W1092" s="78"/>
      <c r="X1092" s="78"/>
      <c r="Y1092" s="78"/>
      <c r="Z1092" s="78"/>
      <c r="AA1092" s="78"/>
      <c r="AB1092" s="78"/>
      <c r="AC1092" s="78"/>
      <c r="AD1092" s="78"/>
    </row>
    <row r="1093" spans="1:30" ht="15" x14ac:dyDescent="0.2">
      <c r="A1093" s="11">
        <f t="shared" si="208"/>
        <v>2050</v>
      </c>
      <c r="B1093" s="11">
        <f t="shared" si="217"/>
        <v>365</v>
      </c>
      <c r="C1093" s="77">
        <f t="shared" ref="C1093:T1093" si="222">AVERAGE(C444:C455)</f>
        <v>154.75825</v>
      </c>
      <c r="D1093" s="77">
        <f t="shared" si="222"/>
        <v>281.0162499999999</v>
      </c>
      <c r="E1093" s="77">
        <f t="shared" si="222"/>
        <v>109.1005</v>
      </c>
      <c r="F1093" s="77">
        <f t="shared" si="222"/>
        <v>57.041666666666664</v>
      </c>
      <c r="G1093" s="77">
        <f t="shared" si="222"/>
        <v>40</v>
      </c>
      <c r="H1093" s="77">
        <f t="shared" si="222"/>
        <v>174.58333333333334</v>
      </c>
      <c r="I1093" s="77">
        <f t="shared" si="222"/>
        <v>0</v>
      </c>
      <c r="J1093" s="77">
        <f t="shared" si="222"/>
        <v>100</v>
      </c>
      <c r="K1093" s="77">
        <f t="shared" si="222"/>
        <v>300</v>
      </c>
      <c r="L1093" s="77">
        <f t="shared" si="222"/>
        <v>1216.5</v>
      </c>
      <c r="M1093" s="79">
        <f t="shared" si="222"/>
        <v>600</v>
      </c>
      <c r="N1093" s="77">
        <f t="shared" si="222"/>
        <v>72.5</v>
      </c>
      <c r="O1093" s="80">
        <f t="shared" si="222"/>
        <v>240</v>
      </c>
      <c r="P1093" s="80">
        <f t="shared" si="222"/>
        <v>110</v>
      </c>
      <c r="Q1093" s="80">
        <f t="shared" si="222"/>
        <v>245</v>
      </c>
      <c r="R1093" s="80">
        <f t="shared" si="222"/>
        <v>100</v>
      </c>
      <c r="S1093" s="77">
        <f t="shared" si="222"/>
        <v>695</v>
      </c>
      <c r="T1093" s="77">
        <f t="shared" si="222"/>
        <v>33.333333333333336</v>
      </c>
      <c r="U1093" s="78"/>
      <c r="V1093" s="78"/>
      <c r="W1093" s="78"/>
      <c r="X1093" s="78"/>
      <c r="Y1093" s="78"/>
      <c r="Z1093" s="78"/>
      <c r="AA1093" s="78"/>
      <c r="AB1093" s="78"/>
      <c r="AC1093" s="78"/>
      <c r="AD1093" s="78"/>
    </row>
    <row r="1094" spans="1:30" ht="15" x14ac:dyDescent="0.2">
      <c r="A1094" s="11">
        <f t="shared" si="208"/>
        <v>2051</v>
      </c>
      <c r="B1094" s="11">
        <f t="shared" si="217"/>
        <v>365</v>
      </c>
      <c r="C1094" s="77">
        <f t="shared" ref="C1094:T1094" si="223">AVERAGE(C456:C467)</f>
        <v>154.75825</v>
      </c>
      <c r="D1094" s="77">
        <f t="shared" si="223"/>
        <v>281.0162499999999</v>
      </c>
      <c r="E1094" s="77">
        <f t="shared" si="223"/>
        <v>109.1005</v>
      </c>
      <c r="F1094" s="77">
        <f t="shared" si="223"/>
        <v>57.041666666666664</v>
      </c>
      <c r="G1094" s="77">
        <f t="shared" si="223"/>
        <v>40</v>
      </c>
      <c r="H1094" s="77">
        <f t="shared" si="223"/>
        <v>174.58333333333334</v>
      </c>
      <c r="I1094" s="77">
        <f t="shared" si="223"/>
        <v>0</v>
      </c>
      <c r="J1094" s="77">
        <f t="shared" si="223"/>
        <v>100</v>
      </c>
      <c r="K1094" s="77">
        <f t="shared" si="223"/>
        <v>300</v>
      </c>
      <c r="L1094" s="77">
        <f t="shared" si="223"/>
        <v>1216.5</v>
      </c>
      <c r="M1094" s="79">
        <f t="shared" si="223"/>
        <v>600</v>
      </c>
      <c r="N1094" s="77">
        <f t="shared" si="223"/>
        <v>72.5</v>
      </c>
      <c r="O1094" s="80">
        <f t="shared" si="223"/>
        <v>240</v>
      </c>
      <c r="P1094" s="80">
        <f t="shared" si="223"/>
        <v>110</v>
      </c>
      <c r="Q1094" s="80">
        <f t="shared" si="223"/>
        <v>245</v>
      </c>
      <c r="R1094" s="80">
        <f t="shared" si="223"/>
        <v>100</v>
      </c>
      <c r="S1094" s="77">
        <f t="shared" si="223"/>
        <v>695</v>
      </c>
      <c r="T1094" s="77">
        <f t="shared" si="223"/>
        <v>33.333333333333336</v>
      </c>
      <c r="U1094" s="78"/>
      <c r="V1094" s="78"/>
      <c r="W1094" s="78"/>
      <c r="X1094" s="78"/>
      <c r="Y1094" s="78"/>
      <c r="Z1094" s="78"/>
      <c r="AA1094" s="78"/>
      <c r="AB1094" s="78"/>
      <c r="AC1094" s="78"/>
      <c r="AD1094" s="78"/>
    </row>
    <row r="1095" spans="1:30" ht="15" x14ac:dyDescent="0.2">
      <c r="A1095" s="11">
        <f t="shared" si="208"/>
        <v>2052</v>
      </c>
      <c r="B1095" s="11">
        <f t="shared" si="217"/>
        <v>366</v>
      </c>
      <c r="C1095" s="77">
        <f t="shared" ref="C1095:T1095" si="224">AVERAGE(C468:C479)</f>
        <v>154.75825</v>
      </c>
      <c r="D1095" s="77">
        <f t="shared" si="224"/>
        <v>281.0162499999999</v>
      </c>
      <c r="E1095" s="77">
        <f t="shared" si="224"/>
        <v>109.1005</v>
      </c>
      <c r="F1095" s="77">
        <f t="shared" si="224"/>
        <v>57.041666666666664</v>
      </c>
      <c r="G1095" s="77">
        <f t="shared" si="224"/>
        <v>40</v>
      </c>
      <c r="H1095" s="77">
        <f t="shared" si="224"/>
        <v>174.58333333333334</v>
      </c>
      <c r="I1095" s="77">
        <f t="shared" si="224"/>
        <v>0</v>
      </c>
      <c r="J1095" s="77">
        <f t="shared" si="224"/>
        <v>100</v>
      </c>
      <c r="K1095" s="77">
        <f t="shared" si="224"/>
        <v>300</v>
      </c>
      <c r="L1095" s="77">
        <f t="shared" si="224"/>
        <v>1216.5</v>
      </c>
      <c r="M1095" s="79">
        <f t="shared" si="224"/>
        <v>600</v>
      </c>
      <c r="N1095" s="77">
        <f t="shared" si="224"/>
        <v>72.5</v>
      </c>
      <c r="O1095" s="80">
        <f t="shared" si="224"/>
        <v>240</v>
      </c>
      <c r="P1095" s="80">
        <f t="shared" si="224"/>
        <v>110</v>
      </c>
      <c r="Q1095" s="80">
        <f t="shared" si="224"/>
        <v>245</v>
      </c>
      <c r="R1095" s="80">
        <f t="shared" si="224"/>
        <v>100</v>
      </c>
      <c r="S1095" s="77">
        <f t="shared" si="224"/>
        <v>695</v>
      </c>
      <c r="T1095" s="77">
        <f t="shared" si="224"/>
        <v>33.333333333333336</v>
      </c>
      <c r="U1095" s="78"/>
      <c r="V1095" s="78"/>
      <c r="W1095" s="78"/>
      <c r="X1095" s="78"/>
      <c r="Y1095" s="78"/>
      <c r="Z1095" s="78"/>
      <c r="AA1095" s="78"/>
      <c r="AB1095" s="78"/>
      <c r="AC1095" s="78"/>
      <c r="AD1095" s="78"/>
    </row>
    <row r="1096" spans="1:30" ht="15" x14ac:dyDescent="0.2">
      <c r="A1096" s="11">
        <f t="shared" si="208"/>
        <v>2053</v>
      </c>
      <c r="B1096" s="11">
        <f t="shared" si="217"/>
        <v>365</v>
      </c>
      <c r="C1096" s="77">
        <f t="shared" ref="C1096:T1096" si="225">AVERAGE(C480:C491)</f>
        <v>154.75825</v>
      </c>
      <c r="D1096" s="77">
        <f t="shared" si="225"/>
        <v>281.0162499999999</v>
      </c>
      <c r="E1096" s="77">
        <f t="shared" si="225"/>
        <v>109.1005</v>
      </c>
      <c r="F1096" s="77">
        <f t="shared" si="225"/>
        <v>57.041666666666664</v>
      </c>
      <c r="G1096" s="77">
        <f t="shared" si="225"/>
        <v>40</v>
      </c>
      <c r="H1096" s="77">
        <f t="shared" si="225"/>
        <v>174.58333333333334</v>
      </c>
      <c r="I1096" s="77">
        <f t="shared" si="225"/>
        <v>0</v>
      </c>
      <c r="J1096" s="77">
        <f t="shared" si="225"/>
        <v>100</v>
      </c>
      <c r="K1096" s="77">
        <f t="shared" si="225"/>
        <v>300</v>
      </c>
      <c r="L1096" s="77">
        <f t="shared" si="225"/>
        <v>1216.5</v>
      </c>
      <c r="M1096" s="79">
        <f t="shared" si="225"/>
        <v>600</v>
      </c>
      <c r="N1096" s="77">
        <f t="shared" si="225"/>
        <v>72.5</v>
      </c>
      <c r="O1096" s="80">
        <f t="shared" si="225"/>
        <v>240</v>
      </c>
      <c r="P1096" s="80">
        <f t="shared" si="225"/>
        <v>110</v>
      </c>
      <c r="Q1096" s="80">
        <f t="shared" si="225"/>
        <v>245</v>
      </c>
      <c r="R1096" s="80">
        <f t="shared" si="225"/>
        <v>100</v>
      </c>
      <c r="S1096" s="77">
        <f t="shared" si="225"/>
        <v>695</v>
      </c>
      <c r="T1096" s="77">
        <f t="shared" si="225"/>
        <v>33.333333333333336</v>
      </c>
      <c r="U1096" s="78"/>
      <c r="V1096" s="78"/>
      <c r="W1096" s="78"/>
      <c r="X1096" s="78"/>
      <c r="Y1096" s="78"/>
      <c r="Z1096" s="78"/>
      <c r="AA1096" s="78"/>
      <c r="AB1096" s="78"/>
      <c r="AC1096" s="78"/>
      <c r="AD1096" s="78"/>
    </row>
    <row r="1097" spans="1:30" ht="15" x14ac:dyDescent="0.2">
      <c r="A1097" s="11">
        <f t="shared" si="208"/>
        <v>2054</v>
      </c>
      <c r="B1097" s="11">
        <f t="shared" si="217"/>
        <v>365</v>
      </c>
      <c r="C1097" s="77">
        <f t="shared" ref="C1097:T1097" si="226">AVERAGE(C492:C503)</f>
        <v>154.75825</v>
      </c>
      <c r="D1097" s="77">
        <f t="shared" si="226"/>
        <v>281.0162499999999</v>
      </c>
      <c r="E1097" s="77">
        <f t="shared" si="226"/>
        <v>109.1005</v>
      </c>
      <c r="F1097" s="77">
        <f t="shared" si="226"/>
        <v>57.041666666666664</v>
      </c>
      <c r="G1097" s="77">
        <f t="shared" si="226"/>
        <v>40</v>
      </c>
      <c r="H1097" s="77">
        <f t="shared" si="226"/>
        <v>174.58333333333334</v>
      </c>
      <c r="I1097" s="77">
        <f t="shared" si="226"/>
        <v>0</v>
      </c>
      <c r="J1097" s="77">
        <f t="shared" si="226"/>
        <v>100</v>
      </c>
      <c r="K1097" s="77">
        <f t="shared" si="226"/>
        <v>300</v>
      </c>
      <c r="L1097" s="77">
        <f t="shared" si="226"/>
        <v>1216.5</v>
      </c>
      <c r="M1097" s="79">
        <f t="shared" si="226"/>
        <v>600</v>
      </c>
      <c r="N1097" s="77">
        <f t="shared" si="226"/>
        <v>72.5</v>
      </c>
      <c r="O1097" s="77">
        <f t="shared" si="226"/>
        <v>240</v>
      </c>
      <c r="P1097" s="77">
        <f t="shared" si="226"/>
        <v>110</v>
      </c>
      <c r="Q1097" s="77">
        <f t="shared" si="226"/>
        <v>245</v>
      </c>
      <c r="R1097" s="77">
        <f t="shared" si="226"/>
        <v>100</v>
      </c>
      <c r="S1097" s="77">
        <f t="shared" si="226"/>
        <v>695</v>
      </c>
      <c r="T1097" s="77">
        <f t="shared" si="226"/>
        <v>33.333333333333336</v>
      </c>
      <c r="U1097" s="78"/>
      <c r="V1097" s="78"/>
      <c r="W1097" s="78"/>
      <c r="X1097" s="78"/>
      <c r="Y1097" s="78"/>
      <c r="Z1097" s="78"/>
      <c r="AA1097" s="78"/>
      <c r="AB1097" s="78"/>
      <c r="AC1097" s="78"/>
      <c r="AD1097" s="78"/>
    </row>
    <row r="1098" spans="1:30" ht="15" x14ac:dyDescent="0.2">
      <c r="A1098" s="11">
        <f t="shared" si="208"/>
        <v>2055</v>
      </c>
      <c r="B1098" s="11">
        <f t="shared" si="217"/>
        <v>365</v>
      </c>
      <c r="C1098" s="77">
        <f t="shared" ref="C1098:T1098" si="227">AVERAGE(C493:C504)</f>
        <v>154.75825</v>
      </c>
      <c r="D1098" s="77">
        <f t="shared" si="227"/>
        <v>281.0162499999999</v>
      </c>
      <c r="E1098" s="77">
        <f t="shared" si="227"/>
        <v>109.1005</v>
      </c>
      <c r="F1098" s="77">
        <f t="shared" si="227"/>
        <v>57.041666666666657</v>
      </c>
      <c r="G1098" s="77">
        <f t="shared" si="227"/>
        <v>40</v>
      </c>
      <c r="H1098" s="77">
        <f t="shared" si="227"/>
        <v>174.58333333333334</v>
      </c>
      <c r="I1098" s="77">
        <f t="shared" si="227"/>
        <v>0</v>
      </c>
      <c r="J1098" s="77">
        <f t="shared" si="227"/>
        <v>100</v>
      </c>
      <c r="K1098" s="77">
        <f t="shared" si="227"/>
        <v>300</v>
      </c>
      <c r="L1098" s="77">
        <f t="shared" si="227"/>
        <v>1216.5</v>
      </c>
      <c r="M1098" s="79">
        <f t="shared" si="227"/>
        <v>600</v>
      </c>
      <c r="N1098" s="77">
        <f t="shared" si="227"/>
        <v>72.5</v>
      </c>
      <c r="O1098" s="77">
        <f t="shared" si="227"/>
        <v>240</v>
      </c>
      <c r="P1098" s="77">
        <f t="shared" si="227"/>
        <v>110</v>
      </c>
      <c r="Q1098" s="77">
        <f t="shared" si="227"/>
        <v>245</v>
      </c>
      <c r="R1098" s="77">
        <f t="shared" si="227"/>
        <v>100</v>
      </c>
      <c r="S1098" s="77">
        <f t="shared" si="227"/>
        <v>695</v>
      </c>
      <c r="T1098" s="77">
        <f t="shared" si="227"/>
        <v>33.333333333333336</v>
      </c>
      <c r="U1098" s="78"/>
      <c r="V1098" s="78"/>
      <c r="W1098" s="78"/>
      <c r="X1098" s="78"/>
      <c r="Y1098" s="78"/>
      <c r="Z1098" s="78"/>
      <c r="AA1098" s="78"/>
      <c r="AB1098" s="78"/>
      <c r="AC1098" s="78"/>
      <c r="AD1098" s="78"/>
    </row>
    <row r="1099" spans="1:30" ht="15" x14ac:dyDescent="0.2">
      <c r="A1099" s="11">
        <f t="shared" si="208"/>
        <v>2056</v>
      </c>
      <c r="B1099" s="11">
        <f t="shared" si="217"/>
        <v>366</v>
      </c>
      <c r="C1099" s="77">
        <f t="shared" ref="C1099:T1099" si="228">AVERAGE(C494:C505)</f>
        <v>154.75824999999998</v>
      </c>
      <c r="D1099" s="77">
        <f t="shared" si="228"/>
        <v>281.0162499999999</v>
      </c>
      <c r="E1099" s="77">
        <f t="shared" si="228"/>
        <v>109.1005</v>
      </c>
      <c r="F1099" s="77">
        <f t="shared" si="228"/>
        <v>57.041666666666664</v>
      </c>
      <c r="G1099" s="77">
        <f t="shared" si="228"/>
        <v>40</v>
      </c>
      <c r="H1099" s="77">
        <f t="shared" si="228"/>
        <v>174.58333333333334</v>
      </c>
      <c r="I1099" s="77">
        <f t="shared" si="228"/>
        <v>0</v>
      </c>
      <c r="J1099" s="77">
        <f t="shared" si="228"/>
        <v>100</v>
      </c>
      <c r="K1099" s="77">
        <f t="shared" si="228"/>
        <v>300</v>
      </c>
      <c r="L1099" s="77">
        <f t="shared" si="228"/>
        <v>1216.5</v>
      </c>
      <c r="M1099" s="79">
        <f t="shared" si="228"/>
        <v>600</v>
      </c>
      <c r="N1099" s="77">
        <f t="shared" si="228"/>
        <v>72.5</v>
      </c>
      <c r="O1099" s="77">
        <f t="shared" si="228"/>
        <v>240</v>
      </c>
      <c r="P1099" s="77">
        <f t="shared" si="228"/>
        <v>110</v>
      </c>
      <c r="Q1099" s="77">
        <f t="shared" si="228"/>
        <v>245</v>
      </c>
      <c r="R1099" s="77">
        <f t="shared" si="228"/>
        <v>100</v>
      </c>
      <c r="S1099" s="77">
        <f t="shared" si="228"/>
        <v>695</v>
      </c>
      <c r="T1099" s="77">
        <f t="shared" si="228"/>
        <v>33.333333333333336</v>
      </c>
      <c r="U1099" s="78"/>
      <c r="V1099" s="78"/>
      <c r="W1099" s="78"/>
      <c r="X1099" s="78"/>
      <c r="Y1099" s="78"/>
      <c r="Z1099" s="78"/>
      <c r="AA1099" s="78"/>
      <c r="AB1099" s="78"/>
      <c r="AC1099" s="78"/>
      <c r="AD1099" s="78"/>
    </row>
    <row r="1100" spans="1:30" ht="15" x14ac:dyDescent="0.2">
      <c r="A1100" s="11">
        <f t="shared" si="208"/>
        <v>2057</v>
      </c>
      <c r="B1100" s="11">
        <f t="shared" si="217"/>
        <v>365</v>
      </c>
      <c r="C1100" s="77">
        <f t="shared" ref="C1100:T1100" si="229">AVERAGE(C495:C506)</f>
        <v>154.75825</v>
      </c>
      <c r="D1100" s="77">
        <f t="shared" si="229"/>
        <v>281.0162499999999</v>
      </c>
      <c r="E1100" s="77">
        <f t="shared" si="229"/>
        <v>109.1005</v>
      </c>
      <c r="F1100" s="77">
        <f t="shared" si="229"/>
        <v>57.041666666666664</v>
      </c>
      <c r="G1100" s="77">
        <f t="shared" si="229"/>
        <v>40</v>
      </c>
      <c r="H1100" s="77">
        <f t="shared" si="229"/>
        <v>174.58333333333334</v>
      </c>
      <c r="I1100" s="77">
        <f t="shared" si="229"/>
        <v>0</v>
      </c>
      <c r="J1100" s="77">
        <f t="shared" si="229"/>
        <v>100</v>
      </c>
      <c r="K1100" s="77">
        <f t="shared" si="229"/>
        <v>300</v>
      </c>
      <c r="L1100" s="77">
        <f t="shared" si="229"/>
        <v>1216.5</v>
      </c>
      <c r="M1100" s="79">
        <f t="shared" si="229"/>
        <v>600</v>
      </c>
      <c r="N1100" s="77">
        <f t="shared" si="229"/>
        <v>72.5</v>
      </c>
      <c r="O1100" s="77">
        <f t="shared" si="229"/>
        <v>240</v>
      </c>
      <c r="P1100" s="77">
        <f t="shared" si="229"/>
        <v>110</v>
      </c>
      <c r="Q1100" s="77">
        <f t="shared" si="229"/>
        <v>245</v>
      </c>
      <c r="R1100" s="77">
        <f t="shared" si="229"/>
        <v>100</v>
      </c>
      <c r="S1100" s="77">
        <f t="shared" si="229"/>
        <v>695</v>
      </c>
      <c r="T1100" s="77">
        <f t="shared" si="229"/>
        <v>33.333333333333336</v>
      </c>
      <c r="U1100" s="78"/>
      <c r="V1100" s="78"/>
      <c r="W1100" s="78"/>
      <c r="X1100" s="78"/>
      <c r="Y1100" s="78"/>
      <c r="Z1100" s="78"/>
      <c r="AA1100" s="78"/>
      <c r="AB1100" s="78"/>
      <c r="AC1100" s="78"/>
      <c r="AD1100" s="78"/>
    </row>
    <row r="1101" spans="1:30" ht="15" x14ac:dyDescent="0.2">
      <c r="A1101" s="11">
        <f t="shared" si="208"/>
        <v>2058</v>
      </c>
      <c r="B1101" s="11">
        <f t="shared" si="217"/>
        <v>365</v>
      </c>
      <c r="C1101" s="77">
        <f t="shared" ref="C1101:T1101" si="230">AVERAGE(C496:C507)</f>
        <v>154.75824999999998</v>
      </c>
      <c r="D1101" s="77">
        <f t="shared" si="230"/>
        <v>281.01624999999996</v>
      </c>
      <c r="E1101" s="77">
        <f t="shared" si="230"/>
        <v>109.10050000000001</v>
      </c>
      <c r="F1101" s="77">
        <f t="shared" si="230"/>
        <v>57.041666666666664</v>
      </c>
      <c r="G1101" s="77">
        <f t="shared" si="230"/>
        <v>40</v>
      </c>
      <c r="H1101" s="77">
        <f t="shared" si="230"/>
        <v>174.58333333333334</v>
      </c>
      <c r="I1101" s="77">
        <f t="shared" si="230"/>
        <v>0</v>
      </c>
      <c r="J1101" s="77">
        <f t="shared" si="230"/>
        <v>100</v>
      </c>
      <c r="K1101" s="77">
        <f t="shared" si="230"/>
        <v>300</v>
      </c>
      <c r="L1101" s="77">
        <f t="shared" si="230"/>
        <v>1216.5</v>
      </c>
      <c r="M1101" s="79">
        <f t="shared" si="230"/>
        <v>600</v>
      </c>
      <c r="N1101" s="77">
        <f t="shared" si="230"/>
        <v>72.5</v>
      </c>
      <c r="O1101" s="77">
        <f t="shared" si="230"/>
        <v>240</v>
      </c>
      <c r="P1101" s="77">
        <f t="shared" si="230"/>
        <v>110</v>
      </c>
      <c r="Q1101" s="77">
        <f t="shared" si="230"/>
        <v>245</v>
      </c>
      <c r="R1101" s="77">
        <f t="shared" si="230"/>
        <v>100</v>
      </c>
      <c r="S1101" s="77">
        <f t="shared" si="230"/>
        <v>695</v>
      </c>
      <c r="T1101" s="77">
        <f t="shared" si="230"/>
        <v>33.333333333333336</v>
      </c>
      <c r="U1101" s="78"/>
      <c r="V1101" s="78"/>
      <c r="W1101" s="78"/>
      <c r="X1101" s="78"/>
      <c r="Y1101" s="78"/>
      <c r="Z1101" s="78"/>
      <c r="AA1101" s="78"/>
      <c r="AB1101" s="78"/>
      <c r="AC1101" s="78"/>
      <c r="AD1101" s="78"/>
    </row>
    <row r="1102" spans="1:30" ht="15" x14ac:dyDescent="0.2">
      <c r="A1102" s="11">
        <f t="shared" si="208"/>
        <v>2059</v>
      </c>
      <c r="B1102" s="11">
        <f t="shared" si="217"/>
        <v>365</v>
      </c>
      <c r="C1102" s="77">
        <f t="shared" ref="C1102:T1102" si="231">AVERAGE(C497:C508)</f>
        <v>154.75824999999998</v>
      </c>
      <c r="D1102" s="77">
        <f t="shared" si="231"/>
        <v>281.01624999999996</v>
      </c>
      <c r="E1102" s="77">
        <f t="shared" si="231"/>
        <v>109.10050000000001</v>
      </c>
      <c r="F1102" s="77">
        <f t="shared" si="231"/>
        <v>57.041666666666664</v>
      </c>
      <c r="G1102" s="77">
        <f t="shared" si="231"/>
        <v>40</v>
      </c>
      <c r="H1102" s="77">
        <f t="shared" si="231"/>
        <v>174.58333333333334</v>
      </c>
      <c r="I1102" s="77">
        <f t="shared" si="231"/>
        <v>0</v>
      </c>
      <c r="J1102" s="77">
        <f t="shared" si="231"/>
        <v>100</v>
      </c>
      <c r="K1102" s="77">
        <f t="shared" si="231"/>
        <v>300</v>
      </c>
      <c r="L1102" s="77">
        <f t="shared" si="231"/>
        <v>1216.5</v>
      </c>
      <c r="M1102" s="79">
        <f t="shared" si="231"/>
        <v>600</v>
      </c>
      <c r="N1102" s="77">
        <f t="shared" si="231"/>
        <v>72.5</v>
      </c>
      <c r="O1102" s="77">
        <f t="shared" si="231"/>
        <v>240</v>
      </c>
      <c r="P1102" s="77">
        <f t="shared" si="231"/>
        <v>110</v>
      </c>
      <c r="Q1102" s="77">
        <f t="shared" si="231"/>
        <v>245</v>
      </c>
      <c r="R1102" s="77">
        <f t="shared" si="231"/>
        <v>100</v>
      </c>
      <c r="S1102" s="77">
        <f t="shared" si="231"/>
        <v>695</v>
      </c>
      <c r="T1102" s="77">
        <f t="shared" si="231"/>
        <v>33.333333333333336</v>
      </c>
      <c r="U1102" s="78"/>
      <c r="V1102" s="78"/>
      <c r="W1102" s="78"/>
      <c r="X1102" s="78"/>
      <c r="Y1102" s="78"/>
      <c r="Z1102" s="78"/>
      <c r="AA1102" s="78"/>
      <c r="AB1102" s="78"/>
      <c r="AC1102" s="78"/>
      <c r="AD1102" s="78"/>
    </row>
    <row r="1103" spans="1:30" ht="15" x14ac:dyDescent="0.2">
      <c r="A1103" s="11">
        <f t="shared" si="208"/>
        <v>2060</v>
      </c>
      <c r="B1103" s="11">
        <f t="shared" si="217"/>
        <v>366</v>
      </c>
      <c r="C1103" s="77">
        <f t="shared" ref="C1103:T1103" si="232">AVERAGE(C498:C509)</f>
        <v>154.75824999999998</v>
      </c>
      <c r="D1103" s="77">
        <f t="shared" si="232"/>
        <v>281.01624999999996</v>
      </c>
      <c r="E1103" s="77">
        <f t="shared" si="232"/>
        <v>109.10050000000001</v>
      </c>
      <c r="F1103" s="77">
        <f t="shared" si="232"/>
        <v>57.041666666666664</v>
      </c>
      <c r="G1103" s="77">
        <f t="shared" si="232"/>
        <v>40</v>
      </c>
      <c r="H1103" s="77">
        <f t="shared" si="232"/>
        <v>174.58333333333334</v>
      </c>
      <c r="I1103" s="77">
        <f t="shared" si="232"/>
        <v>0</v>
      </c>
      <c r="J1103" s="77">
        <f t="shared" si="232"/>
        <v>100</v>
      </c>
      <c r="K1103" s="77">
        <f t="shared" si="232"/>
        <v>300</v>
      </c>
      <c r="L1103" s="77">
        <f t="shared" si="232"/>
        <v>1216.5</v>
      </c>
      <c r="M1103" s="79">
        <f t="shared" si="232"/>
        <v>600</v>
      </c>
      <c r="N1103" s="77">
        <f t="shared" si="232"/>
        <v>72.5</v>
      </c>
      <c r="O1103" s="77">
        <f t="shared" si="232"/>
        <v>240</v>
      </c>
      <c r="P1103" s="77">
        <f t="shared" si="232"/>
        <v>110</v>
      </c>
      <c r="Q1103" s="77">
        <f t="shared" si="232"/>
        <v>245</v>
      </c>
      <c r="R1103" s="77">
        <f t="shared" si="232"/>
        <v>100</v>
      </c>
      <c r="S1103" s="77">
        <f t="shared" si="232"/>
        <v>695</v>
      </c>
      <c r="T1103" s="77">
        <f t="shared" si="232"/>
        <v>33.333333333333336</v>
      </c>
      <c r="U1103" s="78"/>
      <c r="V1103" s="78"/>
      <c r="W1103" s="78"/>
      <c r="X1103" s="78"/>
      <c r="Y1103" s="78"/>
      <c r="Z1103" s="78"/>
      <c r="AA1103" s="78"/>
      <c r="AB1103" s="78"/>
      <c r="AC1103" s="78"/>
      <c r="AD1103" s="78"/>
    </row>
    <row r="1104" spans="1:30" ht="15" x14ac:dyDescent="0.2">
      <c r="A1104" s="11">
        <f t="shared" si="208"/>
        <v>2061</v>
      </c>
      <c r="B1104" s="11">
        <f t="shared" si="217"/>
        <v>365</v>
      </c>
      <c r="C1104" s="77">
        <f t="shared" ref="C1104:T1104" si="233">AVERAGE(C499:C510)</f>
        <v>154.75825</v>
      </c>
      <c r="D1104" s="77">
        <f t="shared" si="233"/>
        <v>281.01624999999996</v>
      </c>
      <c r="E1104" s="77">
        <f t="shared" si="233"/>
        <v>109.10050000000001</v>
      </c>
      <c r="F1104" s="77">
        <f t="shared" si="233"/>
        <v>57.04166666666665</v>
      </c>
      <c r="G1104" s="77">
        <f t="shared" si="233"/>
        <v>40</v>
      </c>
      <c r="H1104" s="77">
        <f t="shared" si="233"/>
        <v>174.58333333333334</v>
      </c>
      <c r="I1104" s="77">
        <f t="shared" si="233"/>
        <v>0</v>
      </c>
      <c r="J1104" s="77">
        <f t="shared" si="233"/>
        <v>100</v>
      </c>
      <c r="K1104" s="77">
        <f t="shared" si="233"/>
        <v>300</v>
      </c>
      <c r="L1104" s="77">
        <f t="shared" si="233"/>
        <v>1216.5</v>
      </c>
      <c r="M1104" s="79">
        <f t="shared" si="233"/>
        <v>600</v>
      </c>
      <c r="N1104" s="77">
        <f t="shared" si="233"/>
        <v>72.5</v>
      </c>
      <c r="O1104" s="77">
        <f t="shared" si="233"/>
        <v>240</v>
      </c>
      <c r="P1104" s="77">
        <f t="shared" si="233"/>
        <v>110</v>
      </c>
      <c r="Q1104" s="77">
        <f t="shared" si="233"/>
        <v>245</v>
      </c>
      <c r="R1104" s="77">
        <f t="shared" si="233"/>
        <v>100</v>
      </c>
      <c r="S1104" s="77">
        <f t="shared" si="233"/>
        <v>695</v>
      </c>
      <c r="T1104" s="77">
        <f t="shared" si="233"/>
        <v>33.333333333333336</v>
      </c>
      <c r="U1104" s="78"/>
      <c r="V1104" s="78"/>
      <c r="W1104" s="78"/>
      <c r="X1104" s="78"/>
      <c r="Y1104" s="78"/>
      <c r="Z1104" s="78"/>
      <c r="AA1104" s="78"/>
      <c r="AB1104" s="78"/>
      <c r="AC1104" s="78"/>
      <c r="AD1104" s="78"/>
    </row>
    <row r="1105" spans="1:30" ht="15" x14ac:dyDescent="0.2">
      <c r="A1105" s="11">
        <f t="shared" si="208"/>
        <v>2062</v>
      </c>
      <c r="B1105" s="11">
        <f t="shared" si="217"/>
        <v>365</v>
      </c>
      <c r="C1105" s="77">
        <f t="shared" ref="C1105:L1114" ca="1" si="234">AVERAGE(OFFSET(C$588,($A1105-$A$1105)*12,0,12,1))</f>
        <v>154.75825</v>
      </c>
      <c r="D1105" s="77">
        <f t="shared" ca="1" si="234"/>
        <v>281.0162499999999</v>
      </c>
      <c r="E1105" s="77">
        <f t="shared" ca="1" si="234"/>
        <v>109.1005</v>
      </c>
      <c r="F1105" s="77">
        <f t="shared" ca="1" si="234"/>
        <v>57.041666666666664</v>
      </c>
      <c r="G1105" s="77">
        <f t="shared" ca="1" si="234"/>
        <v>40</v>
      </c>
      <c r="H1105" s="77">
        <f t="shared" ca="1" si="234"/>
        <v>174.58333333333334</v>
      </c>
      <c r="I1105" s="77">
        <f t="shared" ca="1" si="234"/>
        <v>0</v>
      </c>
      <c r="J1105" s="77">
        <f t="shared" ca="1" si="234"/>
        <v>100</v>
      </c>
      <c r="K1105" s="77">
        <f t="shared" ca="1" si="234"/>
        <v>300</v>
      </c>
      <c r="L1105" s="77">
        <f t="shared" ca="1" si="234"/>
        <v>1216.5</v>
      </c>
      <c r="M1105" s="77">
        <f t="shared" ref="M1105:T1114" ca="1" si="235">AVERAGE(OFFSET(M$588,($A1105-$A$1105)*12,0,12,1))</f>
        <v>600</v>
      </c>
      <c r="N1105" s="77">
        <f t="shared" ca="1" si="235"/>
        <v>72.5</v>
      </c>
      <c r="O1105" s="77">
        <f t="shared" ca="1" si="235"/>
        <v>240</v>
      </c>
      <c r="P1105" s="77">
        <f t="shared" ca="1" si="235"/>
        <v>40</v>
      </c>
      <c r="Q1105" s="77">
        <f t="shared" ca="1" si="235"/>
        <v>315</v>
      </c>
      <c r="R1105" s="77">
        <f t="shared" ca="1" si="235"/>
        <v>100</v>
      </c>
      <c r="S1105" s="77">
        <f t="shared" ca="1" si="235"/>
        <v>695</v>
      </c>
      <c r="T1105" s="77">
        <f t="shared" ca="1" si="235"/>
        <v>33.333333333333336</v>
      </c>
      <c r="U1105" s="78"/>
      <c r="V1105" s="78"/>
      <c r="W1105" s="78"/>
      <c r="X1105" s="78"/>
      <c r="Y1105" s="78"/>
      <c r="Z1105" s="78"/>
      <c r="AA1105" s="78"/>
      <c r="AB1105" s="78"/>
      <c r="AC1105" s="78"/>
      <c r="AD1105" s="78"/>
    </row>
    <row r="1106" spans="1:30" ht="15" x14ac:dyDescent="0.2">
      <c r="A1106" s="11">
        <f t="shared" si="208"/>
        <v>2063</v>
      </c>
      <c r="B1106" s="11">
        <f t="shared" si="217"/>
        <v>365</v>
      </c>
      <c r="C1106" s="77">
        <f t="shared" ca="1" si="234"/>
        <v>154.75825</v>
      </c>
      <c r="D1106" s="77">
        <f t="shared" ca="1" si="234"/>
        <v>281.0162499999999</v>
      </c>
      <c r="E1106" s="77">
        <f t="shared" ca="1" si="234"/>
        <v>109.1005</v>
      </c>
      <c r="F1106" s="77">
        <f t="shared" ca="1" si="234"/>
        <v>57.041666666666664</v>
      </c>
      <c r="G1106" s="77">
        <f t="shared" ca="1" si="234"/>
        <v>40</v>
      </c>
      <c r="H1106" s="77">
        <f t="shared" ca="1" si="234"/>
        <v>174.58333333333334</v>
      </c>
      <c r="I1106" s="77">
        <f t="shared" ca="1" si="234"/>
        <v>0</v>
      </c>
      <c r="J1106" s="77">
        <f t="shared" ca="1" si="234"/>
        <v>100</v>
      </c>
      <c r="K1106" s="77">
        <f t="shared" ca="1" si="234"/>
        <v>300</v>
      </c>
      <c r="L1106" s="77">
        <f t="shared" ca="1" si="234"/>
        <v>1216.5</v>
      </c>
      <c r="M1106" s="77">
        <f t="shared" ca="1" si="235"/>
        <v>600</v>
      </c>
      <c r="N1106" s="77">
        <f t="shared" ca="1" si="235"/>
        <v>72.5</v>
      </c>
      <c r="O1106" s="77">
        <f t="shared" ca="1" si="235"/>
        <v>240</v>
      </c>
      <c r="P1106" s="77">
        <f t="shared" ca="1" si="235"/>
        <v>40</v>
      </c>
      <c r="Q1106" s="77">
        <f t="shared" ca="1" si="235"/>
        <v>315</v>
      </c>
      <c r="R1106" s="77">
        <f t="shared" ca="1" si="235"/>
        <v>100</v>
      </c>
      <c r="S1106" s="77">
        <f t="shared" ca="1" si="235"/>
        <v>695</v>
      </c>
      <c r="T1106" s="77">
        <f t="shared" ca="1" si="235"/>
        <v>33.333333333333336</v>
      </c>
      <c r="U1106" s="78"/>
      <c r="V1106" s="78"/>
      <c r="W1106" s="78"/>
      <c r="X1106" s="78"/>
      <c r="Y1106" s="78"/>
      <c r="Z1106" s="78"/>
      <c r="AA1106" s="78"/>
      <c r="AB1106" s="78"/>
      <c r="AC1106" s="78"/>
      <c r="AD1106" s="78"/>
    </row>
    <row r="1107" spans="1:30" ht="15" x14ac:dyDescent="0.2">
      <c r="A1107" s="11">
        <f t="shared" si="208"/>
        <v>2064</v>
      </c>
      <c r="B1107" s="11">
        <f t="shared" si="217"/>
        <v>366</v>
      </c>
      <c r="C1107" s="77">
        <f t="shared" ca="1" si="234"/>
        <v>154.75825</v>
      </c>
      <c r="D1107" s="77">
        <f t="shared" ca="1" si="234"/>
        <v>281.0162499999999</v>
      </c>
      <c r="E1107" s="77">
        <f t="shared" ca="1" si="234"/>
        <v>109.1005</v>
      </c>
      <c r="F1107" s="77">
        <f t="shared" ca="1" si="234"/>
        <v>57.041666666666664</v>
      </c>
      <c r="G1107" s="77">
        <f t="shared" ca="1" si="234"/>
        <v>40</v>
      </c>
      <c r="H1107" s="77">
        <f t="shared" ca="1" si="234"/>
        <v>174.58333333333334</v>
      </c>
      <c r="I1107" s="77">
        <f t="shared" ca="1" si="234"/>
        <v>0</v>
      </c>
      <c r="J1107" s="77">
        <f t="shared" ca="1" si="234"/>
        <v>100</v>
      </c>
      <c r="K1107" s="77">
        <f t="shared" ca="1" si="234"/>
        <v>300</v>
      </c>
      <c r="L1107" s="77">
        <f t="shared" ca="1" si="234"/>
        <v>1216.5</v>
      </c>
      <c r="M1107" s="77">
        <f t="shared" ca="1" si="235"/>
        <v>600</v>
      </c>
      <c r="N1107" s="77">
        <f t="shared" ca="1" si="235"/>
        <v>72.5</v>
      </c>
      <c r="O1107" s="77">
        <f t="shared" ca="1" si="235"/>
        <v>240</v>
      </c>
      <c r="P1107" s="77">
        <f t="shared" ca="1" si="235"/>
        <v>40</v>
      </c>
      <c r="Q1107" s="77">
        <f t="shared" ca="1" si="235"/>
        <v>315</v>
      </c>
      <c r="R1107" s="77">
        <f t="shared" ca="1" si="235"/>
        <v>100</v>
      </c>
      <c r="S1107" s="77">
        <f t="shared" ca="1" si="235"/>
        <v>695</v>
      </c>
      <c r="T1107" s="77">
        <f t="shared" ca="1" si="235"/>
        <v>33.333333333333336</v>
      </c>
      <c r="U1107" s="78"/>
      <c r="V1107" s="78"/>
      <c r="W1107" s="78"/>
      <c r="X1107" s="78"/>
      <c r="Y1107" s="78"/>
      <c r="Z1107" s="78"/>
      <c r="AA1107" s="78"/>
      <c r="AB1107" s="78"/>
      <c r="AC1107" s="78"/>
      <c r="AD1107" s="78"/>
    </row>
    <row r="1108" spans="1:30" ht="15" x14ac:dyDescent="0.2">
      <c r="A1108" s="11">
        <f t="shared" si="208"/>
        <v>2065</v>
      </c>
      <c r="B1108" s="11">
        <f t="shared" si="217"/>
        <v>365</v>
      </c>
      <c r="C1108" s="77">
        <f t="shared" ca="1" si="234"/>
        <v>154.75825</v>
      </c>
      <c r="D1108" s="77">
        <f t="shared" ca="1" si="234"/>
        <v>281.0162499999999</v>
      </c>
      <c r="E1108" s="77">
        <f t="shared" ca="1" si="234"/>
        <v>109.1005</v>
      </c>
      <c r="F1108" s="77">
        <f t="shared" ca="1" si="234"/>
        <v>57.041666666666664</v>
      </c>
      <c r="G1108" s="77">
        <f t="shared" ca="1" si="234"/>
        <v>40</v>
      </c>
      <c r="H1108" s="77">
        <f t="shared" ca="1" si="234"/>
        <v>174.58333333333334</v>
      </c>
      <c r="I1108" s="77">
        <f t="shared" ca="1" si="234"/>
        <v>0</v>
      </c>
      <c r="J1108" s="77">
        <f t="shared" ca="1" si="234"/>
        <v>100</v>
      </c>
      <c r="K1108" s="77">
        <f t="shared" ca="1" si="234"/>
        <v>300</v>
      </c>
      <c r="L1108" s="77">
        <f t="shared" ca="1" si="234"/>
        <v>1216.5</v>
      </c>
      <c r="M1108" s="77">
        <f t="shared" ca="1" si="235"/>
        <v>600</v>
      </c>
      <c r="N1108" s="77">
        <f t="shared" ca="1" si="235"/>
        <v>72.5</v>
      </c>
      <c r="O1108" s="77">
        <f t="shared" ca="1" si="235"/>
        <v>240</v>
      </c>
      <c r="P1108" s="77">
        <f t="shared" ca="1" si="235"/>
        <v>40</v>
      </c>
      <c r="Q1108" s="77">
        <f t="shared" ca="1" si="235"/>
        <v>315</v>
      </c>
      <c r="R1108" s="77">
        <f t="shared" ca="1" si="235"/>
        <v>100</v>
      </c>
      <c r="S1108" s="77">
        <f t="shared" ca="1" si="235"/>
        <v>695</v>
      </c>
      <c r="T1108" s="77">
        <f t="shared" ca="1" si="235"/>
        <v>33.333333333333336</v>
      </c>
      <c r="U1108" s="78"/>
      <c r="V1108" s="78"/>
      <c r="W1108" s="78"/>
      <c r="X1108" s="78"/>
      <c r="Y1108" s="78"/>
      <c r="Z1108" s="78"/>
      <c r="AA1108" s="78"/>
      <c r="AB1108" s="78"/>
      <c r="AC1108" s="78"/>
      <c r="AD1108" s="78"/>
    </row>
    <row r="1109" spans="1:30" ht="15" x14ac:dyDescent="0.2">
      <c r="A1109" s="11">
        <f t="shared" si="208"/>
        <v>2066</v>
      </c>
      <c r="B1109" s="11">
        <f t="shared" si="217"/>
        <v>365</v>
      </c>
      <c r="C1109" s="77">
        <f t="shared" ca="1" si="234"/>
        <v>154.75825</v>
      </c>
      <c r="D1109" s="77">
        <f t="shared" ca="1" si="234"/>
        <v>281.0162499999999</v>
      </c>
      <c r="E1109" s="77">
        <f t="shared" ca="1" si="234"/>
        <v>109.1005</v>
      </c>
      <c r="F1109" s="77">
        <f t="shared" ca="1" si="234"/>
        <v>57.041666666666664</v>
      </c>
      <c r="G1109" s="77">
        <f t="shared" ca="1" si="234"/>
        <v>40</v>
      </c>
      <c r="H1109" s="77">
        <f t="shared" ca="1" si="234"/>
        <v>174.58333333333334</v>
      </c>
      <c r="I1109" s="77">
        <f t="shared" ca="1" si="234"/>
        <v>0</v>
      </c>
      <c r="J1109" s="77">
        <f t="shared" ca="1" si="234"/>
        <v>100</v>
      </c>
      <c r="K1109" s="77">
        <f t="shared" ca="1" si="234"/>
        <v>300</v>
      </c>
      <c r="L1109" s="77">
        <f t="shared" ca="1" si="234"/>
        <v>1216.5</v>
      </c>
      <c r="M1109" s="77">
        <f t="shared" ca="1" si="235"/>
        <v>600</v>
      </c>
      <c r="N1109" s="77">
        <f t="shared" ca="1" si="235"/>
        <v>72.5</v>
      </c>
      <c r="O1109" s="77">
        <f t="shared" ca="1" si="235"/>
        <v>240</v>
      </c>
      <c r="P1109" s="77">
        <f t="shared" ca="1" si="235"/>
        <v>40</v>
      </c>
      <c r="Q1109" s="77">
        <f t="shared" ca="1" si="235"/>
        <v>315</v>
      </c>
      <c r="R1109" s="77">
        <f t="shared" ca="1" si="235"/>
        <v>100</v>
      </c>
      <c r="S1109" s="77">
        <f t="shared" ca="1" si="235"/>
        <v>695</v>
      </c>
      <c r="T1109" s="77">
        <f t="shared" ca="1" si="235"/>
        <v>33.333333333333336</v>
      </c>
      <c r="U1109" s="78"/>
      <c r="V1109" s="78"/>
      <c r="W1109" s="78"/>
      <c r="X1109" s="78"/>
      <c r="Y1109" s="78"/>
      <c r="Z1109" s="78"/>
      <c r="AA1109" s="78"/>
      <c r="AB1109" s="78"/>
      <c r="AC1109" s="78"/>
      <c r="AD1109" s="78"/>
    </row>
    <row r="1110" spans="1:30" ht="15" x14ac:dyDescent="0.2">
      <c r="A1110" s="11">
        <f t="shared" si="208"/>
        <v>2067</v>
      </c>
      <c r="B1110" s="11">
        <f t="shared" si="217"/>
        <v>365</v>
      </c>
      <c r="C1110" s="77">
        <f t="shared" ca="1" si="234"/>
        <v>154.75825</v>
      </c>
      <c r="D1110" s="77">
        <f t="shared" ca="1" si="234"/>
        <v>281.0162499999999</v>
      </c>
      <c r="E1110" s="77">
        <f t="shared" ca="1" si="234"/>
        <v>109.1005</v>
      </c>
      <c r="F1110" s="77">
        <f t="shared" ca="1" si="234"/>
        <v>57.041666666666664</v>
      </c>
      <c r="G1110" s="77">
        <f t="shared" ca="1" si="234"/>
        <v>40</v>
      </c>
      <c r="H1110" s="77">
        <f t="shared" ca="1" si="234"/>
        <v>174.58333333333334</v>
      </c>
      <c r="I1110" s="77">
        <f t="shared" ca="1" si="234"/>
        <v>0</v>
      </c>
      <c r="J1110" s="77">
        <f t="shared" ca="1" si="234"/>
        <v>100</v>
      </c>
      <c r="K1110" s="77">
        <f t="shared" ca="1" si="234"/>
        <v>300</v>
      </c>
      <c r="L1110" s="77">
        <f t="shared" ca="1" si="234"/>
        <v>1216.5</v>
      </c>
      <c r="M1110" s="77">
        <f t="shared" ca="1" si="235"/>
        <v>600</v>
      </c>
      <c r="N1110" s="77">
        <f t="shared" ca="1" si="235"/>
        <v>72.5</v>
      </c>
      <c r="O1110" s="77">
        <f t="shared" ca="1" si="235"/>
        <v>240</v>
      </c>
      <c r="P1110" s="77">
        <f t="shared" ca="1" si="235"/>
        <v>40</v>
      </c>
      <c r="Q1110" s="77">
        <f t="shared" ca="1" si="235"/>
        <v>315</v>
      </c>
      <c r="R1110" s="77">
        <f t="shared" ca="1" si="235"/>
        <v>100</v>
      </c>
      <c r="S1110" s="77">
        <f t="shared" ca="1" si="235"/>
        <v>695</v>
      </c>
      <c r="T1110" s="77">
        <f t="shared" ca="1" si="235"/>
        <v>33.333333333333336</v>
      </c>
      <c r="U1110" s="78"/>
      <c r="V1110" s="78"/>
      <c r="W1110" s="78"/>
      <c r="X1110" s="78"/>
      <c r="Y1110" s="78"/>
      <c r="Z1110" s="78"/>
      <c r="AA1110" s="78"/>
      <c r="AB1110" s="78"/>
      <c r="AC1110" s="78"/>
      <c r="AD1110" s="78"/>
    </row>
    <row r="1111" spans="1:30" ht="15" x14ac:dyDescent="0.2">
      <c r="A1111" s="11">
        <f t="shared" si="208"/>
        <v>2068</v>
      </c>
      <c r="B1111" s="11">
        <f t="shared" si="217"/>
        <v>366</v>
      </c>
      <c r="C1111" s="77">
        <f t="shared" ca="1" si="234"/>
        <v>154.75825</v>
      </c>
      <c r="D1111" s="77">
        <f t="shared" ca="1" si="234"/>
        <v>281.0162499999999</v>
      </c>
      <c r="E1111" s="77">
        <f t="shared" ca="1" si="234"/>
        <v>109.1005</v>
      </c>
      <c r="F1111" s="77">
        <f t="shared" ca="1" si="234"/>
        <v>57.041666666666664</v>
      </c>
      <c r="G1111" s="77">
        <f t="shared" ca="1" si="234"/>
        <v>40</v>
      </c>
      <c r="H1111" s="77">
        <f t="shared" ca="1" si="234"/>
        <v>174.58333333333334</v>
      </c>
      <c r="I1111" s="77">
        <f t="shared" ca="1" si="234"/>
        <v>0</v>
      </c>
      <c r="J1111" s="77">
        <f t="shared" ca="1" si="234"/>
        <v>100</v>
      </c>
      <c r="K1111" s="77">
        <f t="shared" ca="1" si="234"/>
        <v>300</v>
      </c>
      <c r="L1111" s="77">
        <f t="shared" ca="1" si="234"/>
        <v>1216.5</v>
      </c>
      <c r="M1111" s="77">
        <f t="shared" ca="1" si="235"/>
        <v>600</v>
      </c>
      <c r="N1111" s="77">
        <f t="shared" ca="1" si="235"/>
        <v>72.5</v>
      </c>
      <c r="O1111" s="77">
        <f t="shared" ca="1" si="235"/>
        <v>240</v>
      </c>
      <c r="P1111" s="77">
        <f t="shared" ca="1" si="235"/>
        <v>40</v>
      </c>
      <c r="Q1111" s="77">
        <f t="shared" ca="1" si="235"/>
        <v>315</v>
      </c>
      <c r="R1111" s="77">
        <f t="shared" ca="1" si="235"/>
        <v>100</v>
      </c>
      <c r="S1111" s="77">
        <f t="shared" ca="1" si="235"/>
        <v>695</v>
      </c>
      <c r="T1111" s="77">
        <f t="shared" ca="1" si="235"/>
        <v>33.333333333333336</v>
      </c>
      <c r="U1111" s="78"/>
      <c r="V1111" s="78"/>
      <c r="W1111" s="78"/>
      <c r="X1111" s="78"/>
      <c r="Y1111" s="78"/>
      <c r="Z1111" s="78"/>
      <c r="AA1111" s="78"/>
      <c r="AB1111" s="78"/>
      <c r="AC1111" s="78"/>
      <c r="AD1111" s="78"/>
    </row>
    <row r="1112" spans="1:30" ht="15" x14ac:dyDescent="0.2">
      <c r="A1112" s="11">
        <f t="shared" si="208"/>
        <v>2069</v>
      </c>
      <c r="B1112" s="11">
        <f t="shared" si="217"/>
        <v>365</v>
      </c>
      <c r="C1112" s="77">
        <f t="shared" ca="1" si="234"/>
        <v>154.75825</v>
      </c>
      <c r="D1112" s="77">
        <f t="shared" ca="1" si="234"/>
        <v>281.0162499999999</v>
      </c>
      <c r="E1112" s="77">
        <f t="shared" ca="1" si="234"/>
        <v>109.1005</v>
      </c>
      <c r="F1112" s="77">
        <f t="shared" ca="1" si="234"/>
        <v>57.041666666666664</v>
      </c>
      <c r="G1112" s="77">
        <f t="shared" ca="1" si="234"/>
        <v>40</v>
      </c>
      <c r="H1112" s="77">
        <f t="shared" ca="1" si="234"/>
        <v>174.58333333333334</v>
      </c>
      <c r="I1112" s="77">
        <f t="shared" ca="1" si="234"/>
        <v>0</v>
      </c>
      <c r="J1112" s="77">
        <f t="shared" ca="1" si="234"/>
        <v>100</v>
      </c>
      <c r="K1112" s="77">
        <f t="shared" ca="1" si="234"/>
        <v>300</v>
      </c>
      <c r="L1112" s="77">
        <f t="shared" ca="1" si="234"/>
        <v>1216.5</v>
      </c>
      <c r="M1112" s="77">
        <f t="shared" ca="1" si="235"/>
        <v>600</v>
      </c>
      <c r="N1112" s="77">
        <f t="shared" ca="1" si="235"/>
        <v>72.5</v>
      </c>
      <c r="O1112" s="77">
        <f t="shared" ca="1" si="235"/>
        <v>240</v>
      </c>
      <c r="P1112" s="77">
        <f t="shared" ca="1" si="235"/>
        <v>40</v>
      </c>
      <c r="Q1112" s="77">
        <f t="shared" ca="1" si="235"/>
        <v>315</v>
      </c>
      <c r="R1112" s="77">
        <f t="shared" ca="1" si="235"/>
        <v>100</v>
      </c>
      <c r="S1112" s="77">
        <f t="shared" ca="1" si="235"/>
        <v>695</v>
      </c>
      <c r="T1112" s="77">
        <f t="shared" ca="1" si="235"/>
        <v>33.333333333333336</v>
      </c>
      <c r="U1112" s="78"/>
      <c r="V1112" s="78"/>
      <c r="W1112" s="78"/>
      <c r="X1112" s="78"/>
      <c r="Y1112" s="78"/>
      <c r="Z1112" s="78"/>
      <c r="AA1112" s="78"/>
      <c r="AB1112" s="78"/>
      <c r="AC1112" s="78"/>
      <c r="AD1112" s="78"/>
    </row>
    <row r="1113" spans="1:30" ht="15" x14ac:dyDescent="0.2">
      <c r="A1113" s="11">
        <f t="shared" ref="A1113:A1143" si="236">A1112+1</f>
        <v>2070</v>
      </c>
      <c r="B1113" s="11">
        <f t="shared" si="217"/>
        <v>365</v>
      </c>
      <c r="C1113" s="77">
        <f t="shared" ca="1" si="234"/>
        <v>154.75825</v>
      </c>
      <c r="D1113" s="77">
        <f t="shared" ca="1" si="234"/>
        <v>281.0162499999999</v>
      </c>
      <c r="E1113" s="77">
        <f t="shared" ca="1" si="234"/>
        <v>109.1005</v>
      </c>
      <c r="F1113" s="77">
        <f t="shared" ca="1" si="234"/>
        <v>57.041666666666664</v>
      </c>
      <c r="G1113" s="77">
        <f t="shared" ca="1" si="234"/>
        <v>40</v>
      </c>
      <c r="H1113" s="77">
        <f t="shared" ca="1" si="234"/>
        <v>174.58333333333334</v>
      </c>
      <c r="I1113" s="77">
        <f t="shared" ca="1" si="234"/>
        <v>0</v>
      </c>
      <c r="J1113" s="77">
        <f t="shared" ca="1" si="234"/>
        <v>100</v>
      </c>
      <c r="K1113" s="77">
        <f t="shared" ca="1" si="234"/>
        <v>300</v>
      </c>
      <c r="L1113" s="77">
        <f t="shared" ca="1" si="234"/>
        <v>1216.5</v>
      </c>
      <c r="M1113" s="77">
        <f t="shared" ca="1" si="235"/>
        <v>600</v>
      </c>
      <c r="N1113" s="77">
        <f t="shared" ca="1" si="235"/>
        <v>72.5</v>
      </c>
      <c r="O1113" s="77">
        <f t="shared" ca="1" si="235"/>
        <v>240</v>
      </c>
      <c r="P1113" s="77">
        <f t="shared" ca="1" si="235"/>
        <v>40</v>
      </c>
      <c r="Q1113" s="77">
        <f t="shared" ca="1" si="235"/>
        <v>315</v>
      </c>
      <c r="R1113" s="77">
        <f t="shared" ca="1" si="235"/>
        <v>100</v>
      </c>
      <c r="S1113" s="77">
        <f t="shared" ca="1" si="235"/>
        <v>695</v>
      </c>
      <c r="T1113" s="77">
        <f t="shared" ca="1" si="235"/>
        <v>33.333333333333336</v>
      </c>
      <c r="U1113" s="78"/>
      <c r="V1113" s="78"/>
      <c r="W1113" s="78"/>
      <c r="X1113" s="78"/>
      <c r="Y1113" s="78"/>
      <c r="Z1113" s="78"/>
      <c r="AA1113" s="78"/>
      <c r="AB1113" s="78"/>
      <c r="AC1113" s="78"/>
      <c r="AD1113" s="78"/>
    </row>
    <row r="1114" spans="1:30" ht="15" x14ac:dyDescent="0.2">
      <c r="A1114" s="11">
        <f t="shared" si="236"/>
        <v>2071</v>
      </c>
      <c r="B1114" s="11">
        <f t="shared" si="217"/>
        <v>365</v>
      </c>
      <c r="C1114" s="77">
        <f t="shared" ca="1" si="234"/>
        <v>154.75825</v>
      </c>
      <c r="D1114" s="77">
        <f t="shared" ca="1" si="234"/>
        <v>281.0162499999999</v>
      </c>
      <c r="E1114" s="77">
        <f t="shared" ca="1" si="234"/>
        <v>109.1005</v>
      </c>
      <c r="F1114" s="77">
        <f t="shared" ca="1" si="234"/>
        <v>57.041666666666664</v>
      </c>
      <c r="G1114" s="77">
        <f t="shared" ca="1" si="234"/>
        <v>40</v>
      </c>
      <c r="H1114" s="77">
        <f t="shared" ca="1" si="234"/>
        <v>174.58333333333334</v>
      </c>
      <c r="I1114" s="77">
        <f t="shared" ca="1" si="234"/>
        <v>0</v>
      </c>
      <c r="J1114" s="77">
        <f t="shared" ca="1" si="234"/>
        <v>100</v>
      </c>
      <c r="K1114" s="77">
        <f t="shared" ca="1" si="234"/>
        <v>300</v>
      </c>
      <c r="L1114" s="77">
        <f t="shared" ca="1" si="234"/>
        <v>1216.5</v>
      </c>
      <c r="M1114" s="77">
        <f t="shared" ca="1" si="235"/>
        <v>600</v>
      </c>
      <c r="N1114" s="77">
        <f t="shared" ca="1" si="235"/>
        <v>72.5</v>
      </c>
      <c r="O1114" s="77">
        <f t="shared" ca="1" si="235"/>
        <v>240</v>
      </c>
      <c r="P1114" s="77">
        <f t="shared" ca="1" si="235"/>
        <v>40</v>
      </c>
      <c r="Q1114" s="77">
        <f t="shared" ca="1" si="235"/>
        <v>315</v>
      </c>
      <c r="R1114" s="77">
        <f t="shared" ca="1" si="235"/>
        <v>100</v>
      </c>
      <c r="S1114" s="77">
        <f t="shared" ca="1" si="235"/>
        <v>695</v>
      </c>
      <c r="T1114" s="77">
        <f t="shared" ca="1" si="235"/>
        <v>33.333333333333336</v>
      </c>
      <c r="U1114" s="78"/>
      <c r="V1114" s="78"/>
      <c r="W1114" s="78"/>
      <c r="X1114" s="78"/>
      <c r="Y1114" s="78"/>
      <c r="Z1114" s="78"/>
      <c r="AA1114" s="78"/>
      <c r="AB1114" s="78"/>
      <c r="AC1114" s="78"/>
      <c r="AD1114" s="78"/>
    </row>
    <row r="1115" spans="1:30" ht="15" x14ac:dyDescent="0.2">
      <c r="A1115" s="11">
        <f t="shared" si="236"/>
        <v>2072</v>
      </c>
      <c r="B1115" s="11">
        <f t="shared" si="217"/>
        <v>366</v>
      </c>
      <c r="C1115" s="77">
        <f t="shared" ref="C1115:L1124" ca="1" si="237">AVERAGE(OFFSET(C$588,($A1115-$A$1105)*12,0,12,1))</f>
        <v>154.75825</v>
      </c>
      <c r="D1115" s="77">
        <f t="shared" ca="1" si="237"/>
        <v>281.0162499999999</v>
      </c>
      <c r="E1115" s="77">
        <f t="shared" ca="1" si="237"/>
        <v>109.1005</v>
      </c>
      <c r="F1115" s="77">
        <f t="shared" ca="1" si="237"/>
        <v>57.041666666666664</v>
      </c>
      <c r="G1115" s="77">
        <f t="shared" ca="1" si="237"/>
        <v>40</v>
      </c>
      <c r="H1115" s="77">
        <f t="shared" ca="1" si="237"/>
        <v>174.58333333333334</v>
      </c>
      <c r="I1115" s="77">
        <f t="shared" ca="1" si="237"/>
        <v>0</v>
      </c>
      <c r="J1115" s="77">
        <f t="shared" ca="1" si="237"/>
        <v>100</v>
      </c>
      <c r="K1115" s="77">
        <f t="shared" ca="1" si="237"/>
        <v>300</v>
      </c>
      <c r="L1115" s="77">
        <f t="shared" ca="1" si="237"/>
        <v>1216.5</v>
      </c>
      <c r="M1115" s="77">
        <f t="shared" ref="M1115:T1124" ca="1" si="238">AVERAGE(OFFSET(M$588,($A1115-$A$1105)*12,0,12,1))</f>
        <v>600</v>
      </c>
      <c r="N1115" s="77">
        <f t="shared" ca="1" si="238"/>
        <v>72.5</v>
      </c>
      <c r="O1115" s="77">
        <f t="shared" ca="1" si="238"/>
        <v>240</v>
      </c>
      <c r="P1115" s="77">
        <f t="shared" ca="1" si="238"/>
        <v>40</v>
      </c>
      <c r="Q1115" s="77">
        <f t="shared" ca="1" si="238"/>
        <v>315</v>
      </c>
      <c r="R1115" s="77">
        <f t="shared" ca="1" si="238"/>
        <v>100</v>
      </c>
      <c r="S1115" s="77">
        <f t="shared" ca="1" si="238"/>
        <v>695</v>
      </c>
      <c r="T1115" s="77">
        <f t="shared" ca="1" si="238"/>
        <v>33.333333333333336</v>
      </c>
      <c r="U1115" s="78"/>
      <c r="V1115" s="78"/>
      <c r="W1115" s="78"/>
      <c r="X1115" s="78"/>
      <c r="Y1115" s="78"/>
      <c r="Z1115" s="78"/>
      <c r="AA1115" s="78"/>
      <c r="AB1115" s="78"/>
      <c r="AC1115" s="78"/>
      <c r="AD1115" s="78"/>
    </row>
    <row r="1116" spans="1:30" ht="15" x14ac:dyDescent="0.2">
      <c r="A1116" s="11">
        <f t="shared" si="236"/>
        <v>2073</v>
      </c>
      <c r="B1116" s="11">
        <f t="shared" si="217"/>
        <v>365</v>
      </c>
      <c r="C1116" s="77">
        <f t="shared" ca="1" si="237"/>
        <v>154.75825</v>
      </c>
      <c r="D1116" s="77">
        <f t="shared" ca="1" si="237"/>
        <v>281.0162499999999</v>
      </c>
      <c r="E1116" s="77">
        <f t="shared" ca="1" si="237"/>
        <v>109.1005</v>
      </c>
      <c r="F1116" s="77">
        <f t="shared" ca="1" si="237"/>
        <v>57.041666666666664</v>
      </c>
      <c r="G1116" s="77">
        <f t="shared" ca="1" si="237"/>
        <v>40</v>
      </c>
      <c r="H1116" s="77">
        <f t="shared" ca="1" si="237"/>
        <v>174.58333333333334</v>
      </c>
      <c r="I1116" s="77">
        <f t="shared" ca="1" si="237"/>
        <v>0</v>
      </c>
      <c r="J1116" s="77">
        <f t="shared" ca="1" si="237"/>
        <v>100</v>
      </c>
      <c r="K1116" s="77">
        <f t="shared" ca="1" si="237"/>
        <v>300</v>
      </c>
      <c r="L1116" s="77">
        <f t="shared" ca="1" si="237"/>
        <v>1216.5</v>
      </c>
      <c r="M1116" s="77">
        <f t="shared" ca="1" si="238"/>
        <v>600</v>
      </c>
      <c r="N1116" s="77">
        <f t="shared" ca="1" si="238"/>
        <v>72.5</v>
      </c>
      <c r="O1116" s="77">
        <f t="shared" ca="1" si="238"/>
        <v>240</v>
      </c>
      <c r="P1116" s="77">
        <f t="shared" ca="1" si="238"/>
        <v>40</v>
      </c>
      <c r="Q1116" s="77">
        <f t="shared" ca="1" si="238"/>
        <v>315</v>
      </c>
      <c r="R1116" s="77">
        <f t="shared" ca="1" si="238"/>
        <v>100</v>
      </c>
      <c r="S1116" s="77">
        <f t="shared" ca="1" si="238"/>
        <v>695</v>
      </c>
      <c r="T1116" s="77">
        <f t="shared" ca="1" si="238"/>
        <v>33.333333333333336</v>
      </c>
      <c r="U1116" s="78"/>
      <c r="V1116" s="78"/>
      <c r="W1116" s="78"/>
      <c r="X1116" s="78"/>
      <c r="Y1116" s="78"/>
      <c r="Z1116" s="78"/>
      <c r="AA1116" s="78"/>
      <c r="AB1116" s="78"/>
      <c r="AC1116" s="78"/>
      <c r="AD1116" s="78"/>
    </row>
    <row r="1117" spans="1:30" ht="15" x14ac:dyDescent="0.2">
      <c r="A1117" s="11">
        <f t="shared" si="236"/>
        <v>2074</v>
      </c>
      <c r="B1117" s="11">
        <f t="shared" si="217"/>
        <v>365</v>
      </c>
      <c r="C1117" s="77">
        <f t="shared" ca="1" si="237"/>
        <v>154.75825</v>
      </c>
      <c r="D1117" s="77">
        <f t="shared" ca="1" si="237"/>
        <v>281.0162499999999</v>
      </c>
      <c r="E1117" s="77">
        <f t="shared" ca="1" si="237"/>
        <v>109.1005</v>
      </c>
      <c r="F1117" s="77">
        <f t="shared" ca="1" si="237"/>
        <v>57.041666666666664</v>
      </c>
      <c r="G1117" s="77">
        <f t="shared" ca="1" si="237"/>
        <v>40</v>
      </c>
      <c r="H1117" s="77">
        <f t="shared" ca="1" si="237"/>
        <v>174.58333333333334</v>
      </c>
      <c r="I1117" s="77">
        <f t="shared" ca="1" si="237"/>
        <v>0</v>
      </c>
      <c r="J1117" s="77">
        <f t="shared" ca="1" si="237"/>
        <v>100</v>
      </c>
      <c r="K1117" s="77">
        <f t="shared" ca="1" si="237"/>
        <v>300</v>
      </c>
      <c r="L1117" s="77">
        <f t="shared" ca="1" si="237"/>
        <v>1216.5</v>
      </c>
      <c r="M1117" s="77">
        <f t="shared" ca="1" si="238"/>
        <v>600</v>
      </c>
      <c r="N1117" s="77">
        <f t="shared" ca="1" si="238"/>
        <v>72.5</v>
      </c>
      <c r="O1117" s="77">
        <f t="shared" ca="1" si="238"/>
        <v>240</v>
      </c>
      <c r="P1117" s="77">
        <f t="shared" ca="1" si="238"/>
        <v>40</v>
      </c>
      <c r="Q1117" s="77">
        <f t="shared" ca="1" si="238"/>
        <v>315</v>
      </c>
      <c r="R1117" s="77">
        <f t="shared" ca="1" si="238"/>
        <v>100</v>
      </c>
      <c r="S1117" s="77">
        <f t="shared" ca="1" si="238"/>
        <v>695</v>
      </c>
      <c r="T1117" s="77">
        <f t="shared" ca="1" si="238"/>
        <v>33.333333333333336</v>
      </c>
      <c r="U1117" s="78"/>
      <c r="V1117" s="78"/>
      <c r="W1117" s="78"/>
      <c r="X1117" s="78"/>
      <c r="Y1117" s="78"/>
      <c r="Z1117" s="78"/>
      <c r="AA1117" s="78"/>
      <c r="AB1117" s="78"/>
      <c r="AC1117" s="78"/>
      <c r="AD1117" s="78"/>
    </row>
    <row r="1118" spans="1:30" ht="15" x14ac:dyDescent="0.2">
      <c r="A1118" s="11">
        <f t="shared" si="236"/>
        <v>2075</v>
      </c>
      <c r="B1118" s="11">
        <f t="shared" si="217"/>
        <v>365</v>
      </c>
      <c r="C1118" s="77">
        <f t="shared" ca="1" si="237"/>
        <v>154.75825</v>
      </c>
      <c r="D1118" s="77">
        <f t="shared" ca="1" si="237"/>
        <v>281.0162499999999</v>
      </c>
      <c r="E1118" s="77">
        <f t="shared" ca="1" si="237"/>
        <v>109.1005</v>
      </c>
      <c r="F1118" s="77">
        <f t="shared" ca="1" si="237"/>
        <v>57.041666666666664</v>
      </c>
      <c r="G1118" s="77">
        <f t="shared" ca="1" si="237"/>
        <v>40</v>
      </c>
      <c r="H1118" s="77">
        <f t="shared" ca="1" si="237"/>
        <v>174.58333333333334</v>
      </c>
      <c r="I1118" s="77">
        <f t="shared" ca="1" si="237"/>
        <v>0</v>
      </c>
      <c r="J1118" s="77">
        <f t="shared" ca="1" si="237"/>
        <v>100</v>
      </c>
      <c r="K1118" s="77">
        <f t="shared" ca="1" si="237"/>
        <v>300</v>
      </c>
      <c r="L1118" s="77">
        <f t="shared" ca="1" si="237"/>
        <v>1216.5</v>
      </c>
      <c r="M1118" s="77">
        <f t="shared" ca="1" si="238"/>
        <v>600</v>
      </c>
      <c r="N1118" s="77">
        <f t="shared" ca="1" si="238"/>
        <v>72.5</v>
      </c>
      <c r="O1118" s="77">
        <f t="shared" ca="1" si="238"/>
        <v>240</v>
      </c>
      <c r="P1118" s="77">
        <f t="shared" ca="1" si="238"/>
        <v>40</v>
      </c>
      <c r="Q1118" s="77">
        <f t="shared" ca="1" si="238"/>
        <v>315</v>
      </c>
      <c r="R1118" s="77">
        <f t="shared" ca="1" si="238"/>
        <v>100</v>
      </c>
      <c r="S1118" s="77">
        <f t="shared" ca="1" si="238"/>
        <v>695</v>
      </c>
      <c r="T1118" s="77">
        <f t="shared" ca="1" si="238"/>
        <v>33.333333333333336</v>
      </c>
      <c r="U1118" s="78"/>
      <c r="V1118" s="78"/>
      <c r="W1118" s="78"/>
      <c r="X1118" s="78"/>
      <c r="Y1118" s="78"/>
      <c r="Z1118" s="78"/>
      <c r="AA1118" s="78"/>
      <c r="AB1118" s="78"/>
      <c r="AC1118" s="78"/>
      <c r="AD1118" s="78"/>
    </row>
    <row r="1119" spans="1:30" ht="15" x14ac:dyDescent="0.2">
      <c r="A1119" s="11">
        <f t="shared" si="236"/>
        <v>2076</v>
      </c>
      <c r="B1119" s="11">
        <f t="shared" si="217"/>
        <v>366</v>
      </c>
      <c r="C1119" s="77">
        <f t="shared" ca="1" si="237"/>
        <v>154.75825</v>
      </c>
      <c r="D1119" s="77">
        <f t="shared" ca="1" si="237"/>
        <v>281.0162499999999</v>
      </c>
      <c r="E1119" s="77">
        <f t="shared" ca="1" si="237"/>
        <v>109.1005</v>
      </c>
      <c r="F1119" s="77">
        <f t="shared" ca="1" si="237"/>
        <v>57.041666666666664</v>
      </c>
      <c r="G1119" s="77">
        <f t="shared" ca="1" si="237"/>
        <v>40</v>
      </c>
      <c r="H1119" s="77">
        <f t="shared" ca="1" si="237"/>
        <v>174.58333333333334</v>
      </c>
      <c r="I1119" s="77">
        <f t="shared" ca="1" si="237"/>
        <v>0</v>
      </c>
      <c r="J1119" s="77">
        <f t="shared" ca="1" si="237"/>
        <v>100</v>
      </c>
      <c r="K1119" s="77">
        <f t="shared" ca="1" si="237"/>
        <v>300</v>
      </c>
      <c r="L1119" s="77">
        <f t="shared" ca="1" si="237"/>
        <v>1216.5</v>
      </c>
      <c r="M1119" s="77">
        <f t="shared" ca="1" si="238"/>
        <v>600</v>
      </c>
      <c r="N1119" s="77">
        <f t="shared" ca="1" si="238"/>
        <v>72.5</v>
      </c>
      <c r="O1119" s="77">
        <f t="shared" ca="1" si="238"/>
        <v>240</v>
      </c>
      <c r="P1119" s="77">
        <f t="shared" ca="1" si="238"/>
        <v>40</v>
      </c>
      <c r="Q1119" s="77">
        <f t="shared" ca="1" si="238"/>
        <v>315</v>
      </c>
      <c r="R1119" s="77">
        <f t="shared" ca="1" si="238"/>
        <v>100</v>
      </c>
      <c r="S1119" s="77">
        <f t="shared" ca="1" si="238"/>
        <v>695</v>
      </c>
      <c r="T1119" s="77">
        <f t="shared" ca="1" si="238"/>
        <v>33.333333333333336</v>
      </c>
      <c r="U1119" s="78"/>
      <c r="V1119" s="78"/>
      <c r="W1119" s="78"/>
      <c r="X1119" s="78"/>
      <c r="Y1119" s="78"/>
      <c r="Z1119" s="78"/>
      <c r="AA1119" s="78"/>
      <c r="AB1119" s="78"/>
      <c r="AC1119" s="78"/>
      <c r="AD1119" s="78"/>
    </row>
    <row r="1120" spans="1:30" ht="15" x14ac:dyDescent="0.2">
      <c r="A1120" s="11">
        <f t="shared" si="236"/>
        <v>2077</v>
      </c>
      <c r="B1120" s="11">
        <f t="shared" si="217"/>
        <v>365</v>
      </c>
      <c r="C1120" s="77">
        <f t="shared" ca="1" si="237"/>
        <v>154.75825</v>
      </c>
      <c r="D1120" s="77">
        <f t="shared" ca="1" si="237"/>
        <v>281.0162499999999</v>
      </c>
      <c r="E1120" s="77">
        <f t="shared" ca="1" si="237"/>
        <v>109.1005</v>
      </c>
      <c r="F1120" s="77">
        <f t="shared" ca="1" si="237"/>
        <v>57.041666666666664</v>
      </c>
      <c r="G1120" s="77">
        <f t="shared" ca="1" si="237"/>
        <v>40</v>
      </c>
      <c r="H1120" s="77">
        <f t="shared" ca="1" si="237"/>
        <v>174.58333333333334</v>
      </c>
      <c r="I1120" s="77">
        <f t="shared" ca="1" si="237"/>
        <v>0</v>
      </c>
      <c r="J1120" s="77">
        <f t="shared" ca="1" si="237"/>
        <v>100</v>
      </c>
      <c r="K1120" s="77">
        <f t="shared" ca="1" si="237"/>
        <v>300</v>
      </c>
      <c r="L1120" s="77">
        <f t="shared" ca="1" si="237"/>
        <v>1216.5</v>
      </c>
      <c r="M1120" s="77">
        <f t="shared" ca="1" si="238"/>
        <v>600</v>
      </c>
      <c r="N1120" s="77">
        <f t="shared" ca="1" si="238"/>
        <v>72.5</v>
      </c>
      <c r="O1120" s="77">
        <f t="shared" ca="1" si="238"/>
        <v>240</v>
      </c>
      <c r="P1120" s="77">
        <f t="shared" ca="1" si="238"/>
        <v>40</v>
      </c>
      <c r="Q1120" s="77">
        <f t="shared" ca="1" si="238"/>
        <v>315</v>
      </c>
      <c r="R1120" s="77">
        <f t="shared" ca="1" si="238"/>
        <v>100</v>
      </c>
      <c r="S1120" s="77">
        <f t="shared" ca="1" si="238"/>
        <v>695</v>
      </c>
      <c r="T1120" s="77">
        <f t="shared" ca="1" si="238"/>
        <v>33.333333333333336</v>
      </c>
      <c r="U1120" s="78"/>
      <c r="V1120" s="78"/>
      <c r="W1120" s="78"/>
      <c r="X1120" s="78"/>
      <c r="Y1120" s="78"/>
      <c r="Z1120" s="78"/>
      <c r="AA1120" s="78"/>
      <c r="AB1120" s="78"/>
      <c r="AC1120" s="78"/>
      <c r="AD1120" s="78"/>
    </row>
    <row r="1121" spans="1:30" ht="15" x14ac:dyDescent="0.2">
      <c r="A1121" s="11">
        <f t="shared" si="236"/>
        <v>2078</v>
      </c>
      <c r="B1121" s="11">
        <f t="shared" ref="B1121:B1143" si="239">DATE(A1121+1,1,1)-DATE(A1121,1,1)</f>
        <v>365</v>
      </c>
      <c r="C1121" s="77">
        <f t="shared" ca="1" si="237"/>
        <v>154.75825</v>
      </c>
      <c r="D1121" s="77">
        <f t="shared" ca="1" si="237"/>
        <v>281.0162499999999</v>
      </c>
      <c r="E1121" s="77">
        <f t="shared" ca="1" si="237"/>
        <v>109.1005</v>
      </c>
      <c r="F1121" s="77">
        <f t="shared" ca="1" si="237"/>
        <v>57.041666666666664</v>
      </c>
      <c r="G1121" s="77">
        <f t="shared" ca="1" si="237"/>
        <v>40</v>
      </c>
      <c r="H1121" s="77">
        <f t="shared" ca="1" si="237"/>
        <v>174.58333333333334</v>
      </c>
      <c r="I1121" s="77">
        <f t="shared" ca="1" si="237"/>
        <v>0</v>
      </c>
      <c r="J1121" s="77">
        <f t="shared" ca="1" si="237"/>
        <v>100</v>
      </c>
      <c r="K1121" s="77">
        <f t="shared" ca="1" si="237"/>
        <v>300</v>
      </c>
      <c r="L1121" s="77">
        <f t="shared" ca="1" si="237"/>
        <v>1216.5</v>
      </c>
      <c r="M1121" s="77">
        <f t="shared" ca="1" si="238"/>
        <v>600</v>
      </c>
      <c r="N1121" s="77">
        <f t="shared" ca="1" si="238"/>
        <v>72.5</v>
      </c>
      <c r="O1121" s="77">
        <f t="shared" ca="1" si="238"/>
        <v>240</v>
      </c>
      <c r="P1121" s="77">
        <f t="shared" ca="1" si="238"/>
        <v>40</v>
      </c>
      <c r="Q1121" s="77">
        <f t="shared" ca="1" si="238"/>
        <v>315</v>
      </c>
      <c r="R1121" s="77">
        <f t="shared" ca="1" si="238"/>
        <v>100</v>
      </c>
      <c r="S1121" s="77">
        <f t="shared" ca="1" si="238"/>
        <v>695</v>
      </c>
      <c r="T1121" s="77">
        <f t="shared" ca="1" si="238"/>
        <v>33.333333333333336</v>
      </c>
      <c r="U1121" s="78"/>
      <c r="V1121" s="78"/>
      <c r="W1121" s="78"/>
      <c r="X1121" s="78"/>
      <c r="Y1121" s="78"/>
      <c r="Z1121" s="78"/>
      <c r="AA1121" s="78"/>
      <c r="AB1121" s="78"/>
      <c r="AC1121" s="78"/>
      <c r="AD1121" s="78"/>
    </row>
    <row r="1122" spans="1:30" ht="15" x14ac:dyDescent="0.2">
      <c r="A1122" s="11">
        <f t="shared" si="236"/>
        <v>2079</v>
      </c>
      <c r="B1122" s="11">
        <f t="shared" si="239"/>
        <v>365</v>
      </c>
      <c r="C1122" s="77">
        <f t="shared" ca="1" si="237"/>
        <v>154.75825</v>
      </c>
      <c r="D1122" s="77">
        <f t="shared" ca="1" si="237"/>
        <v>281.0162499999999</v>
      </c>
      <c r="E1122" s="77">
        <f t="shared" ca="1" si="237"/>
        <v>109.1005</v>
      </c>
      <c r="F1122" s="77">
        <f t="shared" ca="1" si="237"/>
        <v>57.041666666666664</v>
      </c>
      <c r="G1122" s="77">
        <f t="shared" ca="1" si="237"/>
        <v>40</v>
      </c>
      <c r="H1122" s="77">
        <f t="shared" ca="1" si="237"/>
        <v>174.58333333333334</v>
      </c>
      <c r="I1122" s="77">
        <f t="shared" ca="1" si="237"/>
        <v>0</v>
      </c>
      <c r="J1122" s="77">
        <f t="shared" ca="1" si="237"/>
        <v>100</v>
      </c>
      <c r="K1122" s="77">
        <f t="shared" ca="1" si="237"/>
        <v>300</v>
      </c>
      <c r="L1122" s="77">
        <f t="shared" ca="1" si="237"/>
        <v>1216.5</v>
      </c>
      <c r="M1122" s="77">
        <f t="shared" ca="1" si="238"/>
        <v>600</v>
      </c>
      <c r="N1122" s="77">
        <f t="shared" ca="1" si="238"/>
        <v>72.5</v>
      </c>
      <c r="O1122" s="77">
        <f t="shared" ca="1" si="238"/>
        <v>240</v>
      </c>
      <c r="P1122" s="77">
        <f t="shared" ca="1" si="238"/>
        <v>40</v>
      </c>
      <c r="Q1122" s="77">
        <f t="shared" ca="1" si="238"/>
        <v>315</v>
      </c>
      <c r="R1122" s="77">
        <f t="shared" ca="1" si="238"/>
        <v>100</v>
      </c>
      <c r="S1122" s="77">
        <f t="shared" ca="1" si="238"/>
        <v>695</v>
      </c>
      <c r="T1122" s="77">
        <f t="shared" ca="1" si="238"/>
        <v>33.333333333333336</v>
      </c>
      <c r="U1122" s="78"/>
      <c r="V1122" s="78"/>
      <c r="W1122" s="78"/>
      <c r="X1122" s="78"/>
      <c r="Y1122" s="78"/>
      <c r="Z1122" s="78"/>
      <c r="AA1122" s="78"/>
      <c r="AB1122" s="78"/>
      <c r="AC1122" s="78"/>
      <c r="AD1122" s="78"/>
    </row>
    <row r="1123" spans="1:30" ht="15" x14ac:dyDescent="0.2">
      <c r="A1123" s="11">
        <f t="shared" si="236"/>
        <v>2080</v>
      </c>
      <c r="B1123" s="11">
        <f t="shared" si="239"/>
        <v>366</v>
      </c>
      <c r="C1123" s="77">
        <f t="shared" ca="1" si="237"/>
        <v>154.75825</v>
      </c>
      <c r="D1123" s="77">
        <f t="shared" ca="1" si="237"/>
        <v>281.0162499999999</v>
      </c>
      <c r="E1123" s="77">
        <f t="shared" ca="1" si="237"/>
        <v>109.1005</v>
      </c>
      <c r="F1123" s="77">
        <f t="shared" ca="1" si="237"/>
        <v>57.041666666666664</v>
      </c>
      <c r="G1123" s="77">
        <f t="shared" ca="1" si="237"/>
        <v>40</v>
      </c>
      <c r="H1123" s="77">
        <f t="shared" ca="1" si="237"/>
        <v>174.58333333333334</v>
      </c>
      <c r="I1123" s="77">
        <f t="shared" ca="1" si="237"/>
        <v>0</v>
      </c>
      <c r="J1123" s="77">
        <f t="shared" ca="1" si="237"/>
        <v>100</v>
      </c>
      <c r="K1123" s="77">
        <f t="shared" ca="1" si="237"/>
        <v>300</v>
      </c>
      <c r="L1123" s="77">
        <f t="shared" ca="1" si="237"/>
        <v>1216.5</v>
      </c>
      <c r="M1123" s="77">
        <f t="shared" ca="1" si="238"/>
        <v>600</v>
      </c>
      <c r="N1123" s="77">
        <f t="shared" ca="1" si="238"/>
        <v>72.5</v>
      </c>
      <c r="O1123" s="77">
        <f t="shared" ca="1" si="238"/>
        <v>240</v>
      </c>
      <c r="P1123" s="77">
        <f t="shared" ca="1" si="238"/>
        <v>40</v>
      </c>
      <c r="Q1123" s="77">
        <f t="shared" ca="1" si="238"/>
        <v>315</v>
      </c>
      <c r="R1123" s="77">
        <f t="shared" ca="1" si="238"/>
        <v>100</v>
      </c>
      <c r="S1123" s="77">
        <f t="shared" ca="1" si="238"/>
        <v>695</v>
      </c>
      <c r="T1123" s="77">
        <f t="shared" ca="1" si="238"/>
        <v>33.333333333333336</v>
      </c>
      <c r="U1123" s="78"/>
      <c r="V1123" s="78"/>
      <c r="W1123" s="78"/>
      <c r="X1123" s="78"/>
      <c r="Y1123" s="78"/>
      <c r="Z1123" s="78"/>
      <c r="AA1123" s="78"/>
      <c r="AB1123" s="78"/>
      <c r="AC1123" s="78"/>
      <c r="AD1123" s="78"/>
    </row>
    <row r="1124" spans="1:30" ht="15" x14ac:dyDescent="0.2">
      <c r="A1124" s="11">
        <f t="shared" si="236"/>
        <v>2081</v>
      </c>
      <c r="B1124" s="11">
        <f t="shared" si="239"/>
        <v>365</v>
      </c>
      <c r="C1124" s="77">
        <f t="shared" ca="1" si="237"/>
        <v>154.75825</v>
      </c>
      <c r="D1124" s="77">
        <f t="shared" ca="1" si="237"/>
        <v>281.0162499999999</v>
      </c>
      <c r="E1124" s="77">
        <f t="shared" ca="1" si="237"/>
        <v>109.1005</v>
      </c>
      <c r="F1124" s="77">
        <f t="shared" ca="1" si="237"/>
        <v>57.041666666666664</v>
      </c>
      <c r="G1124" s="77">
        <f t="shared" ca="1" si="237"/>
        <v>40</v>
      </c>
      <c r="H1124" s="77">
        <f t="shared" ca="1" si="237"/>
        <v>174.58333333333334</v>
      </c>
      <c r="I1124" s="77">
        <f t="shared" ca="1" si="237"/>
        <v>0</v>
      </c>
      <c r="J1124" s="77">
        <f t="shared" ca="1" si="237"/>
        <v>100</v>
      </c>
      <c r="K1124" s="77">
        <f t="shared" ca="1" si="237"/>
        <v>300</v>
      </c>
      <c r="L1124" s="77">
        <f t="shared" ca="1" si="237"/>
        <v>1216.5</v>
      </c>
      <c r="M1124" s="77">
        <f t="shared" ca="1" si="238"/>
        <v>600</v>
      </c>
      <c r="N1124" s="77">
        <f t="shared" ca="1" si="238"/>
        <v>72.5</v>
      </c>
      <c r="O1124" s="77">
        <f t="shared" ca="1" si="238"/>
        <v>240</v>
      </c>
      <c r="P1124" s="77">
        <f t="shared" ca="1" si="238"/>
        <v>40</v>
      </c>
      <c r="Q1124" s="77">
        <f t="shared" ca="1" si="238"/>
        <v>315</v>
      </c>
      <c r="R1124" s="77">
        <f t="shared" ca="1" si="238"/>
        <v>100</v>
      </c>
      <c r="S1124" s="77">
        <f t="shared" ca="1" si="238"/>
        <v>695</v>
      </c>
      <c r="T1124" s="77">
        <f t="shared" ca="1" si="238"/>
        <v>33.333333333333336</v>
      </c>
      <c r="U1124" s="78"/>
      <c r="V1124" s="78"/>
      <c r="W1124" s="78"/>
      <c r="X1124" s="78"/>
      <c r="Y1124" s="78"/>
      <c r="Z1124" s="78"/>
      <c r="AA1124" s="78"/>
      <c r="AB1124" s="78"/>
      <c r="AC1124" s="78"/>
      <c r="AD1124" s="78"/>
    </row>
    <row r="1125" spans="1:30" ht="15" x14ac:dyDescent="0.2">
      <c r="A1125" s="11">
        <f t="shared" si="236"/>
        <v>2082</v>
      </c>
      <c r="B1125" s="11">
        <f t="shared" si="239"/>
        <v>365</v>
      </c>
      <c r="C1125" s="77">
        <f t="shared" ref="C1125:L1134" ca="1" si="240">AVERAGE(OFFSET(C$588,($A1125-$A$1105)*12,0,12,1))</f>
        <v>154.75825</v>
      </c>
      <c r="D1125" s="77">
        <f t="shared" ca="1" si="240"/>
        <v>281.0162499999999</v>
      </c>
      <c r="E1125" s="77">
        <f t="shared" ca="1" si="240"/>
        <v>109.1005</v>
      </c>
      <c r="F1125" s="77">
        <f t="shared" ca="1" si="240"/>
        <v>57.041666666666664</v>
      </c>
      <c r="G1125" s="77">
        <f t="shared" ca="1" si="240"/>
        <v>40</v>
      </c>
      <c r="H1125" s="77">
        <f t="shared" ca="1" si="240"/>
        <v>174.58333333333334</v>
      </c>
      <c r="I1125" s="77">
        <f t="shared" ca="1" si="240"/>
        <v>0</v>
      </c>
      <c r="J1125" s="77">
        <f t="shared" ca="1" si="240"/>
        <v>100</v>
      </c>
      <c r="K1125" s="77">
        <f t="shared" ca="1" si="240"/>
        <v>300</v>
      </c>
      <c r="L1125" s="77">
        <f t="shared" ca="1" si="240"/>
        <v>1216.5</v>
      </c>
      <c r="M1125" s="77">
        <f t="shared" ref="M1125:T1134" ca="1" si="241">AVERAGE(OFFSET(M$588,($A1125-$A$1105)*12,0,12,1))</f>
        <v>600</v>
      </c>
      <c r="N1125" s="77">
        <f t="shared" ca="1" si="241"/>
        <v>72.5</v>
      </c>
      <c r="O1125" s="77">
        <f t="shared" ca="1" si="241"/>
        <v>240</v>
      </c>
      <c r="P1125" s="77">
        <f t="shared" ca="1" si="241"/>
        <v>40</v>
      </c>
      <c r="Q1125" s="77">
        <f t="shared" ca="1" si="241"/>
        <v>315</v>
      </c>
      <c r="R1125" s="77">
        <f t="shared" ca="1" si="241"/>
        <v>100</v>
      </c>
      <c r="S1125" s="77">
        <f t="shared" ca="1" si="241"/>
        <v>695</v>
      </c>
      <c r="T1125" s="77">
        <f t="shared" ca="1" si="241"/>
        <v>33.333333333333336</v>
      </c>
      <c r="U1125" s="78"/>
      <c r="V1125" s="78"/>
      <c r="W1125" s="78"/>
      <c r="X1125" s="78"/>
      <c r="Y1125" s="78"/>
      <c r="Z1125" s="78"/>
      <c r="AA1125" s="78"/>
      <c r="AB1125" s="78"/>
      <c r="AC1125" s="78"/>
      <c r="AD1125" s="78"/>
    </row>
    <row r="1126" spans="1:30" ht="15" x14ac:dyDescent="0.2">
      <c r="A1126" s="11">
        <f t="shared" si="236"/>
        <v>2083</v>
      </c>
      <c r="B1126" s="11">
        <f t="shared" si="239"/>
        <v>365</v>
      </c>
      <c r="C1126" s="77">
        <f t="shared" ca="1" si="240"/>
        <v>154.75825</v>
      </c>
      <c r="D1126" s="77">
        <f t="shared" ca="1" si="240"/>
        <v>281.0162499999999</v>
      </c>
      <c r="E1126" s="77">
        <f t="shared" ca="1" si="240"/>
        <v>109.1005</v>
      </c>
      <c r="F1126" s="77">
        <f t="shared" ca="1" si="240"/>
        <v>57.041666666666664</v>
      </c>
      <c r="G1126" s="77">
        <f t="shared" ca="1" si="240"/>
        <v>40</v>
      </c>
      <c r="H1126" s="77">
        <f t="shared" ca="1" si="240"/>
        <v>174.58333333333334</v>
      </c>
      <c r="I1126" s="77">
        <f t="shared" ca="1" si="240"/>
        <v>0</v>
      </c>
      <c r="J1126" s="77">
        <f t="shared" ca="1" si="240"/>
        <v>100</v>
      </c>
      <c r="K1126" s="77">
        <f t="shared" ca="1" si="240"/>
        <v>300</v>
      </c>
      <c r="L1126" s="77">
        <f t="shared" ca="1" si="240"/>
        <v>1216.5</v>
      </c>
      <c r="M1126" s="77">
        <f t="shared" ca="1" si="241"/>
        <v>600</v>
      </c>
      <c r="N1126" s="77">
        <f t="shared" ca="1" si="241"/>
        <v>72.5</v>
      </c>
      <c r="O1126" s="77">
        <f t="shared" ca="1" si="241"/>
        <v>240</v>
      </c>
      <c r="P1126" s="77">
        <f t="shared" ca="1" si="241"/>
        <v>40</v>
      </c>
      <c r="Q1126" s="77">
        <f t="shared" ca="1" si="241"/>
        <v>315</v>
      </c>
      <c r="R1126" s="77">
        <f t="shared" ca="1" si="241"/>
        <v>100</v>
      </c>
      <c r="S1126" s="77">
        <f t="shared" ca="1" si="241"/>
        <v>695</v>
      </c>
      <c r="T1126" s="77">
        <f t="shared" ca="1" si="241"/>
        <v>33.333333333333336</v>
      </c>
      <c r="U1126" s="78"/>
      <c r="V1126" s="78"/>
      <c r="W1126" s="78"/>
      <c r="X1126" s="78"/>
      <c r="Y1126" s="78"/>
      <c r="Z1126" s="78"/>
      <c r="AA1126" s="78"/>
      <c r="AB1126" s="78"/>
      <c r="AC1126" s="78"/>
      <c r="AD1126" s="78"/>
    </row>
    <row r="1127" spans="1:30" ht="15" x14ac:dyDescent="0.2">
      <c r="A1127" s="11">
        <f t="shared" si="236"/>
        <v>2084</v>
      </c>
      <c r="B1127" s="11">
        <f t="shared" si="239"/>
        <v>366</v>
      </c>
      <c r="C1127" s="77">
        <f t="shared" ca="1" si="240"/>
        <v>154.75825</v>
      </c>
      <c r="D1127" s="77">
        <f t="shared" ca="1" si="240"/>
        <v>281.0162499999999</v>
      </c>
      <c r="E1127" s="77">
        <f t="shared" ca="1" si="240"/>
        <v>109.1005</v>
      </c>
      <c r="F1127" s="77">
        <f t="shared" ca="1" si="240"/>
        <v>57.041666666666664</v>
      </c>
      <c r="G1127" s="77">
        <f t="shared" ca="1" si="240"/>
        <v>40</v>
      </c>
      <c r="H1127" s="77">
        <f t="shared" ca="1" si="240"/>
        <v>174.58333333333334</v>
      </c>
      <c r="I1127" s="77">
        <f t="shared" ca="1" si="240"/>
        <v>0</v>
      </c>
      <c r="J1127" s="77">
        <f t="shared" ca="1" si="240"/>
        <v>100</v>
      </c>
      <c r="K1127" s="77">
        <f t="shared" ca="1" si="240"/>
        <v>300</v>
      </c>
      <c r="L1127" s="77">
        <f t="shared" ca="1" si="240"/>
        <v>1216.5</v>
      </c>
      <c r="M1127" s="77">
        <f t="shared" ca="1" si="241"/>
        <v>600</v>
      </c>
      <c r="N1127" s="77">
        <f t="shared" ca="1" si="241"/>
        <v>72.5</v>
      </c>
      <c r="O1127" s="77">
        <f t="shared" ca="1" si="241"/>
        <v>240</v>
      </c>
      <c r="P1127" s="77">
        <f t="shared" ca="1" si="241"/>
        <v>40</v>
      </c>
      <c r="Q1127" s="77">
        <f t="shared" ca="1" si="241"/>
        <v>315</v>
      </c>
      <c r="R1127" s="77">
        <f t="shared" ca="1" si="241"/>
        <v>100</v>
      </c>
      <c r="S1127" s="77">
        <f t="shared" ca="1" si="241"/>
        <v>695</v>
      </c>
      <c r="T1127" s="77">
        <f t="shared" ca="1" si="241"/>
        <v>33.333333333333336</v>
      </c>
      <c r="U1127" s="78"/>
      <c r="V1127" s="78"/>
      <c r="W1127" s="78"/>
      <c r="X1127" s="78"/>
      <c r="Y1127" s="78"/>
      <c r="Z1127" s="78"/>
      <c r="AA1127" s="78"/>
      <c r="AB1127" s="78"/>
      <c r="AC1127" s="78"/>
      <c r="AD1127" s="78"/>
    </row>
    <row r="1128" spans="1:30" ht="15" x14ac:dyDescent="0.2">
      <c r="A1128" s="11">
        <f t="shared" si="236"/>
        <v>2085</v>
      </c>
      <c r="B1128" s="11">
        <f t="shared" si="239"/>
        <v>365</v>
      </c>
      <c r="C1128" s="77">
        <f t="shared" ca="1" si="240"/>
        <v>154.75825</v>
      </c>
      <c r="D1128" s="77">
        <f t="shared" ca="1" si="240"/>
        <v>281.0162499999999</v>
      </c>
      <c r="E1128" s="77">
        <f t="shared" ca="1" si="240"/>
        <v>109.1005</v>
      </c>
      <c r="F1128" s="77">
        <f t="shared" ca="1" si="240"/>
        <v>57.041666666666664</v>
      </c>
      <c r="G1128" s="77">
        <f t="shared" ca="1" si="240"/>
        <v>40</v>
      </c>
      <c r="H1128" s="77">
        <f t="shared" ca="1" si="240"/>
        <v>174.58333333333334</v>
      </c>
      <c r="I1128" s="77">
        <f t="shared" ca="1" si="240"/>
        <v>0</v>
      </c>
      <c r="J1128" s="77">
        <f t="shared" ca="1" si="240"/>
        <v>100</v>
      </c>
      <c r="K1128" s="77">
        <f t="shared" ca="1" si="240"/>
        <v>300</v>
      </c>
      <c r="L1128" s="77">
        <f t="shared" ca="1" si="240"/>
        <v>1216.5</v>
      </c>
      <c r="M1128" s="77">
        <f t="shared" ca="1" si="241"/>
        <v>600</v>
      </c>
      <c r="N1128" s="77">
        <f t="shared" ca="1" si="241"/>
        <v>72.5</v>
      </c>
      <c r="O1128" s="77">
        <f t="shared" ca="1" si="241"/>
        <v>240</v>
      </c>
      <c r="P1128" s="77">
        <f t="shared" ca="1" si="241"/>
        <v>40</v>
      </c>
      <c r="Q1128" s="77">
        <f t="shared" ca="1" si="241"/>
        <v>315</v>
      </c>
      <c r="R1128" s="77">
        <f t="shared" ca="1" si="241"/>
        <v>100</v>
      </c>
      <c r="S1128" s="77">
        <f t="shared" ca="1" si="241"/>
        <v>695</v>
      </c>
      <c r="T1128" s="77">
        <f t="shared" ca="1" si="241"/>
        <v>33.333333333333336</v>
      </c>
      <c r="U1128" s="78"/>
      <c r="V1128" s="78"/>
      <c r="W1128" s="78"/>
      <c r="X1128" s="78"/>
      <c r="Y1128" s="78"/>
      <c r="Z1128" s="78"/>
      <c r="AA1128" s="78"/>
      <c r="AB1128" s="78"/>
      <c r="AC1128" s="78"/>
      <c r="AD1128" s="78"/>
    </row>
    <row r="1129" spans="1:30" ht="15" x14ac:dyDescent="0.2">
      <c r="A1129" s="11">
        <f t="shared" si="236"/>
        <v>2086</v>
      </c>
      <c r="B1129" s="11">
        <f t="shared" si="239"/>
        <v>365</v>
      </c>
      <c r="C1129" s="77">
        <f t="shared" ca="1" si="240"/>
        <v>154.75825</v>
      </c>
      <c r="D1129" s="77">
        <f t="shared" ca="1" si="240"/>
        <v>281.0162499999999</v>
      </c>
      <c r="E1129" s="77">
        <f t="shared" ca="1" si="240"/>
        <v>109.1005</v>
      </c>
      <c r="F1129" s="77">
        <f t="shared" ca="1" si="240"/>
        <v>57.041666666666664</v>
      </c>
      <c r="G1129" s="77">
        <f t="shared" ca="1" si="240"/>
        <v>40</v>
      </c>
      <c r="H1129" s="77">
        <f t="shared" ca="1" si="240"/>
        <v>174.58333333333334</v>
      </c>
      <c r="I1129" s="77">
        <f t="shared" ca="1" si="240"/>
        <v>0</v>
      </c>
      <c r="J1129" s="77">
        <f t="shared" ca="1" si="240"/>
        <v>100</v>
      </c>
      <c r="K1129" s="77">
        <f t="shared" ca="1" si="240"/>
        <v>300</v>
      </c>
      <c r="L1129" s="77">
        <f t="shared" ca="1" si="240"/>
        <v>1216.5</v>
      </c>
      <c r="M1129" s="77">
        <f t="shared" ca="1" si="241"/>
        <v>600</v>
      </c>
      <c r="N1129" s="77">
        <f t="shared" ca="1" si="241"/>
        <v>72.5</v>
      </c>
      <c r="O1129" s="77">
        <f t="shared" ca="1" si="241"/>
        <v>240</v>
      </c>
      <c r="P1129" s="77">
        <f t="shared" ca="1" si="241"/>
        <v>40</v>
      </c>
      <c r="Q1129" s="77">
        <f t="shared" ca="1" si="241"/>
        <v>315</v>
      </c>
      <c r="R1129" s="77">
        <f t="shared" ca="1" si="241"/>
        <v>100</v>
      </c>
      <c r="S1129" s="77">
        <f t="shared" ca="1" si="241"/>
        <v>695</v>
      </c>
      <c r="T1129" s="77">
        <f t="shared" ca="1" si="241"/>
        <v>33.333333333333336</v>
      </c>
      <c r="U1129" s="78"/>
      <c r="V1129" s="78"/>
      <c r="W1129" s="78"/>
      <c r="X1129" s="78"/>
      <c r="Y1129" s="78"/>
      <c r="Z1129" s="78"/>
      <c r="AA1129" s="78"/>
      <c r="AB1129" s="78"/>
      <c r="AC1129" s="78"/>
      <c r="AD1129" s="78"/>
    </row>
    <row r="1130" spans="1:30" ht="15" x14ac:dyDescent="0.2">
      <c r="A1130" s="11">
        <f t="shared" si="236"/>
        <v>2087</v>
      </c>
      <c r="B1130" s="11">
        <f t="shared" si="239"/>
        <v>365</v>
      </c>
      <c r="C1130" s="77">
        <f t="shared" ca="1" si="240"/>
        <v>154.75825</v>
      </c>
      <c r="D1130" s="77">
        <f t="shared" ca="1" si="240"/>
        <v>281.0162499999999</v>
      </c>
      <c r="E1130" s="77">
        <f t="shared" ca="1" si="240"/>
        <v>109.1005</v>
      </c>
      <c r="F1130" s="77">
        <f t="shared" ca="1" si="240"/>
        <v>57.041666666666664</v>
      </c>
      <c r="G1130" s="77">
        <f t="shared" ca="1" si="240"/>
        <v>40</v>
      </c>
      <c r="H1130" s="77">
        <f t="shared" ca="1" si="240"/>
        <v>174.58333333333334</v>
      </c>
      <c r="I1130" s="77">
        <f t="shared" ca="1" si="240"/>
        <v>0</v>
      </c>
      <c r="J1130" s="77">
        <f t="shared" ca="1" si="240"/>
        <v>100</v>
      </c>
      <c r="K1130" s="77">
        <f t="shared" ca="1" si="240"/>
        <v>300</v>
      </c>
      <c r="L1130" s="77">
        <f t="shared" ca="1" si="240"/>
        <v>1216.5</v>
      </c>
      <c r="M1130" s="77">
        <f t="shared" ca="1" si="241"/>
        <v>600</v>
      </c>
      <c r="N1130" s="77">
        <f t="shared" ca="1" si="241"/>
        <v>72.5</v>
      </c>
      <c r="O1130" s="77">
        <f t="shared" ca="1" si="241"/>
        <v>240</v>
      </c>
      <c r="P1130" s="77">
        <f t="shared" ca="1" si="241"/>
        <v>40</v>
      </c>
      <c r="Q1130" s="77">
        <f t="shared" ca="1" si="241"/>
        <v>315</v>
      </c>
      <c r="R1130" s="77">
        <f t="shared" ca="1" si="241"/>
        <v>100</v>
      </c>
      <c r="S1130" s="77">
        <f t="shared" ca="1" si="241"/>
        <v>695</v>
      </c>
      <c r="T1130" s="77">
        <f t="shared" ca="1" si="241"/>
        <v>33.333333333333336</v>
      </c>
      <c r="U1130" s="78"/>
      <c r="V1130" s="78"/>
      <c r="W1130" s="78"/>
      <c r="X1130" s="78"/>
      <c r="Y1130" s="78"/>
      <c r="Z1130" s="78"/>
      <c r="AA1130" s="78"/>
      <c r="AB1130" s="78"/>
      <c r="AC1130" s="78"/>
      <c r="AD1130" s="78"/>
    </row>
    <row r="1131" spans="1:30" ht="15" x14ac:dyDescent="0.2">
      <c r="A1131" s="11">
        <f t="shared" si="236"/>
        <v>2088</v>
      </c>
      <c r="B1131" s="11">
        <f t="shared" si="239"/>
        <v>366</v>
      </c>
      <c r="C1131" s="77">
        <f t="shared" ca="1" si="240"/>
        <v>154.75825</v>
      </c>
      <c r="D1131" s="77">
        <f t="shared" ca="1" si="240"/>
        <v>281.0162499999999</v>
      </c>
      <c r="E1131" s="77">
        <f t="shared" ca="1" si="240"/>
        <v>109.1005</v>
      </c>
      <c r="F1131" s="77">
        <f t="shared" ca="1" si="240"/>
        <v>57.041666666666664</v>
      </c>
      <c r="G1131" s="77">
        <f t="shared" ca="1" si="240"/>
        <v>40</v>
      </c>
      <c r="H1131" s="77">
        <f t="shared" ca="1" si="240"/>
        <v>174.58333333333334</v>
      </c>
      <c r="I1131" s="77">
        <f t="shared" ca="1" si="240"/>
        <v>0</v>
      </c>
      <c r="J1131" s="77">
        <f t="shared" ca="1" si="240"/>
        <v>100</v>
      </c>
      <c r="K1131" s="77">
        <f t="shared" ca="1" si="240"/>
        <v>300</v>
      </c>
      <c r="L1131" s="77">
        <f t="shared" ca="1" si="240"/>
        <v>1216.5</v>
      </c>
      <c r="M1131" s="77">
        <f t="shared" ca="1" si="241"/>
        <v>600</v>
      </c>
      <c r="N1131" s="77">
        <f t="shared" ca="1" si="241"/>
        <v>72.5</v>
      </c>
      <c r="O1131" s="77">
        <f t="shared" ca="1" si="241"/>
        <v>240</v>
      </c>
      <c r="P1131" s="77">
        <f t="shared" ca="1" si="241"/>
        <v>40</v>
      </c>
      <c r="Q1131" s="77">
        <f t="shared" ca="1" si="241"/>
        <v>315</v>
      </c>
      <c r="R1131" s="77">
        <f t="shared" ca="1" si="241"/>
        <v>100</v>
      </c>
      <c r="S1131" s="77">
        <f t="shared" ca="1" si="241"/>
        <v>695</v>
      </c>
      <c r="T1131" s="77">
        <f t="shared" ca="1" si="241"/>
        <v>33.333333333333336</v>
      </c>
      <c r="U1131" s="78"/>
      <c r="V1131" s="78"/>
      <c r="W1131" s="78"/>
      <c r="X1131" s="78"/>
      <c r="Y1131" s="78"/>
      <c r="Z1131" s="78"/>
      <c r="AA1131" s="78"/>
      <c r="AB1131" s="78"/>
      <c r="AC1131" s="78"/>
      <c r="AD1131" s="78"/>
    </row>
    <row r="1132" spans="1:30" ht="15" x14ac:dyDescent="0.2">
      <c r="A1132" s="11">
        <f t="shared" si="236"/>
        <v>2089</v>
      </c>
      <c r="B1132" s="11">
        <f t="shared" si="239"/>
        <v>365</v>
      </c>
      <c r="C1132" s="77">
        <f t="shared" ca="1" si="240"/>
        <v>154.75825</v>
      </c>
      <c r="D1132" s="77">
        <f t="shared" ca="1" si="240"/>
        <v>281.0162499999999</v>
      </c>
      <c r="E1132" s="77">
        <f t="shared" ca="1" si="240"/>
        <v>109.1005</v>
      </c>
      <c r="F1132" s="77">
        <f t="shared" ca="1" si="240"/>
        <v>57.041666666666664</v>
      </c>
      <c r="G1132" s="77">
        <f t="shared" ca="1" si="240"/>
        <v>40</v>
      </c>
      <c r="H1132" s="77">
        <f t="shared" ca="1" si="240"/>
        <v>174.58333333333334</v>
      </c>
      <c r="I1132" s="77">
        <f t="shared" ca="1" si="240"/>
        <v>0</v>
      </c>
      <c r="J1132" s="77">
        <f t="shared" ca="1" si="240"/>
        <v>100</v>
      </c>
      <c r="K1132" s="77">
        <f t="shared" ca="1" si="240"/>
        <v>300</v>
      </c>
      <c r="L1132" s="77">
        <f t="shared" ca="1" si="240"/>
        <v>1216.5</v>
      </c>
      <c r="M1132" s="77">
        <f t="shared" ca="1" si="241"/>
        <v>600</v>
      </c>
      <c r="N1132" s="77">
        <f t="shared" ca="1" si="241"/>
        <v>72.5</v>
      </c>
      <c r="O1132" s="77">
        <f t="shared" ca="1" si="241"/>
        <v>240</v>
      </c>
      <c r="P1132" s="77">
        <f t="shared" ca="1" si="241"/>
        <v>40</v>
      </c>
      <c r="Q1132" s="77">
        <f t="shared" ca="1" si="241"/>
        <v>315</v>
      </c>
      <c r="R1132" s="77">
        <f t="shared" ca="1" si="241"/>
        <v>100</v>
      </c>
      <c r="S1132" s="77">
        <f t="shared" ca="1" si="241"/>
        <v>695</v>
      </c>
      <c r="T1132" s="77">
        <f t="shared" ca="1" si="241"/>
        <v>33.333333333333336</v>
      </c>
      <c r="U1132" s="78"/>
      <c r="V1132" s="78"/>
      <c r="W1132" s="78"/>
      <c r="X1132" s="78"/>
      <c r="Y1132" s="78"/>
      <c r="Z1132" s="78"/>
      <c r="AA1132" s="78"/>
      <c r="AB1132" s="78"/>
      <c r="AC1132" s="78"/>
      <c r="AD1132" s="78"/>
    </row>
    <row r="1133" spans="1:30" ht="15" x14ac:dyDescent="0.2">
      <c r="A1133" s="11">
        <f t="shared" si="236"/>
        <v>2090</v>
      </c>
      <c r="B1133" s="11">
        <f t="shared" si="239"/>
        <v>365</v>
      </c>
      <c r="C1133" s="77">
        <f t="shared" ca="1" si="240"/>
        <v>154.75825</v>
      </c>
      <c r="D1133" s="77">
        <f t="shared" ca="1" si="240"/>
        <v>281.0162499999999</v>
      </c>
      <c r="E1133" s="77">
        <f t="shared" ca="1" si="240"/>
        <v>109.1005</v>
      </c>
      <c r="F1133" s="77">
        <f t="shared" ca="1" si="240"/>
        <v>57.041666666666664</v>
      </c>
      <c r="G1133" s="77">
        <f t="shared" ca="1" si="240"/>
        <v>40</v>
      </c>
      <c r="H1133" s="77">
        <f t="shared" ca="1" si="240"/>
        <v>174.58333333333334</v>
      </c>
      <c r="I1133" s="77">
        <f t="shared" ca="1" si="240"/>
        <v>0</v>
      </c>
      <c r="J1133" s="77">
        <f t="shared" ca="1" si="240"/>
        <v>100</v>
      </c>
      <c r="K1133" s="77">
        <f t="shared" ca="1" si="240"/>
        <v>300</v>
      </c>
      <c r="L1133" s="77">
        <f t="shared" ca="1" si="240"/>
        <v>1216.5</v>
      </c>
      <c r="M1133" s="77">
        <f t="shared" ca="1" si="241"/>
        <v>600</v>
      </c>
      <c r="N1133" s="77">
        <f t="shared" ca="1" si="241"/>
        <v>72.5</v>
      </c>
      <c r="O1133" s="77">
        <f t="shared" ca="1" si="241"/>
        <v>240</v>
      </c>
      <c r="P1133" s="77">
        <f t="shared" ca="1" si="241"/>
        <v>40</v>
      </c>
      <c r="Q1133" s="77">
        <f t="shared" ca="1" si="241"/>
        <v>315</v>
      </c>
      <c r="R1133" s="77">
        <f t="shared" ca="1" si="241"/>
        <v>100</v>
      </c>
      <c r="S1133" s="77">
        <f t="shared" ca="1" si="241"/>
        <v>695</v>
      </c>
      <c r="T1133" s="77">
        <f t="shared" ca="1" si="241"/>
        <v>33.333333333333336</v>
      </c>
      <c r="U1133" s="78"/>
      <c r="V1133" s="78"/>
      <c r="W1133" s="78"/>
      <c r="X1133" s="78"/>
      <c r="Y1133" s="78"/>
      <c r="Z1133" s="78"/>
      <c r="AA1133" s="78"/>
      <c r="AB1133" s="78"/>
      <c r="AC1133" s="78"/>
      <c r="AD1133" s="78"/>
    </row>
    <row r="1134" spans="1:30" ht="15" x14ac:dyDescent="0.2">
      <c r="A1134" s="11">
        <f t="shared" si="236"/>
        <v>2091</v>
      </c>
      <c r="B1134" s="11">
        <f t="shared" si="239"/>
        <v>365</v>
      </c>
      <c r="C1134" s="77">
        <f t="shared" ca="1" si="240"/>
        <v>154.75825</v>
      </c>
      <c r="D1134" s="77">
        <f t="shared" ca="1" si="240"/>
        <v>281.0162499999999</v>
      </c>
      <c r="E1134" s="77">
        <f t="shared" ca="1" si="240"/>
        <v>109.1005</v>
      </c>
      <c r="F1134" s="77">
        <f t="shared" ca="1" si="240"/>
        <v>57.041666666666664</v>
      </c>
      <c r="G1134" s="77">
        <f t="shared" ca="1" si="240"/>
        <v>40</v>
      </c>
      <c r="H1134" s="77">
        <f t="shared" ca="1" si="240"/>
        <v>174.58333333333334</v>
      </c>
      <c r="I1134" s="77">
        <f t="shared" ca="1" si="240"/>
        <v>0</v>
      </c>
      <c r="J1134" s="77">
        <f t="shared" ca="1" si="240"/>
        <v>100</v>
      </c>
      <c r="K1134" s="77">
        <f t="shared" ca="1" si="240"/>
        <v>300</v>
      </c>
      <c r="L1134" s="77">
        <f t="shared" ca="1" si="240"/>
        <v>1216.5</v>
      </c>
      <c r="M1134" s="77">
        <f t="shared" ca="1" si="241"/>
        <v>600</v>
      </c>
      <c r="N1134" s="77">
        <f t="shared" ca="1" si="241"/>
        <v>72.5</v>
      </c>
      <c r="O1134" s="77">
        <f t="shared" ca="1" si="241"/>
        <v>240</v>
      </c>
      <c r="P1134" s="77">
        <f t="shared" ca="1" si="241"/>
        <v>40</v>
      </c>
      <c r="Q1134" s="77">
        <f t="shared" ca="1" si="241"/>
        <v>315</v>
      </c>
      <c r="R1134" s="77">
        <f t="shared" ca="1" si="241"/>
        <v>100</v>
      </c>
      <c r="S1134" s="77">
        <f t="shared" ca="1" si="241"/>
        <v>695</v>
      </c>
      <c r="T1134" s="77">
        <f t="shared" ca="1" si="241"/>
        <v>33.333333333333336</v>
      </c>
    </row>
    <row r="1135" spans="1:30" ht="15" x14ac:dyDescent="0.2">
      <c r="A1135" s="11">
        <f t="shared" si="236"/>
        <v>2092</v>
      </c>
      <c r="B1135" s="11">
        <f t="shared" si="239"/>
        <v>366</v>
      </c>
      <c r="C1135" s="77">
        <f t="shared" ref="C1135:L1143" ca="1" si="242">AVERAGE(OFFSET(C$588,($A1135-$A$1105)*12,0,12,1))</f>
        <v>154.75825</v>
      </c>
      <c r="D1135" s="77">
        <f t="shared" ca="1" si="242"/>
        <v>281.0162499999999</v>
      </c>
      <c r="E1135" s="77">
        <f t="shared" ca="1" si="242"/>
        <v>109.1005</v>
      </c>
      <c r="F1135" s="77">
        <f t="shared" ca="1" si="242"/>
        <v>57.041666666666664</v>
      </c>
      <c r="G1135" s="77">
        <f t="shared" ca="1" si="242"/>
        <v>40</v>
      </c>
      <c r="H1135" s="77">
        <f t="shared" ca="1" si="242"/>
        <v>174.58333333333334</v>
      </c>
      <c r="I1135" s="77">
        <f t="shared" ca="1" si="242"/>
        <v>0</v>
      </c>
      <c r="J1135" s="77">
        <f t="shared" ca="1" si="242"/>
        <v>100</v>
      </c>
      <c r="K1135" s="77">
        <f t="shared" ca="1" si="242"/>
        <v>300</v>
      </c>
      <c r="L1135" s="77">
        <f t="shared" ca="1" si="242"/>
        <v>1216.5</v>
      </c>
      <c r="M1135" s="77">
        <f t="shared" ref="M1135:T1143" ca="1" si="243">AVERAGE(OFFSET(M$588,($A1135-$A$1105)*12,0,12,1))</f>
        <v>600</v>
      </c>
      <c r="N1135" s="77">
        <f t="shared" ca="1" si="243"/>
        <v>72.5</v>
      </c>
      <c r="O1135" s="77">
        <f t="shared" ca="1" si="243"/>
        <v>240</v>
      </c>
      <c r="P1135" s="77">
        <f t="shared" ca="1" si="243"/>
        <v>40</v>
      </c>
      <c r="Q1135" s="77">
        <f t="shared" ca="1" si="243"/>
        <v>315</v>
      </c>
      <c r="R1135" s="77">
        <f t="shared" ca="1" si="243"/>
        <v>100</v>
      </c>
      <c r="S1135" s="77">
        <f t="shared" ca="1" si="243"/>
        <v>695</v>
      </c>
      <c r="T1135" s="77">
        <f t="shared" ca="1" si="243"/>
        <v>33.333333333333336</v>
      </c>
    </row>
    <row r="1136" spans="1:30" ht="15" x14ac:dyDescent="0.2">
      <c r="A1136" s="11">
        <f t="shared" si="236"/>
        <v>2093</v>
      </c>
      <c r="B1136" s="11">
        <f t="shared" si="239"/>
        <v>365</v>
      </c>
      <c r="C1136" s="77">
        <f t="shared" ca="1" si="242"/>
        <v>154.75825</v>
      </c>
      <c r="D1136" s="77">
        <f t="shared" ca="1" si="242"/>
        <v>281.0162499999999</v>
      </c>
      <c r="E1136" s="77">
        <f t="shared" ca="1" si="242"/>
        <v>109.1005</v>
      </c>
      <c r="F1136" s="77">
        <f t="shared" ca="1" si="242"/>
        <v>57.041666666666664</v>
      </c>
      <c r="G1136" s="77">
        <f t="shared" ca="1" si="242"/>
        <v>40</v>
      </c>
      <c r="H1136" s="77">
        <f t="shared" ca="1" si="242"/>
        <v>174.58333333333334</v>
      </c>
      <c r="I1136" s="77">
        <f t="shared" ca="1" si="242"/>
        <v>0</v>
      </c>
      <c r="J1136" s="77">
        <f t="shared" ca="1" si="242"/>
        <v>100</v>
      </c>
      <c r="K1136" s="77">
        <f t="shared" ca="1" si="242"/>
        <v>300</v>
      </c>
      <c r="L1136" s="77">
        <f t="shared" ca="1" si="242"/>
        <v>1216.5</v>
      </c>
      <c r="M1136" s="77">
        <f t="shared" ca="1" si="243"/>
        <v>600</v>
      </c>
      <c r="N1136" s="77">
        <f t="shared" ca="1" si="243"/>
        <v>72.5</v>
      </c>
      <c r="O1136" s="77">
        <f t="shared" ca="1" si="243"/>
        <v>240</v>
      </c>
      <c r="P1136" s="77">
        <f t="shared" ca="1" si="243"/>
        <v>40</v>
      </c>
      <c r="Q1136" s="77">
        <f t="shared" ca="1" si="243"/>
        <v>315</v>
      </c>
      <c r="R1136" s="77">
        <f t="shared" ca="1" si="243"/>
        <v>100</v>
      </c>
      <c r="S1136" s="77">
        <f t="shared" ca="1" si="243"/>
        <v>695</v>
      </c>
      <c r="T1136" s="77">
        <f t="shared" ca="1" si="243"/>
        <v>33.333333333333336</v>
      </c>
    </row>
    <row r="1137" spans="1:20" ht="15" x14ac:dyDescent="0.2">
      <c r="A1137" s="11">
        <f t="shared" si="236"/>
        <v>2094</v>
      </c>
      <c r="B1137" s="11">
        <f t="shared" si="239"/>
        <v>365</v>
      </c>
      <c r="C1137" s="77">
        <f t="shared" ca="1" si="242"/>
        <v>154.75825</v>
      </c>
      <c r="D1137" s="77">
        <f t="shared" ca="1" si="242"/>
        <v>281.0162499999999</v>
      </c>
      <c r="E1137" s="77">
        <f t="shared" ca="1" si="242"/>
        <v>109.1005</v>
      </c>
      <c r="F1137" s="77">
        <f t="shared" ca="1" si="242"/>
        <v>57.041666666666664</v>
      </c>
      <c r="G1137" s="77">
        <f t="shared" ca="1" si="242"/>
        <v>40</v>
      </c>
      <c r="H1137" s="77">
        <f t="shared" ca="1" si="242"/>
        <v>174.58333333333334</v>
      </c>
      <c r="I1137" s="77">
        <f t="shared" ca="1" si="242"/>
        <v>0</v>
      </c>
      <c r="J1137" s="77">
        <f t="shared" ca="1" si="242"/>
        <v>100</v>
      </c>
      <c r="K1137" s="77">
        <f t="shared" ca="1" si="242"/>
        <v>300</v>
      </c>
      <c r="L1137" s="77">
        <f t="shared" ca="1" si="242"/>
        <v>1216.5</v>
      </c>
      <c r="M1137" s="77">
        <f t="shared" ca="1" si="243"/>
        <v>600</v>
      </c>
      <c r="N1137" s="77">
        <f t="shared" ca="1" si="243"/>
        <v>72.5</v>
      </c>
      <c r="O1137" s="77">
        <f t="shared" ca="1" si="243"/>
        <v>240</v>
      </c>
      <c r="P1137" s="77">
        <f t="shared" ca="1" si="243"/>
        <v>40</v>
      </c>
      <c r="Q1137" s="77">
        <f t="shared" ca="1" si="243"/>
        <v>315</v>
      </c>
      <c r="R1137" s="77">
        <f t="shared" ca="1" si="243"/>
        <v>100</v>
      </c>
      <c r="S1137" s="77">
        <f t="shared" ca="1" si="243"/>
        <v>695</v>
      </c>
      <c r="T1137" s="77">
        <f t="shared" ca="1" si="243"/>
        <v>33.333333333333336</v>
      </c>
    </row>
    <row r="1138" spans="1:20" ht="15" x14ac:dyDescent="0.2">
      <c r="A1138" s="11">
        <f t="shared" si="236"/>
        <v>2095</v>
      </c>
      <c r="B1138" s="11">
        <f t="shared" si="239"/>
        <v>365</v>
      </c>
      <c r="C1138" s="77">
        <f t="shared" ca="1" si="242"/>
        <v>154.75825</v>
      </c>
      <c r="D1138" s="77">
        <f t="shared" ca="1" si="242"/>
        <v>281.0162499999999</v>
      </c>
      <c r="E1138" s="77">
        <f t="shared" ca="1" si="242"/>
        <v>109.1005</v>
      </c>
      <c r="F1138" s="77">
        <f t="shared" ca="1" si="242"/>
        <v>57.041666666666664</v>
      </c>
      <c r="G1138" s="77">
        <f t="shared" ca="1" si="242"/>
        <v>40</v>
      </c>
      <c r="H1138" s="77">
        <f t="shared" ca="1" si="242"/>
        <v>174.58333333333334</v>
      </c>
      <c r="I1138" s="77">
        <f t="shared" ca="1" si="242"/>
        <v>0</v>
      </c>
      <c r="J1138" s="77">
        <f t="shared" ca="1" si="242"/>
        <v>100</v>
      </c>
      <c r="K1138" s="77">
        <f t="shared" ca="1" si="242"/>
        <v>300</v>
      </c>
      <c r="L1138" s="77">
        <f t="shared" ca="1" si="242"/>
        <v>1216.5</v>
      </c>
      <c r="M1138" s="77">
        <f t="shared" ca="1" si="243"/>
        <v>600</v>
      </c>
      <c r="N1138" s="77">
        <f t="shared" ca="1" si="243"/>
        <v>72.5</v>
      </c>
      <c r="O1138" s="77">
        <f t="shared" ca="1" si="243"/>
        <v>240</v>
      </c>
      <c r="P1138" s="77">
        <f t="shared" ca="1" si="243"/>
        <v>40</v>
      </c>
      <c r="Q1138" s="77">
        <f t="shared" ca="1" si="243"/>
        <v>315</v>
      </c>
      <c r="R1138" s="77">
        <f t="shared" ca="1" si="243"/>
        <v>100</v>
      </c>
      <c r="S1138" s="77">
        <f t="shared" ca="1" si="243"/>
        <v>695</v>
      </c>
      <c r="T1138" s="77">
        <f t="shared" ca="1" si="243"/>
        <v>33.333333333333336</v>
      </c>
    </row>
    <row r="1139" spans="1:20" ht="15" x14ac:dyDescent="0.2">
      <c r="A1139" s="11">
        <f t="shared" si="236"/>
        <v>2096</v>
      </c>
      <c r="B1139" s="11">
        <f t="shared" si="239"/>
        <v>366</v>
      </c>
      <c r="C1139" s="77">
        <f t="shared" ca="1" si="242"/>
        <v>154.75825</v>
      </c>
      <c r="D1139" s="77">
        <f t="shared" ca="1" si="242"/>
        <v>281.0162499999999</v>
      </c>
      <c r="E1139" s="77">
        <f t="shared" ca="1" si="242"/>
        <v>109.1005</v>
      </c>
      <c r="F1139" s="77">
        <f t="shared" ca="1" si="242"/>
        <v>57.041666666666664</v>
      </c>
      <c r="G1139" s="77">
        <f t="shared" ca="1" si="242"/>
        <v>40</v>
      </c>
      <c r="H1139" s="77">
        <f t="shared" ca="1" si="242"/>
        <v>174.58333333333334</v>
      </c>
      <c r="I1139" s="77">
        <f t="shared" ca="1" si="242"/>
        <v>0</v>
      </c>
      <c r="J1139" s="77">
        <f t="shared" ca="1" si="242"/>
        <v>100</v>
      </c>
      <c r="K1139" s="77">
        <f t="shared" ca="1" si="242"/>
        <v>300</v>
      </c>
      <c r="L1139" s="77">
        <f t="shared" ca="1" si="242"/>
        <v>1216.5</v>
      </c>
      <c r="M1139" s="77">
        <f t="shared" ca="1" si="243"/>
        <v>600</v>
      </c>
      <c r="N1139" s="77">
        <f t="shared" ca="1" si="243"/>
        <v>72.5</v>
      </c>
      <c r="O1139" s="77">
        <f t="shared" ca="1" si="243"/>
        <v>240</v>
      </c>
      <c r="P1139" s="77">
        <f t="shared" ca="1" si="243"/>
        <v>40</v>
      </c>
      <c r="Q1139" s="77">
        <f t="shared" ca="1" si="243"/>
        <v>315</v>
      </c>
      <c r="R1139" s="77">
        <f t="shared" ca="1" si="243"/>
        <v>100</v>
      </c>
      <c r="S1139" s="77">
        <f t="shared" ca="1" si="243"/>
        <v>695</v>
      </c>
      <c r="T1139" s="77">
        <f t="shared" ca="1" si="243"/>
        <v>33.333333333333336</v>
      </c>
    </row>
    <row r="1140" spans="1:20" ht="15" x14ac:dyDescent="0.2">
      <c r="A1140" s="11">
        <f t="shared" si="236"/>
        <v>2097</v>
      </c>
      <c r="B1140" s="11">
        <f t="shared" si="239"/>
        <v>365</v>
      </c>
      <c r="C1140" s="77">
        <f t="shared" ca="1" si="242"/>
        <v>154.75825</v>
      </c>
      <c r="D1140" s="77">
        <f t="shared" ca="1" si="242"/>
        <v>281.0162499999999</v>
      </c>
      <c r="E1140" s="77">
        <f t="shared" ca="1" si="242"/>
        <v>109.1005</v>
      </c>
      <c r="F1140" s="77">
        <f t="shared" ca="1" si="242"/>
        <v>57.041666666666664</v>
      </c>
      <c r="G1140" s="77">
        <f t="shared" ca="1" si="242"/>
        <v>40</v>
      </c>
      <c r="H1140" s="77">
        <f t="shared" ca="1" si="242"/>
        <v>174.58333333333334</v>
      </c>
      <c r="I1140" s="77">
        <f t="shared" ca="1" si="242"/>
        <v>0</v>
      </c>
      <c r="J1140" s="77">
        <f t="shared" ca="1" si="242"/>
        <v>100</v>
      </c>
      <c r="K1140" s="77">
        <f t="shared" ca="1" si="242"/>
        <v>300</v>
      </c>
      <c r="L1140" s="77">
        <f t="shared" ca="1" si="242"/>
        <v>1216.5</v>
      </c>
      <c r="M1140" s="77">
        <f t="shared" ca="1" si="243"/>
        <v>600</v>
      </c>
      <c r="N1140" s="77">
        <f t="shared" ca="1" si="243"/>
        <v>72.5</v>
      </c>
      <c r="O1140" s="77">
        <f t="shared" ca="1" si="243"/>
        <v>240</v>
      </c>
      <c r="P1140" s="77">
        <f t="shared" ca="1" si="243"/>
        <v>40</v>
      </c>
      <c r="Q1140" s="77">
        <f t="shared" ca="1" si="243"/>
        <v>315</v>
      </c>
      <c r="R1140" s="77">
        <f t="shared" ca="1" si="243"/>
        <v>100</v>
      </c>
      <c r="S1140" s="77">
        <f t="shared" ca="1" si="243"/>
        <v>695</v>
      </c>
      <c r="T1140" s="77">
        <f t="shared" ca="1" si="243"/>
        <v>33.333333333333336</v>
      </c>
    </row>
    <row r="1141" spans="1:20" ht="15" x14ac:dyDescent="0.2">
      <c r="A1141" s="11">
        <f t="shared" si="236"/>
        <v>2098</v>
      </c>
      <c r="B1141" s="11">
        <f t="shared" si="239"/>
        <v>365</v>
      </c>
      <c r="C1141" s="77">
        <f t="shared" ca="1" si="242"/>
        <v>154.75825</v>
      </c>
      <c r="D1141" s="77">
        <f t="shared" ca="1" si="242"/>
        <v>281.0162499999999</v>
      </c>
      <c r="E1141" s="77">
        <f t="shared" ca="1" si="242"/>
        <v>109.1005</v>
      </c>
      <c r="F1141" s="77">
        <f t="shared" ca="1" si="242"/>
        <v>57.041666666666664</v>
      </c>
      <c r="G1141" s="77">
        <f t="shared" ca="1" si="242"/>
        <v>40</v>
      </c>
      <c r="H1141" s="77">
        <f t="shared" ca="1" si="242"/>
        <v>174.58333333333334</v>
      </c>
      <c r="I1141" s="77">
        <f t="shared" ca="1" si="242"/>
        <v>0</v>
      </c>
      <c r="J1141" s="77">
        <f t="shared" ca="1" si="242"/>
        <v>100</v>
      </c>
      <c r="K1141" s="77">
        <f t="shared" ca="1" si="242"/>
        <v>300</v>
      </c>
      <c r="L1141" s="77">
        <f t="shared" ca="1" si="242"/>
        <v>1216.5</v>
      </c>
      <c r="M1141" s="77">
        <f t="shared" ca="1" si="243"/>
        <v>600</v>
      </c>
      <c r="N1141" s="77">
        <f t="shared" ca="1" si="243"/>
        <v>72.5</v>
      </c>
      <c r="O1141" s="77">
        <f t="shared" ca="1" si="243"/>
        <v>240</v>
      </c>
      <c r="P1141" s="77">
        <f t="shared" ca="1" si="243"/>
        <v>40</v>
      </c>
      <c r="Q1141" s="77">
        <f t="shared" ca="1" si="243"/>
        <v>315</v>
      </c>
      <c r="R1141" s="77">
        <f t="shared" ca="1" si="243"/>
        <v>100</v>
      </c>
      <c r="S1141" s="77">
        <f t="shared" ca="1" si="243"/>
        <v>695</v>
      </c>
      <c r="T1141" s="77">
        <f t="shared" ca="1" si="243"/>
        <v>33.333333333333336</v>
      </c>
    </row>
    <row r="1142" spans="1:20" ht="15" x14ac:dyDescent="0.2">
      <c r="A1142" s="11">
        <f t="shared" si="236"/>
        <v>2099</v>
      </c>
      <c r="B1142" s="11">
        <f t="shared" si="239"/>
        <v>365</v>
      </c>
      <c r="C1142" s="77">
        <f t="shared" ca="1" si="242"/>
        <v>154.75825</v>
      </c>
      <c r="D1142" s="77">
        <f t="shared" ca="1" si="242"/>
        <v>281.0162499999999</v>
      </c>
      <c r="E1142" s="77">
        <f t="shared" ca="1" si="242"/>
        <v>109.1005</v>
      </c>
      <c r="F1142" s="77">
        <f t="shared" ca="1" si="242"/>
        <v>57.041666666666664</v>
      </c>
      <c r="G1142" s="77">
        <f t="shared" ca="1" si="242"/>
        <v>40</v>
      </c>
      <c r="H1142" s="77">
        <f t="shared" ca="1" si="242"/>
        <v>174.58333333333334</v>
      </c>
      <c r="I1142" s="77">
        <f t="shared" ca="1" si="242"/>
        <v>0</v>
      </c>
      <c r="J1142" s="77">
        <f t="shared" ca="1" si="242"/>
        <v>100</v>
      </c>
      <c r="K1142" s="77">
        <f t="shared" ca="1" si="242"/>
        <v>300</v>
      </c>
      <c r="L1142" s="77">
        <f t="shared" ca="1" si="242"/>
        <v>1216.5</v>
      </c>
      <c r="M1142" s="77">
        <f t="shared" ca="1" si="243"/>
        <v>600</v>
      </c>
      <c r="N1142" s="77">
        <f t="shared" ca="1" si="243"/>
        <v>72.5</v>
      </c>
      <c r="O1142" s="77">
        <f t="shared" ca="1" si="243"/>
        <v>240</v>
      </c>
      <c r="P1142" s="77">
        <f t="shared" ca="1" si="243"/>
        <v>40</v>
      </c>
      <c r="Q1142" s="77">
        <f t="shared" ca="1" si="243"/>
        <v>315</v>
      </c>
      <c r="R1142" s="77">
        <f t="shared" ca="1" si="243"/>
        <v>100</v>
      </c>
      <c r="S1142" s="77">
        <f t="shared" ca="1" si="243"/>
        <v>695</v>
      </c>
      <c r="T1142" s="77">
        <f t="shared" ca="1" si="243"/>
        <v>33.333333333333336</v>
      </c>
    </row>
    <row r="1143" spans="1:20" ht="15" x14ac:dyDescent="0.2">
      <c r="A1143" s="11">
        <f t="shared" si="236"/>
        <v>2100</v>
      </c>
      <c r="B1143" s="11">
        <f t="shared" si="239"/>
        <v>365</v>
      </c>
      <c r="C1143" s="77">
        <f t="shared" ca="1" si="242"/>
        <v>154.75825</v>
      </c>
      <c r="D1143" s="77">
        <f t="shared" ca="1" si="242"/>
        <v>281.0162499999999</v>
      </c>
      <c r="E1143" s="77">
        <f t="shared" ca="1" si="242"/>
        <v>109.1005</v>
      </c>
      <c r="F1143" s="77">
        <f t="shared" ca="1" si="242"/>
        <v>57.041666666666664</v>
      </c>
      <c r="G1143" s="77">
        <f t="shared" ca="1" si="242"/>
        <v>40</v>
      </c>
      <c r="H1143" s="77">
        <f t="shared" ca="1" si="242"/>
        <v>174.58333333333334</v>
      </c>
      <c r="I1143" s="77">
        <f t="shared" ca="1" si="242"/>
        <v>0</v>
      </c>
      <c r="J1143" s="77">
        <f t="shared" ca="1" si="242"/>
        <v>100</v>
      </c>
      <c r="K1143" s="77">
        <f t="shared" ca="1" si="242"/>
        <v>300</v>
      </c>
      <c r="L1143" s="77">
        <f t="shared" ca="1" si="242"/>
        <v>1216.5</v>
      </c>
      <c r="M1143" s="77">
        <f t="shared" ca="1" si="243"/>
        <v>600</v>
      </c>
      <c r="N1143" s="77">
        <f t="shared" ca="1" si="243"/>
        <v>72.5</v>
      </c>
      <c r="O1143" s="77">
        <f t="shared" ca="1" si="243"/>
        <v>240</v>
      </c>
      <c r="P1143" s="77">
        <f t="shared" ca="1" si="243"/>
        <v>40</v>
      </c>
      <c r="Q1143" s="77">
        <f t="shared" ca="1" si="243"/>
        <v>315</v>
      </c>
      <c r="R1143" s="77">
        <f t="shared" ca="1" si="243"/>
        <v>100</v>
      </c>
      <c r="S1143" s="77">
        <f t="shared" ca="1" si="243"/>
        <v>695</v>
      </c>
      <c r="T1143" s="77">
        <f t="shared" ca="1" si="243"/>
        <v>33.333333333333336</v>
      </c>
    </row>
    <row r="1144" spans="1:20" x14ac:dyDescent="0.2">
      <c r="A1144" s="8"/>
      <c r="B1144" s="8"/>
    </row>
    <row r="1145" spans="1:20" x14ac:dyDescent="0.2">
      <c r="A1145" s="8"/>
      <c r="B1145" s="8"/>
    </row>
    <row r="1146" spans="1:20" x14ac:dyDescent="0.2">
      <c r="A1146" s="8"/>
      <c r="B1146" s="8"/>
    </row>
    <row r="1147" spans="1:20" x14ac:dyDescent="0.2">
      <c r="A1147" s="8"/>
      <c r="B1147" s="8"/>
    </row>
    <row r="1148" spans="1:20" x14ac:dyDescent="0.2">
      <c r="A1148" s="8"/>
      <c r="B1148" s="8"/>
    </row>
    <row r="1149" spans="1:20" x14ac:dyDescent="0.2">
      <c r="A1149" s="8"/>
      <c r="B1149" s="8"/>
    </row>
    <row r="1150" spans="1:20" x14ac:dyDescent="0.2">
      <c r="A1150" s="8"/>
      <c r="B1150" s="8"/>
    </row>
    <row r="1151" spans="1:20" x14ac:dyDescent="0.2">
      <c r="A1151" s="8"/>
      <c r="B1151" s="8"/>
    </row>
    <row r="1152" spans="1:20" x14ac:dyDescent="0.2">
      <c r="A1152" s="8"/>
      <c r="B1152" s="8"/>
    </row>
    <row r="1153" spans="1:2" x14ac:dyDescent="0.2">
      <c r="A1153" s="8"/>
      <c r="B1153" s="8"/>
    </row>
    <row r="1154" spans="1:2" x14ac:dyDescent="0.2">
      <c r="A1154" s="8"/>
      <c r="B1154" s="8"/>
    </row>
    <row r="1155" spans="1:2" x14ac:dyDescent="0.2">
      <c r="A1155" s="8"/>
      <c r="B1155" s="8"/>
    </row>
    <row r="1156" spans="1:2" x14ac:dyDescent="0.2">
      <c r="A1156" s="8"/>
      <c r="B1156" s="8"/>
    </row>
    <row r="1157" spans="1:2" x14ac:dyDescent="0.2">
      <c r="A1157" s="8"/>
      <c r="B1157" s="8"/>
    </row>
    <row r="1158" spans="1:2" x14ac:dyDescent="0.2">
      <c r="A1158" s="8"/>
      <c r="B1158" s="8"/>
    </row>
    <row r="1159" spans="1:2" x14ac:dyDescent="0.2">
      <c r="A1159" s="8"/>
      <c r="B1159" s="8"/>
    </row>
    <row r="1160" spans="1:2" x14ac:dyDescent="0.2">
      <c r="A1160" s="8"/>
      <c r="B1160" s="8"/>
    </row>
    <row r="1161" spans="1:2" x14ac:dyDescent="0.2">
      <c r="A1161" s="8"/>
      <c r="B1161" s="8"/>
    </row>
    <row r="1162" spans="1:2" x14ac:dyDescent="0.2">
      <c r="A1162" s="8"/>
      <c r="B1162" s="8"/>
    </row>
    <row r="1163" spans="1:2" x14ac:dyDescent="0.2">
      <c r="A1163" s="8"/>
      <c r="B1163" s="8"/>
    </row>
  </sheetData>
  <mergeCells count="3">
    <mergeCell ref="C9:F9"/>
    <mergeCell ref="O9:Q9"/>
    <mergeCell ref="I9:K9"/>
  </mergeCells>
  <pageMargins left="0.25" right="0.25" top="0.5" bottom="0.5" header="0.25" footer="0.25"/>
  <pageSetup paperSize="17" scale="55" orientation="landscape" r:id="rId1"/>
  <headerFooter alignWithMargins="0">
    <oddFooter>&amp;R&amp;A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10</vt:i4>
      </vt:variant>
    </vt:vector>
  </HeadingPairs>
  <TitlesOfParts>
    <vt:vector size="16" baseType="lpstr">
      <vt:lpstr>CONTROL</vt:lpstr>
      <vt:lpstr>RAP-LIGHT OIL</vt:lpstr>
      <vt:lpstr>RAP-HEAVY OIL&amp;WTI</vt:lpstr>
      <vt:lpstr>RAP-SOLID FUEL PRICES</vt:lpstr>
      <vt:lpstr>RAP-NATURAL GAS PRICES</vt:lpstr>
      <vt:lpstr>RAP TEMPLATE-GAS AVAILABILITY</vt:lpstr>
      <vt:lpstr>'RAP TEMPLATE-GAS AVAILABILITY'!Print_Area</vt:lpstr>
      <vt:lpstr>'RAP-HEAVY OIL&amp;WTI'!Print_Area</vt:lpstr>
      <vt:lpstr>'RAP-LIGHT OIL'!Print_Area</vt:lpstr>
      <vt:lpstr>'RAP-NATURAL GAS PRICES'!Print_Area</vt:lpstr>
      <vt:lpstr>'RAP-SOLID FUEL PRICES'!Print_Area</vt:lpstr>
      <vt:lpstr>'RAP TEMPLATE-GAS AVAILABILITY'!Print_Titles</vt:lpstr>
      <vt:lpstr>'RAP-HEAVY OIL&amp;WTI'!Print_Titles</vt:lpstr>
      <vt:lpstr>'RAP-LIGHT OIL'!Print_Titles</vt:lpstr>
      <vt:lpstr>'RAP-NATURAL GAS PRICES'!Print_Titles</vt:lpstr>
      <vt:lpstr>'RAP-SOLID FUEL PRICES'!Print_Titles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2016-07-29T16:42:02Z</dcterms:created>
  <dcterms:modified xsi:type="dcterms:W3CDTF">2016-07-29T16:42:05Z</dcterms:modified>
</cp:coreProperties>
</file>